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showInkAnnotation="0" updateLinks="never" codeName="ThisWorkbook"/>
  <mc:AlternateContent xmlns:mc="http://schemas.openxmlformats.org/markup-compatibility/2006">
    <mc:Choice Requires="x15">
      <x15ac:absPath xmlns:x15ac="http://schemas.microsoft.com/office/spreadsheetml/2010/11/ac" url="https://clearesult5-my.sharepoint.com/personal/tom_cosgro_clearesult_com/Documents/Documents/Program Docs/PA/PPL/Phase 4 rebid/Calculator rebuild/"/>
    </mc:Choice>
  </mc:AlternateContent>
  <xr:revisionPtr revIDLastSave="13" documentId="8_{FB975070-713B-49EC-82D8-5B73E01710DD}" xr6:coauthVersionLast="47" xr6:coauthVersionMax="47" xr10:uidLastSave="{62EBC57C-61C9-4E12-8E66-3220C1825153}"/>
  <workbookProtection workbookAlgorithmName="SHA-512" workbookHashValue="iL4kS8O/0gQ6Q9kkddvE4e0FW7r+sx1e4hXsW6VWrEoe7A2vuvx08H7vDzWqur4ck0XKhIeVz2xNnKQxTznZUw==" workbookSaltValue="a0dzzdC3LMuyj9Z9HeYvBQ==" workbookSpinCount="100000" lockStructure="1"/>
  <bookViews>
    <workbookView xWindow="28680" yWindow="-120" windowWidth="29040" windowHeight="15840" tabRatio="631" activeTab="1" xr2:uid="{00000000-000D-0000-FFFF-FFFF00000000}"/>
  </bookViews>
  <sheets>
    <sheet name="Instructions" sheetId="17" r:id="rId1"/>
    <sheet name="Project Info and Summary" sheetId="12" r:id="rId2"/>
    <sheet name="Fixture and LED Schedule" sheetId="10" r:id="rId3"/>
    <sheet name="Inventory" sheetId="11" r:id="rId4"/>
    <sheet name="Data Export" sheetId="22" state="hidden" r:id="rId5"/>
    <sheet name="General Information" sheetId="5" state="hidden" r:id="rId6"/>
    <sheet name="Lookups" sheetId="9" state="hidden" r:id="rId7"/>
    <sheet name="Usage Groups (&gt;120 MWh only)" sheetId="16" r:id="rId8"/>
    <sheet name="Manual" sheetId="2" state="hidden" r:id="rId9"/>
    <sheet name="Changelog" sheetId="3" state="hidden" r:id="rId10"/>
    <sheet name="NC Exterior Lighting Only" sheetId="21" r:id="rId11"/>
    <sheet name="Fixture Identities" sheetId="7" r:id="rId12"/>
    <sheet name="Lighting Inventory (Ref only)" sheetId="6" r:id="rId13"/>
    <sheet name="Report" sheetId="13" state="hidden" r:id="rId14"/>
    <sheet name="Methodology" sheetId="18" state="hidden" r:id="rId15"/>
    <sheet name="Glossary " sheetId="23" state="hidden" r:id="rId16"/>
    <sheet name="Summary" sheetId="8" state="hidden" r:id="rId17"/>
    <sheet name="Dropdowns" sheetId="14" state="hidden" r:id="rId18"/>
    <sheet name="Version Log" sheetId="15" state="hidden" r:id="rId19"/>
  </sheets>
  <externalReferences>
    <externalReference r:id="rId20"/>
    <externalReference r:id="rId21"/>
  </externalReferences>
  <definedNames>
    <definedName name="_xlnm._FilterDatabase" localSheetId="11" hidden="1">'Fixture Identities'!$B$8:$M$1045</definedName>
    <definedName name="_xlnm._FilterDatabase" localSheetId="15" hidden="1">'Glossary '!$B$14:$H$95</definedName>
    <definedName name="_xlnm._FilterDatabase" localSheetId="6" hidden="1">Lookups!$B$131:$B$149</definedName>
    <definedName name="Building_Type">'Project Info and Summary'!$C$18</definedName>
    <definedName name="Building_Types">Lookups!$F$37:$F$75</definedName>
    <definedName name="BuildingTypeMap">Instructions!$D$138:$F$165</definedName>
    <definedName name="Calculation_Method_NC">'[1]Lookup Tables'!$U$27:$U$29</definedName>
    <definedName name="CFL_Fixtures">'[1]Lookup Tables'!#REF!</definedName>
    <definedName name="CFL_Lamps">'[1]Lookup Tables'!#REF!</definedName>
    <definedName name="Cool_Type">'Project Info and Summary'!$C$19</definedName>
    <definedName name="Cooled">'[1]Lookup Tables'!$R$9:$R$13</definedName>
    <definedName name="Cost">'Project Info and Summary'!$C$15</definedName>
    <definedName name="Custom_Cut_SheeInputTable">'Fixture and LED Schedule'!$A$89:$H$120</definedName>
    <definedName name="Customer">'Project Info and Summary'!$C$4</definedName>
    <definedName name="Customer_Name">'Project Info and Summary'!$C$5</definedName>
    <definedName name="DeterminingElecCostsDoc">"Object 4"</definedName>
    <definedName name="Heated">'[1]Lookup Tables'!$R$6:$R$8</definedName>
    <definedName name="Heating_Type" localSheetId="15">'Project Info and Summary'!$C$21</definedName>
    <definedName name="Heating_Type">'Project Info and Summary'!$C$20</definedName>
    <definedName name="HOU_CF_IF">Lookups!$B$8:$J$25</definedName>
    <definedName name="Interior_or_Exterior">'[1]Lookup Tables'!$S$27:$S$28</definedName>
    <definedName name="kW_Rate">'Project Info and Summary'!$C$14</definedName>
    <definedName name="kWh_Rate">'Project Info and Summary'!$C$13</definedName>
    <definedName name="LED_Codes" localSheetId="15">Lookups!$V$8:$X$26</definedName>
    <definedName name="LED_Codes">Lookups!$V$8:$X$25</definedName>
    <definedName name="LEDFixtCodeInputTable">'Fixture and LED Schedule'!$A$33:$I$66</definedName>
    <definedName name="LPD_BuildingArea" localSheetId="15">Lookups!$F$37:$K$75</definedName>
    <definedName name="LPD_BuildingArea">Lookups!$F$37:$J$75</definedName>
    <definedName name="Measure_Description">Lookups!$BH$5:$BH$70</definedName>
    <definedName name="NC_CFL_Fixtures">'[1]Lookup Tables'!#REF!</definedName>
    <definedName name="NC_CFL_Lamps">'[1]Lookup Tables'!#REF!</definedName>
    <definedName name="NC_LED_Signage">'[1]Lookup Tables'!#REF!</definedName>
    <definedName name="NC_Type">'Project Info and Summary'!$C$21</definedName>
    <definedName name="Opcos">'[1]Lookup Tables'!$V$17:$V$20</definedName>
    <definedName name="_xlnm.Print_Area" localSheetId="3">Inventory!$B$1:$O$79</definedName>
    <definedName name="_xlnm.Print_Area" localSheetId="1">'Project Info and Summary'!$A$1:$J$24</definedName>
    <definedName name="_xlnm.Print_Area" localSheetId="13">Report!$A$1:$G$116</definedName>
    <definedName name="PRJ_Type">'Project Info and Summary'!$C$17</definedName>
    <definedName name="Proj_Type">'[1]Lookup Tables'!$R$27:$R$28</definedName>
    <definedName name="Reporting_Categories">'[1]Lookup Tables'!$Y$18:$Y$35</definedName>
    <definedName name="Sector">'[1]Lookup Tables'!$Y$39:$Y$41</definedName>
    <definedName name="SqFt">'Project Info and Summary'!$C$22</definedName>
    <definedName name="Uncooled">'[1]Lookup Tables'!$R$10</definedName>
    <definedName name="Unheated">'[1]Lookup Tables'!$R$8</definedName>
    <definedName name="UtilityFixtCodeInputTable">'Fixture and LED Schedule'!$A$3:$I$31</definedName>
    <definedName name="xyHOU_CF_IF">Lookups!$B$8:$J$25</definedName>
    <definedName name="xyIF_Cooling">Lookups!$M$8:$N$12</definedName>
    <definedName name="xyLED_Codes">Lookups!$V$8:$X$26</definedName>
    <definedName name="xyLPD_BuildingArea">Lookups!$F$37:$J$75</definedName>
    <definedName name="xyLPD_SpaceBySpace">Lookups!$B$38:$D$149</definedName>
    <definedName name="xyNCEx">INDIRECT("'NC Exterior Lighting Only'!$B$4:$E$"&amp;COUNTA('NC Exterior Lighting Only'!$B$4:$B$9)+3)</definedName>
    <definedName name="xyNCLPD">Lookups!$B$131:$D$149</definedName>
    <definedName name="xySpace_Type_Details">'General Information'!$C$40:$V$60</definedName>
    <definedName name="xySVG_Factors">Lookups!$Q$8:$R$21</definedName>
    <definedName name="xySVG_Factors_NC">Lookups!$P$36:$R$51</definedName>
    <definedName name="xyWattage_Table">'Fixture Identities'!$B$8:$M$1045</definedName>
    <definedName name="yBldgType">Lookups!$B$8:$B$25</definedName>
    <definedName name="yControl_Code">Lookups!$Q$8:$Q$21</definedName>
    <definedName name="yControlTypes">Lookups!$P$8:$P$21</definedName>
    <definedName name="yCooling_Type">Lookups!$L$8:$L$12</definedName>
    <definedName name="yFixture_Code">'Fixture Identities'!$B$9:$B$1045</definedName>
    <definedName name="yFixture_Type">INDIRECT("'Fixture and LED Schedule'!$C$6:$C$"&amp;COUNTA('Fixture and LED Schedule'!$C$7:$C$31)+4)</definedName>
    <definedName name="yHFuel_Type">Dropdowns!$A$2:$A$4</definedName>
    <definedName name="yLED_Codes">Lookups!$V$8:$V$26</definedName>
    <definedName name="yLED_Fixture_Code">'Fixture and LED Schedule'!$D$39:$D$66</definedName>
    <definedName name="yLED_Type">INDIRECT("'Fixture and LED Schedule'!$C$36:$C$"&amp;COUNTA('Fixture and LED Schedule'!$C$39:$C$66)+34)</definedName>
    <definedName name="yLED_Type2">INDIRECT("'Fixture and LED Schedule'!$C$69:$C$"&amp;COUNTA('Fixture and LED Schedule'!$C$93:$C$120)+67)</definedName>
    <definedName name="yLighting_Categories">Dropdowns!$C$2:$C$12</definedName>
    <definedName name="yLPD_Space_Types">Lookups!$J$37:$J$75</definedName>
    <definedName name="yNCExArea">INDIRECT("'NC Exterior Lighting Only'!$B$4:$B$"&amp;COUNTA('NC Exterior Lighting Only'!$B$4:$B$9)+3)</definedName>
    <definedName name="yNCSpaces">Lookups!$B$73:$B$91</definedName>
    <definedName name="yNewConstructionBldgType">Lookups!$F$37:$F$75</definedName>
    <definedName name="ySchedules">OFFSET(Lookups!$T$7,0,0,Lookups!$T$13,1)</definedName>
    <definedName name="ySpace_by_Space_Type">Lookups!$B$38:$B$149</definedName>
    <definedName name="ySpace_Types">IF(AND(PRJ_Type="New Construction",NC_Type="Space by Space Method"),OFFSET(Lookups!$T$22,0,0,Lookups!$T$41,1),OFFSET(Lookups!$T$20,0,0,Lookups!$T$41,1))</definedName>
    <definedName name="ySubcategory">Dropdowns!$D$2:$D$22</definedName>
    <definedName name="yTimes">Dropdowns!$B$2:$B$51</definedName>
    <definedName name="yUtility_Fixture_Code">'Fixture and LED Schedule'!$D$7:$D$31</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2" l="1"/>
  <c r="A1" i="11"/>
  <c r="F3" i="22" l="1"/>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F399" i="22"/>
  <c r="F400" i="22"/>
  <c r="F401" i="22"/>
  <c r="F402" i="22"/>
  <c r="F403" i="22"/>
  <c r="F404" i="22"/>
  <c r="F405" i="22"/>
  <c r="F406" i="22"/>
  <c r="F407" i="22"/>
  <c r="F408" i="22"/>
  <c r="F409" i="22"/>
  <c r="F410" i="22"/>
  <c r="F411" i="22"/>
  <c r="F412" i="22"/>
  <c r="F413" i="22"/>
  <c r="F414" i="22"/>
  <c r="F415" i="22"/>
  <c r="F416" i="22"/>
  <c r="F417" i="22"/>
  <c r="F418" i="22"/>
  <c r="F419" i="22"/>
  <c r="F420" i="22"/>
  <c r="F421" i="22"/>
  <c r="F422" i="22"/>
  <c r="F423" i="22"/>
  <c r="F424" i="22"/>
  <c r="F425" i="22"/>
  <c r="F426" i="22"/>
  <c r="F427" i="22"/>
  <c r="F428" i="22"/>
  <c r="F429" i="22"/>
  <c r="F430" i="22"/>
  <c r="F431" i="22"/>
  <c r="F432" i="22"/>
  <c r="F433" i="22"/>
  <c r="F434" i="22"/>
  <c r="F435" i="22"/>
  <c r="F436" i="22"/>
  <c r="F437" i="22"/>
  <c r="F438" i="22"/>
  <c r="F439" i="22"/>
  <c r="F440" i="22"/>
  <c r="F441" i="22"/>
  <c r="F442" i="22"/>
  <c r="F443" i="22"/>
  <c r="F444" i="22"/>
  <c r="F445" i="22"/>
  <c r="F446" i="22"/>
  <c r="F447" i="22"/>
  <c r="F448" i="22"/>
  <c r="F449" i="22"/>
  <c r="F450" i="22"/>
  <c r="F451" i="22"/>
  <c r="F452" i="22"/>
  <c r="F453" i="22"/>
  <c r="F454" i="22"/>
  <c r="F455" i="22"/>
  <c r="F456" i="22"/>
  <c r="F457" i="22"/>
  <c r="F458" i="22"/>
  <c r="F459" i="22"/>
  <c r="F460" i="22"/>
  <c r="F461" i="22"/>
  <c r="F462" i="22"/>
  <c r="F463" i="22"/>
  <c r="F464" i="22"/>
  <c r="F465" i="22"/>
  <c r="F466" i="22"/>
  <c r="F467" i="22"/>
  <c r="F468" i="22"/>
  <c r="F469" i="22"/>
  <c r="F470" i="22"/>
  <c r="F471" i="22"/>
  <c r="F472" i="22"/>
  <c r="F473" i="22"/>
  <c r="F474" i="22"/>
  <c r="F475" i="22"/>
  <c r="F476" i="22"/>
  <c r="F477" i="22"/>
  <c r="F478" i="22"/>
  <c r="F479" i="22"/>
  <c r="F480" i="22"/>
  <c r="F481" i="22"/>
  <c r="F482" i="22"/>
  <c r="F483" i="22"/>
  <c r="F484" i="22"/>
  <c r="F485" i="22"/>
  <c r="F486" i="22"/>
  <c r="F487" i="22"/>
  <c r="F488" i="22"/>
  <c r="F489" i="22"/>
  <c r="F490" i="22"/>
  <c r="F491" i="22"/>
  <c r="F492" i="22"/>
  <c r="F493" i="22"/>
  <c r="F494" i="22"/>
  <c r="F495" i="22"/>
  <c r="F496" i="22"/>
  <c r="F497" i="22"/>
  <c r="F498" i="22"/>
  <c r="F499" i="22"/>
  <c r="F500" i="22"/>
  <c r="F501" i="22"/>
  <c r="F502" i="22"/>
  <c r="F503" i="22"/>
  <c r="F504" i="22"/>
  <c r="F505" i="22"/>
  <c r="F506" i="22"/>
  <c r="F507" i="22"/>
  <c r="F508" i="22"/>
  <c r="F509" i="22"/>
  <c r="F510" i="22"/>
  <c r="F511" i="22"/>
  <c r="F512" i="22"/>
  <c r="F513" i="22"/>
  <c r="F514" i="22"/>
  <c r="F515" i="22"/>
  <c r="F516" i="22"/>
  <c r="F517" i="22"/>
  <c r="F518" i="22"/>
  <c r="F519" i="22"/>
  <c r="F520" i="22"/>
  <c r="F521" i="22"/>
  <c r="F522" i="22"/>
  <c r="F523" i="22"/>
  <c r="F524" i="22"/>
  <c r="F525" i="22"/>
  <c r="F526" i="22"/>
  <c r="F527" i="22"/>
  <c r="F528" i="22"/>
  <c r="F529" i="22"/>
  <c r="F530" i="22"/>
  <c r="F531" i="22"/>
  <c r="F532" i="22"/>
  <c r="F533" i="22"/>
  <c r="F534" i="22"/>
  <c r="F535" i="22"/>
  <c r="F536" i="22"/>
  <c r="F537" i="22"/>
  <c r="F538" i="22"/>
  <c r="F539" i="22"/>
  <c r="F540" i="22"/>
  <c r="F541" i="22"/>
  <c r="F542" i="22"/>
  <c r="F543" i="22"/>
  <c r="F544" i="22"/>
  <c r="F545" i="22"/>
  <c r="F546" i="22"/>
  <c r="F547" i="22"/>
  <c r="F548" i="22"/>
  <c r="F549" i="22"/>
  <c r="F550" i="22"/>
  <c r="F551" i="22"/>
  <c r="F552" i="22"/>
  <c r="F553" i="22"/>
  <c r="F554" i="22"/>
  <c r="F555" i="22"/>
  <c r="F556" i="22"/>
  <c r="F557" i="22"/>
  <c r="F558" i="22"/>
  <c r="F559" i="22"/>
  <c r="F560" i="22"/>
  <c r="F561" i="22"/>
  <c r="F562" i="22"/>
  <c r="F563" i="22"/>
  <c r="F564" i="22"/>
  <c r="F565" i="22"/>
  <c r="F566" i="22"/>
  <c r="F567" i="22"/>
  <c r="F568" i="22"/>
  <c r="F569" i="22"/>
  <c r="F570" i="22"/>
  <c r="F571" i="22"/>
  <c r="F572" i="22"/>
  <c r="F573" i="22"/>
  <c r="F574" i="22"/>
  <c r="F575" i="22"/>
  <c r="F576" i="22"/>
  <c r="F577" i="22"/>
  <c r="F578" i="22"/>
  <c r="F579" i="22"/>
  <c r="F580" i="22"/>
  <c r="F581" i="22"/>
  <c r="F582" i="22"/>
  <c r="F583" i="22"/>
  <c r="F584" i="22"/>
  <c r="F585" i="22"/>
  <c r="F586" i="22"/>
  <c r="F587" i="22"/>
  <c r="F588" i="22"/>
  <c r="F589" i="22"/>
  <c r="F590" i="22"/>
  <c r="F591" i="22"/>
  <c r="F592" i="22"/>
  <c r="F593" i="22"/>
  <c r="F594" i="22"/>
  <c r="F595" i="22"/>
  <c r="F596" i="22"/>
  <c r="F597" i="22"/>
  <c r="F598" i="22"/>
  <c r="F599" i="22"/>
  <c r="F600" i="22"/>
  <c r="F601" i="22"/>
  <c r="F602" i="22"/>
  <c r="F603" i="22"/>
  <c r="F604" i="22"/>
  <c r="F605" i="22"/>
  <c r="F606" i="22"/>
  <c r="F607" i="22"/>
  <c r="F608" i="22"/>
  <c r="F609" i="22"/>
  <c r="F610" i="22"/>
  <c r="F611" i="22"/>
  <c r="F612" i="22"/>
  <c r="F613" i="22"/>
  <c r="F614" i="22"/>
  <c r="F615" i="22"/>
  <c r="F616" i="22"/>
  <c r="F617" i="22"/>
  <c r="F618" i="22"/>
  <c r="F619" i="22"/>
  <c r="F620" i="22"/>
  <c r="F621" i="22"/>
  <c r="F622" i="22"/>
  <c r="F623" i="22"/>
  <c r="F624" i="22"/>
  <c r="F625" i="22"/>
  <c r="F626" i="22"/>
  <c r="F627" i="22"/>
  <c r="F628" i="22"/>
  <c r="F629" i="22"/>
  <c r="F630" i="22"/>
  <c r="F631" i="22"/>
  <c r="F632" i="22"/>
  <c r="F633" i="22"/>
  <c r="F634" i="22"/>
  <c r="F635" i="22"/>
  <c r="F636" i="22"/>
  <c r="F637" i="22"/>
  <c r="F638" i="22"/>
  <c r="F639" i="22"/>
  <c r="F640" i="22"/>
  <c r="F641" i="22"/>
  <c r="F642" i="22"/>
  <c r="F643" i="22"/>
  <c r="F644" i="22"/>
  <c r="F645" i="22"/>
  <c r="F646" i="22"/>
  <c r="F647" i="22"/>
  <c r="F648" i="22"/>
  <c r="F649" i="22"/>
  <c r="F650" i="22"/>
  <c r="F651" i="22"/>
  <c r="F652" i="22"/>
  <c r="F653" i="22"/>
  <c r="F654" i="22"/>
  <c r="F655" i="22"/>
  <c r="F656" i="22"/>
  <c r="F657" i="22"/>
  <c r="F658" i="22"/>
  <c r="F659" i="22"/>
  <c r="F660" i="22"/>
  <c r="F661" i="22"/>
  <c r="F662" i="22"/>
  <c r="F663" i="22"/>
  <c r="F664" i="22"/>
  <c r="F665" i="22"/>
  <c r="F666" i="22"/>
  <c r="F667" i="22"/>
  <c r="F668" i="22"/>
  <c r="F669" i="22"/>
  <c r="F670" i="22"/>
  <c r="F671" i="22"/>
  <c r="F672" i="22"/>
  <c r="F673" i="22"/>
  <c r="F674" i="22"/>
  <c r="F675" i="22"/>
  <c r="F676" i="22"/>
  <c r="F677" i="22"/>
  <c r="F678" i="22"/>
  <c r="F679" i="22"/>
  <c r="F680" i="22"/>
  <c r="F681" i="22"/>
  <c r="F682" i="22"/>
  <c r="F683" i="22"/>
  <c r="F684" i="22"/>
  <c r="F685" i="22"/>
  <c r="F686" i="22"/>
  <c r="F687" i="22"/>
  <c r="F688" i="22"/>
  <c r="F689" i="22"/>
  <c r="F690" i="22"/>
  <c r="F691" i="22"/>
  <c r="F692" i="22"/>
  <c r="F693" i="22"/>
  <c r="F694" i="22"/>
  <c r="F695" i="22"/>
  <c r="F696" i="22"/>
  <c r="F697" i="22"/>
  <c r="F698" i="22"/>
  <c r="F699" i="22"/>
  <c r="F700" i="22"/>
  <c r="F701" i="22"/>
  <c r="F702" i="22"/>
  <c r="F703" i="22"/>
  <c r="F704" i="22"/>
  <c r="F705" i="22"/>
  <c r="F706" i="22"/>
  <c r="F707" i="22"/>
  <c r="F708" i="22"/>
  <c r="F709" i="22"/>
  <c r="F710" i="22"/>
  <c r="F711" i="22"/>
  <c r="F712" i="22"/>
  <c r="F713" i="22"/>
  <c r="F714" i="22"/>
  <c r="F715" i="22"/>
  <c r="F716" i="22"/>
  <c r="F717" i="22"/>
  <c r="F718" i="22"/>
  <c r="F719" i="22"/>
  <c r="F720" i="22"/>
  <c r="F721" i="22"/>
  <c r="F722" i="22"/>
  <c r="F723" i="22"/>
  <c r="F724" i="22"/>
  <c r="F725" i="22"/>
  <c r="F726" i="22"/>
  <c r="F727" i="22"/>
  <c r="F728" i="22"/>
  <c r="F729" i="22"/>
  <c r="F730" i="22"/>
  <c r="F731" i="22"/>
  <c r="F732" i="22"/>
  <c r="F733" i="22"/>
  <c r="F734" i="22"/>
  <c r="F735" i="22"/>
  <c r="F736" i="22"/>
  <c r="F737" i="22"/>
  <c r="F738" i="22"/>
  <c r="F739" i="22"/>
  <c r="F740" i="22"/>
  <c r="F741" i="22"/>
  <c r="F742" i="22"/>
  <c r="F743" i="22"/>
  <c r="F744" i="22"/>
  <c r="F745" i="22"/>
  <c r="F746" i="22"/>
  <c r="F747" i="22"/>
  <c r="F748" i="22"/>
  <c r="F749" i="22"/>
  <c r="F750" i="22"/>
  <c r="F751" i="22"/>
  <c r="F752" i="22"/>
  <c r="F753" i="22"/>
  <c r="F754" i="22"/>
  <c r="F755" i="22"/>
  <c r="F756" i="22"/>
  <c r="F757" i="22"/>
  <c r="F758" i="22"/>
  <c r="F759" i="22"/>
  <c r="F760" i="22"/>
  <c r="F761" i="22"/>
  <c r="F762" i="22"/>
  <c r="F763" i="22"/>
  <c r="F764" i="22"/>
  <c r="F765" i="22"/>
  <c r="F766" i="22"/>
  <c r="F767" i="22"/>
  <c r="F768" i="22"/>
  <c r="F769" i="22"/>
  <c r="F770" i="22"/>
  <c r="F771" i="22"/>
  <c r="F772" i="22"/>
  <c r="F773" i="22"/>
  <c r="F774" i="22"/>
  <c r="F775" i="22"/>
  <c r="F776" i="22"/>
  <c r="F777" i="22"/>
  <c r="F778" i="22"/>
  <c r="F779" i="22"/>
  <c r="F780" i="22"/>
  <c r="F781" i="22"/>
  <c r="F782" i="22"/>
  <c r="F783" i="22"/>
  <c r="F784" i="22"/>
  <c r="F785" i="22"/>
  <c r="F786" i="22"/>
  <c r="F787" i="22"/>
  <c r="F788" i="22"/>
  <c r="F789" i="22"/>
  <c r="F790" i="22"/>
  <c r="F791" i="22"/>
  <c r="F792" i="22"/>
  <c r="F793" i="22"/>
  <c r="F794" i="22"/>
  <c r="F795" i="22"/>
  <c r="F796" i="22"/>
  <c r="F797" i="22"/>
  <c r="F798" i="22"/>
  <c r="F799" i="22"/>
  <c r="F800" i="22"/>
  <c r="F801" i="22"/>
  <c r="F802" i="22"/>
  <c r="F803" i="22"/>
  <c r="F804" i="22"/>
  <c r="F805" i="22"/>
  <c r="F806" i="22"/>
  <c r="F807" i="22"/>
  <c r="F808" i="22"/>
  <c r="F809" i="22"/>
  <c r="F810" i="22"/>
  <c r="F811" i="22"/>
  <c r="F812" i="22"/>
  <c r="F813" i="22"/>
  <c r="F814" i="22"/>
  <c r="F815" i="22"/>
  <c r="F816" i="22"/>
  <c r="F817" i="22"/>
  <c r="F818" i="22"/>
  <c r="F819" i="22"/>
  <c r="F820" i="22"/>
  <c r="F821" i="22"/>
  <c r="F822" i="22"/>
  <c r="F823" i="22"/>
  <c r="F824" i="22"/>
  <c r="F825" i="22"/>
  <c r="F826" i="22"/>
  <c r="F827" i="22"/>
  <c r="F828" i="22"/>
  <c r="F829" i="22"/>
  <c r="F830" i="22"/>
  <c r="F831" i="22"/>
  <c r="F832" i="22"/>
  <c r="F833" i="22"/>
  <c r="F834" i="22"/>
  <c r="F835" i="22"/>
  <c r="F836" i="22"/>
  <c r="F837" i="22"/>
  <c r="F838" i="22"/>
  <c r="F839" i="22"/>
  <c r="F840" i="22"/>
  <c r="F841" i="22"/>
  <c r="F842" i="22"/>
  <c r="F843" i="22"/>
  <c r="F844" i="22"/>
  <c r="F845" i="22"/>
  <c r="F846" i="22"/>
  <c r="F847" i="22"/>
  <c r="F848" i="22"/>
  <c r="F849" i="22"/>
  <c r="F850" i="22"/>
  <c r="F851" i="22"/>
  <c r="F852" i="22"/>
  <c r="F853" i="22"/>
  <c r="F854" i="22"/>
  <c r="F855" i="22"/>
  <c r="F856" i="22"/>
  <c r="F857" i="22"/>
  <c r="F858" i="22"/>
  <c r="F859" i="22"/>
  <c r="F860" i="22"/>
  <c r="F861" i="22"/>
  <c r="F862" i="22"/>
  <c r="F863" i="22"/>
  <c r="F864" i="22"/>
  <c r="F865" i="22"/>
  <c r="F866" i="22"/>
  <c r="F867" i="22"/>
  <c r="F868" i="22"/>
  <c r="F869" i="22"/>
  <c r="F870" i="22"/>
  <c r="F871" i="22"/>
  <c r="F872" i="22"/>
  <c r="F873" i="22"/>
  <c r="F874" i="22"/>
  <c r="F875" i="22"/>
  <c r="F876" i="22"/>
  <c r="F877" i="22"/>
  <c r="F878" i="22"/>
  <c r="F879" i="22"/>
  <c r="F880" i="22"/>
  <c r="F881" i="22"/>
  <c r="F882" i="22"/>
  <c r="F883" i="22"/>
  <c r="F884" i="22"/>
  <c r="F885" i="22"/>
  <c r="F886" i="22"/>
  <c r="F887" i="22"/>
  <c r="F888" i="22"/>
  <c r="F889" i="22"/>
  <c r="F890" i="22"/>
  <c r="F891" i="22"/>
  <c r="F892" i="22"/>
  <c r="F893" i="22"/>
  <c r="F894" i="22"/>
  <c r="F895" i="22"/>
  <c r="F896" i="22"/>
  <c r="F897" i="22"/>
  <c r="F898" i="22"/>
  <c r="F899" i="22"/>
  <c r="F900" i="22"/>
  <c r="F901" i="22"/>
  <c r="F902" i="22"/>
  <c r="F903" i="22"/>
  <c r="F904" i="22"/>
  <c r="F905" i="22"/>
  <c r="F906" i="22"/>
  <c r="F907" i="22"/>
  <c r="F908" i="22"/>
  <c r="F909" i="22"/>
  <c r="F910" i="22"/>
  <c r="F911" i="22"/>
  <c r="F912" i="22"/>
  <c r="F913" i="22"/>
  <c r="F914" i="22"/>
  <c r="F915" i="22"/>
  <c r="F916" i="22"/>
  <c r="F917" i="22"/>
  <c r="F918" i="22"/>
  <c r="F919" i="22"/>
  <c r="F920" i="22"/>
  <c r="F921" i="22"/>
  <c r="F922" i="22"/>
  <c r="F923" i="22"/>
  <c r="F924" i="22"/>
  <c r="F925" i="22"/>
  <c r="F926" i="22"/>
  <c r="F927" i="22"/>
  <c r="F928" i="22"/>
  <c r="F929" i="22"/>
  <c r="F930" i="22"/>
  <c r="F931" i="22"/>
  <c r="F932" i="22"/>
  <c r="F933" i="22"/>
  <c r="F934" i="22"/>
  <c r="F935" i="22"/>
  <c r="F936" i="22"/>
  <c r="F937" i="22"/>
  <c r="F938" i="22"/>
  <c r="F939" i="22"/>
  <c r="F940" i="22"/>
  <c r="F941" i="22"/>
  <c r="F942" i="22"/>
  <c r="F943" i="22"/>
  <c r="F944" i="22"/>
  <c r="F945" i="22"/>
  <c r="F946" i="22"/>
  <c r="F947" i="22"/>
  <c r="F948" i="22"/>
  <c r="F949" i="22"/>
  <c r="F950" i="22"/>
  <c r="F951" i="22"/>
  <c r="F952" i="22"/>
  <c r="F953" i="22"/>
  <c r="F954" i="22"/>
  <c r="F955" i="22"/>
  <c r="F956" i="22"/>
  <c r="F957" i="22"/>
  <c r="F958" i="22"/>
  <c r="F959" i="22"/>
  <c r="F960" i="22"/>
  <c r="F961" i="22"/>
  <c r="F962" i="22"/>
  <c r="F963" i="22"/>
  <c r="F964" i="22"/>
  <c r="F965" i="22"/>
  <c r="F966" i="22"/>
  <c r="F967" i="22"/>
  <c r="F968" i="22"/>
  <c r="F969" i="22"/>
  <c r="F970" i="22"/>
  <c r="F971" i="22"/>
  <c r="F972" i="22"/>
  <c r="F973" i="22"/>
  <c r="F974" i="22"/>
  <c r="F975" i="22"/>
  <c r="F976" i="22"/>
  <c r="F977" i="22"/>
  <c r="F978" i="22"/>
  <c r="F979" i="22"/>
  <c r="F980" i="22"/>
  <c r="F981" i="22"/>
  <c r="F982" i="22"/>
  <c r="F983" i="22"/>
  <c r="F984" i="22"/>
  <c r="F985" i="22"/>
  <c r="F986" i="22"/>
  <c r="F987" i="22"/>
  <c r="F988" i="22"/>
  <c r="F989" i="22"/>
  <c r="F990" i="22"/>
  <c r="F991" i="22"/>
  <c r="F992" i="22"/>
  <c r="F993" i="22"/>
  <c r="F994" i="22"/>
  <c r="F995" i="22"/>
  <c r="F996" i="22"/>
  <c r="F997" i="22"/>
  <c r="F998" i="22"/>
  <c r="F999" i="22"/>
  <c r="F1000" i="22"/>
  <c r="F1001" i="22"/>
  <c r="S3" i="22"/>
  <c r="S4" i="22"/>
  <c r="S5" i="22"/>
  <c r="S6" i="22"/>
  <c r="S7" i="22"/>
  <c r="S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S35" i="22"/>
  <c r="S36" i="22"/>
  <c r="S37" i="22"/>
  <c r="S38" i="22"/>
  <c r="S39" i="22"/>
  <c r="S40" i="22"/>
  <c r="S41" i="22"/>
  <c r="S42" i="22"/>
  <c r="S43" i="22"/>
  <c r="S44" i="22"/>
  <c r="S45" i="22"/>
  <c r="S46" i="22"/>
  <c r="S47" i="22"/>
  <c r="S48" i="22"/>
  <c r="S49" i="22"/>
  <c r="S50" i="22"/>
  <c r="S51" i="22"/>
  <c r="S52" i="22"/>
  <c r="S53" i="22"/>
  <c r="S54" i="22"/>
  <c r="S55" i="22"/>
  <c r="S56" i="22"/>
  <c r="S57" i="22"/>
  <c r="S58" i="22"/>
  <c r="S59" i="22"/>
  <c r="S60" i="22"/>
  <c r="S61" i="22"/>
  <c r="S62" i="22"/>
  <c r="S63" i="22"/>
  <c r="S64" i="22"/>
  <c r="S65" i="22"/>
  <c r="S66" i="22"/>
  <c r="S67" i="22"/>
  <c r="S68" i="22"/>
  <c r="S69" i="22"/>
  <c r="S70" i="22"/>
  <c r="S71" i="22"/>
  <c r="S72" i="22"/>
  <c r="S73" i="22"/>
  <c r="S74" i="22"/>
  <c r="S75" i="22"/>
  <c r="S76" i="22"/>
  <c r="S77" i="22"/>
  <c r="S78" i="22"/>
  <c r="S79" i="22"/>
  <c r="S80" i="22"/>
  <c r="S81" i="22"/>
  <c r="S82" i="22"/>
  <c r="S83" i="22"/>
  <c r="S84" i="22"/>
  <c r="S85" i="22"/>
  <c r="S86" i="22"/>
  <c r="S87" i="22"/>
  <c r="S88" i="22"/>
  <c r="S89" i="22"/>
  <c r="S90" i="22"/>
  <c r="S91" i="22"/>
  <c r="S92" i="22"/>
  <c r="S93" i="22"/>
  <c r="S94" i="22"/>
  <c r="S95" i="22"/>
  <c r="S96" i="22"/>
  <c r="S97" i="22"/>
  <c r="S98" i="22"/>
  <c r="S99" i="22"/>
  <c r="S100" i="22"/>
  <c r="S101" i="22"/>
  <c r="S102" i="22"/>
  <c r="S103" i="22"/>
  <c r="S104" i="22"/>
  <c r="S105" i="22"/>
  <c r="S106" i="22"/>
  <c r="S107" i="22"/>
  <c r="S108" i="22"/>
  <c r="S109" i="22"/>
  <c r="S110" i="22"/>
  <c r="S111" i="22"/>
  <c r="S112" i="22"/>
  <c r="S113" i="22"/>
  <c r="S114" i="22"/>
  <c r="S115" i="22"/>
  <c r="S116" i="22"/>
  <c r="S117" i="22"/>
  <c r="S118" i="22"/>
  <c r="S119" i="22"/>
  <c r="S120" i="22"/>
  <c r="S121" i="22"/>
  <c r="S122" i="22"/>
  <c r="S123" i="22"/>
  <c r="S124" i="22"/>
  <c r="S125" i="22"/>
  <c r="S126" i="22"/>
  <c r="S127" i="22"/>
  <c r="S128" i="22"/>
  <c r="S129" i="22"/>
  <c r="S130" i="22"/>
  <c r="S131" i="22"/>
  <c r="S132" i="22"/>
  <c r="S133" i="22"/>
  <c r="S134" i="22"/>
  <c r="S135" i="22"/>
  <c r="S136" i="22"/>
  <c r="S137" i="22"/>
  <c r="S138" i="22"/>
  <c r="S139" i="22"/>
  <c r="S140" i="22"/>
  <c r="S141" i="22"/>
  <c r="S142" i="22"/>
  <c r="S143" i="22"/>
  <c r="S144" i="22"/>
  <c r="S145" i="22"/>
  <c r="S146" i="22"/>
  <c r="S147" i="22"/>
  <c r="S148" i="22"/>
  <c r="S149" i="22"/>
  <c r="S150" i="22"/>
  <c r="S151" i="22"/>
  <c r="S152" i="22"/>
  <c r="S153" i="22"/>
  <c r="S154" i="22"/>
  <c r="S155" i="22"/>
  <c r="S156" i="22"/>
  <c r="S157" i="22"/>
  <c r="S158" i="22"/>
  <c r="S159" i="22"/>
  <c r="S160" i="22"/>
  <c r="S161" i="22"/>
  <c r="S162" i="22"/>
  <c r="S163" i="22"/>
  <c r="S164" i="22"/>
  <c r="S165" i="22"/>
  <c r="S166" i="22"/>
  <c r="S167" i="22"/>
  <c r="S168" i="22"/>
  <c r="S169" i="22"/>
  <c r="S170" i="22"/>
  <c r="S171" i="22"/>
  <c r="S172" i="22"/>
  <c r="S173" i="22"/>
  <c r="S174" i="22"/>
  <c r="S175" i="22"/>
  <c r="S176" i="22"/>
  <c r="S177" i="22"/>
  <c r="S178" i="22"/>
  <c r="S179" i="22"/>
  <c r="S180" i="22"/>
  <c r="S181" i="22"/>
  <c r="S182" i="22"/>
  <c r="S183" i="22"/>
  <c r="S184" i="22"/>
  <c r="S185" i="22"/>
  <c r="S186" i="22"/>
  <c r="S187" i="22"/>
  <c r="S188" i="22"/>
  <c r="S189" i="22"/>
  <c r="S190" i="22"/>
  <c r="S191" i="22"/>
  <c r="S192" i="22"/>
  <c r="S193" i="22"/>
  <c r="S194" i="22"/>
  <c r="S195" i="22"/>
  <c r="S196" i="22"/>
  <c r="S197" i="22"/>
  <c r="S198" i="22"/>
  <c r="S199" i="22"/>
  <c r="S200" i="22"/>
  <c r="S201" i="22"/>
  <c r="S202" i="22"/>
  <c r="S203" i="22"/>
  <c r="S204" i="22"/>
  <c r="S205" i="22"/>
  <c r="S206" i="22"/>
  <c r="S207" i="22"/>
  <c r="S208" i="22"/>
  <c r="S209" i="22"/>
  <c r="S210" i="22"/>
  <c r="S211" i="22"/>
  <c r="S212" i="22"/>
  <c r="S213" i="22"/>
  <c r="S214" i="22"/>
  <c r="S215" i="22"/>
  <c r="S216" i="22"/>
  <c r="S217" i="22"/>
  <c r="S218" i="22"/>
  <c r="S219" i="22"/>
  <c r="S220" i="22"/>
  <c r="S221" i="22"/>
  <c r="S222" i="22"/>
  <c r="S223" i="22"/>
  <c r="S224" i="22"/>
  <c r="S225" i="22"/>
  <c r="S226" i="22"/>
  <c r="S227" i="22"/>
  <c r="S228" i="22"/>
  <c r="S229" i="22"/>
  <c r="S230" i="22"/>
  <c r="S231" i="22"/>
  <c r="S232" i="22"/>
  <c r="S233" i="22"/>
  <c r="S234" i="22"/>
  <c r="S235" i="22"/>
  <c r="S236" i="22"/>
  <c r="S237" i="22"/>
  <c r="S238" i="22"/>
  <c r="S239" i="22"/>
  <c r="S240" i="22"/>
  <c r="S241" i="22"/>
  <c r="S242" i="22"/>
  <c r="S243" i="22"/>
  <c r="S244" i="22"/>
  <c r="S245" i="22"/>
  <c r="S246" i="22"/>
  <c r="S247" i="22"/>
  <c r="S248" i="22"/>
  <c r="S249" i="22"/>
  <c r="S250" i="22"/>
  <c r="S251" i="22"/>
  <c r="S252" i="22"/>
  <c r="S253" i="22"/>
  <c r="S254" i="22"/>
  <c r="S255" i="22"/>
  <c r="S256" i="22"/>
  <c r="S257" i="22"/>
  <c r="S258" i="22"/>
  <c r="S259" i="22"/>
  <c r="S260" i="22"/>
  <c r="S261" i="22"/>
  <c r="S262" i="22"/>
  <c r="S263" i="22"/>
  <c r="S264" i="22"/>
  <c r="S265" i="22"/>
  <c r="S266" i="22"/>
  <c r="S267" i="22"/>
  <c r="S268" i="22"/>
  <c r="S269" i="22"/>
  <c r="S270" i="22"/>
  <c r="S271" i="22"/>
  <c r="S272" i="22"/>
  <c r="S273" i="22"/>
  <c r="S274" i="22"/>
  <c r="S275" i="22"/>
  <c r="S276" i="22"/>
  <c r="S277" i="22"/>
  <c r="S278" i="22"/>
  <c r="S279" i="22"/>
  <c r="S280" i="22"/>
  <c r="S281" i="22"/>
  <c r="S282" i="22"/>
  <c r="S283" i="22"/>
  <c r="S284" i="22"/>
  <c r="S285" i="22"/>
  <c r="S286" i="22"/>
  <c r="S287" i="22"/>
  <c r="S288" i="22"/>
  <c r="S289" i="22"/>
  <c r="S290" i="22"/>
  <c r="S291" i="22"/>
  <c r="S292" i="22"/>
  <c r="S293" i="22"/>
  <c r="S294" i="22"/>
  <c r="S295" i="22"/>
  <c r="S296" i="22"/>
  <c r="S297" i="22"/>
  <c r="S298" i="22"/>
  <c r="S299" i="22"/>
  <c r="S300" i="22"/>
  <c r="S301" i="22"/>
  <c r="S302" i="22"/>
  <c r="S303" i="22"/>
  <c r="S304" i="22"/>
  <c r="S305" i="22"/>
  <c r="S306" i="22"/>
  <c r="S307" i="22"/>
  <c r="S308" i="22"/>
  <c r="S309" i="22"/>
  <c r="S310" i="22"/>
  <c r="S311" i="22"/>
  <c r="S312" i="22"/>
  <c r="S313" i="22"/>
  <c r="S314" i="22"/>
  <c r="S315" i="22"/>
  <c r="S316" i="22"/>
  <c r="S317" i="22"/>
  <c r="S318" i="22"/>
  <c r="S319" i="22"/>
  <c r="S320" i="22"/>
  <c r="S321" i="22"/>
  <c r="S322" i="22"/>
  <c r="S323" i="22"/>
  <c r="S324" i="22"/>
  <c r="S325" i="22"/>
  <c r="S326" i="22"/>
  <c r="S327" i="22"/>
  <c r="S328" i="22"/>
  <c r="S329" i="22"/>
  <c r="S330" i="22"/>
  <c r="S331" i="22"/>
  <c r="S332" i="22"/>
  <c r="S333" i="22"/>
  <c r="S334" i="22"/>
  <c r="S335" i="22"/>
  <c r="S336" i="22"/>
  <c r="S337" i="22"/>
  <c r="S338" i="22"/>
  <c r="S339" i="22"/>
  <c r="S340" i="22"/>
  <c r="S341" i="22"/>
  <c r="S342" i="22"/>
  <c r="S343" i="22"/>
  <c r="S344" i="22"/>
  <c r="S345" i="22"/>
  <c r="S346" i="22"/>
  <c r="S347" i="22"/>
  <c r="S348" i="22"/>
  <c r="S349" i="22"/>
  <c r="S350" i="22"/>
  <c r="S351" i="22"/>
  <c r="S352" i="22"/>
  <c r="S353" i="22"/>
  <c r="S354" i="22"/>
  <c r="S355" i="22"/>
  <c r="S356" i="22"/>
  <c r="S357" i="22"/>
  <c r="S358" i="22"/>
  <c r="S359" i="22"/>
  <c r="S360" i="22"/>
  <c r="S361" i="22"/>
  <c r="S362" i="22"/>
  <c r="S363" i="22"/>
  <c r="S364" i="22"/>
  <c r="S365" i="22"/>
  <c r="S366" i="22"/>
  <c r="S367" i="22"/>
  <c r="S368" i="22"/>
  <c r="S369" i="22"/>
  <c r="S370" i="22"/>
  <c r="S371" i="22"/>
  <c r="S372" i="22"/>
  <c r="S373" i="22"/>
  <c r="S374" i="22"/>
  <c r="S375" i="22"/>
  <c r="S376" i="22"/>
  <c r="S377" i="22"/>
  <c r="S378" i="22"/>
  <c r="S379" i="22"/>
  <c r="S380" i="22"/>
  <c r="S381" i="22"/>
  <c r="S382" i="22"/>
  <c r="S383" i="22"/>
  <c r="S384" i="22"/>
  <c r="S385" i="22"/>
  <c r="S386" i="22"/>
  <c r="S387" i="22"/>
  <c r="S388" i="22"/>
  <c r="S389" i="22"/>
  <c r="S390" i="22"/>
  <c r="S391" i="22"/>
  <c r="S392" i="22"/>
  <c r="S393" i="22"/>
  <c r="S394" i="22"/>
  <c r="S395" i="22"/>
  <c r="S396" i="22"/>
  <c r="S397" i="22"/>
  <c r="S398" i="22"/>
  <c r="S399" i="22"/>
  <c r="S400" i="22"/>
  <c r="S401" i="22"/>
  <c r="S402" i="22"/>
  <c r="S403" i="22"/>
  <c r="S404" i="22"/>
  <c r="S405" i="22"/>
  <c r="S406" i="22"/>
  <c r="S407" i="22"/>
  <c r="S408" i="22"/>
  <c r="S409" i="22"/>
  <c r="S410" i="22"/>
  <c r="S411" i="22"/>
  <c r="S412" i="22"/>
  <c r="S413" i="22"/>
  <c r="S414" i="22"/>
  <c r="S415" i="22"/>
  <c r="S416" i="22"/>
  <c r="S417" i="22"/>
  <c r="S418" i="22"/>
  <c r="S419" i="22"/>
  <c r="S420" i="22"/>
  <c r="S421" i="22"/>
  <c r="S422" i="22"/>
  <c r="S423" i="22"/>
  <c r="S424" i="22"/>
  <c r="S425" i="22"/>
  <c r="S426" i="22"/>
  <c r="S427" i="22"/>
  <c r="S428" i="22"/>
  <c r="S429" i="22"/>
  <c r="S430" i="22"/>
  <c r="S431" i="22"/>
  <c r="S432" i="22"/>
  <c r="S433" i="22"/>
  <c r="S434" i="22"/>
  <c r="S435" i="22"/>
  <c r="S436" i="22"/>
  <c r="S437" i="22"/>
  <c r="S438" i="22"/>
  <c r="S439" i="22"/>
  <c r="S440" i="22"/>
  <c r="S441" i="22"/>
  <c r="S442" i="22"/>
  <c r="S443" i="22"/>
  <c r="S444" i="22"/>
  <c r="S445" i="22"/>
  <c r="S446" i="22"/>
  <c r="S447" i="22"/>
  <c r="S448" i="22"/>
  <c r="S449" i="22"/>
  <c r="S450" i="22"/>
  <c r="S451" i="22"/>
  <c r="S452" i="22"/>
  <c r="S453" i="22"/>
  <c r="S454" i="22"/>
  <c r="S455" i="22"/>
  <c r="S456" i="22"/>
  <c r="S457" i="22"/>
  <c r="S458" i="22"/>
  <c r="S459" i="22"/>
  <c r="S460" i="22"/>
  <c r="S461" i="22"/>
  <c r="S462" i="22"/>
  <c r="S463" i="22"/>
  <c r="S464" i="22"/>
  <c r="S465" i="22"/>
  <c r="S466" i="22"/>
  <c r="S467" i="22"/>
  <c r="S468" i="22"/>
  <c r="S469" i="22"/>
  <c r="S470" i="22"/>
  <c r="S471" i="22"/>
  <c r="S472" i="22"/>
  <c r="S473" i="22"/>
  <c r="S474" i="22"/>
  <c r="S475" i="22"/>
  <c r="S476" i="22"/>
  <c r="S477" i="22"/>
  <c r="S478" i="22"/>
  <c r="S479" i="22"/>
  <c r="S480" i="22"/>
  <c r="S481" i="22"/>
  <c r="S482" i="22"/>
  <c r="S483" i="22"/>
  <c r="S484" i="22"/>
  <c r="S485" i="22"/>
  <c r="S486" i="22"/>
  <c r="S487" i="22"/>
  <c r="S488" i="22"/>
  <c r="S489" i="22"/>
  <c r="S490" i="22"/>
  <c r="S491" i="22"/>
  <c r="S492" i="22"/>
  <c r="S493" i="22"/>
  <c r="S494" i="22"/>
  <c r="S495" i="22"/>
  <c r="S496" i="22"/>
  <c r="S497" i="22"/>
  <c r="S498" i="22"/>
  <c r="S499" i="22"/>
  <c r="S500" i="22"/>
  <c r="S501" i="22"/>
  <c r="S502" i="22"/>
  <c r="S503" i="22"/>
  <c r="S504" i="22"/>
  <c r="S505" i="22"/>
  <c r="S506" i="22"/>
  <c r="S507" i="22"/>
  <c r="S508" i="22"/>
  <c r="S509" i="22"/>
  <c r="S510" i="22"/>
  <c r="S511" i="22"/>
  <c r="S512" i="22"/>
  <c r="S513" i="22"/>
  <c r="S514" i="22"/>
  <c r="S515" i="22"/>
  <c r="S516" i="22"/>
  <c r="S517" i="22"/>
  <c r="S518" i="22"/>
  <c r="S519" i="22"/>
  <c r="S520" i="22"/>
  <c r="S521" i="22"/>
  <c r="S522" i="22"/>
  <c r="S523" i="22"/>
  <c r="S524" i="22"/>
  <c r="S525" i="22"/>
  <c r="S526" i="22"/>
  <c r="S527" i="22"/>
  <c r="S528" i="22"/>
  <c r="S529" i="22"/>
  <c r="S530" i="22"/>
  <c r="S531" i="22"/>
  <c r="S532" i="22"/>
  <c r="S533" i="22"/>
  <c r="S534" i="22"/>
  <c r="S535" i="22"/>
  <c r="S536" i="22"/>
  <c r="S537" i="22"/>
  <c r="S538" i="22"/>
  <c r="S539" i="22"/>
  <c r="S540" i="22"/>
  <c r="S541" i="22"/>
  <c r="S542" i="22"/>
  <c r="S543" i="22"/>
  <c r="S544" i="22"/>
  <c r="S545" i="22"/>
  <c r="S546" i="22"/>
  <c r="S547" i="22"/>
  <c r="S548" i="22"/>
  <c r="S549" i="22"/>
  <c r="S550" i="22"/>
  <c r="S551" i="22"/>
  <c r="S552" i="22"/>
  <c r="S553" i="22"/>
  <c r="S554" i="22"/>
  <c r="S555" i="22"/>
  <c r="S556" i="22"/>
  <c r="S557" i="22"/>
  <c r="S558" i="22"/>
  <c r="S559" i="22"/>
  <c r="S560" i="22"/>
  <c r="S561" i="22"/>
  <c r="S562" i="22"/>
  <c r="S563" i="22"/>
  <c r="S564" i="22"/>
  <c r="S565" i="22"/>
  <c r="S566" i="22"/>
  <c r="S567" i="22"/>
  <c r="S568" i="22"/>
  <c r="S569" i="22"/>
  <c r="S570" i="22"/>
  <c r="S571" i="22"/>
  <c r="S572" i="22"/>
  <c r="S573" i="22"/>
  <c r="S574" i="22"/>
  <c r="S575" i="22"/>
  <c r="S576" i="22"/>
  <c r="S577" i="22"/>
  <c r="S578" i="22"/>
  <c r="S579" i="22"/>
  <c r="S580" i="22"/>
  <c r="S581" i="22"/>
  <c r="S582" i="22"/>
  <c r="S583" i="22"/>
  <c r="S584" i="22"/>
  <c r="S585" i="22"/>
  <c r="S586" i="22"/>
  <c r="S587" i="22"/>
  <c r="S588" i="22"/>
  <c r="S589" i="22"/>
  <c r="S590" i="22"/>
  <c r="S591" i="22"/>
  <c r="S592" i="22"/>
  <c r="S593" i="22"/>
  <c r="S594" i="22"/>
  <c r="S595" i="22"/>
  <c r="S596" i="22"/>
  <c r="S597" i="22"/>
  <c r="S598" i="22"/>
  <c r="S599" i="22"/>
  <c r="S600" i="22"/>
  <c r="S601" i="22"/>
  <c r="S602" i="22"/>
  <c r="S603" i="22"/>
  <c r="S604" i="22"/>
  <c r="S605" i="22"/>
  <c r="S606" i="22"/>
  <c r="S607" i="22"/>
  <c r="S608" i="22"/>
  <c r="S609" i="22"/>
  <c r="S610" i="22"/>
  <c r="S611" i="22"/>
  <c r="S612" i="22"/>
  <c r="S613" i="22"/>
  <c r="S614" i="22"/>
  <c r="S615" i="22"/>
  <c r="S616" i="22"/>
  <c r="S617" i="22"/>
  <c r="S618" i="22"/>
  <c r="S619" i="22"/>
  <c r="S620" i="22"/>
  <c r="S621" i="22"/>
  <c r="S622" i="22"/>
  <c r="S623" i="22"/>
  <c r="S624" i="22"/>
  <c r="S625" i="22"/>
  <c r="S626" i="22"/>
  <c r="S627" i="22"/>
  <c r="S628" i="22"/>
  <c r="S629" i="22"/>
  <c r="S630" i="22"/>
  <c r="S631" i="22"/>
  <c r="S632" i="22"/>
  <c r="S633" i="22"/>
  <c r="S634" i="22"/>
  <c r="S635" i="22"/>
  <c r="S636" i="22"/>
  <c r="S637" i="22"/>
  <c r="S638" i="22"/>
  <c r="S639" i="22"/>
  <c r="S640" i="22"/>
  <c r="S641" i="22"/>
  <c r="S642" i="22"/>
  <c r="S643" i="22"/>
  <c r="S644" i="22"/>
  <c r="S645" i="22"/>
  <c r="S646" i="22"/>
  <c r="S647" i="22"/>
  <c r="S648" i="22"/>
  <c r="S649" i="22"/>
  <c r="S650" i="22"/>
  <c r="S651" i="22"/>
  <c r="S652" i="22"/>
  <c r="S653" i="22"/>
  <c r="S654" i="22"/>
  <c r="S655" i="22"/>
  <c r="S656" i="22"/>
  <c r="S657" i="22"/>
  <c r="S658" i="22"/>
  <c r="S659" i="22"/>
  <c r="S660" i="22"/>
  <c r="S661" i="22"/>
  <c r="S662" i="22"/>
  <c r="S663" i="22"/>
  <c r="S664" i="22"/>
  <c r="S665" i="22"/>
  <c r="S666" i="22"/>
  <c r="S667" i="22"/>
  <c r="S668" i="22"/>
  <c r="S669" i="22"/>
  <c r="S670" i="22"/>
  <c r="S671" i="22"/>
  <c r="S672" i="22"/>
  <c r="S673" i="22"/>
  <c r="S674" i="22"/>
  <c r="S675" i="22"/>
  <c r="S676" i="22"/>
  <c r="S677" i="22"/>
  <c r="S678" i="22"/>
  <c r="S679" i="22"/>
  <c r="S680" i="22"/>
  <c r="S681" i="22"/>
  <c r="S682" i="22"/>
  <c r="S683" i="22"/>
  <c r="S684" i="22"/>
  <c r="S685" i="22"/>
  <c r="S686" i="22"/>
  <c r="S687" i="22"/>
  <c r="S688" i="22"/>
  <c r="S689" i="22"/>
  <c r="S690" i="22"/>
  <c r="S691" i="22"/>
  <c r="S692" i="22"/>
  <c r="S693" i="22"/>
  <c r="S694" i="22"/>
  <c r="S695" i="22"/>
  <c r="S696" i="22"/>
  <c r="S697" i="22"/>
  <c r="S698" i="22"/>
  <c r="S699" i="22"/>
  <c r="S700" i="22"/>
  <c r="S701" i="22"/>
  <c r="S702" i="22"/>
  <c r="S703" i="22"/>
  <c r="S704" i="22"/>
  <c r="S705" i="22"/>
  <c r="S706" i="22"/>
  <c r="S707" i="22"/>
  <c r="S708" i="22"/>
  <c r="S709" i="22"/>
  <c r="S710" i="22"/>
  <c r="S711" i="22"/>
  <c r="S712" i="22"/>
  <c r="S713" i="22"/>
  <c r="S714" i="22"/>
  <c r="S715" i="22"/>
  <c r="S716" i="22"/>
  <c r="S717" i="22"/>
  <c r="S718" i="22"/>
  <c r="S719" i="22"/>
  <c r="S720" i="22"/>
  <c r="S721" i="22"/>
  <c r="S722" i="22"/>
  <c r="S723" i="22"/>
  <c r="S724" i="22"/>
  <c r="S725" i="22"/>
  <c r="S726" i="22"/>
  <c r="S727" i="22"/>
  <c r="S728" i="22"/>
  <c r="S729" i="22"/>
  <c r="S730" i="22"/>
  <c r="S731" i="22"/>
  <c r="S732" i="22"/>
  <c r="S733" i="22"/>
  <c r="S734" i="22"/>
  <c r="S735" i="22"/>
  <c r="S736" i="22"/>
  <c r="S737" i="22"/>
  <c r="S738" i="22"/>
  <c r="S739" i="22"/>
  <c r="S740" i="22"/>
  <c r="S741" i="22"/>
  <c r="S742" i="22"/>
  <c r="S743" i="22"/>
  <c r="S744" i="22"/>
  <c r="S745" i="22"/>
  <c r="S746" i="22"/>
  <c r="S747" i="22"/>
  <c r="S748" i="22"/>
  <c r="S749" i="22"/>
  <c r="S750" i="22"/>
  <c r="S751" i="22"/>
  <c r="S752" i="22"/>
  <c r="S753" i="22"/>
  <c r="S754" i="22"/>
  <c r="S755" i="22"/>
  <c r="S756" i="22"/>
  <c r="S757" i="22"/>
  <c r="S758" i="22"/>
  <c r="S759" i="22"/>
  <c r="S760" i="22"/>
  <c r="S761" i="22"/>
  <c r="S762" i="22"/>
  <c r="S763" i="22"/>
  <c r="S764" i="22"/>
  <c r="S765" i="22"/>
  <c r="S766" i="22"/>
  <c r="S767" i="22"/>
  <c r="S768" i="22"/>
  <c r="S769" i="22"/>
  <c r="S770" i="22"/>
  <c r="S771" i="22"/>
  <c r="S772" i="22"/>
  <c r="S773" i="22"/>
  <c r="S774" i="22"/>
  <c r="S775" i="22"/>
  <c r="S776" i="22"/>
  <c r="S777" i="22"/>
  <c r="S778" i="22"/>
  <c r="S779" i="22"/>
  <c r="S780" i="22"/>
  <c r="S781" i="22"/>
  <c r="S782" i="22"/>
  <c r="S783" i="22"/>
  <c r="S784" i="22"/>
  <c r="S785" i="22"/>
  <c r="S786" i="22"/>
  <c r="S787" i="22"/>
  <c r="S788" i="22"/>
  <c r="S789" i="22"/>
  <c r="S790" i="22"/>
  <c r="S791" i="22"/>
  <c r="S792" i="22"/>
  <c r="S793" i="22"/>
  <c r="S794" i="22"/>
  <c r="S795" i="22"/>
  <c r="S796" i="22"/>
  <c r="S797" i="22"/>
  <c r="S798" i="22"/>
  <c r="S799" i="22"/>
  <c r="S800" i="22"/>
  <c r="S801" i="22"/>
  <c r="S802" i="22"/>
  <c r="S803" i="22"/>
  <c r="S804" i="22"/>
  <c r="S805" i="22"/>
  <c r="S806" i="22"/>
  <c r="S807" i="22"/>
  <c r="S808" i="22"/>
  <c r="S809" i="22"/>
  <c r="S810" i="22"/>
  <c r="S811" i="22"/>
  <c r="S812" i="22"/>
  <c r="S813" i="22"/>
  <c r="S814" i="22"/>
  <c r="S815" i="22"/>
  <c r="S816" i="22"/>
  <c r="S817" i="22"/>
  <c r="S818" i="22"/>
  <c r="S819" i="22"/>
  <c r="S820" i="22"/>
  <c r="S821" i="22"/>
  <c r="S822" i="22"/>
  <c r="S823" i="22"/>
  <c r="S824" i="22"/>
  <c r="S825" i="22"/>
  <c r="S826" i="22"/>
  <c r="S827" i="22"/>
  <c r="S828" i="22"/>
  <c r="S829" i="22"/>
  <c r="S830" i="22"/>
  <c r="S831" i="22"/>
  <c r="S832" i="22"/>
  <c r="S833" i="22"/>
  <c r="S834" i="22"/>
  <c r="S835" i="22"/>
  <c r="S836" i="22"/>
  <c r="S837" i="22"/>
  <c r="S838" i="22"/>
  <c r="S839" i="22"/>
  <c r="S840" i="22"/>
  <c r="S841" i="22"/>
  <c r="S842" i="22"/>
  <c r="S843" i="22"/>
  <c r="S844" i="22"/>
  <c r="S845" i="22"/>
  <c r="S846" i="22"/>
  <c r="S847" i="22"/>
  <c r="S848" i="22"/>
  <c r="S849" i="22"/>
  <c r="S850" i="22"/>
  <c r="S851" i="22"/>
  <c r="S852" i="22"/>
  <c r="S853" i="22"/>
  <c r="S854" i="22"/>
  <c r="S855" i="22"/>
  <c r="S856" i="22"/>
  <c r="S857" i="22"/>
  <c r="S858" i="22"/>
  <c r="S859" i="22"/>
  <c r="S860" i="22"/>
  <c r="S861" i="22"/>
  <c r="S862" i="22"/>
  <c r="S863" i="22"/>
  <c r="S864" i="22"/>
  <c r="S865" i="22"/>
  <c r="S866" i="22"/>
  <c r="S867" i="22"/>
  <c r="S868" i="22"/>
  <c r="S869" i="22"/>
  <c r="S870" i="22"/>
  <c r="S871" i="22"/>
  <c r="S872" i="22"/>
  <c r="S873" i="22"/>
  <c r="S874" i="22"/>
  <c r="S875" i="22"/>
  <c r="S876" i="22"/>
  <c r="S877" i="22"/>
  <c r="S878" i="22"/>
  <c r="S879" i="22"/>
  <c r="S880" i="22"/>
  <c r="S881" i="22"/>
  <c r="S882" i="22"/>
  <c r="S883" i="22"/>
  <c r="S884" i="22"/>
  <c r="S885" i="22"/>
  <c r="S886" i="22"/>
  <c r="S887" i="22"/>
  <c r="S888" i="22"/>
  <c r="S889" i="22"/>
  <c r="S890" i="22"/>
  <c r="S891" i="22"/>
  <c r="S892" i="22"/>
  <c r="S893" i="22"/>
  <c r="S894" i="22"/>
  <c r="S895" i="22"/>
  <c r="S896" i="22"/>
  <c r="S897" i="22"/>
  <c r="S898" i="22"/>
  <c r="S899" i="22"/>
  <c r="S900" i="22"/>
  <c r="S901" i="22"/>
  <c r="S902" i="22"/>
  <c r="S903" i="22"/>
  <c r="S904" i="22"/>
  <c r="S905" i="22"/>
  <c r="S906" i="22"/>
  <c r="S907" i="22"/>
  <c r="S908" i="22"/>
  <c r="S909" i="22"/>
  <c r="S910" i="22"/>
  <c r="S911" i="22"/>
  <c r="S912" i="22"/>
  <c r="S913" i="22"/>
  <c r="S914" i="22"/>
  <c r="S915" i="22"/>
  <c r="S916" i="22"/>
  <c r="S917" i="22"/>
  <c r="S918" i="22"/>
  <c r="S919" i="22"/>
  <c r="S920" i="22"/>
  <c r="S921" i="22"/>
  <c r="S922" i="22"/>
  <c r="S923" i="22"/>
  <c r="S924" i="22"/>
  <c r="S925" i="22"/>
  <c r="S926" i="22"/>
  <c r="S927" i="22"/>
  <c r="S928" i="22"/>
  <c r="S929" i="22"/>
  <c r="S930" i="22"/>
  <c r="S931" i="22"/>
  <c r="S932" i="22"/>
  <c r="S933" i="22"/>
  <c r="S934" i="22"/>
  <c r="S935" i="22"/>
  <c r="S936" i="22"/>
  <c r="S937" i="22"/>
  <c r="S938" i="22"/>
  <c r="S939" i="22"/>
  <c r="S940" i="22"/>
  <c r="S941" i="22"/>
  <c r="S942" i="22"/>
  <c r="S943" i="22"/>
  <c r="S944" i="22"/>
  <c r="S945" i="22"/>
  <c r="S946" i="22"/>
  <c r="S947" i="22"/>
  <c r="S948" i="22"/>
  <c r="S949" i="22"/>
  <c r="S950" i="22"/>
  <c r="S951" i="22"/>
  <c r="S952" i="22"/>
  <c r="S953" i="22"/>
  <c r="S954" i="22"/>
  <c r="S955" i="22"/>
  <c r="S956" i="22"/>
  <c r="S957" i="22"/>
  <c r="S958" i="22"/>
  <c r="S959" i="22"/>
  <c r="S960" i="22"/>
  <c r="S961" i="22"/>
  <c r="S962" i="22"/>
  <c r="S963" i="22"/>
  <c r="S964" i="22"/>
  <c r="S965" i="22"/>
  <c r="S966" i="22"/>
  <c r="S967" i="22"/>
  <c r="S968" i="22"/>
  <c r="S969" i="22"/>
  <c r="S970" i="22"/>
  <c r="S971" i="22"/>
  <c r="S972" i="22"/>
  <c r="S973" i="22"/>
  <c r="S974" i="22"/>
  <c r="S975" i="22"/>
  <c r="S976" i="22"/>
  <c r="S977" i="22"/>
  <c r="S978" i="22"/>
  <c r="S979" i="22"/>
  <c r="S980" i="22"/>
  <c r="S981" i="22"/>
  <c r="S982" i="22"/>
  <c r="S983" i="22"/>
  <c r="S984" i="22"/>
  <c r="S985" i="22"/>
  <c r="S986" i="22"/>
  <c r="S987" i="22"/>
  <c r="S988" i="22"/>
  <c r="S989" i="22"/>
  <c r="S990" i="22"/>
  <c r="S991" i="22"/>
  <c r="S992" i="22"/>
  <c r="S993" i="22"/>
  <c r="S994" i="22"/>
  <c r="S995" i="22"/>
  <c r="S996" i="22"/>
  <c r="S997" i="22"/>
  <c r="S998" i="22"/>
  <c r="S999" i="22"/>
  <c r="S1000" i="22"/>
  <c r="S1001" i="22"/>
  <c r="R3" i="22"/>
  <c r="R4" i="22"/>
  <c r="R5" i="22"/>
  <c r="R6" i="22"/>
  <c r="R7" i="22"/>
  <c r="R8" i="22"/>
  <c r="R9" i="22"/>
  <c r="R10" i="22"/>
  <c r="R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R64" i="22"/>
  <c r="R65" i="22"/>
  <c r="R66" i="22"/>
  <c r="R67" i="22"/>
  <c r="R68" i="22"/>
  <c r="R69" i="22"/>
  <c r="R70" i="22"/>
  <c r="R71" i="22"/>
  <c r="R72" i="22"/>
  <c r="R73" i="22"/>
  <c r="R74" i="22"/>
  <c r="R75" i="22"/>
  <c r="R76" i="22"/>
  <c r="R77" i="22"/>
  <c r="R78" i="22"/>
  <c r="R79" i="22"/>
  <c r="R80" i="22"/>
  <c r="R81" i="22"/>
  <c r="R82" i="22"/>
  <c r="R83" i="22"/>
  <c r="R84" i="22"/>
  <c r="R85" i="22"/>
  <c r="R86" i="22"/>
  <c r="R87" i="22"/>
  <c r="R88" i="22"/>
  <c r="R89" i="22"/>
  <c r="R90" i="22"/>
  <c r="R91" i="22"/>
  <c r="R92" i="22"/>
  <c r="R93" i="22"/>
  <c r="R94" i="22"/>
  <c r="R95" i="22"/>
  <c r="R96" i="22"/>
  <c r="R97" i="22"/>
  <c r="R98" i="22"/>
  <c r="R99" i="22"/>
  <c r="R100" i="22"/>
  <c r="R101" i="22"/>
  <c r="R102" i="22"/>
  <c r="R103" i="22"/>
  <c r="R104" i="22"/>
  <c r="R105" i="22"/>
  <c r="R106" i="22"/>
  <c r="R107" i="22"/>
  <c r="R108" i="22"/>
  <c r="R109" i="22"/>
  <c r="R110" i="22"/>
  <c r="R111" i="22"/>
  <c r="R112" i="22"/>
  <c r="R113" i="22"/>
  <c r="R114" i="22"/>
  <c r="R115" i="22"/>
  <c r="R116" i="22"/>
  <c r="R117" i="22"/>
  <c r="R118" i="22"/>
  <c r="R119" i="22"/>
  <c r="R120" i="22"/>
  <c r="R121" i="22"/>
  <c r="R122" i="22"/>
  <c r="R123" i="22"/>
  <c r="R124" i="22"/>
  <c r="R125" i="22"/>
  <c r="R126" i="22"/>
  <c r="R127" i="22"/>
  <c r="R128" i="22"/>
  <c r="R129" i="22"/>
  <c r="R130" i="22"/>
  <c r="R131" i="22"/>
  <c r="R132" i="22"/>
  <c r="R133" i="22"/>
  <c r="R134" i="22"/>
  <c r="R135" i="22"/>
  <c r="R136" i="22"/>
  <c r="R137" i="22"/>
  <c r="R138" i="22"/>
  <c r="R139" i="22"/>
  <c r="R140" i="22"/>
  <c r="R141" i="22"/>
  <c r="R142" i="22"/>
  <c r="R143" i="22"/>
  <c r="R144" i="22"/>
  <c r="R145" i="22"/>
  <c r="R146" i="22"/>
  <c r="R147" i="22"/>
  <c r="R148" i="22"/>
  <c r="R149" i="22"/>
  <c r="R150" i="22"/>
  <c r="R151" i="22"/>
  <c r="R152" i="22"/>
  <c r="R153" i="22"/>
  <c r="R154" i="22"/>
  <c r="R155" i="22"/>
  <c r="R156" i="22"/>
  <c r="R157" i="22"/>
  <c r="R158" i="22"/>
  <c r="R159" i="22"/>
  <c r="R160" i="22"/>
  <c r="R161" i="22"/>
  <c r="R162" i="22"/>
  <c r="R163" i="22"/>
  <c r="R164" i="22"/>
  <c r="R165" i="22"/>
  <c r="R166" i="22"/>
  <c r="R167" i="22"/>
  <c r="R168" i="22"/>
  <c r="R169" i="22"/>
  <c r="R170" i="22"/>
  <c r="R171" i="22"/>
  <c r="R172" i="22"/>
  <c r="R173" i="22"/>
  <c r="R174" i="22"/>
  <c r="R175" i="22"/>
  <c r="R176" i="22"/>
  <c r="R177" i="22"/>
  <c r="R178" i="22"/>
  <c r="R179" i="22"/>
  <c r="R180" i="22"/>
  <c r="R181" i="22"/>
  <c r="R182" i="22"/>
  <c r="R183" i="22"/>
  <c r="R184" i="22"/>
  <c r="R185" i="22"/>
  <c r="R186" i="22"/>
  <c r="R187" i="22"/>
  <c r="R188" i="22"/>
  <c r="R189" i="22"/>
  <c r="R190" i="22"/>
  <c r="R191" i="22"/>
  <c r="R192" i="22"/>
  <c r="R193" i="22"/>
  <c r="R194" i="22"/>
  <c r="R195" i="22"/>
  <c r="R196" i="22"/>
  <c r="R197" i="22"/>
  <c r="R198" i="22"/>
  <c r="R199" i="22"/>
  <c r="R200" i="22"/>
  <c r="R201" i="22"/>
  <c r="R202" i="22"/>
  <c r="R203" i="22"/>
  <c r="R204" i="22"/>
  <c r="R205" i="22"/>
  <c r="R206" i="22"/>
  <c r="R207" i="22"/>
  <c r="R208" i="22"/>
  <c r="R209" i="22"/>
  <c r="R210" i="22"/>
  <c r="R211" i="22"/>
  <c r="R212" i="22"/>
  <c r="R213" i="22"/>
  <c r="R214" i="22"/>
  <c r="R215" i="22"/>
  <c r="R216" i="22"/>
  <c r="R217" i="22"/>
  <c r="R218" i="22"/>
  <c r="R219" i="22"/>
  <c r="R220" i="22"/>
  <c r="R221" i="22"/>
  <c r="R222" i="22"/>
  <c r="R223" i="22"/>
  <c r="R224" i="22"/>
  <c r="R225" i="22"/>
  <c r="R226" i="22"/>
  <c r="R227" i="22"/>
  <c r="R228" i="22"/>
  <c r="R229" i="22"/>
  <c r="R230" i="22"/>
  <c r="R231" i="22"/>
  <c r="R232" i="22"/>
  <c r="R233" i="22"/>
  <c r="R234" i="22"/>
  <c r="R235" i="22"/>
  <c r="R236" i="22"/>
  <c r="R237" i="22"/>
  <c r="R238" i="22"/>
  <c r="R239" i="22"/>
  <c r="R240" i="22"/>
  <c r="R241" i="22"/>
  <c r="R242" i="22"/>
  <c r="R243" i="22"/>
  <c r="R244" i="22"/>
  <c r="R245" i="22"/>
  <c r="R246" i="22"/>
  <c r="R247" i="22"/>
  <c r="R248" i="22"/>
  <c r="R249" i="22"/>
  <c r="R250" i="22"/>
  <c r="R251" i="22"/>
  <c r="R252" i="22"/>
  <c r="R253" i="22"/>
  <c r="R254" i="22"/>
  <c r="R255" i="22"/>
  <c r="R256" i="22"/>
  <c r="R257" i="22"/>
  <c r="R258" i="22"/>
  <c r="R259" i="22"/>
  <c r="R260" i="22"/>
  <c r="R261" i="22"/>
  <c r="R262" i="22"/>
  <c r="R263" i="22"/>
  <c r="R264" i="22"/>
  <c r="R265" i="22"/>
  <c r="R266" i="22"/>
  <c r="R267" i="22"/>
  <c r="R268" i="22"/>
  <c r="R269" i="22"/>
  <c r="R270" i="22"/>
  <c r="R271" i="22"/>
  <c r="R272" i="22"/>
  <c r="R273" i="22"/>
  <c r="R274" i="22"/>
  <c r="R275" i="22"/>
  <c r="R276" i="22"/>
  <c r="R277" i="22"/>
  <c r="R278" i="22"/>
  <c r="R279" i="22"/>
  <c r="R280" i="22"/>
  <c r="R281" i="22"/>
  <c r="R282" i="22"/>
  <c r="R283" i="22"/>
  <c r="R284" i="22"/>
  <c r="R285" i="22"/>
  <c r="R286" i="22"/>
  <c r="R287" i="22"/>
  <c r="R288" i="22"/>
  <c r="R289" i="22"/>
  <c r="R290" i="22"/>
  <c r="R291" i="22"/>
  <c r="R292" i="22"/>
  <c r="R293" i="22"/>
  <c r="R294" i="22"/>
  <c r="R295" i="22"/>
  <c r="R296" i="22"/>
  <c r="R297" i="22"/>
  <c r="R298" i="22"/>
  <c r="R299" i="22"/>
  <c r="R300" i="22"/>
  <c r="R301" i="22"/>
  <c r="R302" i="22"/>
  <c r="R303" i="22"/>
  <c r="R304" i="22"/>
  <c r="R305" i="22"/>
  <c r="R306" i="22"/>
  <c r="R307" i="22"/>
  <c r="R308" i="22"/>
  <c r="R309" i="22"/>
  <c r="R310" i="22"/>
  <c r="R311" i="22"/>
  <c r="R312" i="22"/>
  <c r="R313" i="22"/>
  <c r="R314" i="22"/>
  <c r="R315" i="22"/>
  <c r="R316" i="22"/>
  <c r="R317" i="22"/>
  <c r="R318" i="22"/>
  <c r="R319" i="22"/>
  <c r="R320" i="22"/>
  <c r="R321" i="22"/>
  <c r="R322" i="22"/>
  <c r="R323" i="22"/>
  <c r="R324" i="22"/>
  <c r="R325" i="22"/>
  <c r="R326" i="22"/>
  <c r="R327" i="22"/>
  <c r="R328" i="22"/>
  <c r="R329" i="22"/>
  <c r="R330" i="22"/>
  <c r="R331" i="22"/>
  <c r="R332" i="22"/>
  <c r="R333" i="22"/>
  <c r="R334" i="22"/>
  <c r="R335" i="22"/>
  <c r="R336" i="22"/>
  <c r="R337" i="22"/>
  <c r="R338" i="22"/>
  <c r="R339" i="22"/>
  <c r="R340" i="22"/>
  <c r="R341" i="22"/>
  <c r="R342" i="22"/>
  <c r="R343" i="22"/>
  <c r="R344" i="22"/>
  <c r="R345" i="22"/>
  <c r="R346" i="22"/>
  <c r="R347" i="22"/>
  <c r="R348" i="22"/>
  <c r="R349" i="22"/>
  <c r="R350" i="22"/>
  <c r="R351" i="22"/>
  <c r="R352" i="22"/>
  <c r="R353" i="22"/>
  <c r="R354" i="22"/>
  <c r="R355" i="22"/>
  <c r="R356" i="22"/>
  <c r="R357" i="22"/>
  <c r="R358" i="22"/>
  <c r="R359" i="22"/>
  <c r="R360" i="22"/>
  <c r="R361" i="22"/>
  <c r="R362" i="22"/>
  <c r="R363" i="22"/>
  <c r="R364" i="22"/>
  <c r="R365" i="22"/>
  <c r="R366" i="22"/>
  <c r="R367" i="22"/>
  <c r="R368" i="22"/>
  <c r="R369" i="22"/>
  <c r="R370" i="22"/>
  <c r="R371" i="22"/>
  <c r="R372" i="22"/>
  <c r="R373" i="22"/>
  <c r="R374" i="22"/>
  <c r="R375" i="22"/>
  <c r="R376" i="22"/>
  <c r="R377" i="22"/>
  <c r="R378" i="22"/>
  <c r="R379" i="22"/>
  <c r="R380" i="22"/>
  <c r="R381" i="22"/>
  <c r="R382" i="22"/>
  <c r="R383" i="22"/>
  <c r="R384" i="22"/>
  <c r="R385" i="22"/>
  <c r="R386" i="22"/>
  <c r="R387" i="22"/>
  <c r="R388" i="22"/>
  <c r="R389" i="22"/>
  <c r="R390" i="22"/>
  <c r="R391" i="22"/>
  <c r="R392" i="22"/>
  <c r="R393" i="22"/>
  <c r="R394" i="22"/>
  <c r="R395" i="22"/>
  <c r="R396" i="22"/>
  <c r="R397" i="22"/>
  <c r="R398" i="22"/>
  <c r="R399" i="22"/>
  <c r="R400" i="22"/>
  <c r="R401" i="22"/>
  <c r="R402" i="22"/>
  <c r="R403" i="22"/>
  <c r="R404" i="22"/>
  <c r="R405" i="22"/>
  <c r="R406" i="22"/>
  <c r="R407" i="22"/>
  <c r="R408" i="22"/>
  <c r="R409" i="22"/>
  <c r="R410" i="22"/>
  <c r="R411" i="22"/>
  <c r="R412" i="22"/>
  <c r="R413" i="22"/>
  <c r="R414" i="22"/>
  <c r="R415" i="22"/>
  <c r="R416" i="22"/>
  <c r="R417" i="22"/>
  <c r="R418" i="22"/>
  <c r="R419" i="22"/>
  <c r="R420" i="22"/>
  <c r="R421" i="22"/>
  <c r="R422" i="22"/>
  <c r="R423" i="22"/>
  <c r="R424" i="22"/>
  <c r="R425" i="22"/>
  <c r="R426" i="22"/>
  <c r="R427" i="22"/>
  <c r="R428" i="22"/>
  <c r="R429" i="22"/>
  <c r="R430" i="22"/>
  <c r="R431" i="22"/>
  <c r="R432" i="22"/>
  <c r="R433" i="22"/>
  <c r="R434" i="22"/>
  <c r="R435" i="22"/>
  <c r="R436" i="22"/>
  <c r="R437" i="22"/>
  <c r="R438" i="22"/>
  <c r="R439" i="22"/>
  <c r="R440" i="22"/>
  <c r="R441" i="22"/>
  <c r="R442" i="22"/>
  <c r="R443" i="22"/>
  <c r="R444" i="22"/>
  <c r="R445" i="22"/>
  <c r="R446" i="22"/>
  <c r="R447" i="22"/>
  <c r="R448" i="22"/>
  <c r="R449" i="22"/>
  <c r="R450" i="22"/>
  <c r="R451" i="22"/>
  <c r="R452" i="22"/>
  <c r="R453" i="22"/>
  <c r="R454" i="22"/>
  <c r="R455" i="22"/>
  <c r="R456" i="22"/>
  <c r="R457" i="22"/>
  <c r="R458" i="22"/>
  <c r="R459" i="22"/>
  <c r="R460" i="22"/>
  <c r="R461" i="22"/>
  <c r="R462" i="22"/>
  <c r="R463" i="22"/>
  <c r="R464" i="22"/>
  <c r="R465" i="22"/>
  <c r="R466" i="22"/>
  <c r="R467" i="22"/>
  <c r="R468" i="22"/>
  <c r="R469" i="22"/>
  <c r="R470" i="22"/>
  <c r="R471" i="22"/>
  <c r="R472" i="22"/>
  <c r="R473" i="22"/>
  <c r="R474" i="22"/>
  <c r="R475" i="22"/>
  <c r="R476" i="22"/>
  <c r="R477" i="22"/>
  <c r="R478" i="22"/>
  <c r="R479" i="22"/>
  <c r="R480" i="22"/>
  <c r="R481" i="22"/>
  <c r="R482" i="22"/>
  <c r="R483" i="22"/>
  <c r="R484" i="22"/>
  <c r="R485" i="22"/>
  <c r="R486" i="22"/>
  <c r="R487" i="22"/>
  <c r="R488" i="22"/>
  <c r="R489" i="22"/>
  <c r="R490" i="22"/>
  <c r="R491" i="22"/>
  <c r="R492" i="22"/>
  <c r="R493" i="22"/>
  <c r="R494" i="22"/>
  <c r="R495" i="22"/>
  <c r="R496" i="22"/>
  <c r="R497" i="22"/>
  <c r="R498" i="22"/>
  <c r="R499" i="22"/>
  <c r="R500" i="22"/>
  <c r="R501" i="22"/>
  <c r="R502" i="22"/>
  <c r="R503" i="22"/>
  <c r="R504" i="22"/>
  <c r="R505" i="22"/>
  <c r="R506" i="22"/>
  <c r="R507" i="22"/>
  <c r="R508" i="22"/>
  <c r="R509" i="22"/>
  <c r="R510" i="22"/>
  <c r="R511" i="22"/>
  <c r="R512" i="22"/>
  <c r="R513" i="22"/>
  <c r="R514" i="22"/>
  <c r="R515" i="22"/>
  <c r="R516" i="22"/>
  <c r="R517" i="22"/>
  <c r="R518" i="22"/>
  <c r="R519" i="22"/>
  <c r="R520" i="22"/>
  <c r="R521" i="22"/>
  <c r="R522" i="22"/>
  <c r="R523" i="22"/>
  <c r="R524" i="22"/>
  <c r="R525" i="22"/>
  <c r="R526" i="22"/>
  <c r="R527" i="22"/>
  <c r="R528" i="22"/>
  <c r="R529" i="22"/>
  <c r="R530" i="22"/>
  <c r="R531" i="22"/>
  <c r="R532" i="22"/>
  <c r="R533" i="22"/>
  <c r="R534" i="22"/>
  <c r="R535" i="22"/>
  <c r="R536" i="22"/>
  <c r="R537" i="22"/>
  <c r="R538" i="22"/>
  <c r="R539" i="22"/>
  <c r="R540" i="22"/>
  <c r="R541" i="22"/>
  <c r="R542" i="22"/>
  <c r="R543" i="22"/>
  <c r="R544" i="22"/>
  <c r="R545" i="22"/>
  <c r="R546" i="22"/>
  <c r="R547" i="22"/>
  <c r="R548" i="22"/>
  <c r="R549" i="22"/>
  <c r="R550" i="22"/>
  <c r="R551" i="22"/>
  <c r="R552" i="22"/>
  <c r="R553" i="22"/>
  <c r="R554" i="22"/>
  <c r="R555" i="22"/>
  <c r="R556" i="22"/>
  <c r="R557" i="22"/>
  <c r="R558" i="22"/>
  <c r="R559" i="22"/>
  <c r="R560" i="22"/>
  <c r="R561" i="22"/>
  <c r="R562" i="22"/>
  <c r="R563" i="22"/>
  <c r="R564" i="22"/>
  <c r="R565" i="22"/>
  <c r="R566" i="22"/>
  <c r="R567" i="22"/>
  <c r="R568" i="22"/>
  <c r="R569" i="22"/>
  <c r="R570" i="22"/>
  <c r="R571" i="22"/>
  <c r="R572" i="22"/>
  <c r="R573" i="22"/>
  <c r="R574" i="22"/>
  <c r="R575" i="22"/>
  <c r="R576" i="22"/>
  <c r="R577" i="22"/>
  <c r="R578" i="22"/>
  <c r="R579" i="22"/>
  <c r="R580" i="22"/>
  <c r="R581" i="22"/>
  <c r="R582" i="22"/>
  <c r="R583" i="22"/>
  <c r="R584" i="22"/>
  <c r="R585" i="22"/>
  <c r="R586" i="22"/>
  <c r="R587" i="22"/>
  <c r="R588" i="22"/>
  <c r="R589" i="22"/>
  <c r="R590" i="22"/>
  <c r="R591" i="22"/>
  <c r="R592" i="22"/>
  <c r="R593" i="22"/>
  <c r="R594" i="22"/>
  <c r="R595" i="22"/>
  <c r="R596" i="22"/>
  <c r="R597" i="22"/>
  <c r="R598" i="22"/>
  <c r="R599" i="22"/>
  <c r="R600" i="22"/>
  <c r="R601" i="22"/>
  <c r="R602" i="22"/>
  <c r="R603" i="22"/>
  <c r="R604" i="22"/>
  <c r="R605" i="22"/>
  <c r="R606" i="22"/>
  <c r="R607" i="22"/>
  <c r="R608" i="22"/>
  <c r="R609" i="22"/>
  <c r="R610" i="22"/>
  <c r="R611" i="22"/>
  <c r="R612" i="22"/>
  <c r="R613" i="22"/>
  <c r="R614" i="22"/>
  <c r="R615" i="22"/>
  <c r="R616" i="22"/>
  <c r="R617" i="22"/>
  <c r="R618" i="22"/>
  <c r="R619" i="22"/>
  <c r="R620" i="22"/>
  <c r="R621" i="22"/>
  <c r="R622" i="22"/>
  <c r="R623" i="22"/>
  <c r="R624" i="22"/>
  <c r="R625" i="22"/>
  <c r="R626" i="22"/>
  <c r="R627" i="22"/>
  <c r="R628" i="22"/>
  <c r="R629" i="22"/>
  <c r="R630" i="22"/>
  <c r="R631" i="22"/>
  <c r="R632" i="22"/>
  <c r="R633" i="22"/>
  <c r="R634" i="22"/>
  <c r="R635" i="22"/>
  <c r="R636" i="22"/>
  <c r="R637" i="22"/>
  <c r="R638" i="22"/>
  <c r="R639" i="22"/>
  <c r="R640" i="22"/>
  <c r="R641" i="22"/>
  <c r="R642" i="22"/>
  <c r="R643" i="22"/>
  <c r="R644" i="22"/>
  <c r="R645" i="22"/>
  <c r="R646" i="22"/>
  <c r="R647" i="22"/>
  <c r="R648" i="22"/>
  <c r="R649" i="22"/>
  <c r="R650" i="22"/>
  <c r="R651" i="22"/>
  <c r="R652" i="22"/>
  <c r="R653" i="22"/>
  <c r="R654" i="22"/>
  <c r="R655" i="22"/>
  <c r="R656" i="22"/>
  <c r="R657" i="22"/>
  <c r="R658" i="22"/>
  <c r="R659" i="22"/>
  <c r="R660" i="22"/>
  <c r="R661" i="22"/>
  <c r="R662" i="22"/>
  <c r="R663" i="22"/>
  <c r="R664" i="22"/>
  <c r="R665" i="22"/>
  <c r="R666" i="22"/>
  <c r="R667" i="22"/>
  <c r="R668" i="22"/>
  <c r="R669" i="22"/>
  <c r="R670" i="22"/>
  <c r="R671" i="22"/>
  <c r="R672" i="22"/>
  <c r="R673" i="22"/>
  <c r="R674" i="22"/>
  <c r="R675" i="22"/>
  <c r="R676" i="22"/>
  <c r="R677" i="22"/>
  <c r="R678" i="22"/>
  <c r="R679" i="22"/>
  <c r="R680" i="22"/>
  <c r="R681" i="22"/>
  <c r="R682" i="22"/>
  <c r="R683" i="22"/>
  <c r="R684" i="22"/>
  <c r="R685" i="22"/>
  <c r="R686" i="22"/>
  <c r="R687" i="22"/>
  <c r="R688" i="22"/>
  <c r="R689" i="22"/>
  <c r="R690" i="22"/>
  <c r="R691" i="22"/>
  <c r="R692" i="22"/>
  <c r="R693" i="22"/>
  <c r="R694" i="22"/>
  <c r="R695" i="22"/>
  <c r="R696" i="22"/>
  <c r="R697" i="22"/>
  <c r="R698" i="22"/>
  <c r="R699" i="22"/>
  <c r="R700" i="22"/>
  <c r="R701" i="22"/>
  <c r="R702" i="22"/>
  <c r="R703" i="22"/>
  <c r="R704" i="22"/>
  <c r="R705" i="22"/>
  <c r="R706" i="22"/>
  <c r="R707" i="22"/>
  <c r="R708" i="22"/>
  <c r="R709" i="22"/>
  <c r="R710" i="22"/>
  <c r="R711" i="22"/>
  <c r="R712" i="22"/>
  <c r="R713" i="22"/>
  <c r="R714" i="22"/>
  <c r="R715" i="22"/>
  <c r="R716" i="22"/>
  <c r="R717" i="22"/>
  <c r="R718" i="22"/>
  <c r="R719" i="22"/>
  <c r="R720" i="22"/>
  <c r="R721" i="22"/>
  <c r="R722" i="22"/>
  <c r="R723" i="22"/>
  <c r="R724" i="22"/>
  <c r="R725" i="22"/>
  <c r="R726" i="22"/>
  <c r="R727" i="22"/>
  <c r="R728" i="22"/>
  <c r="R729" i="22"/>
  <c r="R730" i="22"/>
  <c r="R731" i="22"/>
  <c r="R732" i="22"/>
  <c r="R733" i="22"/>
  <c r="R734" i="22"/>
  <c r="R735" i="22"/>
  <c r="R736" i="22"/>
  <c r="R737" i="22"/>
  <c r="R738" i="22"/>
  <c r="R739" i="22"/>
  <c r="R740" i="22"/>
  <c r="R741" i="22"/>
  <c r="R742" i="22"/>
  <c r="R743" i="22"/>
  <c r="R744" i="22"/>
  <c r="R745" i="22"/>
  <c r="R746" i="22"/>
  <c r="R747" i="22"/>
  <c r="R748" i="22"/>
  <c r="R749" i="22"/>
  <c r="R750" i="22"/>
  <c r="R751" i="22"/>
  <c r="R752" i="22"/>
  <c r="R753" i="22"/>
  <c r="R754" i="22"/>
  <c r="R755" i="22"/>
  <c r="R756" i="22"/>
  <c r="R757" i="22"/>
  <c r="R758" i="22"/>
  <c r="R759" i="22"/>
  <c r="R760" i="22"/>
  <c r="R761" i="22"/>
  <c r="R762" i="22"/>
  <c r="R763" i="22"/>
  <c r="R764" i="22"/>
  <c r="R765" i="22"/>
  <c r="R766" i="22"/>
  <c r="R767" i="22"/>
  <c r="R768" i="22"/>
  <c r="R769" i="22"/>
  <c r="R770" i="22"/>
  <c r="R771" i="22"/>
  <c r="R772" i="22"/>
  <c r="R773" i="22"/>
  <c r="R774" i="22"/>
  <c r="R775" i="22"/>
  <c r="R776" i="22"/>
  <c r="R777" i="22"/>
  <c r="R778" i="22"/>
  <c r="R779" i="22"/>
  <c r="R780" i="22"/>
  <c r="R781" i="22"/>
  <c r="R782" i="22"/>
  <c r="R783" i="22"/>
  <c r="R784" i="22"/>
  <c r="R785" i="22"/>
  <c r="R786" i="22"/>
  <c r="R787" i="22"/>
  <c r="R788" i="22"/>
  <c r="R789" i="22"/>
  <c r="R790" i="22"/>
  <c r="R791" i="22"/>
  <c r="R792" i="22"/>
  <c r="R793" i="22"/>
  <c r="R794" i="22"/>
  <c r="R795" i="22"/>
  <c r="R796" i="22"/>
  <c r="R797" i="22"/>
  <c r="R798" i="22"/>
  <c r="R799" i="22"/>
  <c r="R800" i="22"/>
  <c r="R801" i="22"/>
  <c r="R802" i="22"/>
  <c r="R803" i="22"/>
  <c r="R804" i="22"/>
  <c r="R805" i="22"/>
  <c r="R806" i="22"/>
  <c r="R807" i="22"/>
  <c r="R808" i="22"/>
  <c r="R809" i="22"/>
  <c r="R810" i="22"/>
  <c r="R811" i="22"/>
  <c r="R812" i="22"/>
  <c r="R813" i="22"/>
  <c r="R814" i="22"/>
  <c r="R815" i="22"/>
  <c r="R816" i="22"/>
  <c r="R817" i="22"/>
  <c r="R818" i="22"/>
  <c r="R819" i="22"/>
  <c r="R820" i="22"/>
  <c r="R821" i="22"/>
  <c r="R822" i="22"/>
  <c r="R823" i="22"/>
  <c r="R824" i="22"/>
  <c r="R825" i="22"/>
  <c r="R826" i="22"/>
  <c r="R827" i="22"/>
  <c r="R828" i="22"/>
  <c r="R829" i="22"/>
  <c r="R830" i="22"/>
  <c r="R831" i="22"/>
  <c r="R832" i="22"/>
  <c r="R833" i="22"/>
  <c r="R834" i="22"/>
  <c r="R835" i="22"/>
  <c r="R836" i="22"/>
  <c r="R837" i="22"/>
  <c r="R838" i="22"/>
  <c r="R839" i="22"/>
  <c r="R840" i="22"/>
  <c r="R841" i="22"/>
  <c r="R842" i="22"/>
  <c r="R843" i="22"/>
  <c r="R844" i="22"/>
  <c r="R845" i="22"/>
  <c r="R846" i="22"/>
  <c r="R847" i="22"/>
  <c r="R848" i="22"/>
  <c r="R849" i="22"/>
  <c r="R850" i="22"/>
  <c r="R851" i="22"/>
  <c r="R852" i="22"/>
  <c r="R853" i="22"/>
  <c r="R854" i="22"/>
  <c r="R855" i="22"/>
  <c r="R856" i="22"/>
  <c r="R857" i="22"/>
  <c r="R858" i="22"/>
  <c r="R859" i="22"/>
  <c r="R860" i="22"/>
  <c r="R861" i="22"/>
  <c r="R862" i="22"/>
  <c r="R863" i="22"/>
  <c r="R864" i="22"/>
  <c r="R865" i="22"/>
  <c r="R866" i="22"/>
  <c r="R867" i="22"/>
  <c r="R868" i="22"/>
  <c r="R869" i="22"/>
  <c r="R870" i="22"/>
  <c r="R871" i="22"/>
  <c r="R872" i="22"/>
  <c r="R873" i="22"/>
  <c r="R874" i="22"/>
  <c r="R875" i="22"/>
  <c r="R876" i="22"/>
  <c r="R877" i="22"/>
  <c r="R878" i="22"/>
  <c r="R879" i="22"/>
  <c r="R880" i="22"/>
  <c r="R881" i="22"/>
  <c r="R882" i="22"/>
  <c r="R883" i="22"/>
  <c r="R884" i="22"/>
  <c r="R885" i="22"/>
  <c r="R886" i="22"/>
  <c r="R887" i="22"/>
  <c r="R888" i="22"/>
  <c r="R889" i="22"/>
  <c r="R890" i="22"/>
  <c r="R891" i="22"/>
  <c r="R892" i="22"/>
  <c r="R893" i="22"/>
  <c r="R894" i="22"/>
  <c r="R895" i="22"/>
  <c r="R896" i="22"/>
  <c r="R897" i="22"/>
  <c r="R898" i="22"/>
  <c r="R899" i="22"/>
  <c r="R900" i="22"/>
  <c r="R901" i="22"/>
  <c r="R902" i="22"/>
  <c r="R903" i="22"/>
  <c r="R904" i="22"/>
  <c r="R905" i="22"/>
  <c r="R906" i="22"/>
  <c r="R907" i="22"/>
  <c r="R908" i="22"/>
  <c r="R909" i="22"/>
  <c r="R910" i="22"/>
  <c r="R911" i="22"/>
  <c r="R912" i="22"/>
  <c r="R913" i="22"/>
  <c r="R914" i="22"/>
  <c r="R915" i="22"/>
  <c r="R916" i="22"/>
  <c r="R917" i="22"/>
  <c r="R918" i="22"/>
  <c r="R919" i="22"/>
  <c r="R920" i="22"/>
  <c r="R921" i="22"/>
  <c r="R922" i="22"/>
  <c r="R923" i="22"/>
  <c r="R924" i="22"/>
  <c r="R925" i="22"/>
  <c r="R926" i="22"/>
  <c r="R927" i="22"/>
  <c r="R928" i="22"/>
  <c r="R929" i="22"/>
  <c r="R930" i="22"/>
  <c r="R931" i="22"/>
  <c r="R932" i="22"/>
  <c r="R933" i="22"/>
  <c r="R934" i="22"/>
  <c r="R935" i="22"/>
  <c r="R936" i="22"/>
  <c r="R937" i="22"/>
  <c r="R938" i="22"/>
  <c r="R939" i="22"/>
  <c r="R940" i="22"/>
  <c r="R941" i="22"/>
  <c r="R942" i="22"/>
  <c r="R943" i="22"/>
  <c r="R944" i="22"/>
  <c r="R945" i="22"/>
  <c r="R946" i="22"/>
  <c r="R947" i="22"/>
  <c r="R948" i="22"/>
  <c r="R949" i="22"/>
  <c r="R950" i="22"/>
  <c r="R951" i="22"/>
  <c r="R952" i="22"/>
  <c r="R953" i="22"/>
  <c r="R954" i="22"/>
  <c r="R955" i="22"/>
  <c r="R956" i="22"/>
  <c r="R957" i="22"/>
  <c r="R958" i="22"/>
  <c r="R959" i="22"/>
  <c r="R960" i="22"/>
  <c r="R961" i="22"/>
  <c r="R962" i="22"/>
  <c r="R963" i="22"/>
  <c r="R964" i="22"/>
  <c r="R965" i="22"/>
  <c r="R966" i="22"/>
  <c r="R967" i="22"/>
  <c r="R968" i="22"/>
  <c r="R969" i="22"/>
  <c r="R970" i="22"/>
  <c r="R971" i="22"/>
  <c r="R972" i="22"/>
  <c r="R973" i="22"/>
  <c r="R974" i="22"/>
  <c r="R975" i="22"/>
  <c r="R976" i="22"/>
  <c r="R977" i="22"/>
  <c r="R978" i="22"/>
  <c r="R979" i="22"/>
  <c r="R980" i="22"/>
  <c r="R981" i="22"/>
  <c r="R982" i="22"/>
  <c r="R983" i="22"/>
  <c r="R984" i="22"/>
  <c r="R985" i="22"/>
  <c r="R986" i="22"/>
  <c r="R987" i="22"/>
  <c r="R988" i="22"/>
  <c r="R989" i="22"/>
  <c r="R990" i="22"/>
  <c r="R991" i="22"/>
  <c r="R992" i="22"/>
  <c r="R993" i="22"/>
  <c r="R994" i="22"/>
  <c r="R995" i="22"/>
  <c r="R996" i="22"/>
  <c r="R997" i="22"/>
  <c r="R998" i="22"/>
  <c r="R999" i="22"/>
  <c r="R1000" i="22"/>
  <c r="R1001" i="22"/>
  <c r="O43" i="5"/>
  <c r="O44" i="5"/>
  <c r="O45" i="5"/>
  <c r="O46" i="5"/>
  <c r="O47" i="5"/>
  <c r="O42" i="5"/>
  <c r="B2" i="9"/>
  <c r="O13" i="7"/>
  <c r="O14" i="7"/>
  <c r="O15" i="7"/>
  <c r="O16" i="7"/>
  <c r="O17" i="7"/>
  <c r="O18" i="7"/>
  <c r="O19" i="7"/>
  <c r="O20" i="7"/>
  <c r="O21" i="7"/>
  <c r="O22" i="7"/>
  <c r="O23" i="7"/>
  <c r="O24" i="7"/>
  <c r="O25" i="7"/>
  <c r="O26" i="7"/>
  <c r="O27" i="7"/>
  <c r="O28" i="7"/>
  <c r="AH1001" i="22" l="1"/>
  <c r="T1001" i="22"/>
  <c r="L1001" i="22"/>
  <c r="B1001" i="22"/>
  <c r="AO1001" i="22" s="1"/>
  <c r="AI1000" i="22"/>
  <c r="AA1000" i="22"/>
  <c r="X1000" i="22"/>
  <c r="N1000" i="22"/>
  <c r="M1000" i="22"/>
  <c r="D1000" i="22"/>
  <c r="B1000" i="22"/>
  <c r="AH1000" i="22" s="1"/>
  <c r="AL999" i="22"/>
  <c r="AK999" i="22"/>
  <c r="AI999" i="22"/>
  <c r="AC999" i="22"/>
  <c r="AB999" i="22"/>
  <c r="X999" i="22"/>
  <c r="P999" i="22"/>
  <c r="O999" i="22"/>
  <c r="M999" i="22"/>
  <c r="H999" i="22"/>
  <c r="G999" i="22"/>
  <c r="A999" i="22" s="1"/>
  <c r="C999" i="22" s="1"/>
  <c r="D999" i="22"/>
  <c r="B999" i="22"/>
  <c r="AA999" i="22" s="1"/>
  <c r="AN998" i="22"/>
  <c r="AM998" i="22"/>
  <c r="AK998" i="22"/>
  <c r="AI998" i="22"/>
  <c r="AE998" i="22"/>
  <c r="AB998" i="22"/>
  <c r="X998" i="22"/>
  <c r="Q998" i="22"/>
  <c r="O998" i="22"/>
  <c r="M998" i="22"/>
  <c r="J998" i="22"/>
  <c r="I998" i="22"/>
  <c r="G998" i="22"/>
  <c r="A998" i="22" s="1"/>
  <c r="C998" i="22" s="1"/>
  <c r="D998" i="22"/>
  <c r="B998" i="22"/>
  <c r="AL998" i="22" s="1"/>
  <c r="AH997" i="22"/>
  <c r="T997" i="22"/>
  <c r="L997" i="22"/>
  <c r="D997" i="22"/>
  <c r="B997" i="22"/>
  <c r="AO997" i="22" s="1"/>
  <c r="AK996" i="22"/>
  <c r="AI996" i="22"/>
  <c r="AB996" i="22"/>
  <c r="AA996" i="22"/>
  <c r="X996" i="22"/>
  <c r="O996" i="22"/>
  <c r="N996" i="22"/>
  <c r="M996" i="22"/>
  <c r="G996" i="22"/>
  <c r="A996" i="22" s="1"/>
  <c r="C996" i="22" s="1"/>
  <c r="AD996" i="22" s="1"/>
  <c r="D996" i="22"/>
  <c r="B996" i="22"/>
  <c r="AH996" i="22" s="1"/>
  <c r="AM995" i="22"/>
  <c r="AL995" i="22"/>
  <c r="AK995" i="22"/>
  <c r="AI995" i="22"/>
  <c r="AC995" i="22"/>
  <c r="AB995" i="22"/>
  <c r="X995" i="22"/>
  <c r="Q995" i="22"/>
  <c r="P995" i="22"/>
  <c r="O995" i="22"/>
  <c r="M995" i="22"/>
  <c r="I995" i="22"/>
  <c r="H995" i="22"/>
  <c r="G995" i="22"/>
  <c r="A995" i="22" s="1"/>
  <c r="C995" i="22" s="1"/>
  <c r="D995" i="22"/>
  <c r="B995" i="22"/>
  <c r="AA995" i="22" s="1"/>
  <c r="B994" i="22"/>
  <c r="AI993" i="22"/>
  <c r="AH993" i="22"/>
  <c r="X993" i="22"/>
  <c r="T993" i="22"/>
  <c r="M993" i="22"/>
  <c r="L993" i="22"/>
  <c r="D993" i="22"/>
  <c r="B993" i="22"/>
  <c r="AO993" i="22" s="1"/>
  <c r="AK992" i="22"/>
  <c r="AB992" i="22"/>
  <c r="AA992" i="22"/>
  <c r="O992" i="22"/>
  <c r="N992" i="22"/>
  <c r="G992" i="22"/>
  <c r="A992" i="22" s="1"/>
  <c r="C992" i="22" s="1"/>
  <c r="AD992" i="22" s="1"/>
  <c r="B992" i="22"/>
  <c r="AI992" i="22" s="1"/>
  <c r="AL991" i="22"/>
  <c r="AC991" i="22"/>
  <c r="I991" i="22"/>
  <c r="B991" i="22"/>
  <c r="AO990" i="22"/>
  <c r="X990" i="22"/>
  <c r="M990" i="22"/>
  <c r="B990" i="22"/>
  <c r="AK989" i="22"/>
  <c r="AI989" i="22"/>
  <c r="AH989" i="22"/>
  <c r="AB989" i="22"/>
  <c r="X989" i="22"/>
  <c r="T989" i="22"/>
  <c r="O989" i="22"/>
  <c r="M989" i="22"/>
  <c r="L989" i="22"/>
  <c r="G989" i="22"/>
  <c r="A989" i="22" s="1"/>
  <c r="C989" i="22" s="1"/>
  <c r="D989" i="22"/>
  <c r="B989" i="22"/>
  <c r="AO989" i="22" s="1"/>
  <c r="AM988" i="22"/>
  <c r="AK988" i="22"/>
  <c r="AB988" i="22"/>
  <c r="AA988" i="22"/>
  <c r="Q988" i="22"/>
  <c r="O988" i="22"/>
  <c r="N988" i="22"/>
  <c r="I988" i="22"/>
  <c r="G988" i="22"/>
  <c r="A988" i="22" s="1"/>
  <c r="C988" i="22" s="1"/>
  <c r="AJ988" i="22" s="1"/>
  <c r="B988" i="22"/>
  <c r="AI988" i="22" s="1"/>
  <c r="AO987" i="22"/>
  <c r="AC987" i="22"/>
  <c r="P987" i="22"/>
  <c r="B987" i="22"/>
  <c r="AO986" i="22"/>
  <c r="AN986" i="22"/>
  <c r="AI986" i="22"/>
  <c r="AF986" i="22"/>
  <c r="X986" i="22"/>
  <c r="M986" i="22"/>
  <c r="K986" i="22"/>
  <c r="J986" i="22"/>
  <c r="D986" i="22"/>
  <c r="B986" i="22"/>
  <c r="AK985" i="22"/>
  <c r="AI985" i="22"/>
  <c r="AH985" i="22"/>
  <c r="AB985" i="22"/>
  <c r="X985" i="22"/>
  <c r="T985" i="22"/>
  <c r="O985" i="22"/>
  <c r="M985" i="22"/>
  <c r="L985" i="22"/>
  <c r="G985" i="22"/>
  <c r="A985" i="22" s="1"/>
  <c r="C985" i="22" s="1"/>
  <c r="D985" i="22"/>
  <c r="B985" i="22"/>
  <c r="AO985" i="22" s="1"/>
  <c r="AM984" i="22"/>
  <c r="AK984" i="22"/>
  <c r="AB984" i="22"/>
  <c r="AA984" i="22"/>
  <c r="Q984" i="22"/>
  <c r="O984" i="22"/>
  <c r="N984" i="22"/>
  <c r="I984" i="22"/>
  <c r="G984" i="22"/>
  <c r="A984" i="22" s="1"/>
  <c r="C984" i="22" s="1"/>
  <c r="AJ984" i="22" s="1"/>
  <c r="B984" i="22"/>
  <c r="AI984" i="22" s="1"/>
  <c r="AO983" i="22"/>
  <c r="AM983" i="22"/>
  <c r="AL983" i="22"/>
  <c r="AF983" i="22"/>
  <c r="AC983" i="22"/>
  <c r="Q983" i="22"/>
  <c r="P983" i="22"/>
  <c r="K983" i="22"/>
  <c r="I983" i="22"/>
  <c r="H983" i="22"/>
  <c r="B983" i="22"/>
  <c r="AI982" i="22"/>
  <c r="AF982" i="22"/>
  <c r="X982" i="22"/>
  <c r="J982" i="22"/>
  <c r="D982" i="22"/>
  <c r="B982" i="22"/>
  <c r="AN981" i="22"/>
  <c r="AE981" i="22"/>
  <c r="Q981" i="22"/>
  <c r="J981" i="22"/>
  <c r="I981" i="22"/>
  <c r="B981" i="22"/>
  <c r="AF980" i="22"/>
  <c r="B980" i="22"/>
  <c r="AO980" i="22" s="1"/>
  <c r="AN979" i="22"/>
  <c r="AM979" i="22"/>
  <c r="AL979" i="22"/>
  <c r="AK979" i="22"/>
  <c r="AI979" i="22"/>
  <c r="AE979" i="22"/>
  <c r="AC979" i="22"/>
  <c r="AB979" i="22"/>
  <c r="AA979" i="22"/>
  <c r="X979" i="22"/>
  <c r="Q979" i="22"/>
  <c r="P979" i="22"/>
  <c r="O979" i="22"/>
  <c r="N979" i="22"/>
  <c r="M979" i="22"/>
  <c r="J979" i="22"/>
  <c r="I979" i="22"/>
  <c r="H979" i="22"/>
  <c r="G979" i="22"/>
  <c r="A979" i="22" s="1"/>
  <c r="C979" i="22" s="1"/>
  <c r="D979" i="22"/>
  <c r="B979" i="22"/>
  <c r="AH979" i="22" s="1"/>
  <c r="AM978" i="22"/>
  <c r="AL978" i="22"/>
  <c r="AK978" i="22"/>
  <c r="AC978" i="22"/>
  <c r="AB978" i="22"/>
  <c r="Q978" i="22"/>
  <c r="P978" i="22"/>
  <c r="O978" i="22"/>
  <c r="I978" i="22"/>
  <c r="H978" i="22"/>
  <c r="G978" i="22"/>
  <c r="A978" i="22" s="1"/>
  <c r="C978" i="22" s="1"/>
  <c r="B978" i="22"/>
  <c r="AA978" i="22" s="1"/>
  <c r="AM977" i="22"/>
  <c r="Q977" i="22"/>
  <c r="I977" i="22"/>
  <c r="B977" i="22"/>
  <c r="AL977" i="22" s="1"/>
  <c r="B976" i="22"/>
  <c r="AM975" i="22"/>
  <c r="AL975" i="22"/>
  <c r="AK975" i="22"/>
  <c r="AI975" i="22"/>
  <c r="AC975" i="22"/>
  <c r="AB975" i="22"/>
  <c r="AA975" i="22"/>
  <c r="X975" i="22"/>
  <c r="Q975" i="22"/>
  <c r="P975" i="22"/>
  <c r="O975" i="22"/>
  <c r="N975" i="22"/>
  <c r="M975" i="22"/>
  <c r="I975" i="22"/>
  <c r="H975" i="22"/>
  <c r="G975" i="22"/>
  <c r="A975" i="22" s="1"/>
  <c r="C975" i="22" s="1"/>
  <c r="D975" i="22"/>
  <c r="B975" i="22"/>
  <c r="AH975" i="22" s="1"/>
  <c r="AM974" i="22"/>
  <c r="AL974" i="22"/>
  <c r="AK974" i="22"/>
  <c r="AC974" i="22"/>
  <c r="AB974" i="22"/>
  <c r="Q974" i="22"/>
  <c r="P974" i="22"/>
  <c r="O974" i="22"/>
  <c r="N974" i="22"/>
  <c r="I974" i="22"/>
  <c r="H974" i="22"/>
  <c r="G974" i="22"/>
  <c r="A974" i="22" s="1"/>
  <c r="C974" i="22" s="1"/>
  <c r="B974" i="22"/>
  <c r="AA974" i="22" s="1"/>
  <c r="AM973" i="22"/>
  <c r="AL973" i="22"/>
  <c r="AC973" i="22"/>
  <c r="Q973" i="22"/>
  <c r="P973" i="22"/>
  <c r="I973" i="22"/>
  <c r="H973" i="22"/>
  <c r="B973" i="22"/>
  <c r="AK973" i="22" s="1"/>
  <c r="K972" i="22"/>
  <c r="B972" i="22"/>
  <c r="AI971" i="22"/>
  <c r="AH971" i="22"/>
  <c r="X971" i="22"/>
  <c r="T971" i="22"/>
  <c r="M971" i="22"/>
  <c r="L971" i="22"/>
  <c r="D971" i="22"/>
  <c r="B971" i="22"/>
  <c r="AO971" i="22" s="1"/>
  <c r="AK970" i="22"/>
  <c r="AB970" i="22"/>
  <c r="O970" i="22"/>
  <c r="G970" i="22"/>
  <c r="A970" i="22" s="1"/>
  <c r="C970" i="22" s="1"/>
  <c r="B970" i="22"/>
  <c r="AA970" i="22" s="1"/>
  <c r="AM969" i="22"/>
  <c r="AL969" i="22"/>
  <c r="AK969" i="22"/>
  <c r="AI969" i="22"/>
  <c r="AC969" i="22"/>
  <c r="AB969" i="22"/>
  <c r="X969" i="22"/>
  <c r="Q969" i="22"/>
  <c r="P969" i="22"/>
  <c r="O969" i="22"/>
  <c r="M969" i="22"/>
  <c r="I969" i="22"/>
  <c r="H969" i="22"/>
  <c r="G969" i="22"/>
  <c r="A969" i="22" s="1"/>
  <c r="C969" i="22" s="1"/>
  <c r="AJ969" i="22" s="1"/>
  <c r="D969" i="22"/>
  <c r="B969" i="22"/>
  <c r="AA969" i="22" s="1"/>
  <c r="AO968" i="22"/>
  <c r="B968" i="22"/>
  <c r="AF968" i="22" s="1"/>
  <c r="AM967" i="22"/>
  <c r="AI967" i="22"/>
  <c r="X967" i="22"/>
  <c r="Q967" i="22"/>
  <c r="M967" i="22"/>
  <c r="I967" i="22"/>
  <c r="D967" i="22"/>
  <c r="B967" i="22"/>
  <c r="AH967" i="22" s="1"/>
  <c r="B966" i="22"/>
  <c r="AB966" i="22" s="1"/>
  <c r="AM965" i="22"/>
  <c r="AK965" i="22"/>
  <c r="AI965" i="22"/>
  <c r="AC965" i="22"/>
  <c r="AB965" i="22"/>
  <c r="X965" i="22"/>
  <c r="Q965" i="22"/>
  <c r="P965" i="22"/>
  <c r="O965" i="22"/>
  <c r="M965" i="22"/>
  <c r="I965" i="22"/>
  <c r="H965" i="22"/>
  <c r="G965" i="22"/>
  <c r="A965" i="22" s="1"/>
  <c r="C965" i="22" s="1"/>
  <c r="AJ965" i="22" s="1"/>
  <c r="D965" i="22"/>
  <c r="B965" i="22"/>
  <c r="AL965" i="22" s="1"/>
  <c r="AM964" i="22"/>
  <c r="AF964" i="22"/>
  <c r="Q964" i="22"/>
  <c r="K964" i="22"/>
  <c r="G964" i="22"/>
  <c r="A964" i="22" s="1"/>
  <c r="C964" i="22" s="1"/>
  <c r="AJ964" i="22" s="1"/>
  <c r="B964" i="22"/>
  <c r="AB964" i="22" s="1"/>
  <c r="AF963" i="22"/>
  <c r="P963" i="22"/>
  <c r="J963" i="22"/>
  <c r="H963" i="22"/>
  <c r="B963" i="22"/>
  <c r="AI963" i="22" s="1"/>
  <c r="AN962" i="22"/>
  <c r="AL962" i="22"/>
  <c r="AI962" i="22"/>
  <c r="AH962" i="22"/>
  <c r="AE962" i="22"/>
  <c r="AC962" i="22"/>
  <c r="X962" i="22"/>
  <c r="T962" i="22"/>
  <c r="P962" i="22"/>
  <c r="M962" i="22"/>
  <c r="L962" i="22"/>
  <c r="J962" i="22"/>
  <c r="H962" i="22"/>
  <c r="D962" i="22"/>
  <c r="B962" i="22"/>
  <c r="AM962" i="22" s="1"/>
  <c r="AN961" i="22"/>
  <c r="AK961" i="22"/>
  <c r="AH961" i="22"/>
  <c r="AE961" i="22"/>
  <c r="AB961" i="22"/>
  <c r="AA961" i="22"/>
  <c r="T961" i="22"/>
  <c r="O961" i="22"/>
  <c r="N961" i="22"/>
  <c r="L961" i="22"/>
  <c r="J961" i="22"/>
  <c r="G961" i="22"/>
  <c r="A961" i="22" s="1"/>
  <c r="C961" i="22" s="1"/>
  <c r="B961" i="22"/>
  <c r="AO961" i="22" s="1"/>
  <c r="AM960" i="22"/>
  <c r="AL960" i="22"/>
  <c r="AH960" i="22"/>
  <c r="AC960" i="22"/>
  <c r="AA960" i="22"/>
  <c r="T960" i="22"/>
  <c r="Q960" i="22"/>
  <c r="P960" i="22"/>
  <c r="N960" i="22"/>
  <c r="L960" i="22"/>
  <c r="I960" i="22"/>
  <c r="H960" i="22"/>
  <c r="B960" i="22"/>
  <c r="AI960" i="22" s="1"/>
  <c r="AL959" i="22"/>
  <c r="AC959" i="22"/>
  <c r="P959" i="22"/>
  <c r="H959" i="22"/>
  <c r="B959" i="22"/>
  <c r="AK959" i="22" s="1"/>
  <c r="AN958" i="22"/>
  <c r="AL958" i="22"/>
  <c r="AI958" i="22"/>
  <c r="AH958" i="22"/>
  <c r="AE958" i="22"/>
  <c r="AC958" i="22"/>
  <c r="X958" i="22"/>
  <c r="T958" i="22"/>
  <c r="P958" i="22"/>
  <c r="O958" i="22"/>
  <c r="M958" i="22"/>
  <c r="L958" i="22"/>
  <c r="J958" i="22"/>
  <c r="H958" i="22"/>
  <c r="G958" i="22"/>
  <c r="A958" i="22" s="1"/>
  <c r="C958" i="22" s="1"/>
  <c r="D958" i="22"/>
  <c r="B958" i="22"/>
  <c r="AM958" i="22" s="1"/>
  <c r="AN957" i="22"/>
  <c r="AM957" i="22"/>
  <c r="AK957" i="22"/>
  <c r="AH957" i="22"/>
  <c r="AE957" i="22"/>
  <c r="AB957" i="22"/>
  <c r="AA957" i="22"/>
  <c r="T957" i="22"/>
  <c r="Q957" i="22"/>
  <c r="O957" i="22"/>
  <c r="N957" i="22"/>
  <c r="L957" i="22"/>
  <c r="J957" i="22"/>
  <c r="I957" i="22"/>
  <c r="G957" i="22"/>
  <c r="A957" i="22" s="1"/>
  <c r="C957" i="22" s="1"/>
  <c r="D957" i="22"/>
  <c r="B957" i="22"/>
  <c r="AO957" i="22" s="1"/>
  <c r="AM956" i="22"/>
  <c r="AA956" i="22"/>
  <c r="Q956" i="22"/>
  <c r="N956" i="22"/>
  <c r="I956" i="22"/>
  <c r="B956" i="22"/>
  <c r="AI956" i="22" s="1"/>
  <c r="AL955" i="22"/>
  <c r="AC955" i="22"/>
  <c r="P955" i="22"/>
  <c r="H955" i="22"/>
  <c r="B955" i="22"/>
  <c r="AK955" i="22" s="1"/>
  <c r="AN954" i="22"/>
  <c r="AL954" i="22"/>
  <c r="AK954" i="22"/>
  <c r="AI954" i="22"/>
  <c r="AH954" i="22"/>
  <c r="AE954" i="22"/>
  <c r="AC954" i="22"/>
  <c r="AB954" i="22"/>
  <c r="X954" i="22"/>
  <c r="T954" i="22"/>
  <c r="Q954" i="22"/>
  <c r="P954" i="22"/>
  <c r="O954" i="22"/>
  <c r="M954" i="22"/>
  <c r="L954" i="22"/>
  <c r="J954" i="22"/>
  <c r="I954" i="22"/>
  <c r="H954" i="22"/>
  <c r="G954" i="22"/>
  <c r="A954" i="22" s="1"/>
  <c r="C954" i="22" s="1"/>
  <c r="D954" i="22"/>
  <c r="B954" i="22"/>
  <c r="AM954" i="22" s="1"/>
  <c r="B953" i="22"/>
  <c r="T953" i="22" s="1"/>
  <c r="AM952" i="22"/>
  <c r="AI952" i="22"/>
  <c r="AA952" i="22"/>
  <c r="X952" i="22"/>
  <c r="Q952" i="22"/>
  <c r="N952" i="22"/>
  <c r="M952" i="22"/>
  <c r="I952" i="22"/>
  <c r="D952" i="22"/>
  <c r="B952" i="22"/>
  <c r="AH952" i="22" s="1"/>
  <c r="AK951" i="22"/>
  <c r="AF951" i="22"/>
  <c r="AC951" i="22"/>
  <c r="H951" i="22"/>
  <c r="G951" i="22"/>
  <c r="A951" i="22" s="1"/>
  <c r="C951" i="22" s="1"/>
  <c r="D951" i="22"/>
  <c r="B951" i="22"/>
  <c r="AN950" i="22"/>
  <c r="AM950" i="22"/>
  <c r="AK950" i="22"/>
  <c r="AI950" i="22"/>
  <c r="AH950" i="22"/>
  <c r="AE950" i="22"/>
  <c r="AB950" i="22"/>
  <c r="X950" i="22"/>
  <c r="T950" i="22"/>
  <c r="Q950" i="22"/>
  <c r="P950" i="22"/>
  <c r="O950" i="22"/>
  <c r="M950" i="22"/>
  <c r="L950" i="22"/>
  <c r="J950" i="22"/>
  <c r="I950" i="22"/>
  <c r="H950" i="22"/>
  <c r="G950" i="22"/>
  <c r="A950" i="22" s="1"/>
  <c r="C950" i="22" s="1"/>
  <c r="AJ950" i="22" s="1"/>
  <c r="D950" i="22"/>
  <c r="B950" i="22"/>
  <c r="AL950" i="22" s="1"/>
  <c r="AM949" i="22"/>
  <c r="AB949" i="22"/>
  <c r="T949" i="22"/>
  <c r="Q949" i="22"/>
  <c r="O949" i="22"/>
  <c r="I949" i="22"/>
  <c r="G949" i="22"/>
  <c r="A949" i="22" s="1"/>
  <c r="C949" i="22" s="1"/>
  <c r="B949" i="22"/>
  <c r="AM948" i="22"/>
  <c r="AF948" i="22"/>
  <c r="AA948" i="22"/>
  <c r="Q948" i="22"/>
  <c r="K948" i="22"/>
  <c r="I948" i="22"/>
  <c r="B948" i="22"/>
  <c r="AO947" i="22"/>
  <c r="AI947" i="22"/>
  <c r="AF947" i="22"/>
  <c r="AC947" i="22"/>
  <c r="X947" i="22"/>
  <c r="M947" i="22"/>
  <c r="K947" i="22"/>
  <c r="H947" i="22"/>
  <c r="D947" i="22"/>
  <c r="B947" i="22"/>
  <c r="AK947" i="22" s="1"/>
  <c r="AN946" i="22"/>
  <c r="AM946" i="22"/>
  <c r="AL946" i="22"/>
  <c r="AK946" i="22"/>
  <c r="AI946" i="22"/>
  <c r="AE946" i="22"/>
  <c r="AC946" i="22"/>
  <c r="AB946" i="22"/>
  <c r="X946" i="22"/>
  <c r="Q946" i="22"/>
  <c r="P946" i="22"/>
  <c r="O946" i="22"/>
  <c r="M946" i="22"/>
  <c r="J946" i="22"/>
  <c r="I946" i="22"/>
  <c r="H946" i="22"/>
  <c r="G946" i="22"/>
  <c r="A946" i="22" s="1"/>
  <c r="C946" i="22" s="1"/>
  <c r="D946" i="22"/>
  <c r="B946" i="22"/>
  <c r="AA946" i="22" s="1"/>
  <c r="AO945" i="22"/>
  <c r="AI945" i="22"/>
  <c r="AH945" i="22"/>
  <c r="O945" i="22"/>
  <c r="J945" i="22"/>
  <c r="I945" i="22"/>
  <c r="B945" i="22"/>
  <c r="AF945" i="22" s="1"/>
  <c r="AO944" i="22"/>
  <c r="K944" i="22"/>
  <c r="B944" i="22"/>
  <c r="AF944" i="22" s="1"/>
  <c r="AI943" i="22"/>
  <c r="X943" i="22"/>
  <c r="M943" i="22"/>
  <c r="D943" i="22"/>
  <c r="B943" i="22"/>
  <c r="AN943" i="22" s="1"/>
  <c r="AM942" i="22"/>
  <c r="AL942" i="22"/>
  <c r="AK942" i="22"/>
  <c r="AI942" i="22"/>
  <c r="AH942" i="22"/>
  <c r="AC942" i="22"/>
  <c r="AB942" i="22"/>
  <c r="X942" i="22"/>
  <c r="T942" i="22"/>
  <c r="Q942" i="22"/>
  <c r="P942" i="22"/>
  <c r="O942" i="22"/>
  <c r="M942" i="22"/>
  <c r="L942" i="22"/>
  <c r="I942" i="22"/>
  <c r="H942" i="22"/>
  <c r="G942" i="22"/>
  <c r="A942" i="22" s="1"/>
  <c r="C942" i="22" s="1"/>
  <c r="D942" i="22"/>
  <c r="B942" i="22"/>
  <c r="AO942" i="22" s="1"/>
  <c r="AN941" i="22"/>
  <c r="AM941" i="22"/>
  <c r="AK941" i="22"/>
  <c r="AE941" i="22"/>
  <c r="AB941" i="22"/>
  <c r="AA941" i="22"/>
  <c r="T941" i="22"/>
  <c r="Q941" i="22"/>
  <c r="O941" i="22"/>
  <c r="N941" i="22"/>
  <c r="L941" i="22"/>
  <c r="J941" i="22"/>
  <c r="I941" i="22"/>
  <c r="G941" i="22"/>
  <c r="A941" i="22" s="1"/>
  <c r="C941" i="22" s="1"/>
  <c r="AJ941" i="22" s="1"/>
  <c r="B941" i="22"/>
  <c r="AI941" i="22" s="1"/>
  <c r="AO940" i="22"/>
  <c r="K940" i="22"/>
  <c r="B940" i="22"/>
  <c r="AF940" i="22" s="1"/>
  <c r="AI939" i="22"/>
  <c r="AA939" i="22"/>
  <c r="X939" i="22"/>
  <c r="N939" i="22"/>
  <c r="M939" i="22"/>
  <c r="D939" i="22"/>
  <c r="B939" i="22"/>
  <c r="AN939" i="22" s="1"/>
  <c r="AN938" i="22"/>
  <c r="AM938" i="22"/>
  <c r="AL938" i="22"/>
  <c r="AK938" i="22"/>
  <c r="AI938" i="22"/>
  <c r="AH938" i="22"/>
  <c r="AE938" i="22"/>
  <c r="AC938" i="22"/>
  <c r="AB938" i="22"/>
  <c r="X938" i="22"/>
  <c r="T938" i="22"/>
  <c r="Q938" i="22"/>
  <c r="P938" i="22"/>
  <c r="O938" i="22"/>
  <c r="M938" i="22"/>
  <c r="L938" i="22"/>
  <c r="J938" i="22"/>
  <c r="I938" i="22"/>
  <c r="H938" i="22"/>
  <c r="G938" i="22"/>
  <c r="A938" i="22" s="1"/>
  <c r="C938" i="22" s="1"/>
  <c r="D938" i="22"/>
  <c r="B938" i="22"/>
  <c r="AO938" i="22" s="1"/>
  <c r="AN937" i="22"/>
  <c r="AM937" i="22"/>
  <c r="AK937" i="22"/>
  <c r="AH937" i="22"/>
  <c r="AE937" i="22"/>
  <c r="AB937" i="22"/>
  <c r="T937" i="22"/>
  <c r="Q937" i="22"/>
  <c r="O937" i="22"/>
  <c r="L937" i="22"/>
  <c r="J937" i="22"/>
  <c r="I937" i="22"/>
  <c r="G937" i="22"/>
  <c r="A937" i="22" s="1"/>
  <c r="C937" i="22" s="1"/>
  <c r="AJ937" i="22" s="1"/>
  <c r="B937" i="22"/>
  <c r="AA937" i="22" s="1"/>
  <c r="T936" i="22"/>
  <c r="L936" i="22"/>
  <c r="K936" i="22"/>
  <c r="B936" i="22"/>
  <c r="AH936" i="22" s="1"/>
  <c r="AI935" i="22"/>
  <c r="AA935" i="22"/>
  <c r="X935" i="22"/>
  <c r="N935" i="22"/>
  <c r="M935" i="22"/>
  <c r="D935" i="22"/>
  <c r="B935" i="22"/>
  <c r="AN935" i="22" s="1"/>
  <c r="AN934" i="22"/>
  <c r="AM934" i="22"/>
  <c r="AL934" i="22"/>
  <c r="AK934" i="22"/>
  <c r="AI934" i="22"/>
  <c r="AE934" i="22"/>
  <c r="AC934" i="22"/>
  <c r="AB934" i="22"/>
  <c r="AA934" i="22"/>
  <c r="X934" i="22"/>
  <c r="Q934" i="22"/>
  <c r="P934" i="22"/>
  <c r="O934" i="22"/>
  <c r="N934" i="22"/>
  <c r="M934" i="22"/>
  <c r="J934" i="22"/>
  <c r="I934" i="22"/>
  <c r="H934" i="22"/>
  <c r="G934" i="22"/>
  <c r="A934" i="22" s="1"/>
  <c r="C934" i="22" s="1"/>
  <c r="D934" i="22"/>
  <c r="B934" i="22"/>
  <c r="AH934" i="22" s="1"/>
  <c r="AN933" i="22"/>
  <c r="AM933" i="22"/>
  <c r="AK933" i="22"/>
  <c r="AE933" i="22"/>
  <c r="AB933" i="22"/>
  <c r="Q933" i="22"/>
  <c r="O933" i="22"/>
  <c r="M933" i="22"/>
  <c r="J933" i="22"/>
  <c r="I933" i="22"/>
  <c r="G933" i="22"/>
  <c r="A933" i="22" s="1"/>
  <c r="C933" i="22" s="1"/>
  <c r="AJ933" i="22" s="1"/>
  <c r="D933" i="22"/>
  <c r="B933" i="22"/>
  <c r="AA933" i="22" s="1"/>
  <c r="AF932" i="22"/>
  <c r="L932" i="22"/>
  <c r="K932" i="22"/>
  <c r="B932" i="22"/>
  <c r="T932" i="22" s="1"/>
  <c r="AO931" i="22"/>
  <c r="AF931" i="22"/>
  <c r="M931" i="22"/>
  <c r="D931" i="22"/>
  <c r="B931" i="22"/>
  <c r="X931" i="22" s="1"/>
  <c r="AL930" i="22"/>
  <c r="AK930" i="22"/>
  <c r="AI930" i="22"/>
  <c r="AC930" i="22"/>
  <c r="AB930" i="22"/>
  <c r="X930" i="22"/>
  <c r="P930" i="22"/>
  <c r="O930" i="22"/>
  <c r="M930" i="22"/>
  <c r="H930" i="22"/>
  <c r="G930" i="22"/>
  <c r="A930" i="22" s="1"/>
  <c r="C930" i="22" s="1"/>
  <c r="D930" i="22"/>
  <c r="B930" i="22"/>
  <c r="AH930" i="22" s="1"/>
  <c r="AN929" i="22"/>
  <c r="AM929" i="22"/>
  <c r="AK929" i="22"/>
  <c r="AI929" i="22"/>
  <c r="AE929" i="22"/>
  <c r="AB929" i="22"/>
  <c r="AA929" i="22"/>
  <c r="X929" i="22"/>
  <c r="Q929" i="22"/>
  <c r="O929" i="22"/>
  <c r="N929" i="22"/>
  <c r="M929" i="22"/>
  <c r="J929" i="22"/>
  <c r="I929" i="22"/>
  <c r="G929" i="22"/>
  <c r="A929" i="22" s="1"/>
  <c r="C929" i="22" s="1"/>
  <c r="AJ929" i="22" s="1"/>
  <c r="D929" i="22"/>
  <c r="B929" i="22"/>
  <c r="AH929" i="22" s="1"/>
  <c r="B928" i="22"/>
  <c r="AI927" i="22"/>
  <c r="AC927" i="22"/>
  <c r="Q927" i="22"/>
  <c r="N927" i="22"/>
  <c r="I927" i="22"/>
  <c r="B927" i="22"/>
  <c r="AL926" i="22"/>
  <c r="AC926" i="22"/>
  <c r="P926" i="22"/>
  <c r="H926" i="22"/>
  <c r="B926" i="22"/>
  <c r="AK926" i="22" s="1"/>
  <c r="AN925" i="22"/>
  <c r="AI925" i="22"/>
  <c r="AE925" i="22"/>
  <c r="X925" i="22"/>
  <c r="M925" i="22"/>
  <c r="J925" i="22"/>
  <c r="D925" i="22"/>
  <c r="B925" i="22"/>
  <c r="AM925" i="22" s="1"/>
  <c r="AK924" i="22"/>
  <c r="AI924" i="22"/>
  <c r="AH924" i="22"/>
  <c r="AB924" i="22"/>
  <c r="AA924" i="22"/>
  <c r="X924" i="22"/>
  <c r="T924" i="22"/>
  <c r="O924" i="22"/>
  <c r="N924" i="22"/>
  <c r="M924" i="22"/>
  <c r="L924" i="22"/>
  <c r="G924" i="22"/>
  <c r="A924" i="22" s="1"/>
  <c r="C924" i="22" s="1"/>
  <c r="D924" i="22"/>
  <c r="B924" i="22"/>
  <c r="AO924" i="22" s="1"/>
  <c r="AM923" i="22"/>
  <c r="AL923" i="22"/>
  <c r="AK923" i="22"/>
  <c r="AC923" i="22"/>
  <c r="AB923" i="22"/>
  <c r="AA923" i="22"/>
  <c r="Q923" i="22"/>
  <c r="P923" i="22"/>
  <c r="O923" i="22"/>
  <c r="N923" i="22"/>
  <c r="I923" i="22"/>
  <c r="H923" i="22"/>
  <c r="G923" i="22"/>
  <c r="A923" i="22" s="1"/>
  <c r="C923" i="22" s="1"/>
  <c r="AJ923" i="22" s="1"/>
  <c r="B923" i="22"/>
  <c r="AI923" i="22" s="1"/>
  <c r="AL922" i="22"/>
  <c r="AF922" i="22"/>
  <c r="AC922" i="22"/>
  <c r="P922" i="22"/>
  <c r="K922" i="22"/>
  <c r="H922" i="22"/>
  <c r="B922" i="22"/>
  <c r="AN921" i="22"/>
  <c r="AI921" i="22"/>
  <c r="AE921" i="22"/>
  <c r="X921" i="22"/>
  <c r="M921" i="22"/>
  <c r="J921" i="22"/>
  <c r="D921" i="22"/>
  <c r="B921" i="22"/>
  <c r="AM921" i="22" s="1"/>
  <c r="AK920" i="22"/>
  <c r="AI920" i="22"/>
  <c r="AH920" i="22"/>
  <c r="AB920" i="22"/>
  <c r="AA920" i="22"/>
  <c r="X920" i="22"/>
  <c r="T920" i="22"/>
  <c r="O920" i="22"/>
  <c r="N920" i="22"/>
  <c r="M920" i="22"/>
  <c r="L920" i="22"/>
  <c r="G920" i="22"/>
  <c r="A920" i="22" s="1"/>
  <c r="C920" i="22" s="1"/>
  <c r="D920" i="22"/>
  <c r="B920" i="22"/>
  <c r="AO920" i="22" s="1"/>
  <c r="AM919" i="22"/>
  <c r="AL919" i="22"/>
  <c r="AK919" i="22"/>
  <c r="AC919" i="22"/>
  <c r="AB919" i="22"/>
  <c r="AA919" i="22"/>
  <c r="Q919" i="22"/>
  <c r="P919" i="22"/>
  <c r="O919" i="22"/>
  <c r="N919" i="22"/>
  <c r="I919" i="22"/>
  <c r="H919" i="22"/>
  <c r="G919" i="22"/>
  <c r="A919" i="22" s="1"/>
  <c r="C919" i="22" s="1"/>
  <c r="AJ919" i="22" s="1"/>
  <c r="B919" i="22"/>
  <c r="AI919" i="22" s="1"/>
  <c r="AF918" i="22"/>
  <c r="AC918" i="22"/>
  <c r="P918" i="22"/>
  <c r="H918" i="22"/>
  <c r="B918" i="22"/>
  <c r="AL918" i="22" s="1"/>
  <c r="AN917" i="22"/>
  <c r="AI917" i="22"/>
  <c r="AE917" i="22"/>
  <c r="X917" i="22"/>
  <c r="M917" i="22"/>
  <c r="J917" i="22"/>
  <c r="D917" i="22"/>
  <c r="B917" i="22"/>
  <c r="AM917" i="22" s="1"/>
  <c r="AK916" i="22"/>
  <c r="AH916" i="22"/>
  <c r="AB916" i="22"/>
  <c r="T916" i="22"/>
  <c r="O916" i="22"/>
  <c r="L916" i="22"/>
  <c r="G916" i="22"/>
  <c r="A916" i="22" s="1"/>
  <c r="C916" i="22" s="1"/>
  <c r="B916" i="22"/>
  <c r="AO916" i="22" s="1"/>
  <c r="AN915" i="22"/>
  <c r="AM915" i="22"/>
  <c r="AL915" i="22"/>
  <c r="AK915" i="22"/>
  <c r="AI915" i="22"/>
  <c r="AH915" i="22"/>
  <c r="AE915" i="22"/>
  <c r="AC915" i="22"/>
  <c r="AB915" i="22"/>
  <c r="AA915" i="22"/>
  <c r="X915" i="22"/>
  <c r="T915" i="22"/>
  <c r="Q915" i="22"/>
  <c r="P915" i="22"/>
  <c r="O915" i="22"/>
  <c r="N915" i="22"/>
  <c r="M915" i="22"/>
  <c r="L915" i="22"/>
  <c r="J915" i="22"/>
  <c r="I915" i="22"/>
  <c r="H915" i="22"/>
  <c r="G915" i="22"/>
  <c r="A915" i="22" s="1"/>
  <c r="C915" i="22" s="1"/>
  <c r="AD915" i="22" s="1"/>
  <c r="D915" i="22"/>
  <c r="B915" i="22"/>
  <c r="AO915" i="22" s="1"/>
  <c r="AC914" i="22"/>
  <c r="P914" i="22"/>
  <c r="H914" i="22"/>
  <c r="B914" i="22"/>
  <c r="AL914" i="22" s="1"/>
  <c r="AN913" i="22"/>
  <c r="AM913" i="22"/>
  <c r="AI913" i="22"/>
  <c r="AE913" i="22"/>
  <c r="X913" i="22"/>
  <c r="Q913" i="22"/>
  <c r="M913" i="22"/>
  <c r="J913" i="22"/>
  <c r="I913" i="22"/>
  <c r="D913" i="22"/>
  <c r="B913" i="22"/>
  <c r="AL913" i="22" s="1"/>
  <c r="AK912" i="22"/>
  <c r="AH912" i="22"/>
  <c r="AB912" i="22"/>
  <c r="T912" i="22"/>
  <c r="O912" i="22"/>
  <c r="L912" i="22"/>
  <c r="G912" i="22"/>
  <c r="A912" i="22" s="1"/>
  <c r="C912" i="22" s="1"/>
  <c r="B912" i="22"/>
  <c r="AO912" i="22" s="1"/>
  <c r="AM911" i="22"/>
  <c r="AI911" i="22"/>
  <c r="AA911" i="22"/>
  <c r="X911" i="22"/>
  <c r="Q911" i="22"/>
  <c r="O911" i="22"/>
  <c r="N911" i="22"/>
  <c r="M911" i="22"/>
  <c r="I911" i="22"/>
  <c r="G911" i="22"/>
  <c r="A911" i="22" s="1"/>
  <c r="C911" i="22" s="1"/>
  <c r="AJ911" i="22" s="1"/>
  <c r="D911" i="22"/>
  <c r="B911" i="22"/>
  <c r="AH911" i="22" s="1"/>
  <c r="AL910" i="22"/>
  <c r="AF910" i="22"/>
  <c r="AC910" i="22"/>
  <c r="P910" i="22"/>
  <c r="H910" i="22"/>
  <c r="B910" i="22"/>
  <c r="AN909" i="22"/>
  <c r="AM909" i="22"/>
  <c r="AI909" i="22"/>
  <c r="AE909" i="22"/>
  <c r="X909" i="22"/>
  <c r="Q909" i="22"/>
  <c r="M909" i="22"/>
  <c r="J909" i="22"/>
  <c r="I909" i="22"/>
  <c r="D909" i="22"/>
  <c r="B909" i="22"/>
  <c r="AL909" i="22" s="1"/>
  <c r="AK908" i="22"/>
  <c r="AH908" i="22"/>
  <c r="AB908" i="22"/>
  <c r="T908" i="22"/>
  <c r="O908" i="22"/>
  <c r="L908" i="22"/>
  <c r="G908" i="22"/>
  <c r="A908" i="22" s="1"/>
  <c r="C908" i="22" s="1"/>
  <c r="B908" i="22"/>
  <c r="AO908" i="22" s="1"/>
  <c r="AM907" i="22"/>
  <c r="AI907" i="22"/>
  <c r="AF907" i="22"/>
  <c r="AA907" i="22"/>
  <c r="X907" i="22"/>
  <c r="Q907" i="22"/>
  <c r="M907" i="22"/>
  <c r="K907" i="22"/>
  <c r="I907" i="22"/>
  <c r="D907" i="22"/>
  <c r="B907" i="22"/>
  <c r="N907" i="22" s="1"/>
  <c r="AK906" i="22"/>
  <c r="AB906" i="22"/>
  <c r="O906" i="22"/>
  <c r="G906" i="22"/>
  <c r="A906" i="22" s="1"/>
  <c r="C906" i="22" s="1"/>
  <c r="B906" i="22"/>
  <c r="AL906" i="22" s="1"/>
  <c r="AM905" i="22"/>
  <c r="AE905" i="22"/>
  <c r="AC905" i="22"/>
  <c r="X905" i="22"/>
  <c r="Q905" i="22"/>
  <c r="O905" i="22"/>
  <c r="M905" i="22"/>
  <c r="J905" i="22"/>
  <c r="I905" i="22"/>
  <c r="G905" i="22"/>
  <c r="A905" i="22" s="1"/>
  <c r="C905" i="22" s="1"/>
  <c r="D905" i="22"/>
  <c r="B905" i="22"/>
  <c r="AH905" i="22" s="1"/>
  <c r="K904" i="22"/>
  <c r="B904" i="22"/>
  <c r="AM903" i="22"/>
  <c r="AI903" i="22"/>
  <c r="X903" i="22"/>
  <c r="Q903" i="22"/>
  <c r="M903" i="22"/>
  <c r="I903" i="22"/>
  <c r="D903" i="22"/>
  <c r="B903" i="22"/>
  <c r="AH903" i="22" s="1"/>
  <c r="AK902" i="22"/>
  <c r="AB902" i="22"/>
  <c r="O902" i="22"/>
  <c r="G902" i="22"/>
  <c r="A902" i="22" s="1"/>
  <c r="C902" i="22" s="1"/>
  <c r="B902" i="22"/>
  <c r="AA902" i="22" s="1"/>
  <c r="AM901" i="22"/>
  <c r="AK901" i="22"/>
  <c r="AI901" i="22"/>
  <c r="AB901" i="22"/>
  <c r="X901" i="22"/>
  <c r="Q901" i="22"/>
  <c r="O901" i="22"/>
  <c r="M901" i="22"/>
  <c r="I901" i="22"/>
  <c r="G901" i="22"/>
  <c r="A901" i="22" s="1"/>
  <c r="C901" i="22" s="1"/>
  <c r="AJ901" i="22" s="1"/>
  <c r="D901" i="22"/>
  <c r="B901" i="22"/>
  <c r="AL901" i="22" s="1"/>
  <c r="B900" i="22"/>
  <c r="AM899" i="22"/>
  <c r="AI899" i="22"/>
  <c r="X899" i="22"/>
  <c r="Q899" i="22"/>
  <c r="M899" i="22"/>
  <c r="I899" i="22"/>
  <c r="D899" i="22"/>
  <c r="B899" i="22"/>
  <c r="AH899" i="22" s="1"/>
  <c r="AK898" i="22"/>
  <c r="AB898" i="22"/>
  <c r="O898" i="22"/>
  <c r="G898" i="22"/>
  <c r="A898" i="22" s="1"/>
  <c r="C898" i="22" s="1"/>
  <c r="B898" i="22"/>
  <c r="AA898" i="22" s="1"/>
  <c r="AM897" i="22"/>
  <c r="AK897" i="22"/>
  <c r="AI897" i="22"/>
  <c r="AB897" i="22"/>
  <c r="X897" i="22"/>
  <c r="Q897" i="22"/>
  <c r="O897" i="22"/>
  <c r="M897" i="22"/>
  <c r="I897" i="22"/>
  <c r="G897" i="22"/>
  <c r="A897" i="22" s="1"/>
  <c r="C897" i="22" s="1"/>
  <c r="AJ897" i="22" s="1"/>
  <c r="D897" i="22"/>
  <c r="B897" i="22"/>
  <c r="AL897" i="22" s="1"/>
  <c r="AO896" i="22"/>
  <c r="B896" i="22"/>
  <c r="AM895" i="22"/>
  <c r="AI895" i="22"/>
  <c r="X895" i="22"/>
  <c r="Q895" i="22"/>
  <c r="M895" i="22"/>
  <c r="I895" i="22"/>
  <c r="D895" i="22"/>
  <c r="B895" i="22"/>
  <c r="AH895" i="22" s="1"/>
  <c r="AK894" i="22"/>
  <c r="AB894" i="22"/>
  <c r="O894" i="22"/>
  <c r="G894" i="22"/>
  <c r="A894" i="22" s="1"/>
  <c r="C894" i="22" s="1"/>
  <c r="B894" i="22"/>
  <c r="AA894" i="22" s="1"/>
  <c r="AM893" i="22"/>
  <c r="AI893" i="22"/>
  <c r="X893" i="22"/>
  <c r="Q893" i="22"/>
  <c r="M893" i="22"/>
  <c r="I893" i="22"/>
  <c r="D893" i="22"/>
  <c r="B893" i="22"/>
  <c r="AL893" i="22" s="1"/>
  <c r="AF892" i="22"/>
  <c r="B892" i="22"/>
  <c r="AM891" i="22"/>
  <c r="AI891" i="22"/>
  <c r="X891" i="22"/>
  <c r="Q891" i="22"/>
  <c r="M891" i="22"/>
  <c r="I891" i="22"/>
  <c r="D891" i="22"/>
  <c r="B891" i="22"/>
  <c r="AH891" i="22" s="1"/>
  <c r="AK890" i="22"/>
  <c r="O890" i="22"/>
  <c r="K890" i="22"/>
  <c r="B890" i="22"/>
  <c r="AM889" i="22"/>
  <c r="AI889" i="22"/>
  <c r="X889" i="22"/>
  <c r="Q889" i="22"/>
  <c r="M889" i="22"/>
  <c r="I889" i="22"/>
  <c r="D889" i="22"/>
  <c r="B889" i="22"/>
  <c r="AL889" i="22" s="1"/>
  <c r="AK888" i="22"/>
  <c r="AB888" i="22"/>
  <c r="O888" i="22"/>
  <c r="M888" i="22"/>
  <c r="K888" i="22"/>
  <c r="D888" i="22"/>
  <c r="B888" i="22"/>
  <c r="AM887" i="22"/>
  <c r="AL887" i="22"/>
  <c r="AK887" i="22"/>
  <c r="AI887" i="22"/>
  <c r="AC887" i="22"/>
  <c r="AB887" i="22"/>
  <c r="AA887" i="22"/>
  <c r="X887" i="22"/>
  <c r="Q887" i="22"/>
  <c r="P887" i="22"/>
  <c r="O887" i="22"/>
  <c r="N887" i="22"/>
  <c r="M887" i="22"/>
  <c r="I887" i="22"/>
  <c r="H887" i="22"/>
  <c r="G887" i="22"/>
  <c r="A887" i="22" s="1"/>
  <c r="C887" i="22" s="1"/>
  <c r="D887" i="22"/>
  <c r="B887" i="22"/>
  <c r="AE887" i="22" s="1"/>
  <c r="AN886" i="22"/>
  <c r="AM886" i="22"/>
  <c r="AK886" i="22"/>
  <c r="AE886" i="22"/>
  <c r="AB886" i="22"/>
  <c r="Q886" i="22"/>
  <c r="O886" i="22"/>
  <c r="J886" i="22"/>
  <c r="I886" i="22"/>
  <c r="G886" i="22"/>
  <c r="A886" i="22" s="1"/>
  <c r="C886" i="22" s="1"/>
  <c r="B886" i="22"/>
  <c r="AA886" i="22" s="1"/>
  <c r="AM885" i="22"/>
  <c r="Q885" i="22"/>
  <c r="L885" i="22"/>
  <c r="I885" i="22"/>
  <c r="B885" i="22"/>
  <c r="AL885" i="22" s="1"/>
  <c r="B884" i="22"/>
  <c r="AM883" i="22"/>
  <c r="AL883" i="22"/>
  <c r="AK883" i="22"/>
  <c r="AI883" i="22"/>
  <c r="AC883" i="22"/>
  <c r="AB883" i="22"/>
  <c r="X883" i="22"/>
  <c r="Q883" i="22"/>
  <c r="P883" i="22"/>
  <c r="O883" i="22"/>
  <c r="N883" i="22"/>
  <c r="M883" i="22"/>
  <c r="I883" i="22"/>
  <c r="H883" i="22"/>
  <c r="G883" i="22"/>
  <c r="A883" i="22" s="1"/>
  <c r="C883" i="22" s="1"/>
  <c r="D883" i="22"/>
  <c r="B883" i="22"/>
  <c r="AH883" i="22" s="1"/>
  <c r="AN882" i="22"/>
  <c r="AM882" i="22"/>
  <c r="AK882" i="22"/>
  <c r="AE882" i="22"/>
  <c r="AB882" i="22"/>
  <c r="Q882" i="22"/>
  <c r="O882" i="22"/>
  <c r="J882" i="22"/>
  <c r="I882" i="22"/>
  <c r="G882" i="22"/>
  <c r="A882" i="22" s="1"/>
  <c r="C882" i="22" s="1"/>
  <c r="B882" i="22"/>
  <c r="AA882" i="22" s="1"/>
  <c r="AM881" i="22"/>
  <c r="Q881" i="22"/>
  <c r="I881" i="22"/>
  <c r="B881" i="22"/>
  <c r="AL881" i="22" s="1"/>
  <c r="B880" i="22"/>
  <c r="AL879" i="22"/>
  <c r="AK879" i="22"/>
  <c r="AI879" i="22"/>
  <c r="AC879" i="22"/>
  <c r="AB879" i="22"/>
  <c r="X879" i="22"/>
  <c r="P879" i="22"/>
  <c r="O879" i="22"/>
  <c r="M879" i="22"/>
  <c r="J879" i="22"/>
  <c r="I879" i="22"/>
  <c r="H879" i="22"/>
  <c r="G879" i="22"/>
  <c r="A879" i="22" s="1"/>
  <c r="C879" i="22" s="1"/>
  <c r="D879" i="22"/>
  <c r="B879" i="22"/>
  <c r="AH879" i="22" s="1"/>
  <c r="AN878" i="22"/>
  <c r="AM878" i="22"/>
  <c r="AK878" i="22"/>
  <c r="AH878" i="22"/>
  <c r="AE878" i="22"/>
  <c r="AB878" i="22"/>
  <c r="T878" i="22"/>
  <c r="Q878" i="22"/>
  <c r="O878" i="22"/>
  <c r="L878" i="22"/>
  <c r="J878" i="22"/>
  <c r="I878" i="22"/>
  <c r="G878" i="22"/>
  <c r="A878" i="22" s="1"/>
  <c r="C878" i="22" s="1"/>
  <c r="B878" i="22"/>
  <c r="AA878" i="22" s="1"/>
  <c r="AM877" i="22"/>
  <c r="Q877" i="22"/>
  <c r="I877" i="22"/>
  <c r="B877" i="22"/>
  <c r="AL877" i="22" s="1"/>
  <c r="B876" i="22"/>
  <c r="AN875" i="22"/>
  <c r="AL875" i="22"/>
  <c r="AK875" i="22"/>
  <c r="AI875" i="22"/>
  <c r="AE875" i="22"/>
  <c r="AC875" i="22"/>
  <c r="AB875" i="22"/>
  <c r="X875" i="22"/>
  <c r="P875" i="22"/>
  <c r="O875" i="22"/>
  <c r="M875" i="22"/>
  <c r="J875" i="22"/>
  <c r="H875" i="22"/>
  <c r="G875" i="22"/>
  <c r="A875" i="22" s="1"/>
  <c r="C875" i="22" s="1"/>
  <c r="D875" i="22"/>
  <c r="B875" i="22"/>
  <c r="AH875" i="22" s="1"/>
  <c r="AN874" i="22"/>
  <c r="AM874" i="22"/>
  <c r="AK874" i="22"/>
  <c r="AH874" i="22"/>
  <c r="AE874" i="22"/>
  <c r="AB874" i="22"/>
  <c r="T874" i="22"/>
  <c r="Q874" i="22"/>
  <c r="O874" i="22"/>
  <c r="L874" i="22"/>
  <c r="J874" i="22"/>
  <c r="I874" i="22"/>
  <c r="G874" i="22"/>
  <c r="A874" i="22" s="1"/>
  <c r="C874" i="22" s="1"/>
  <c r="B874" i="22"/>
  <c r="AA874" i="22" s="1"/>
  <c r="AM873" i="22"/>
  <c r="Q873" i="22"/>
  <c r="I873" i="22"/>
  <c r="B873" i="22"/>
  <c r="AL873" i="22" s="1"/>
  <c r="B872" i="22"/>
  <c r="AO872" i="22" s="1"/>
  <c r="AM871" i="22"/>
  <c r="AL871" i="22"/>
  <c r="AI871" i="22"/>
  <c r="AC871" i="22"/>
  <c r="X871" i="22"/>
  <c r="Q871" i="22"/>
  <c r="P871" i="22"/>
  <c r="M871" i="22"/>
  <c r="I871" i="22"/>
  <c r="H871" i="22"/>
  <c r="D871" i="22"/>
  <c r="B871" i="22"/>
  <c r="AH871" i="22" s="1"/>
  <c r="AN870" i="22"/>
  <c r="AK870" i="22"/>
  <c r="AE870" i="22"/>
  <c r="AB870" i="22"/>
  <c r="AA870" i="22"/>
  <c r="O870" i="22"/>
  <c r="N870" i="22"/>
  <c r="J870" i="22"/>
  <c r="G870" i="22"/>
  <c r="A870" i="22" s="1"/>
  <c r="C870" i="22" s="1"/>
  <c r="B870" i="22"/>
  <c r="AI870" i="22" s="1"/>
  <c r="AM869" i="22"/>
  <c r="AL869" i="22"/>
  <c r="AH869" i="22"/>
  <c r="AC869" i="22"/>
  <c r="T869" i="22"/>
  <c r="Q869" i="22"/>
  <c r="P869" i="22"/>
  <c r="L869" i="22"/>
  <c r="I869" i="22"/>
  <c r="H869" i="22"/>
  <c r="B869" i="22"/>
  <c r="AK869" i="22" s="1"/>
  <c r="AF868" i="22"/>
  <c r="K868" i="22"/>
  <c r="B868" i="22"/>
  <c r="AO868" i="22" s="1"/>
  <c r="AL867" i="22"/>
  <c r="AI867" i="22"/>
  <c r="AC867" i="22"/>
  <c r="X867" i="22"/>
  <c r="P867" i="22"/>
  <c r="M867" i="22"/>
  <c r="L867" i="22"/>
  <c r="H867" i="22"/>
  <c r="D867" i="22"/>
  <c r="B867" i="22"/>
  <c r="AH867" i="22" s="1"/>
  <c r="AN866" i="22"/>
  <c r="AK866" i="22"/>
  <c r="AI866" i="22"/>
  <c r="AE866" i="22"/>
  <c r="AB866" i="22"/>
  <c r="AA866" i="22"/>
  <c r="X866" i="22"/>
  <c r="P866" i="22"/>
  <c r="O866" i="22"/>
  <c r="N866" i="22"/>
  <c r="M866" i="22"/>
  <c r="J866" i="22"/>
  <c r="I866" i="22"/>
  <c r="H866" i="22"/>
  <c r="G866" i="22"/>
  <c r="A866" i="22" s="1"/>
  <c r="C866" i="22" s="1"/>
  <c r="D866" i="22"/>
  <c r="B866" i="22"/>
  <c r="AH866" i="22" s="1"/>
  <c r="AM865" i="22"/>
  <c r="AC865" i="22"/>
  <c r="Q865" i="22"/>
  <c r="P865" i="22"/>
  <c r="I865" i="22"/>
  <c r="H865" i="22"/>
  <c r="B865" i="22"/>
  <c r="AL865" i="22" s="1"/>
  <c r="B864" i="22"/>
  <c r="AL863" i="22"/>
  <c r="AK863" i="22"/>
  <c r="AI863" i="22"/>
  <c r="AH863" i="22"/>
  <c r="AC863" i="22"/>
  <c r="AB863" i="22"/>
  <c r="AA863" i="22"/>
  <c r="X863" i="22"/>
  <c r="T863" i="22"/>
  <c r="P863" i="22"/>
  <c r="O863" i="22"/>
  <c r="N863" i="22"/>
  <c r="M863" i="22"/>
  <c r="L863" i="22"/>
  <c r="H863" i="22"/>
  <c r="G863" i="22"/>
  <c r="A863" i="22" s="1"/>
  <c r="C863" i="22" s="1"/>
  <c r="D863" i="22"/>
  <c r="B863" i="22"/>
  <c r="AO863" i="22" s="1"/>
  <c r="AN862" i="22"/>
  <c r="AM862" i="22"/>
  <c r="AL862" i="22"/>
  <c r="AK862" i="22"/>
  <c r="AE862" i="22"/>
  <c r="AC862" i="22"/>
  <c r="AB862" i="22"/>
  <c r="AA862" i="22"/>
  <c r="Q862" i="22"/>
  <c r="P862" i="22"/>
  <c r="O862" i="22"/>
  <c r="N862" i="22"/>
  <c r="J862" i="22"/>
  <c r="I862" i="22"/>
  <c r="H862" i="22"/>
  <c r="G862" i="22"/>
  <c r="A862" i="22" s="1"/>
  <c r="C862" i="22" s="1"/>
  <c r="B862" i="22"/>
  <c r="AI862" i="22" s="1"/>
  <c r="AM861" i="22"/>
  <c r="Q861" i="22"/>
  <c r="I861" i="22"/>
  <c r="B861" i="22"/>
  <c r="AL861" i="22" s="1"/>
  <c r="B860" i="22"/>
  <c r="AI859" i="22"/>
  <c r="X859" i="22"/>
  <c r="M859" i="22"/>
  <c r="D859" i="22"/>
  <c r="B859" i="22"/>
  <c r="AH859" i="22" s="1"/>
  <c r="AK858" i="22"/>
  <c r="AB858" i="22"/>
  <c r="X858" i="22"/>
  <c r="O858" i="22"/>
  <c r="M858" i="22"/>
  <c r="G858" i="22"/>
  <c r="A858" i="22" s="1"/>
  <c r="C858" i="22" s="1"/>
  <c r="D858" i="22"/>
  <c r="B858" i="22"/>
  <c r="AA858" i="22" s="1"/>
  <c r="AM857" i="22"/>
  <c r="Q857" i="22"/>
  <c r="N857" i="22"/>
  <c r="I857" i="22"/>
  <c r="B857" i="22"/>
  <c r="AL857" i="22" s="1"/>
  <c r="AO856" i="22"/>
  <c r="AF856" i="22"/>
  <c r="K856" i="22"/>
  <c r="B856" i="22"/>
  <c r="AN855" i="22"/>
  <c r="AM855" i="22"/>
  <c r="AI855" i="22"/>
  <c r="AE855" i="22"/>
  <c r="X855" i="22"/>
  <c r="Q855" i="22"/>
  <c r="P855" i="22"/>
  <c r="M855" i="22"/>
  <c r="J855" i="22"/>
  <c r="I855" i="22"/>
  <c r="H855" i="22"/>
  <c r="D855" i="22"/>
  <c r="B855" i="22"/>
  <c r="AH855" i="22" s="1"/>
  <c r="AN854" i="22"/>
  <c r="AK854" i="22"/>
  <c r="AE854" i="22"/>
  <c r="AB854" i="22"/>
  <c r="O854" i="22"/>
  <c r="J854" i="22"/>
  <c r="G854" i="22"/>
  <c r="A854" i="22" s="1"/>
  <c r="C854" i="22" s="1"/>
  <c r="B854" i="22"/>
  <c r="AA854" i="22" s="1"/>
  <c r="AM853" i="22"/>
  <c r="AH853" i="22"/>
  <c r="T853" i="22"/>
  <c r="Q853" i="22"/>
  <c r="L853" i="22"/>
  <c r="I853" i="22"/>
  <c r="D853" i="22"/>
  <c r="B853" i="22"/>
  <c r="AL853" i="22" s="1"/>
  <c r="AF852" i="22"/>
  <c r="B852" i="22"/>
  <c r="AO852" i="22" s="1"/>
  <c r="AC851" i="22"/>
  <c r="M851" i="22"/>
  <c r="B851" i="22"/>
  <c r="P851" i="22" s="1"/>
  <c r="AN850" i="22"/>
  <c r="AK850" i="22"/>
  <c r="AI850" i="22"/>
  <c r="AE850" i="22"/>
  <c r="AB850" i="22"/>
  <c r="AA850" i="22"/>
  <c r="X850" i="22"/>
  <c r="O850" i="22"/>
  <c r="N850" i="22"/>
  <c r="M850" i="22"/>
  <c r="J850" i="22"/>
  <c r="G850" i="22"/>
  <c r="A850" i="22" s="1"/>
  <c r="C850" i="22" s="1"/>
  <c r="D850" i="22"/>
  <c r="B850" i="22"/>
  <c r="AH850" i="22" s="1"/>
  <c r="AH849" i="22"/>
  <c r="AE849" i="22"/>
  <c r="T849" i="22"/>
  <c r="Q849" i="22"/>
  <c r="L849" i="22"/>
  <c r="J849" i="22"/>
  <c r="I849" i="22"/>
  <c r="B849" i="22"/>
  <c r="AO848" i="22"/>
  <c r="AF848" i="22"/>
  <c r="K848" i="22"/>
  <c r="B848" i="22"/>
  <c r="AL847" i="22"/>
  <c r="AI847" i="22"/>
  <c r="AC847" i="22"/>
  <c r="AA847" i="22"/>
  <c r="X847" i="22"/>
  <c r="P847" i="22"/>
  <c r="N847" i="22"/>
  <c r="M847" i="22"/>
  <c r="J847" i="22"/>
  <c r="H847" i="22"/>
  <c r="G847" i="22"/>
  <c r="A847" i="22" s="1"/>
  <c r="C847" i="22" s="1"/>
  <c r="D847" i="22"/>
  <c r="B847" i="22"/>
  <c r="AH847" i="22" s="1"/>
  <c r="AL846" i="22"/>
  <c r="AK846" i="22"/>
  <c r="AH846" i="22"/>
  <c r="AC846" i="22"/>
  <c r="AB846" i="22"/>
  <c r="AA846" i="22"/>
  <c r="T846" i="22"/>
  <c r="P846" i="22"/>
  <c r="O846" i="22"/>
  <c r="N846" i="22"/>
  <c r="L846" i="22"/>
  <c r="H846" i="22"/>
  <c r="G846" i="22"/>
  <c r="A846" i="22" s="1"/>
  <c r="C846" i="22" s="1"/>
  <c r="B846" i="22"/>
  <c r="AI846" i="22" s="1"/>
  <c r="AN845" i="22"/>
  <c r="AM845" i="22"/>
  <c r="AL845" i="22"/>
  <c r="AE845" i="22"/>
  <c r="AC845" i="22"/>
  <c r="AA845" i="22"/>
  <c r="Q845" i="22"/>
  <c r="P845" i="22"/>
  <c r="N845" i="22"/>
  <c r="J845" i="22"/>
  <c r="I845" i="22"/>
  <c r="H845" i="22"/>
  <c r="B845" i="22"/>
  <c r="AK845" i="22" s="1"/>
  <c r="B844" i="22"/>
  <c r="AN843" i="22"/>
  <c r="AI843" i="22"/>
  <c r="AH843" i="22"/>
  <c r="AE843" i="22"/>
  <c r="AA843" i="22"/>
  <c r="X843" i="22"/>
  <c r="T843" i="22"/>
  <c r="N843" i="22"/>
  <c r="M843" i="22"/>
  <c r="L843" i="22"/>
  <c r="J843" i="22"/>
  <c r="D843" i="22"/>
  <c r="B843" i="22"/>
  <c r="AO843" i="22" s="1"/>
  <c r="AK842" i="22"/>
  <c r="AH842" i="22"/>
  <c r="AB842" i="22"/>
  <c r="AA842" i="22"/>
  <c r="T842" i="22"/>
  <c r="O842" i="22"/>
  <c r="N842" i="22"/>
  <c r="L842" i="22"/>
  <c r="H842" i="22"/>
  <c r="G842" i="22"/>
  <c r="A842" i="22" s="1"/>
  <c r="C842" i="22" s="1"/>
  <c r="B842" i="22"/>
  <c r="AI842" i="22" s="1"/>
  <c r="AM841" i="22"/>
  <c r="Q841" i="22"/>
  <c r="N841" i="22"/>
  <c r="I841" i="22"/>
  <c r="B841" i="22"/>
  <c r="AL841" i="22" s="1"/>
  <c r="AO840" i="22"/>
  <c r="AF840" i="22"/>
  <c r="K840" i="22"/>
  <c r="B840" i="22"/>
  <c r="AM839" i="22"/>
  <c r="AL839" i="22"/>
  <c r="AK839" i="22"/>
  <c r="AI839" i="22"/>
  <c r="AC839" i="22"/>
  <c r="AB839" i="22"/>
  <c r="X839" i="22"/>
  <c r="Q839" i="22"/>
  <c r="P839" i="22"/>
  <c r="O839" i="22"/>
  <c r="M839" i="22"/>
  <c r="I839" i="22"/>
  <c r="H839" i="22"/>
  <c r="G839" i="22"/>
  <c r="A839" i="22" s="1"/>
  <c r="C839" i="22" s="1"/>
  <c r="D839" i="22"/>
  <c r="B839" i="22"/>
  <c r="AH839" i="22" s="1"/>
  <c r="AN838" i="22"/>
  <c r="AK838" i="22"/>
  <c r="AE838" i="22"/>
  <c r="AB838" i="22"/>
  <c r="O838" i="22"/>
  <c r="J838" i="22"/>
  <c r="G838" i="22"/>
  <c r="A838" i="22" s="1"/>
  <c r="C838" i="22" s="1"/>
  <c r="B838" i="22"/>
  <c r="AA838" i="22" s="1"/>
  <c r="AM837" i="22"/>
  <c r="AH837" i="22"/>
  <c r="T837" i="22"/>
  <c r="Q837" i="22"/>
  <c r="M837" i="22"/>
  <c r="L837" i="22"/>
  <c r="I837" i="22"/>
  <c r="D837" i="22"/>
  <c r="B837" i="22"/>
  <c r="AL837" i="22" s="1"/>
  <c r="AO836" i="22"/>
  <c r="B836" i="22"/>
  <c r="AI835" i="22"/>
  <c r="X835" i="22"/>
  <c r="M835" i="22"/>
  <c r="D835" i="22"/>
  <c r="B835" i="22"/>
  <c r="AH835" i="22" s="1"/>
  <c r="AN834" i="22"/>
  <c r="AK834" i="22"/>
  <c r="AI834" i="22"/>
  <c r="AE834" i="22"/>
  <c r="AB834" i="22"/>
  <c r="X834" i="22"/>
  <c r="O834" i="22"/>
  <c r="M834" i="22"/>
  <c r="J834" i="22"/>
  <c r="G834" i="22"/>
  <c r="A834" i="22" s="1"/>
  <c r="C834" i="22" s="1"/>
  <c r="D834" i="22"/>
  <c r="B834" i="22"/>
  <c r="AA834" i="22" s="1"/>
  <c r="AM833" i="22"/>
  <c r="AK833" i="22"/>
  <c r="AI833" i="22"/>
  <c r="AH833" i="22"/>
  <c r="AB833" i="22"/>
  <c r="X833" i="22"/>
  <c r="T833" i="22"/>
  <c r="Q833" i="22"/>
  <c r="O833" i="22"/>
  <c r="M833" i="22"/>
  <c r="L833" i="22"/>
  <c r="I833" i="22"/>
  <c r="G833" i="22"/>
  <c r="A833" i="22" s="1"/>
  <c r="C833" i="22" s="1"/>
  <c r="AJ833" i="22" s="1"/>
  <c r="D833" i="22"/>
  <c r="B833" i="22"/>
  <c r="AL833" i="22" s="1"/>
  <c r="AO832" i="22"/>
  <c r="AF832" i="22"/>
  <c r="B832" i="22"/>
  <c r="AI831" i="22"/>
  <c r="X831" i="22"/>
  <c r="M831" i="22"/>
  <c r="D831" i="22"/>
  <c r="B831" i="22"/>
  <c r="AH831" i="22" s="1"/>
  <c r="AN830" i="22"/>
  <c r="AL830" i="22"/>
  <c r="AK830" i="22"/>
  <c r="AI830" i="22"/>
  <c r="AE830" i="22"/>
  <c r="AC830" i="22"/>
  <c r="AB830" i="22"/>
  <c r="X830" i="22"/>
  <c r="P830" i="22"/>
  <c r="O830" i="22"/>
  <c r="M830" i="22"/>
  <c r="J830" i="22"/>
  <c r="H830" i="22"/>
  <c r="G830" i="22"/>
  <c r="A830" i="22" s="1"/>
  <c r="C830" i="22" s="1"/>
  <c r="D830" i="22"/>
  <c r="B830" i="22"/>
  <c r="AA830" i="22" s="1"/>
  <c r="AN829" i="22"/>
  <c r="AM829" i="22"/>
  <c r="AK829" i="22"/>
  <c r="AE829" i="22"/>
  <c r="AB829" i="22"/>
  <c r="T829" i="22"/>
  <c r="Q829" i="22"/>
  <c r="O829" i="22"/>
  <c r="L829" i="22"/>
  <c r="J829" i="22"/>
  <c r="I829" i="22"/>
  <c r="G829" i="22"/>
  <c r="A829" i="22" s="1"/>
  <c r="C829" i="22" s="1"/>
  <c r="AJ829" i="22" s="1"/>
  <c r="B829" i="22"/>
  <c r="AL829" i="22" s="1"/>
  <c r="B828" i="22"/>
  <c r="AI827" i="22"/>
  <c r="X827" i="22"/>
  <c r="M827" i="22"/>
  <c r="D827" i="22"/>
  <c r="B827" i="22"/>
  <c r="AH827" i="22" s="1"/>
  <c r="AK826" i="22"/>
  <c r="AI826" i="22"/>
  <c r="AB826" i="22"/>
  <c r="AA826" i="22"/>
  <c r="X826" i="22"/>
  <c r="O826" i="22"/>
  <c r="N826" i="22"/>
  <c r="M826" i="22"/>
  <c r="G826" i="22"/>
  <c r="A826" i="22" s="1"/>
  <c r="C826" i="22" s="1"/>
  <c r="D826" i="22"/>
  <c r="B826" i="22"/>
  <c r="AH826" i="22" s="1"/>
  <c r="AM825" i="22"/>
  <c r="AL825" i="22"/>
  <c r="AK825" i="22"/>
  <c r="AC825" i="22"/>
  <c r="AB825" i="22"/>
  <c r="Q825" i="22"/>
  <c r="P825" i="22"/>
  <c r="O825" i="22"/>
  <c r="I825" i="22"/>
  <c r="H825" i="22"/>
  <c r="G825" i="22"/>
  <c r="A825" i="22" s="1"/>
  <c r="C825" i="22" s="1"/>
  <c r="AJ825" i="22" s="1"/>
  <c r="B825" i="22"/>
  <c r="AA825" i="22" s="1"/>
  <c r="B824" i="22"/>
  <c r="AN823" i="22"/>
  <c r="AK823" i="22"/>
  <c r="AI823" i="22"/>
  <c r="AE823" i="22"/>
  <c r="AB823" i="22"/>
  <c r="X823" i="22"/>
  <c r="O823" i="22"/>
  <c r="M823" i="22"/>
  <c r="J823" i="22"/>
  <c r="G823" i="22"/>
  <c r="A823" i="22" s="1"/>
  <c r="C823" i="22" s="1"/>
  <c r="D823" i="22"/>
  <c r="B823" i="22"/>
  <c r="AH823" i="22" s="1"/>
  <c r="AM822" i="22"/>
  <c r="AK822" i="22"/>
  <c r="AI822" i="22"/>
  <c r="AH822" i="22"/>
  <c r="AB822" i="22"/>
  <c r="AA822" i="22"/>
  <c r="X822" i="22"/>
  <c r="T822" i="22"/>
  <c r="Q822" i="22"/>
  <c r="O822" i="22"/>
  <c r="N822" i="22"/>
  <c r="M822" i="22"/>
  <c r="L822" i="22"/>
  <c r="I822" i="22"/>
  <c r="G822" i="22"/>
  <c r="A822" i="22" s="1"/>
  <c r="C822" i="22" s="1"/>
  <c r="D822" i="22"/>
  <c r="B822" i="22"/>
  <c r="AO822" i="22" s="1"/>
  <c r="AM821" i="22"/>
  <c r="Q821" i="22"/>
  <c r="I821" i="22"/>
  <c r="B821" i="22"/>
  <c r="AL821" i="22" s="1"/>
  <c r="AO820" i="22"/>
  <c r="AF820" i="22"/>
  <c r="K820" i="22"/>
  <c r="B820" i="22"/>
  <c r="AK819" i="22"/>
  <c r="AI819" i="22"/>
  <c r="AB819" i="22"/>
  <c r="X819" i="22"/>
  <c r="Q819" i="22"/>
  <c r="O819" i="22"/>
  <c r="M819" i="22"/>
  <c r="I819" i="22"/>
  <c r="G819" i="22"/>
  <c r="A819" i="22" s="1"/>
  <c r="C819" i="22" s="1"/>
  <c r="D819" i="22"/>
  <c r="B819" i="22"/>
  <c r="AH819" i="22" s="1"/>
  <c r="AK818" i="22"/>
  <c r="AB818" i="22"/>
  <c r="O818" i="22"/>
  <c r="G818" i="22"/>
  <c r="A818" i="22" s="1"/>
  <c r="C818" i="22" s="1"/>
  <c r="B818" i="22"/>
  <c r="AA818" i="22" s="1"/>
  <c r="AM817" i="22"/>
  <c r="Q817" i="22"/>
  <c r="I817" i="22"/>
  <c r="B817" i="22"/>
  <c r="AL817" i="22" s="1"/>
  <c r="AO816" i="22"/>
  <c r="AF816" i="22"/>
  <c r="B816" i="22"/>
  <c r="AI815" i="22"/>
  <c r="X815" i="22"/>
  <c r="M815" i="22"/>
  <c r="D815" i="22"/>
  <c r="B815" i="22"/>
  <c r="AH815" i="22" s="1"/>
  <c r="AK814" i="22"/>
  <c r="AB814" i="22"/>
  <c r="O814" i="22"/>
  <c r="G814" i="22"/>
  <c r="A814" i="22" s="1"/>
  <c r="C814" i="22" s="1"/>
  <c r="B814" i="22"/>
  <c r="AA814" i="22" s="1"/>
  <c r="AM813" i="22"/>
  <c r="AB813" i="22"/>
  <c r="Q813" i="22"/>
  <c r="O813" i="22"/>
  <c r="I813" i="22"/>
  <c r="G813" i="22"/>
  <c r="A813" i="22" s="1"/>
  <c r="C813" i="22" s="1"/>
  <c r="AJ813" i="22" s="1"/>
  <c r="B813" i="22"/>
  <c r="AL813" i="22" s="1"/>
  <c r="AO812" i="22"/>
  <c r="AF812" i="22"/>
  <c r="K812" i="22"/>
  <c r="B812" i="22"/>
  <c r="AI811" i="22"/>
  <c r="X811" i="22"/>
  <c r="M811" i="22"/>
  <c r="D811" i="22"/>
  <c r="B811" i="22"/>
  <c r="AH811" i="22" s="1"/>
  <c r="AK810" i="22"/>
  <c r="AI810" i="22"/>
  <c r="AB810" i="22"/>
  <c r="X810" i="22"/>
  <c r="P810" i="22"/>
  <c r="O810" i="22"/>
  <c r="M810" i="22"/>
  <c r="H810" i="22"/>
  <c r="G810" i="22"/>
  <c r="A810" i="22" s="1"/>
  <c r="C810" i="22" s="1"/>
  <c r="D810" i="22"/>
  <c r="B810" i="22"/>
  <c r="AA810" i="22" s="1"/>
  <c r="AN809" i="22"/>
  <c r="AM809" i="22"/>
  <c r="AK809" i="22"/>
  <c r="AE809" i="22"/>
  <c r="AB809" i="22"/>
  <c r="Q809" i="22"/>
  <c r="O809" i="22"/>
  <c r="M809" i="22"/>
  <c r="J809" i="22"/>
  <c r="I809" i="22"/>
  <c r="G809" i="22"/>
  <c r="A809" i="22" s="1"/>
  <c r="C809" i="22" s="1"/>
  <c r="AJ809" i="22" s="1"/>
  <c r="D809" i="22"/>
  <c r="B809" i="22"/>
  <c r="AL809" i="22" s="1"/>
  <c r="AM808" i="22"/>
  <c r="AF808" i="22"/>
  <c r="Q808" i="22"/>
  <c r="K808" i="22"/>
  <c r="I808" i="22"/>
  <c r="B808" i="22"/>
  <c r="N807" i="22"/>
  <c r="B807" i="22"/>
  <c r="X807" i="22" s="1"/>
  <c r="AK806" i="22"/>
  <c r="AE806" i="22"/>
  <c r="AB806" i="22"/>
  <c r="O806" i="22"/>
  <c r="J806" i="22"/>
  <c r="G806" i="22"/>
  <c r="A806" i="22" s="1"/>
  <c r="C806" i="22" s="1"/>
  <c r="B806" i="22"/>
  <c r="AO806" i="22" s="1"/>
  <c r="AM805" i="22"/>
  <c r="AH805" i="22"/>
  <c r="T805" i="22"/>
  <c r="Q805" i="22"/>
  <c r="L805" i="22"/>
  <c r="I805" i="22"/>
  <c r="B805" i="22"/>
  <c r="AL805" i="22" s="1"/>
  <c r="AF804" i="22"/>
  <c r="B804" i="22"/>
  <c r="AO804" i="22" s="1"/>
  <c r="AM803" i="22"/>
  <c r="AL803" i="22"/>
  <c r="AK803" i="22"/>
  <c r="AI803" i="22"/>
  <c r="AC803" i="22"/>
  <c r="AB803" i="22"/>
  <c r="AA803" i="22"/>
  <c r="X803" i="22"/>
  <c r="Q803" i="22"/>
  <c r="P803" i="22"/>
  <c r="O803" i="22"/>
  <c r="N803" i="22"/>
  <c r="M803" i="22"/>
  <c r="I803" i="22"/>
  <c r="H803" i="22"/>
  <c r="G803" i="22"/>
  <c r="A803" i="22" s="1"/>
  <c r="C803" i="22" s="1"/>
  <c r="D803" i="22"/>
  <c r="B803" i="22"/>
  <c r="AH803" i="22" s="1"/>
  <c r="AN802" i="22"/>
  <c r="AK802" i="22"/>
  <c r="AH802" i="22"/>
  <c r="AE802" i="22"/>
  <c r="AB802" i="22"/>
  <c r="T802" i="22"/>
  <c r="O802" i="22"/>
  <c r="L802" i="22"/>
  <c r="J802" i="22"/>
  <c r="G802" i="22"/>
  <c r="A802" i="22" s="1"/>
  <c r="C802" i="22" s="1"/>
  <c r="B802" i="22"/>
  <c r="AA802" i="22" s="1"/>
  <c r="AM801" i="22"/>
  <c r="AH801" i="22"/>
  <c r="AA801" i="22"/>
  <c r="T801" i="22"/>
  <c r="Q801" i="22"/>
  <c r="N801" i="22"/>
  <c r="L801" i="22"/>
  <c r="I801" i="22"/>
  <c r="B801" i="22"/>
  <c r="AL801" i="22" s="1"/>
  <c r="AO800" i="22"/>
  <c r="K800" i="22"/>
  <c r="B800" i="22"/>
  <c r="AF800" i="22" s="1"/>
  <c r="AN799" i="22"/>
  <c r="AI799" i="22"/>
  <c r="AE799" i="22"/>
  <c r="X799" i="22"/>
  <c r="M799" i="22"/>
  <c r="J799" i="22"/>
  <c r="D799" i="22"/>
  <c r="B799" i="22"/>
  <c r="AH799" i="22" s="1"/>
  <c r="AN798" i="22"/>
  <c r="AK798" i="22"/>
  <c r="AI798" i="22"/>
  <c r="AH798" i="22"/>
  <c r="AE798" i="22"/>
  <c r="AB798" i="22"/>
  <c r="AA798" i="22"/>
  <c r="X798" i="22"/>
  <c r="T798" i="22"/>
  <c r="O798" i="22"/>
  <c r="N798" i="22"/>
  <c r="M798" i="22"/>
  <c r="L798" i="22"/>
  <c r="J798" i="22"/>
  <c r="G798" i="22"/>
  <c r="A798" i="22" s="1"/>
  <c r="C798" i="22" s="1"/>
  <c r="D798" i="22"/>
  <c r="B798" i="22"/>
  <c r="AO798" i="22" s="1"/>
  <c r="AM797" i="22"/>
  <c r="AL797" i="22"/>
  <c r="AK797" i="22"/>
  <c r="AC797" i="22"/>
  <c r="AB797" i="22"/>
  <c r="AA797" i="22"/>
  <c r="T797" i="22"/>
  <c r="Q797" i="22"/>
  <c r="P797" i="22"/>
  <c r="O797" i="22"/>
  <c r="N797" i="22"/>
  <c r="L797" i="22"/>
  <c r="J797" i="22"/>
  <c r="I797" i="22"/>
  <c r="H797" i="22"/>
  <c r="G797" i="22"/>
  <c r="A797" i="22" s="1"/>
  <c r="C797" i="22" s="1"/>
  <c r="AJ797" i="22" s="1"/>
  <c r="B797" i="22"/>
  <c r="AI797" i="22" s="1"/>
  <c r="AO796" i="22"/>
  <c r="AF796" i="22"/>
  <c r="K796" i="22"/>
  <c r="B796" i="22"/>
  <c r="AI795" i="22"/>
  <c r="AA795" i="22"/>
  <c r="X795" i="22"/>
  <c r="N795" i="22"/>
  <c r="M795" i="22"/>
  <c r="D795" i="22"/>
  <c r="B795" i="22"/>
  <c r="AH795" i="22" s="1"/>
  <c r="AL794" i="22"/>
  <c r="AK794" i="22"/>
  <c r="AI794" i="22"/>
  <c r="AC794" i="22"/>
  <c r="AB794" i="22"/>
  <c r="X794" i="22"/>
  <c r="T794" i="22"/>
  <c r="P794" i="22"/>
  <c r="O794" i="22"/>
  <c r="M794" i="22"/>
  <c r="L794" i="22"/>
  <c r="H794" i="22"/>
  <c r="G794" i="22"/>
  <c r="A794" i="22" s="1"/>
  <c r="C794" i="22" s="1"/>
  <c r="D794" i="22"/>
  <c r="B794" i="22"/>
  <c r="AA794" i="22" s="1"/>
  <c r="AN793" i="22"/>
  <c r="AM793" i="22"/>
  <c r="AE793" i="22"/>
  <c r="Q793" i="22"/>
  <c r="J793" i="22"/>
  <c r="I793" i="22"/>
  <c r="B793" i="22"/>
  <c r="AL793" i="22" s="1"/>
  <c r="AO792" i="22"/>
  <c r="AF792" i="22"/>
  <c r="K792" i="22"/>
  <c r="B792" i="22"/>
  <c r="AI791" i="22"/>
  <c r="AA791" i="22"/>
  <c r="X791" i="22"/>
  <c r="N791" i="22"/>
  <c r="M791" i="22"/>
  <c r="D791" i="22"/>
  <c r="B791" i="22"/>
  <c r="AH791" i="22" s="1"/>
  <c r="AL790" i="22"/>
  <c r="AK790" i="22"/>
  <c r="AC790" i="22"/>
  <c r="AB790" i="22"/>
  <c r="P790" i="22"/>
  <c r="O790" i="22"/>
  <c r="H790" i="22"/>
  <c r="G790" i="22"/>
  <c r="A790" i="22" s="1"/>
  <c r="C790" i="22" s="1"/>
  <c r="B790" i="22"/>
  <c r="AA790" i="22" s="1"/>
  <c r="AN789" i="22"/>
  <c r="AM789" i="22"/>
  <c r="AE789" i="22"/>
  <c r="Q789" i="22"/>
  <c r="J789" i="22"/>
  <c r="I789" i="22"/>
  <c r="B789" i="22"/>
  <c r="AL789" i="22" s="1"/>
  <c r="AF788" i="22"/>
  <c r="B788" i="22"/>
  <c r="AO788" i="22" s="1"/>
  <c r="AM787" i="22"/>
  <c r="AI787" i="22"/>
  <c r="X787" i="22"/>
  <c r="Q787" i="22"/>
  <c r="M787" i="22"/>
  <c r="I787" i="22"/>
  <c r="D787" i="22"/>
  <c r="B787" i="22"/>
  <c r="AH787" i="22" s="1"/>
  <c r="AK786" i="22"/>
  <c r="AB786" i="22"/>
  <c r="O786" i="22"/>
  <c r="G786" i="22"/>
  <c r="A786" i="22" s="1"/>
  <c r="C786" i="22" s="1"/>
  <c r="B786" i="22"/>
  <c r="AA786" i="22" s="1"/>
  <c r="AM785" i="22"/>
  <c r="Q785" i="22"/>
  <c r="I785" i="22"/>
  <c r="B785" i="22"/>
  <c r="AL785" i="22" s="1"/>
  <c r="AO784" i="22"/>
  <c r="K784" i="22"/>
  <c r="B784" i="22"/>
  <c r="AF784" i="22" s="1"/>
  <c r="AL783" i="22"/>
  <c r="AI783" i="22"/>
  <c r="AC783" i="22"/>
  <c r="X783" i="22"/>
  <c r="P783" i="22"/>
  <c r="M783" i="22"/>
  <c r="H783" i="22"/>
  <c r="D783" i="22"/>
  <c r="B783" i="22"/>
  <c r="AH783" i="22" s="1"/>
  <c r="AN782" i="22"/>
  <c r="AM782" i="22"/>
  <c r="AK782" i="22"/>
  <c r="AI782" i="22"/>
  <c r="AE782" i="22"/>
  <c r="AB782" i="22"/>
  <c r="X782" i="22"/>
  <c r="Q782" i="22"/>
  <c r="O782" i="22"/>
  <c r="M782" i="22"/>
  <c r="J782" i="22"/>
  <c r="I782" i="22"/>
  <c r="G782" i="22"/>
  <c r="A782" i="22" s="1"/>
  <c r="C782" i="22" s="1"/>
  <c r="D782" i="22"/>
  <c r="B782" i="22"/>
  <c r="AA782" i="22" s="1"/>
  <c r="AM781" i="22"/>
  <c r="AH781" i="22"/>
  <c r="T781" i="22"/>
  <c r="Q781" i="22"/>
  <c r="L781" i="22"/>
  <c r="I781" i="22"/>
  <c r="B781" i="22"/>
  <c r="AL781" i="22" s="1"/>
  <c r="B780" i="22"/>
  <c r="AL779" i="22"/>
  <c r="AI779" i="22"/>
  <c r="AC779" i="22"/>
  <c r="X779" i="22"/>
  <c r="P779" i="22"/>
  <c r="O779" i="22"/>
  <c r="M779" i="22"/>
  <c r="H779" i="22"/>
  <c r="G779" i="22"/>
  <c r="A779" i="22" s="1"/>
  <c r="C779" i="22" s="1"/>
  <c r="D779" i="22"/>
  <c r="B779" i="22"/>
  <c r="AH779" i="22" s="1"/>
  <c r="AN778" i="22"/>
  <c r="AM778" i="22"/>
  <c r="AK778" i="22"/>
  <c r="AI778" i="22"/>
  <c r="AE778" i="22"/>
  <c r="AB778" i="22"/>
  <c r="AA778" i="22"/>
  <c r="X778" i="22"/>
  <c r="Q778" i="22"/>
  <c r="O778" i="22"/>
  <c r="N778" i="22"/>
  <c r="M778" i="22"/>
  <c r="J778" i="22"/>
  <c r="I778" i="22"/>
  <c r="G778" i="22"/>
  <c r="A778" i="22" s="1"/>
  <c r="C778" i="22" s="1"/>
  <c r="D778" i="22"/>
  <c r="B778" i="22"/>
  <c r="AH778" i="22" s="1"/>
  <c r="AM777" i="22"/>
  <c r="AH777" i="22"/>
  <c r="AC777" i="22"/>
  <c r="T777" i="22"/>
  <c r="Q777" i="22"/>
  <c r="P777" i="22"/>
  <c r="L777" i="22"/>
  <c r="I777" i="22"/>
  <c r="H777" i="22"/>
  <c r="B777" i="22"/>
  <c r="AL777" i="22" s="1"/>
  <c r="B776" i="22"/>
  <c r="AL775" i="22"/>
  <c r="AI775" i="22"/>
  <c r="AH775" i="22"/>
  <c r="AC775" i="22"/>
  <c r="X775" i="22"/>
  <c r="T775" i="22"/>
  <c r="P775" i="22"/>
  <c r="M775" i="22"/>
  <c r="L775" i="22"/>
  <c r="H775" i="22"/>
  <c r="D775" i="22"/>
  <c r="B775" i="22"/>
  <c r="AO775" i="22" s="1"/>
  <c r="AN774" i="22"/>
  <c r="AK774" i="22"/>
  <c r="AE774" i="22"/>
  <c r="AB774" i="22"/>
  <c r="O774" i="22"/>
  <c r="J774" i="22"/>
  <c r="G774" i="22"/>
  <c r="A774" i="22" s="1"/>
  <c r="C774" i="22" s="1"/>
  <c r="B774" i="22"/>
  <c r="AA774" i="22" s="1"/>
  <c r="AM773" i="22"/>
  <c r="AH773" i="22"/>
  <c r="T773" i="22"/>
  <c r="Q773" i="22"/>
  <c r="L773" i="22"/>
  <c r="I773" i="22"/>
  <c r="B773" i="22"/>
  <c r="AL773" i="22" s="1"/>
  <c r="B772" i="22"/>
  <c r="AL771" i="22"/>
  <c r="AI771" i="22"/>
  <c r="AC771" i="22"/>
  <c r="AB771" i="22"/>
  <c r="X771" i="22"/>
  <c r="P771" i="22"/>
  <c r="O771" i="22"/>
  <c r="M771" i="22"/>
  <c r="H771" i="22"/>
  <c r="G771" i="22"/>
  <c r="A771" i="22" s="1"/>
  <c r="C771" i="22" s="1"/>
  <c r="D771" i="22"/>
  <c r="B771" i="22"/>
  <c r="AH771" i="22" s="1"/>
  <c r="AK770" i="22"/>
  <c r="AB770" i="22"/>
  <c r="O770" i="22"/>
  <c r="G770" i="22"/>
  <c r="A770" i="22" s="1"/>
  <c r="C770" i="22" s="1"/>
  <c r="B770" i="22"/>
  <c r="AA770" i="22" s="1"/>
  <c r="AM769" i="22"/>
  <c r="AI769" i="22"/>
  <c r="X769" i="22"/>
  <c r="Q769" i="22"/>
  <c r="M769" i="22"/>
  <c r="I769" i="22"/>
  <c r="D769" i="22"/>
  <c r="B769" i="22"/>
  <c r="AL769" i="22" s="1"/>
  <c r="AO768" i="22"/>
  <c r="AF768" i="22"/>
  <c r="K768" i="22"/>
  <c r="B768" i="22"/>
  <c r="AM767" i="22"/>
  <c r="AI767" i="22"/>
  <c r="X767" i="22"/>
  <c r="Q767" i="22"/>
  <c r="M767" i="22"/>
  <c r="J767" i="22"/>
  <c r="I767" i="22"/>
  <c r="D767" i="22"/>
  <c r="B767" i="22"/>
  <c r="AH767" i="22" s="1"/>
  <c r="AO766" i="22"/>
  <c r="AK766" i="22"/>
  <c r="AH766" i="22"/>
  <c r="AF766" i="22"/>
  <c r="T766" i="22"/>
  <c r="L766" i="22"/>
  <c r="K766" i="22"/>
  <c r="G766" i="22"/>
  <c r="A766" i="22" s="1"/>
  <c r="C766" i="22" s="1"/>
  <c r="B766" i="22"/>
  <c r="AM765" i="22"/>
  <c r="AI765" i="22"/>
  <c r="AE765" i="22"/>
  <c r="AA765" i="22"/>
  <c r="X765" i="22"/>
  <c r="Q765" i="22"/>
  <c r="N765" i="22"/>
  <c r="M765" i="22"/>
  <c r="J765" i="22"/>
  <c r="I765" i="22"/>
  <c r="D765" i="22"/>
  <c r="B765" i="22"/>
  <c r="AO764" i="22"/>
  <c r="AE764" i="22"/>
  <c r="J764" i="22"/>
  <c r="B764" i="22"/>
  <c r="AM764" i="22" s="1"/>
  <c r="AL763" i="22"/>
  <c r="AK763" i="22"/>
  <c r="AI763" i="22"/>
  <c r="AH763" i="22"/>
  <c r="AC763" i="22"/>
  <c r="AB763" i="22"/>
  <c r="X763" i="22"/>
  <c r="T763" i="22"/>
  <c r="Q763" i="22"/>
  <c r="P763" i="22"/>
  <c r="O763" i="22"/>
  <c r="M763" i="22"/>
  <c r="L763" i="22"/>
  <c r="I763" i="22"/>
  <c r="H763" i="22"/>
  <c r="G763" i="22"/>
  <c r="A763" i="22" s="1"/>
  <c r="C763" i="22" s="1"/>
  <c r="D763" i="22"/>
  <c r="B763" i="22"/>
  <c r="AO763" i="22" s="1"/>
  <c r="AM762" i="22"/>
  <c r="AK762" i="22"/>
  <c r="AB762" i="22"/>
  <c r="AA762" i="22"/>
  <c r="Q762" i="22"/>
  <c r="O762" i="22"/>
  <c r="N762" i="22"/>
  <c r="J762" i="22"/>
  <c r="I762" i="22"/>
  <c r="G762" i="22"/>
  <c r="A762" i="22" s="1"/>
  <c r="C762" i="22" s="1"/>
  <c r="B762" i="22"/>
  <c r="AI762" i="22" s="1"/>
  <c r="AM761" i="22"/>
  <c r="AL761" i="22"/>
  <c r="AC761" i="22"/>
  <c r="Q761" i="22"/>
  <c r="P761" i="22"/>
  <c r="I761" i="22"/>
  <c r="H761" i="22"/>
  <c r="B761" i="22"/>
  <c r="AK761" i="22" s="1"/>
  <c r="AN760" i="22"/>
  <c r="AE760" i="22"/>
  <c r="J760" i="22"/>
  <c r="B760" i="22"/>
  <c r="AM760" i="22" s="1"/>
  <c r="AL759" i="22"/>
  <c r="AK759" i="22"/>
  <c r="AI759" i="22"/>
  <c r="AH759" i="22"/>
  <c r="AC759" i="22"/>
  <c r="AB759" i="22"/>
  <c r="AA759" i="22"/>
  <c r="X759" i="22"/>
  <c r="T759" i="22"/>
  <c r="P759" i="22"/>
  <c r="O759" i="22"/>
  <c r="N759" i="22"/>
  <c r="M759" i="22"/>
  <c r="L759" i="22"/>
  <c r="H759" i="22"/>
  <c r="G759" i="22"/>
  <c r="A759" i="22" s="1"/>
  <c r="C759" i="22" s="1"/>
  <c r="D759" i="22"/>
  <c r="B759" i="22"/>
  <c r="AO759" i="22" s="1"/>
  <c r="AN758" i="22"/>
  <c r="AM758" i="22"/>
  <c r="AL758" i="22"/>
  <c r="AK758" i="22"/>
  <c r="AE758" i="22"/>
  <c r="AC758" i="22"/>
  <c r="AB758" i="22"/>
  <c r="AA758" i="22"/>
  <c r="Q758" i="22"/>
  <c r="P758" i="22"/>
  <c r="O758" i="22"/>
  <c r="N758" i="22"/>
  <c r="J758" i="22"/>
  <c r="I758" i="22"/>
  <c r="H758" i="22"/>
  <c r="G758" i="22"/>
  <c r="A758" i="22" s="1"/>
  <c r="C758" i="22" s="1"/>
  <c r="B758" i="22"/>
  <c r="AI758" i="22" s="1"/>
  <c r="AL757" i="22"/>
  <c r="AC757" i="22"/>
  <c r="Q757" i="22"/>
  <c r="P757" i="22"/>
  <c r="I757" i="22"/>
  <c r="H757" i="22"/>
  <c r="B757" i="22"/>
  <c r="AK757" i="22" s="1"/>
  <c r="AN756" i="22"/>
  <c r="AE756" i="22"/>
  <c r="J756" i="22"/>
  <c r="B756" i="22"/>
  <c r="AM756" i="22" s="1"/>
  <c r="AK755" i="22"/>
  <c r="AI755" i="22"/>
  <c r="AH755" i="22"/>
  <c r="AB755" i="22"/>
  <c r="X755" i="22"/>
  <c r="T755" i="22"/>
  <c r="O755" i="22"/>
  <c r="M755" i="22"/>
  <c r="L755" i="22"/>
  <c r="G755" i="22"/>
  <c r="A755" i="22" s="1"/>
  <c r="C755" i="22" s="1"/>
  <c r="D755" i="22"/>
  <c r="B755" i="22"/>
  <c r="AO755" i="22" s="1"/>
  <c r="AM754" i="22"/>
  <c r="AK754" i="22"/>
  <c r="AB754" i="22"/>
  <c r="AA754" i="22"/>
  <c r="Q754" i="22"/>
  <c r="O754" i="22"/>
  <c r="N754" i="22"/>
  <c r="I754" i="22"/>
  <c r="G754" i="22"/>
  <c r="A754" i="22" s="1"/>
  <c r="C754" i="22" s="1"/>
  <c r="AD754" i="22" s="1"/>
  <c r="B754" i="22"/>
  <c r="AI754" i="22" s="1"/>
  <c r="AL753" i="22"/>
  <c r="AC753" i="22"/>
  <c r="P753" i="22"/>
  <c r="H753" i="22"/>
  <c r="B753" i="22"/>
  <c r="AK753" i="22" s="1"/>
  <c r="AN752" i="22"/>
  <c r="AE752" i="22"/>
  <c r="AB752" i="22"/>
  <c r="X752" i="22"/>
  <c r="O752" i="22"/>
  <c r="M752" i="22"/>
  <c r="J752" i="22"/>
  <c r="G752" i="22"/>
  <c r="A752" i="22" s="1"/>
  <c r="C752" i="22" s="1"/>
  <c r="D752" i="22"/>
  <c r="B752" i="22"/>
  <c r="AM752" i="22" s="1"/>
  <c r="AH751" i="22"/>
  <c r="T751" i="22"/>
  <c r="L751" i="22"/>
  <c r="B751" i="22"/>
  <c r="AO751" i="22" s="1"/>
  <c r="AI750" i="22"/>
  <c r="AA750" i="22"/>
  <c r="X750" i="22"/>
  <c r="N750" i="22"/>
  <c r="M750" i="22"/>
  <c r="D750" i="22"/>
  <c r="B750" i="22"/>
  <c r="AH750" i="22" s="1"/>
  <c r="AL749" i="22"/>
  <c r="AK749" i="22"/>
  <c r="AC749" i="22"/>
  <c r="AB749" i="22"/>
  <c r="P749" i="22"/>
  <c r="O749" i="22"/>
  <c r="I749" i="22"/>
  <c r="H749" i="22"/>
  <c r="G749" i="22"/>
  <c r="A749" i="22" s="1"/>
  <c r="C749" i="22" s="1"/>
  <c r="B749" i="22"/>
  <c r="AA749" i="22" s="1"/>
  <c r="AN748" i="22"/>
  <c r="AE748" i="22"/>
  <c r="J748" i="22"/>
  <c r="B748" i="22"/>
  <c r="AM748" i="22" s="1"/>
  <c r="AI747" i="22"/>
  <c r="AH747" i="22"/>
  <c r="X747" i="22"/>
  <c r="T747" i="22"/>
  <c r="M747" i="22"/>
  <c r="L747" i="22"/>
  <c r="D747" i="22"/>
  <c r="B747" i="22"/>
  <c r="AO747" i="22" s="1"/>
  <c r="AK746" i="22"/>
  <c r="AI746" i="22"/>
  <c r="AB746" i="22"/>
  <c r="AA746" i="22"/>
  <c r="X746" i="22"/>
  <c r="O746" i="22"/>
  <c r="N746" i="22"/>
  <c r="M746" i="22"/>
  <c r="G746" i="22"/>
  <c r="A746" i="22" s="1"/>
  <c r="C746" i="22" s="1"/>
  <c r="AD746" i="22" s="1"/>
  <c r="D746" i="22"/>
  <c r="B746" i="22"/>
  <c r="AH746" i="22" s="1"/>
  <c r="AM745" i="22"/>
  <c r="AL745" i="22"/>
  <c r="AC745" i="22"/>
  <c r="AA745" i="22"/>
  <c r="Q745" i="22"/>
  <c r="P745" i="22"/>
  <c r="N745" i="22"/>
  <c r="I745" i="22"/>
  <c r="H745" i="22"/>
  <c r="B745" i="22"/>
  <c r="AK745" i="22" s="1"/>
  <c r="AN744" i="22"/>
  <c r="AE744" i="22"/>
  <c r="J744" i="22"/>
  <c r="B744" i="22"/>
  <c r="AM744" i="22" s="1"/>
  <c r="AN743" i="22"/>
  <c r="AI743" i="22"/>
  <c r="AH743" i="22"/>
  <c r="AE743" i="22"/>
  <c r="AA743" i="22"/>
  <c r="X743" i="22"/>
  <c r="T743" i="22"/>
  <c r="N743" i="22"/>
  <c r="M743" i="22"/>
  <c r="L743" i="22"/>
  <c r="J743" i="22"/>
  <c r="D743" i="22"/>
  <c r="B743" i="22"/>
  <c r="AO743" i="22" s="1"/>
  <c r="AL742" i="22"/>
  <c r="AC742" i="22"/>
  <c r="AA742" i="22"/>
  <c r="P742" i="22"/>
  <c r="N742" i="22"/>
  <c r="H742" i="22"/>
  <c r="B742" i="22"/>
  <c r="AI742" i="22" s="1"/>
  <c r="AN741" i="22"/>
  <c r="AL741" i="22"/>
  <c r="AE741" i="22"/>
  <c r="AC741" i="22"/>
  <c r="P741" i="22"/>
  <c r="J741" i="22"/>
  <c r="H741" i="22"/>
  <c r="B741" i="22"/>
  <c r="AK741" i="22" s="1"/>
  <c r="AN740" i="22"/>
  <c r="AH740" i="22"/>
  <c r="AE740" i="22"/>
  <c r="X740" i="22"/>
  <c r="T740" i="22"/>
  <c r="M740" i="22"/>
  <c r="L740" i="22"/>
  <c r="J740" i="22"/>
  <c r="D740" i="22"/>
  <c r="B740" i="22"/>
  <c r="AM740" i="22" s="1"/>
  <c r="AH739" i="22"/>
  <c r="T739" i="22"/>
  <c r="L739" i="22"/>
  <c r="B739" i="22"/>
  <c r="AO739" i="22" s="1"/>
  <c r="AA738" i="22"/>
  <c r="N738" i="22"/>
  <c r="B738" i="22"/>
  <c r="AI738" i="22" s="1"/>
  <c r="AL737" i="22"/>
  <c r="AH737" i="22"/>
  <c r="AC737" i="22"/>
  <c r="T737" i="22"/>
  <c r="P737" i="22"/>
  <c r="L737" i="22"/>
  <c r="H737" i="22"/>
  <c r="B737" i="22"/>
  <c r="AK737" i="22" s="1"/>
  <c r="AN736" i="22"/>
  <c r="AE736" i="22"/>
  <c r="AA736" i="22"/>
  <c r="N736" i="22"/>
  <c r="J736" i="22"/>
  <c r="B736" i="22"/>
  <c r="AM736" i="22" s="1"/>
  <c r="AL735" i="22"/>
  <c r="AH735" i="22"/>
  <c r="AC735" i="22"/>
  <c r="T735" i="22"/>
  <c r="P735" i="22"/>
  <c r="L735" i="22"/>
  <c r="H735" i="22"/>
  <c r="B735" i="22"/>
  <c r="AO735" i="22" s="1"/>
  <c r="AA734" i="22"/>
  <c r="N734" i="22"/>
  <c r="B734" i="22"/>
  <c r="AI734" i="22" s="1"/>
  <c r="AL733" i="22"/>
  <c r="AI733" i="22"/>
  <c r="AH733" i="22"/>
  <c r="AC733" i="22"/>
  <c r="X733" i="22"/>
  <c r="T733" i="22"/>
  <c r="P733" i="22"/>
  <c r="M733" i="22"/>
  <c r="L733" i="22"/>
  <c r="H733" i="22"/>
  <c r="D733" i="22"/>
  <c r="B733" i="22"/>
  <c r="AK733" i="22" s="1"/>
  <c r="AN732" i="22"/>
  <c r="AK732" i="22"/>
  <c r="AE732" i="22"/>
  <c r="AB732" i="22"/>
  <c r="AA732" i="22"/>
  <c r="Q732" i="22"/>
  <c r="O732" i="22"/>
  <c r="N732" i="22"/>
  <c r="J732" i="22"/>
  <c r="I732" i="22"/>
  <c r="G732" i="22"/>
  <c r="A732" i="22" s="1"/>
  <c r="C732" i="22" s="1"/>
  <c r="B732" i="22"/>
  <c r="AM732" i="22" s="1"/>
  <c r="AH731" i="22"/>
  <c r="T731" i="22"/>
  <c r="L731" i="22"/>
  <c r="B731" i="22"/>
  <c r="AO731" i="22" s="1"/>
  <c r="AA730" i="22"/>
  <c r="N730" i="22"/>
  <c r="B730" i="22"/>
  <c r="AI730" i="22" s="1"/>
  <c r="AL729" i="22"/>
  <c r="AK729" i="22"/>
  <c r="AI729" i="22"/>
  <c r="AC729" i="22"/>
  <c r="AB729" i="22"/>
  <c r="X729" i="22"/>
  <c r="P729" i="22"/>
  <c r="O729" i="22"/>
  <c r="M729" i="22"/>
  <c r="H729" i="22"/>
  <c r="G729" i="22"/>
  <c r="A729" i="22" s="1"/>
  <c r="C729" i="22" s="1"/>
  <c r="D729" i="22"/>
  <c r="B729" i="22"/>
  <c r="AA729" i="22" s="1"/>
  <c r="AN728" i="22"/>
  <c r="AM728" i="22"/>
  <c r="AK728" i="22"/>
  <c r="AE728" i="22"/>
  <c r="AB728" i="22"/>
  <c r="Q728" i="22"/>
  <c r="O728" i="22"/>
  <c r="J728" i="22"/>
  <c r="I728" i="22"/>
  <c r="G728" i="22"/>
  <c r="A728" i="22" s="1"/>
  <c r="C728" i="22" s="1"/>
  <c r="D728" i="22"/>
  <c r="B728" i="22"/>
  <c r="AL728" i="22" s="1"/>
  <c r="AH727" i="22"/>
  <c r="T727" i="22"/>
  <c r="M727" i="22"/>
  <c r="L727" i="22"/>
  <c r="D727" i="22"/>
  <c r="B727" i="22"/>
  <c r="AO727" i="22" s="1"/>
  <c r="AK726" i="22"/>
  <c r="AB726" i="22"/>
  <c r="AA726" i="22"/>
  <c r="X726" i="22"/>
  <c r="O726" i="22"/>
  <c r="N726" i="22"/>
  <c r="M726" i="22"/>
  <c r="G726" i="22"/>
  <c r="A726" i="22" s="1"/>
  <c r="C726" i="22" s="1"/>
  <c r="AD726" i="22" s="1"/>
  <c r="D726" i="22"/>
  <c r="B726" i="22"/>
  <c r="AI726" i="22" s="1"/>
  <c r="AM725" i="22"/>
  <c r="AL725" i="22"/>
  <c r="AC725" i="22"/>
  <c r="Q725" i="22"/>
  <c r="P725" i="22"/>
  <c r="I725" i="22"/>
  <c r="H725" i="22"/>
  <c r="B725" i="22"/>
  <c r="AK725" i="22" s="1"/>
  <c r="AN724" i="22"/>
  <c r="AF724" i="22"/>
  <c r="AE724" i="22"/>
  <c r="K724" i="22"/>
  <c r="J724" i="22"/>
  <c r="B724" i="22"/>
  <c r="AH723" i="22"/>
  <c r="AC723" i="22"/>
  <c r="AA723" i="22"/>
  <c r="P723" i="22"/>
  <c r="N723" i="22"/>
  <c r="J723" i="22"/>
  <c r="H723" i="22"/>
  <c r="B723" i="22"/>
  <c r="AE723" i="22" s="1"/>
  <c r="AN722" i="22"/>
  <c r="AL722" i="22"/>
  <c r="AI722" i="22"/>
  <c r="AH722" i="22"/>
  <c r="AE722" i="22"/>
  <c r="AC722" i="22"/>
  <c r="X722" i="22"/>
  <c r="T722" i="22"/>
  <c r="P722" i="22"/>
  <c r="M722" i="22"/>
  <c r="L722" i="22"/>
  <c r="J722" i="22"/>
  <c r="H722" i="22"/>
  <c r="D722" i="22"/>
  <c r="B722" i="22"/>
  <c r="AM722" i="22" s="1"/>
  <c r="AN721" i="22"/>
  <c r="AK721" i="22"/>
  <c r="AH721" i="22"/>
  <c r="AE721" i="22"/>
  <c r="AB721" i="22"/>
  <c r="AA721" i="22"/>
  <c r="T721" i="22"/>
  <c r="O721" i="22"/>
  <c r="N721" i="22"/>
  <c r="L721" i="22"/>
  <c r="J721" i="22"/>
  <c r="G721" i="22"/>
  <c r="A721" i="22" s="1"/>
  <c r="C721" i="22" s="1"/>
  <c r="B721" i="22"/>
  <c r="AO721" i="22" s="1"/>
  <c r="AM720" i="22"/>
  <c r="AL720" i="22"/>
  <c r="AH720" i="22"/>
  <c r="AC720" i="22"/>
  <c r="AA720" i="22"/>
  <c r="T720" i="22"/>
  <c r="Q720" i="22"/>
  <c r="P720" i="22"/>
  <c r="N720" i="22"/>
  <c r="L720" i="22"/>
  <c r="I720" i="22"/>
  <c r="H720" i="22"/>
  <c r="B720" i="22"/>
  <c r="AI720" i="22" s="1"/>
  <c r="AN719" i="22"/>
  <c r="AL719" i="22"/>
  <c r="AE719" i="22"/>
  <c r="AC719" i="22"/>
  <c r="AA719" i="22"/>
  <c r="P719" i="22"/>
  <c r="N719" i="22"/>
  <c r="J719" i="22"/>
  <c r="H719" i="22"/>
  <c r="B719" i="22"/>
  <c r="AK719" i="22" s="1"/>
  <c r="AN718" i="22"/>
  <c r="AL718" i="22"/>
  <c r="AI718" i="22"/>
  <c r="AH718" i="22"/>
  <c r="AE718" i="22"/>
  <c r="AC718" i="22"/>
  <c r="X718" i="22"/>
  <c r="T718" i="22"/>
  <c r="P718" i="22"/>
  <c r="M718" i="22"/>
  <c r="L718" i="22"/>
  <c r="J718" i="22"/>
  <c r="H718" i="22"/>
  <c r="D718" i="22"/>
  <c r="B718" i="22"/>
  <c r="AM718" i="22" s="1"/>
  <c r="AN717" i="22"/>
  <c r="AK717" i="22"/>
  <c r="AH717" i="22"/>
  <c r="AE717" i="22"/>
  <c r="AB717" i="22"/>
  <c r="AA717" i="22"/>
  <c r="T717" i="22"/>
  <c r="O717" i="22"/>
  <c r="N717" i="22"/>
  <c r="L717" i="22"/>
  <c r="J717" i="22"/>
  <c r="G717" i="22"/>
  <c r="A717" i="22" s="1"/>
  <c r="C717" i="22" s="1"/>
  <c r="B717" i="22"/>
  <c r="AO717" i="22" s="1"/>
  <c r="AM716" i="22"/>
  <c r="AL716" i="22"/>
  <c r="AH716" i="22"/>
  <c r="AC716" i="22"/>
  <c r="AA716" i="22"/>
  <c r="T716" i="22"/>
  <c r="Q716" i="22"/>
  <c r="P716" i="22"/>
  <c r="N716" i="22"/>
  <c r="L716" i="22"/>
  <c r="I716" i="22"/>
  <c r="H716" i="22"/>
  <c r="B716" i="22"/>
  <c r="AI716" i="22" s="1"/>
  <c r="AL715" i="22"/>
  <c r="AC715" i="22"/>
  <c r="AA715" i="22"/>
  <c r="P715" i="22"/>
  <c r="N715" i="22"/>
  <c r="J715" i="22"/>
  <c r="H715" i="22"/>
  <c r="B715" i="22"/>
  <c r="AK715" i="22" s="1"/>
  <c r="AN714" i="22"/>
  <c r="AL714" i="22"/>
  <c r="AI714" i="22"/>
  <c r="AH714" i="22"/>
  <c r="AE714" i="22"/>
  <c r="AC714" i="22"/>
  <c r="X714" i="22"/>
  <c r="T714" i="22"/>
  <c r="P714" i="22"/>
  <c r="M714" i="22"/>
  <c r="L714" i="22"/>
  <c r="J714" i="22"/>
  <c r="H714" i="22"/>
  <c r="D714" i="22"/>
  <c r="B714" i="22"/>
  <c r="AM714" i="22" s="1"/>
  <c r="AN713" i="22"/>
  <c r="AK713" i="22"/>
  <c r="AH713" i="22"/>
  <c r="AE713" i="22"/>
  <c r="AB713" i="22"/>
  <c r="AA713" i="22"/>
  <c r="T713" i="22"/>
  <c r="O713" i="22"/>
  <c r="N713" i="22"/>
  <c r="L713" i="22"/>
  <c r="J713" i="22"/>
  <c r="G713" i="22"/>
  <c r="A713" i="22" s="1"/>
  <c r="C713" i="22" s="1"/>
  <c r="B713" i="22"/>
  <c r="AO713" i="22" s="1"/>
  <c r="AM712" i="22"/>
  <c r="AL712" i="22"/>
  <c r="AH712" i="22"/>
  <c r="AC712" i="22"/>
  <c r="AA712" i="22"/>
  <c r="T712" i="22"/>
  <c r="Q712" i="22"/>
  <c r="P712" i="22"/>
  <c r="N712" i="22"/>
  <c r="L712" i="22"/>
  <c r="I712" i="22"/>
  <c r="H712" i="22"/>
  <c r="B712" i="22"/>
  <c r="AI712" i="22" s="1"/>
  <c r="AL711" i="22"/>
  <c r="AC711" i="22"/>
  <c r="AA711" i="22"/>
  <c r="P711" i="22"/>
  <c r="N711" i="22"/>
  <c r="H711" i="22"/>
  <c r="B711" i="22"/>
  <c r="AK711" i="22" s="1"/>
  <c r="AN710" i="22"/>
  <c r="AL710" i="22"/>
  <c r="AI710" i="22"/>
  <c r="AH710" i="22"/>
  <c r="AE710" i="22"/>
  <c r="AC710" i="22"/>
  <c r="X710" i="22"/>
  <c r="T710" i="22"/>
  <c r="P710" i="22"/>
  <c r="M710" i="22"/>
  <c r="L710" i="22"/>
  <c r="J710" i="22"/>
  <c r="H710" i="22"/>
  <c r="G710" i="22"/>
  <c r="A710" i="22" s="1"/>
  <c r="C710" i="22" s="1"/>
  <c r="D710" i="22"/>
  <c r="B710" i="22"/>
  <c r="AM710" i="22" s="1"/>
  <c r="AN709" i="22"/>
  <c r="AK709" i="22"/>
  <c r="AH709" i="22"/>
  <c r="AE709" i="22"/>
  <c r="AB709" i="22"/>
  <c r="AA709" i="22"/>
  <c r="T709" i="22"/>
  <c r="O709" i="22"/>
  <c r="N709" i="22"/>
  <c r="L709" i="22"/>
  <c r="J709" i="22"/>
  <c r="G709" i="22"/>
  <c r="A709" i="22" s="1"/>
  <c r="C709" i="22" s="1"/>
  <c r="B709" i="22"/>
  <c r="AO709" i="22" s="1"/>
  <c r="AH708" i="22"/>
  <c r="AA708" i="22"/>
  <c r="T708" i="22"/>
  <c r="N708" i="22"/>
  <c r="L708" i="22"/>
  <c r="B708" i="22"/>
  <c r="AI708" i="22" s="1"/>
  <c r="AL707" i="22"/>
  <c r="AI707" i="22"/>
  <c r="AC707" i="22"/>
  <c r="AA707" i="22"/>
  <c r="X707" i="22"/>
  <c r="P707" i="22"/>
  <c r="N707" i="22"/>
  <c r="M707" i="22"/>
  <c r="H707" i="22"/>
  <c r="D707" i="22"/>
  <c r="B707" i="22"/>
  <c r="AK707" i="22" s="1"/>
  <c r="AN706" i="22"/>
  <c r="AL706" i="22"/>
  <c r="AK706" i="22"/>
  <c r="AI706" i="22"/>
  <c r="AH706" i="22"/>
  <c r="AE706" i="22"/>
  <c r="AC706" i="22"/>
  <c r="AB706" i="22"/>
  <c r="X706" i="22"/>
  <c r="T706" i="22"/>
  <c r="P706" i="22"/>
  <c r="O706" i="22"/>
  <c r="M706" i="22"/>
  <c r="L706" i="22"/>
  <c r="J706" i="22"/>
  <c r="H706" i="22"/>
  <c r="G706" i="22"/>
  <c r="A706" i="22" s="1"/>
  <c r="C706" i="22" s="1"/>
  <c r="D706" i="22"/>
  <c r="B706" i="22"/>
  <c r="AM706" i="22" s="1"/>
  <c r="AN705" i="22"/>
  <c r="AM705" i="22"/>
  <c r="AK705" i="22"/>
  <c r="AH705" i="22"/>
  <c r="AE705" i="22"/>
  <c r="AB705" i="22"/>
  <c r="AA705" i="22"/>
  <c r="T705" i="22"/>
  <c r="Q705" i="22"/>
  <c r="O705" i="22"/>
  <c r="N705" i="22"/>
  <c r="L705" i="22"/>
  <c r="J705" i="22"/>
  <c r="I705" i="22"/>
  <c r="G705" i="22"/>
  <c r="A705" i="22" s="1"/>
  <c r="C705" i="22" s="1"/>
  <c r="AJ705" i="22" s="1"/>
  <c r="B705" i="22"/>
  <c r="AO705" i="22" s="1"/>
  <c r="AO704" i="22"/>
  <c r="AH704" i="22"/>
  <c r="AF704" i="22"/>
  <c r="L704" i="22"/>
  <c r="B704" i="22"/>
  <c r="T704" i="22" s="1"/>
  <c r="AL703" i="22"/>
  <c r="AI703" i="22"/>
  <c r="AC703" i="22"/>
  <c r="AA703" i="22"/>
  <c r="X703" i="22"/>
  <c r="P703" i="22"/>
  <c r="N703" i="22"/>
  <c r="M703" i="22"/>
  <c r="H703" i="22"/>
  <c r="D703" i="22"/>
  <c r="B703" i="22"/>
  <c r="AK703" i="22" s="1"/>
  <c r="AN702" i="22"/>
  <c r="AL702" i="22"/>
  <c r="AK702" i="22"/>
  <c r="AI702" i="22"/>
  <c r="AH702" i="22"/>
  <c r="AE702" i="22"/>
  <c r="AC702" i="22"/>
  <c r="AB702" i="22"/>
  <c r="X702" i="22"/>
  <c r="T702" i="22"/>
  <c r="P702" i="22"/>
  <c r="O702" i="22"/>
  <c r="M702" i="22"/>
  <c r="L702" i="22"/>
  <c r="J702" i="22"/>
  <c r="H702" i="22"/>
  <c r="G702" i="22"/>
  <c r="A702" i="22" s="1"/>
  <c r="C702" i="22" s="1"/>
  <c r="D702" i="22"/>
  <c r="B702" i="22"/>
  <c r="AM702" i="22" s="1"/>
  <c r="AN701" i="22"/>
  <c r="AM701" i="22"/>
  <c r="AK701" i="22"/>
  <c r="AH701" i="22"/>
  <c r="AE701" i="22"/>
  <c r="AB701" i="22"/>
  <c r="AA701" i="22"/>
  <c r="T701" i="22"/>
  <c r="Q701" i="22"/>
  <c r="O701" i="22"/>
  <c r="N701" i="22"/>
  <c r="L701" i="22"/>
  <c r="J701" i="22"/>
  <c r="I701" i="22"/>
  <c r="G701" i="22"/>
  <c r="A701" i="22" s="1"/>
  <c r="C701" i="22" s="1"/>
  <c r="B701" i="22"/>
  <c r="AO701" i="22" s="1"/>
  <c r="N700" i="22"/>
  <c r="B700" i="22"/>
  <c r="T700" i="22" s="1"/>
  <c r="AL699" i="22"/>
  <c r="AI699" i="22"/>
  <c r="AC699" i="22"/>
  <c r="AA699" i="22"/>
  <c r="X699" i="22"/>
  <c r="P699" i="22"/>
  <c r="N699" i="22"/>
  <c r="M699" i="22"/>
  <c r="H699" i="22"/>
  <c r="D699" i="22"/>
  <c r="B699" i="22"/>
  <c r="AK699" i="22" s="1"/>
  <c r="AN698" i="22"/>
  <c r="AL698" i="22"/>
  <c r="AK698" i="22"/>
  <c r="AI698" i="22"/>
  <c r="AH698" i="22"/>
  <c r="AE698" i="22"/>
  <c r="AC698" i="22"/>
  <c r="AB698" i="22"/>
  <c r="X698" i="22"/>
  <c r="T698" i="22"/>
  <c r="P698" i="22"/>
  <c r="O698" i="22"/>
  <c r="M698" i="22"/>
  <c r="L698" i="22"/>
  <c r="J698" i="22"/>
  <c r="H698" i="22"/>
  <c r="G698" i="22"/>
  <c r="A698" i="22" s="1"/>
  <c r="C698" i="22" s="1"/>
  <c r="D698" i="22"/>
  <c r="B698" i="22"/>
  <c r="AM698" i="22" s="1"/>
  <c r="AN697" i="22"/>
  <c r="AM697" i="22"/>
  <c r="AK697" i="22"/>
  <c r="AH697" i="22"/>
  <c r="AE697" i="22"/>
  <c r="AB697" i="22"/>
  <c r="AA697" i="22"/>
  <c r="T697" i="22"/>
  <c r="Q697" i="22"/>
  <c r="O697" i="22"/>
  <c r="N697" i="22"/>
  <c r="L697" i="22"/>
  <c r="J697" i="22"/>
  <c r="I697" i="22"/>
  <c r="G697" i="22"/>
  <c r="A697" i="22" s="1"/>
  <c r="C697" i="22" s="1"/>
  <c r="AJ697" i="22" s="1"/>
  <c r="B697" i="22"/>
  <c r="AO697" i="22" s="1"/>
  <c r="AO696" i="22"/>
  <c r="AH696" i="22"/>
  <c r="AF696" i="22"/>
  <c r="L696" i="22"/>
  <c r="B696" i="22"/>
  <c r="T696" i="22" s="1"/>
  <c r="AL695" i="22"/>
  <c r="AI695" i="22"/>
  <c r="AC695" i="22"/>
  <c r="AA695" i="22"/>
  <c r="X695" i="22"/>
  <c r="P695" i="22"/>
  <c r="N695" i="22"/>
  <c r="M695" i="22"/>
  <c r="H695" i="22"/>
  <c r="D695" i="22"/>
  <c r="B695" i="22"/>
  <c r="AK695" i="22" s="1"/>
  <c r="AN694" i="22"/>
  <c r="AL694" i="22"/>
  <c r="AK694" i="22"/>
  <c r="AI694" i="22"/>
  <c r="AE694" i="22"/>
  <c r="AC694" i="22"/>
  <c r="AB694" i="22"/>
  <c r="X694" i="22"/>
  <c r="P694" i="22"/>
  <c r="O694" i="22"/>
  <c r="M694" i="22"/>
  <c r="J694" i="22"/>
  <c r="H694" i="22"/>
  <c r="G694" i="22"/>
  <c r="A694" i="22" s="1"/>
  <c r="C694" i="22" s="1"/>
  <c r="D694" i="22"/>
  <c r="B694" i="22"/>
  <c r="AM694" i="22" s="1"/>
  <c r="AN693" i="22"/>
  <c r="AM693" i="22"/>
  <c r="AL693" i="22"/>
  <c r="AK693" i="22"/>
  <c r="AH693" i="22"/>
  <c r="AE693" i="22"/>
  <c r="AC693" i="22"/>
  <c r="AB693" i="22"/>
  <c r="T693" i="22"/>
  <c r="Q693" i="22"/>
  <c r="P693" i="22"/>
  <c r="O693" i="22"/>
  <c r="L693" i="22"/>
  <c r="J693" i="22"/>
  <c r="I693" i="22"/>
  <c r="H693" i="22"/>
  <c r="G693" i="22"/>
  <c r="A693" i="22" s="1"/>
  <c r="C693" i="22" s="1"/>
  <c r="B693" i="22"/>
  <c r="AO693" i="22" s="1"/>
  <c r="AO692" i="22"/>
  <c r="AH692" i="22"/>
  <c r="AF692" i="22"/>
  <c r="T692" i="22"/>
  <c r="N692" i="22"/>
  <c r="L692" i="22"/>
  <c r="K692" i="22"/>
  <c r="B692" i="22"/>
  <c r="AL691" i="22"/>
  <c r="AI691" i="22"/>
  <c r="AH691" i="22"/>
  <c r="AC691" i="22"/>
  <c r="AA691" i="22"/>
  <c r="X691" i="22"/>
  <c r="T691" i="22"/>
  <c r="P691" i="22"/>
  <c r="N691" i="22"/>
  <c r="M691" i="22"/>
  <c r="L691" i="22"/>
  <c r="H691" i="22"/>
  <c r="D691" i="22"/>
  <c r="B691" i="22"/>
  <c r="AK691" i="22" s="1"/>
  <c r="AN690" i="22"/>
  <c r="AL690" i="22"/>
  <c r="AK690" i="22"/>
  <c r="AI690" i="22"/>
  <c r="AE690" i="22"/>
  <c r="AC690" i="22"/>
  <c r="AB690" i="22"/>
  <c r="AA690" i="22"/>
  <c r="X690" i="22"/>
  <c r="Q690" i="22"/>
  <c r="P690" i="22"/>
  <c r="O690" i="22"/>
  <c r="N690" i="22"/>
  <c r="M690" i="22"/>
  <c r="J690" i="22"/>
  <c r="I690" i="22"/>
  <c r="H690" i="22"/>
  <c r="G690" i="22"/>
  <c r="A690" i="22" s="1"/>
  <c r="C690" i="22" s="1"/>
  <c r="D690" i="22"/>
  <c r="B690" i="22"/>
  <c r="AM690" i="22" s="1"/>
  <c r="AN689" i="22"/>
  <c r="AM689" i="22"/>
  <c r="AL689" i="22"/>
  <c r="AH689" i="22"/>
  <c r="AE689" i="22"/>
  <c r="AC689" i="22"/>
  <c r="T689" i="22"/>
  <c r="Q689" i="22"/>
  <c r="P689" i="22"/>
  <c r="L689" i="22"/>
  <c r="J689" i="22"/>
  <c r="I689" i="22"/>
  <c r="H689" i="22"/>
  <c r="B689" i="22"/>
  <c r="AO689" i="22" s="1"/>
  <c r="AN688" i="22"/>
  <c r="AI688" i="22"/>
  <c r="AA688" i="22"/>
  <c r="T688" i="22"/>
  <c r="K688" i="22"/>
  <c r="D688" i="22"/>
  <c r="B688" i="22"/>
  <c r="AF688" i="22" s="1"/>
  <c r="AL687" i="22"/>
  <c r="AK687" i="22"/>
  <c r="AI687" i="22"/>
  <c r="AH687" i="22"/>
  <c r="AC687" i="22"/>
  <c r="AB687" i="22"/>
  <c r="AA687" i="22"/>
  <c r="X687" i="22"/>
  <c r="T687" i="22"/>
  <c r="P687" i="22"/>
  <c r="O687" i="22"/>
  <c r="N687" i="22"/>
  <c r="M687" i="22"/>
  <c r="L687" i="22"/>
  <c r="H687" i="22"/>
  <c r="G687" i="22"/>
  <c r="A687" i="22" s="1"/>
  <c r="C687" i="22" s="1"/>
  <c r="D687" i="22"/>
  <c r="B687" i="22"/>
  <c r="AO687" i="22" s="1"/>
  <c r="AN686" i="22"/>
  <c r="AM686" i="22"/>
  <c r="AL686" i="22"/>
  <c r="AK686" i="22"/>
  <c r="AE686" i="22"/>
  <c r="AC686" i="22"/>
  <c r="AB686" i="22"/>
  <c r="AA686" i="22"/>
  <c r="Q686" i="22"/>
  <c r="P686" i="22"/>
  <c r="O686" i="22"/>
  <c r="N686" i="22"/>
  <c r="M686" i="22"/>
  <c r="J686" i="22"/>
  <c r="I686" i="22"/>
  <c r="H686" i="22"/>
  <c r="G686" i="22"/>
  <c r="A686" i="22" s="1"/>
  <c r="C686" i="22" s="1"/>
  <c r="D686" i="22"/>
  <c r="B686" i="22"/>
  <c r="AI686" i="22" s="1"/>
  <c r="AE685" i="22"/>
  <c r="L685" i="22"/>
  <c r="K685" i="22"/>
  <c r="B685" i="22"/>
  <c r="AF685" i="22" s="1"/>
  <c r="AO684" i="22"/>
  <c r="AN684" i="22"/>
  <c r="AE684" i="22"/>
  <c r="X684" i="22"/>
  <c r="T684" i="22"/>
  <c r="L684" i="22"/>
  <c r="J684" i="22"/>
  <c r="D684" i="22"/>
  <c r="B684" i="22"/>
  <c r="AF684" i="22" s="1"/>
  <c r="AL683" i="22"/>
  <c r="AI683" i="22"/>
  <c r="AH683" i="22"/>
  <c r="X683" i="22"/>
  <c r="Q683" i="22"/>
  <c r="P683" i="22"/>
  <c r="N683" i="22"/>
  <c r="L683" i="22"/>
  <c r="J683" i="22"/>
  <c r="I683" i="22"/>
  <c r="H683" i="22"/>
  <c r="B683" i="22"/>
  <c r="AH682" i="22"/>
  <c r="T682" i="22"/>
  <c r="L682" i="22"/>
  <c r="B682" i="22"/>
  <c r="AO682" i="22" s="1"/>
  <c r="AN681" i="22"/>
  <c r="AL681" i="22"/>
  <c r="AI681" i="22"/>
  <c r="AH681" i="22"/>
  <c r="AE681" i="22"/>
  <c r="AC681" i="22"/>
  <c r="AA681" i="22"/>
  <c r="X681" i="22"/>
  <c r="T681" i="22"/>
  <c r="P681" i="22"/>
  <c r="O681" i="22"/>
  <c r="N681" i="22"/>
  <c r="M681" i="22"/>
  <c r="L681" i="22"/>
  <c r="J681" i="22"/>
  <c r="H681" i="22"/>
  <c r="G681" i="22"/>
  <c r="A681" i="22" s="1"/>
  <c r="C681" i="22" s="1"/>
  <c r="AD681" i="22" s="1"/>
  <c r="D681" i="22"/>
  <c r="B681" i="22"/>
  <c r="AO681" i="22" s="1"/>
  <c r="AN680" i="22"/>
  <c r="AL680" i="22"/>
  <c r="AK680" i="22"/>
  <c r="AH680" i="22"/>
  <c r="AE680" i="22"/>
  <c r="AC680" i="22"/>
  <c r="AB680" i="22"/>
  <c r="AA680" i="22"/>
  <c r="T680" i="22"/>
  <c r="Q680" i="22"/>
  <c r="P680" i="22"/>
  <c r="O680" i="22"/>
  <c r="N680" i="22"/>
  <c r="L680" i="22"/>
  <c r="J680" i="22"/>
  <c r="I680" i="22"/>
  <c r="H680" i="22"/>
  <c r="G680" i="22"/>
  <c r="A680" i="22" s="1"/>
  <c r="C680" i="22" s="1"/>
  <c r="B680" i="22"/>
  <c r="AI680" i="22" s="1"/>
  <c r="AN679" i="22"/>
  <c r="AM679" i="22"/>
  <c r="AL679" i="22"/>
  <c r="AH679" i="22"/>
  <c r="AE679" i="22"/>
  <c r="AC679" i="22"/>
  <c r="T679" i="22"/>
  <c r="Q679" i="22"/>
  <c r="P679" i="22"/>
  <c r="L679" i="22"/>
  <c r="J679" i="22"/>
  <c r="I679" i="22"/>
  <c r="H679" i="22"/>
  <c r="B679" i="22"/>
  <c r="AK679" i="22" s="1"/>
  <c r="AH678" i="22"/>
  <c r="T678" i="22"/>
  <c r="L678" i="22"/>
  <c r="B678" i="22"/>
  <c r="AO678" i="22" s="1"/>
  <c r="AL677" i="22"/>
  <c r="AI677" i="22"/>
  <c r="AH677" i="22"/>
  <c r="AC677" i="22"/>
  <c r="AA677" i="22"/>
  <c r="X677" i="22"/>
  <c r="T677" i="22"/>
  <c r="P677" i="22"/>
  <c r="N677" i="22"/>
  <c r="M677" i="22"/>
  <c r="L677" i="22"/>
  <c r="H677" i="22"/>
  <c r="G677" i="22"/>
  <c r="A677" i="22" s="1"/>
  <c r="C677" i="22" s="1"/>
  <c r="AD677" i="22" s="1"/>
  <c r="D677" i="22"/>
  <c r="B677" i="22"/>
  <c r="AO677" i="22" s="1"/>
  <c r="AL676" i="22"/>
  <c r="AK676" i="22"/>
  <c r="AC676" i="22"/>
  <c r="AB676" i="22"/>
  <c r="P676" i="22"/>
  <c r="O676" i="22"/>
  <c r="H676" i="22"/>
  <c r="G676" i="22"/>
  <c r="A676" i="22" s="1"/>
  <c r="C676" i="22" s="1"/>
  <c r="B676" i="22"/>
  <c r="AA676" i="22" s="1"/>
  <c r="AN675" i="22"/>
  <c r="AM675" i="22"/>
  <c r="AL675" i="22"/>
  <c r="AI675" i="22"/>
  <c r="AH675" i="22"/>
  <c r="AE675" i="22"/>
  <c r="AC675" i="22"/>
  <c r="X675" i="22"/>
  <c r="T675" i="22"/>
  <c r="Q675" i="22"/>
  <c r="P675" i="22"/>
  <c r="M675" i="22"/>
  <c r="L675" i="22"/>
  <c r="J675" i="22"/>
  <c r="I675" i="22"/>
  <c r="H675" i="22"/>
  <c r="D675" i="22"/>
  <c r="B675" i="22"/>
  <c r="AK675" i="22" s="1"/>
  <c r="AH674" i="22"/>
  <c r="T674" i="22"/>
  <c r="L674" i="22"/>
  <c r="B674" i="22"/>
  <c r="AO674" i="22" s="1"/>
  <c r="AM673" i="22"/>
  <c r="AL673" i="22"/>
  <c r="AI673" i="22"/>
  <c r="AH673" i="22"/>
  <c r="AC673" i="22"/>
  <c r="AA673" i="22"/>
  <c r="X673" i="22"/>
  <c r="T673" i="22"/>
  <c r="Q673" i="22"/>
  <c r="P673" i="22"/>
  <c r="N673" i="22"/>
  <c r="M673" i="22"/>
  <c r="L673" i="22"/>
  <c r="I673" i="22"/>
  <c r="H673" i="22"/>
  <c r="D673" i="22"/>
  <c r="B673" i="22"/>
  <c r="AO673" i="22" s="1"/>
  <c r="AL672" i="22"/>
  <c r="AK672" i="22"/>
  <c r="AC672" i="22"/>
  <c r="AB672" i="22"/>
  <c r="P672" i="22"/>
  <c r="O672" i="22"/>
  <c r="H672" i="22"/>
  <c r="G672" i="22"/>
  <c r="A672" i="22" s="1"/>
  <c r="C672" i="22" s="1"/>
  <c r="B672" i="22"/>
  <c r="AA672" i="22" s="1"/>
  <c r="AN671" i="22"/>
  <c r="AM671" i="22"/>
  <c r="AL671" i="22"/>
  <c r="AI671" i="22"/>
  <c r="AH671" i="22"/>
  <c r="AE671" i="22"/>
  <c r="AC671" i="22"/>
  <c r="X671" i="22"/>
  <c r="T671" i="22"/>
  <c r="Q671" i="22"/>
  <c r="P671" i="22"/>
  <c r="M671" i="22"/>
  <c r="L671" i="22"/>
  <c r="J671" i="22"/>
  <c r="I671" i="22"/>
  <c r="H671" i="22"/>
  <c r="D671" i="22"/>
  <c r="B671" i="22"/>
  <c r="AK671" i="22" s="1"/>
  <c r="AH670" i="22"/>
  <c r="T670" i="22"/>
  <c r="L670" i="22"/>
  <c r="B670" i="22"/>
  <c r="AO670" i="22" s="1"/>
  <c r="AM669" i="22"/>
  <c r="AL669" i="22"/>
  <c r="AI669" i="22"/>
  <c r="AH669" i="22"/>
  <c r="AC669" i="22"/>
  <c r="AA669" i="22"/>
  <c r="X669" i="22"/>
  <c r="T669" i="22"/>
  <c r="Q669" i="22"/>
  <c r="P669" i="22"/>
  <c r="N669" i="22"/>
  <c r="M669" i="22"/>
  <c r="L669" i="22"/>
  <c r="I669" i="22"/>
  <c r="H669" i="22"/>
  <c r="D669" i="22"/>
  <c r="B669" i="22"/>
  <c r="AO669" i="22" s="1"/>
  <c r="AL668" i="22"/>
  <c r="AK668" i="22"/>
  <c r="AC668" i="22"/>
  <c r="AB668" i="22"/>
  <c r="P668" i="22"/>
  <c r="O668" i="22"/>
  <c r="H668" i="22"/>
  <c r="G668" i="22"/>
  <c r="A668" i="22" s="1"/>
  <c r="C668" i="22" s="1"/>
  <c r="B668" i="22"/>
  <c r="AA668" i="22" s="1"/>
  <c r="AN667" i="22"/>
  <c r="AM667" i="22"/>
  <c r="AL667" i="22"/>
  <c r="AI667" i="22"/>
  <c r="AH667" i="22"/>
  <c r="AE667" i="22"/>
  <c r="AC667" i="22"/>
  <c r="X667" i="22"/>
  <c r="T667" i="22"/>
  <c r="Q667" i="22"/>
  <c r="P667" i="22"/>
  <c r="O667" i="22"/>
  <c r="M667" i="22"/>
  <c r="L667" i="22"/>
  <c r="J667" i="22"/>
  <c r="I667" i="22"/>
  <c r="H667" i="22"/>
  <c r="G667" i="22"/>
  <c r="A667" i="22" s="1"/>
  <c r="C667" i="22" s="1"/>
  <c r="D667" i="22"/>
  <c r="B667" i="22"/>
  <c r="AK667" i="22" s="1"/>
  <c r="AH666" i="22"/>
  <c r="T666" i="22"/>
  <c r="L666" i="22"/>
  <c r="B666" i="22"/>
  <c r="AO666" i="22" s="1"/>
  <c r="AM665" i="22"/>
  <c r="AL665" i="22"/>
  <c r="AI665" i="22"/>
  <c r="AH665" i="22"/>
  <c r="AC665" i="22"/>
  <c r="AA665" i="22"/>
  <c r="X665" i="22"/>
  <c r="T665" i="22"/>
  <c r="Q665" i="22"/>
  <c r="P665" i="22"/>
  <c r="N665" i="22"/>
  <c r="M665" i="22"/>
  <c r="L665" i="22"/>
  <c r="I665" i="22"/>
  <c r="H665" i="22"/>
  <c r="D665" i="22"/>
  <c r="B665" i="22"/>
  <c r="AO665" i="22" s="1"/>
  <c r="AL664" i="22"/>
  <c r="AK664" i="22"/>
  <c r="AC664" i="22"/>
  <c r="AB664" i="22"/>
  <c r="P664" i="22"/>
  <c r="O664" i="22"/>
  <c r="H664" i="22"/>
  <c r="G664" i="22"/>
  <c r="A664" i="22" s="1"/>
  <c r="C664" i="22" s="1"/>
  <c r="B664" i="22"/>
  <c r="AA664" i="22" s="1"/>
  <c r="AN663" i="22"/>
  <c r="AM663" i="22"/>
  <c r="AL663" i="22"/>
  <c r="AK663" i="22"/>
  <c r="AI663" i="22"/>
  <c r="AH663" i="22"/>
  <c r="AE663" i="22"/>
  <c r="AC663" i="22"/>
  <c r="AB663" i="22"/>
  <c r="X663" i="22"/>
  <c r="T663" i="22"/>
  <c r="Q663" i="22"/>
  <c r="P663" i="22"/>
  <c r="O663" i="22"/>
  <c r="M663" i="22"/>
  <c r="L663" i="22"/>
  <c r="J663" i="22"/>
  <c r="I663" i="22"/>
  <c r="H663" i="22"/>
  <c r="G663" i="22"/>
  <c r="A663" i="22" s="1"/>
  <c r="C663" i="22" s="1"/>
  <c r="D663" i="22"/>
  <c r="B663" i="22"/>
  <c r="AA663" i="22" s="1"/>
  <c r="AH662" i="22"/>
  <c r="T662" i="22"/>
  <c r="L662" i="22"/>
  <c r="B662" i="22"/>
  <c r="AO662" i="22" s="1"/>
  <c r="AM661" i="22"/>
  <c r="AL661" i="22"/>
  <c r="AI661" i="22"/>
  <c r="AH661" i="22"/>
  <c r="AC661" i="22"/>
  <c r="AA661" i="22"/>
  <c r="X661" i="22"/>
  <c r="T661" i="22"/>
  <c r="Q661" i="22"/>
  <c r="P661" i="22"/>
  <c r="N661" i="22"/>
  <c r="M661" i="22"/>
  <c r="L661" i="22"/>
  <c r="I661" i="22"/>
  <c r="H661" i="22"/>
  <c r="D661" i="22"/>
  <c r="B661" i="22"/>
  <c r="AO661" i="22" s="1"/>
  <c r="AN660" i="22"/>
  <c r="AL660" i="22"/>
  <c r="AK660" i="22"/>
  <c r="AE660" i="22"/>
  <c r="AC660" i="22"/>
  <c r="AB660" i="22"/>
  <c r="P660" i="22"/>
  <c r="O660" i="22"/>
  <c r="J660" i="22"/>
  <c r="H660" i="22"/>
  <c r="G660" i="22"/>
  <c r="A660" i="22" s="1"/>
  <c r="C660" i="22" s="1"/>
  <c r="B660" i="22"/>
  <c r="AA660" i="22" s="1"/>
  <c r="AN659" i="22"/>
  <c r="AM659" i="22"/>
  <c r="AL659" i="22"/>
  <c r="AK659" i="22"/>
  <c r="AI659" i="22"/>
  <c r="AH659" i="22"/>
  <c r="AE659" i="22"/>
  <c r="AC659" i="22"/>
  <c r="AB659" i="22"/>
  <c r="X659" i="22"/>
  <c r="T659" i="22"/>
  <c r="Q659" i="22"/>
  <c r="P659" i="22"/>
  <c r="O659" i="22"/>
  <c r="M659" i="22"/>
  <c r="L659" i="22"/>
  <c r="J659" i="22"/>
  <c r="I659" i="22"/>
  <c r="H659" i="22"/>
  <c r="G659" i="22"/>
  <c r="A659" i="22" s="1"/>
  <c r="C659" i="22" s="1"/>
  <c r="D659" i="22"/>
  <c r="B659" i="22"/>
  <c r="AA659" i="22" s="1"/>
  <c r="AH658" i="22"/>
  <c r="AF658" i="22"/>
  <c r="T658" i="22"/>
  <c r="L658" i="22"/>
  <c r="B658" i="22"/>
  <c r="AM657" i="22"/>
  <c r="AL657" i="22"/>
  <c r="AI657" i="22"/>
  <c r="AH657" i="22"/>
  <c r="AC657" i="22"/>
  <c r="AA657" i="22"/>
  <c r="X657" i="22"/>
  <c r="T657" i="22"/>
  <c r="Q657" i="22"/>
  <c r="P657" i="22"/>
  <c r="N657" i="22"/>
  <c r="M657" i="22"/>
  <c r="L657" i="22"/>
  <c r="I657" i="22"/>
  <c r="H657" i="22"/>
  <c r="D657" i="22"/>
  <c r="B657" i="22"/>
  <c r="AO657" i="22" s="1"/>
  <c r="AN656" i="22"/>
  <c r="AL656" i="22"/>
  <c r="AK656" i="22"/>
  <c r="AE656" i="22"/>
  <c r="AC656" i="22"/>
  <c r="AB656" i="22"/>
  <c r="P656" i="22"/>
  <c r="O656" i="22"/>
  <c r="J656" i="22"/>
  <c r="H656" i="22"/>
  <c r="G656" i="22"/>
  <c r="A656" i="22" s="1"/>
  <c r="C656" i="22" s="1"/>
  <c r="B656" i="22"/>
  <c r="AA656" i="22" s="1"/>
  <c r="AN655" i="22"/>
  <c r="AM655" i="22"/>
  <c r="AL655" i="22"/>
  <c r="AK655" i="22"/>
  <c r="AI655" i="22"/>
  <c r="AH655" i="22"/>
  <c r="AE655" i="22"/>
  <c r="AC655" i="22"/>
  <c r="AB655" i="22"/>
  <c r="X655" i="22"/>
  <c r="T655" i="22"/>
  <c r="Q655" i="22"/>
  <c r="P655" i="22"/>
  <c r="O655" i="22"/>
  <c r="M655" i="22"/>
  <c r="L655" i="22"/>
  <c r="J655" i="22"/>
  <c r="I655" i="22"/>
  <c r="H655" i="22"/>
  <c r="G655" i="22"/>
  <c r="A655" i="22" s="1"/>
  <c r="C655" i="22" s="1"/>
  <c r="AJ655" i="22" s="1"/>
  <c r="D655" i="22"/>
  <c r="B655" i="22"/>
  <c r="AA655" i="22" s="1"/>
  <c r="L654" i="22"/>
  <c r="B654" i="22"/>
  <c r="AH654" i="22" s="1"/>
  <c r="AM653" i="22"/>
  <c r="AL653" i="22"/>
  <c r="AI653" i="22"/>
  <c r="AH653" i="22"/>
  <c r="AC653" i="22"/>
  <c r="AA653" i="22"/>
  <c r="X653" i="22"/>
  <c r="T653" i="22"/>
  <c r="Q653" i="22"/>
  <c r="P653" i="22"/>
  <c r="N653" i="22"/>
  <c r="M653" i="22"/>
  <c r="L653" i="22"/>
  <c r="I653" i="22"/>
  <c r="H653" i="22"/>
  <c r="D653" i="22"/>
  <c r="B653" i="22"/>
  <c r="AO653" i="22" s="1"/>
  <c r="AL652" i="22"/>
  <c r="AK652" i="22"/>
  <c r="AC652" i="22"/>
  <c r="AB652" i="22"/>
  <c r="P652" i="22"/>
  <c r="O652" i="22"/>
  <c r="H652" i="22"/>
  <c r="G652" i="22"/>
  <c r="A652" i="22" s="1"/>
  <c r="C652" i="22" s="1"/>
  <c r="B652" i="22"/>
  <c r="AA652" i="22" s="1"/>
  <c r="AN651" i="22"/>
  <c r="AM651" i="22"/>
  <c r="AL651" i="22"/>
  <c r="AK651" i="22"/>
  <c r="AI651" i="22"/>
  <c r="AH651" i="22"/>
  <c r="AE651" i="22"/>
  <c r="AC651" i="22"/>
  <c r="AB651" i="22"/>
  <c r="X651" i="22"/>
  <c r="T651" i="22"/>
  <c r="Q651" i="22"/>
  <c r="P651" i="22"/>
  <c r="O651" i="22"/>
  <c r="M651" i="22"/>
  <c r="L651" i="22"/>
  <c r="J651" i="22"/>
  <c r="I651" i="22"/>
  <c r="H651" i="22"/>
  <c r="G651" i="22"/>
  <c r="A651" i="22" s="1"/>
  <c r="C651" i="22" s="1"/>
  <c r="D651" i="22"/>
  <c r="B651" i="22"/>
  <c r="AA651" i="22" s="1"/>
  <c r="AH650" i="22"/>
  <c r="AF650" i="22"/>
  <c r="T650" i="22"/>
  <c r="L650" i="22"/>
  <c r="B650" i="22"/>
  <c r="AM649" i="22"/>
  <c r="AL649" i="22"/>
  <c r="AI649" i="22"/>
  <c r="AH649" i="22"/>
  <c r="AC649" i="22"/>
  <c r="AA649" i="22"/>
  <c r="X649" i="22"/>
  <c r="T649" i="22"/>
  <c r="Q649" i="22"/>
  <c r="P649" i="22"/>
  <c r="N649" i="22"/>
  <c r="M649" i="22"/>
  <c r="L649" i="22"/>
  <c r="I649" i="22"/>
  <c r="H649" i="22"/>
  <c r="D649" i="22"/>
  <c r="B649" i="22"/>
  <c r="AO649" i="22" s="1"/>
  <c r="AL648" i="22"/>
  <c r="AF648" i="22"/>
  <c r="AB648" i="22"/>
  <c r="P648" i="22"/>
  <c r="K648" i="22"/>
  <c r="G648" i="22"/>
  <c r="A648" i="22" s="1"/>
  <c r="C648" i="22" s="1"/>
  <c r="B648" i="22"/>
  <c r="AN647" i="22"/>
  <c r="AM647" i="22"/>
  <c r="AL647" i="22"/>
  <c r="AK647" i="22"/>
  <c r="AI647" i="22"/>
  <c r="AH647" i="22"/>
  <c r="AE647" i="22"/>
  <c r="AC647" i="22"/>
  <c r="AB647" i="22"/>
  <c r="X647" i="22"/>
  <c r="T647" i="22"/>
  <c r="Q647" i="22"/>
  <c r="P647" i="22"/>
  <c r="O647" i="22"/>
  <c r="M647" i="22"/>
  <c r="L647" i="22"/>
  <c r="J647" i="22"/>
  <c r="I647" i="22"/>
  <c r="H647" i="22"/>
  <c r="G647" i="22"/>
  <c r="A647" i="22" s="1"/>
  <c r="C647" i="22" s="1"/>
  <c r="AJ647" i="22" s="1"/>
  <c r="D647" i="22"/>
  <c r="B647" i="22"/>
  <c r="AA647" i="22" s="1"/>
  <c r="AO646" i="22"/>
  <c r="AK646" i="22"/>
  <c r="AF646" i="22"/>
  <c r="T646" i="22"/>
  <c r="O646" i="22"/>
  <c r="L646" i="22"/>
  <c r="K646" i="22"/>
  <c r="B646" i="22"/>
  <c r="AM645" i="22"/>
  <c r="AL645" i="22"/>
  <c r="AI645" i="22"/>
  <c r="AH645" i="22"/>
  <c r="AC645" i="22"/>
  <c r="AA645" i="22"/>
  <c r="X645" i="22"/>
  <c r="T645" i="22"/>
  <c r="Q645" i="22"/>
  <c r="P645" i="22"/>
  <c r="N645" i="22"/>
  <c r="M645" i="22"/>
  <c r="L645" i="22"/>
  <c r="I645" i="22"/>
  <c r="H645" i="22"/>
  <c r="D645" i="22"/>
  <c r="B645" i="22"/>
  <c r="AO645" i="22" s="1"/>
  <c r="AL644" i="22"/>
  <c r="AF644" i="22"/>
  <c r="O644" i="22"/>
  <c r="G644" i="22"/>
  <c r="A644" i="22" s="1"/>
  <c r="C644" i="22" s="1"/>
  <c r="B644" i="22"/>
  <c r="AN643" i="22"/>
  <c r="AM643" i="22"/>
  <c r="AL643" i="22"/>
  <c r="AK643" i="22"/>
  <c r="AI643" i="22"/>
  <c r="AH643" i="22"/>
  <c r="AE643" i="22"/>
  <c r="AC643" i="22"/>
  <c r="AB643" i="22"/>
  <c r="X643" i="22"/>
  <c r="T643" i="22"/>
  <c r="Q643" i="22"/>
  <c r="P643" i="22"/>
  <c r="O643" i="22"/>
  <c r="M643" i="22"/>
  <c r="L643" i="22"/>
  <c r="J643" i="22"/>
  <c r="I643" i="22"/>
  <c r="H643" i="22"/>
  <c r="G643" i="22"/>
  <c r="A643" i="22" s="1"/>
  <c r="C643" i="22" s="1"/>
  <c r="AJ643" i="22" s="1"/>
  <c r="D643" i="22"/>
  <c r="B643" i="22"/>
  <c r="AA643" i="22" s="1"/>
  <c r="AK642" i="22"/>
  <c r="AF642" i="22"/>
  <c r="N642" i="22"/>
  <c r="B642" i="22"/>
  <c r="AM641" i="22"/>
  <c r="AL641" i="22"/>
  <c r="AI641" i="22"/>
  <c r="AH641" i="22"/>
  <c r="AC641" i="22"/>
  <c r="AA641" i="22"/>
  <c r="X641" i="22"/>
  <c r="T641" i="22"/>
  <c r="Q641" i="22"/>
  <c r="P641" i="22"/>
  <c r="O641" i="22"/>
  <c r="N641" i="22"/>
  <c r="M641" i="22"/>
  <c r="L641" i="22"/>
  <c r="I641" i="22"/>
  <c r="H641" i="22"/>
  <c r="G641" i="22"/>
  <c r="A641" i="22" s="1"/>
  <c r="C641" i="22" s="1"/>
  <c r="D641" i="22"/>
  <c r="B641" i="22"/>
  <c r="AO641" i="22" s="1"/>
  <c r="H640" i="22"/>
  <c r="B640" i="22"/>
  <c r="AN640" i="22" s="1"/>
  <c r="AN639" i="22"/>
  <c r="AM639" i="22"/>
  <c r="AL639" i="22"/>
  <c r="AI639" i="22"/>
  <c r="AH639" i="22"/>
  <c r="AF639" i="22"/>
  <c r="AE639" i="22"/>
  <c r="AC639" i="22"/>
  <c r="X639" i="22"/>
  <c r="T639" i="22"/>
  <c r="Q639" i="22"/>
  <c r="P639" i="22"/>
  <c r="L639" i="22"/>
  <c r="K639" i="22"/>
  <c r="J639" i="22"/>
  <c r="I639" i="22"/>
  <c r="H639" i="22"/>
  <c r="D639" i="22"/>
  <c r="B639" i="22"/>
  <c r="AA638" i="22"/>
  <c r="L638" i="22"/>
  <c r="B638" i="22"/>
  <c r="AN638" i="22" s="1"/>
  <c r="AO637" i="22"/>
  <c r="AM637" i="22"/>
  <c r="AL637" i="22"/>
  <c r="AI637" i="22"/>
  <c r="AH637" i="22"/>
  <c r="AE637" i="22"/>
  <c r="AC637" i="22"/>
  <c r="AA637" i="22"/>
  <c r="X637" i="22"/>
  <c r="T637" i="22"/>
  <c r="Q637" i="22"/>
  <c r="P637" i="22"/>
  <c r="N637" i="22"/>
  <c r="M637" i="22"/>
  <c r="L637" i="22"/>
  <c r="J637" i="22"/>
  <c r="I637" i="22"/>
  <c r="H637" i="22"/>
  <c r="D637" i="22"/>
  <c r="B637" i="22"/>
  <c r="AN637" i="22" s="1"/>
  <c r="AA636" i="22"/>
  <c r="N636" i="22"/>
  <c r="B636" i="22"/>
  <c r="AO636" i="22" s="1"/>
  <c r="AN635" i="22"/>
  <c r="AM635" i="22"/>
  <c r="AL635" i="22"/>
  <c r="AK635" i="22"/>
  <c r="AI635" i="22"/>
  <c r="AH635" i="22"/>
  <c r="AE635" i="22"/>
  <c r="AC635" i="22"/>
  <c r="AB635" i="22"/>
  <c r="AA635" i="22"/>
  <c r="X635" i="22"/>
  <c r="T635" i="22"/>
  <c r="Q635" i="22"/>
  <c r="P635" i="22"/>
  <c r="O635" i="22"/>
  <c r="N635" i="22"/>
  <c r="M635" i="22"/>
  <c r="L635" i="22"/>
  <c r="J635" i="22"/>
  <c r="I635" i="22"/>
  <c r="H635" i="22"/>
  <c r="G635" i="22"/>
  <c r="A635" i="22" s="1"/>
  <c r="C635" i="22" s="1"/>
  <c r="D635" i="22"/>
  <c r="B635" i="22"/>
  <c r="AO635" i="22" s="1"/>
  <c r="AN634" i="22"/>
  <c r="AL634" i="22"/>
  <c r="AK634" i="22"/>
  <c r="AH634" i="22"/>
  <c r="AE634" i="22"/>
  <c r="AC634" i="22"/>
  <c r="AB634" i="22"/>
  <c r="AA634" i="22"/>
  <c r="T634" i="22"/>
  <c r="P634" i="22"/>
  <c r="O634" i="22"/>
  <c r="N634" i="22"/>
  <c r="L634" i="22"/>
  <c r="J634" i="22"/>
  <c r="H634" i="22"/>
  <c r="G634" i="22"/>
  <c r="A634" i="22" s="1"/>
  <c r="C634" i="22" s="1"/>
  <c r="B634" i="22"/>
  <c r="AI634" i="22" s="1"/>
  <c r="AN633" i="22"/>
  <c r="AM633" i="22"/>
  <c r="AL633" i="22"/>
  <c r="AI633" i="22"/>
  <c r="AH633" i="22"/>
  <c r="AE633" i="22"/>
  <c r="AC633" i="22"/>
  <c r="AA633" i="22"/>
  <c r="X633" i="22"/>
  <c r="T633" i="22"/>
  <c r="Q633" i="22"/>
  <c r="P633" i="22"/>
  <c r="N633" i="22"/>
  <c r="M633" i="22"/>
  <c r="L633" i="22"/>
  <c r="J633" i="22"/>
  <c r="I633" i="22"/>
  <c r="H633" i="22"/>
  <c r="D633" i="22"/>
  <c r="B633" i="22"/>
  <c r="AK633" i="22" s="1"/>
  <c r="AA632" i="22"/>
  <c r="N632" i="22"/>
  <c r="B632" i="22"/>
  <c r="AO632" i="22" s="1"/>
  <c r="AN631" i="22"/>
  <c r="AM631" i="22"/>
  <c r="AL631" i="22"/>
  <c r="AK631" i="22"/>
  <c r="AI631" i="22"/>
  <c r="AH631" i="22"/>
  <c r="AE631" i="22"/>
  <c r="AC631" i="22"/>
  <c r="AB631" i="22"/>
  <c r="AA631" i="22"/>
  <c r="X631" i="22"/>
  <c r="T631" i="22"/>
  <c r="Q631" i="22"/>
  <c r="P631" i="22"/>
  <c r="O631" i="22"/>
  <c r="N631" i="22"/>
  <c r="M631" i="22"/>
  <c r="L631" i="22"/>
  <c r="J631" i="22"/>
  <c r="I631" i="22"/>
  <c r="H631" i="22"/>
  <c r="G631" i="22"/>
  <c r="A631" i="22" s="1"/>
  <c r="C631" i="22" s="1"/>
  <c r="AD631" i="22" s="1"/>
  <c r="D631" i="22"/>
  <c r="B631" i="22"/>
  <c r="AO631" i="22" s="1"/>
  <c r="AN630" i="22"/>
  <c r="AL630" i="22"/>
  <c r="AK630" i="22"/>
  <c r="AH630" i="22"/>
  <c r="AE630" i="22"/>
  <c r="AC630" i="22"/>
  <c r="AB630" i="22"/>
  <c r="AA630" i="22"/>
  <c r="T630" i="22"/>
  <c r="P630" i="22"/>
  <c r="O630" i="22"/>
  <c r="N630" i="22"/>
  <c r="L630" i="22"/>
  <c r="J630" i="22"/>
  <c r="H630" i="22"/>
  <c r="G630" i="22"/>
  <c r="A630" i="22" s="1"/>
  <c r="C630" i="22" s="1"/>
  <c r="B630" i="22"/>
  <c r="AI630" i="22" s="1"/>
  <c r="AN629" i="22"/>
  <c r="AM629" i="22"/>
  <c r="AL629" i="22"/>
  <c r="AH629" i="22"/>
  <c r="AE629" i="22"/>
  <c r="AC629" i="22"/>
  <c r="AA629" i="22"/>
  <c r="T629" i="22"/>
  <c r="Q629" i="22"/>
  <c r="P629" i="22"/>
  <c r="N629" i="22"/>
  <c r="M629" i="22"/>
  <c r="L629" i="22"/>
  <c r="J629" i="22"/>
  <c r="I629" i="22"/>
  <c r="H629" i="22"/>
  <c r="D629" i="22"/>
  <c r="B629" i="22"/>
  <c r="AK629" i="22" s="1"/>
  <c r="AA628" i="22"/>
  <c r="N628" i="22"/>
  <c r="B628" i="22"/>
  <c r="AO628" i="22" s="1"/>
  <c r="AN627" i="22"/>
  <c r="AM627" i="22"/>
  <c r="AL627" i="22"/>
  <c r="AK627" i="22"/>
  <c r="AI627" i="22"/>
  <c r="AH627" i="22"/>
  <c r="AE627" i="22"/>
  <c r="AC627" i="22"/>
  <c r="AB627" i="22"/>
  <c r="AA627" i="22"/>
  <c r="X627" i="22"/>
  <c r="T627" i="22"/>
  <c r="Q627" i="22"/>
  <c r="P627" i="22"/>
  <c r="O627" i="22"/>
  <c r="N627" i="22"/>
  <c r="M627" i="22"/>
  <c r="L627" i="22"/>
  <c r="J627" i="22"/>
  <c r="I627" i="22"/>
  <c r="H627" i="22"/>
  <c r="G627" i="22"/>
  <c r="A627" i="22" s="1"/>
  <c r="C627" i="22" s="1"/>
  <c r="AD627" i="22" s="1"/>
  <c r="D627" i="22"/>
  <c r="B627" i="22"/>
  <c r="AO627" i="22" s="1"/>
  <c r="AN626" i="22"/>
  <c r="AL626" i="22"/>
  <c r="AK626" i="22"/>
  <c r="AH626" i="22"/>
  <c r="AE626" i="22"/>
  <c r="AC626" i="22"/>
  <c r="AB626" i="22"/>
  <c r="AA626" i="22"/>
  <c r="T626" i="22"/>
  <c r="P626" i="22"/>
  <c r="O626" i="22"/>
  <c r="N626" i="22"/>
  <c r="L626" i="22"/>
  <c r="J626" i="22"/>
  <c r="H626" i="22"/>
  <c r="G626" i="22"/>
  <c r="A626" i="22" s="1"/>
  <c r="C626" i="22" s="1"/>
  <c r="B626" i="22"/>
  <c r="AI626" i="22" s="1"/>
  <c r="AN625" i="22"/>
  <c r="AM625" i="22"/>
  <c r="AL625" i="22"/>
  <c r="AH625" i="22"/>
  <c r="AE625" i="22"/>
  <c r="AC625" i="22"/>
  <c r="AA625" i="22"/>
  <c r="X625" i="22"/>
  <c r="T625" i="22"/>
  <c r="Q625" i="22"/>
  <c r="P625" i="22"/>
  <c r="N625" i="22"/>
  <c r="M625" i="22"/>
  <c r="L625" i="22"/>
  <c r="J625" i="22"/>
  <c r="I625" i="22"/>
  <c r="H625" i="22"/>
  <c r="D625" i="22"/>
  <c r="B625" i="22"/>
  <c r="AK625" i="22" s="1"/>
  <c r="AA624" i="22"/>
  <c r="N624" i="22"/>
  <c r="B624" i="22"/>
  <c r="AO624" i="22" s="1"/>
  <c r="AN623" i="22"/>
  <c r="AM623" i="22"/>
  <c r="AL623" i="22"/>
  <c r="AK623" i="22"/>
  <c r="AI623" i="22"/>
  <c r="AH623" i="22"/>
  <c r="AE623" i="22"/>
  <c r="AC623" i="22"/>
  <c r="AB623" i="22"/>
  <c r="AA623" i="22"/>
  <c r="X623" i="22"/>
  <c r="T623" i="22"/>
  <c r="Q623" i="22"/>
  <c r="P623" i="22"/>
  <c r="O623" i="22"/>
  <c r="N623" i="22"/>
  <c r="M623" i="22"/>
  <c r="L623" i="22"/>
  <c r="J623" i="22"/>
  <c r="I623" i="22"/>
  <c r="H623" i="22"/>
  <c r="G623" i="22"/>
  <c r="A623" i="22" s="1"/>
  <c r="C623" i="22" s="1"/>
  <c r="D623" i="22"/>
  <c r="B623" i="22"/>
  <c r="AO623" i="22" s="1"/>
  <c r="AN622" i="22"/>
  <c r="AL622" i="22"/>
  <c r="AK622" i="22"/>
  <c r="AH622" i="22"/>
  <c r="AE622" i="22"/>
  <c r="AC622" i="22"/>
  <c r="AB622" i="22"/>
  <c r="AA622" i="22"/>
  <c r="T622" i="22"/>
  <c r="P622" i="22"/>
  <c r="O622" i="22"/>
  <c r="N622" i="22"/>
  <c r="L622" i="22"/>
  <c r="J622" i="22"/>
  <c r="H622" i="22"/>
  <c r="G622" i="22"/>
  <c r="A622" i="22" s="1"/>
  <c r="C622" i="22" s="1"/>
  <c r="B622" i="22"/>
  <c r="AI622" i="22" s="1"/>
  <c r="AN621" i="22"/>
  <c r="AM621" i="22"/>
  <c r="AL621" i="22"/>
  <c r="AH621" i="22"/>
  <c r="AE621" i="22"/>
  <c r="AC621" i="22"/>
  <c r="AA621" i="22"/>
  <c r="X621" i="22"/>
  <c r="T621" i="22"/>
  <c r="Q621" i="22"/>
  <c r="P621" i="22"/>
  <c r="N621" i="22"/>
  <c r="M621" i="22"/>
  <c r="L621" i="22"/>
  <c r="J621" i="22"/>
  <c r="I621" i="22"/>
  <c r="H621" i="22"/>
  <c r="D621" i="22"/>
  <c r="B621" i="22"/>
  <c r="AK621" i="22" s="1"/>
  <c r="AF620" i="22"/>
  <c r="AA620" i="22"/>
  <c r="N620" i="22"/>
  <c r="K620" i="22"/>
  <c r="B620" i="22"/>
  <c r="AN619" i="22"/>
  <c r="AM619" i="22"/>
  <c r="AL619" i="22"/>
  <c r="AI619" i="22"/>
  <c r="AH619" i="22"/>
  <c r="AE619" i="22"/>
  <c r="AC619" i="22"/>
  <c r="AA619" i="22"/>
  <c r="X619" i="22"/>
  <c r="T619" i="22"/>
  <c r="Q619" i="22"/>
  <c r="P619" i="22"/>
  <c r="N619" i="22"/>
  <c r="M619" i="22"/>
  <c r="L619" i="22"/>
  <c r="J619" i="22"/>
  <c r="I619" i="22"/>
  <c r="H619" i="22"/>
  <c r="D619" i="22"/>
  <c r="B619" i="22"/>
  <c r="AO619" i="22" s="1"/>
  <c r="AN618" i="22"/>
  <c r="AL618" i="22"/>
  <c r="AK618" i="22"/>
  <c r="AE618" i="22"/>
  <c r="AC618" i="22"/>
  <c r="AB618" i="22"/>
  <c r="P618" i="22"/>
  <c r="O618" i="22"/>
  <c r="J618" i="22"/>
  <c r="H618" i="22"/>
  <c r="G618" i="22"/>
  <c r="A618" i="22" s="1"/>
  <c r="C618" i="22" s="1"/>
  <c r="B618" i="22"/>
  <c r="AA618" i="22" s="1"/>
  <c r="AN617" i="22"/>
  <c r="AM617" i="22"/>
  <c r="AL617" i="22"/>
  <c r="AI617" i="22"/>
  <c r="AH617" i="22"/>
  <c r="AE617" i="22"/>
  <c r="AC617" i="22"/>
  <c r="AA617" i="22"/>
  <c r="X617" i="22"/>
  <c r="T617" i="22"/>
  <c r="Q617" i="22"/>
  <c r="P617" i="22"/>
  <c r="N617" i="22"/>
  <c r="M617" i="22"/>
  <c r="L617" i="22"/>
  <c r="J617" i="22"/>
  <c r="I617" i="22"/>
  <c r="H617" i="22"/>
  <c r="D617" i="22"/>
  <c r="B617" i="22"/>
  <c r="AK617" i="22" s="1"/>
  <c r="K616" i="22"/>
  <c r="B616" i="22"/>
  <c r="AN615" i="22"/>
  <c r="AM615" i="22"/>
  <c r="AL615" i="22"/>
  <c r="AI615" i="22"/>
  <c r="AH615" i="22"/>
  <c r="AE615" i="22"/>
  <c r="AC615" i="22"/>
  <c r="AA615" i="22"/>
  <c r="X615" i="22"/>
  <c r="T615" i="22"/>
  <c r="Q615" i="22"/>
  <c r="P615" i="22"/>
  <c r="N615" i="22"/>
  <c r="M615" i="22"/>
  <c r="L615" i="22"/>
  <c r="J615" i="22"/>
  <c r="I615" i="22"/>
  <c r="H615" i="22"/>
  <c r="D615" i="22"/>
  <c r="B615" i="22"/>
  <c r="AO615" i="22" s="1"/>
  <c r="AN614" i="22"/>
  <c r="AL614" i="22"/>
  <c r="AK614" i="22"/>
  <c r="AE614" i="22"/>
  <c r="AC614" i="22"/>
  <c r="AB614" i="22"/>
  <c r="P614" i="22"/>
  <c r="O614" i="22"/>
  <c r="J614" i="22"/>
  <c r="H614" i="22"/>
  <c r="G614" i="22"/>
  <c r="A614" i="22" s="1"/>
  <c r="C614" i="22" s="1"/>
  <c r="B614" i="22"/>
  <c r="AA614" i="22" s="1"/>
  <c r="AN613" i="22"/>
  <c r="AM613" i="22"/>
  <c r="AL613" i="22"/>
  <c r="AI613" i="22"/>
  <c r="AH613" i="22"/>
  <c r="AE613" i="22"/>
  <c r="AC613" i="22"/>
  <c r="AA613" i="22"/>
  <c r="X613" i="22"/>
  <c r="T613" i="22"/>
  <c r="Q613" i="22"/>
  <c r="P613" i="22"/>
  <c r="N613" i="22"/>
  <c r="M613" i="22"/>
  <c r="L613" i="22"/>
  <c r="J613" i="22"/>
  <c r="I613" i="22"/>
  <c r="H613" i="22"/>
  <c r="D613" i="22"/>
  <c r="B613" i="22"/>
  <c r="AK613" i="22" s="1"/>
  <c r="AF612" i="22"/>
  <c r="AA612" i="22"/>
  <c r="N612" i="22"/>
  <c r="B612" i="22"/>
  <c r="AN611" i="22"/>
  <c r="AM611" i="22"/>
  <c r="AL611" i="22"/>
  <c r="AI611" i="22"/>
  <c r="AH611" i="22"/>
  <c r="AE611" i="22"/>
  <c r="AC611" i="22"/>
  <c r="AA611" i="22"/>
  <c r="X611" i="22"/>
  <c r="T611" i="22"/>
  <c r="Q611" i="22"/>
  <c r="P611" i="22"/>
  <c r="N611" i="22"/>
  <c r="M611" i="22"/>
  <c r="L611" i="22"/>
  <c r="J611" i="22"/>
  <c r="I611" i="22"/>
  <c r="H611" i="22"/>
  <c r="D611" i="22"/>
  <c r="B611" i="22"/>
  <c r="AO611" i="22" s="1"/>
  <c r="AN610" i="22"/>
  <c r="AL610" i="22"/>
  <c r="AK610" i="22"/>
  <c r="AE610" i="22"/>
  <c r="AC610" i="22"/>
  <c r="AB610" i="22"/>
  <c r="P610" i="22"/>
  <c r="O610" i="22"/>
  <c r="J610" i="22"/>
  <c r="H610" i="22"/>
  <c r="G610" i="22"/>
  <c r="A610" i="22" s="1"/>
  <c r="C610" i="22" s="1"/>
  <c r="B610" i="22"/>
  <c r="AA610" i="22" s="1"/>
  <c r="AN609" i="22"/>
  <c r="AM609" i="22"/>
  <c r="AL609" i="22"/>
  <c r="AI609" i="22"/>
  <c r="AH609" i="22"/>
  <c r="AE609" i="22"/>
  <c r="AC609" i="22"/>
  <c r="AA609" i="22"/>
  <c r="X609" i="22"/>
  <c r="T609" i="22"/>
  <c r="Q609" i="22"/>
  <c r="P609" i="22"/>
  <c r="N609" i="22"/>
  <c r="M609" i="22"/>
  <c r="L609" i="22"/>
  <c r="J609" i="22"/>
  <c r="I609" i="22"/>
  <c r="H609" i="22"/>
  <c r="D609" i="22"/>
  <c r="B609" i="22"/>
  <c r="AK609" i="22" s="1"/>
  <c r="B608" i="22"/>
  <c r="AF608" i="22" s="1"/>
  <c r="AN607" i="22"/>
  <c r="AM607" i="22"/>
  <c r="AL607" i="22"/>
  <c r="AI607" i="22"/>
  <c r="AH607" i="22"/>
  <c r="AE607" i="22"/>
  <c r="AC607" i="22"/>
  <c r="AA607" i="22"/>
  <c r="X607" i="22"/>
  <c r="T607" i="22"/>
  <c r="Q607" i="22"/>
  <c r="P607" i="22"/>
  <c r="N607" i="22"/>
  <c r="M607" i="22"/>
  <c r="L607" i="22"/>
  <c r="J607" i="22"/>
  <c r="I607" i="22"/>
  <c r="H607" i="22"/>
  <c r="D607" i="22"/>
  <c r="B607" i="22"/>
  <c r="AO607" i="22" s="1"/>
  <c r="AN606" i="22"/>
  <c r="AK606" i="22"/>
  <c r="AE606" i="22"/>
  <c r="AB606" i="22"/>
  <c r="O606" i="22"/>
  <c r="J606" i="22"/>
  <c r="G606" i="22"/>
  <c r="A606" i="22" s="1"/>
  <c r="C606" i="22" s="1"/>
  <c r="B606" i="22"/>
  <c r="AA606" i="22" s="1"/>
  <c r="AN605" i="22"/>
  <c r="AM605" i="22"/>
  <c r="AL605" i="22"/>
  <c r="AI605" i="22"/>
  <c r="AH605" i="22"/>
  <c r="AE605" i="22"/>
  <c r="AC605" i="22"/>
  <c r="AA605" i="22"/>
  <c r="X605" i="22"/>
  <c r="T605" i="22"/>
  <c r="Q605" i="22"/>
  <c r="P605" i="22"/>
  <c r="N605" i="22"/>
  <c r="M605" i="22"/>
  <c r="L605" i="22"/>
  <c r="J605" i="22"/>
  <c r="I605" i="22"/>
  <c r="H605" i="22"/>
  <c r="D605" i="22"/>
  <c r="B605" i="22"/>
  <c r="AK605" i="22" s="1"/>
  <c r="AF604" i="22"/>
  <c r="AA604" i="22"/>
  <c r="N604" i="22"/>
  <c r="K604" i="22"/>
  <c r="B604" i="22"/>
  <c r="AN603" i="22"/>
  <c r="AM603" i="22"/>
  <c r="AL603" i="22"/>
  <c r="AI603" i="22"/>
  <c r="AH603" i="22"/>
  <c r="AE603" i="22"/>
  <c r="AC603" i="22"/>
  <c r="AA603" i="22"/>
  <c r="X603" i="22"/>
  <c r="T603" i="22"/>
  <c r="Q603" i="22"/>
  <c r="P603" i="22"/>
  <c r="N603" i="22"/>
  <c r="M603" i="22"/>
  <c r="L603" i="22"/>
  <c r="J603" i="22"/>
  <c r="I603" i="22"/>
  <c r="H603" i="22"/>
  <c r="D603" i="22"/>
  <c r="B603" i="22"/>
  <c r="AO603" i="22" s="1"/>
  <c r="AN602" i="22"/>
  <c r="AK602" i="22"/>
  <c r="AE602" i="22"/>
  <c r="AB602" i="22"/>
  <c r="O602" i="22"/>
  <c r="J602" i="22"/>
  <c r="G602" i="22"/>
  <c r="A602" i="22" s="1"/>
  <c r="C602" i="22" s="1"/>
  <c r="B602" i="22"/>
  <c r="AA602" i="22" s="1"/>
  <c r="AN601" i="22"/>
  <c r="AM601" i="22"/>
  <c r="AL601" i="22"/>
  <c r="AI601" i="22"/>
  <c r="AH601" i="22"/>
  <c r="AE601" i="22"/>
  <c r="AC601" i="22"/>
  <c r="AA601" i="22"/>
  <c r="X601" i="22"/>
  <c r="T601" i="22"/>
  <c r="Q601" i="22"/>
  <c r="P601" i="22"/>
  <c r="N601" i="22"/>
  <c r="M601" i="22"/>
  <c r="L601" i="22"/>
  <c r="J601" i="22"/>
  <c r="I601" i="22"/>
  <c r="H601" i="22"/>
  <c r="D601" i="22"/>
  <c r="B601" i="22"/>
  <c r="AK601" i="22" s="1"/>
  <c r="N600" i="22"/>
  <c r="B600" i="22"/>
  <c r="AA600" i="22" s="1"/>
  <c r="AN599" i="22"/>
  <c r="AM599" i="22"/>
  <c r="AL599" i="22"/>
  <c r="AI599" i="22"/>
  <c r="AH599" i="22"/>
  <c r="AE599" i="22"/>
  <c r="AC599" i="22"/>
  <c r="AA599" i="22"/>
  <c r="X599" i="22"/>
  <c r="T599" i="22"/>
  <c r="Q599" i="22"/>
  <c r="P599" i="22"/>
  <c r="N599" i="22"/>
  <c r="M599" i="22"/>
  <c r="L599" i="22"/>
  <c r="J599" i="22"/>
  <c r="I599" i="22"/>
  <c r="H599" i="22"/>
  <c r="D599" i="22"/>
  <c r="B599" i="22"/>
  <c r="AO599" i="22" s="1"/>
  <c r="AO598" i="22"/>
  <c r="AN598" i="22"/>
  <c r="AK598" i="22"/>
  <c r="AF598" i="22"/>
  <c r="AE598" i="22"/>
  <c r="AB598" i="22"/>
  <c r="P598" i="22"/>
  <c r="O598" i="22"/>
  <c r="K598" i="22"/>
  <c r="J598" i="22"/>
  <c r="G598" i="22"/>
  <c r="A598" i="22" s="1"/>
  <c r="C598" i="22" s="1"/>
  <c r="B598" i="22"/>
  <c r="AN597" i="22"/>
  <c r="AM597" i="22"/>
  <c r="AL597" i="22"/>
  <c r="AI597" i="22"/>
  <c r="AH597" i="22"/>
  <c r="AE597" i="22"/>
  <c r="AC597" i="22"/>
  <c r="AA597" i="22"/>
  <c r="X597" i="22"/>
  <c r="T597" i="22"/>
  <c r="Q597" i="22"/>
  <c r="P597" i="22"/>
  <c r="N597" i="22"/>
  <c r="M597" i="22"/>
  <c r="L597" i="22"/>
  <c r="J597" i="22"/>
  <c r="I597" i="22"/>
  <c r="H597" i="22"/>
  <c r="D597" i="22"/>
  <c r="B597" i="22"/>
  <c r="AK597" i="22" s="1"/>
  <c r="AK596" i="22"/>
  <c r="AF596" i="22"/>
  <c r="AA596" i="22"/>
  <c r="T596" i="22"/>
  <c r="O596" i="22"/>
  <c r="N596" i="22"/>
  <c r="K596" i="22"/>
  <c r="B596" i="22"/>
  <c r="AN595" i="22"/>
  <c r="AM595" i="22"/>
  <c r="AL595" i="22"/>
  <c r="AI595" i="22"/>
  <c r="AH595" i="22"/>
  <c r="AE595" i="22"/>
  <c r="AC595" i="22"/>
  <c r="AA595" i="22"/>
  <c r="X595" i="22"/>
  <c r="T595" i="22"/>
  <c r="Q595" i="22"/>
  <c r="P595" i="22"/>
  <c r="N595" i="22"/>
  <c r="M595" i="22"/>
  <c r="L595" i="22"/>
  <c r="J595" i="22"/>
  <c r="I595" i="22"/>
  <c r="H595" i="22"/>
  <c r="D595" i="22"/>
  <c r="B595" i="22"/>
  <c r="AO595" i="22" s="1"/>
  <c r="AN594" i="22"/>
  <c r="AE594" i="22"/>
  <c r="J594" i="22"/>
  <c r="B594" i="22"/>
  <c r="AL594" i="22" s="1"/>
  <c r="AN593" i="22"/>
  <c r="AM593" i="22"/>
  <c r="AL593" i="22"/>
  <c r="AI593" i="22"/>
  <c r="AH593" i="22"/>
  <c r="AE593" i="22"/>
  <c r="AC593" i="22"/>
  <c r="AA593" i="22"/>
  <c r="X593" i="22"/>
  <c r="T593" i="22"/>
  <c r="Q593" i="22"/>
  <c r="P593" i="22"/>
  <c r="N593" i="22"/>
  <c r="M593" i="22"/>
  <c r="L593" i="22"/>
  <c r="J593" i="22"/>
  <c r="I593" i="22"/>
  <c r="H593" i="22"/>
  <c r="D593" i="22"/>
  <c r="B593" i="22"/>
  <c r="AK593" i="22" s="1"/>
  <c r="AB592" i="22"/>
  <c r="AA592" i="22"/>
  <c r="N592" i="22"/>
  <c r="G592" i="22"/>
  <c r="A592" i="22" s="1"/>
  <c r="C592" i="22" s="1"/>
  <c r="B592" i="22"/>
  <c r="AK592" i="22" s="1"/>
  <c r="AN591" i="22"/>
  <c r="AM591" i="22"/>
  <c r="AL591" i="22"/>
  <c r="AI591" i="22"/>
  <c r="AH591" i="22"/>
  <c r="AE591" i="22"/>
  <c r="AC591" i="22"/>
  <c r="AA591" i="22"/>
  <c r="X591" i="22"/>
  <c r="T591" i="22"/>
  <c r="Q591" i="22"/>
  <c r="P591" i="22"/>
  <c r="N591" i="22"/>
  <c r="M591" i="22"/>
  <c r="L591" i="22"/>
  <c r="J591" i="22"/>
  <c r="I591" i="22"/>
  <c r="H591" i="22"/>
  <c r="D591" i="22"/>
  <c r="B591" i="22"/>
  <c r="AO591" i="22" s="1"/>
  <c r="AN590" i="22"/>
  <c r="AL590" i="22"/>
  <c r="AK590" i="22"/>
  <c r="AF590" i="22"/>
  <c r="AE590" i="22"/>
  <c r="AB590" i="22"/>
  <c r="P590" i="22"/>
  <c r="O590" i="22"/>
  <c r="K590" i="22"/>
  <c r="J590" i="22"/>
  <c r="G590" i="22"/>
  <c r="A590" i="22" s="1"/>
  <c r="C590" i="22" s="1"/>
  <c r="B590" i="22"/>
  <c r="AN589" i="22"/>
  <c r="AM589" i="22"/>
  <c r="AL589" i="22"/>
  <c r="AI589" i="22"/>
  <c r="AH589" i="22"/>
  <c r="AE589" i="22"/>
  <c r="AC589" i="22"/>
  <c r="AA589" i="22"/>
  <c r="X589" i="22"/>
  <c r="T589" i="22"/>
  <c r="Q589" i="22"/>
  <c r="P589" i="22"/>
  <c r="N589" i="22"/>
  <c r="M589" i="22"/>
  <c r="L589" i="22"/>
  <c r="J589" i="22"/>
  <c r="I589" i="22"/>
  <c r="H589" i="22"/>
  <c r="D589" i="22"/>
  <c r="B589" i="22"/>
  <c r="AK589" i="22" s="1"/>
  <c r="AK588" i="22"/>
  <c r="AF588" i="22"/>
  <c r="AA588" i="22"/>
  <c r="T588" i="22"/>
  <c r="O588" i="22"/>
  <c r="N588" i="22"/>
  <c r="K588" i="22"/>
  <c r="B588" i="22"/>
  <c r="AM587" i="22"/>
  <c r="AL587" i="22"/>
  <c r="AI587" i="22"/>
  <c r="AH587" i="22"/>
  <c r="AC587" i="22"/>
  <c r="AA587" i="22"/>
  <c r="X587" i="22"/>
  <c r="T587" i="22"/>
  <c r="Q587" i="22"/>
  <c r="P587" i="22"/>
  <c r="N587" i="22"/>
  <c r="M587" i="22"/>
  <c r="L587" i="22"/>
  <c r="J587" i="22"/>
  <c r="I587" i="22"/>
  <c r="H587" i="22"/>
  <c r="D587" i="22"/>
  <c r="B587" i="22"/>
  <c r="AO587" i="22" s="1"/>
  <c r="AF586" i="22"/>
  <c r="K586" i="22"/>
  <c r="B586" i="22"/>
  <c r="AN586" i="22" s="1"/>
  <c r="AN585" i="22"/>
  <c r="AM585" i="22"/>
  <c r="AL585" i="22"/>
  <c r="AK585" i="22"/>
  <c r="AI585" i="22"/>
  <c r="AH585" i="22"/>
  <c r="AE585" i="22"/>
  <c r="AC585" i="22"/>
  <c r="AB585" i="22"/>
  <c r="X585" i="22"/>
  <c r="T585" i="22"/>
  <c r="Q585" i="22"/>
  <c r="P585" i="22"/>
  <c r="O585" i="22"/>
  <c r="M585" i="22"/>
  <c r="L585" i="22"/>
  <c r="J585" i="22"/>
  <c r="I585" i="22"/>
  <c r="H585" i="22"/>
  <c r="G585" i="22"/>
  <c r="A585" i="22" s="1"/>
  <c r="C585" i="22" s="1"/>
  <c r="D585" i="22"/>
  <c r="B585" i="22"/>
  <c r="AA585" i="22" s="1"/>
  <c r="B584" i="22"/>
  <c r="AK584" i="22" s="1"/>
  <c r="AM583" i="22"/>
  <c r="AL583" i="22"/>
  <c r="AI583" i="22"/>
  <c r="AC583" i="22"/>
  <c r="AA583" i="22"/>
  <c r="X583" i="22"/>
  <c r="Q583" i="22"/>
  <c r="P583" i="22"/>
  <c r="N583" i="22"/>
  <c r="M583" i="22"/>
  <c r="I583" i="22"/>
  <c r="H583" i="22"/>
  <c r="D583" i="22"/>
  <c r="B583" i="22"/>
  <c r="AH583" i="22" s="1"/>
  <c r="AL582" i="22"/>
  <c r="AF582" i="22"/>
  <c r="AE582" i="22"/>
  <c r="AC582" i="22"/>
  <c r="P582" i="22"/>
  <c r="K582" i="22"/>
  <c r="J582" i="22"/>
  <c r="H582" i="22"/>
  <c r="B582" i="22"/>
  <c r="AN582" i="22" s="1"/>
  <c r="AN581" i="22"/>
  <c r="AM581" i="22"/>
  <c r="AL581" i="22"/>
  <c r="AK581" i="22"/>
  <c r="AI581" i="22"/>
  <c r="AH581" i="22"/>
  <c r="AE581" i="22"/>
  <c r="AC581" i="22"/>
  <c r="AB581" i="22"/>
  <c r="X581" i="22"/>
  <c r="T581" i="22"/>
  <c r="Q581" i="22"/>
  <c r="P581" i="22"/>
  <c r="O581" i="22"/>
  <c r="M581" i="22"/>
  <c r="L581" i="22"/>
  <c r="J581" i="22"/>
  <c r="I581" i="22"/>
  <c r="H581" i="22"/>
  <c r="G581" i="22"/>
  <c r="A581" i="22" s="1"/>
  <c r="C581" i="22" s="1"/>
  <c r="D581" i="22"/>
  <c r="B581" i="22"/>
  <c r="AA581" i="22" s="1"/>
  <c r="N580" i="22"/>
  <c r="B580" i="22"/>
  <c r="AM579" i="22"/>
  <c r="AL579" i="22"/>
  <c r="AI579" i="22"/>
  <c r="AC579" i="22"/>
  <c r="AA579" i="22"/>
  <c r="X579" i="22"/>
  <c r="Q579" i="22"/>
  <c r="P579" i="22"/>
  <c r="N579" i="22"/>
  <c r="M579" i="22"/>
  <c r="I579" i="22"/>
  <c r="H579" i="22"/>
  <c r="D579" i="22"/>
  <c r="B579" i="22"/>
  <c r="AH579" i="22" s="1"/>
  <c r="B578" i="22"/>
  <c r="AN578" i="22" s="1"/>
  <c r="AN577" i="22"/>
  <c r="AM577" i="22"/>
  <c r="AL577" i="22"/>
  <c r="AK577" i="22"/>
  <c r="AI577" i="22"/>
  <c r="AH577" i="22"/>
  <c r="AE577" i="22"/>
  <c r="AC577" i="22"/>
  <c r="AB577" i="22"/>
  <c r="X577" i="22"/>
  <c r="T577" i="22"/>
  <c r="Q577" i="22"/>
  <c r="P577" i="22"/>
  <c r="O577" i="22"/>
  <c r="M577" i="22"/>
  <c r="L577" i="22"/>
  <c r="J577" i="22"/>
  <c r="I577" i="22"/>
  <c r="H577" i="22"/>
  <c r="G577" i="22"/>
  <c r="A577" i="22" s="1"/>
  <c r="C577" i="22" s="1"/>
  <c r="D577" i="22"/>
  <c r="B577" i="22"/>
  <c r="AA577" i="22" s="1"/>
  <c r="AF576" i="22"/>
  <c r="N576" i="22"/>
  <c r="K576" i="22"/>
  <c r="B576" i="22"/>
  <c r="AK576" i="22" s="1"/>
  <c r="AM575" i="22"/>
  <c r="AL575" i="22"/>
  <c r="AI575" i="22"/>
  <c r="AC575" i="22"/>
  <c r="AA575" i="22"/>
  <c r="X575" i="22"/>
  <c r="Q575" i="22"/>
  <c r="P575" i="22"/>
  <c r="N575" i="22"/>
  <c r="M575" i="22"/>
  <c r="I575" i="22"/>
  <c r="H575" i="22"/>
  <c r="D575" i="22"/>
  <c r="B575" i="22"/>
  <c r="AH575" i="22" s="1"/>
  <c r="AL574" i="22"/>
  <c r="P574" i="22"/>
  <c r="B574" i="22"/>
  <c r="AN573" i="22"/>
  <c r="AM573" i="22"/>
  <c r="AL573" i="22"/>
  <c r="AK573" i="22"/>
  <c r="AI573" i="22"/>
  <c r="AH573" i="22"/>
  <c r="AE573" i="22"/>
  <c r="AC573" i="22"/>
  <c r="AB573" i="22"/>
  <c r="X573" i="22"/>
  <c r="T573" i="22"/>
  <c r="Q573" i="22"/>
  <c r="P573" i="22"/>
  <c r="O573" i="22"/>
  <c r="M573" i="22"/>
  <c r="L573" i="22"/>
  <c r="J573" i="22"/>
  <c r="I573" i="22"/>
  <c r="H573" i="22"/>
  <c r="G573" i="22"/>
  <c r="A573" i="22" s="1"/>
  <c r="C573" i="22" s="1"/>
  <c r="D573" i="22"/>
  <c r="B573" i="22"/>
  <c r="AA573" i="22" s="1"/>
  <c r="B572" i="22"/>
  <c r="AO571" i="22"/>
  <c r="AM571" i="22"/>
  <c r="AF571" i="22"/>
  <c r="AC571" i="22"/>
  <c r="AA571" i="22"/>
  <c r="X571" i="22"/>
  <c r="Q571" i="22"/>
  <c r="N571" i="22"/>
  <c r="M571" i="22"/>
  <c r="K571" i="22"/>
  <c r="I571" i="22"/>
  <c r="H571" i="22"/>
  <c r="D571" i="22"/>
  <c r="B571" i="22"/>
  <c r="AL570" i="22"/>
  <c r="G570" i="22"/>
  <c r="A570" i="22" s="1"/>
  <c r="C570" i="22" s="1"/>
  <c r="B570" i="22"/>
  <c r="AF570" i="22" s="1"/>
  <c r="AN569" i="22"/>
  <c r="AM569" i="22"/>
  <c r="AL569" i="22"/>
  <c r="AK569" i="22"/>
  <c r="AI569" i="22"/>
  <c r="AH569" i="22"/>
  <c r="AE569" i="22"/>
  <c r="AC569" i="22"/>
  <c r="AB569" i="22"/>
  <c r="X569" i="22"/>
  <c r="T569" i="22"/>
  <c r="Q569" i="22"/>
  <c r="P569" i="22"/>
  <c r="O569" i="22"/>
  <c r="M569" i="22"/>
  <c r="L569" i="22"/>
  <c r="J569" i="22"/>
  <c r="I569" i="22"/>
  <c r="H569" i="22"/>
  <c r="G569" i="22"/>
  <c r="A569" i="22" s="1"/>
  <c r="C569" i="22" s="1"/>
  <c r="D569" i="22"/>
  <c r="B569" i="22"/>
  <c r="AA569" i="22" s="1"/>
  <c r="AM568" i="22"/>
  <c r="AA568" i="22"/>
  <c r="K568" i="22"/>
  <c r="I568" i="22"/>
  <c r="B568" i="22"/>
  <c r="AN568" i="22" s="1"/>
  <c r="AO567" i="22"/>
  <c r="AM567" i="22"/>
  <c r="AL567" i="22"/>
  <c r="AI567" i="22"/>
  <c r="AF567" i="22"/>
  <c r="AC567" i="22"/>
  <c r="AB567" i="22"/>
  <c r="AA567" i="22"/>
  <c r="T567" i="22"/>
  <c r="Q567" i="22"/>
  <c r="P567" i="22"/>
  <c r="O567" i="22"/>
  <c r="N567" i="22"/>
  <c r="L567" i="22"/>
  <c r="J567" i="22"/>
  <c r="I567" i="22"/>
  <c r="H567" i="22"/>
  <c r="G567" i="22"/>
  <c r="A567" i="22" s="1"/>
  <c r="C567" i="22" s="1"/>
  <c r="B567" i="22"/>
  <c r="AN566" i="22"/>
  <c r="AM566" i="22"/>
  <c r="AL566" i="22"/>
  <c r="AH566" i="22"/>
  <c r="AE566" i="22"/>
  <c r="AC566" i="22"/>
  <c r="T566" i="22"/>
  <c r="Q566" i="22"/>
  <c r="P566" i="22"/>
  <c r="L566" i="22"/>
  <c r="J566" i="22"/>
  <c r="I566" i="22"/>
  <c r="H566" i="22"/>
  <c r="B566" i="22"/>
  <c r="AK566" i="22" s="1"/>
  <c r="AN565" i="22"/>
  <c r="AH565" i="22"/>
  <c r="AE565" i="22"/>
  <c r="T565" i="22"/>
  <c r="L565" i="22"/>
  <c r="J565" i="22"/>
  <c r="B565" i="22"/>
  <c r="AO565" i="22" s="1"/>
  <c r="AN564" i="22"/>
  <c r="AM564" i="22"/>
  <c r="AL564" i="22"/>
  <c r="AK564" i="22"/>
  <c r="AI564" i="22"/>
  <c r="AH564" i="22"/>
  <c r="AE564" i="22"/>
  <c r="AC564" i="22"/>
  <c r="AB564" i="22"/>
  <c r="AA564" i="22"/>
  <c r="X564" i="22"/>
  <c r="T564" i="22"/>
  <c r="Q564" i="22"/>
  <c r="P564" i="22"/>
  <c r="O564" i="22"/>
  <c r="N564" i="22"/>
  <c r="M564" i="22"/>
  <c r="L564" i="22"/>
  <c r="J564" i="22"/>
  <c r="I564" i="22"/>
  <c r="H564" i="22"/>
  <c r="G564" i="22"/>
  <c r="A564" i="22" s="1"/>
  <c r="C564" i="22" s="1"/>
  <c r="D564" i="22"/>
  <c r="B564" i="22"/>
  <c r="AO564" i="22" s="1"/>
  <c r="AN563" i="22"/>
  <c r="AM563" i="22"/>
  <c r="AL563" i="22"/>
  <c r="AK563" i="22"/>
  <c r="AH563" i="22"/>
  <c r="AE563" i="22"/>
  <c r="AC563" i="22"/>
  <c r="AB563" i="22"/>
  <c r="AA563" i="22"/>
  <c r="T563" i="22"/>
  <c r="Q563" i="22"/>
  <c r="P563" i="22"/>
  <c r="O563" i="22"/>
  <c r="N563" i="22"/>
  <c r="L563" i="22"/>
  <c r="J563" i="22"/>
  <c r="I563" i="22"/>
  <c r="H563" i="22"/>
  <c r="G563" i="22"/>
  <c r="A563" i="22" s="1"/>
  <c r="C563" i="22" s="1"/>
  <c r="B563" i="22"/>
  <c r="AI563" i="22" s="1"/>
  <c r="AN562" i="22"/>
  <c r="AM562" i="22"/>
  <c r="AL562" i="22"/>
  <c r="AH562" i="22"/>
  <c r="AE562" i="22"/>
  <c r="AC562" i="22"/>
  <c r="T562" i="22"/>
  <c r="Q562" i="22"/>
  <c r="P562" i="22"/>
  <c r="L562" i="22"/>
  <c r="J562" i="22"/>
  <c r="I562" i="22"/>
  <c r="H562" i="22"/>
  <c r="B562" i="22"/>
  <c r="AK562" i="22" s="1"/>
  <c r="AN561" i="22"/>
  <c r="AH561" i="22"/>
  <c r="AE561" i="22"/>
  <c r="T561" i="22"/>
  <c r="L561" i="22"/>
  <c r="J561" i="22"/>
  <c r="B561" i="22"/>
  <c r="AO561" i="22" s="1"/>
  <c r="AN560" i="22"/>
  <c r="AM560" i="22"/>
  <c r="AL560" i="22"/>
  <c r="AK560" i="22"/>
  <c r="AI560" i="22"/>
  <c r="AH560" i="22"/>
  <c r="AE560" i="22"/>
  <c r="AC560" i="22"/>
  <c r="AB560" i="22"/>
  <c r="AA560" i="22"/>
  <c r="X560" i="22"/>
  <c r="T560" i="22"/>
  <c r="Q560" i="22"/>
  <c r="P560" i="22"/>
  <c r="O560" i="22"/>
  <c r="N560" i="22"/>
  <c r="M560" i="22"/>
  <c r="L560" i="22"/>
  <c r="J560" i="22"/>
  <c r="I560" i="22"/>
  <c r="H560" i="22"/>
  <c r="G560" i="22"/>
  <c r="A560" i="22" s="1"/>
  <c r="C560" i="22" s="1"/>
  <c r="D560" i="22"/>
  <c r="B560" i="22"/>
  <c r="AO560" i="22" s="1"/>
  <c r="AN559" i="22"/>
  <c r="AL559" i="22"/>
  <c r="AK559" i="22"/>
  <c r="AE559" i="22"/>
  <c r="AC559" i="22"/>
  <c r="AB559" i="22"/>
  <c r="AA559" i="22"/>
  <c r="P559" i="22"/>
  <c r="O559" i="22"/>
  <c r="N559" i="22"/>
  <c r="J559" i="22"/>
  <c r="H559" i="22"/>
  <c r="G559" i="22"/>
  <c r="A559" i="22" s="1"/>
  <c r="C559" i="22" s="1"/>
  <c r="B559" i="22"/>
  <c r="AI559" i="22" s="1"/>
  <c r="AN558" i="22"/>
  <c r="AM558" i="22"/>
  <c r="AL558" i="22"/>
  <c r="AI558" i="22"/>
  <c r="AH558" i="22"/>
  <c r="AE558" i="22"/>
  <c r="AC558" i="22"/>
  <c r="X558" i="22"/>
  <c r="T558" i="22"/>
  <c r="Q558" i="22"/>
  <c r="P558" i="22"/>
  <c r="M558" i="22"/>
  <c r="L558" i="22"/>
  <c r="J558" i="22"/>
  <c r="I558" i="22"/>
  <c r="H558" i="22"/>
  <c r="D558" i="22"/>
  <c r="B558" i="22"/>
  <c r="AK558" i="22" s="1"/>
  <c r="AN557" i="22"/>
  <c r="AH557" i="22"/>
  <c r="AE557" i="22"/>
  <c r="T557" i="22"/>
  <c r="L557" i="22"/>
  <c r="J557" i="22"/>
  <c r="B557" i="22"/>
  <c r="AO557" i="22" s="1"/>
  <c r="AN556" i="22"/>
  <c r="AM556" i="22"/>
  <c r="AL556" i="22"/>
  <c r="AK556" i="22"/>
  <c r="AI556" i="22"/>
  <c r="AH556" i="22"/>
  <c r="AE556" i="22"/>
  <c r="AC556" i="22"/>
  <c r="AB556" i="22"/>
  <c r="AA556" i="22"/>
  <c r="X556" i="22"/>
  <c r="T556" i="22"/>
  <c r="Q556" i="22"/>
  <c r="P556" i="22"/>
  <c r="O556" i="22"/>
  <c r="N556" i="22"/>
  <c r="M556" i="22"/>
  <c r="L556" i="22"/>
  <c r="J556" i="22"/>
  <c r="I556" i="22"/>
  <c r="H556" i="22"/>
  <c r="G556" i="22"/>
  <c r="A556" i="22" s="1"/>
  <c r="C556" i="22" s="1"/>
  <c r="D556" i="22"/>
  <c r="B556" i="22"/>
  <c r="AO556" i="22" s="1"/>
  <c r="AN555" i="22"/>
  <c r="AL555" i="22"/>
  <c r="AK555" i="22"/>
  <c r="AE555" i="22"/>
  <c r="AC555" i="22"/>
  <c r="AB555" i="22"/>
  <c r="AA555" i="22"/>
  <c r="P555" i="22"/>
  <c r="O555" i="22"/>
  <c r="N555" i="22"/>
  <c r="J555" i="22"/>
  <c r="H555" i="22"/>
  <c r="G555" i="22"/>
  <c r="A555" i="22" s="1"/>
  <c r="C555" i="22" s="1"/>
  <c r="B555" i="22"/>
  <c r="AI555" i="22" s="1"/>
  <c r="AN554" i="22"/>
  <c r="AM554" i="22"/>
  <c r="AL554" i="22"/>
  <c r="AI554" i="22"/>
  <c r="AH554" i="22"/>
  <c r="AE554" i="22"/>
  <c r="AC554" i="22"/>
  <c r="X554" i="22"/>
  <c r="T554" i="22"/>
  <c r="Q554" i="22"/>
  <c r="P554" i="22"/>
  <c r="M554" i="22"/>
  <c r="L554" i="22"/>
  <c r="J554" i="22"/>
  <c r="I554" i="22"/>
  <c r="H554" i="22"/>
  <c r="D554" i="22"/>
  <c r="B554" i="22"/>
  <c r="AK554" i="22" s="1"/>
  <c r="AN553" i="22"/>
  <c r="AH553" i="22"/>
  <c r="AE553" i="22"/>
  <c r="T553" i="22"/>
  <c r="L553" i="22"/>
  <c r="J553" i="22"/>
  <c r="B553" i="22"/>
  <c r="AO553" i="22" s="1"/>
  <c r="AN552" i="22"/>
  <c r="AM552" i="22"/>
  <c r="AL552" i="22"/>
  <c r="AK552" i="22"/>
  <c r="AI552" i="22"/>
  <c r="AH552" i="22"/>
  <c r="AE552" i="22"/>
  <c r="AC552" i="22"/>
  <c r="AB552" i="22"/>
  <c r="AA552" i="22"/>
  <c r="X552" i="22"/>
  <c r="T552" i="22"/>
  <c r="Q552" i="22"/>
  <c r="P552" i="22"/>
  <c r="O552" i="22"/>
  <c r="N552" i="22"/>
  <c r="M552" i="22"/>
  <c r="L552" i="22"/>
  <c r="J552" i="22"/>
  <c r="I552" i="22"/>
  <c r="H552" i="22"/>
  <c r="G552" i="22"/>
  <c r="A552" i="22" s="1"/>
  <c r="C552" i="22" s="1"/>
  <c r="D552" i="22"/>
  <c r="B552" i="22"/>
  <c r="AO552" i="22" s="1"/>
  <c r="AL551" i="22"/>
  <c r="AC551" i="22"/>
  <c r="AA551" i="22"/>
  <c r="P551" i="22"/>
  <c r="N551" i="22"/>
  <c r="H551" i="22"/>
  <c r="B551" i="22"/>
  <c r="AK551" i="22" s="1"/>
  <c r="AN550" i="22"/>
  <c r="AM550" i="22"/>
  <c r="AL550" i="22"/>
  <c r="AI550" i="22"/>
  <c r="AH550" i="22"/>
  <c r="AE550" i="22"/>
  <c r="AC550" i="22"/>
  <c r="X550" i="22"/>
  <c r="T550" i="22"/>
  <c r="Q550" i="22"/>
  <c r="P550" i="22"/>
  <c r="M550" i="22"/>
  <c r="L550" i="22"/>
  <c r="J550" i="22"/>
  <c r="I550" i="22"/>
  <c r="H550" i="22"/>
  <c r="D550" i="22"/>
  <c r="B550" i="22"/>
  <c r="AK550" i="22" s="1"/>
  <c r="AN549" i="22"/>
  <c r="AK549" i="22"/>
  <c r="AH549" i="22"/>
  <c r="AE549" i="22"/>
  <c r="AB549" i="22"/>
  <c r="T549" i="22"/>
  <c r="O549" i="22"/>
  <c r="L549" i="22"/>
  <c r="J549" i="22"/>
  <c r="G549" i="22"/>
  <c r="A549" i="22" s="1"/>
  <c r="C549" i="22" s="1"/>
  <c r="B549" i="22"/>
  <c r="AO549" i="22" s="1"/>
  <c r="AN548" i="22"/>
  <c r="AM548" i="22"/>
  <c r="AL548" i="22"/>
  <c r="AK548" i="22"/>
  <c r="AI548" i="22"/>
  <c r="AH548" i="22"/>
  <c r="AE548" i="22"/>
  <c r="AC548" i="22"/>
  <c r="AB548" i="22"/>
  <c r="AA548" i="22"/>
  <c r="X548" i="22"/>
  <c r="T548" i="22"/>
  <c r="Q548" i="22"/>
  <c r="P548" i="22"/>
  <c r="O548" i="22"/>
  <c r="N548" i="22"/>
  <c r="M548" i="22"/>
  <c r="L548" i="22"/>
  <c r="J548" i="22"/>
  <c r="I548" i="22"/>
  <c r="H548" i="22"/>
  <c r="G548" i="22"/>
  <c r="A548" i="22" s="1"/>
  <c r="C548" i="22" s="1"/>
  <c r="D548" i="22"/>
  <c r="B548" i="22"/>
  <c r="AO548" i="22" s="1"/>
  <c r="AL547" i="22"/>
  <c r="AC547" i="22"/>
  <c r="AA547" i="22"/>
  <c r="P547" i="22"/>
  <c r="N547" i="22"/>
  <c r="H547" i="22"/>
  <c r="B547" i="22"/>
  <c r="AK547" i="22" s="1"/>
  <c r="AN546" i="22"/>
  <c r="AM546" i="22"/>
  <c r="AL546" i="22"/>
  <c r="AI546" i="22"/>
  <c r="AH546" i="22"/>
  <c r="AE546" i="22"/>
  <c r="AC546" i="22"/>
  <c r="X546" i="22"/>
  <c r="T546" i="22"/>
  <c r="Q546" i="22"/>
  <c r="P546" i="22"/>
  <c r="M546" i="22"/>
  <c r="L546" i="22"/>
  <c r="J546" i="22"/>
  <c r="I546" i="22"/>
  <c r="H546" i="22"/>
  <c r="D546" i="22"/>
  <c r="B546" i="22"/>
  <c r="AK546" i="22" s="1"/>
  <c r="AN545" i="22"/>
  <c r="AK545" i="22"/>
  <c r="AH545" i="22"/>
  <c r="AE545" i="22"/>
  <c r="AB545" i="22"/>
  <c r="T545" i="22"/>
  <c r="O545" i="22"/>
  <c r="L545" i="22"/>
  <c r="J545" i="22"/>
  <c r="G545" i="22"/>
  <c r="A545" i="22" s="1"/>
  <c r="C545" i="22" s="1"/>
  <c r="B545" i="22"/>
  <c r="AO545" i="22" s="1"/>
  <c r="AN544" i="22"/>
  <c r="AM544" i="22"/>
  <c r="AL544" i="22"/>
  <c r="AK544" i="22"/>
  <c r="AI544" i="22"/>
  <c r="AH544" i="22"/>
  <c r="AE544" i="22"/>
  <c r="AC544" i="22"/>
  <c r="AB544" i="22"/>
  <c r="AA544" i="22"/>
  <c r="X544" i="22"/>
  <c r="T544" i="22"/>
  <c r="Q544" i="22"/>
  <c r="P544" i="22"/>
  <c r="O544" i="22"/>
  <c r="N544" i="22"/>
  <c r="M544" i="22"/>
  <c r="L544" i="22"/>
  <c r="J544" i="22"/>
  <c r="I544" i="22"/>
  <c r="H544" i="22"/>
  <c r="G544" i="22"/>
  <c r="A544" i="22" s="1"/>
  <c r="C544" i="22" s="1"/>
  <c r="D544" i="22"/>
  <c r="B544" i="22"/>
  <c r="AO544" i="22" s="1"/>
  <c r="AL543" i="22"/>
  <c r="AC543" i="22"/>
  <c r="AA543" i="22"/>
  <c r="P543" i="22"/>
  <c r="N543" i="22"/>
  <c r="H543" i="22"/>
  <c r="B543" i="22"/>
  <c r="AK543" i="22" s="1"/>
  <c r="AN542" i="22"/>
  <c r="AM542" i="22"/>
  <c r="AL542" i="22"/>
  <c r="AI542" i="22"/>
  <c r="AH542" i="22"/>
  <c r="AE542" i="22"/>
  <c r="AC542" i="22"/>
  <c r="X542" i="22"/>
  <c r="T542" i="22"/>
  <c r="Q542" i="22"/>
  <c r="P542" i="22"/>
  <c r="M542" i="22"/>
  <c r="L542" i="22"/>
  <c r="J542" i="22"/>
  <c r="I542" i="22"/>
  <c r="H542" i="22"/>
  <c r="D542" i="22"/>
  <c r="B542" i="22"/>
  <c r="AK542" i="22" s="1"/>
  <c r="AN541" i="22"/>
  <c r="AK541" i="22"/>
  <c r="AH541" i="22"/>
  <c r="AE541" i="22"/>
  <c r="AB541" i="22"/>
  <c r="T541" i="22"/>
  <c r="O541" i="22"/>
  <c r="L541" i="22"/>
  <c r="J541" i="22"/>
  <c r="G541" i="22"/>
  <c r="A541" i="22" s="1"/>
  <c r="C541" i="22" s="1"/>
  <c r="B541" i="22"/>
  <c r="AO541" i="22" s="1"/>
  <c r="AN540" i="22"/>
  <c r="AM540" i="22"/>
  <c r="AL540" i="22"/>
  <c r="AK540" i="22"/>
  <c r="AI540" i="22"/>
  <c r="AH540" i="22"/>
  <c r="AE540" i="22"/>
  <c r="AC540" i="22"/>
  <c r="AB540" i="22"/>
  <c r="AA540" i="22"/>
  <c r="X540" i="22"/>
  <c r="T540" i="22"/>
  <c r="Q540" i="22"/>
  <c r="P540" i="22"/>
  <c r="O540" i="22"/>
  <c r="N540" i="22"/>
  <c r="M540" i="22"/>
  <c r="L540" i="22"/>
  <c r="J540" i="22"/>
  <c r="I540" i="22"/>
  <c r="H540" i="22"/>
  <c r="G540" i="22"/>
  <c r="A540" i="22" s="1"/>
  <c r="C540" i="22" s="1"/>
  <c r="D540" i="22"/>
  <c r="B540" i="22"/>
  <c r="AO540" i="22" s="1"/>
  <c r="AL539" i="22"/>
  <c r="AF539" i="22"/>
  <c r="AC539" i="22"/>
  <c r="AA539" i="22"/>
  <c r="P539" i="22"/>
  <c r="N539" i="22"/>
  <c r="H539" i="22"/>
  <c r="B539" i="22"/>
  <c r="AK539" i="22" s="1"/>
  <c r="AN538" i="22"/>
  <c r="AM538" i="22"/>
  <c r="AL538" i="22"/>
  <c r="AI538" i="22"/>
  <c r="AH538" i="22"/>
  <c r="AE538" i="22"/>
  <c r="AC538" i="22"/>
  <c r="X538" i="22"/>
  <c r="T538" i="22"/>
  <c r="Q538" i="22"/>
  <c r="P538" i="22"/>
  <c r="M538" i="22"/>
  <c r="L538" i="22"/>
  <c r="J538" i="22"/>
  <c r="I538" i="22"/>
  <c r="H538" i="22"/>
  <c r="D538" i="22"/>
  <c r="B538" i="22"/>
  <c r="AK538" i="22" s="1"/>
  <c r="AN537" i="22"/>
  <c r="AK537" i="22"/>
  <c r="AH537" i="22"/>
  <c r="AE537" i="22"/>
  <c r="AB537" i="22"/>
  <c r="T537" i="22"/>
  <c r="O537" i="22"/>
  <c r="L537" i="22"/>
  <c r="J537" i="22"/>
  <c r="G537" i="22"/>
  <c r="A537" i="22" s="1"/>
  <c r="C537" i="22" s="1"/>
  <c r="B537" i="22"/>
  <c r="AO537" i="22" s="1"/>
  <c r="AN536" i="22"/>
  <c r="AM536" i="22"/>
  <c r="AL536" i="22"/>
  <c r="AK536" i="22"/>
  <c r="AI536" i="22"/>
  <c r="AH536" i="22"/>
  <c r="AE536" i="22"/>
  <c r="AC536" i="22"/>
  <c r="AB536" i="22"/>
  <c r="AA536" i="22"/>
  <c r="X536" i="22"/>
  <c r="T536" i="22"/>
  <c r="Q536" i="22"/>
  <c r="P536" i="22"/>
  <c r="O536" i="22"/>
  <c r="N536" i="22"/>
  <c r="M536" i="22"/>
  <c r="L536" i="22"/>
  <c r="J536" i="22"/>
  <c r="I536" i="22"/>
  <c r="H536" i="22"/>
  <c r="G536" i="22"/>
  <c r="A536" i="22" s="1"/>
  <c r="C536" i="22" s="1"/>
  <c r="D536" i="22"/>
  <c r="B536" i="22"/>
  <c r="AO536" i="22" s="1"/>
  <c r="AL535" i="22"/>
  <c r="AC535" i="22"/>
  <c r="AA535" i="22"/>
  <c r="P535" i="22"/>
  <c r="N535" i="22"/>
  <c r="H535" i="22"/>
  <c r="B535" i="22"/>
  <c r="AK535" i="22" s="1"/>
  <c r="AN534" i="22"/>
  <c r="AM534" i="22"/>
  <c r="AL534" i="22"/>
  <c r="AI534" i="22"/>
  <c r="AH534" i="22"/>
  <c r="AE534" i="22"/>
  <c r="AC534" i="22"/>
  <c r="X534" i="22"/>
  <c r="T534" i="22"/>
  <c r="Q534" i="22"/>
  <c r="P534" i="22"/>
  <c r="M534" i="22"/>
  <c r="L534" i="22"/>
  <c r="J534" i="22"/>
  <c r="I534" i="22"/>
  <c r="H534" i="22"/>
  <c r="D534" i="22"/>
  <c r="B534" i="22"/>
  <c r="AK534" i="22" s="1"/>
  <c r="AN533" i="22"/>
  <c r="AK533" i="22"/>
  <c r="AH533" i="22"/>
  <c r="AE533" i="22"/>
  <c r="AB533" i="22"/>
  <c r="T533" i="22"/>
  <c r="O533" i="22"/>
  <c r="L533" i="22"/>
  <c r="J533" i="22"/>
  <c r="G533" i="22"/>
  <c r="A533" i="22" s="1"/>
  <c r="C533" i="22" s="1"/>
  <c r="B533" i="22"/>
  <c r="AO533" i="22" s="1"/>
  <c r="AM532" i="22"/>
  <c r="AL532" i="22"/>
  <c r="AI532" i="22"/>
  <c r="AH532" i="22"/>
  <c r="AC532" i="22"/>
  <c r="AA532" i="22"/>
  <c r="X532" i="22"/>
  <c r="T532" i="22"/>
  <c r="Q532" i="22"/>
  <c r="P532" i="22"/>
  <c r="N532" i="22"/>
  <c r="M532" i="22"/>
  <c r="L532" i="22"/>
  <c r="I532" i="22"/>
  <c r="H532" i="22"/>
  <c r="D532" i="22"/>
  <c r="B532" i="22"/>
  <c r="AO532" i="22" s="1"/>
  <c r="AL531" i="22"/>
  <c r="AC531" i="22"/>
  <c r="AA531" i="22"/>
  <c r="P531" i="22"/>
  <c r="N531" i="22"/>
  <c r="H531" i="22"/>
  <c r="B531" i="22"/>
  <c r="AK531" i="22" s="1"/>
  <c r="AN530" i="22"/>
  <c r="AM530" i="22"/>
  <c r="AL530" i="22"/>
  <c r="AK530" i="22"/>
  <c r="AI530" i="22"/>
  <c r="AH530" i="22"/>
  <c r="AE530" i="22"/>
  <c r="AC530" i="22"/>
  <c r="AB530" i="22"/>
  <c r="X530" i="22"/>
  <c r="T530" i="22"/>
  <c r="Q530" i="22"/>
  <c r="P530" i="22"/>
  <c r="O530" i="22"/>
  <c r="M530" i="22"/>
  <c r="L530" i="22"/>
  <c r="J530" i="22"/>
  <c r="I530" i="22"/>
  <c r="H530" i="22"/>
  <c r="G530" i="22"/>
  <c r="A530" i="22" s="1"/>
  <c r="C530" i="22" s="1"/>
  <c r="D530" i="22"/>
  <c r="B530" i="22"/>
  <c r="AA530" i="22" s="1"/>
  <c r="AN529" i="22"/>
  <c r="AK529" i="22"/>
  <c r="AH529" i="22"/>
  <c r="AE529" i="22"/>
  <c r="AB529" i="22"/>
  <c r="T529" i="22"/>
  <c r="O529" i="22"/>
  <c r="L529" i="22"/>
  <c r="J529" i="22"/>
  <c r="G529" i="22"/>
  <c r="A529" i="22" s="1"/>
  <c r="C529" i="22" s="1"/>
  <c r="B529" i="22"/>
  <c r="AO529" i="22" s="1"/>
  <c r="AM528" i="22"/>
  <c r="AL528" i="22"/>
  <c r="AI528" i="22"/>
  <c r="AH528" i="22"/>
  <c r="AC528" i="22"/>
  <c r="AA528" i="22"/>
  <c r="X528" i="22"/>
  <c r="T528" i="22"/>
  <c r="Q528" i="22"/>
  <c r="P528" i="22"/>
  <c r="N528" i="22"/>
  <c r="M528" i="22"/>
  <c r="L528" i="22"/>
  <c r="I528" i="22"/>
  <c r="H528" i="22"/>
  <c r="D528" i="22"/>
  <c r="B528" i="22"/>
  <c r="AO528" i="22" s="1"/>
  <c r="AL527" i="22"/>
  <c r="AF527" i="22"/>
  <c r="AC527" i="22"/>
  <c r="AA527" i="22"/>
  <c r="P527" i="22"/>
  <c r="N527" i="22"/>
  <c r="H527" i="22"/>
  <c r="B527" i="22"/>
  <c r="AK527" i="22" s="1"/>
  <c r="AN526" i="22"/>
  <c r="AM526" i="22"/>
  <c r="AL526" i="22"/>
  <c r="AK526" i="22"/>
  <c r="AI526" i="22"/>
  <c r="AH526" i="22"/>
  <c r="AE526" i="22"/>
  <c r="AC526" i="22"/>
  <c r="AB526" i="22"/>
  <c r="X526" i="22"/>
  <c r="T526" i="22"/>
  <c r="Q526" i="22"/>
  <c r="P526" i="22"/>
  <c r="O526" i="22"/>
  <c r="M526" i="22"/>
  <c r="L526" i="22"/>
  <c r="J526" i="22"/>
  <c r="I526" i="22"/>
  <c r="H526" i="22"/>
  <c r="G526" i="22"/>
  <c r="A526" i="22" s="1"/>
  <c r="C526" i="22" s="1"/>
  <c r="D526" i="22"/>
  <c r="B526" i="22"/>
  <c r="AA526" i="22" s="1"/>
  <c r="AN525" i="22"/>
  <c r="AK525" i="22"/>
  <c r="AH525" i="22"/>
  <c r="AE525" i="22"/>
  <c r="AB525" i="22"/>
  <c r="AA525" i="22"/>
  <c r="T525" i="22"/>
  <c r="O525" i="22"/>
  <c r="N525" i="22"/>
  <c r="L525" i="22"/>
  <c r="J525" i="22"/>
  <c r="G525" i="22"/>
  <c r="A525" i="22" s="1"/>
  <c r="C525" i="22" s="1"/>
  <c r="B525" i="22"/>
  <c r="AO525" i="22" s="1"/>
  <c r="AM524" i="22"/>
  <c r="AL524" i="22"/>
  <c r="AI524" i="22"/>
  <c r="AH524" i="22"/>
  <c r="AC524" i="22"/>
  <c r="AA524" i="22"/>
  <c r="X524" i="22"/>
  <c r="T524" i="22"/>
  <c r="Q524" i="22"/>
  <c r="P524" i="22"/>
  <c r="N524" i="22"/>
  <c r="M524" i="22"/>
  <c r="L524" i="22"/>
  <c r="I524" i="22"/>
  <c r="H524" i="22"/>
  <c r="D524" i="22"/>
  <c r="B524" i="22"/>
  <c r="AO524" i="22" s="1"/>
  <c r="AL523" i="22"/>
  <c r="AC523" i="22"/>
  <c r="AA523" i="22"/>
  <c r="P523" i="22"/>
  <c r="N523" i="22"/>
  <c r="H523" i="22"/>
  <c r="B523" i="22"/>
  <c r="AK523" i="22" s="1"/>
  <c r="AN522" i="22"/>
  <c r="AM522" i="22"/>
  <c r="AL522" i="22"/>
  <c r="AK522" i="22"/>
  <c r="AI522" i="22"/>
  <c r="AH522" i="22"/>
  <c r="AE522" i="22"/>
  <c r="AC522" i="22"/>
  <c r="AB522" i="22"/>
  <c r="X522" i="22"/>
  <c r="T522" i="22"/>
  <c r="Q522" i="22"/>
  <c r="P522" i="22"/>
  <c r="O522" i="22"/>
  <c r="M522" i="22"/>
  <c r="L522" i="22"/>
  <c r="J522" i="22"/>
  <c r="I522" i="22"/>
  <c r="H522" i="22"/>
  <c r="G522" i="22"/>
  <c r="A522" i="22" s="1"/>
  <c r="C522" i="22" s="1"/>
  <c r="D522" i="22"/>
  <c r="B522" i="22"/>
  <c r="AA522" i="22" s="1"/>
  <c r="AN521" i="22"/>
  <c r="AK521" i="22"/>
  <c r="AH521" i="22"/>
  <c r="AE521" i="22"/>
  <c r="AB521" i="22"/>
  <c r="AA521" i="22"/>
  <c r="T521" i="22"/>
  <c r="O521" i="22"/>
  <c r="N521" i="22"/>
  <c r="L521" i="22"/>
  <c r="J521" i="22"/>
  <c r="G521" i="22"/>
  <c r="A521" i="22" s="1"/>
  <c r="C521" i="22" s="1"/>
  <c r="B521" i="22"/>
  <c r="AO521" i="22" s="1"/>
  <c r="AM520" i="22"/>
  <c r="AL520" i="22"/>
  <c r="AI520" i="22"/>
  <c r="AH520" i="22"/>
  <c r="AC520" i="22"/>
  <c r="AA520" i="22"/>
  <c r="X520" i="22"/>
  <c r="T520" i="22"/>
  <c r="Q520" i="22"/>
  <c r="P520" i="22"/>
  <c r="N520" i="22"/>
  <c r="M520" i="22"/>
  <c r="L520" i="22"/>
  <c r="I520" i="22"/>
  <c r="H520" i="22"/>
  <c r="D520" i="22"/>
  <c r="B520" i="22"/>
  <c r="AO520" i="22" s="1"/>
  <c r="AL519" i="22"/>
  <c r="AC519" i="22"/>
  <c r="AA519" i="22"/>
  <c r="P519" i="22"/>
  <c r="N519" i="22"/>
  <c r="H519" i="22"/>
  <c r="B519" i="22"/>
  <c r="AK519" i="22" s="1"/>
  <c r="AN518" i="22"/>
  <c r="AM518" i="22"/>
  <c r="AL518" i="22"/>
  <c r="AK518" i="22"/>
  <c r="AI518" i="22"/>
  <c r="AH518" i="22"/>
  <c r="AE518" i="22"/>
  <c r="AC518" i="22"/>
  <c r="AB518" i="22"/>
  <c r="X518" i="22"/>
  <c r="T518" i="22"/>
  <c r="Q518" i="22"/>
  <c r="P518" i="22"/>
  <c r="O518" i="22"/>
  <c r="M518" i="22"/>
  <c r="L518" i="22"/>
  <c r="J518" i="22"/>
  <c r="I518" i="22"/>
  <c r="H518" i="22"/>
  <c r="G518" i="22"/>
  <c r="A518" i="22" s="1"/>
  <c r="C518" i="22" s="1"/>
  <c r="D518" i="22"/>
  <c r="B518" i="22"/>
  <c r="AA518" i="22" s="1"/>
  <c r="AN517" i="22"/>
  <c r="AK517" i="22"/>
  <c r="AH517" i="22"/>
  <c r="AE517" i="22"/>
  <c r="AB517" i="22"/>
  <c r="AA517" i="22"/>
  <c r="T517" i="22"/>
  <c r="O517" i="22"/>
  <c r="N517" i="22"/>
  <c r="L517" i="22"/>
  <c r="J517" i="22"/>
  <c r="G517" i="22"/>
  <c r="A517" i="22" s="1"/>
  <c r="C517" i="22" s="1"/>
  <c r="B517" i="22"/>
  <c r="AO517" i="22" s="1"/>
  <c r="AM516" i="22"/>
  <c r="AL516" i="22"/>
  <c r="AI516" i="22"/>
  <c r="AH516" i="22"/>
  <c r="AC516" i="22"/>
  <c r="AA516" i="22"/>
  <c r="X516" i="22"/>
  <c r="T516" i="22"/>
  <c r="Q516" i="22"/>
  <c r="P516" i="22"/>
  <c r="N516" i="22"/>
  <c r="M516" i="22"/>
  <c r="L516" i="22"/>
  <c r="I516" i="22"/>
  <c r="H516" i="22"/>
  <c r="D516" i="22"/>
  <c r="B516" i="22"/>
  <c r="AO516" i="22" s="1"/>
  <c r="AL515" i="22"/>
  <c r="AC515" i="22"/>
  <c r="AA515" i="22"/>
  <c r="P515" i="22"/>
  <c r="N515" i="22"/>
  <c r="H515" i="22"/>
  <c r="B515" i="22"/>
  <c r="AK515" i="22" s="1"/>
  <c r="AN514" i="22"/>
  <c r="AM514" i="22"/>
  <c r="AL514" i="22"/>
  <c r="AK514" i="22"/>
  <c r="AI514" i="22"/>
  <c r="AH514" i="22"/>
  <c r="AE514" i="22"/>
  <c r="AC514" i="22"/>
  <c r="AB514" i="22"/>
  <c r="X514" i="22"/>
  <c r="T514" i="22"/>
  <c r="Q514" i="22"/>
  <c r="P514" i="22"/>
  <c r="O514" i="22"/>
  <c r="M514" i="22"/>
  <c r="L514" i="22"/>
  <c r="J514" i="22"/>
  <c r="I514" i="22"/>
  <c r="H514" i="22"/>
  <c r="G514" i="22"/>
  <c r="A514" i="22" s="1"/>
  <c r="C514" i="22" s="1"/>
  <c r="D514" i="22"/>
  <c r="B514" i="22"/>
  <c r="AA514" i="22" s="1"/>
  <c r="AN513" i="22"/>
  <c r="AK513" i="22"/>
  <c r="AH513" i="22"/>
  <c r="AE513" i="22"/>
  <c r="AB513" i="22"/>
  <c r="AA513" i="22"/>
  <c r="T513" i="22"/>
  <c r="O513" i="22"/>
  <c r="N513" i="22"/>
  <c r="L513" i="22"/>
  <c r="J513" i="22"/>
  <c r="G513" i="22"/>
  <c r="A513" i="22" s="1"/>
  <c r="C513" i="22" s="1"/>
  <c r="B513" i="22"/>
  <c r="AO513" i="22" s="1"/>
  <c r="AM512" i="22"/>
  <c r="AL512" i="22"/>
  <c r="AI512" i="22"/>
  <c r="AH512" i="22"/>
  <c r="AC512" i="22"/>
  <c r="AA512" i="22"/>
  <c r="X512" i="22"/>
  <c r="T512" i="22"/>
  <c r="Q512" i="22"/>
  <c r="P512" i="22"/>
  <c r="N512" i="22"/>
  <c r="M512" i="22"/>
  <c r="L512" i="22"/>
  <c r="I512" i="22"/>
  <c r="H512" i="22"/>
  <c r="D512" i="22"/>
  <c r="B512" i="22"/>
  <c r="AO512" i="22" s="1"/>
  <c r="AL511" i="22"/>
  <c r="AC511" i="22"/>
  <c r="AA511" i="22"/>
  <c r="P511" i="22"/>
  <c r="N511" i="22"/>
  <c r="J511" i="22"/>
  <c r="H511" i="22"/>
  <c r="B511" i="22"/>
  <c r="AK511" i="22" s="1"/>
  <c r="AN510" i="22"/>
  <c r="AM510" i="22"/>
  <c r="AL510" i="22"/>
  <c r="AK510" i="22"/>
  <c r="AI510" i="22"/>
  <c r="AH510" i="22"/>
  <c r="AE510" i="22"/>
  <c r="AC510" i="22"/>
  <c r="AB510" i="22"/>
  <c r="X510" i="22"/>
  <c r="T510" i="22"/>
  <c r="Q510" i="22"/>
  <c r="P510" i="22"/>
  <c r="O510" i="22"/>
  <c r="M510" i="22"/>
  <c r="L510" i="22"/>
  <c r="J510" i="22"/>
  <c r="I510" i="22"/>
  <c r="H510" i="22"/>
  <c r="G510" i="22"/>
  <c r="A510" i="22" s="1"/>
  <c r="C510" i="22" s="1"/>
  <c r="D510" i="22"/>
  <c r="B510" i="22"/>
  <c r="AA510" i="22" s="1"/>
  <c r="AN509" i="22"/>
  <c r="AK509" i="22"/>
  <c r="AH509" i="22"/>
  <c r="AE509" i="22"/>
  <c r="AB509" i="22"/>
  <c r="AA509" i="22"/>
  <c r="T509" i="22"/>
  <c r="O509" i="22"/>
  <c r="N509" i="22"/>
  <c r="L509" i="22"/>
  <c r="J509" i="22"/>
  <c r="G509" i="22"/>
  <c r="A509" i="22" s="1"/>
  <c r="C509" i="22" s="1"/>
  <c r="B509" i="22"/>
  <c r="AO509" i="22" s="1"/>
  <c r="AM508" i="22"/>
  <c r="AL508" i="22"/>
  <c r="AI508" i="22"/>
  <c r="AH508" i="22"/>
  <c r="AC508" i="22"/>
  <c r="AA508" i="22"/>
  <c r="X508" i="22"/>
  <c r="T508" i="22"/>
  <c r="Q508" i="22"/>
  <c r="P508" i="22"/>
  <c r="N508" i="22"/>
  <c r="M508" i="22"/>
  <c r="L508" i="22"/>
  <c r="I508" i="22"/>
  <c r="H508" i="22"/>
  <c r="D508" i="22"/>
  <c r="B508" i="22"/>
  <c r="AO508" i="22" s="1"/>
  <c r="AN507" i="22"/>
  <c r="AL507" i="22"/>
  <c r="AE507" i="22"/>
  <c r="AC507" i="22"/>
  <c r="AA507" i="22"/>
  <c r="P507" i="22"/>
  <c r="N507" i="22"/>
  <c r="J507" i="22"/>
  <c r="H507" i="22"/>
  <c r="B507" i="22"/>
  <c r="AK507" i="22" s="1"/>
  <c r="AN506" i="22"/>
  <c r="AM506" i="22"/>
  <c r="AL506" i="22"/>
  <c r="AK506" i="22"/>
  <c r="AI506" i="22"/>
  <c r="AH506" i="22"/>
  <c r="AE506" i="22"/>
  <c r="AC506" i="22"/>
  <c r="AB506" i="22"/>
  <c r="X506" i="22"/>
  <c r="T506" i="22"/>
  <c r="Q506" i="22"/>
  <c r="P506" i="22"/>
  <c r="O506" i="22"/>
  <c r="M506" i="22"/>
  <c r="L506" i="22"/>
  <c r="J506" i="22"/>
  <c r="I506" i="22"/>
  <c r="H506" i="22"/>
  <c r="G506" i="22"/>
  <c r="A506" i="22" s="1"/>
  <c r="C506" i="22" s="1"/>
  <c r="D506" i="22"/>
  <c r="B506" i="22"/>
  <c r="AA506" i="22" s="1"/>
  <c r="AN505" i="22"/>
  <c r="AH505" i="22"/>
  <c r="AE505" i="22"/>
  <c r="AA505" i="22"/>
  <c r="T505" i="22"/>
  <c r="N505" i="22"/>
  <c r="L505" i="22"/>
  <c r="J505" i="22"/>
  <c r="B505" i="22"/>
  <c r="AO505" i="22" s="1"/>
  <c r="AM504" i="22"/>
  <c r="AL504" i="22"/>
  <c r="AI504" i="22"/>
  <c r="AH504" i="22"/>
  <c r="AC504" i="22"/>
  <c r="AA504" i="22"/>
  <c r="X504" i="22"/>
  <c r="T504" i="22"/>
  <c r="Q504" i="22"/>
  <c r="P504" i="22"/>
  <c r="N504" i="22"/>
  <c r="M504" i="22"/>
  <c r="L504" i="22"/>
  <c r="I504" i="22"/>
  <c r="H504" i="22"/>
  <c r="D504" i="22"/>
  <c r="B504" i="22"/>
  <c r="AO504" i="22" s="1"/>
  <c r="AN503" i="22"/>
  <c r="AL503" i="22"/>
  <c r="AK503" i="22"/>
  <c r="AE503" i="22"/>
  <c r="AC503" i="22"/>
  <c r="AB503" i="22"/>
  <c r="AA503" i="22"/>
  <c r="P503" i="22"/>
  <c r="O503" i="22"/>
  <c r="N503" i="22"/>
  <c r="J503" i="22"/>
  <c r="H503" i="22"/>
  <c r="G503" i="22"/>
  <c r="A503" i="22" s="1"/>
  <c r="C503" i="22" s="1"/>
  <c r="B503" i="22"/>
  <c r="AI503" i="22" s="1"/>
  <c r="AN502" i="22"/>
  <c r="AM502" i="22"/>
  <c r="AL502" i="22"/>
  <c r="AK502" i="22"/>
  <c r="AI502" i="22"/>
  <c r="AH502" i="22"/>
  <c r="AE502" i="22"/>
  <c r="AC502" i="22"/>
  <c r="AB502" i="22"/>
  <c r="X502" i="22"/>
  <c r="T502" i="22"/>
  <c r="Q502" i="22"/>
  <c r="P502" i="22"/>
  <c r="O502" i="22"/>
  <c r="M502" i="22"/>
  <c r="L502" i="22"/>
  <c r="J502" i="22"/>
  <c r="I502" i="22"/>
  <c r="H502" i="22"/>
  <c r="G502" i="22"/>
  <c r="A502" i="22" s="1"/>
  <c r="C502" i="22" s="1"/>
  <c r="D502" i="22"/>
  <c r="B502" i="22"/>
  <c r="AA502" i="22" s="1"/>
  <c r="D501" i="22"/>
  <c r="D500" i="22"/>
  <c r="D499" i="22"/>
  <c r="D498" i="22"/>
  <c r="D497" i="22"/>
  <c r="D496" i="22"/>
  <c r="D495" i="22"/>
  <c r="D494" i="22"/>
  <c r="D493" i="22"/>
  <c r="D492" i="22"/>
  <c r="D491" i="22"/>
  <c r="D490" i="22"/>
  <c r="D489" i="22"/>
  <c r="D488" i="22"/>
  <c r="D487" i="22"/>
  <c r="D486" i="22"/>
  <c r="D485" i="22"/>
  <c r="D484" i="22"/>
  <c r="D483" i="22"/>
  <c r="D482" i="22"/>
  <c r="D481" i="22"/>
  <c r="D480" i="22"/>
  <c r="D479" i="22"/>
  <c r="D478" i="22"/>
  <c r="D477" i="22"/>
  <c r="D476" i="22"/>
  <c r="D475" i="22"/>
  <c r="D474" i="22"/>
  <c r="D473" i="22"/>
  <c r="D472" i="22"/>
  <c r="D471" i="22"/>
  <c r="D470" i="22"/>
  <c r="D469" i="22"/>
  <c r="D468" i="22"/>
  <c r="D467" i="22"/>
  <c r="D466" i="22"/>
  <c r="D465" i="22"/>
  <c r="D464" i="22"/>
  <c r="D463" i="22"/>
  <c r="D462" i="22"/>
  <c r="D461" i="22"/>
  <c r="D460" i="22"/>
  <c r="D459" i="22"/>
  <c r="D458" i="22"/>
  <c r="D457" i="22"/>
  <c r="D456" i="22"/>
  <c r="D455" i="22"/>
  <c r="D454" i="22"/>
  <c r="D453" i="22"/>
  <c r="D452" i="22"/>
  <c r="D451" i="22"/>
  <c r="D450" i="22"/>
  <c r="D449" i="22"/>
  <c r="D448" i="22"/>
  <c r="D447" i="22"/>
  <c r="D446" i="22"/>
  <c r="D445" i="22"/>
  <c r="D444" i="22"/>
  <c r="D443" i="22"/>
  <c r="D442" i="22"/>
  <c r="D441" i="22"/>
  <c r="D440" i="22"/>
  <c r="D439" i="22"/>
  <c r="D438" i="22"/>
  <c r="D437" i="22"/>
  <c r="D436" i="22"/>
  <c r="D435" i="22"/>
  <c r="D434" i="22"/>
  <c r="D433" i="22"/>
  <c r="D432" i="22"/>
  <c r="D431" i="22"/>
  <c r="D430" i="22"/>
  <c r="D429" i="22"/>
  <c r="D428" i="22"/>
  <c r="D427" i="22"/>
  <c r="D426" i="22"/>
  <c r="D425" i="22"/>
  <c r="D424" i="22"/>
  <c r="D423" i="22"/>
  <c r="D422" i="22"/>
  <c r="D421" i="22"/>
  <c r="D420" i="22"/>
  <c r="D419" i="22"/>
  <c r="D418" i="22"/>
  <c r="D417" i="22"/>
  <c r="D416" i="22"/>
  <c r="D415" i="22"/>
  <c r="D414" i="22"/>
  <c r="D413" i="22"/>
  <c r="D412" i="22"/>
  <c r="D411" i="22"/>
  <c r="D410" i="22"/>
  <c r="D409" i="22"/>
  <c r="D408" i="22"/>
  <c r="D407" i="22"/>
  <c r="D406" i="22"/>
  <c r="D405" i="22"/>
  <c r="D404" i="22"/>
  <c r="D403" i="22"/>
  <c r="D402" i="22"/>
  <c r="D401" i="22"/>
  <c r="D400" i="22"/>
  <c r="D399" i="22"/>
  <c r="D398" i="22"/>
  <c r="D397" i="22"/>
  <c r="D396" i="22"/>
  <c r="D395" i="22"/>
  <c r="D394" i="22"/>
  <c r="D393" i="22"/>
  <c r="D392" i="22"/>
  <c r="D391" i="22"/>
  <c r="D390" i="22"/>
  <c r="D389" i="22"/>
  <c r="D388" i="22"/>
  <c r="D387" i="22"/>
  <c r="D386" i="22"/>
  <c r="D385" i="22"/>
  <c r="D384" i="22"/>
  <c r="D383" i="22"/>
  <c r="D382" i="22"/>
  <c r="D381" i="22"/>
  <c r="D380" i="22"/>
  <c r="D379" i="22"/>
  <c r="D378" i="22"/>
  <c r="D377" i="22"/>
  <c r="D376" i="22"/>
  <c r="D375" i="22"/>
  <c r="D374" i="22"/>
  <c r="D373" i="22"/>
  <c r="D372" i="22"/>
  <c r="D371" i="22"/>
  <c r="D370" i="22"/>
  <c r="D369" i="22"/>
  <c r="D368" i="22"/>
  <c r="D367" i="22"/>
  <c r="D366" i="22"/>
  <c r="D365" i="22"/>
  <c r="D364" i="22"/>
  <c r="D363" i="22"/>
  <c r="D362" i="22"/>
  <c r="D361" i="22"/>
  <c r="D360" i="22"/>
  <c r="D359" i="22"/>
  <c r="D358" i="22"/>
  <c r="D357" i="22"/>
  <c r="D356" i="22"/>
  <c r="D355" i="22"/>
  <c r="D354" i="22"/>
  <c r="D353" i="22"/>
  <c r="D352" i="22"/>
  <c r="D351" i="22"/>
  <c r="D350" i="22"/>
  <c r="D349" i="22"/>
  <c r="D348" i="22"/>
  <c r="D347" i="22"/>
  <c r="D346" i="22"/>
  <c r="D345" i="22"/>
  <c r="D344" i="22"/>
  <c r="D343" i="22"/>
  <c r="D342" i="22"/>
  <c r="D341" i="22"/>
  <c r="D340" i="22"/>
  <c r="D339" i="22"/>
  <c r="D338" i="22"/>
  <c r="D337" i="22"/>
  <c r="D336" i="22"/>
  <c r="D335" i="22"/>
  <c r="D334" i="22"/>
  <c r="D333" i="22"/>
  <c r="D332" i="22"/>
  <c r="D331" i="22"/>
  <c r="D330" i="22"/>
  <c r="D329" i="22"/>
  <c r="D328" i="22"/>
  <c r="D327" i="22"/>
  <c r="D326" i="22"/>
  <c r="D325" i="22"/>
  <c r="D324" i="22"/>
  <c r="D323" i="22"/>
  <c r="D322" i="22"/>
  <c r="D321" i="22"/>
  <c r="D320" i="22"/>
  <c r="D319" i="22"/>
  <c r="D318" i="22"/>
  <c r="D317" i="22"/>
  <c r="D316" i="22"/>
  <c r="D315" i="22"/>
  <c r="D314" i="22"/>
  <c r="D313" i="22"/>
  <c r="D312" i="22"/>
  <c r="D311" i="22"/>
  <c r="D310" i="22"/>
  <c r="D309" i="22"/>
  <c r="D308" i="22"/>
  <c r="D307" i="22"/>
  <c r="D306" i="22"/>
  <c r="D305" i="22"/>
  <c r="D304" i="22"/>
  <c r="D303" i="22"/>
  <c r="D302" i="22"/>
  <c r="D301" i="22"/>
  <c r="D300" i="22"/>
  <c r="D299" i="22"/>
  <c r="D298" i="22"/>
  <c r="D297" i="22"/>
  <c r="D296" i="22"/>
  <c r="D295" i="22"/>
  <c r="D294" i="22"/>
  <c r="D293" i="22"/>
  <c r="D292" i="22"/>
  <c r="D291" i="22"/>
  <c r="D290" i="22"/>
  <c r="D289" i="22"/>
  <c r="D288" i="22"/>
  <c r="D287" i="22"/>
  <c r="D286" i="22"/>
  <c r="D285" i="22"/>
  <c r="D284" i="22"/>
  <c r="D283" i="22"/>
  <c r="D282" i="22"/>
  <c r="D281" i="22"/>
  <c r="D280" i="22"/>
  <c r="D279" i="22"/>
  <c r="D278" i="22"/>
  <c r="D277" i="22"/>
  <c r="D276" i="22"/>
  <c r="D275" i="22"/>
  <c r="D274" i="22"/>
  <c r="D273" i="22"/>
  <c r="D272" i="22"/>
  <c r="D271" i="22"/>
  <c r="D270" i="22"/>
  <c r="D269" i="22"/>
  <c r="D268" i="22"/>
  <c r="D267" i="22"/>
  <c r="D266" i="22"/>
  <c r="D265" i="22"/>
  <c r="D264" i="22"/>
  <c r="D263" i="22"/>
  <c r="D262" i="22"/>
  <c r="D261" i="22"/>
  <c r="D260" i="22"/>
  <c r="D259" i="22"/>
  <c r="D258" i="22"/>
  <c r="D257" i="22"/>
  <c r="D256" i="22"/>
  <c r="D255" i="22"/>
  <c r="D254" i="22"/>
  <c r="D253" i="22"/>
  <c r="D252" i="22"/>
  <c r="D251" i="22"/>
  <c r="D250" i="22"/>
  <c r="D249" i="22"/>
  <c r="D248" i="22"/>
  <c r="D247" i="22"/>
  <c r="D246" i="22"/>
  <c r="D245" i="22"/>
  <c r="D244" i="22"/>
  <c r="D243" i="22"/>
  <c r="D242" i="22"/>
  <c r="D241" i="22"/>
  <c r="D240" i="22"/>
  <c r="D239" i="22"/>
  <c r="D238" i="22"/>
  <c r="D237" i="22"/>
  <c r="D236" i="22"/>
  <c r="D235" i="22"/>
  <c r="D234" i="22"/>
  <c r="D233" i="22"/>
  <c r="D232" i="22"/>
  <c r="D231" i="22"/>
  <c r="D230" i="22"/>
  <c r="D229" i="22"/>
  <c r="D228" i="22"/>
  <c r="D227" i="22"/>
  <c r="D226" i="22"/>
  <c r="D225" i="22"/>
  <c r="D224" i="22"/>
  <c r="D223" i="22"/>
  <c r="D222" i="22"/>
  <c r="D221" i="22"/>
  <c r="D220" i="22"/>
  <c r="D219" i="22"/>
  <c r="D218" i="22"/>
  <c r="D217" i="22"/>
  <c r="D216" i="22"/>
  <c r="D215" i="22"/>
  <c r="D214" i="22"/>
  <c r="D213" i="22"/>
  <c r="D212" i="22"/>
  <c r="D211" i="22"/>
  <c r="D210" i="22"/>
  <c r="D209" i="22"/>
  <c r="D208" i="22"/>
  <c r="D207" i="22"/>
  <c r="D206" i="22"/>
  <c r="D205" i="22"/>
  <c r="D204" i="22"/>
  <c r="D203" i="22"/>
  <c r="D202" i="22"/>
  <c r="D201" i="22"/>
  <c r="D200" i="22"/>
  <c r="D199" i="22"/>
  <c r="D198" i="22"/>
  <c r="D197" i="22"/>
  <c r="D196" i="22"/>
  <c r="D195" i="22"/>
  <c r="D194" i="22"/>
  <c r="D193" i="22"/>
  <c r="D192" i="22"/>
  <c r="D191" i="22"/>
  <c r="D190" i="22"/>
  <c r="D189" i="22"/>
  <c r="D188"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60" i="22"/>
  <c r="D159" i="22"/>
  <c r="D158" i="22"/>
  <c r="D157" i="22"/>
  <c r="D156" i="22"/>
  <c r="D155" i="22"/>
  <c r="D154" i="22"/>
  <c r="D153" i="22"/>
  <c r="D152" i="22"/>
  <c r="D151" i="22"/>
  <c r="D150" i="22"/>
  <c r="D149" i="22"/>
  <c r="D148" i="22"/>
  <c r="D147" i="22"/>
  <c r="D146" i="22"/>
  <c r="D145" i="22"/>
  <c r="D144" i="22"/>
  <c r="D14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D6" i="22"/>
  <c r="D5" i="22"/>
  <c r="AP1012" i="6"/>
  <c r="AP1013" i="6"/>
  <c r="AJ992" i="22" l="1"/>
  <c r="AJ915" i="22"/>
  <c r="AD919" i="22"/>
  <c r="AD965" i="22"/>
  <c r="AD923" i="22"/>
  <c r="AJ627" i="22"/>
  <c r="AD697" i="22"/>
  <c r="AD623" i="22"/>
  <c r="AJ623" i="22"/>
  <c r="AJ686" i="22"/>
  <c r="AD686" i="22"/>
  <c r="AD635" i="22"/>
  <c r="AJ635" i="22"/>
  <c r="AD813" i="22"/>
  <c r="AJ631" i="22"/>
  <c r="AD829" i="22"/>
  <c r="AJ681" i="22"/>
  <c r="AD705" i="22"/>
  <c r="AJ677" i="22"/>
  <c r="AD933" i="22"/>
  <c r="AD502" i="22"/>
  <c r="AJ502" i="22"/>
  <c r="AJ503" i="22"/>
  <c r="AD503" i="22"/>
  <c r="AD529" i="22"/>
  <c r="AJ529" i="22"/>
  <c r="AD549" i="22"/>
  <c r="AJ549" i="22"/>
  <c r="AD556" i="22"/>
  <c r="AJ556" i="22"/>
  <c r="AJ581" i="22"/>
  <c r="AD581" i="22"/>
  <c r="AD517" i="22"/>
  <c r="AJ517" i="22"/>
  <c r="AD518" i="22"/>
  <c r="AJ518" i="22"/>
  <c r="AD537" i="22"/>
  <c r="AJ537" i="22"/>
  <c r="AD548" i="22"/>
  <c r="AJ548" i="22"/>
  <c r="AJ569" i="22"/>
  <c r="AD569" i="22"/>
  <c r="AJ585" i="22"/>
  <c r="AD585" i="22"/>
  <c r="AD536" i="22"/>
  <c r="AJ536" i="22"/>
  <c r="AJ559" i="22"/>
  <c r="AD559" i="22"/>
  <c r="AD521" i="22"/>
  <c r="AJ521" i="22"/>
  <c r="AD522" i="22"/>
  <c r="AJ522" i="22"/>
  <c r="AD552" i="22"/>
  <c r="AJ552" i="22"/>
  <c r="AJ567" i="22"/>
  <c r="AD567" i="22"/>
  <c r="AJ573" i="22"/>
  <c r="AD573" i="22"/>
  <c r="AD509" i="22"/>
  <c r="AJ509" i="22"/>
  <c r="AD510" i="22"/>
  <c r="AJ510" i="22"/>
  <c r="AD541" i="22"/>
  <c r="AJ541" i="22"/>
  <c r="AD592" i="22"/>
  <c r="AJ592" i="22"/>
  <c r="AD525" i="22"/>
  <c r="AJ525" i="22"/>
  <c r="AD526" i="22"/>
  <c r="AJ526" i="22"/>
  <c r="AD530" i="22"/>
  <c r="AJ530" i="22"/>
  <c r="AD540" i="22"/>
  <c r="AJ540" i="22"/>
  <c r="AD564" i="22"/>
  <c r="AJ564" i="22"/>
  <c r="AJ602" i="22"/>
  <c r="AD602" i="22"/>
  <c r="AD506" i="22"/>
  <c r="AJ506" i="22"/>
  <c r="AD545" i="22"/>
  <c r="AJ545" i="22"/>
  <c r="AD560" i="22"/>
  <c r="AJ560" i="22"/>
  <c r="AJ563" i="22"/>
  <c r="AD563" i="22"/>
  <c r="AJ577" i="22"/>
  <c r="AD577" i="22"/>
  <c r="AJ622" i="22"/>
  <c r="AD622" i="22"/>
  <c r="AD513" i="22"/>
  <c r="AJ513" i="22"/>
  <c r="AD514" i="22"/>
  <c r="AJ514" i="22"/>
  <c r="AD533" i="22"/>
  <c r="AJ533" i="22"/>
  <c r="AD544" i="22"/>
  <c r="AJ544" i="22"/>
  <c r="AJ555" i="22"/>
  <c r="AD555" i="22"/>
  <c r="AJ570" i="22"/>
  <c r="AD570" i="22"/>
  <c r="AN572" i="22"/>
  <c r="AE572" i="22"/>
  <c r="J572" i="22"/>
  <c r="AL572" i="22"/>
  <c r="AC572" i="22"/>
  <c r="P572" i="22"/>
  <c r="H572" i="22"/>
  <c r="AI572" i="22"/>
  <c r="X572" i="22"/>
  <c r="M572" i="22"/>
  <c r="D572" i="22"/>
  <c r="O572" i="22"/>
  <c r="AH572" i="22"/>
  <c r="AA574" i="22"/>
  <c r="N574" i="22"/>
  <c r="AI574" i="22"/>
  <c r="X574" i="22"/>
  <c r="M574" i="22"/>
  <c r="D574" i="22"/>
  <c r="AH574" i="22"/>
  <c r="T574" i="22"/>
  <c r="L574" i="22"/>
  <c r="AM574" i="22"/>
  <c r="Q574" i="22"/>
  <c r="I574" i="22"/>
  <c r="AO574" i="22"/>
  <c r="H578" i="22"/>
  <c r="AC578" i="22"/>
  <c r="AN580" i="22"/>
  <c r="AE580" i="22"/>
  <c r="J580" i="22"/>
  <c r="AM580" i="22"/>
  <c r="Q580" i="22"/>
  <c r="I580" i="22"/>
  <c r="AL580" i="22"/>
  <c r="AC580" i="22"/>
  <c r="P580" i="22"/>
  <c r="H580" i="22"/>
  <c r="AI580" i="22"/>
  <c r="X580" i="22"/>
  <c r="M580" i="22"/>
  <c r="D580" i="22"/>
  <c r="AO580" i="22"/>
  <c r="AA584" i="22"/>
  <c r="P586" i="22"/>
  <c r="AL586" i="22"/>
  <c r="AN588" i="22"/>
  <c r="AE588" i="22"/>
  <c r="J588" i="22"/>
  <c r="AM588" i="22"/>
  <c r="Q588" i="22"/>
  <c r="I588" i="22"/>
  <c r="AL588" i="22"/>
  <c r="AC588" i="22"/>
  <c r="P588" i="22"/>
  <c r="H588" i="22"/>
  <c r="AI588" i="22"/>
  <c r="X588" i="22"/>
  <c r="M588" i="22"/>
  <c r="D588" i="22"/>
  <c r="AO588" i="22"/>
  <c r="K592" i="22"/>
  <c r="AF592" i="22"/>
  <c r="G594" i="22"/>
  <c r="A594" i="22" s="1"/>
  <c r="C594" i="22" s="1"/>
  <c r="AB594" i="22"/>
  <c r="AN596" i="22"/>
  <c r="AE596" i="22"/>
  <c r="J596" i="22"/>
  <c r="AM596" i="22"/>
  <c r="Q596" i="22"/>
  <c r="I596" i="22"/>
  <c r="AL596" i="22"/>
  <c r="AC596" i="22"/>
  <c r="P596" i="22"/>
  <c r="H596" i="22"/>
  <c r="AI596" i="22"/>
  <c r="X596" i="22"/>
  <c r="M596" i="22"/>
  <c r="D596" i="22"/>
  <c r="AO596" i="22"/>
  <c r="K608" i="22"/>
  <c r="AN616" i="22"/>
  <c r="AE616" i="22"/>
  <c r="J616" i="22"/>
  <c r="AM616" i="22"/>
  <c r="Q616" i="22"/>
  <c r="I616" i="22"/>
  <c r="AL616" i="22"/>
  <c r="AC616" i="22"/>
  <c r="P616" i="22"/>
  <c r="H616" i="22"/>
  <c r="AK616" i="22"/>
  <c r="AB616" i="22"/>
  <c r="O616" i="22"/>
  <c r="G616" i="22"/>
  <c r="A616" i="22" s="1"/>
  <c r="C616" i="22" s="1"/>
  <c r="AI616" i="22"/>
  <c r="X616" i="22"/>
  <c r="M616" i="22"/>
  <c r="D616" i="22"/>
  <c r="AH616" i="22"/>
  <c r="T616" i="22"/>
  <c r="L616" i="22"/>
  <c r="AO616" i="22"/>
  <c r="AJ648" i="22"/>
  <c r="AD648" i="22"/>
  <c r="K502" i="22"/>
  <c r="AF502" i="22"/>
  <c r="AO502" i="22"/>
  <c r="I503" i="22"/>
  <c r="Q503" i="22"/>
  <c r="AM503" i="22"/>
  <c r="G504" i="22"/>
  <c r="A504" i="22" s="1"/>
  <c r="C504" i="22" s="1"/>
  <c r="O504" i="22"/>
  <c r="AB504" i="22"/>
  <c r="AK504" i="22"/>
  <c r="D505" i="22"/>
  <c r="M505" i="22"/>
  <c r="X505" i="22"/>
  <c r="AI505" i="22"/>
  <c r="K506" i="22"/>
  <c r="AF506" i="22"/>
  <c r="AO506" i="22"/>
  <c r="I507" i="22"/>
  <c r="Q507" i="22"/>
  <c r="AM507" i="22"/>
  <c r="G508" i="22"/>
  <c r="A508" i="22" s="1"/>
  <c r="C508" i="22" s="1"/>
  <c r="O508" i="22"/>
  <c r="AB508" i="22"/>
  <c r="AK508" i="22"/>
  <c r="D509" i="22"/>
  <c r="M509" i="22"/>
  <c r="X509" i="22"/>
  <c r="AI509" i="22"/>
  <c r="K510" i="22"/>
  <c r="AF510" i="22"/>
  <c r="AO510" i="22"/>
  <c r="I511" i="22"/>
  <c r="Q511" i="22"/>
  <c r="AM511" i="22"/>
  <c r="G512" i="22"/>
  <c r="A512" i="22" s="1"/>
  <c r="C512" i="22" s="1"/>
  <c r="O512" i="22"/>
  <c r="AB512" i="22"/>
  <c r="AK512" i="22"/>
  <c r="D513" i="22"/>
  <c r="M513" i="22"/>
  <c r="X513" i="22"/>
  <c r="AI513" i="22"/>
  <c r="K514" i="22"/>
  <c r="AF514" i="22"/>
  <c r="AO514" i="22"/>
  <c r="I515" i="22"/>
  <c r="Q515" i="22"/>
  <c r="AM515" i="22"/>
  <c r="G516" i="22"/>
  <c r="A516" i="22" s="1"/>
  <c r="C516" i="22" s="1"/>
  <c r="O516" i="22"/>
  <c r="AB516" i="22"/>
  <c r="AK516" i="22"/>
  <c r="D517" i="22"/>
  <c r="M517" i="22"/>
  <c r="X517" i="22"/>
  <c r="AI517" i="22"/>
  <c r="K518" i="22"/>
  <c r="AF518" i="22"/>
  <c r="AO518" i="22"/>
  <c r="I519" i="22"/>
  <c r="Q519" i="22"/>
  <c r="AM519" i="22"/>
  <c r="G520" i="22"/>
  <c r="A520" i="22" s="1"/>
  <c r="C520" i="22" s="1"/>
  <c r="O520" i="22"/>
  <c r="AB520" i="22"/>
  <c r="AK520" i="22"/>
  <c r="D521" i="22"/>
  <c r="M521" i="22"/>
  <c r="X521" i="22"/>
  <c r="AI521" i="22"/>
  <c r="K522" i="22"/>
  <c r="AF522" i="22"/>
  <c r="AO522" i="22"/>
  <c r="I523" i="22"/>
  <c r="Q523" i="22"/>
  <c r="AM523" i="22"/>
  <c r="G524" i="22"/>
  <c r="A524" i="22" s="1"/>
  <c r="C524" i="22" s="1"/>
  <c r="O524" i="22"/>
  <c r="AB524" i="22"/>
  <c r="AK524" i="22"/>
  <c r="D525" i="22"/>
  <c r="M525" i="22"/>
  <c r="X525" i="22"/>
  <c r="AI525" i="22"/>
  <c r="K526" i="22"/>
  <c r="AF526" i="22"/>
  <c r="AO526" i="22"/>
  <c r="I527" i="22"/>
  <c r="Q527" i="22"/>
  <c r="AM527" i="22"/>
  <c r="G528" i="22"/>
  <c r="A528" i="22" s="1"/>
  <c r="C528" i="22" s="1"/>
  <c r="O528" i="22"/>
  <c r="AB528" i="22"/>
  <c r="AK528" i="22"/>
  <c r="D529" i="22"/>
  <c r="M529" i="22"/>
  <c r="X529" i="22"/>
  <c r="AI529" i="22"/>
  <c r="K530" i="22"/>
  <c r="AF530" i="22"/>
  <c r="AO530" i="22"/>
  <c r="I531" i="22"/>
  <c r="Q531" i="22"/>
  <c r="AM531" i="22"/>
  <c r="G532" i="22"/>
  <c r="A532" i="22" s="1"/>
  <c r="C532" i="22" s="1"/>
  <c r="O532" i="22"/>
  <c r="AB532" i="22"/>
  <c r="AK532" i="22"/>
  <c r="D533" i="22"/>
  <c r="M533" i="22"/>
  <c r="X533" i="22"/>
  <c r="AI533" i="22"/>
  <c r="K534" i="22"/>
  <c r="AF534" i="22"/>
  <c r="AO534" i="22"/>
  <c r="I535" i="22"/>
  <c r="Q535" i="22"/>
  <c r="AM535" i="22"/>
  <c r="D537" i="22"/>
  <c r="M537" i="22"/>
  <c r="X537" i="22"/>
  <c r="AI537" i="22"/>
  <c r="K538" i="22"/>
  <c r="AF538" i="22"/>
  <c r="AO538" i="22"/>
  <c r="I539" i="22"/>
  <c r="Q539" i="22"/>
  <c r="AM539" i="22"/>
  <c r="D541" i="22"/>
  <c r="M541" i="22"/>
  <c r="X541" i="22"/>
  <c r="AI541" i="22"/>
  <c r="K542" i="22"/>
  <c r="AF542" i="22"/>
  <c r="AO542" i="22"/>
  <c r="I543" i="22"/>
  <c r="Q543" i="22"/>
  <c r="AM543" i="22"/>
  <c r="D545" i="22"/>
  <c r="M545" i="22"/>
  <c r="X545" i="22"/>
  <c r="AI545" i="22"/>
  <c r="K546" i="22"/>
  <c r="AF546" i="22"/>
  <c r="AO546" i="22"/>
  <c r="I547" i="22"/>
  <c r="Q547" i="22"/>
  <c r="AM547" i="22"/>
  <c r="D549" i="22"/>
  <c r="M549" i="22"/>
  <c r="X549" i="22"/>
  <c r="AI549" i="22"/>
  <c r="K550" i="22"/>
  <c r="AF550" i="22"/>
  <c r="AO550" i="22"/>
  <c r="I551" i="22"/>
  <c r="Q551" i="22"/>
  <c r="AM551" i="22"/>
  <c r="D553" i="22"/>
  <c r="M553" i="22"/>
  <c r="X553" i="22"/>
  <c r="AI553" i="22"/>
  <c r="K554" i="22"/>
  <c r="AF554" i="22"/>
  <c r="AO554" i="22"/>
  <c r="I555" i="22"/>
  <c r="Q555" i="22"/>
  <c r="AM555" i="22"/>
  <c r="D557" i="22"/>
  <c r="M557" i="22"/>
  <c r="X557" i="22"/>
  <c r="AI557" i="22"/>
  <c r="K558" i="22"/>
  <c r="AF558" i="22"/>
  <c r="AO558" i="22"/>
  <c r="I559" i="22"/>
  <c r="Q559" i="22"/>
  <c r="AM559" i="22"/>
  <c r="D561" i="22"/>
  <c r="M561" i="22"/>
  <c r="X561" i="22"/>
  <c r="AI561" i="22"/>
  <c r="K562" i="22"/>
  <c r="AF562" i="22"/>
  <c r="AO562" i="22"/>
  <c r="D565" i="22"/>
  <c r="M565" i="22"/>
  <c r="X565" i="22"/>
  <c r="AI565" i="22"/>
  <c r="K566" i="22"/>
  <c r="AF566" i="22"/>
  <c r="AO566" i="22"/>
  <c r="L568" i="22"/>
  <c r="AB568" i="22"/>
  <c r="H570" i="22"/>
  <c r="X570" i="22"/>
  <c r="AN570" i="22"/>
  <c r="Q572" i="22"/>
  <c r="G574" i="22"/>
  <c r="A574" i="22" s="1"/>
  <c r="C574" i="22" s="1"/>
  <c r="AB574" i="22"/>
  <c r="O576" i="22"/>
  <c r="J578" i="22"/>
  <c r="AE578" i="22"/>
  <c r="T580" i="22"/>
  <c r="O582" i="22"/>
  <c r="AK582" i="22"/>
  <c r="G584" i="22"/>
  <c r="A584" i="22" s="1"/>
  <c r="C584" i="22" s="1"/>
  <c r="AB584" i="22"/>
  <c r="L592" i="22"/>
  <c r="AH592" i="22"/>
  <c r="H594" i="22"/>
  <c r="AC594" i="22"/>
  <c r="N608" i="22"/>
  <c r="AJ618" i="22"/>
  <c r="AD618" i="22"/>
  <c r="AJ626" i="22"/>
  <c r="AD626" i="22"/>
  <c r="AJ634" i="22"/>
  <c r="AD634" i="22"/>
  <c r="AJ659" i="22"/>
  <c r="AD659" i="22"/>
  <c r="AE511" i="22"/>
  <c r="AN511" i="22"/>
  <c r="J515" i="22"/>
  <c r="AE515" i="22"/>
  <c r="AN515" i="22"/>
  <c r="J519" i="22"/>
  <c r="AE519" i="22"/>
  <c r="AN519" i="22"/>
  <c r="J523" i="22"/>
  <c r="AE523" i="22"/>
  <c r="AN523" i="22"/>
  <c r="J527" i="22"/>
  <c r="AE527" i="22"/>
  <c r="AN527" i="22"/>
  <c r="N529" i="22"/>
  <c r="AA529" i="22"/>
  <c r="J531" i="22"/>
  <c r="AE531" i="22"/>
  <c r="AN531" i="22"/>
  <c r="N533" i="22"/>
  <c r="AA533" i="22"/>
  <c r="J535" i="22"/>
  <c r="AE535" i="22"/>
  <c r="AN535" i="22"/>
  <c r="N537" i="22"/>
  <c r="AA537" i="22"/>
  <c r="J539" i="22"/>
  <c r="AE539" i="22"/>
  <c r="AN539" i="22"/>
  <c r="N541" i="22"/>
  <c r="AA541" i="22"/>
  <c r="J543" i="22"/>
  <c r="AE543" i="22"/>
  <c r="AN543" i="22"/>
  <c r="N545" i="22"/>
  <c r="AA545" i="22"/>
  <c r="J547" i="22"/>
  <c r="AE547" i="22"/>
  <c r="AN547" i="22"/>
  <c r="N549" i="22"/>
  <c r="AA549" i="22"/>
  <c r="J551" i="22"/>
  <c r="AE551" i="22"/>
  <c r="AN551" i="22"/>
  <c r="N553" i="22"/>
  <c r="AA553" i="22"/>
  <c r="N557" i="22"/>
  <c r="AA557" i="22"/>
  <c r="N561" i="22"/>
  <c r="AA561" i="22"/>
  <c r="N565" i="22"/>
  <c r="AA565" i="22"/>
  <c r="AL568" i="22"/>
  <c r="AC568" i="22"/>
  <c r="P568" i="22"/>
  <c r="H568" i="22"/>
  <c r="AI568" i="22"/>
  <c r="X568" i="22"/>
  <c r="M568" i="22"/>
  <c r="D568" i="22"/>
  <c r="N568" i="22"/>
  <c r="AO568" i="22"/>
  <c r="J570" i="22"/>
  <c r="AB570" i="22"/>
  <c r="AO570" i="22"/>
  <c r="AK572" i="22"/>
  <c r="H574" i="22"/>
  <c r="AC574" i="22"/>
  <c r="AN576" i="22"/>
  <c r="AE576" i="22"/>
  <c r="J576" i="22"/>
  <c r="AM576" i="22"/>
  <c r="Q576" i="22"/>
  <c r="I576" i="22"/>
  <c r="AL576" i="22"/>
  <c r="AC576" i="22"/>
  <c r="P576" i="22"/>
  <c r="H576" i="22"/>
  <c r="AI576" i="22"/>
  <c r="X576" i="22"/>
  <c r="M576" i="22"/>
  <c r="D576" i="22"/>
  <c r="AO576" i="22"/>
  <c r="K578" i="22"/>
  <c r="AF578" i="22"/>
  <c r="AA580" i="22"/>
  <c r="K584" i="22"/>
  <c r="AF584" i="22"/>
  <c r="AA586" i="22"/>
  <c r="N586" i="22"/>
  <c r="AI586" i="22"/>
  <c r="X586" i="22"/>
  <c r="M586" i="22"/>
  <c r="D586" i="22"/>
  <c r="AH586" i="22"/>
  <c r="T586" i="22"/>
  <c r="L586" i="22"/>
  <c r="AM586" i="22"/>
  <c r="Q586" i="22"/>
  <c r="I586" i="22"/>
  <c r="AO586" i="22"/>
  <c r="AJ590" i="22"/>
  <c r="AD590" i="22"/>
  <c r="AJ598" i="22"/>
  <c r="AD598" i="22"/>
  <c r="AN600" i="22"/>
  <c r="AE600" i="22"/>
  <c r="J600" i="22"/>
  <c r="AM600" i="22"/>
  <c r="Q600" i="22"/>
  <c r="I600" i="22"/>
  <c r="AL600" i="22"/>
  <c r="AC600" i="22"/>
  <c r="P600" i="22"/>
  <c r="H600" i="22"/>
  <c r="AK600" i="22"/>
  <c r="AB600" i="22"/>
  <c r="AI600" i="22"/>
  <c r="X600" i="22"/>
  <c r="M600" i="22"/>
  <c r="D600" i="22"/>
  <c r="AH600" i="22"/>
  <c r="T600" i="22"/>
  <c r="L600" i="22"/>
  <c r="AF600" i="22"/>
  <c r="K519" i="22"/>
  <c r="AO519" i="22"/>
  <c r="AO523" i="22"/>
  <c r="AO527" i="22"/>
  <c r="AF543" i="22"/>
  <c r="AO543" i="22"/>
  <c r="K547" i="22"/>
  <c r="AF547" i="22"/>
  <c r="AO547" i="22"/>
  <c r="K551" i="22"/>
  <c r="AF551" i="22"/>
  <c r="AO551" i="22"/>
  <c r="G553" i="22"/>
  <c r="A553" i="22" s="1"/>
  <c r="C553" i="22" s="1"/>
  <c r="O553" i="22"/>
  <c r="AB553" i="22"/>
  <c r="AK553" i="22"/>
  <c r="K555" i="22"/>
  <c r="AF555" i="22"/>
  <c r="AO555" i="22"/>
  <c r="G557" i="22"/>
  <c r="A557" i="22" s="1"/>
  <c r="C557" i="22" s="1"/>
  <c r="O557" i="22"/>
  <c r="AB557" i="22"/>
  <c r="AK557" i="22"/>
  <c r="K559" i="22"/>
  <c r="AF559" i="22"/>
  <c r="AO559" i="22"/>
  <c r="G561" i="22"/>
  <c r="A561" i="22" s="1"/>
  <c r="C561" i="22" s="1"/>
  <c r="O561" i="22"/>
  <c r="AB561" i="22"/>
  <c r="AK561" i="22"/>
  <c r="D562" i="22"/>
  <c r="M562" i="22"/>
  <c r="X562" i="22"/>
  <c r="AI562" i="22"/>
  <c r="K563" i="22"/>
  <c r="AF563" i="22"/>
  <c r="AO563" i="22"/>
  <c r="G565" i="22"/>
  <c r="A565" i="22" s="1"/>
  <c r="C565" i="22" s="1"/>
  <c r="O565" i="22"/>
  <c r="AB565" i="22"/>
  <c r="AK565" i="22"/>
  <c r="D566" i="22"/>
  <c r="M566" i="22"/>
  <c r="X566" i="22"/>
  <c r="AI566" i="22"/>
  <c r="AN567" i="22"/>
  <c r="AE567" i="22"/>
  <c r="AK567" i="22"/>
  <c r="K567" i="22"/>
  <c r="AH567" i="22"/>
  <c r="O568" i="22"/>
  <c r="AE568" i="22"/>
  <c r="K570" i="22"/>
  <c r="AC570" i="22"/>
  <c r="AH571" i="22"/>
  <c r="T571" i="22"/>
  <c r="L571" i="22"/>
  <c r="AN571" i="22"/>
  <c r="AE571" i="22"/>
  <c r="J571" i="22"/>
  <c r="AK571" i="22"/>
  <c r="AB571" i="22"/>
  <c r="O571" i="22"/>
  <c r="G571" i="22"/>
  <c r="A571" i="22" s="1"/>
  <c r="C571" i="22" s="1"/>
  <c r="P571" i="22"/>
  <c r="AI571" i="22"/>
  <c r="G572" i="22"/>
  <c r="A572" i="22" s="1"/>
  <c r="C572" i="22" s="1"/>
  <c r="T572" i="22"/>
  <c r="AM572" i="22"/>
  <c r="J574" i="22"/>
  <c r="AE574" i="22"/>
  <c r="T576" i="22"/>
  <c r="O578" i="22"/>
  <c r="AK578" i="22"/>
  <c r="G580" i="22"/>
  <c r="A580" i="22" s="1"/>
  <c r="C580" i="22" s="1"/>
  <c r="AB580" i="22"/>
  <c r="L584" i="22"/>
  <c r="AH584" i="22"/>
  <c r="G586" i="22"/>
  <c r="A586" i="22" s="1"/>
  <c r="C586" i="22" s="1"/>
  <c r="AB586" i="22"/>
  <c r="G588" i="22"/>
  <c r="A588" i="22" s="1"/>
  <c r="C588" i="22" s="1"/>
  <c r="AB588" i="22"/>
  <c r="AA590" i="22"/>
  <c r="N590" i="22"/>
  <c r="AI590" i="22"/>
  <c r="X590" i="22"/>
  <c r="M590" i="22"/>
  <c r="D590" i="22"/>
  <c r="AH590" i="22"/>
  <c r="T590" i="22"/>
  <c r="L590" i="22"/>
  <c r="AM590" i="22"/>
  <c r="Q590" i="22"/>
  <c r="I590" i="22"/>
  <c r="AO590" i="22"/>
  <c r="O592" i="22"/>
  <c r="K594" i="22"/>
  <c r="AF594" i="22"/>
  <c r="G596" i="22"/>
  <c r="A596" i="22" s="1"/>
  <c r="C596" i="22" s="1"/>
  <c r="AB596" i="22"/>
  <c r="AA598" i="22"/>
  <c r="N598" i="22"/>
  <c r="AI598" i="22"/>
  <c r="X598" i="22"/>
  <c r="M598" i="22"/>
  <c r="D598" i="22"/>
  <c r="AH598" i="22"/>
  <c r="T598" i="22"/>
  <c r="L598" i="22"/>
  <c r="AM598" i="22"/>
  <c r="Q598" i="22"/>
  <c r="I598" i="22"/>
  <c r="AL598" i="22"/>
  <c r="AA608" i="22"/>
  <c r="AN612" i="22"/>
  <c r="AE612" i="22"/>
  <c r="J612" i="22"/>
  <c r="AM612" i="22"/>
  <c r="Q612" i="22"/>
  <c r="I612" i="22"/>
  <c r="AL612" i="22"/>
  <c r="AC612" i="22"/>
  <c r="P612" i="22"/>
  <c r="H612" i="22"/>
  <c r="AK612" i="22"/>
  <c r="AB612" i="22"/>
  <c r="O612" i="22"/>
  <c r="G612" i="22"/>
  <c r="A612" i="22" s="1"/>
  <c r="C612" i="22" s="1"/>
  <c r="AI612" i="22"/>
  <c r="X612" i="22"/>
  <c r="M612" i="22"/>
  <c r="D612" i="22"/>
  <c r="AH612" i="22"/>
  <c r="T612" i="22"/>
  <c r="L612" i="22"/>
  <c r="AO612" i="22"/>
  <c r="N616" i="22"/>
  <c r="AO503" i="22"/>
  <c r="G505" i="22"/>
  <c r="A505" i="22" s="1"/>
  <c r="C505" i="22" s="1"/>
  <c r="AB505" i="22"/>
  <c r="AK505" i="22"/>
  <c r="AO507" i="22"/>
  <c r="K511" i="22"/>
  <c r="AF511" i="22"/>
  <c r="AO511" i="22"/>
  <c r="K515" i="22"/>
  <c r="AF515" i="22"/>
  <c r="AO515" i="22"/>
  <c r="AF519" i="22"/>
  <c r="K523" i="22"/>
  <c r="AF523" i="22"/>
  <c r="K527" i="22"/>
  <c r="K531" i="22"/>
  <c r="AF531" i="22"/>
  <c r="AO531" i="22"/>
  <c r="K535" i="22"/>
  <c r="AF535" i="22"/>
  <c r="AO535" i="22"/>
  <c r="K539" i="22"/>
  <c r="AO539" i="22"/>
  <c r="K543" i="22"/>
  <c r="N502" i="22"/>
  <c r="L503" i="22"/>
  <c r="T503" i="22"/>
  <c r="AH503" i="22"/>
  <c r="J504" i="22"/>
  <c r="AE504" i="22"/>
  <c r="AN504" i="22"/>
  <c r="H505" i="22"/>
  <c r="P505" i="22"/>
  <c r="AC505" i="22"/>
  <c r="AL505" i="22"/>
  <c r="N506" i="22"/>
  <c r="L507" i="22"/>
  <c r="T507" i="22"/>
  <c r="AH507" i="22"/>
  <c r="J508" i="22"/>
  <c r="AE508" i="22"/>
  <c r="AN508" i="22"/>
  <c r="H509" i="22"/>
  <c r="P509" i="22"/>
  <c r="AC509" i="22"/>
  <c r="AL509" i="22"/>
  <c r="N510" i="22"/>
  <c r="L511" i="22"/>
  <c r="T511" i="22"/>
  <c r="AH511" i="22"/>
  <c r="J512" i="22"/>
  <c r="AE512" i="22"/>
  <c r="AN512" i="22"/>
  <c r="H513" i="22"/>
  <c r="P513" i="22"/>
  <c r="AC513" i="22"/>
  <c r="AL513" i="22"/>
  <c r="N514" i="22"/>
  <c r="L515" i="22"/>
  <c r="T515" i="22"/>
  <c r="AH515" i="22"/>
  <c r="J516" i="22"/>
  <c r="AE516" i="22"/>
  <c r="AN516" i="22"/>
  <c r="H517" i="22"/>
  <c r="P517" i="22"/>
  <c r="AC517" i="22"/>
  <c r="AL517" i="22"/>
  <c r="N518" i="22"/>
  <c r="L519" i="22"/>
  <c r="T519" i="22"/>
  <c r="AH519" i="22"/>
  <c r="J520" i="22"/>
  <c r="AE520" i="22"/>
  <c r="AN520" i="22"/>
  <c r="H521" i="22"/>
  <c r="P521" i="22"/>
  <c r="AC521" i="22"/>
  <c r="AL521" i="22"/>
  <c r="N522" i="22"/>
  <c r="L523" i="22"/>
  <c r="T523" i="22"/>
  <c r="AH523" i="22"/>
  <c r="J524" i="22"/>
  <c r="AE524" i="22"/>
  <c r="AN524" i="22"/>
  <c r="H525" i="22"/>
  <c r="P525" i="22"/>
  <c r="AC525" i="22"/>
  <c r="AL525" i="22"/>
  <c r="N526" i="22"/>
  <c r="L527" i="22"/>
  <c r="T527" i="22"/>
  <c r="AH527" i="22"/>
  <c r="J528" i="22"/>
  <c r="AE528" i="22"/>
  <c r="AN528" i="22"/>
  <c r="H529" i="22"/>
  <c r="P529" i="22"/>
  <c r="AC529" i="22"/>
  <c r="AL529" i="22"/>
  <c r="N530" i="22"/>
  <c r="L531" i="22"/>
  <c r="T531" i="22"/>
  <c r="AH531" i="22"/>
  <c r="J532" i="22"/>
  <c r="AE532" i="22"/>
  <c r="AN532" i="22"/>
  <c r="H533" i="22"/>
  <c r="P533" i="22"/>
  <c r="AC533" i="22"/>
  <c r="AL533" i="22"/>
  <c r="N534" i="22"/>
  <c r="AA534" i="22"/>
  <c r="L535" i="22"/>
  <c r="T535" i="22"/>
  <c r="AH535" i="22"/>
  <c r="H537" i="22"/>
  <c r="P537" i="22"/>
  <c r="AC537" i="22"/>
  <c r="AL537" i="22"/>
  <c r="N538" i="22"/>
  <c r="AA538" i="22"/>
  <c r="L539" i="22"/>
  <c r="T539" i="22"/>
  <c r="AH539" i="22"/>
  <c r="H541" i="22"/>
  <c r="P541" i="22"/>
  <c r="AC541" i="22"/>
  <c r="AL541" i="22"/>
  <c r="N542" i="22"/>
  <c r="AA542" i="22"/>
  <c r="L543" i="22"/>
  <c r="T543" i="22"/>
  <c r="AH543" i="22"/>
  <c r="H545" i="22"/>
  <c r="P545" i="22"/>
  <c r="AC545" i="22"/>
  <c r="AL545" i="22"/>
  <c r="N546" i="22"/>
  <c r="AA546" i="22"/>
  <c r="L547" i="22"/>
  <c r="T547" i="22"/>
  <c r="AH547" i="22"/>
  <c r="H549" i="22"/>
  <c r="P549" i="22"/>
  <c r="AC549" i="22"/>
  <c r="AL549" i="22"/>
  <c r="N550" i="22"/>
  <c r="AA550" i="22"/>
  <c r="L551" i="22"/>
  <c r="T551" i="22"/>
  <c r="AH551" i="22"/>
  <c r="H553" i="22"/>
  <c r="P553" i="22"/>
  <c r="AC553" i="22"/>
  <c r="AL553" i="22"/>
  <c r="N554" i="22"/>
  <c r="AA554" i="22"/>
  <c r="L555" i="22"/>
  <c r="T555" i="22"/>
  <c r="AH555" i="22"/>
  <c r="H557" i="22"/>
  <c r="P557" i="22"/>
  <c r="AC557" i="22"/>
  <c r="AL557" i="22"/>
  <c r="N558" i="22"/>
  <c r="AA558" i="22"/>
  <c r="L559" i="22"/>
  <c r="T559" i="22"/>
  <c r="AH559" i="22"/>
  <c r="H561" i="22"/>
  <c r="P561" i="22"/>
  <c r="AC561" i="22"/>
  <c r="AL561" i="22"/>
  <c r="N562" i="22"/>
  <c r="AA562" i="22"/>
  <c r="H565" i="22"/>
  <c r="P565" i="22"/>
  <c r="AC565" i="22"/>
  <c r="AL565" i="22"/>
  <c r="N566" i="22"/>
  <c r="AA566" i="22"/>
  <c r="Q568" i="22"/>
  <c r="AF568" i="22"/>
  <c r="M570" i="22"/>
  <c r="AE570" i="22"/>
  <c r="I572" i="22"/>
  <c r="AA572" i="22"/>
  <c r="AO572" i="22"/>
  <c r="K574" i="22"/>
  <c r="AF574" i="22"/>
  <c r="AA576" i="22"/>
  <c r="P578" i="22"/>
  <c r="AL578" i="22"/>
  <c r="K580" i="22"/>
  <c r="AF580" i="22"/>
  <c r="AA582" i="22"/>
  <c r="N582" i="22"/>
  <c r="AI582" i="22"/>
  <c r="X582" i="22"/>
  <c r="M582" i="22"/>
  <c r="D582" i="22"/>
  <c r="AH582" i="22"/>
  <c r="T582" i="22"/>
  <c r="L582" i="22"/>
  <c r="AM582" i="22"/>
  <c r="Q582" i="22"/>
  <c r="I582" i="22"/>
  <c r="AO582" i="22"/>
  <c r="N584" i="22"/>
  <c r="H586" i="22"/>
  <c r="AC586" i="22"/>
  <c r="AN592" i="22"/>
  <c r="AE592" i="22"/>
  <c r="J592" i="22"/>
  <c r="AM592" i="22"/>
  <c r="Q592" i="22"/>
  <c r="I592" i="22"/>
  <c r="AL592" i="22"/>
  <c r="AC592" i="22"/>
  <c r="P592" i="22"/>
  <c r="H592" i="22"/>
  <c r="AI592" i="22"/>
  <c r="X592" i="22"/>
  <c r="M592" i="22"/>
  <c r="D592" i="22"/>
  <c r="AO592" i="22"/>
  <c r="O594" i="22"/>
  <c r="AK594" i="22"/>
  <c r="G600" i="22"/>
  <c r="A600" i="22" s="1"/>
  <c r="C600" i="22" s="1"/>
  <c r="AO600" i="22"/>
  <c r="AJ614" i="22"/>
  <c r="AD614" i="22"/>
  <c r="AJ630" i="22"/>
  <c r="AD630" i="22"/>
  <c r="AJ680" i="22"/>
  <c r="AD680" i="22"/>
  <c r="K503" i="22"/>
  <c r="AF503" i="22"/>
  <c r="O505" i="22"/>
  <c r="K507" i="22"/>
  <c r="AF507" i="22"/>
  <c r="D503" i="22"/>
  <c r="M503" i="22"/>
  <c r="X503" i="22"/>
  <c r="K504" i="22"/>
  <c r="AF504" i="22"/>
  <c r="I505" i="22"/>
  <c r="Q505" i="22"/>
  <c r="AM505" i="22"/>
  <c r="D507" i="22"/>
  <c r="M507" i="22"/>
  <c r="X507" i="22"/>
  <c r="AI507" i="22"/>
  <c r="K508" i="22"/>
  <c r="AF508" i="22"/>
  <c r="I509" i="22"/>
  <c r="Q509" i="22"/>
  <c r="AM509" i="22"/>
  <c r="D511" i="22"/>
  <c r="M511" i="22"/>
  <c r="X511" i="22"/>
  <c r="AI511" i="22"/>
  <c r="K512" i="22"/>
  <c r="AF512" i="22"/>
  <c r="I513" i="22"/>
  <c r="Q513" i="22"/>
  <c r="AM513" i="22"/>
  <c r="D515" i="22"/>
  <c r="M515" i="22"/>
  <c r="X515" i="22"/>
  <c r="AI515" i="22"/>
  <c r="K516" i="22"/>
  <c r="AF516" i="22"/>
  <c r="I517" i="22"/>
  <c r="Q517" i="22"/>
  <c r="AM517" i="22"/>
  <c r="D519" i="22"/>
  <c r="M519" i="22"/>
  <c r="X519" i="22"/>
  <c r="AI519" i="22"/>
  <c r="K520" i="22"/>
  <c r="AF520" i="22"/>
  <c r="I521" i="22"/>
  <c r="Q521" i="22"/>
  <c r="AM521" i="22"/>
  <c r="D523" i="22"/>
  <c r="M523" i="22"/>
  <c r="X523" i="22"/>
  <c r="AI523" i="22"/>
  <c r="K524" i="22"/>
  <c r="AF524" i="22"/>
  <c r="I525" i="22"/>
  <c r="Q525" i="22"/>
  <c r="AM525" i="22"/>
  <c r="D527" i="22"/>
  <c r="M527" i="22"/>
  <c r="X527" i="22"/>
  <c r="AI527" i="22"/>
  <c r="K528" i="22"/>
  <c r="AF528" i="22"/>
  <c r="I529" i="22"/>
  <c r="Q529" i="22"/>
  <c r="AM529" i="22"/>
  <c r="D531" i="22"/>
  <c r="M531" i="22"/>
  <c r="X531" i="22"/>
  <c r="AI531" i="22"/>
  <c r="K532" i="22"/>
  <c r="AF532" i="22"/>
  <c r="I533" i="22"/>
  <c r="Q533" i="22"/>
  <c r="AM533" i="22"/>
  <c r="G534" i="22"/>
  <c r="A534" i="22" s="1"/>
  <c r="C534" i="22" s="1"/>
  <c r="O534" i="22"/>
  <c r="AB534" i="22"/>
  <c r="D535" i="22"/>
  <c r="M535" i="22"/>
  <c r="X535" i="22"/>
  <c r="AI535" i="22"/>
  <c r="K536" i="22"/>
  <c r="AF536" i="22"/>
  <c r="I537" i="22"/>
  <c r="Q537" i="22"/>
  <c r="AM537" i="22"/>
  <c r="G538" i="22"/>
  <c r="A538" i="22" s="1"/>
  <c r="C538" i="22" s="1"/>
  <c r="O538" i="22"/>
  <c r="AB538" i="22"/>
  <c r="D539" i="22"/>
  <c r="M539" i="22"/>
  <c r="X539" i="22"/>
  <c r="AI539" i="22"/>
  <c r="K540" i="22"/>
  <c r="AF540" i="22"/>
  <c r="I541" i="22"/>
  <c r="Q541" i="22"/>
  <c r="AM541" i="22"/>
  <c r="G542" i="22"/>
  <c r="A542" i="22" s="1"/>
  <c r="C542" i="22" s="1"/>
  <c r="O542" i="22"/>
  <c r="AB542" i="22"/>
  <c r="D543" i="22"/>
  <c r="M543" i="22"/>
  <c r="X543" i="22"/>
  <c r="AI543" i="22"/>
  <c r="K544" i="22"/>
  <c r="AF544" i="22"/>
  <c r="I545" i="22"/>
  <c r="Q545" i="22"/>
  <c r="AM545" i="22"/>
  <c r="G546" i="22"/>
  <c r="A546" i="22" s="1"/>
  <c r="C546" i="22" s="1"/>
  <c r="O546" i="22"/>
  <c r="AB546" i="22"/>
  <c r="D547" i="22"/>
  <c r="M547" i="22"/>
  <c r="X547" i="22"/>
  <c r="AI547" i="22"/>
  <c r="K548" i="22"/>
  <c r="AF548" i="22"/>
  <c r="I549" i="22"/>
  <c r="Q549" i="22"/>
  <c r="AM549" i="22"/>
  <c r="G550" i="22"/>
  <c r="A550" i="22" s="1"/>
  <c r="C550" i="22" s="1"/>
  <c r="O550" i="22"/>
  <c r="AB550" i="22"/>
  <c r="D551" i="22"/>
  <c r="M551" i="22"/>
  <c r="X551" i="22"/>
  <c r="AI551" i="22"/>
  <c r="K552" i="22"/>
  <c r="AF552" i="22"/>
  <c r="I553" i="22"/>
  <c r="Q553" i="22"/>
  <c r="AM553" i="22"/>
  <c r="G554" i="22"/>
  <c r="A554" i="22" s="1"/>
  <c r="C554" i="22" s="1"/>
  <c r="O554" i="22"/>
  <c r="AB554" i="22"/>
  <c r="D555" i="22"/>
  <c r="M555" i="22"/>
  <c r="X555" i="22"/>
  <c r="K556" i="22"/>
  <c r="AF556" i="22"/>
  <c r="I557" i="22"/>
  <c r="Q557" i="22"/>
  <c r="AM557" i="22"/>
  <c r="G558" i="22"/>
  <c r="A558" i="22" s="1"/>
  <c r="C558" i="22" s="1"/>
  <c r="O558" i="22"/>
  <c r="AB558" i="22"/>
  <c r="D559" i="22"/>
  <c r="M559" i="22"/>
  <c r="X559" i="22"/>
  <c r="K560" i="22"/>
  <c r="AF560" i="22"/>
  <c r="I561" i="22"/>
  <c r="Q561" i="22"/>
  <c r="AM561" i="22"/>
  <c r="G562" i="22"/>
  <c r="A562" i="22" s="1"/>
  <c r="C562" i="22" s="1"/>
  <c r="O562" i="22"/>
  <c r="AB562" i="22"/>
  <c r="D563" i="22"/>
  <c r="M563" i="22"/>
  <c r="X563" i="22"/>
  <c r="K564" i="22"/>
  <c r="AF564" i="22"/>
  <c r="I565" i="22"/>
  <c r="Q565" i="22"/>
  <c r="AM565" i="22"/>
  <c r="G566" i="22"/>
  <c r="A566" i="22" s="1"/>
  <c r="C566" i="22" s="1"/>
  <c r="O566" i="22"/>
  <c r="AB566" i="22"/>
  <c r="D567" i="22"/>
  <c r="M567" i="22"/>
  <c r="X567" i="22"/>
  <c r="G568" i="22"/>
  <c r="A568" i="22" s="1"/>
  <c r="C568" i="22" s="1"/>
  <c r="AH568" i="22"/>
  <c r="O570" i="22"/>
  <c r="AL571" i="22"/>
  <c r="K572" i="22"/>
  <c r="AB572" i="22"/>
  <c r="O574" i="22"/>
  <c r="AK574" i="22"/>
  <c r="G576" i="22"/>
  <c r="A576" i="22" s="1"/>
  <c r="C576" i="22" s="1"/>
  <c r="AB576" i="22"/>
  <c r="L580" i="22"/>
  <c r="AH580" i="22"/>
  <c r="G582" i="22"/>
  <c r="A582" i="22" s="1"/>
  <c r="C582" i="22" s="1"/>
  <c r="AB582" i="22"/>
  <c r="O584" i="22"/>
  <c r="J586" i="22"/>
  <c r="AE586" i="22"/>
  <c r="L588" i="22"/>
  <c r="AH588" i="22"/>
  <c r="H590" i="22"/>
  <c r="AC590" i="22"/>
  <c r="T592" i="22"/>
  <c r="P594" i="22"/>
  <c r="L596" i="22"/>
  <c r="AH596" i="22"/>
  <c r="H598" i="22"/>
  <c r="AC598" i="22"/>
  <c r="K600" i="22"/>
  <c r="AN604" i="22"/>
  <c r="AE604" i="22"/>
  <c r="J604" i="22"/>
  <c r="AM604" i="22"/>
  <c r="Q604" i="22"/>
  <c r="I604" i="22"/>
  <c r="AL604" i="22"/>
  <c r="AC604" i="22"/>
  <c r="P604" i="22"/>
  <c r="H604" i="22"/>
  <c r="AK604" i="22"/>
  <c r="AB604" i="22"/>
  <c r="O604" i="22"/>
  <c r="G604" i="22"/>
  <c r="A604" i="22" s="1"/>
  <c r="C604" i="22" s="1"/>
  <c r="AI604" i="22"/>
  <c r="X604" i="22"/>
  <c r="M604" i="22"/>
  <c r="D604" i="22"/>
  <c r="AH604" i="22"/>
  <c r="T604" i="22"/>
  <c r="L604" i="22"/>
  <c r="AO604" i="22"/>
  <c r="K612" i="22"/>
  <c r="AA616" i="22"/>
  <c r="AN620" i="22"/>
  <c r="AE620" i="22"/>
  <c r="J620" i="22"/>
  <c r="AM620" i="22"/>
  <c r="Q620" i="22"/>
  <c r="I620" i="22"/>
  <c r="AL620" i="22"/>
  <c r="AC620" i="22"/>
  <c r="P620" i="22"/>
  <c r="H620" i="22"/>
  <c r="AK620" i="22"/>
  <c r="AB620" i="22"/>
  <c r="O620" i="22"/>
  <c r="G620" i="22"/>
  <c r="A620" i="22" s="1"/>
  <c r="C620" i="22" s="1"/>
  <c r="AI620" i="22"/>
  <c r="X620" i="22"/>
  <c r="M620" i="22"/>
  <c r="D620" i="22"/>
  <c r="AH620" i="22"/>
  <c r="T620" i="22"/>
  <c r="L620" i="22"/>
  <c r="AO620" i="22"/>
  <c r="AJ656" i="22"/>
  <c r="AD656" i="22"/>
  <c r="AA570" i="22"/>
  <c r="N570" i="22"/>
  <c r="AH570" i="22"/>
  <c r="T570" i="22"/>
  <c r="L570" i="22"/>
  <c r="AM570" i="22"/>
  <c r="Q570" i="22"/>
  <c r="I570" i="22"/>
  <c r="P570" i="22"/>
  <c r="AI570" i="22"/>
  <c r="L572" i="22"/>
  <c r="AA578" i="22"/>
  <c r="N578" i="22"/>
  <c r="AI578" i="22"/>
  <c r="X578" i="22"/>
  <c r="M578" i="22"/>
  <c r="D578" i="22"/>
  <c r="AH578" i="22"/>
  <c r="T578" i="22"/>
  <c r="L578" i="22"/>
  <c r="AM578" i="22"/>
  <c r="Q578" i="22"/>
  <c r="I578" i="22"/>
  <c r="AO578" i="22"/>
  <c r="AN584" i="22"/>
  <c r="AE584" i="22"/>
  <c r="J584" i="22"/>
  <c r="AM584" i="22"/>
  <c r="Q584" i="22"/>
  <c r="I584" i="22"/>
  <c r="AL584" i="22"/>
  <c r="AC584" i="22"/>
  <c r="P584" i="22"/>
  <c r="H584" i="22"/>
  <c r="AI584" i="22"/>
  <c r="X584" i="22"/>
  <c r="M584" i="22"/>
  <c r="D584" i="22"/>
  <c r="AO584" i="22"/>
  <c r="AJ606" i="22"/>
  <c r="AD606" i="22"/>
  <c r="AN608" i="22"/>
  <c r="AE608" i="22"/>
  <c r="J608" i="22"/>
  <c r="AM608" i="22"/>
  <c r="Q608" i="22"/>
  <c r="I608" i="22"/>
  <c r="AL608" i="22"/>
  <c r="AC608" i="22"/>
  <c r="P608" i="22"/>
  <c r="H608" i="22"/>
  <c r="AK608" i="22"/>
  <c r="AB608" i="22"/>
  <c r="O608" i="22"/>
  <c r="G608" i="22"/>
  <c r="A608" i="22" s="1"/>
  <c r="C608" i="22" s="1"/>
  <c r="AI608" i="22"/>
  <c r="X608" i="22"/>
  <c r="M608" i="22"/>
  <c r="D608" i="22"/>
  <c r="AH608" i="22"/>
  <c r="T608" i="22"/>
  <c r="L608" i="22"/>
  <c r="AO608" i="22"/>
  <c r="AF616" i="22"/>
  <c r="AM638" i="22"/>
  <c r="Q638" i="22"/>
  <c r="AL638" i="22"/>
  <c r="AC638" i="22"/>
  <c r="P638" i="22"/>
  <c r="H638" i="22"/>
  <c r="AI638" i="22"/>
  <c r="I638" i="22"/>
  <c r="AH638" i="22"/>
  <c r="G638" i="22"/>
  <c r="A638" i="22" s="1"/>
  <c r="C638" i="22" s="1"/>
  <c r="AF638" i="22"/>
  <c r="O638" i="22"/>
  <c r="AE638" i="22"/>
  <c r="N638" i="22"/>
  <c r="D638" i="22"/>
  <c r="AO638" i="22"/>
  <c r="AB638" i="22"/>
  <c r="M638" i="22"/>
  <c r="AK638" i="22"/>
  <c r="X638" i="22"/>
  <c r="K638" i="22"/>
  <c r="T638" i="22"/>
  <c r="J638" i="22"/>
  <c r="AJ641" i="22"/>
  <c r="AD641" i="22"/>
  <c r="AJ676" i="22"/>
  <c r="AD676" i="22"/>
  <c r="K505" i="22"/>
  <c r="AF505" i="22"/>
  <c r="G507" i="22"/>
  <c r="A507" i="22" s="1"/>
  <c r="C507" i="22" s="1"/>
  <c r="O507" i="22"/>
  <c r="AB507" i="22"/>
  <c r="K509" i="22"/>
  <c r="AF509" i="22"/>
  <c r="G511" i="22"/>
  <c r="A511" i="22" s="1"/>
  <c r="C511" i="22" s="1"/>
  <c r="O511" i="22"/>
  <c r="AB511" i="22"/>
  <c r="K513" i="22"/>
  <c r="AF513" i="22"/>
  <c r="G515" i="22"/>
  <c r="A515" i="22" s="1"/>
  <c r="C515" i="22" s="1"/>
  <c r="O515" i="22"/>
  <c r="AB515" i="22"/>
  <c r="K517" i="22"/>
  <c r="AF517" i="22"/>
  <c r="G519" i="22"/>
  <c r="A519" i="22" s="1"/>
  <c r="C519" i="22" s="1"/>
  <c r="O519" i="22"/>
  <c r="AB519" i="22"/>
  <c r="K521" i="22"/>
  <c r="AF521" i="22"/>
  <c r="G523" i="22"/>
  <c r="A523" i="22" s="1"/>
  <c r="C523" i="22" s="1"/>
  <c r="O523" i="22"/>
  <c r="AB523" i="22"/>
  <c r="K525" i="22"/>
  <c r="AF525" i="22"/>
  <c r="G527" i="22"/>
  <c r="A527" i="22" s="1"/>
  <c r="C527" i="22" s="1"/>
  <c r="O527" i="22"/>
  <c r="AB527" i="22"/>
  <c r="K529" i="22"/>
  <c r="AF529" i="22"/>
  <c r="G531" i="22"/>
  <c r="A531" i="22" s="1"/>
  <c r="C531" i="22" s="1"/>
  <c r="O531" i="22"/>
  <c r="AB531" i="22"/>
  <c r="K533" i="22"/>
  <c r="AF533" i="22"/>
  <c r="G535" i="22"/>
  <c r="A535" i="22" s="1"/>
  <c r="C535" i="22" s="1"/>
  <c r="O535" i="22"/>
  <c r="AB535" i="22"/>
  <c r="K537" i="22"/>
  <c r="AF537" i="22"/>
  <c r="G539" i="22"/>
  <c r="A539" i="22" s="1"/>
  <c r="C539" i="22" s="1"/>
  <c r="O539" i="22"/>
  <c r="AB539" i="22"/>
  <c r="K541" i="22"/>
  <c r="AF541" i="22"/>
  <c r="G543" i="22"/>
  <c r="A543" i="22" s="1"/>
  <c r="C543" i="22" s="1"/>
  <c r="O543" i="22"/>
  <c r="AB543" i="22"/>
  <c r="K545" i="22"/>
  <c r="AF545" i="22"/>
  <c r="G547" i="22"/>
  <c r="A547" i="22" s="1"/>
  <c r="C547" i="22" s="1"/>
  <c r="O547" i="22"/>
  <c r="AB547" i="22"/>
  <c r="K549" i="22"/>
  <c r="AF549" i="22"/>
  <c r="G551" i="22"/>
  <c r="A551" i="22" s="1"/>
  <c r="C551" i="22" s="1"/>
  <c r="O551" i="22"/>
  <c r="AB551" i="22"/>
  <c r="K553" i="22"/>
  <c r="AF553" i="22"/>
  <c r="K557" i="22"/>
  <c r="AF557" i="22"/>
  <c r="K561" i="22"/>
  <c r="AF561" i="22"/>
  <c r="K565" i="22"/>
  <c r="AF565" i="22"/>
  <c r="J568" i="22"/>
  <c r="T568" i="22"/>
  <c r="AK568" i="22"/>
  <c r="D570" i="22"/>
  <c r="AK570" i="22"/>
  <c r="N572" i="22"/>
  <c r="AF572" i="22"/>
  <c r="AN574" i="22"/>
  <c r="L576" i="22"/>
  <c r="AH576" i="22"/>
  <c r="G578" i="22"/>
  <c r="A578" i="22" s="1"/>
  <c r="C578" i="22" s="1"/>
  <c r="AB578" i="22"/>
  <c r="O580" i="22"/>
  <c r="AK580" i="22"/>
  <c r="T584" i="22"/>
  <c r="O586" i="22"/>
  <c r="AK586" i="22"/>
  <c r="AA594" i="22"/>
  <c r="N594" i="22"/>
  <c r="AI594" i="22"/>
  <c r="X594" i="22"/>
  <c r="M594" i="22"/>
  <c r="D594" i="22"/>
  <c r="AH594" i="22"/>
  <c r="T594" i="22"/>
  <c r="L594" i="22"/>
  <c r="AM594" i="22"/>
  <c r="Q594" i="22"/>
  <c r="I594" i="22"/>
  <c r="AO594" i="22"/>
  <c r="O600" i="22"/>
  <c r="AJ610" i="22"/>
  <c r="AD610" i="22"/>
  <c r="AD644" i="22"/>
  <c r="AJ644" i="22"/>
  <c r="AJ651" i="22"/>
  <c r="AD651" i="22"/>
  <c r="H602" i="22"/>
  <c r="P602" i="22"/>
  <c r="AC602" i="22"/>
  <c r="AL602" i="22"/>
  <c r="H606" i="22"/>
  <c r="P606" i="22"/>
  <c r="AC606" i="22"/>
  <c r="AL606" i="22"/>
  <c r="L624" i="22"/>
  <c r="T624" i="22"/>
  <c r="AH624" i="22"/>
  <c r="L628" i="22"/>
  <c r="T628" i="22"/>
  <c r="AH628" i="22"/>
  <c r="L632" i="22"/>
  <c r="T632" i="22"/>
  <c r="AH632" i="22"/>
  <c r="L636" i="22"/>
  <c r="T636" i="22"/>
  <c r="AH636" i="22"/>
  <c r="P640" i="22"/>
  <c r="AE640" i="22"/>
  <c r="AM642" i="22"/>
  <c r="Q642" i="22"/>
  <c r="I642" i="22"/>
  <c r="AL642" i="22"/>
  <c r="AC642" i="22"/>
  <c r="P642" i="22"/>
  <c r="H642" i="22"/>
  <c r="AI642" i="22"/>
  <c r="X642" i="22"/>
  <c r="M642" i="22"/>
  <c r="D642" i="22"/>
  <c r="O642" i="22"/>
  <c r="AH642" i="22"/>
  <c r="AI644" i="22"/>
  <c r="X644" i="22"/>
  <c r="M644" i="22"/>
  <c r="D644" i="22"/>
  <c r="AH644" i="22"/>
  <c r="T644" i="22"/>
  <c r="L644" i="22"/>
  <c r="AM644" i="22"/>
  <c r="Q644" i="22"/>
  <c r="I644" i="22"/>
  <c r="P644" i="22"/>
  <c r="AD663" i="22"/>
  <c r="AJ663" i="22"/>
  <c r="AJ668" i="22"/>
  <c r="AD668" i="22"/>
  <c r="AD690" i="22"/>
  <c r="AJ690" i="22"/>
  <c r="AD717" i="22"/>
  <c r="AJ717" i="22"/>
  <c r="AJ858" i="22"/>
  <c r="AD858" i="22"/>
  <c r="K569" i="22"/>
  <c r="AF569" i="22"/>
  <c r="AO569" i="22"/>
  <c r="K573" i="22"/>
  <c r="AF573" i="22"/>
  <c r="AO573" i="22"/>
  <c r="G575" i="22"/>
  <c r="A575" i="22" s="1"/>
  <c r="C575" i="22" s="1"/>
  <c r="O575" i="22"/>
  <c r="AB575" i="22"/>
  <c r="AK575" i="22"/>
  <c r="K577" i="22"/>
  <c r="AF577" i="22"/>
  <c r="AO577" i="22"/>
  <c r="G579" i="22"/>
  <c r="A579" i="22" s="1"/>
  <c r="C579" i="22" s="1"/>
  <c r="O579" i="22"/>
  <c r="AB579" i="22"/>
  <c r="AK579" i="22"/>
  <c r="K581" i="22"/>
  <c r="AF581" i="22"/>
  <c r="AO581" i="22"/>
  <c r="G583" i="22"/>
  <c r="A583" i="22" s="1"/>
  <c r="C583" i="22" s="1"/>
  <c r="O583" i="22"/>
  <c r="AB583" i="22"/>
  <c r="AK583" i="22"/>
  <c r="K585" i="22"/>
  <c r="AF585" i="22"/>
  <c r="AO585" i="22"/>
  <c r="G587" i="22"/>
  <c r="A587" i="22" s="1"/>
  <c r="C587" i="22" s="1"/>
  <c r="O587" i="22"/>
  <c r="AB587" i="22"/>
  <c r="AK587" i="22"/>
  <c r="K589" i="22"/>
  <c r="AF589" i="22"/>
  <c r="AO589" i="22"/>
  <c r="G591" i="22"/>
  <c r="A591" i="22" s="1"/>
  <c r="C591" i="22" s="1"/>
  <c r="O591" i="22"/>
  <c r="AB591" i="22"/>
  <c r="AK591" i="22"/>
  <c r="K593" i="22"/>
  <c r="AF593" i="22"/>
  <c r="AO593" i="22"/>
  <c r="G595" i="22"/>
  <c r="A595" i="22" s="1"/>
  <c r="C595" i="22" s="1"/>
  <c r="O595" i="22"/>
  <c r="AB595" i="22"/>
  <c r="AK595" i="22"/>
  <c r="K597" i="22"/>
  <c r="AF597" i="22"/>
  <c r="AO597" i="22"/>
  <c r="G599" i="22"/>
  <c r="A599" i="22" s="1"/>
  <c r="C599" i="22" s="1"/>
  <c r="O599" i="22"/>
  <c r="AB599" i="22"/>
  <c r="AK599" i="22"/>
  <c r="K601" i="22"/>
  <c r="AF601" i="22"/>
  <c r="AO601" i="22"/>
  <c r="I602" i="22"/>
  <c r="Q602" i="22"/>
  <c r="AM602" i="22"/>
  <c r="G603" i="22"/>
  <c r="A603" i="22" s="1"/>
  <c r="C603" i="22" s="1"/>
  <c r="O603" i="22"/>
  <c r="AB603" i="22"/>
  <c r="AK603" i="22"/>
  <c r="K605" i="22"/>
  <c r="AF605" i="22"/>
  <c r="AO605" i="22"/>
  <c r="I606" i="22"/>
  <c r="Q606" i="22"/>
  <c r="AM606" i="22"/>
  <c r="G607" i="22"/>
  <c r="A607" i="22" s="1"/>
  <c r="C607" i="22" s="1"/>
  <c r="O607" i="22"/>
  <c r="AB607" i="22"/>
  <c r="AK607" i="22"/>
  <c r="K609" i="22"/>
  <c r="AF609" i="22"/>
  <c r="AO609" i="22"/>
  <c r="I610" i="22"/>
  <c r="Q610" i="22"/>
  <c r="AM610" i="22"/>
  <c r="G611" i="22"/>
  <c r="A611" i="22" s="1"/>
  <c r="C611" i="22" s="1"/>
  <c r="O611" i="22"/>
  <c r="AB611" i="22"/>
  <c r="AK611" i="22"/>
  <c r="K613" i="22"/>
  <c r="AF613" i="22"/>
  <c r="AO613" i="22"/>
  <c r="I614" i="22"/>
  <c r="Q614" i="22"/>
  <c r="AM614" i="22"/>
  <c r="G615" i="22"/>
  <c r="A615" i="22" s="1"/>
  <c r="C615" i="22" s="1"/>
  <c r="O615" i="22"/>
  <c r="AB615" i="22"/>
  <c r="AK615" i="22"/>
  <c r="K617" i="22"/>
  <c r="AF617" i="22"/>
  <c r="AO617" i="22"/>
  <c r="I618" i="22"/>
  <c r="Q618" i="22"/>
  <c r="AM618" i="22"/>
  <c r="G619" i="22"/>
  <c r="A619" i="22" s="1"/>
  <c r="C619" i="22" s="1"/>
  <c r="O619" i="22"/>
  <c r="AB619" i="22"/>
  <c r="AK619" i="22"/>
  <c r="K621" i="22"/>
  <c r="AF621" i="22"/>
  <c r="AO621" i="22"/>
  <c r="I622" i="22"/>
  <c r="Q622" i="22"/>
  <c r="AM622" i="22"/>
  <c r="D624" i="22"/>
  <c r="M624" i="22"/>
  <c r="X624" i="22"/>
  <c r="AI624" i="22"/>
  <c r="K625" i="22"/>
  <c r="AF625" i="22"/>
  <c r="AO625" i="22"/>
  <c r="I626" i="22"/>
  <c r="Q626" i="22"/>
  <c r="AM626" i="22"/>
  <c r="D628" i="22"/>
  <c r="M628" i="22"/>
  <c r="X628" i="22"/>
  <c r="AI628" i="22"/>
  <c r="K629" i="22"/>
  <c r="AF629" i="22"/>
  <c r="AO629" i="22"/>
  <c r="I630" i="22"/>
  <c r="Q630" i="22"/>
  <c r="AM630" i="22"/>
  <c r="D632" i="22"/>
  <c r="M632" i="22"/>
  <c r="X632" i="22"/>
  <c r="AI632" i="22"/>
  <c r="K633" i="22"/>
  <c r="AF633" i="22"/>
  <c r="AO633" i="22"/>
  <c r="I634" i="22"/>
  <c r="Q634" i="22"/>
  <c r="AM634" i="22"/>
  <c r="D636" i="22"/>
  <c r="M636" i="22"/>
  <c r="X636" i="22"/>
  <c r="AI636" i="22"/>
  <c r="K637" i="22"/>
  <c r="AF637" i="22"/>
  <c r="G640" i="22"/>
  <c r="A640" i="22" s="1"/>
  <c r="C640" i="22" s="1"/>
  <c r="Q640" i="22"/>
  <c r="AF640" i="22"/>
  <c r="AK644" i="22"/>
  <c r="AD647" i="22"/>
  <c r="AA648" i="22"/>
  <c r="N648" i="22"/>
  <c r="AI648" i="22"/>
  <c r="X648" i="22"/>
  <c r="M648" i="22"/>
  <c r="D648" i="22"/>
  <c r="AH648" i="22"/>
  <c r="T648" i="22"/>
  <c r="L648" i="22"/>
  <c r="AN648" i="22"/>
  <c r="AE648" i="22"/>
  <c r="J648" i="22"/>
  <c r="AM648" i="22"/>
  <c r="Q648" i="22"/>
  <c r="I648" i="22"/>
  <c r="AC648" i="22"/>
  <c r="AN650" i="22"/>
  <c r="AE650" i="22"/>
  <c r="J650" i="22"/>
  <c r="AM650" i="22"/>
  <c r="Q650" i="22"/>
  <c r="I650" i="22"/>
  <c r="AL650" i="22"/>
  <c r="AC650" i="22"/>
  <c r="P650" i="22"/>
  <c r="H650" i="22"/>
  <c r="AK650" i="22"/>
  <c r="AB650" i="22"/>
  <c r="O650" i="22"/>
  <c r="G650" i="22"/>
  <c r="A650" i="22" s="1"/>
  <c r="C650" i="22" s="1"/>
  <c r="AA650" i="22"/>
  <c r="N650" i="22"/>
  <c r="AI650" i="22"/>
  <c r="X650" i="22"/>
  <c r="M650" i="22"/>
  <c r="D650" i="22"/>
  <c r="AO650" i="22"/>
  <c r="K654" i="22"/>
  <c r="AD655" i="22"/>
  <c r="AN658" i="22"/>
  <c r="AE658" i="22"/>
  <c r="J658" i="22"/>
  <c r="AM658" i="22"/>
  <c r="Q658" i="22"/>
  <c r="I658" i="22"/>
  <c r="AL658" i="22"/>
  <c r="AC658" i="22"/>
  <c r="P658" i="22"/>
  <c r="H658" i="22"/>
  <c r="AK658" i="22"/>
  <c r="AB658" i="22"/>
  <c r="O658" i="22"/>
  <c r="G658" i="22"/>
  <c r="A658" i="22" s="1"/>
  <c r="C658" i="22" s="1"/>
  <c r="AA658" i="22"/>
  <c r="N658" i="22"/>
  <c r="AI658" i="22"/>
  <c r="X658" i="22"/>
  <c r="M658" i="22"/>
  <c r="D658" i="22"/>
  <c r="AO658" i="22"/>
  <c r="AJ664" i="22"/>
  <c r="AD664" i="22"/>
  <c r="AD667" i="22"/>
  <c r="AJ667" i="22"/>
  <c r="AD687" i="22"/>
  <c r="AJ687" i="22"/>
  <c r="AD698" i="22"/>
  <c r="AJ698" i="22"/>
  <c r="AD721" i="22"/>
  <c r="AJ721" i="22"/>
  <c r="AD758" i="22"/>
  <c r="AJ758" i="22"/>
  <c r="K602" i="22"/>
  <c r="AF602" i="22"/>
  <c r="AO602" i="22"/>
  <c r="K606" i="22"/>
  <c r="AF606" i="22"/>
  <c r="AO606" i="22"/>
  <c r="K610" i="22"/>
  <c r="AF610" i="22"/>
  <c r="AO610" i="22"/>
  <c r="K614" i="22"/>
  <c r="AF614" i="22"/>
  <c r="AO614" i="22"/>
  <c r="K618" i="22"/>
  <c r="AF618" i="22"/>
  <c r="AO618" i="22"/>
  <c r="AI621" i="22"/>
  <c r="K622" i="22"/>
  <c r="AF622" i="22"/>
  <c r="AO622" i="22"/>
  <c r="G624" i="22"/>
  <c r="A624" i="22" s="1"/>
  <c r="C624" i="22" s="1"/>
  <c r="O624" i="22"/>
  <c r="AB624" i="22"/>
  <c r="AK624" i="22"/>
  <c r="AI625" i="22"/>
  <c r="K626" i="22"/>
  <c r="AF626" i="22"/>
  <c r="AO626" i="22"/>
  <c r="G628" i="22"/>
  <c r="A628" i="22" s="1"/>
  <c r="C628" i="22" s="1"/>
  <c r="O628" i="22"/>
  <c r="AB628" i="22"/>
  <c r="AK628" i="22"/>
  <c r="X629" i="22"/>
  <c r="AI629" i="22"/>
  <c r="K630" i="22"/>
  <c r="AF630" i="22"/>
  <c r="AO630" i="22"/>
  <c r="G632" i="22"/>
  <c r="A632" i="22" s="1"/>
  <c r="C632" i="22" s="1"/>
  <c r="O632" i="22"/>
  <c r="AB632" i="22"/>
  <c r="AK632" i="22"/>
  <c r="K634" i="22"/>
  <c r="AF634" i="22"/>
  <c r="AO634" i="22"/>
  <c r="G636" i="22"/>
  <c r="A636" i="22" s="1"/>
  <c r="C636" i="22" s="1"/>
  <c r="O636" i="22"/>
  <c r="AB636" i="22"/>
  <c r="AK636" i="22"/>
  <c r="I640" i="22"/>
  <c r="AK640" i="22"/>
  <c r="G642" i="22"/>
  <c r="A642" i="22" s="1"/>
  <c r="C642" i="22" s="1"/>
  <c r="T642" i="22"/>
  <c r="AN642" i="22"/>
  <c r="H644" i="22"/>
  <c r="AA644" i="22"/>
  <c r="AN644" i="22"/>
  <c r="AN646" i="22"/>
  <c r="AE646" i="22"/>
  <c r="J646" i="22"/>
  <c r="AM646" i="22"/>
  <c r="Q646" i="22"/>
  <c r="I646" i="22"/>
  <c r="AL646" i="22"/>
  <c r="AC646" i="22"/>
  <c r="P646" i="22"/>
  <c r="H646" i="22"/>
  <c r="AA646" i="22"/>
  <c r="N646" i="22"/>
  <c r="AI646" i="22"/>
  <c r="X646" i="22"/>
  <c r="M646" i="22"/>
  <c r="D646" i="22"/>
  <c r="AB646" i="22"/>
  <c r="H648" i="22"/>
  <c r="AK648" i="22"/>
  <c r="K650" i="22"/>
  <c r="K658" i="22"/>
  <c r="AD694" i="22"/>
  <c r="AJ694" i="22"/>
  <c r="AD702" i="22"/>
  <c r="AJ702" i="22"/>
  <c r="N569" i="22"/>
  <c r="N573" i="22"/>
  <c r="J575" i="22"/>
  <c r="AE575" i="22"/>
  <c r="AN575" i="22"/>
  <c r="N577" i="22"/>
  <c r="J579" i="22"/>
  <c r="AE579" i="22"/>
  <c r="AN579" i="22"/>
  <c r="N581" i="22"/>
  <c r="J583" i="22"/>
  <c r="AE583" i="22"/>
  <c r="AN583" i="22"/>
  <c r="N585" i="22"/>
  <c r="AE587" i="22"/>
  <c r="AN587" i="22"/>
  <c r="L602" i="22"/>
  <c r="T602" i="22"/>
  <c r="AH602" i="22"/>
  <c r="L606" i="22"/>
  <c r="T606" i="22"/>
  <c r="AH606" i="22"/>
  <c r="L610" i="22"/>
  <c r="T610" i="22"/>
  <c r="AH610" i="22"/>
  <c r="L614" i="22"/>
  <c r="T614" i="22"/>
  <c r="AH614" i="22"/>
  <c r="L618" i="22"/>
  <c r="T618" i="22"/>
  <c r="AH618" i="22"/>
  <c r="H624" i="22"/>
  <c r="P624" i="22"/>
  <c r="AC624" i="22"/>
  <c r="AL624" i="22"/>
  <c r="H628" i="22"/>
  <c r="P628" i="22"/>
  <c r="AC628" i="22"/>
  <c r="AL628" i="22"/>
  <c r="H632" i="22"/>
  <c r="P632" i="22"/>
  <c r="AC632" i="22"/>
  <c r="AL632" i="22"/>
  <c r="H636" i="22"/>
  <c r="P636" i="22"/>
  <c r="AC636" i="22"/>
  <c r="AL636" i="22"/>
  <c r="J640" i="22"/>
  <c r="AA640" i="22"/>
  <c r="AL640" i="22"/>
  <c r="J642" i="22"/>
  <c r="AA642" i="22"/>
  <c r="AO642" i="22"/>
  <c r="J644" i="22"/>
  <c r="AB644" i="22"/>
  <c r="AO644" i="22"/>
  <c r="AJ652" i="22"/>
  <c r="AD652" i="22"/>
  <c r="T654" i="22"/>
  <c r="AJ660" i="22"/>
  <c r="AD660" i="22"/>
  <c r="AJ693" i="22"/>
  <c r="AD693" i="22"/>
  <c r="AD706" i="22"/>
  <c r="AJ706" i="22"/>
  <c r="K575" i="22"/>
  <c r="AF575" i="22"/>
  <c r="AO575" i="22"/>
  <c r="K579" i="22"/>
  <c r="AF579" i="22"/>
  <c r="AO579" i="22"/>
  <c r="K583" i="22"/>
  <c r="AF583" i="22"/>
  <c r="AO583" i="22"/>
  <c r="K587" i="22"/>
  <c r="AF587" i="22"/>
  <c r="G589" i="22"/>
  <c r="A589" i="22" s="1"/>
  <c r="C589" i="22" s="1"/>
  <c r="O589" i="22"/>
  <c r="AB589" i="22"/>
  <c r="K591" i="22"/>
  <c r="AF591" i="22"/>
  <c r="G593" i="22"/>
  <c r="A593" i="22" s="1"/>
  <c r="C593" i="22" s="1"/>
  <c r="O593" i="22"/>
  <c r="AB593" i="22"/>
  <c r="K595" i="22"/>
  <c r="AF595" i="22"/>
  <c r="G597" i="22"/>
  <c r="A597" i="22" s="1"/>
  <c r="C597" i="22" s="1"/>
  <c r="O597" i="22"/>
  <c r="AB597" i="22"/>
  <c r="K599" i="22"/>
  <c r="AF599" i="22"/>
  <c r="G601" i="22"/>
  <c r="A601" i="22" s="1"/>
  <c r="C601" i="22" s="1"/>
  <c r="O601" i="22"/>
  <c r="AB601" i="22"/>
  <c r="D602" i="22"/>
  <c r="M602" i="22"/>
  <c r="X602" i="22"/>
  <c r="AI602" i="22"/>
  <c r="K603" i="22"/>
  <c r="AF603" i="22"/>
  <c r="G605" i="22"/>
  <c r="A605" i="22" s="1"/>
  <c r="C605" i="22" s="1"/>
  <c r="O605" i="22"/>
  <c r="AB605" i="22"/>
  <c r="D606" i="22"/>
  <c r="M606" i="22"/>
  <c r="X606" i="22"/>
  <c r="AI606" i="22"/>
  <c r="K607" i="22"/>
  <c r="AF607" i="22"/>
  <c r="G609" i="22"/>
  <c r="A609" i="22" s="1"/>
  <c r="C609" i="22" s="1"/>
  <c r="O609" i="22"/>
  <c r="AB609" i="22"/>
  <c r="D610" i="22"/>
  <c r="M610" i="22"/>
  <c r="X610" i="22"/>
  <c r="AI610" i="22"/>
  <c r="K611" i="22"/>
  <c r="AF611" i="22"/>
  <c r="G613" i="22"/>
  <c r="A613" i="22" s="1"/>
  <c r="C613" i="22" s="1"/>
  <c r="O613" i="22"/>
  <c r="AB613" i="22"/>
  <c r="D614" i="22"/>
  <c r="M614" i="22"/>
  <c r="X614" i="22"/>
  <c r="AI614" i="22"/>
  <c r="K615" i="22"/>
  <c r="AF615" i="22"/>
  <c r="G617" i="22"/>
  <c r="A617" i="22" s="1"/>
  <c r="C617" i="22" s="1"/>
  <c r="O617" i="22"/>
  <c r="AB617" i="22"/>
  <c r="D618" i="22"/>
  <c r="M618" i="22"/>
  <c r="X618" i="22"/>
  <c r="AI618" i="22"/>
  <c r="K619" i="22"/>
  <c r="AF619" i="22"/>
  <c r="G621" i="22"/>
  <c r="A621" i="22" s="1"/>
  <c r="C621" i="22" s="1"/>
  <c r="O621" i="22"/>
  <c r="AB621" i="22"/>
  <c r="D622" i="22"/>
  <c r="M622" i="22"/>
  <c r="X622" i="22"/>
  <c r="K623" i="22"/>
  <c r="AF623" i="22"/>
  <c r="I624" i="22"/>
  <c r="Q624" i="22"/>
  <c r="AM624" i="22"/>
  <c r="G625" i="22"/>
  <c r="A625" i="22" s="1"/>
  <c r="C625" i="22" s="1"/>
  <c r="O625" i="22"/>
  <c r="AB625" i="22"/>
  <c r="D626" i="22"/>
  <c r="M626" i="22"/>
  <c r="X626" i="22"/>
  <c r="K627" i="22"/>
  <c r="AF627" i="22"/>
  <c r="I628" i="22"/>
  <c r="Q628" i="22"/>
  <c r="AM628" i="22"/>
  <c r="G629" i="22"/>
  <c r="A629" i="22" s="1"/>
  <c r="C629" i="22" s="1"/>
  <c r="O629" i="22"/>
  <c r="AB629" i="22"/>
  <c r="D630" i="22"/>
  <c r="M630" i="22"/>
  <c r="X630" i="22"/>
  <c r="K631" i="22"/>
  <c r="AF631" i="22"/>
  <c r="I632" i="22"/>
  <c r="Q632" i="22"/>
  <c r="AM632" i="22"/>
  <c r="G633" i="22"/>
  <c r="A633" i="22" s="1"/>
  <c r="C633" i="22" s="1"/>
  <c r="O633" i="22"/>
  <c r="AB633" i="22"/>
  <c r="D634" i="22"/>
  <c r="M634" i="22"/>
  <c r="X634" i="22"/>
  <c r="K635" i="22"/>
  <c r="AF635" i="22"/>
  <c r="I636" i="22"/>
  <c r="Q636" i="22"/>
  <c r="AM636" i="22"/>
  <c r="G637" i="22"/>
  <c r="A637" i="22" s="1"/>
  <c r="C637" i="22" s="1"/>
  <c r="O637" i="22"/>
  <c r="AB637" i="22"/>
  <c r="AK637" i="22"/>
  <c r="AK639" i="22"/>
  <c r="AB639" i="22"/>
  <c r="O639" i="22"/>
  <c r="G639" i="22"/>
  <c r="A639" i="22" s="1"/>
  <c r="C639" i="22" s="1"/>
  <c r="AA639" i="22"/>
  <c r="N639" i="22"/>
  <c r="M639" i="22"/>
  <c r="AO639" i="22"/>
  <c r="K640" i="22"/>
  <c r="AB640" i="22"/>
  <c r="AM640" i="22"/>
  <c r="K642" i="22"/>
  <c r="AB642" i="22"/>
  <c r="K644" i="22"/>
  <c r="AC644" i="22"/>
  <c r="G646" i="22"/>
  <c r="A646" i="22" s="1"/>
  <c r="C646" i="22" s="1"/>
  <c r="AH646" i="22"/>
  <c r="O648" i="22"/>
  <c r="AO648" i="22"/>
  <c r="AF654" i="22"/>
  <c r="AJ672" i="22"/>
  <c r="AD672" i="22"/>
  <c r="L575" i="22"/>
  <c r="T575" i="22"/>
  <c r="L579" i="22"/>
  <c r="T579" i="22"/>
  <c r="L583" i="22"/>
  <c r="T583" i="22"/>
  <c r="N602" i="22"/>
  <c r="N606" i="22"/>
  <c r="N610" i="22"/>
  <c r="N614" i="22"/>
  <c r="N618" i="22"/>
  <c r="J624" i="22"/>
  <c r="AE624" i="22"/>
  <c r="AN624" i="22"/>
  <c r="J628" i="22"/>
  <c r="AE628" i="22"/>
  <c r="AN628" i="22"/>
  <c r="J632" i="22"/>
  <c r="AE632" i="22"/>
  <c r="AN632" i="22"/>
  <c r="J636" i="22"/>
  <c r="AE636" i="22"/>
  <c r="AN636" i="22"/>
  <c r="N640" i="22"/>
  <c r="AC640" i="22"/>
  <c r="L642" i="22"/>
  <c r="AE642" i="22"/>
  <c r="N644" i="22"/>
  <c r="AE644" i="22"/>
  <c r="AJ701" i="22"/>
  <c r="AD701" i="22"/>
  <c r="K624" i="22"/>
  <c r="AF624" i="22"/>
  <c r="K628" i="22"/>
  <c r="AF628" i="22"/>
  <c r="K632" i="22"/>
  <c r="AF632" i="22"/>
  <c r="K636" i="22"/>
  <c r="AF636" i="22"/>
  <c r="AI640" i="22"/>
  <c r="X640" i="22"/>
  <c r="M640" i="22"/>
  <c r="D640" i="22"/>
  <c r="AH640" i="22"/>
  <c r="T640" i="22"/>
  <c r="L640" i="22"/>
  <c r="O640" i="22"/>
  <c r="AO640" i="22"/>
  <c r="AD643" i="22"/>
  <c r="AN654" i="22"/>
  <c r="AE654" i="22"/>
  <c r="J654" i="22"/>
  <c r="AM654" i="22"/>
  <c r="Q654" i="22"/>
  <c r="I654" i="22"/>
  <c r="AL654" i="22"/>
  <c r="AC654" i="22"/>
  <c r="P654" i="22"/>
  <c r="H654" i="22"/>
  <c r="AK654" i="22"/>
  <c r="AB654" i="22"/>
  <c r="O654" i="22"/>
  <c r="G654" i="22"/>
  <c r="A654" i="22" s="1"/>
  <c r="C654" i="22" s="1"/>
  <c r="AA654" i="22"/>
  <c r="N654" i="22"/>
  <c r="AI654" i="22"/>
  <c r="X654" i="22"/>
  <c r="M654" i="22"/>
  <c r="D654" i="22"/>
  <c r="AO654" i="22"/>
  <c r="AD713" i="22"/>
  <c r="AJ713" i="22"/>
  <c r="AB641" i="22"/>
  <c r="AK641" i="22"/>
  <c r="K643" i="22"/>
  <c r="AF643" i="22"/>
  <c r="AO643" i="22"/>
  <c r="G645" i="22"/>
  <c r="A645" i="22" s="1"/>
  <c r="C645" i="22" s="1"/>
  <c r="O645" i="22"/>
  <c r="AB645" i="22"/>
  <c r="AK645" i="22"/>
  <c r="K647" i="22"/>
  <c r="AF647" i="22"/>
  <c r="AO647" i="22"/>
  <c r="G649" i="22"/>
  <c r="A649" i="22" s="1"/>
  <c r="C649" i="22" s="1"/>
  <c r="O649" i="22"/>
  <c r="AB649" i="22"/>
  <c r="AK649" i="22"/>
  <c r="K651" i="22"/>
  <c r="AF651" i="22"/>
  <c r="AO651" i="22"/>
  <c r="I652" i="22"/>
  <c r="Q652" i="22"/>
  <c r="AM652" i="22"/>
  <c r="G653" i="22"/>
  <c r="A653" i="22" s="1"/>
  <c r="C653" i="22" s="1"/>
  <c r="O653" i="22"/>
  <c r="AB653" i="22"/>
  <c r="AK653" i="22"/>
  <c r="K655" i="22"/>
  <c r="AF655" i="22"/>
  <c r="AO655" i="22"/>
  <c r="I656" i="22"/>
  <c r="Q656" i="22"/>
  <c r="AM656" i="22"/>
  <c r="G657" i="22"/>
  <c r="A657" i="22" s="1"/>
  <c r="C657" i="22" s="1"/>
  <c r="O657" i="22"/>
  <c r="AB657" i="22"/>
  <c r="AK657" i="22"/>
  <c r="K659" i="22"/>
  <c r="AF659" i="22"/>
  <c r="AO659" i="22"/>
  <c r="I660" i="22"/>
  <c r="Q660" i="22"/>
  <c r="AM660" i="22"/>
  <c r="G661" i="22"/>
  <c r="A661" i="22" s="1"/>
  <c r="C661" i="22" s="1"/>
  <c r="O661" i="22"/>
  <c r="AB661" i="22"/>
  <c r="AK661" i="22"/>
  <c r="D662" i="22"/>
  <c r="M662" i="22"/>
  <c r="X662" i="22"/>
  <c r="AI662" i="22"/>
  <c r="K663" i="22"/>
  <c r="AF663" i="22"/>
  <c r="AO663" i="22"/>
  <c r="I664" i="22"/>
  <c r="Q664" i="22"/>
  <c r="AM664" i="22"/>
  <c r="G665" i="22"/>
  <c r="A665" i="22" s="1"/>
  <c r="C665" i="22" s="1"/>
  <c r="O665" i="22"/>
  <c r="AB665" i="22"/>
  <c r="AK665" i="22"/>
  <c r="D666" i="22"/>
  <c r="M666" i="22"/>
  <c r="X666" i="22"/>
  <c r="AI666" i="22"/>
  <c r="K667" i="22"/>
  <c r="AF667" i="22"/>
  <c r="AO667" i="22"/>
  <c r="I668" i="22"/>
  <c r="Q668" i="22"/>
  <c r="AM668" i="22"/>
  <c r="G669" i="22"/>
  <c r="A669" i="22" s="1"/>
  <c r="C669" i="22" s="1"/>
  <c r="O669" i="22"/>
  <c r="AB669" i="22"/>
  <c r="AK669" i="22"/>
  <c r="D670" i="22"/>
  <c r="M670" i="22"/>
  <c r="X670" i="22"/>
  <c r="AI670" i="22"/>
  <c r="K671" i="22"/>
  <c r="AF671" i="22"/>
  <c r="AO671" i="22"/>
  <c r="I672" i="22"/>
  <c r="Q672" i="22"/>
  <c r="AM672" i="22"/>
  <c r="G673" i="22"/>
  <c r="A673" i="22" s="1"/>
  <c r="C673" i="22" s="1"/>
  <c r="O673" i="22"/>
  <c r="AB673" i="22"/>
  <c r="AK673" i="22"/>
  <c r="D674" i="22"/>
  <c r="M674" i="22"/>
  <c r="X674" i="22"/>
  <c r="AI674" i="22"/>
  <c r="K675" i="22"/>
  <c r="AF675" i="22"/>
  <c r="AO675" i="22"/>
  <c r="I676" i="22"/>
  <c r="Q676" i="22"/>
  <c r="AM676" i="22"/>
  <c r="O677" i="22"/>
  <c r="AB677" i="22"/>
  <c r="AK677" i="22"/>
  <c r="D678" i="22"/>
  <c r="M678" i="22"/>
  <c r="X678" i="22"/>
  <c r="AI678" i="22"/>
  <c r="K679" i="22"/>
  <c r="AF679" i="22"/>
  <c r="AO679" i="22"/>
  <c r="AM680" i="22"/>
  <c r="AB681" i="22"/>
  <c r="AK681" i="22"/>
  <c r="D682" i="22"/>
  <c r="M682" i="22"/>
  <c r="X682" i="22"/>
  <c r="AI682" i="22"/>
  <c r="AO683" i="22"/>
  <c r="AF683" i="22"/>
  <c r="AN683" i="22"/>
  <c r="AE683" i="22"/>
  <c r="AM683" i="22"/>
  <c r="K683" i="22"/>
  <c r="T683" i="22"/>
  <c r="AK683" i="22"/>
  <c r="K684" i="22"/>
  <c r="AA684" i="22"/>
  <c r="P685" i="22"/>
  <c r="J688" i="22"/>
  <c r="X688" i="22"/>
  <c r="AO688" i="22"/>
  <c r="K696" i="22"/>
  <c r="K704" i="22"/>
  <c r="AD763" i="22"/>
  <c r="AJ763" i="22"/>
  <c r="J652" i="22"/>
  <c r="AE652" i="22"/>
  <c r="AN652" i="22"/>
  <c r="N662" i="22"/>
  <c r="AA662" i="22"/>
  <c r="J664" i="22"/>
  <c r="AE664" i="22"/>
  <c r="AN664" i="22"/>
  <c r="N666" i="22"/>
  <c r="AA666" i="22"/>
  <c r="J668" i="22"/>
  <c r="AE668" i="22"/>
  <c r="AN668" i="22"/>
  <c r="N670" i="22"/>
  <c r="AA670" i="22"/>
  <c r="J672" i="22"/>
  <c r="AE672" i="22"/>
  <c r="AN672" i="22"/>
  <c r="N674" i="22"/>
  <c r="AA674" i="22"/>
  <c r="J676" i="22"/>
  <c r="AE676" i="22"/>
  <c r="AN676" i="22"/>
  <c r="N678" i="22"/>
  <c r="AA678" i="22"/>
  <c r="N682" i="22"/>
  <c r="AA682" i="22"/>
  <c r="AK685" i="22"/>
  <c r="AB685" i="22"/>
  <c r="O685" i="22"/>
  <c r="G685" i="22"/>
  <c r="A685" i="22" s="1"/>
  <c r="C685" i="22" s="1"/>
  <c r="AA685" i="22"/>
  <c r="N685" i="22"/>
  <c r="AI685" i="22"/>
  <c r="X685" i="22"/>
  <c r="M685" i="22"/>
  <c r="D685" i="22"/>
  <c r="Q685" i="22"/>
  <c r="AH685" i="22"/>
  <c r="AI700" i="22"/>
  <c r="X700" i="22"/>
  <c r="M700" i="22"/>
  <c r="D700" i="22"/>
  <c r="AN700" i="22"/>
  <c r="AE700" i="22"/>
  <c r="J700" i="22"/>
  <c r="AM700" i="22"/>
  <c r="Q700" i="22"/>
  <c r="I700" i="22"/>
  <c r="AL700" i="22"/>
  <c r="AC700" i="22"/>
  <c r="P700" i="22"/>
  <c r="H700" i="22"/>
  <c r="AK700" i="22"/>
  <c r="AB700" i="22"/>
  <c r="O700" i="22"/>
  <c r="G700" i="22"/>
  <c r="A700" i="22" s="1"/>
  <c r="C700" i="22" s="1"/>
  <c r="AA700" i="22"/>
  <c r="K652" i="22"/>
  <c r="AF652" i="22"/>
  <c r="AO652" i="22"/>
  <c r="K656" i="22"/>
  <c r="AF656" i="22"/>
  <c r="AO656" i="22"/>
  <c r="K660" i="22"/>
  <c r="AF660" i="22"/>
  <c r="AO660" i="22"/>
  <c r="G662" i="22"/>
  <c r="A662" i="22" s="1"/>
  <c r="C662" i="22" s="1"/>
  <c r="O662" i="22"/>
  <c r="AB662" i="22"/>
  <c r="AK662" i="22"/>
  <c r="K664" i="22"/>
  <c r="AF664" i="22"/>
  <c r="AO664" i="22"/>
  <c r="G666" i="22"/>
  <c r="A666" i="22" s="1"/>
  <c r="C666" i="22" s="1"/>
  <c r="O666" i="22"/>
  <c r="AB666" i="22"/>
  <c r="AK666" i="22"/>
  <c r="K668" i="22"/>
  <c r="AF668" i="22"/>
  <c r="AO668" i="22"/>
  <c r="G670" i="22"/>
  <c r="A670" i="22" s="1"/>
  <c r="C670" i="22" s="1"/>
  <c r="O670" i="22"/>
  <c r="AB670" i="22"/>
  <c r="AK670" i="22"/>
  <c r="K672" i="22"/>
  <c r="AF672" i="22"/>
  <c r="AO672" i="22"/>
  <c r="G674" i="22"/>
  <c r="A674" i="22" s="1"/>
  <c r="C674" i="22" s="1"/>
  <c r="O674" i="22"/>
  <c r="AB674" i="22"/>
  <c r="AK674" i="22"/>
  <c r="K676" i="22"/>
  <c r="AF676" i="22"/>
  <c r="AO676" i="22"/>
  <c r="I677" i="22"/>
  <c r="Q677" i="22"/>
  <c r="AM677" i="22"/>
  <c r="G678" i="22"/>
  <c r="A678" i="22" s="1"/>
  <c r="C678" i="22" s="1"/>
  <c r="O678" i="22"/>
  <c r="AB678" i="22"/>
  <c r="AK678" i="22"/>
  <c r="D679" i="22"/>
  <c r="M679" i="22"/>
  <c r="X679" i="22"/>
  <c r="AI679" i="22"/>
  <c r="K680" i="22"/>
  <c r="AF680" i="22"/>
  <c r="AO680" i="22"/>
  <c r="I681" i="22"/>
  <c r="Q681" i="22"/>
  <c r="AM681" i="22"/>
  <c r="G682" i="22"/>
  <c r="A682" i="22" s="1"/>
  <c r="C682" i="22" s="1"/>
  <c r="O682" i="22"/>
  <c r="AB682" i="22"/>
  <c r="AK682" i="22"/>
  <c r="D683" i="22"/>
  <c r="M683" i="22"/>
  <c r="AA683" i="22"/>
  <c r="M684" i="22"/>
  <c r="AL685" i="22"/>
  <c r="L688" i="22"/>
  <c r="AE688" i="22"/>
  <c r="AI692" i="22"/>
  <c r="X692" i="22"/>
  <c r="M692" i="22"/>
  <c r="D692" i="22"/>
  <c r="AN692" i="22"/>
  <c r="AE692" i="22"/>
  <c r="J692" i="22"/>
  <c r="AM692" i="22"/>
  <c r="Q692" i="22"/>
  <c r="I692" i="22"/>
  <c r="AL692" i="22"/>
  <c r="AC692" i="22"/>
  <c r="P692" i="22"/>
  <c r="H692" i="22"/>
  <c r="AK692" i="22"/>
  <c r="AB692" i="22"/>
  <c r="O692" i="22"/>
  <c r="G692" i="22"/>
  <c r="A692" i="22" s="1"/>
  <c r="C692" i="22" s="1"/>
  <c r="AA692" i="22"/>
  <c r="N696" i="22"/>
  <c r="AF700" i="22"/>
  <c r="N704" i="22"/>
  <c r="J641" i="22"/>
  <c r="AE641" i="22"/>
  <c r="AN641" i="22"/>
  <c r="N643" i="22"/>
  <c r="J645" i="22"/>
  <c r="AE645" i="22"/>
  <c r="AN645" i="22"/>
  <c r="N647" i="22"/>
  <c r="J649" i="22"/>
  <c r="AE649" i="22"/>
  <c r="AN649" i="22"/>
  <c r="N651" i="22"/>
  <c r="L652" i="22"/>
  <c r="T652" i="22"/>
  <c r="AH652" i="22"/>
  <c r="J653" i="22"/>
  <c r="AE653" i="22"/>
  <c r="AN653" i="22"/>
  <c r="N655" i="22"/>
  <c r="L656" i="22"/>
  <c r="T656" i="22"/>
  <c r="AH656" i="22"/>
  <c r="J657" i="22"/>
  <c r="AE657" i="22"/>
  <c r="AN657" i="22"/>
  <c r="N659" i="22"/>
  <c r="L660" i="22"/>
  <c r="T660" i="22"/>
  <c r="AH660" i="22"/>
  <c r="J661" i="22"/>
  <c r="AE661" i="22"/>
  <c r="AN661" i="22"/>
  <c r="H662" i="22"/>
  <c r="P662" i="22"/>
  <c r="AC662" i="22"/>
  <c r="AL662" i="22"/>
  <c r="N663" i="22"/>
  <c r="L664" i="22"/>
  <c r="T664" i="22"/>
  <c r="AH664" i="22"/>
  <c r="J665" i="22"/>
  <c r="AE665" i="22"/>
  <c r="AN665" i="22"/>
  <c r="H666" i="22"/>
  <c r="P666" i="22"/>
  <c r="AC666" i="22"/>
  <c r="AL666" i="22"/>
  <c r="N667" i="22"/>
  <c r="AA667" i="22"/>
  <c r="L668" i="22"/>
  <c r="T668" i="22"/>
  <c r="AH668" i="22"/>
  <c r="J669" i="22"/>
  <c r="AE669" i="22"/>
  <c r="AN669" i="22"/>
  <c r="H670" i="22"/>
  <c r="P670" i="22"/>
  <c r="AC670" i="22"/>
  <c r="AL670" i="22"/>
  <c r="N671" i="22"/>
  <c r="AA671" i="22"/>
  <c r="L672" i="22"/>
  <c r="T672" i="22"/>
  <c r="AH672" i="22"/>
  <c r="J673" i="22"/>
  <c r="AE673" i="22"/>
  <c r="AN673" i="22"/>
  <c r="H674" i="22"/>
  <c r="P674" i="22"/>
  <c r="AC674" i="22"/>
  <c r="AL674" i="22"/>
  <c r="N675" i="22"/>
  <c r="AA675" i="22"/>
  <c r="L676" i="22"/>
  <c r="T676" i="22"/>
  <c r="AH676" i="22"/>
  <c r="J677" i="22"/>
  <c r="AE677" i="22"/>
  <c r="AN677" i="22"/>
  <c r="H678" i="22"/>
  <c r="P678" i="22"/>
  <c r="AC678" i="22"/>
  <c r="AL678" i="22"/>
  <c r="N679" i="22"/>
  <c r="AA679" i="22"/>
  <c r="H682" i="22"/>
  <c r="P682" i="22"/>
  <c r="AC682" i="22"/>
  <c r="AL682" i="22"/>
  <c r="AB683" i="22"/>
  <c r="AM684" i="22"/>
  <c r="Q684" i="22"/>
  <c r="I684" i="22"/>
  <c r="AL684" i="22"/>
  <c r="AC684" i="22"/>
  <c r="P684" i="22"/>
  <c r="H684" i="22"/>
  <c r="AK684" i="22"/>
  <c r="AB684" i="22"/>
  <c r="O684" i="22"/>
  <c r="G684" i="22"/>
  <c r="A684" i="22" s="1"/>
  <c r="C684" i="22" s="1"/>
  <c r="N684" i="22"/>
  <c r="AH684" i="22"/>
  <c r="H685" i="22"/>
  <c r="AM685" i="22"/>
  <c r="M688" i="22"/>
  <c r="AH700" i="22"/>
  <c r="AD710" i="22"/>
  <c r="AJ710" i="22"/>
  <c r="AJ746" i="22"/>
  <c r="AJ749" i="22"/>
  <c r="AD749" i="22"/>
  <c r="AD759" i="22"/>
  <c r="AJ759" i="22"/>
  <c r="AD762" i="22"/>
  <c r="AJ762" i="22"/>
  <c r="K641" i="22"/>
  <c r="AF641" i="22"/>
  <c r="K645" i="22"/>
  <c r="AF645" i="22"/>
  <c r="K649" i="22"/>
  <c r="AF649" i="22"/>
  <c r="D652" i="22"/>
  <c r="M652" i="22"/>
  <c r="X652" i="22"/>
  <c r="AI652" i="22"/>
  <c r="K653" i="22"/>
  <c r="AF653" i="22"/>
  <c r="D656" i="22"/>
  <c r="M656" i="22"/>
  <c r="X656" i="22"/>
  <c r="AI656" i="22"/>
  <c r="K657" i="22"/>
  <c r="AF657" i="22"/>
  <c r="D660" i="22"/>
  <c r="M660" i="22"/>
  <c r="X660" i="22"/>
  <c r="AI660" i="22"/>
  <c r="K661" i="22"/>
  <c r="AF661" i="22"/>
  <c r="I662" i="22"/>
  <c r="Q662" i="22"/>
  <c r="AM662" i="22"/>
  <c r="D664" i="22"/>
  <c r="M664" i="22"/>
  <c r="X664" i="22"/>
  <c r="AI664" i="22"/>
  <c r="K665" i="22"/>
  <c r="AF665" i="22"/>
  <c r="I666" i="22"/>
  <c r="Q666" i="22"/>
  <c r="AM666" i="22"/>
  <c r="AB667" i="22"/>
  <c r="D668" i="22"/>
  <c r="M668" i="22"/>
  <c r="X668" i="22"/>
  <c r="AI668" i="22"/>
  <c r="K669" i="22"/>
  <c r="AF669" i="22"/>
  <c r="I670" i="22"/>
  <c r="Q670" i="22"/>
  <c r="AM670" i="22"/>
  <c r="G671" i="22"/>
  <c r="A671" i="22" s="1"/>
  <c r="C671" i="22" s="1"/>
  <c r="O671" i="22"/>
  <c r="AB671" i="22"/>
  <c r="D672" i="22"/>
  <c r="M672" i="22"/>
  <c r="X672" i="22"/>
  <c r="AI672" i="22"/>
  <c r="K673" i="22"/>
  <c r="AF673" i="22"/>
  <c r="I674" i="22"/>
  <c r="Q674" i="22"/>
  <c r="AM674" i="22"/>
  <c r="G675" i="22"/>
  <c r="A675" i="22" s="1"/>
  <c r="C675" i="22" s="1"/>
  <c r="O675" i="22"/>
  <c r="AB675" i="22"/>
  <c r="D676" i="22"/>
  <c r="M676" i="22"/>
  <c r="X676" i="22"/>
  <c r="AI676" i="22"/>
  <c r="K677" i="22"/>
  <c r="AF677" i="22"/>
  <c r="I678" i="22"/>
  <c r="Q678" i="22"/>
  <c r="AM678" i="22"/>
  <c r="G679" i="22"/>
  <c r="A679" i="22" s="1"/>
  <c r="C679" i="22" s="1"/>
  <c r="O679" i="22"/>
  <c r="AB679" i="22"/>
  <c r="D680" i="22"/>
  <c r="M680" i="22"/>
  <c r="X680" i="22"/>
  <c r="K681" i="22"/>
  <c r="AF681" i="22"/>
  <c r="I682" i="22"/>
  <c r="Q682" i="22"/>
  <c r="AM682" i="22"/>
  <c r="G683" i="22"/>
  <c r="A683" i="22" s="1"/>
  <c r="C683" i="22" s="1"/>
  <c r="O683" i="22"/>
  <c r="AC683" i="22"/>
  <c r="AI684" i="22"/>
  <c r="I685" i="22"/>
  <c r="T685" i="22"/>
  <c r="AN685" i="22"/>
  <c r="AM688" i="22"/>
  <c r="Q688" i="22"/>
  <c r="I688" i="22"/>
  <c r="AL688" i="22"/>
  <c r="AC688" i="22"/>
  <c r="P688" i="22"/>
  <c r="H688" i="22"/>
  <c r="AK688" i="22"/>
  <c r="AB688" i="22"/>
  <c r="O688" i="22"/>
  <c r="G688" i="22"/>
  <c r="A688" i="22" s="1"/>
  <c r="C688" i="22" s="1"/>
  <c r="N688" i="22"/>
  <c r="AH688" i="22"/>
  <c r="K700" i="22"/>
  <c r="AD709" i="22"/>
  <c r="AJ709" i="22"/>
  <c r="N652" i="22"/>
  <c r="N656" i="22"/>
  <c r="N660" i="22"/>
  <c r="J662" i="22"/>
  <c r="AE662" i="22"/>
  <c r="AN662" i="22"/>
  <c r="N664" i="22"/>
  <c r="J666" i="22"/>
  <c r="AE666" i="22"/>
  <c r="AN666" i="22"/>
  <c r="N668" i="22"/>
  <c r="J670" i="22"/>
  <c r="AE670" i="22"/>
  <c r="AN670" i="22"/>
  <c r="N672" i="22"/>
  <c r="J674" i="22"/>
  <c r="AE674" i="22"/>
  <c r="AN674" i="22"/>
  <c r="N676" i="22"/>
  <c r="J678" i="22"/>
  <c r="AE678" i="22"/>
  <c r="AN678" i="22"/>
  <c r="J682" i="22"/>
  <c r="AE682" i="22"/>
  <c r="AN682" i="22"/>
  <c r="J685" i="22"/>
  <c r="AC685" i="22"/>
  <c r="AO685" i="22"/>
  <c r="AI696" i="22"/>
  <c r="X696" i="22"/>
  <c r="M696" i="22"/>
  <c r="D696" i="22"/>
  <c r="AN696" i="22"/>
  <c r="AE696" i="22"/>
  <c r="J696" i="22"/>
  <c r="AM696" i="22"/>
  <c r="Q696" i="22"/>
  <c r="I696" i="22"/>
  <c r="AL696" i="22"/>
  <c r="AC696" i="22"/>
  <c r="P696" i="22"/>
  <c r="H696" i="22"/>
  <c r="AK696" i="22"/>
  <c r="AB696" i="22"/>
  <c r="O696" i="22"/>
  <c r="G696" i="22"/>
  <c r="A696" i="22" s="1"/>
  <c r="C696" i="22" s="1"/>
  <c r="AA696" i="22"/>
  <c r="L700" i="22"/>
  <c r="AO700" i="22"/>
  <c r="AI704" i="22"/>
  <c r="X704" i="22"/>
  <c r="M704" i="22"/>
  <c r="D704" i="22"/>
  <c r="AN704" i="22"/>
  <c r="AE704" i="22"/>
  <c r="J704" i="22"/>
  <c r="AM704" i="22"/>
  <c r="Q704" i="22"/>
  <c r="I704" i="22"/>
  <c r="AL704" i="22"/>
  <c r="AC704" i="22"/>
  <c r="P704" i="22"/>
  <c r="H704" i="22"/>
  <c r="AK704" i="22"/>
  <c r="AB704" i="22"/>
  <c r="O704" i="22"/>
  <c r="G704" i="22"/>
  <c r="A704" i="22" s="1"/>
  <c r="C704" i="22" s="1"/>
  <c r="AA704" i="22"/>
  <c r="K662" i="22"/>
  <c r="AF662" i="22"/>
  <c r="K666" i="22"/>
  <c r="AF666" i="22"/>
  <c r="K670" i="22"/>
  <c r="AF670" i="22"/>
  <c r="K674" i="22"/>
  <c r="AF674" i="22"/>
  <c r="K678" i="22"/>
  <c r="AF678" i="22"/>
  <c r="K682" i="22"/>
  <c r="AF682" i="22"/>
  <c r="K686" i="22"/>
  <c r="AF686" i="22"/>
  <c r="AO686" i="22"/>
  <c r="I687" i="22"/>
  <c r="Q687" i="22"/>
  <c r="AM687" i="22"/>
  <c r="D689" i="22"/>
  <c r="M689" i="22"/>
  <c r="X689" i="22"/>
  <c r="AI689" i="22"/>
  <c r="K690" i="22"/>
  <c r="AF690" i="22"/>
  <c r="AO690" i="22"/>
  <c r="I691" i="22"/>
  <c r="Q691" i="22"/>
  <c r="AM691" i="22"/>
  <c r="D693" i="22"/>
  <c r="M693" i="22"/>
  <c r="X693" i="22"/>
  <c r="AI693" i="22"/>
  <c r="K694" i="22"/>
  <c r="AF694" i="22"/>
  <c r="AO694" i="22"/>
  <c r="I695" i="22"/>
  <c r="Q695" i="22"/>
  <c r="AM695" i="22"/>
  <c r="D697" i="22"/>
  <c r="M697" i="22"/>
  <c r="X697" i="22"/>
  <c r="AI697" i="22"/>
  <c r="K698" i="22"/>
  <c r="AF698" i="22"/>
  <c r="AO698" i="22"/>
  <c r="I699" i="22"/>
  <c r="Q699" i="22"/>
  <c r="AM699" i="22"/>
  <c r="D701" i="22"/>
  <c r="M701" i="22"/>
  <c r="X701" i="22"/>
  <c r="AI701" i="22"/>
  <c r="K702" i="22"/>
  <c r="AF702" i="22"/>
  <c r="AO702" i="22"/>
  <c r="I703" i="22"/>
  <c r="Q703" i="22"/>
  <c r="AM703" i="22"/>
  <c r="D705" i="22"/>
  <c r="M705" i="22"/>
  <c r="X705" i="22"/>
  <c r="AI705" i="22"/>
  <c r="K706" i="22"/>
  <c r="AF706" i="22"/>
  <c r="AO706" i="22"/>
  <c r="I707" i="22"/>
  <c r="Q707" i="22"/>
  <c r="AM707" i="22"/>
  <c r="G708" i="22"/>
  <c r="A708" i="22" s="1"/>
  <c r="C708" i="22" s="1"/>
  <c r="O708" i="22"/>
  <c r="AB708" i="22"/>
  <c r="AK708" i="22"/>
  <c r="D709" i="22"/>
  <c r="M709" i="22"/>
  <c r="X709" i="22"/>
  <c r="AI709" i="22"/>
  <c r="K710" i="22"/>
  <c r="AF710" i="22"/>
  <c r="AO710" i="22"/>
  <c r="I711" i="22"/>
  <c r="Q711" i="22"/>
  <c r="AM711" i="22"/>
  <c r="G712" i="22"/>
  <c r="A712" i="22" s="1"/>
  <c r="C712" i="22" s="1"/>
  <c r="O712" i="22"/>
  <c r="AB712" i="22"/>
  <c r="AK712" i="22"/>
  <c r="D713" i="22"/>
  <c r="M713" i="22"/>
  <c r="X713" i="22"/>
  <c r="AI713" i="22"/>
  <c r="K714" i="22"/>
  <c r="AF714" i="22"/>
  <c r="AO714" i="22"/>
  <c r="I715" i="22"/>
  <c r="Q715" i="22"/>
  <c r="AM715" i="22"/>
  <c r="G716" i="22"/>
  <c r="A716" i="22" s="1"/>
  <c r="C716" i="22" s="1"/>
  <c r="O716" i="22"/>
  <c r="AB716" i="22"/>
  <c r="AK716" i="22"/>
  <c r="D717" i="22"/>
  <c r="M717" i="22"/>
  <c r="X717" i="22"/>
  <c r="AI717" i="22"/>
  <c r="K718" i="22"/>
  <c r="AF718" i="22"/>
  <c r="AO718" i="22"/>
  <c r="I719" i="22"/>
  <c r="Q719" i="22"/>
  <c r="AM719" i="22"/>
  <c r="G720" i="22"/>
  <c r="A720" i="22" s="1"/>
  <c r="C720" i="22" s="1"/>
  <c r="O720" i="22"/>
  <c r="AB720" i="22"/>
  <c r="AK720" i="22"/>
  <c r="D721" i="22"/>
  <c r="M721" i="22"/>
  <c r="X721" i="22"/>
  <c r="AI721" i="22"/>
  <c r="K722" i="22"/>
  <c r="AF722" i="22"/>
  <c r="AO722" i="22"/>
  <c r="I723" i="22"/>
  <c r="Q723" i="22"/>
  <c r="AJ726" i="22"/>
  <c r="AJ754" i="22"/>
  <c r="AD779" i="22"/>
  <c r="AJ779" i="22"/>
  <c r="AN824" i="22"/>
  <c r="AE824" i="22"/>
  <c r="J824" i="22"/>
  <c r="AM824" i="22"/>
  <c r="Q824" i="22"/>
  <c r="I824" i="22"/>
  <c r="AL824" i="22"/>
  <c r="AC824" i="22"/>
  <c r="P824" i="22"/>
  <c r="H824" i="22"/>
  <c r="AK824" i="22"/>
  <c r="AB824" i="22"/>
  <c r="O824" i="22"/>
  <c r="G824" i="22"/>
  <c r="A824" i="22" s="1"/>
  <c r="C824" i="22" s="1"/>
  <c r="AA824" i="22"/>
  <c r="N824" i="22"/>
  <c r="AI824" i="22"/>
  <c r="X824" i="22"/>
  <c r="M824" i="22"/>
  <c r="D824" i="22"/>
  <c r="AH824" i="22"/>
  <c r="T824" i="22"/>
  <c r="L824" i="22"/>
  <c r="AO824" i="22"/>
  <c r="AF824" i="22"/>
  <c r="K824" i="22"/>
  <c r="L686" i="22"/>
  <c r="T686" i="22"/>
  <c r="AH686" i="22"/>
  <c r="J687" i="22"/>
  <c r="AE687" i="22"/>
  <c r="AN687" i="22"/>
  <c r="N689" i="22"/>
  <c r="AA689" i="22"/>
  <c r="L690" i="22"/>
  <c r="T690" i="22"/>
  <c r="AH690" i="22"/>
  <c r="J691" i="22"/>
  <c r="AE691" i="22"/>
  <c r="AN691" i="22"/>
  <c r="N693" i="22"/>
  <c r="AA693" i="22"/>
  <c r="L694" i="22"/>
  <c r="T694" i="22"/>
  <c r="AH694" i="22"/>
  <c r="J695" i="22"/>
  <c r="AE695" i="22"/>
  <c r="AN695" i="22"/>
  <c r="J699" i="22"/>
  <c r="AE699" i="22"/>
  <c r="AN699" i="22"/>
  <c r="J703" i="22"/>
  <c r="AE703" i="22"/>
  <c r="AN703" i="22"/>
  <c r="J707" i="22"/>
  <c r="AE707" i="22"/>
  <c r="AN707" i="22"/>
  <c r="H708" i="22"/>
  <c r="P708" i="22"/>
  <c r="AC708" i="22"/>
  <c r="AL708" i="22"/>
  <c r="J711" i="22"/>
  <c r="AE711" i="22"/>
  <c r="AN711" i="22"/>
  <c r="AE715" i="22"/>
  <c r="AN715" i="22"/>
  <c r="AD728" i="22"/>
  <c r="AJ728" i="22"/>
  <c r="AJ729" i="22"/>
  <c r="AD729" i="22"/>
  <c r="X686" i="22"/>
  <c r="K687" i="22"/>
  <c r="AF687" i="22"/>
  <c r="G689" i="22"/>
  <c r="A689" i="22" s="1"/>
  <c r="C689" i="22" s="1"/>
  <c r="O689" i="22"/>
  <c r="AB689" i="22"/>
  <c r="AK689" i="22"/>
  <c r="K691" i="22"/>
  <c r="AF691" i="22"/>
  <c r="AO691" i="22"/>
  <c r="K695" i="22"/>
  <c r="AF695" i="22"/>
  <c r="AO695" i="22"/>
  <c r="K699" i="22"/>
  <c r="AF699" i="22"/>
  <c r="AO699" i="22"/>
  <c r="K703" i="22"/>
  <c r="AF703" i="22"/>
  <c r="AO703" i="22"/>
  <c r="K707" i="22"/>
  <c r="AF707" i="22"/>
  <c r="AO707" i="22"/>
  <c r="I708" i="22"/>
  <c r="Q708" i="22"/>
  <c r="AM708" i="22"/>
  <c r="K711" i="22"/>
  <c r="AF711" i="22"/>
  <c r="AO711" i="22"/>
  <c r="K715" i="22"/>
  <c r="AF715" i="22"/>
  <c r="AO715" i="22"/>
  <c r="K719" i="22"/>
  <c r="AF719" i="22"/>
  <c r="AO719" i="22"/>
  <c r="AO723" i="22"/>
  <c r="AF723" i="22"/>
  <c r="AN723" i="22"/>
  <c r="AM723" i="22"/>
  <c r="AL723" i="22"/>
  <c r="AK723" i="22"/>
  <c r="K723" i="22"/>
  <c r="AI723" i="22"/>
  <c r="AJ802" i="22"/>
  <c r="AD802" i="22"/>
  <c r="N694" i="22"/>
  <c r="AA694" i="22"/>
  <c r="L695" i="22"/>
  <c r="T695" i="22"/>
  <c r="AH695" i="22"/>
  <c r="H697" i="22"/>
  <c r="P697" i="22"/>
  <c r="AC697" i="22"/>
  <c r="AL697" i="22"/>
  <c r="N698" i="22"/>
  <c r="AA698" i="22"/>
  <c r="L699" i="22"/>
  <c r="T699" i="22"/>
  <c r="AH699" i="22"/>
  <c r="H701" i="22"/>
  <c r="P701" i="22"/>
  <c r="AC701" i="22"/>
  <c r="AL701" i="22"/>
  <c r="N702" i="22"/>
  <c r="AA702" i="22"/>
  <c r="L703" i="22"/>
  <c r="T703" i="22"/>
  <c r="AH703" i="22"/>
  <c r="H705" i="22"/>
  <c r="P705" i="22"/>
  <c r="AC705" i="22"/>
  <c r="AL705" i="22"/>
  <c r="N706" i="22"/>
  <c r="AA706" i="22"/>
  <c r="L707" i="22"/>
  <c r="T707" i="22"/>
  <c r="AH707" i="22"/>
  <c r="J708" i="22"/>
  <c r="AE708" i="22"/>
  <c r="AN708" i="22"/>
  <c r="H709" i="22"/>
  <c r="P709" i="22"/>
  <c r="AC709" i="22"/>
  <c r="AL709" i="22"/>
  <c r="N710" i="22"/>
  <c r="AA710" i="22"/>
  <c r="L711" i="22"/>
  <c r="T711" i="22"/>
  <c r="AH711" i="22"/>
  <c r="J712" i="22"/>
  <c r="AE712" i="22"/>
  <c r="AN712" i="22"/>
  <c r="H713" i="22"/>
  <c r="P713" i="22"/>
  <c r="AC713" i="22"/>
  <c r="AL713" i="22"/>
  <c r="N714" i="22"/>
  <c r="AA714" i="22"/>
  <c r="L715" i="22"/>
  <c r="T715" i="22"/>
  <c r="AH715" i="22"/>
  <c r="J716" i="22"/>
  <c r="AE716" i="22"/>
  <c r="AN716" i="22"/>
  <c r="H717" i="22"/>
  <c r="P717" i="22"/>
  <c r="AC717" i="22"/>
  <c r="AL717" i="22"/>
  <c r="N718" i="22"/>
  <c r="AA718" i="22"/>
  <c r="L719" i="22"/>
  <c r="T719" i="22"/>
  <c r="AH719" i="22"/>
  <c r="J720" i="22"/>
  <c r="AE720" i="22"/>
  <c r="AN720" i="22"/>
  <c r="H721" i="22"/>
  <c r="P721" i="22"/>
  <c r="AC721" i="22"/>
  <c r="AL721" i="22"/>
  <c r="N722" i="22"/>
  <c r="AA722" i="22"/>
  <c r="L723" i="22"/>
  <c r="T723" i="22"/>
  <c r="AJ782" i="22"/>
  <c r="AD782" i="22"/>
  <c r="K708" i="22"/>
  <c r="AF708" i="22"/>
  <c r="AO708" i="22"/>
  <c r="I709" i="22"/>
  <c r="Q709" i="22"/>
  <c r="AM709" i="22"/>
  <c r="O710" i="22"/>
  <c r="AB710" i="22"/>
  <c r="AK710" i="22"/>
  <c r="D711" i="22"/>
  <c r="M711" i="22"/>
  <c r="X711" i="22"/>
  <c r="AI711" i="22"/>
  <c r="K712" i="22"/>
  <c r="AF712" i="22"/>
  <c r="AO712" i="22"/>
  <c r="I713" i="22"/>
  <c r="Q713" i="22"/>
  <c r="AM713" i="22"/>
  <c r="G714" i="22"/>
  <c r="A714" i="22" s="1"/>
  <c r="C714" i="22" s="1"/>
  <c r="O714" i="22"/>
  <c r="AB714" i="22"/>
  <c r="AK714" i="22"/>
  <c r="D715" i="22"/>
  <c r="M715" i="22"/>
  <c r="X715" i="22"/>
  <c r="AI715" i="22"/>
  <c r="K716" i="22"/>
  <c r="AF716" i="22"/>
  <c r="AO716" i="22"/>
  <c r="I717" i="22"/>
  <c r="Q717" i="22"/>
  <c r="AM717" i="22"/>
  <c r="G718" i="22"/>
  <c r="A718" i="22" s="1"/>
  <c r="C718" i="22" s="1"/>
  <c r="O718" i="22"/>
  <c r="AB718" i="22"/>
  <c r="AK718" i="22"/>
  <c r="D719" i="22"/>
  <c r="M719" i="22"/>
  <c r="X719" i="22"/>
  <c r="AI719" i="22"/>
  <c r="K720" i="22"/>
  <c r="AF720" i="22"/>
  <c r="AO720" i="22"/>
  <c r="I721" i="22"/>
  <c r="Q721" i="22"/>
  <c r="AM721" i="22"/>
  <c r="G722" i="22"/>
  <c r="A722" i="22" s="1"/>
  <c r="C722" i="22" s="1"/>
  <c r="O722" i="22"/>
  <c r="AB722" i="22"/>
  <c r="AK722" i="22"/>
  <c r="D723" i="22"/>
  <c r="M723" i="22"/>
  <c r="X723" i="22"/>
  <c r="AM724" i="22"/>
  <c r="Q724" i="22"/>
  <c r="I724" i="22"/>
  <c r="AL724" i="22"/>
  <c r="AC724" i="22"/>
  <c r="P724" i="22"/>
  <c r="H724" i="22"/>
  <c r="AK724" i="22"/>
  <c r="AB724" i="22"/>
  <c r="O724" i="22"/>
  <c r="G724" i="22"/>
  <c r="A724" i="22" s="1"/>
  <c r="C724" i="22" s="1"/>
  <c r="AA724" i="22"/>
  <c r="N724" i="22"/>
  <c r="AI724" i="22"/>
  <c r="X724" i="22"/>
  <c r="M724" i="22"/>
  <c r="D724" i="22"/>
  <c r="AH724" i="22"/>
  <c r="T724" i="22"/>
  <c r="L724" i="22"/>
  <c r="AO724" i="22"/>
  <c r="AD755" i="22"/>
  <c r="AJ755" i="22"/>
  <c r="K689" i="22"/>
  <c r="AF689" i="22"/>
  <c r="G691" i="22"/>
  <c r="A691" i="22" s="1"/>
  <c r="C691" i="22" s="1"/>
  <c r="O691" i="22"/>
  <c r="AB691" i="22"/>
  <c r="K693" i="22"/>
  <c r="AF693" i="22"/>
  <c r="I694" i="22"/>
  <c r="Q694" i="22"/>
  <c r="G695" i="22"/>
  <c r="A695" i="22" s="1"/>
  <c r="C695" i="22" s="1"/>
  <c r="O695" i="22"/>
  <c r="AB695" i="22"/>
  <c r="K697" i="22"/>
  <c r="AF697" i="22"/>
  <c r="I698" i="22"/>
  <c r="Q698" i="22"/>
  <c r="G699" i="22"/>
  <c r="A699" i="22" s="1"/>
  <c r="C699" i="22" s="1"/>
  <c r="O699" i="22"/>
  <c r="AB699" i="22"/>
  <c r="K701" i="22"/>
  <c r="AF701" i="22"/>
  <c r="I702" i="22"/>
  <c r="Q702" i="22"/>
  <c r="G703" i="22"/>
  <c r="A703" i="22" s="1"/>
  <c r="C703" i="22" s="1"/>
  <c r="O703" i="22"/>
  <c r="AB703" i="22"/>
  <c r="K705" i="22"/>
  <c r="AF705" i="22"/>
  <c r="I706" i="22"/>
  <c r="Q706" i="22"/>
  <c r="G707" i="22"/>
  <c r="A707" i="22" s="1"/>
  <c r="C707" i="22" s="1"/>
  <c r="O707" i="22"/>
  <c r="AB707" i="22"/>
  <c r="D708" i="22"/>
  <c r="M708" i="22"/>
  <c r="X708" i="22"/>
  <c r="K709" i="22"/>
  <c r="AF709" i="22"/>
  <c r="I710" i="22"/>
  <c r="Q710" i="22"/>
  <c r="G711" i="22"/>
  <c r="A711" i="22" s="1"/>
  <c r="C711" i="22" s="1"/>
  <c r="O711" i="22"/>
  <c r="AB711" i="22"/>
  <c r="D712" i="22"/>
  <c r="M712" i="22"/>
  <c r="X712" i="22"/>
  <c r="K713" i="22"/>
  <c r="AF713" i="22"/>
  <c r="I714" i="22"/>
  <c r="Q714" i="22"/>
  <c r="G715" i="22"/>
  <c r="A715" i="22" s="1"/>
  <c r="C715" i="22" s="1"/>
  <c r="O715" i="22"/>
  <c r="AB715" i="22"/>
  <c r="D716" i="22"/>
  <c r="M716" i="22"/>
  <c r="X716" i="22"/>
  <c r="K717" i="22"/>
  <c r="AF717" i="22"/>
  <c r="I718" i="22"/>
  <c r="Q718" i="22"/>
  <c r="G719" i="22"/>
  <c r="A719" i="22" s="1"/>
  <c r="C719" i="22" s="1"/>
  <c r="O719" i="22"/>
  <c r="AB719" i="22"/>
  <c r="D720" i="22"/>
  <c r="M720" i="22"/>
  <c r="X720" i="22"/>
  <c r="K721" i="22"/>
  <c r="AF721" i="22"/>
  <c r="I722" i="22"/>
  <c r="Q722" i="22"/>
  <c r="G723" i="22"/>
  <c r="A723" i="22" s="1"/>
  <c r="C723" i="22" s="1"/>
  <c r="O723" i="22"/>
  <c r="AB723" i="22"/>
  <c r="AD732" i="22"/>
  <c r="AJ732" i="22"/>
  <c r="AD752" i="22"/>
  <c r="AJ752" i="22"/>
  <c r="X727" i="22"/>
  <c r="AI727" i="22"/>
  <c r="K728" i="22"/>
  <c r="AF728" i="22"/>
  <c r="AO728" i="22"/>
  <c r="I729" i="22"/>
  <c r="Q729" i="22"/>
  <c r="AM729" i="22"/>
  <c r="G730" i="22"/>
  <c r="A730" i="22" s="1"/>
  <c r="C730" i="22" s="1"/>
  <c r="O730" i="22"/>
  <c r="AB730" i="22"/>
  <c r="AK730" i="22"/>
  <c r="D731" i="22"/>
  <c r="M731" i="22"/>
  <c r="X731" i="22"/>
  <c r="AI731" i="22"/>
  <c r="K732" i="22"/>
  <c r="AF732" i="22"/>
  <c r="AO732" i="22"/>
  <c r="I733" i="22"/>
  <c r="Q733" i="22"/>
  <c r="AM733" i="22"/>
  <c r="G734" i="22"/>
  <c r="A734" i="22" s="1"/>
  <c r="C734" i="22" s="1"/>
  <c r="O734" i="22"/>
  <c r="AB734" i="22"/>
  <c r="AK734" i="22"/>
  <c r="D735" i="22"/>
  <c r="M735" i="22"/>
  <c r="X735" i="22"/>
  <c r="AI735" i="22"/>
  <c r="K736" i="22"/>
  <c r="AF736" i="22"/>
  <c r="AO736" i="22"/>
  <c r="I737" i="22"/>
  <c r="Q737" i="22"/>
  <c r="AM737" i="22"/>
  <c r="G738" i="22"/>
  <c r="A738" i="22" s="1"/>
  <c r="C738" i="22" s="1"/>
  <c r="O738" i="22"/>
  <c r="AB738" i="22"/>
  <c r="AK738" i="22"/>
  <c r="D739" i="22"/>
  <c r="M739" i="22"/>
  <c r="X739" i="22"/>
  <c r="AI739" i="22"/>
  <c r="K740" i="22"/>
  <c r="AF740" i="22"/>
  <c r="AO740" i="22"/>
  <c r="I741" i="22"/>
  <c r="Q741" i="22"/>
  <c r="AM741" i="22"/>
  <c r="G742" i="22"/>
  <c r="A742" i="22" s="1"/>
  <c r="C742" i="22" s="1"/>
  <c r="O742" i="22"/>
  <c r="AB742" i="22"/>
  <c r="AK742" i="22"/>
  <c r="K744" i="22"/>
  <c r="AF744" i="22"/>
  <c r="AO744" i="22"/>
  <c r="K748" i="22"/>
  <c r="AF748" i="22"/>
  <c r="AO748" i="22"/>
  <c r="Q749" i="22"/>
  <c r="AM749" i="22"/>
  <c r="G750" i="22"/>
  <c r="A750" i="22" s="1"/>
  <c r="C750" i="22" s="1"/>
  <c r="O750" i="22"/>
  <c r="AB750" i="22"/>
  <c r="AK750" i="22"/>
  <c r="D751" i="22"/>
  <c r="M751" i="22"/>
  <c r="X751" i="22"/>
  <c r="AI751" i="22"/>
  <c r="K752" i="22"/>
  <c r="AF752" i="22"/>
  <c r="AO752" i="22"/>
  <c r="I753" i="22"/>
  <c r="Q753" i="22"/>
  <c r="AM753" i="22"/>
  <c r="K756" i="22"/>
  <c r="AF756" i="22"/>
  <c r="AO756" i="22"/>
  <c r="AM757" i="22"/>
  <c r="K760" i="22"/>
  <c r="AF760" i="22"/>
  <c r="AO760" i="22"/>
  <c r="K764" i="22"/>
  <c r="AF764" i="22"/>
  <c r="AJ770" i="22"/>
  <c r="AD770" i="22"/>
  <c r="AN772" i="22"/>
  <c r="AE772" i="22"/>
  <c r="J772" i="22"/>
  <c r="AM772" i="22"/>
  <c r="Q772" i="22"/>
  <c r="I772" i="22"/>
  <c r="AL772" i="22"/>
  <c r="AC772" i="22"/>
  <c r="P772" i="22"/>
  <c r="H772" i="22"/>
  <c r="AK772" i="22"/>
  <c r="AB772" i="22"/>
  <c r="O772" i="22"/>
  <c r="G772" i="22"/>
  <c r="A772" i="22" s="1"/>
  <c r="C772" i="22" s="1"/>
  <c r="AA772" i="22"/>
  <c r="N772" i="22"/>
  <c r="AI772" i="22"/>
  <c r="X772" i="22"/>
  <c r="M772" i="22"/>
  <c r="D772" i="22"/>
  <c r="AH772" i="22"/>
  <c r="T772" i="22"/>
  <c r="L772" i="22"/>
  <c r="AN780" i="22"/>
  <c r="AE780" i="22"/>
  <c r="J780" i="22"/>
  <c r="AM780" i="22"/>
  <c r="Q780" i="22"/>
  <c r="I780" i="22"/>
  <c r="AL780" i="22"/>
  <c r="AC780" i="22"/>
  <c r="P780" i="22"/>
  <c r="H780" i="22"/>
  <c r="AK780" i="22"/>
  <c r="AB780" i="22"/>
  <c r="O780" i="22"/>
  <c r="G780" i="22"/>
  <c r="A780" i="22" s="1"/>
  <c r="C780" i="22" s="1"/>
  <c r="AA780" i="22"/>
  <c r="N780" i="22"/>
  <c r="AI780" i="22"/>
  <c r="X780" i="22"/>
  <c r="M780" i="22"/>
  <c r="D780" i="22"/>
  <c r="AH780" i="22"/>
  <c r="T780" i="22"/>
  <c r="L780" i="22"/>
  <c r="AJ818" i="22"/>
  <c r="AD818" i="22"/>
  <c r="J725" i="22"/>
  <c r="AE725" i="22"/>
  <c r="AN725" i="22"/>
  <c r="H726" i="22"/>
  <c r="P726" i="22"/>
  <c r="AC726" i="22"/>
  <c r="AL726" i="22"/>
  <c r="N727" i="22"/>
  <c r="AA727" i="22"/>
  <c r="L728" i="22"/>
  <c r="T728" i="22"/>
  <c r="AH728" i="22"/>
  <c r="J729" i="22"/>
  <c r="AE729" i="22"/>
  <c r="AN729" i="22"/>
  <c r="H730" i="22"/>
  <c r="P730" i="22"/>
  <c r="AC730" i="22"/>
  <c r="AL730" i="22"/>
  <c r="N731" i="22"/>
  <c r="AA731" i="22"/>
  <c r="L732" i="22"/>
  <c r="T732" i="22"/>
  <c r="AH732" i="22"/>
  <c r="J733" i="22"/>
  <c r="AE733" i="22"/>
  <c r="AN733" i="22"/>
  <c r="H734" i="22"/>
  <c r="P734" i="22"/>
  <c r="AC734" i="22"/>
  <c r="AL734" i="22"/>
  <c r="N735" i="22"/>
  <c r="AA735" i="22"/>
  <c r="L736" i="22"/>
  <c r="T736" i="22"/>
  <c r="AH736" i="22"/>
  <c r="J737" i="22"/>
  <c r="AE737" i="22"/>
  <c r="AN737" i="22"/>
  <c r="H738" i="22"/>
  <c r="P738" i="22"/>
  <c r="AC738" i="22"/>
  <c r="AL738" i="22"/>
  <c r="N739" i="22"/>
  <c r="AA739" i="22"/>
  <c r="L744" i="22"/>
  <c r="T744" i="22"/>
  <c r="AH744" i="22"/>
  <c r="J745" i="22"/>
  <c r="AE745" i="22"/>
  <c r="AN745" i="22"/>
  <c r="H746" i="22"/>
  <c r="P746" i="22"/>
  <c r="AC746" i="22"/>
  <c r="AL746" i="22"/>
  <c r="N747" i="22"/>
  <c r="AA747" i="22"/>
  <c r="L748" i="22"/>
  <c r="T748" i="22"/>
  <c r="AH748" i="22"/>
  <c r="J749" i="22"/>
  <c r="AE749" i="22"/>
  <c r="AN749" i="22"/>
  <c r="H750" i="22"/>
  <c r="P750" i="22"/>
  <c r="AC750" i="22"/>
  <c r="AL750" i="22"/>
  <c r="N751" i="22"/>
  <c r="AA751" i="22"/>
  <c r="L752" i="22"/>
  <c r="T752" i="22"/>
  <c r="AH752" i="22"/>
  <c r="J753" i="22"/>
  <c r="AE753" i="22"/>
  <c r="AN753" i="22"/>
  <c r="H754" i="22"/>
  <c r="P754" i="22"/>
  <c r="AC754" i="22"/>
  <c r="AL754" i="22"/>
  <c r="N755" i="22"/>
  <c r="AA755" i="22"/>
  <c r="L756" i="22"/>
  <c r="T756" i="22"/>
  <c r="AH756" i="22"/>
  <c r="J757" i="22"/>
  <c r="AE757" i="22"/>
  <c r="AN757" i="22"/>
  <c r="L760" i="22"/>
  <c r="T760" i="22"/>
  <c r="AH760" i="22"/>
  <c r="J761" i="22"/>
  <c r="AE761" i="22"/>
  <c r="AN761" i="22"/>
  <c r="H762" i="22"/>
  <c r="P762" i="22"/>
  <c r="AC762" i="22"/>
  <c r="AL762" i="22"/>
  <c r="N763" i="22"/>
  <c r="AA763" i="22"/>
  <c r="L764" i="22"/>
  <c r="T764" i="22"/>
  <c r="AH764" i="22"/>
  <c r="AL765" i="22"/>
  <c r="AC765" i="22"/>
  <c r="P765" i="22"/>
  <c r="H765" i="22"/>
  <c r="AK765" i="22"/>
  <c r="AB765" i="22"/>
  <c r="O765" i="22"/>
  <c r="G765" i="22"/>
  <c r="A765" i="22" s="1"/>
  <c r="C765" i="22" s="1"/>
  <c r="AH765" i="22"/>
  <c r="T765" i="22"/>
  <c r="L765" i="22"/>
  <c r="AO765" i="22"/>
  <c r="AF765" i="22"/>
  <c r="K765" i="22"/>
  <c r="AN765" i="22"/>
  <c r="AA766" i="22"/>
  <c r="N766" i="22"/>
  <c r="AI766" i="22"/>
  <c r="X766" i="22"/>
  <c r="M766" i="22"/>
  <c r="D766" i="22"/>
  <c r="AN766" i="22"/>
  <c r="AE766" i="22"/>
  <c r="J766" i="22"/>
  <c r="AM766" i="22"/>
  <c r="Q766" i="22"/>
  <c r="I766" i="22"/>
  <c r="AL766" i="22"/>
  <c r="AC766" i="22"/>
  <c r="P766" i="22"/>
  <c r="H766" i="22"/>
  <c r="AB766" i="22"/>
  <c r="AN768" i="22"/>
  <c r="AE768" i="22"/>
  <c r="J768" i="22"/>
  <c r="AM768" i="22"/>
  <c r="Q768" i="22"/>
  <c r="I768" i="22"/>
  <c r="AL768" i="22"/>
  <c r="AC768" i="22"/>
  <c r="P768" i="22"/>
  <c r="H768" i="22"/>
  <c r="AK768" i="22"/>
  <c r="AB768" i="22"/>
  <c r="O768" i="22"/>
  <c r="G768" i="22"/>
  <c r="A768" i="22" s="1"/>
  <c r="C768" i="22" s="1"/>
  <c r="AA768" i="22"/>
  <c r="N768" i="22"/>
  <c r="AI768" i="22"/>
  <c r="X768" i="22"/>
  <c r="M768" i="22"/>
  <c r="D768" i="22"/>
  <c r="AH768" i="22"/>
  <c r="T768" i="22"/>
  <c r="L768" i="22"/>
  <c r="K772" i="22"/>
  <c r="K780" i="22"/>
  <c r="AJ786" i="22"/>
  <c r="AD786" i="22"/>
  <c r="AN796" i="22"/>
  <c r="AE796" i="22"/>
  <c r="J796" i="22"/>
  <c r="AM796" i="22"/>
  <c r="Q796" i="22"/>
  <c r="I796" i="22"/>
  <c r="AL796" i="22"/>
  <c r="AC796" i="22"/>
  <c r="P796" i="22"/>
  <c r="H796" i="22"/>
  <c r="AK796" i="22"/>
  <c r="AB796" i="22"/>
  <c r="O796" i="22"/>
  <c r="G796" i="22"/>
  <c r="A796" i="22" s="1"/>
  <c r="C796" i="22" s="1"/>
  <c r="AA796" i="22"/>
  <c r="N796" i="22"/>
  <c r="AI796" i="22"/>
  <c r="X796" i="22"/>
  <c r="M796" i="22"/>
  <c r="D796" i="22"/>
  <c r="AH796" i="22"/>
  <c r="T796" i="22"/>
  <c r="L796" i="22"/>
  <c r="K725" i="22"/>
  <c r="AF725" i="22"/>
  <c r="AO725" i="22"/>
  <c r="I726" i="22"/>
  <c r="Q726" i="22"/>
  <c r="AM726" i="22"/>
  <c r="G727" i="22"/>
  <c r="A727" i="22" s="1"/>
  <c r="C727" i="22" s="1"/>
  <c r="O727" i="22"/>
  <c r="AB727" i="22"/>
  <c r="AK727" i="22"/>
  <c r="M728" i="22"/>
  <c r="X728" i="22"/>
  <c r="AI728" i="22"/>
  <c r="K729" i="22"/>
  <c r="AF729" i="22"/>
  <c r="AO729" i="22"/>
  <c r="I730" i="22"/>
  <c r="Q730" i="22"/>
  <c r="AM730" i="22"/>
  <c r="G731" i="22"/>
  <c r="A731" i="22" s="1"/>
  <c r="C731" i="22" s="1"/>
  <c r="O731" i="22"/>
  <c r="AB731" i="22"/>
  <c r="AK731" i="22"/>
  <c r="D732" i="22"/>
  <c r="M732" i="22"/>
  <c r="X732" i="22"/>
  <c r="AI732" i="22"/>
  <c r="K733" i="22"/>
  <c r="AF733" i="22"/>
  <c r="AO733" i="22"/>
  <c r="I734" i="22"/>
  <c r="Q734" i="22"/>
  <c r="AM734" i="22"/>
  <c r="G735" i="22"/>
  <c r="A735" i="22" s="1"/>
  <c r="C735" i="22" s="1"/>
  <c r="O735" i="22"/>
  <c r="AB735" i="22"/>
  <c r="AK735" i="22"/>
  <c r="D736" i="22"/>
  <c r="M736" i="22"/>
  <c r="X736" i="22"/>
  <c r="AI736" i="22"/>
  <c r="K737" i="22"/>
  <c r="AF737" i="22"/>
  <c r="AO737" i="22"/>
  <c r="I738" i="22"/>
  <c r="Q738" i="22"/>
  <c r="AM738" i="22"/>
  <c r="G739" i="22"/>
  <c r="A739" i="22" s="1"/>
  <c r="C739" i="22" s="1"/>
  <c r="O739" i="22"/>
  <c r="AB739" i="22"/>
  <c r="AK739" i="22"/>
  <c r="AI740" i="22"/>
  <c r="K741" i="22"/>
  <c r="AF741" i="22"/>
  <c r="AO741" i="22"/>
  <c r="I742" i="22"/>
  <c r="Q742" i="22"/>
  <c r="AM742" i="22"/>
  <c r="G743" i="22"/>
  <c r="A743" i="22" s="1"/>
  <c r="C743" i="22" s="1"/>
  <c r="O743" i="22"/>
  <c r="AB743" i="22"/>
  <c r="AK743" i="22"/>
  <c r="D744" i="22"/>
  <c r="M744" i="22"/>
  <c r="X744" i="22"/>
  <c r="AI744" i="22"/>
  <c r="K745" i="22"/>
  <c r="AF745" i="22"/>
  <c r="AO745" i="22"/>
  <c r="I746" i="22"/>
  <c r="Q746" i="22"/>
  <c r="AM746" i="22"/>
  <c r="G747" i="22"/>
  <c r="A747" i="22" s="1"/>
  <c r="C747" i="22" s="1"/>
  <c r="O747" i="22"/>
  <c r="AB747" i="22"/>
  <c r="AK747" i="22"/>
  <c r="D748" i="22"/>
  <c r="M748" i="22"/>
  <c r="X748" i="22"/>
  <c r="AI748" i="22"/>
  <c r="K749" i="22"/>
  <c r="AF749" i="22"/>
  <c r="AO749" i="22"/>
  <c r="I750" i="22"/>
  <c r="Q750" i="22"/>
  <c r="AM750" i="22"/>
  <c r="G751" i="22"/>
  <c r="A751" i="22" s="1"/>
  <c r="C751" i="22" s="1"/>
  <c r="O751" i="22"/>
  <c r="AB751" i="22"/>
  <c r="AK751" i="22"/>
  <c r="AI752" i="22"/>
  <c r="K753" i="22"/>
  <c r="AF753" i="22"/>
  <c r="AO753" i="22"/>
  <c r="D756" i="22"/>
  <c r="M756" i="22"/>
  <c r="X756" i="22"/>
  <c r="AI756" i="22"/>
  <c r="K757" i="22"/>
  <c r="AF757" i="22"/>
  <c r="AO757" i="22"/>
  <c r="D760" i="22"/>
  <c r="M760" i="22"/>
  <c r="X760" i="22"/>
  <c r="AI760" i="22"/>
  <c r="K761" i="22"/>
  <c r="AF761" i="22"/>
  <c r="AO761" i="22"/>
  <c r="D764" i="22"/>
  <c r="M764" i="22"/>
  <c r="X764" i="22"/>
  <c r="AI764" i="22"/>
  <c r="AJ766" i="22"/>
  <c r="AD766" i="22"/>
  <c r="AN776" i="22"/>
  <c r="AE776" i="22"/>
  <c r="J776" i="22"/>
  <c r="AM776" i="22"/>
  <c r="Q776" i="22"/>
  <c r="I776" i="22"/>
  <c r="AL776" i="22"/>
  <c r="AC776" i="22"/>
  <c r="P776" i="22"/>
  <c r="H776" i="22"/>
  <c r="AK776" i="22"/>
  <c r="AB776" i="22"/>
  <c r="O776" i="22"/>
  <c r="G776" i="22"/>
  <c r="A776" i="22" s="1"/>
  <c r="C776" i="22" s="1"/>
  <c r="AA776" i="22"/>
  <c r="N776" i="22"/>
  <c r="AI776" i="22"/>
  <c r="X776" i="22"/>
  <c r="M776" i="22"/>
  <c r="D776" i="22"/>
  <c r="AH776" i="22"/>
  <c r="T776" i="22"/>
  <c r="L776" i="22"/>
  <c r="L725" i="22"/>
  <c r="T725" i="22"/>
  <c r="AH725" i="22"/>
  <c r="J726" i="22"/>
  <c r="AE726" i="22"/>
  <c r="AN726" i="22"/>
  <c r="H727" i="22"/>
  <c r="P727" i="22"/>
  <c r="AC727" i="22"/>
  <c r="AL727" i="22"/>
  <c r="N728" i="22"/>
  <c r="AA728" i="22"/>
  <c r="L729" i="22"/>
  <c r="T729" i="22"/>
  <c r="AH729" i="22"/>
  <c r="J730" i="22"/>
  <c r="AE730" i="22"/>
  <c r="AN730" i="22"/>
  <c r="H731" i="22"/>
  <c r="P731" i="22"/>
  <c r="AC731" i="22"/>
  <c r="AL731" i="22"/>
  <c r="J734" i="22"/>
  <c r="AE734" i="22"/>
  <c r="AN734" i="22"/>
  <c r="J738" i="22"/>
  <c r="AE738" i="22"/>
  <c r="AN738" i="22"/>
  <c r="H739" i="22"/>
  <c r="P739" i="22"/>
  <c r="AC739" i="22"/>
  <c r="AL739" i="22"/>
  <c r="N740" i="22"/>
  <c r="AA740" i="22"/>
  <c r="L741" i="22"/>
  <c r="T741" i="22"/>
  <c r="AH741" i="22"/>
  <c r="J742" i="22"/>
  <c r="AE742" i="22"/>
  <c r="AN742" i="22"/>
  <c r="H743" i="22"/>
  <c r="P743" i="22"/>
  <c r="AC743" i="22"/>
  <c r="AL743" i="22"/>
  <c r="N744" i="22"/>
  <c r="AA744" i="22"/>
  <c r="L745" i="22"/>
  <c r="T745" i="22"/>
  <c r="AH745" i="22"/>
  <c r="J746" i="22"/>
  <c r="AE746" i="22"/>
  <c r="AN746" i="22"/>
  <c r="H747" i="22"/>
  <c r="P747" i="22"/>
  <c r="AC747" i="22"/>
  <c r="AL747" i="22"/>
  <c r="N748" i="22"/>
  <c r="AA748" i="22"/>
  <c r="L749" i="22"/>
  <c r="T749" i="22"/>
  <c r="AH749" i="22"/>
  <c r="J750" i="22"/>
  <c r="AE750" i="22"/>
  <c r="AN750" i="22"/>
  <c r="H751" i="22"/>
  <c r="P751" i="22"/>
  <c r="AC751" i="22"/>
  <c r="AL751" i="22"/>
  <c r="N752" i="22"/>
  <c r="AA752" i="22"/>
  <c r="L753" i="22"/>
  <c r="T753" i="22"/>
  <c r="AH753" i="22"/>
  <c r="J754" i="22"/>
  <c r="AE754" i="22"/>
  <c r="AN754" i="22"/>
  <c r="H755" i="22"/>
  <c r="P755" i="22"/>
  <c r="AC755" i="22"/>
  <c r="AL755" i="22"/>
  <c r="N756" i="22"/>
  <c r="AA756" i="22"/>
  <c r="L757" i="22"/>
  <c r="T757" i="22"/>
  <c r="AH757" i="22"/>
  <c r="N760" i="22"/>
  <c r="AA760" i="22"/>
  <c r="L761" i="22"/>
  <c r="T761" i="22"/>
  <c r="AH761" i="22"/>
  <c r="AE762" i="22"/>
  <c r="AN762" i="22"/>
  <c r="N764" i="22"/>
  <c r="AA764" i="22"/>
  <c r="AF772" i="22"/>
  <c r="K776" i="22"/>
  <c r="AF780" i="22"/>
  <c r="AJ806" i="22"/>
  <c r="AD806" i="22"/>
  <c r="AJ810" i="22"/>
  <c r="AD810" i="22"/>
  <c r="D725" i="22"/>
  <c r="M725" i="22"/>
  <c r="X725" i="22"/>
  <c r="AI725" i="22"/>
  <c r="K726" i="22"/>
  <c r="AF726" i="22"/>
  <c r="AO726" i="22"/>
  <c r="I727" i="22"/>
  <c r="Q727" i="22"/>
  <c r="AM727" i="22"/>
  <c r="K730" i="22"/>
  <c r="AF730" i="22"/>
  <c r="AO730" i="22"/>
  <c r="I731" i="22"/>
  <c r="Q731" i="22"/>
  <c r="AM731" i="22"/>
  <c r="K734" i="22"/>
  <c r="AF734" i="22"/>
  <c r="AO734" i="22"/>
  <c r="I735" i="22"/>
  <c r="Q735" i="22"/>
  <c r="AM735" i="22"/>
  <c r="G736" i="22"/>
  <c r="A736" i="22" s="1"/>
  <c r="C736" i="22" s="1"/>
  <c r="O736" i="22"/>
  <c r="AB736" i="22"/>
  <c r="AK736" i="22"/>
  <c r="D737" i="22"/>
  <c r="M737" i="22"/>
  <c r="X737" i="22"/>
  <c r="AI737" i="22"/>
  <c r="K738" i="22"/>
  <c r="AF738" i="22"/>
  <c r="AO738" i="22"/>
  <c r="I739" i="22"/>
  <c r="Q739" i="22"/>
  <c r="AM739" i="22"/>
  <c r="G740" i="22"/>
  <c r="A740" i="22" s="1"/>
  <c r="C740" i="22" s="1"/>
  <c r="O740" i="22"/>
  <c r="AB740" i="22"/>
  <c r="AK740" i="22"/>
  <c r="D741" i="22"/>
  <c r="M741" i="22"/>
  <c r="X741" i="22"/>
  <c r="AI741" i="22"/>
  <c r="K742" i="22"/>
  <c r="AF742" i="22"/>
  <c r="AO742" i="22"/>
  <c r="I743" i="22"/>
  <c r="Q743" i="22"/>
  <c r="AM743" i="22"/>
  <c r="G744" i="22"/>
  <c r="A744" i="22" s="1"/>
  <c r="C744" i="22" s="1"/>
  <c r="O744" i="22"/>
  <c r="AB744" i="22"/>
  <c r="AK744" i="22"/>
  <c r="D745" i="22"/>
  <c r="M745" i="22"/>
  <c r="X745" i="22"/>
  <c r="AI745" i="22"/>
  <c r="K746" i="22"/>
  <c r="AF746" i="22"/>
  <c r="AO746" i="22"/>
  <c r="I747" i="22"/>
  <c r="Q747" i="22"/>
  <c r="AM747" i="22"/>
  <c r="G748" i="22"/>
  <c r="A748" i="22" s="1"/>
  <c r="C748" i="22" s="1"/>
  <c r="O748" i="22"/>
  <c r="AB748" i="22"/>
  <c r="AK748" i="22"/>
  <c r="D749" i="22"/>
  <c r="M749" i="22"/>
  <c r="X749" i="22"/>
  <c r="AI749" i="22"/>
  <c r="K750" i="22"/>
  <c r="AF750" i="22"/>
  <c r="AO750" i="22"/>
  <c r="I751" i="22"/>
  <c r="Q751" i="22"/>
  <c r="AM751" i="22"/>
  <c r="AK752" i="22"/>
  <c r="D753" i="22"/>
  <c r="M753" i="22"/>
  <c r="X753" i="22"/>
  <c r="AI753" i="22"/>
  <c r="K754" i="22"/>
  <c r="AF754" i="22"/>
  <c r="AO754" i="22"/>
  <c r="I755" i="22"/>
  <c r="Q755" i="22"/>
  <c r="AM755" i="22"/>
  <c r="G756" i="22"/>
  <c r="A756" i="22" s="1"/>
  <c r="C756" i="22" s="1"/>
  <c r="O756" i="22"/>
  <c r="AB756" i="22"/>
  <c r="AK756" i="22"/>
  <c r="D757" i="22"/>
  <c r="M757" i="22"/>
  <c r="X757" i="22"/>
  <c r="AI757" i="22"/>
  <c r="K758" i="22"/>
  <c r="AF758" i="22"/>
  <c r="AO758" i="22"/>
  <c r="I759" i="22"/>
  <c r="Q759" i="22"/>
  <c r="AM759" i="22"/>
  <c r="G760" i="22"/>
  <c r="A760" i="22" s="1"/>
  <c r="C760" i="22" s="1"/>
  <c r="O760" i="22"/>
  <c r="AB760" i="22"/>
  <c r="AK760" i="22"/>
  <c r="D761" i="22"/>
  <c r="M761" i="22"/>
  <c r="X761" i="22"/>
  <c r="AI761" i="22"/>
  <c r="K762" i="22"/>
  <c r="AF762" i="22"/>
  <c r="AO762" i="22"/>
  <c r="AM763" i="22"/>
  <c r="G764" i="22"/>
  <c r="A764" i="22" s="1"/>
  <c r="C764" i="22" s="1"/>
  <c r="O764" i="22"/>
  <c r="AB764" i="22"/>
  <c r="AK764" i="22"/>
  <c r="AO772" i="22"/>
  <c r="AO780" i="22"/>
  <c r="AJ790" i="22"/>
  <c r="AD790" i="22"/>
  <c r="AN792" i="22"/>
  <c r="AE792" i="22"/>
  <c r="J792" i="22"/>
  <c r="AM792" i="22"/>
  <c r="Q792" i="22"/>
  <c r="I792" i="22"/>
  <c r="AL792" i="22"/>
  <c r="AC792" i="22"/>
  <c r="P792" i="22"/>
  <c r="H792" i="22"/>
  <c r="AK792" i="22"/>
  <c r="AB792" i="22"/>
  <c r="O792" i="22"/>
  <c r="G792" i="22"/>
  <c r="A792" i="22" s="1"/>
  <c r="C792" i="22" s="1"/>
  <c r="AA792" i="22"/>
  <c r="N792" i="22"/>
  <c r="AI792" i="22"/>
  <c r="X792" i="22"/>
  <c r="M792" i="22"/>
  <c r="D792" i="22"/>
  <c r="AH792" i="22"/>
  <c r="T792" i="22"/>
  <c r="L792" i="22"/>
  <c r="AJ794" i="22"/>
  <c r="AD794" i="22"/>
  <c r="N725" i="22"/>
  <c r="AA725" i="22"/>
  <c r="L726" i="22"/>
  <c r="T726" i="22"/>
  <c r="AH726" i="22"/>
  <c r="J727" i="22"/>
  <c r="AE727" i="22"/>
  <c r="AN727" i="22"/>
  <c r="H728" i="22"/>
  <c r="P728" i="22"/>
  <c r="AC728" i="22"/>
  <c r="N729" i="22"/>
  <c r="L730" i="22"/>
  <c r="T730" i="22"/>
  <c r="AH730" i="22"/>
  <c r="J731" i="22"/>
  <c r="AE731" i="22"/>
  <c r="AN731" i="22"/>
  <c r="H732" i="22"/>
  <c r="P732" i="22"/>
  <c r="AC732" i="22"/>
  <c r="AL732" i="22"/>
  <c r="N733" i="22"/>
  <c r="AA733" i="22"/>
  <c r="L734" i="22"/>
  <c r="T734" i="22"/>
  <c r="AH734" i="22"/>
  <c r="J735" i="22"/>
  <c r="AE735" i="22"/>
  <c r="AN735" i="22"/>
  <c r="H736" i="22"/>
  <c r="P736" i="22"/>
  <c r="AC736" i="22"/>
  <c r="AL736" i="22"/>
  <c r="N737" i="22"/>
  <c r="AA737" i="22"/>
  <c r="L738" i="22"/>
  <c r="T738" i="22"/>
  <c r="AH738" i="22"/>
  <c r="J739" i="22"/>
  <c r="AE739" i="22"/>
  <c r="AN739" i="22"/>
  <c r="H740" i="22"/>
  <c r="P740" i="22"/>
  <c r="AC740" i="22"/>
  <c r="AL740" i="22"/>
  <c r="N741" i="22"/>
  <c r="AA741" i="22"/>
  <c r="L742" i="22"/>
  <c r="T742" i="22"/>
  <c r="AH742" i="22"/>
  <c r="H744" i="22"/>
  <c r="P744" i="22"/>
  <c r="AC744" i="22"/>
  <c r="AL744" i="22"/>
  <c r="L746" i="22"/>
  <c r="T746" i="22"/>
  <c r="J747" i="22"/>
  <c r="AE747" i="22"/>
  <c r="AN747" i="22"/>
  <c r="H748" i="22"/>
  <c r="P748" i="22"/>
  <c r="AC748" i="22"/>
  <c r="AL748" i="22"/>
  <c r="N749" i="22"/>
  <c r="L750" i="22"/>
  <c r="T750" i="22"/>
  <c r="J751" i="22"/>
  <c r="AE751" i="22"/>
  <c r="AN751" i="22"/>
  <c r="H752" i="22"/>
  <c r="P752" i="22"/>
  <c r="AC752" i="22"/>
  <c r="AL752" i="22"/>
  <c r="N753" i="22"/>
  <c r="AA753" i="22"/>
  <c r="L754" i="22"/>
  <c r="T754" i="22"/>
  <c r="AH754" i="22"/>
  <c r="J755" i="22"/>
  <c r="AE755" i="22"/>
  <c r="AN755" i="22"/>
  <c r="H756" i="22"/>
  <c r="P756" i="22"/>
  <c r="AC756" i="22"/>
  <c r="AL756" i="22"/>
  <c r="N757" i="22"/>
  <c r="AA757" i="22"/>
  <c r="L758" i="22"/>
  <c r="T758" i="22"/>
  <c r="AH758" i="22"/>
  <c r="J759" i="22"/>
  <c r="AE759" i="22"/>
  <c r="AN759" i="22"/>
  <c r="H760" i="22"/>
  <c r="P760" i="22"/>
  <c r="AC760" i="22"/>
  <c r="AL760" i="22"/>
  <c r="N761" i="22"/>
  <c r="AA761" i="22"/>
  <c r="L762" i="22"/>
  <c r="T762" i="22"/>
  <c r="AH762" i="22"/>
  <c r="J763" i="22"/>
  <c r="AE763" i="22"/>
  <c r="AN763" i="22"/>
  <c r="H764" i="22"/>
  <c r="P764" i="22"/>
  <c r="AC764" i="22"/>
  <c r="AL764" i="22"/>
  <c r="AF776" i="22"/>
  <c r="AJ778" i="22"/>
  <c r="AD778" i="22"/>
  <c r="AN788" i="22"/>
  <c r="AE788" i="22"/>
  <c r="J788" i="22"/>
  <c r="AM788" i="22"/>
  <c r="Q788" i="22"/>
  <c r="I788" i="22"/>
  <c r="AL788" i="22"/>
  <c r="AC788" i="22"/>
  <c r="P788" i="22"/>
  <c r="H788" i="22"/>
  <c r="AK788" i="22"/>
  <c r="AB788" i="22"/>
  <c r="O788" i="22"/>
  <c r="G788" i="22"/>
  <c r="A788" i="22" s="1"/>
  <c r="C788" i="22" s="1"/>
  <c r="AA788" i="22"/>
  <c r="N788" i="22"/>
  <c r="AI788" i="22"/>
  <c r="X788" i="22"/>
  <c r="M788" i="22"/>
  <c r="D788" i="22"/>
  <c r="AH788" i="22"/>
  <c r="T788" i="22"/>
  <c r="L788" i="22"/>
  <c r="AJ798" i="22"/>
  <c r="AD798" i="22"/>
  <c r="AD803" i="22"/>
  <c r="AJ803" i="22"/>
  <c r="AN804" i="22"/>
  <c r="AE804" i="22"/>
  <c r="J804" i="22"/>
  <c r="AM804" i="22"/>
  <c r="Q804" i="22"/>
  <c r="I804" i="22"/>
  <c r="AL804" i="22"/>
  <c r="AC804" i="22"/>
  <c r="P804" i="22"/>
  <c r="H804" i="22"/>
  <c r="AK804" i="22"/>
  <c r="AB804" i="22"/>
  <c r="O804" i="22"/>
  <c r="G804" i="22"/>
  <c r="A804" i="22" s="1"/>
  <c r="C804" i="22" s="1"/>
  <c r="AA804" i="22"/>
  <c r="N804" i="22"/>
  <c r="AI804" i="22"/>
  <c r="X804" i="22"/>
  <c r="M804" i="22"/>
  <c r="D804" i="22"/>
  <c r="AH804" i="22"/>
  <c r="T804" i="22"/>
  <c r="L804" i="22"/>
  <c r="G725" i="22"/>
  <c r="A725" i="22" s="1"/>
  <c r="C725" i="22" s="1"/>
  <c r="O725" i="22"/>
  <c r="AB725" i="22"/>
  <c r="K727" i="22"/>
  <c r="AF727" i="22"/>
  <c r="D730" i="22"/>
  <c r="M730" i="22"/>
  <c r="X730" i="22"/>
  <c r="K731" i="22"/>
  <c r="AF731" i="22"/>
  <c r="G733" i="22"/>
  <c r="A733" i="22" s="1"/>
  <c r="C733" i="22" s="1"/>
  <c r="O733" i="22"/>
  <c r="AB733" i="22"/>
  <c r="D734" i="22"/>
  <c r="M734" i="22"/>
  <c r="X734" i="22"/>
  <c r="K735" i="22"/>
  <c r="AF735" i="22"/>
  <c r="I736" i="22"/>
  <c r="Q736" i="22"/>
  <c r="G737" i="22"/>
  <c r="A737" i="22" s="1"/>
  <c r="C737" i="22" s="1"/>
  <c r="O737" i="22"/>
  <c r="AB737" i="22"/>
  <c r="D738" i="22"/>
  <c r="M738" i="22"/>
  <c r="X738" i="22"/>
  <c r="K739" i="22"/>
  <c r="AF739" i="22"/>
  <c r="I740" i="22"/>
  <c r="Q740" i="22"/>
  <c r="G741" i="22"/>
  <c r="A741" i="22" s="1"/>
  <c r="C741" i="22" s="1"/>
  <c r="O741" i="22"/>
  <c r="AB741" i="22"/>
  <c r="D742" i="22"/>
  <c r="M742" i="22"/>
  <c r="X742" i="22"/>
  <c r="K743" i="22"/>
  <c r="AF743" i="22"/>
  <c r="I744" i="22"/>
  <c r="Q744" i="22"/>
  <c r="G745" i="22"/>
  <c r="A745" i="22" s="1"/>
  <c r="C745" i="22" s="1"/>
  <c r="O745" i="22"/>
  <c r="AB745" i="22"/>
  <c r="K747" i="22"/>
  <c r="AF747" i="22"/>
  <c r="I748" i="22"/>
  <c r="Q748" i="22"/>
  <c r="K751" i="22"/>
  <c r="AF751" i="22"/>
  <c r="I752" i="22"/>
  <c r="Q752" i="22"/>
  <c r="G753" i="22"/>
  <c r="A753" i="22" s="1"/>
  <c r="C753" i="22" s="1"/>
  <c r="O753" i="22"/>
  <c r="AB753" i="22"/>
  <c r="D754" i="22"/>
  <c r="M754" i="22"/>
  <c r="X754" i="22"/>
  <c r="K755" i="22"/>
  <c r="AF755" i="22"/>
  <c r="I756" i="22"/>
  <c r="Q756" i="22"/>
  <c r="G757" i="22"/>
  <c r="A757" i="22" s="1"/>
  <c r="C757" i="22" s="1"/>
  <c r="O757" i="22"/>
  <c r="AB757" i="22"/>
  <c r="D758" i="22"/>
  <c r="M758" i="22"/>
  <c r="X758" i="22"/>
  <c r="K759" i="22"/>
  <c r="AF759" i="22"/>
  <c r="I760" i="22"/>
  <c r="Q760" i="22"/>
  <c r="G761" i="22"/>
  <c r="A761" i="22" s="1"/>
  <c r="C761" i="22" s="1"/>
  <c r="O761" i="22"/>
  <c r="AB761" i="22"/>
  <c r="D762" i="22"/>
  <c r="M762" i="22"/>
  <c r="X762" i="22"/>
  <c r="K763" i="22"/>
  <c r="AF763" i="22"/>
  <c r="I764" i="22"/>
  <c r="Q764" i="22"/>
  <c r="AN764" i="22"/>
  <c r="O766" i="22"/>
  <c r="AD771" i="22"/>
  <c r="AJ771" i="22"/>
  <c r="AJ774" i="22"/>
  <c r="AD774" i="22"/>
  <c r="AO776" i="22"/>
  <c r="AN784" i="22"/>
  <c r="AE784" i="22"/>
  <c r="J784" i="22"/>
  <c r="AM784" i="22"/>
  <c r="Q784" i="22"/>
  <c r="I784" i="22"/>
  <c r="AL784" i="22"/>
  <c r="AC784" i="22"/>
  <c r="P784" i="22"/>
  <c r="H784" i="22"/>
  <c r="AK784" i="22"/>
  <c r="AB784" i="22"/>
  <c r="O784" i="22"/>
  <c r="G784" i="22"/>
  <c r="A784" i="22" s="1"/>
  <c r="C784" i="22" s="1"/>
  <c r="AA784" i="22"/>
  <c r="N784" i="22"/>
  <c r="AI784" i="22"/>
  <c r="X784" i="22"/>
  <c r="M784" i="22"/>
  <c r="D784" i="22"/>
  <c r="AH784" i="22"/>
  <c r="T784" i="22"/>
  <c r="L784" i="22"/>
  <c r="K788" i="22"/>
  <c r="AD797" i="22"/>
  <c r="AN800" i="22"/>
  <c r="AE800" i="22"/>
  <c r="J800" i="22"/>
  <c r="AM800" i="22"/>
  <c r="Q800" i="22"/>
  <c r="I800" i="22"/>
  <c r="AL800" i="22"/>
  <c r="AC800" i="22"/>
  <c r="P800" i="22"/>
  <c r="H800" i="22"/>
  <c r="AK800" i="22"/>
  <c r="AB800" i="22"/>
  <c r="O800" i="22"/>
  <c r="G800" i="22"/>
  <c r="A800" i="22" s="1"/>
  <c r="C800" i="22" s="1"/>
  <c r="AA800" i="22"/>
  <c r="N800" i="22"/>
  <c r="AI800" i="22"/>
  <c r="X800" i="22"/>
  <c r="M800" i="22"/>
  <c r="D800" i="22"/>
  <c r="AH800" i="22"/>
  <c r="T800" i="22"/>
  <c r="L800" i="22"/>
  <c r="K804" i="22"/>
  <c r="N767" i="22"/>
  <c r="AA767" i="22"/>
  <c r="J769" i="22"/>
  <c r="AE769" i="22"/>
  <c r="AN769" i="22"/>
  <c r="H770" i="22"/>
  <c r="P770" i="22"/>
  <c r="AC770" i="22"/>
  <c r="AL770" i="22"/>
  <c r="N771" i="22"/>
  <c r="AA771" i="22"/>
  <c r="J773" i="22"/>
  <c r="AE773" i="22"/>
  <c r="AN773" i="22"/>
  <c r="H774" i="22"/>
  <c r="P774" i="22"/>
  <c r="AC774" i="22"/>
  <c r="AL774" i="22"/>
  <c r="N775" i="22"/>
  <c r="AA775" i="22"/>
  <c r="J777" i="22"/>
  <c r="AE777" i="22"/>
  <c r="AN777" i="22"/>
  <c r="H778" i="22"/>
  <c r="P778" i="22"/>
  <c r="AC778" i="22"/>
  <c r="AL778" i="22"/>
  <c r="N779" i="22"/>
  <c r="AA779" i="22"/>
  <c r="J781" i="22"/>
  <c r="AE781" i="22"/>
  <c r="AN781" i="22"/>
  <c r="H782" i="22"/>
  <c r="P782" i="22"/>
  <c r="AC782" i="22"/>
  <c r="AL782" i="22"/>
  <c r="N783" i="22"/>
  <c r="AA783" i="22"/>
  <c r="J785" i="22"/>
  <c r="AE785" i="22"/>
  <c r="AN785" i="22"/>
  <c r="H786" i="22"/>
  <c r="P786" i="22"/>
  <c r="AC786" i="22"/>
  <c r="AL786" i="22"/>
  <c r="N787" i="22"/>
  <c r="AA787" i="22"/>
  <c r="AE797" i="22"/>
  <c r="AN797" i="22"/>
  <c r="H798" i="22"/>
  <c r="P798" i="22"/>
  <c r="AC798" i="22"/>
  <c r="AL798" i="22"/>
  <c r="N799" i="22"/>
  <c r="AA799" i="22"/>
  <c r="J801" i="22"/>
  <c r="AE801" i="22"/>
  <c r="AN801" i="22"/>
  <c r="H802" i="22"/>
  <c r="P802" i="22"/>
  <c r="AC802" i="22"/>
  <c r="AL802" i="22"/>
  <c r="J805" i="22"/>
  <c r="AE805" i="22"/>
  <c r="AN805" i="22"/>
  <c r="H806" i="22"/>
  <c r="P806" i="22"/>
  <c r="AC806" i="22"/>
  <c r="AL806" i="22"/>
  <c r="AD809" i="22"/>
  <c r="AJ830" i="22"/>
  <c r="AD830" i="22"/>
  <c r="G767" i="22"/>
  <c r="A767" i="22" s="1"/>
  <c r="C767" i="22" s="1"/>
  <c r="O767" i="22"/>
  <c r="AB767" i="22"/>
  <c r="AK767" i="22"/>
  <c r="K769" i="22"/>
  <c r="AF769" i="22"/>
  <c r="AO769" i="22"/>
  <c r="I770" i="22"/>
  <c r="Q770" i="22"/>
  <c r="AM770" i="22"/>
  <c r="AK771" i="22"/>
  <c r="K773" i="22"/>
  <c r="AF773" i="22"/>
  <c r="AO773" i="22"/>
  <c r="I774" i="22"/>
  <c r="Q774" i="22"/>
  <c r="AM774" i="22"/>
  <c r="G775" i="22"/>
  <c r="A775" i="22" s="1"/>
  <c r="C775" i="22" s="1"/>
  <c r="O775" i="22"/>
  <c r="AB775" i="22"/>
  <c r="AK775" i="22"/>
  <c r="K777" i="22"/>
  <c r="AF777" i="22"/>
  <c r="AO777" i="22"/>
  <c r="AB779" i="22"/>
  <c r="AK779" i="22"/>
  <c r="K781" i="22"/>
  <c r="AF781" i="22"/>
  <c r="AO781" i="22"/>
  <c r="G783" i="22"/>
  <c r="A783" i="22" s="1"/>
  <c r="C783" i="22" s="1"/>
  <c r="O783" i="22"/>
  <c r="AB783" i="22"/>
  <c r="AK783" i="22"/>
  <c r="K785" i="22"/>
  <c r="AF785" i="22"/>
  <c r="AO785" i="22"/>
  <c r="I786" i="22"/>
  <c r="Q786" i="22"/>
  <c r="AM786" i="22"/>
  <c r="G787" i="22"/>
  <c r="A787" i="22" s="1"/>
  <c r="C787" i="22" s="1"/>
  <c r="O787" i="22"/>
  <c r="AB787" i="22"/>
  <c r="AK787" i="22"/>
  <c r="K789" i="22"/>
  <c r="AF789" i="22"/>
  <c r="AO789" i="22"/>
  <c r="I790" i="22"/>
  <c r="Q790" i="22"/>
  <c r="AM790" i="22"/>
  <c r="G791" i="22"/>
  <c r="A791" i="22" s="1"/>
  <c r="C791" i="22" s="1"/>
  <c r="O791" i="22"/>
  <c r="AB791" i="22"/>
  <c r="AK791" i="22"/>
  <c r="K793" i="22"/>
  <c r="AF793" i="22"/>
  <c r="AO793" i="22"/>
  <c r="I794" i="22"/>
  <c r="Q794" i="22"/>
  <c r="AM794" i="22"/>
  <c r="G795" i="22"/>
  <c r="A795" i="22" s="1"/>
  <c r="C795" i="22" s="1"/>
  <c r="O795" i="22"/>
  <c r="AB795" i="22"/>
  <c r="AK795" i="22"/>
  <c r="K797" i="22"/>
  <c r="AF797" i="22"/>
  <c r="AO797" i="22"/>
  <c r="I798" i="22"/>
  <c r="Q798" i="22"/>
  <c r="AM798" i="22"/>
  <c r="G799" i="22"/>
  <c r="A799" i="22" s="1"/>
  <c r="C799" i="22" s="1"/>
  <c r="O799" i="22"/>
  <c r="AB799" i="22"/>
  <c r="AK799" i="22"/>
  <c r="K801" i="22"/>
  <c r="AF801" i="22"/>
  <c r="AO801" i="22"/>
  <c r="I802" i="22"/>
  <c r="Q802" i="22"/>
  <c r="AM802" i="22"/>
  <c r="K805" i="22"/>
  <c r="AF805" i="22"/>
  <c r="AO805" i="22"/>
  <c r="I806" i="22"/>
  <c r="Q806" i="22"/>
  <c r="AJ842" i="22"/>
  <c r="AD842" i="22"/>
  <c r="AJ846" i="22"/>
  <c r="AD846" i="22"/>
  <c r="H767" i="22"/>
  <c r="P767" i="22"/>
  <c r="AC767" i="22"/>
  <c r="AL767" i="22"/>
  <c r="L769" i="22"/>
  <c r="T769" i="22"/>
  <c r="AH769" i="22"/>
  <c r="J770" i="22"/>
  <c r="AE770" i="22"/>
  <c r="AN770" i="22"/>
  <c r="L785" i="22"/>
  <c r="T785" i="22"/>
  <c r="AH785" i="22"/>
  <c r="J786" i="22"/>
  <c r="AE786" i="22"/>
  <c r="AN786" i="22"/>
  <c r="H787" i="22"/>
  <c r="P787" i="22"/>
  <c r="AC787" i="22"/>
  <c r="AL787" i="22"/>
  <c r="L789" i="22"/>
  <c r="T789" i="22"/>
  <c r="AH789" i="22"/>
  <c r="J790" i="22"/>
  <c r="AE790" i="22"/>
  <c r="AN790" i="22"/>
  <c r="H791" i="22"/>
  <c r="P791" i="22"/>
  <c r="AC791" i="22"/>
  <c r="AL791" i="22"/>
  <c r="L793" i="22"/>
  <c r="T793" i="22"/>
  <c r="AH793" i="22"/>
  <c r="J794" i="22"/>
  <c r="AE794" i="22"/>
  <c r="AN794" i="22"/>
  <c r="H795" i="22"/>
  <c r="P795" i="22"/>
  <c r="AC795" i="22"/>
  <c r="AL795" i="22"/>
  <c r="AH797" i="22"/>
  <c r="H799" i="22"/>
  <c r="P799" i="22"/>
  <c r="AC799" i="22"/>
  <c r="AL799" i="22"/>
  <c r="AH807" i="22"/>
  <c r="T807" i="22"/>
  <c r="L807" i="22"/>
  <c r="AN807" i="22"/>
  <c r="AE807" i="22"/>
  <c r="J807" i="22"/>
  <c r="AM807" i="22"/>
  <c r="Q807" i="22"/>
  <c r="I807" i="22"/>
  <c r="AL807" i="22"/>
  <c r="AC807" i="22"/>
  <c r="P807" i="22"/>
  <c r="H807" i="22"/>
  <c r="AK807" i="22"/>
  <c r="AB807" i="22"/>
  <c r="O807" i="22"/>
  <c r="G807" i="22"/>
  <c r="A807" i="22" s="1"/>
  <c r="C807" i="22" s="1"/>
  <c r="AA807" i="22"/>
  <c r="AF807" i="22"/>
  <c r="AN828" i="22"/>
  <c r="AE828" i="22"/>
  <c r="J828" i="22"/>
  <c r="AM828" i="22"/>
  <c r="Q828" i="22"/>
  <c r="I828" i="22"/>
  <c r="AL828" i="22"/>
  <c r="AC828" i="22"/>
  <c r="P828" i="22"/>
  <c r="H828" i="22"/>
  <c r="AK828" i="22"/>
  <c r="AB828" i="22"/>
  <c r="O828" i="22"/>
  <c r="G828" i="22"/>
  <c r="A828" i="22" s="1"/>
  <c r="C828" i="22" s="1"/>
  <c r="AA828" i="22"/>
  <c r="N828" i="22"/>
  <c r="AI828" i="22"/>
  <c r="X828" i="22"/>
  <c r="M828" i="22"/>
  <c r="D828" i="22"/>
  <c r="AH828" i="22"/>
  <c r="T828" i="22"/>
  <c r="L828" i="22"/>
  <c r="AN844" i="22"/>
  <c r="AE844" i="22"/>
  <c r="J844" i="22"/>
  <c r="AM844" i="22"/>
  <c r="Q844" i="22"/>
  <c r="I844" i="22"/>
  <c r="AL844" i="22"/>
  <c r="AC844" i="22"/>
  <c r="P844" i="22"/>
  <c r="H844" i="22"/>
  <c r="AK844" i="22"/>
  <c r="AB844" i="22"/>
  <c r="O844" i="22"/>
  <c r="G844" i="22"/>
  <c r="A844" i="22" s="1"/>
  <c r="C844" i="22" s="1"/>
  <c r="AA844" i="22"/>
  <c r="N844" i="22"/>
  <c r="AI844" i="22"/>
  <c r="X844" i="22"/>
  <c r="M844" i="22"/>
  <c r="D844" i="22"/>
  <c r="AH844" i="22"/>
  <c r="T844" i="22"/>
  <c r="L844" i="22"/>
  <c r="AJ870" i="22"/>
  <c r="AD870" i="22"/>
  <c r="K770" i="22"/>
  <c r="AF770" i="22"/>
  <c r="AO770" i="22"/>
  <c r="I771" i="22"/>
  <c r="Q771" i="22"/>
  <c r="AM771" i="22"/>
  <c r="D773" i="22"/>
  <c r="M773" i="22"/>
  <c r="X773" i="22"/>
  <c r="AI773" i="22"/>
  <c r="K774" i="22"/>
  <c r="AF774" i="22"/>
  <c r="AO774" i="22"/>
  <c r="I775" i="22"/>
  <c r="Q775" i="22"/>
  <c r="AM775" i="22"/>
  <c r="D777" i="22"/>
  <c r="M777" i="22"/>
  <c r="X777" i="22"/>
  <c r="AI777" i="22"/>
  <c r="K778" i="22"/>
  <c r="AF778" i="22"/>
  <c r="AO778" i="22"/>
  <c r="I779" i="22"/>
  <c r="Q779" i="22"/>
  <c r="AM779" i="22"/>
  <c r="D781" i="22"/>
  <c r="M781" i="22"/>
  <c r="X781" i="22"/>
  <c r="AI781" i="22"/>
  <c r="K782" i="22"/>
  <c r="AF782" i="22"/>
  <c r="AO782" i="22"/>
  <c r="I783" i="22"/>
  <c r="Q783" i="22"/>
  <c r="AM783" i="22"/>
  <c r="D785" i="22"/>
  <c r="M785" i="22"/>
  <c r="X785" i="22"/>
  <c r="AI785" i="22"/>
  <c r="K786" i="22"/>
  <c r="AF786" i="22"/>
  <c r="AO786" i="22"/>
  <c r="D789" i="22"/>
  <c r="M789" i="22"/>
  <c r="X789" i="22"/>
  <c r="AI789" i="22"/>
  <c r="K790" i="22"/>
  <c r="AF790" i="22"/>
  <c r="AO790" i="22"/>
  <c r="I791" i="22"/>
  <c r="Q791" i="22"/>
  <c r="AM791" i="22"/>
  <c r="D793" i="22"/>
  <c r="M793" i="22"/>
  <c r="X793" i="22"/>
  <c r="AI793" i="22"/>
  <c r="K794" i="22"/>
  <c r="AF794" i="22"/>
  <c r="AO794" i="22"/>
  <c r="I795" i="22"/>
  <c r="Q795" i="22"/>
  <c r="AM795" i="22"/>
  <c r="D797" i="22"/>
  <c r="M797" i="22"/>
  <c r="X797" i="22"/>
  <c r="K798" i="22"/>
  <c r="AF798" i="22"/>
  <c r="I799" i="22"/>
  <c r="Q799" i="22"/>
  <c r="AM799" i="22"/>
  <c r="D801" i="22"/>
  <c r="M801" i="22"/>
  <c r="X801" i="22"/>
  <c r="AI801" i="22"/>
  <c r="K802" i="22"/>
  <c r="AF802" i="22"/>
  <c r="AO802" i="22"/>
  <c r="D805" i="22"/>
  <c r="M805" i="22"/>
  <c r="X805" i="22"/>
  <c r="AI805" i="22"/>
  <c r="AN806" i="22"/>
  <c r="AM806" i="22"/>
  <c r="K806" i="22"/>
  <c r="AF806" i="22"/>
  <c r="D807" i="22"/>
  <c r="AI807" i="22"/>
  <c r="AJ814" i="22"/>
  <c r="AD814" i="22"/>
  <c r="AJ822" i="22"/>
  <c r="AD822" i="22"/>
  <c r="K828" i="22"/>
  <c r="AJ834" i="22"/>
  <c r="AD834" i="22"/>
  <c r="AN836" i="22"/>
  <c r="AE836" i="22"/>
  <c r="J836" i="22"/>
  <c r="AM836" i="22"/>
  <c r="Q836" i="22"/>
  <c r="I836" i="22"/>
  <c r="AL836" i="22"/>
  <c r="AC836" i="22"/>
  <c r="P836" i="22"/>
  <c r="H836" i="22"/>
  <c r="AK836" i="22"/>
  <c r="AB836" i="22"/>
  <c r="O836" i="22"/>
  <c r="G836" i="22"/>
  <c r="A836" i="22" s="1"/>
  <c r="C836" i="22" s="1"/>
  <c r="AA836" i="22"/>
  <c r="N836" i="22"/>
  <c r="AI836" i="22"/>
  <c r="X836" i="22"/>
  <c r="M836" i="22"/>
  <c r="D836" i="22"/>
  <c r="AH836" i="22"/>
  <c r="T836" i="22"/>
  <c r="L836" i="22"/>
  <c r="AJ838" i="22"/>
  <c r="AD838" i="22"/>
  <c r="AN840" i="22"/>
  <c r="AE840" i="22"/>
  <c r="J840" i="22"/>
  <c r="AM840" i="22"/>
  <c r="Q840" i="22"/>
  <c r="I840" i="22"/>
  <c r="AL840" i="22"/>
  <c r="AC840" i="22"/>
  <c r="P840" i="22"/>
  <c r="H840" i="22"/>
  <c r="AK840" i="22"/>
  <c r="AB840" i="22"/>
  <c r="O840" i="22"/>
  <c r="G840" i="22"/>
  <c r="A840" i="22" s="1"/>
  <c r="C840" i="22" s="1"/>
  <c r="AA840" i="22"/>
  <c r="N840" i="22"/>
  <c r="AI840" i="22"/>
  <c r="X840" i="22"/>
  <c r="M840" i="22"/>
  <c r="D840" i="22"/>
  <c r="AH840" i="22"/>
  <c r="T840" i="22"/>
  <c r="L840" i="22"/>
  <c r="K844" i="22"/>
  <c r="AE767" i="22"/>
  <c r="AN767" i="22"/>
  <c r="N769" i="22"/>
  <c r="AA769" i="22"/>
  <c r="L770" i="22"/>
  <c r="T770" i="22"/>
  <c r="AH770" i="22"/>
  <c r="J771" i="22"/>
  <c r="AE771" i="22"/>
  <c r="AN771" i="22"/>
  <c r="N773" i="22"/>
  <c r="AA773" i="22"/>
  <c r="L774" i="22"/>
  <c r="T774" i="22"/>
  <c r="AH774" i="22"/>
  <c r="J775" i="22"/>
  <c r="AE775" i="22"/>
  <c r="AN775" i="22"/>
  <c r="N777" i="22"/>
  <c r="AA777" i="22"/>
  <c r="L778" i="22"/>
  <c r="T778" i="22"/>
  <c r="J779" i="22"/>
  <c r="AE779" i="22"/>
  <c r="AN779" i="22"/>
  <c r="N781" i="22"/>
  <c r="AA781" i="22"/>
  <c r="L782" i="22"/>
  <c r="T782" i="22"/>
  <c r="AH782" i="22"/>
  <c r="J783" i="22"/>
  <c r="AE783" i="22"/>
  <c r="AN783" i="22"/>
  <c r="N785" i="22"/>
  <c r="AA785" i="22"/>
  <c r="L786" i="22"/>
  <c r="T786" i="22"/>
  <c r="AH786" i="22"/>
  <c r="J787" i="22"/>
  <c r="AE787" i="22"/>
  <c r="AN787" i="22"/>
  <c r="N789" i="22"/>
  <c r="AA789" i="22"/>
  <c r="L790" i="22"/>
  <c r="T790" i="22"/>
  <c r="AH790" i="22"/>
  <c r="J791" i="22"/>
  <c r="AE791" i="22"/>
  <c r="AN791" i="22"/>
  <c r="N793" i="22"/>
  <c r="AA793" i="22"/>
  <c r="AH794" i="22"/>
  <c r="J795" i="22"/>
  <c r="AE795" i="22"/>
  <c r="AN795" i="22"/>
  <c r="J803" i="22"/>
  <c r="AE803" i="22"/>
  <c r="AN803" i="22"/>
  <c r="N805" i="22"/>
  <c r="AA805" i="22"/>
  <c r="L806" i="22"/>
  <c r="T806" i="22"/>
  <c r="AH806" i="22"/>
  <c r="AO807" i="22"/>
  <c r="AN816" i="22"/>
  <c r="AE816" i="22"/>
  <c r="J816" i="22"/>
  <c r="AM816" i="22"/>
  <c r="Q816" i="22"/>
  <c r="I816" i="22"/>
  <c r="AL816" i="22"/>
  <c r="AC816" i="22"/>
  <c r="P816" i="22"/>
  <c r="H816" i="22"/>
  <c r="AK816" i="22"/>
  <c r="AB816" i="22"/>
  <c r="O816" i="22"/>
  <c r="G816" i="22"/>
  <c r="A816" i="22" s="1"/>
  <c r="C816" i="22" s="1"/>
  <c r="AA816" i="22"/>
  <c r="N816" i="22"/>
  <c r="AI816" i="22"/>
  <c r="X816" i="22"/>
  <c r="M816" i="22"/>
  <c r="D816" i="22"/>
  <c r="AH816" i="22"/>
  <c r="T816" i="22"/>
  <c r="L816" i="22"/>
  <c r="AD823" i="22"/>
  <c r="AJ823" i="22"/>
  <c r="AJ826" i="22"/>
  <c r="AD826" i="22"/>
  <c r="AN832" i="22"/>
  <c r="AE832" i="22"/>
  <c r="J832" i="22"/>
  <c r="AM832" i="22"/>
  <c r="Q832" i="22"/>
  <c r="I832" i="22"/>
  <c r="AL832" i="22"/>
  <c r="AC832" i="22"/>
  <c r="P832" i="22"/>
  <c r="H832" i="22"/>
  <c r="AK832" i="22"/>
  <c r="AB832" i="22"/>
  <c r="O832" i="22"/>
  <c r="G832" i="22"/>
  <c r="A832" i="22" s="1"/>
  <c r="C832" i="22" s="1"/>
  <c r="AA832" i="22"/>
  <c r="N832" i="22"/>
  <c r="AI832" i="22"/>
  <c r="X832" i="22"/>
  <c r="M832" i="22"/>
  <c r="D832" i="22"/>
  <c r="AH832" i="22"/>
  <c r="T832" i="22"/>
  <c r="L832" i="22"/>
  <c r="AD833" i="22"/>
  <c r="K836" i="22"/>
  <c r="K767" i="22"/>
  <c r="AF767" i="22"/>
  <c r="AO767" i="22"/>
  <c r="G769" i="22"/>
  <c r="A769" i="22" s="1"/>
  <c r="C769" i="22" s="1"/>
  <c r="O769" i="22"/>
  <c r="AB769" i="22"/>
  <c r="AK769" i="22"/>
  <c r="D770" i="22"/>
  <c r="M770" i="22"/>
  <c r="X770" i="22"/>
  <c r="AI770" i="22"/>
  <c r="K771" i="22"/>
  <c r="AF771" i="22"/>
  <c r="AO771" i="22"/>
  <c r="G773" i="22"/>
  <c r="A773" i="22" s="1"/>
  <c r="C773" i="22" s="1"/>
  <c r="O773" i="22"/>
  <c r="AB773" i="22"/>
  <c r="AK773" i="22"/>
  <c r="D774" i="22"/>
  <c r="M774" i="22"/>
  <c r="X774" i="22"/>
  <c r="AI774" i="22"/>
  <c r="K775" i="22"/>
  <c r="AF775" i="22"/>
  <c r="G777" i="22"/>
  <c r="A777" i="22" s="1"/>
  <c r="C777" i="22" s="1"/>
  <c r="O777" i="22"/>
  <c r="AB777" i="22"/>
  <c r="AK777" i="22"/>
  <c r="K779" i="22"/>
  <c r="AF779" i="22"/>
  <c r="AO779" i="22"/>
  <c r="G781" i="22"/>
  <c r="A781" i="22" s="1"/>
  <c r="C781" i="22" s="1"/>
  <c r="O781" i="22"/>
  <c r="AB781" i="22"/>
  <c r="AK781" i="22"/>
  <c r="K783" i="22"/>
  <c r="AF783" i="22"/>
  <c r="AO783" i="22"/>
  <c r="G785" i="22"/>
  <c r="A785" i="22" s="1"/>
  <c r="C785" i="22" s="1"/>
  <c r="O785" i="22"/>
  <c r="AB785" i="22"/>
  <c r="AK785" i="22"/>
  <c r="D786" i="22"/>
  <c r="M786" i="22"/>
  <c r="X786" i="22"/>
  <c r="AI786" i="22"/>
  <c r="K787" i="22"/>
  <c r="AF787" i="22"/>
  <c r="AO787" i="22"/>
  <c r="G789" i="22"/>
  <c r="A789" i="22" s="1"/>
  <c r="C789" i="22" s="1"/>
  <c r="O789" i="22"/>
  <c r="AB789" i="22"/>
  <c r="AK789" i="22"/>
  <c r="D790" i="22"/>
  <c r="M790" i="22"/>
  <c r="X790" i="22"/>
  <c r="AI790" i="22"/>
  <c r="K791" i="22"/>
  <c r="AF791" i="22"/>
  <c r="AO791" i="22"/>
  <c r="G793" i="22"/>
  <c r="A793" i="22" s="1"/>
  <c r="C793" i="22" s="1"/>
  <c r="O793" i="22"/>
  <c r="AB793" i="22"/>
  <c r="AK793" i="22"/>
  <c r="K795" i="22"/>
  <c r="AF795" i="22"/>
  <c r="AO795" i="22"/>
  <c r="K799" i="22"/>
  <c r="AF799" i="22"/>
  <c r="AO799" i="22"/>
  <c r="G801" i="22"/>
  <c r="A801" i="22" s="1"/>
  <c r="C801" i="22" s="1"/>
  <c r="O801" i="22"/>
  <c r="AB801" i="22"/>
  <c r="AK801" i="22"/>
  <c r="D802" i="22"/>
  <c r="M802" i="22"/>
  <c r="X802" i="22"/>
  <c r="AI802" i="22"/>
  <c r="K803" i="22"/>
  <c r="AF803" i="22"/>
  <c r="AO803" i="22"/>
  <c r="G805" i="22"/>
  <c r="A805" i="22" s="1"/>
  <c r="C805" i="22" s="1"/>
  <c r="O805" i="22"/>
  <c r="AB805" i="22"/>
  <c r="AK805" i="22"/>
  <c r="D806" i="22"/>
  <c r="M806" i="22"/>
  <c r="X806" i="22"/>
  <c r="AI806" i="22"/>
  <c r="K807" i="22"/>
  <c r="AN808" i="22"/>
  <c r="AE808" i="22"/>
  <c r="J808" i="22"/>
  <c r="AL808" i="22"/>
  <c r="AC808" i="22"/>
  <c r="P808" i="22"/>
  <c r="H808" i="22"/>
  <c r="AK808" i="22"/>
  <c r="AB808" i="22"/>
  <c r="O808" i="22"/>
  <c r="G808" i="22"/>
  <c r="A808" i="22" s="1"/>
  <c r="C808" i="22" s="1"/>
  <c r="AA808" i="22"/>
  <c r="N808" i="22"/>
  <c r="AI808" i="22"/>
  <c r="X808" i="22"/>
  <c r="M808" i="22"/>
  <c r="D808" i="22"/>
  <c r="AH808" i="22"/>
  <c r="T808" i="22"/>
  <c r="L808" i="22"/>
  <c r="AO808" i="22"/>
  <c r="AN812" i="22"/>
  <c r="AE812" i="22"/>
  <c r="J812" i="22"/>
  <c r="AM812" i="22"/>
  <c r="Q812" i="22"/>
  <c r="I812" i="22"/>
  <c r="AL812" i="22"/>
  <c r="AC812" i="22"/>
  <c r="P812" i="22"/>
  <c r="H812" i="22"/>
  <c r="AK812" i="22"/>
  <c r="AB812" i="22"/>
  <c r="O812" i="22"/>
  <c r="G812" i="22"/>
  <c r="A812" i="22" s="1"/>
  <c r="C812" i="22" s="1"/>
  <c r="AA812" i="22"/>
  <c r="N812" i="22"/>
  <c r="AI812" i="22"/>
  <c r="X812" i="22"/>
  <c r="M812" i="22"/>
  <c r="D812" i="22"/>
  <c r="AH812" i="22"/>
  <c r="T812" i="22"/>
  <c r="L812" i="22"/>
  <c r="K816" i="22"/>
  <c r="AD819" i="22"/>
  <c r="AJ819" i="22"/>
  <c r="AD825" i="22"/>
  <c r="AF828" i="22"/>
  <c r="K832" i="22"/>
  <c r="AD839" i="22"/>
  <c r="AJ839" i="22"/>
  <c r="AF844" i="22"/>
  <c r="AD850" i="22"/>
  <c r="AJ850" i="22"/>
  <c r="L767" i="22"/>
  <c r="T767" i="22"/>
  <c r="H769" i="22"/>
  <c r="P769" i="22"/>
  <c r="AC769" i="22"/>
  <c r="N770" i="22"/>
  <c r="L771" i="22"/>
  <c r="T771" i="22"/>
  <c r="H773" i="22"/>
  <c r="P773" i="22"/>
  <c r="AC773" i="22"/>
  <c r="N774" i="22"/>
  <c r="L779" i="22"/>
  <c r="T779" i="22"/>
  <c r="H781" i="22"/>
  <c r="P781" i="22"/>
  <c r="AC781" i="22"/>
  <c r="N782" i="22"/>
  <c r="L783" i="22"/>
  <c r="T783" i="22"/>
  <c r="H785" i="22"/>
  <c r="P785" i="22"/>
  <c r="AC785" i="22"/>
  <c r="N786" i="22"/>
  <c r="L787" i="22"/>
  <c r="T787" i="22"/>
  <c r="H789" i="22"/>
  <c r="P789" i="22"/>
  <c r="AC789" i="22"/>
  <c r="N790" i="22"/>
  <c r="L791" i="22"/>
  <c r="T791" i="22"/>
  <c r="H793" i="22"/>
  <c r="P793" i="22"/>
  <c r="AC793" i="22"/>
  <c r="N794" i="22"/>
  <c r="L795" i="22"/>
  <c r="T795" i="22"/>
  <c r="L799" i="22"/>
  <c r="T799" i="22"/>
  <c r="H801" i="22"/>
  <c r="P801" i="22"/>
  <c r="AC801" i="22"/>
  <c r="N802" i="22"/>
  <c r="L803" i="22"/>
  <c r="T803" i="22"/>
  <c r="H805" i="22"/>
  <c r="P805" i="22"/>
  <c r="AC805" i="22"/>
  <c r="N806" i="22"/>
  <c r="AA806" i="22"/>
  <c r="M807" i="22"/>
  <c r="AN820" i="22"/>
  <c r="AE820" i="22"/>
  <c r="J820" i="22"/>
  <c r="AM820" i="22"/>
  <c r="Q820" i="22"/>
  <c r="I820" i="22"/>
  <c r="AL820" i="22"/>
  <c r="AC820" i="22"/>
  <c r="P820" i="22"/>
  <c r="H820" i="22"/>
  <c r="AK820" i="22"/>
  <c r="AB820" i="22"/>
  <c r="O820" i="22"/>
  <c r="G820" i="22"/>
  <c r="A820" i="22" s="1"/>
  <c r="C820" i="22" s="1"/>
  <c r="AA820" i="22"/>
  <c r="N820" i="22"/>
  <c r="AI820" i="22"/>
  <c r="X820" i="22"/>
  <c r="M820" i="22"/>
  <c r="D820" i="22"/>
  <c r="AH820" i="22"/>
  <c r="T820" i="22"/>
  <c r="L820" i="22"/>
  <c r="AO828" i="22"/>
  <c r="AF836" i="22"/>
  <c r="AO844" i="22"/>
  <c r="AD847" i="22"/>
  <c r="AJ847" i="22"/>
  <c r="AN848" i="22"/>
  <c r="AE848" i="22"/>
  <c r="J848" i="22"/>
  <c r="AM848" i="22"/>
  <c r="Q848" i="22"/>
  <c r="I848" i="22"/>
  <c r="AL848" i="22"/>
  <c r="AC848" i="22"/>
  <c r="P848" i="22"/>
  <c r="H848" i="22"/>
  <c r="AK848" i="22"/>
  <c r="AB848" i="22"/>
  <c r="O848" i="22"/>
  <c r="G848" i="22"/>
  <c r="A848" i="22" s="1"/>
  <c r="C848" i="22" s="1"/>
  <c r="AA848" i="22"/>
  <c r="N848" i="22"/>
  <c r="AI848" i="22"/>
  <c r="X848" i="22"/>
  <c r="M848" i="22"/>
  <c r="D848" i="22"/>
  <c r="AH848" i="22"/>
  <c r="T848" i="22"/>
  <c r="L848" i="22"/>
  <c r="AN876" i="22"/>
  <c r="AE876" i="22"/>
  <c r="J876" i="22"/>
  <c r="AM876" i="22"/>
  <c r="Q876" i="22"/>
  <c r="I876" i="22"/>
  <c r="AL876" i="22"/>
  <c r="AC876" i="22"/>
  <c r="P876" i="22"/>
  <c r="H876" i="22"/>
  <c r="AK876" i="22"/>
  <c r="AB876" i="22"/>
  <c r="O876" i="22"/>
  <c r="G876" i="22"/>
  <c r="A876" i="22" s="1"/>
  <c r="C876" i="22" s="1"/>
  <c r="AA876" i="22"/>
  <c r="N876" i="22"/>
  <c r="AI876" i="22"/>
  <c r="X876" i="22"/>
  <c r="M876" i="22"/>
  <c r="D876" i="22"/>
  <c r="AH876" i="22"/>
  <c r="T876" i="22"/>
  <c r="L876" i="22"/>
  <c r="AO876" i="22"/>
  <c r="AF876" i="22"/>
  <c r="K876" i="22"/>
  <c r="AC810" i="22"/>
  <c r="AL810" i="22"/>
  <c r="N811" i="22"/>
  <c r="AA811" i="22"/>
  <c r="J813" i="22"/>
  <c r="AE813" i="22"/>
  <c r="AN813" i="22"/>
  <c r="H814" i="22"/>
  <c r="P814" i="22"/>
  <c r="AC814" i="22"/>
  <c r="AL814" i="22"/>
  <c r="N815" i="22"/>
  <c r="AA815" i="22"/>
  <c r="J817" i="22"/>
  <c r="AE817" i="22"/>
  <c r="AN817" i="22"/>
  <c r="H818" i="22"/>
  <c r="P818" i="22"/>
  <c r="AC818" i="22"/>
  <c r="AL818" i="22"/>
  <c r="N819" i="22"/>
  <c r="AA819" i="22"/>
  <c r="J821" i="22"/>
  <c r="AE821" i="22"/>
  <c r="AN821" i="22"/>
  <c r="H822" i="22"/>
  <c r="P822" i="22"/>
  <c r="AC822" i="22"/>
  <c r="AL822" i="22"/>
  <c r="N823" i="22"/>
  <c r="AA823" i="22"/>
  <c r="J825" i="22"/>
  <c r="AE825" i="22"/>
  <c r="AN825" i="22"/>
  <c r="H826" i="22"/>
  <c r="P826" i="22"/>
  <c r="AC826" i="22"/>
  <c r="AL826" i="22"/>
  <c r="N827" i="22"/>
  <c r="AA827" i="22"/>
  <c r="N831" i="22"/>
  <c r="AA831" i="22"/>
  <c r="J833" i="22"/>
  <c r="AE833" i="22"/>
  <c r="AN833" i="22"/>
  <c r="H834" i="22"/>
  <c r="P834" i="22"/>
  <c r="AC834" i="22"/>
  <c r="AL834" i="22"/>
  <c r="N835" i="22"/>
  <c r="AA835" i="22"/>
  <c r="J837" i="22"/>
  <c r="AE837" i="22"/>
  <c r="AN837" i="22"/>
  <c r="H838" i="22"/>
  <c r="P838" i="22"/>
  <c r="AC838" i="22"/>
  <c r="AL838" i="22"/>
  <c r="N839" i="22"/>
  <c r="AA839" i="22"/>
  <c r="J841" i="22"/>
  <c r="AE841" i="22"/>
  <c r="AN841" i="22"/>
  <c r="P842" i="22"/>
  <c r="AC842" i="22"/>
  <c r="AL842" i="22"/>
  <c r="AF872" i="22"/>
  <c r="AJ874" i="22"/>
  <c r="AD874" i="22"/>
  <c r="AD875" i="22"/>
  <c r="AJ875" i="22"/>
  <c r="K809" i="22"/>
  <c r="AF809" i="22"/>
  <c r="AO809" i="22"/>
  <c r="I810" i="22"/>
  <c r="Q810" i="22"/>
  <c r="AM810" i="22"/>
  <c r="G811" i="22"/>
  <c r="A811" i="22" s="1"/>
  <c r="C811" i="22" s="1"/>
  <c r="O811" i="22"/>
  <c r="AB811" i="22"/>
  <c r="AK811" i="22"/>
  <c r="K813" i="22"/>
  <c r="AF813" i="22"/>
  <c r="AO813" i="22"/>
  <c r="I814" i="22"/>
  <c r="Q814" i="22"/>
  <c r="AM814" i="22"/>
  <c r="G815" i="22"/>
  <c r="A815" i="22" s="1"/>
  <c r="C815" i="22" s="1"/>
  <c r="O815" i="22"/>
  <c r="AB815" i="22"/>
  <c r="AK815" i="22"/>
  <c r="K817" i="22"/>
  <c r="AF817" i="22"/>
  <c r="AO817" i="22"/>
  <c r="I818" i="22"/>
  <c r="Q818" i="22"/>
  <c r="AM818" i="22"/>
  <c r="K821" i="22"/>
  <c r="AF821" i="22"/>
  <c r="AO821" i="22"/>
  <c r="K825" i="22"/>
  <c r="AF825" i="22"/>
  <c r="AO825" i="22"/>
  <c r="I826" i="22"/>
  <c r="Q826" i="22"/>
  <c r="AM826" i="22"/>
  <c r="G827" i="22"/>
  <c r="A827" i="22" s="1"/>
  <c r="C827" i="22" s="1"/>
  <c r="O827" i="22"/>
  <c r="AB827" i="22"/>
  <c r="AK827" i="22"/>
  <c r="K829" i="22"/>
  <c r="AF829" i="22"/>
  <c r="AO829" i="22"/>
  <c r="I830" i="22"/>
  <c r="Q830" i="22"/>
  <c r="AM830" i="22"/>
  <c r="G831" i="22"/>
  <c r="A831" i="22" s="1"/>
  <c r="C831" i="22" s="1"/>
  <c r="O831" i="22"/>
  <c r="AB831" i="22"/>
  <c r="AK831" i="22"/>
  <c r="K833" i="22"/>
  <c r="AF833" i="22"/>
  <c r="AO833" i="22"/>
  <c r="I834" i="22"/>
  <c r="Q834" i="22"/>
  <c r="AM834" i="22"/>
  <c r="G835" i="22"/>
  <c r="A835" i="22" s="1"/>
  <c r="C835" i="22" s="1"/>
  <c r="O835" i="22"/>
  <c r="AB835" i="22"/>
  <c r="AK835" i="22"/>
  <c r="K837" i="22"/>
  <c r="AF837" i="22"/>
  <c r="AO837" i="22"/>
  <c r="I838" i="22"/>
  <c r="Q838" i="22"/>
  <c r="AM838" i="22"/>
  <c r="K841" i="22"/>
  <c r="AF841" i="22"/>
  <c r="AO841" i="22"/>
  <c r="I842" i="22"/>
  <c r="Q842" i="22"/>
  <c r="AM842" i="22"/>
  <c r="G843" i="22"/>
  <c r="A843" i="22" s="1"/>
  <c r="C843" i="22" s="1"/>
  <c r="O843" i="22"/>
  <c r="AB843" i="22"/>
  <c r="AK843" i="22"/>
  <c r="K845" i="22"/>
  <c r="AF845" i="22"/>
  <c r="AO845" i="22"/>
  <c r="I846" i="22"/>
  <c r="Q846" i="22"/>
  <c r="AM846" i="22"/>
  <c r="O847" i="22"/>
  <c r="AB847" i="22"/>
  <c r="AK847" i="22"/>
  <c r="AO849" i="22"/>
  <c r="AN849" i="22"/>
  <c r="K849" i="22"/>
  <c r="AF849" i="22"/>
  <c r="AH851" i="22"/>
  <c r="T851" i="22"/>
  <c r="AO851" i="22"/>
  <c r="AF851" i="22"/>
  <c r="AN851" i="22"/>
  <c r="AE851" i="22"/>
  <c r="J851" i="22"/>
  <c r="AM851" i="22"/>
  <c r="Q851" i="22"/>
  <c r="I851" i="22"/>
  <c r="AL851" i="22"/>
  <c r="AK851" i="22"/>
  <c r="AB851" i="22"/>
  <c r="O851" i="22"/>
  <c r="G851" i="22"/>
  <c r="A851" i="22" s="1"/>
  <c r="C851" i="22" s="1"/>
  <c r="AA851" i="22"/>
  <c r="N851" i="22"/>
  <c r="X851" i="22"/>
  <c r="AN856" i="22"/>
  <c r="AE856" i="22"/>
  <c r="J856" i="22"/>
  <c r="AM856" i="22"/>
  <c r="Q856" i="22"/>
  <c r="I856" i="22"/>
  <c r="AL856" i="22"/>
  <c r="AC856" i="22"/>
  <c r="P856" i="22"/>
  <c r="H856" i="22"/>
  <c r="AK856" i="22"/>
  <c r="AB856" i="22"/>
  <c r="O856" i="22"/>
  <c r="G856" i="22"/>
  <c r="A856" i="22" s="1"/>
  <c r="C856" i="22" s="1"/>
  <c r="AA856" i="22"/>
  <c r="N856" i="22"/>
  <c r="AI856" i="22"/>
  <c r="X856" i="22"/>
  <c r="M856" i="22"/>
  <c r="D856" i="22"/>
  <c r="AH856" i="22"/>
  <c r="T856" i="22"/>
  <c r="L856" i="22"/>
  <c r="AD879" i="22"/>
  <c r="AJ879" i="22"/>
  <c r="L809" i="22"/>
  <c r="T809" i="22"/>
  <c r="AH809" i="22"/>
  <c r="J810" i="22"/>
  <c r="AE810" i="22"/>
  <c r="AN810" i="22"/>
  <c r="H811" i="22"/>
  <c r="P811" i="22"/>
  <c r="AC811" i="22"/>
  <c r="AL811" i="22"/>
  <c r="L813" i="22"/>
  <c r="T813" i="22"/>
  <c r="AH813" i="22"/>
  <c r="J814" i="22"/>
  <c r="AE814" i="22"/>
  <c r="AN814" i="22"/>
  <c r="H815" i="22"/>
  <c r="P815" i="22"/>
  <c r="AC815" i="22"/>
  <c r="AL815" i="22"/>
  <c r="L817" i="22"/>
  <c r="T817" i="22"/>
  <c r="AH817" i="22"/>
  <c r="J818" i="22"/>
  <c r="AE818" i="22"/>
  <c r="AN818" i="22"/>
  <c r="H819" i="22"/>
  <c r="P819" i="22"/>
  <c r="AC819" i="22"/>
  <c r="AL819" i="22"/>
  <c r="L821" i="22"/>
  <c r="T821" i="22"/>
  <c r="AH821" i="22"/>
  <c r="J822" i="22"/>
  <c r="AE822" i="22"/>
  <c r="AN822" i="22"/>
  <c r="H823" i="22"/>
  <c r="P823" i="22"/>
  <c r="AC823" i="22"/>
  <c r="AL823" i="22"/>
  <c r="L825" i="22"/>
  <c r="T825" i="22"/>
  <c r="AH825" i="22"/>
  <c r="J826" i="22"/>
  <c r="AE826" i="22"/>
  <c r="AN826" i="22"/>
  <c r="H827" i="22"/>
  <c r="P827" i="22"/>
  <c r="AC827" i="22"/>
  <c r="AL827" i="22"/>
  <c r="AH829" i="22"/>
  <c r="H831" i="22"/>
  <c r="P831" i="22"/>
  <c r="AC831" i="22"/>
  <c r="AL831" i="22"/>
  <c r="H835" i="22"/>
  <c r="P835" i="22"/>
  <c r="AC835" i="22"/>
  <c r="AL835" i="22"/>
  <c r="L841" i="22"/>
  <c r="T841" i="22"/>
  <c r="AH841" i="22"/>
  <c r="J842" i="22"/>
  <c r="AE842" i="22"/>
  <c r="AN842" i="22"/>
  <c r="H843" i="22"/>
  <c r="P843" i="22"/>
  <c r="AC843" i="22"/>
  <c r="AL843" i="22"/>
  <c r="L845" i="22"/>
  <c r="T845" i="22"/>
  <c r="AH845" i="22"/>
  <c r="J846" i="22"/>
  <c r="AE846" i="22"/>
  <c r="AN846" i="22"/>
  <c r="AN860" i="22"/>
  <c r="AE860" i="22"/>
  <c r="J860" i="22"/>
  <c r="AM860" i="22"/>
  <c r="Q860" i="22"/>
  <c r="I860" i="22"/>
  <c r="AL860" i="22"/>
  <c r="AC860" i="22"/>
  <c r="P860" i="22"/>
  <c r="H860" i="22"/>
  <c r="AK860" i="22"/>
  <c r="AB860" i="22"/>
  <c r="O860" i="22"/>
  <c r="G860" i="22"/>
  <c r="A860" i="22" s="1"/>
  <c r="C860" i="22" s="1"/>
  <c r="AA860" i="22"/>
  <c r="N860" i="22"/>
  <c r="AI860" i="22"/>
  <c r="X860" i="22"/>
  <c r="M860" i="22"/>
  <c r="D860" i="22"/>
  <c r="AH860" i="22"/>
  <c r="T860" i="22"/>
  <c r="L860" i="22"/>
  <c r="AD863" i="22"/>
  <c r="AJ863" i="22"/>
  <c r="AN864" i="22"/>
  <c r="AE864" i="22"/>
  <c r="J864" i="22"/>
  <c r="AM864" i="22"/>
  <c r="Q864" i="22"/>
  <c r="I864" i="22"/>
  <c r="AL864" i="22"/>
  <c r="AC864" i="22"/>
  <c r="P864" i="22"/>
  <c r="H864" i="22"/>
  <c r="AK864" i="22"/>
  <c r="AB864" i="22"/>
  <c r="O864" i="22"/>
  <c r="G864" i="22"/>
  <c r="A864" i="22" s="1"/>
  <c r="C864" i="22" s="1"/>
  <c r="AA864" i="22"/>
  <c r="N864" i="22"/>
  <c r="AI864" i="22"/>
  <c r="X864" i="22"/>
  <c r="M864" i="22"/>
  <c r="D864" i="22"/>
  <c r="AH864" i="22"/>
  <c r="T864" i="22"/>
  <c r="L864" i="22"/>
  <c r="AJ866" i="22"/>
  <c r="AD866" i="22"/>
  <c r="AN880" i="22"/>
  <c r="AE880" i="22"/>
  <c r="J880" i="22"/>
  <c r="AM880" i="22"/>
  <c r="Q880" i="22"/>
  <c r="I880" i="22"/>
  <c r="AL880" i="22"/>
  <c r="AC880" i="22"/>
  <c r="P880" i="22"/>
  <c r="H880" i="22"/>
  <c r="AK880" i="22"/>
  <c r="AB880" i="22"/>
  <c r="O880" i="22"/>
  <c r="G880" i="22"/>
  <c r="A880" i="22" s="1"/>
  <c r="C880" i="22" s="1"/>
  <c r="AA880" i="22"/>
  <c r="N880" i="22"/>
  <c r="AI880" i="22"/>
  <c r="X880" i="22"/>
  <c r="M880" i="22"/>
  <c r="D880" i="22"/>
  <c r="AH880" i="22"/>
  <c r="T880" i="22"/>
  <c r="L880" i="22"/>
  <c r="AN884" i="22"/>
  <c r="AE884" i="22"/>
  <c r="J884" i="22"/>
  <c r="AM884" i="22"/>
  <c r="Q884" i="22"/>
  <c r="I884" i="22"/>
  <c r="AL884" i="22"/>
  <c r="AC884" i="22"/>
  <c r="P884" i="22"/>
  <c r="H884" i="22"/>
  <c r="AK884" i="22"/>
  <c r="AB884" i="22"/>
  <c r="O884" i="22"/>
  <c r="G884" i="22"/>
  <c r="A884" i="22" s="1"/>
  <c r="C884" i="22" s="1"/>
  <c r="AA884" i="22"/>
  <c r="N884" i="22"/>
  <c r="AI884" i="22"/>
  <c r="X884" i="22"/>
  <c r="M884" i="22"/>
  <c r="D884" i="22"/>
  <c r="AH884" i="22"/>
  <c r="T884" i="22"/>
  <c r="L884" i="22"/>
  <c r="X809" i="22"/>
  <c r="AI809" i="22"/>
  <c r="K810" i="22"/>
  <c r="AF810" i="22"/>
  <c r="AO810" i="22"/>
  <c r="I811" i="22"/>
  <c r="Q811" i="22"/>
  <c r="AM811" i="22"/>
  <c r="D813" i="22"/>
  <c r="M813" i="22"/>
  <c r="X813" i="22"/>
  <c r="AI813" i="22"/>
  <c r="K814" i="22"/>
  <c r="AF814" i="22"/>
  <c r="AO814" i="22"/>
  <c r="I815" i="22"/>
  <c r="Q815" i="22"/>
  <c r="AM815" i="22"/>
  <c r="D817" i="22"/>
  <c r="M817" i="22"/>
  <c r="X817" i="22"/>
  <c r="AI817" i="22"/>
  <c r="K818" i="22"/>
  <c r="AF818" i="22"/>
  <c r="AO818" i="22"/>
  <c r="AM819" i="22"/>
  <c r="D821" i="22"/>
  <c r="M821" i="22"/>
  <c r="X821" i="22"/>
  <c r="AI821" i="22"/>
  <c r="K822" i="22"/>
  <c r="AF822" i="22"/>
  <c r="I823" i="22"/>
  <c r="Q823" i="22"/>
  <c r="AM823" i="22"/>
  <c r="D825" i="22"/>
  <c r="M825" i="22"/>
  <c r="X825" i="22"/>
  <c r="AI825" i="22"/>
  <c r="K826" i="22"/>
  <c r="AF826" i="22"/>
  <c r="AO826" i="22"/>
  <c r="I827" i="22"/>
  <c r="Q827" i="22"/>
  <c r="AM827" i="22"/>
  <c r="D829" i="22"/>
  <c r="M829" i="22"/>
  <c r="X829" i="22"/>
  <c r="AI829" i="22"/>
  <c r="K830" i="22"/>
  <c r="AF830" i="22"/>
  <c r="AO830" i="22"/>
  <c r="I831" i="22"/>
  <c r="Q831" i="22"/>
  <c r="AM831" i="22"/>
  <c r="K834" i="22"/>
  <c r="AF834" i="22"/>
  <c r="AO834" i="22"/>
  <c r="I835" i="22"/>
  <c r="Q835" i="22"/>
  <c r="AM835" i="22"/>
  <c r="X837" i="22"/>
  <c r="AI837" i="22"/>
  <c r="K838" i="22"/>
  <c r="AF838" i="22"/>
  <c r="AO838" i="22"/>
  <c r="D841" i="22"/>
  <c r="M841" i="22"/>
  <c r="X841" i="22"/>
  <c r="AI841" i="22"/>
  <c r="K842" i="22"/>
  <c r="AF842" i="22"/>
  <c r="AO842" i="22"/>
  <c r="I843" i="22"/>
  <c r="Q843" i="22"/>
  <c r="AM843" i="22"/>
  <c r="D845" i="22"/>
  <c r="M845" i="22"/>
  <c r="X845" i="22"/>
  <c r="AI845" i="22"/>
  <c r="K846" i="22"/>
  <c r="AF846" i="22"/>
  <c r="AO846" i="22"/>
  <c r="I847" i="22"/>
  <c r="Q847" i="22"/>
  <c r="AM847" i="22"/>
  <c r="D849" i="22"/>
  <c r="M849" i="22"/>
  <c r="X849" i="22"/>
  <c r="AI849" i="22"/>
  <c r="D851" i="22"/>
  <c r="AI851" i="22"/>
  <c r="AJ854" i="22"/>
  <c r="AD854" i="22"/>
  <c r="K860" i="22"/>
  <c r="K864" i="22"/>
  <c r="AJ878" i="22"/>
  <c r="AD878" i="22"/>
  <c r="K880" i="22"/>
  <c r="AD883" i="22"/>
  <c r="AJ883" i="22"/>
  <c r="K884" i="22"/>
  <c r="N809" i="22"/>
  <c r="AA809" i="22"/>
  <c r="L810" i="22"/>
  <c r="T810" i="22"/>
  <c r="AH810" i="22"/>
  <c r="J811" i="22"/>
  <c r="AE811" i="22"/>
  <c r="AN811" i="22"/>
  <c r="N813" i="22"/>
  <c r="AA813" i="22"/>
  <c r="L814" i="22"/>
  <c r="T814" i="22"/>
  <c r="AH814" i="22"/>
  <c r="J815" i="22"/>
  <c r="AE815" i="22"/>
  <c r="AN815" i="22"/>
  <c r="N817" i="22"/>
  <c r="AA817" i="22"/>
  <c r="L818" i="22"/>
  <c r="T818" i="22"/>
  <c r="AH818" i="22"/>
  <c r="J819" i="22"/>
  <c r="AE819" i="22"/>
  <c r="AN819" i="22"/>
  <c r="N821" i="22"/>
  <c r="AA821" i="22"/>
  <c r="N825" i="22"/>
  <c r="L826" i="22"/>
  <c r="T826" i="22"/>
  <c r="J827" i="22"/>
  <c r="AE827" i="22"/>
  <c r="AN827" i="22"/>
  <c r="N829" i="22"/>
  <c r="AA829" i="22"/>
  <c r="L830" i="22"/>
  <c r="T830" i="22"/>
  <c r="AH830" i="22"/>
  <c r="J831" i="22"/>
  <c r="AE831" i="22"/>
  <c r="AN831" i="22"/>
  <c r="N833" i="22"/>
  <c r="AA833" i="22"/>
  <c r="L834" i="22"/>
  <c r="T834" i="22"/>
  <c r="AH834" i="22"/>
  <c r="J835" i="22"/>
  <c r="AE835" i="22"/>
  <c r="AN835" i="22"/>
  <c r="N837" i="22"/>
  <c r="AA837" i="22"/>
  <c r="L838" i="22"/>
  <c r="T838" i="22"/>
  <c r="AH838" i="22"/>
  <c r="J839" i="22"/>
  <c r="AE839" i="22"/>
  <c r="AN839" i="22"/>
  <c r="AA841" i="22"/>
  <c r="AE847" i="22"/>
  <c r="AN847" i="22"/>
  <c r="N849" i="22"/>
  <c r="AA849" i="22"/>
  <c r="AK849" i="22"/>
  <c r="H851" i="22"/>
  <c r="AN852" i="22"/>
  <c r="AE852" i="22"/>
  <c r="J852" i="22"/>
  <c r="AM852" i="22"/>
  <c r="Q852" i="22"/>
  <c r="I852" i="22"/>
  <c r="AL852" i="22"/>
  <c r="AC852" i="22"/>
  <c r="P852" i="22"/>
  <c r="H852" i="22"/>
  <c r="AK852" i="22"/>
  <c r="AB852" i="22"/>
  <c r="O852" i="22"/>
  <c r="G852" i="22"/>
  <c r="A852" i="22" s="1"/>
  <c r="C852" i="22" s="1"/>
  <c r="AA852" i="22"/>
  <c r="N852" i="22"/>
  <c r="AI852" i="22"/>
  <c r="X852" i="22"/>
  <c r="M852" i="22"/>
  <c r="D852" i="22"/>
  <c r="AH852" i="22"/>
  <c r="T852" i="22"/>
  <c r="L852" i="22"/>
  <c r="AN868" i="22"/>
  <c r="AE868" i="22"/>
  <c r="J868" i="22"/>
  <c r="AM868" i="22"/>
  <c r="Q868" i="22"/>
  <c r="I868" i="22"/>
  <c r="AL868" i="22"/>
  <c r="AC868" i="22"/>
  <c r="P868" i="22"/>
  <c r="H868" i="22"/>
  <c r="AK868" i="22"/>
  <c r="AB868" i="22"/>
  <c r="O868" i="22"/>
  <c r="G868" i="22"/>
  <c r="A868" i="22" s="1"/>
  <c r="C868" i="22" s="1"/>
  <c r="AA868" i="22"/>
  <c r="N868" i="22"/>
  <c r="AI868" i="22"/>
  <c r="X868" i="22"/>
  <c r="M868" i="22"/>
  <c r="D868" i="22"/>
  <c r="AH868" i="22"/>
  <c r="T868" i="22"/>
  <c r="L868" i="22"/>
  <c r="AD887" i="22"/>
  <c r="AJ887" i="22"/>
  <c r="AJ894" i="22"/>
  <c r="AD894" i="22"/>
  <c r="K811" i="22"/>
  <c r="AF811" i="22"/>
  <c r="AO811" i="22"/>
  <c r="AK813" i="22"/>
  <c r="D814" i="22"/>
  <c r="M814" i="22"/>
  <c r="X814" i="22"/>
  <c r="AI814" i="22"/>
  <c r="K815" i="22"/>
  <c r="AF815" i="22"/>
  <c r="AO815" i="22"/>
  <c r="G817" i="22"/>
  <c r="A817" i="22" s="1"/>
  <c r="C817" i="22" s="1"/>
  <c r="O817" i="22"/>
  <c r="AB817" i="22"/>
  <c r="AK817" i="22"/>
  <c r="D818" i="22"/>
  <c r="M818" i="22"/>
  <c r="X818" i="22"/>
  <c r="AI818" i="22"/>
  <c r="K819" i="22"/>
  <c r="AF819" i="22"/>
  <c r="AO819" i="22"/>
  <c r="G821" i="22"/>
  <c r="A821" i="22" s="1"/>
  <c r="C821" i="22" s="1"/>
  <c r="O821" i="22"/>
  <c r="AB821" i="22"/>
  <c r="AK821" i="22"/>
  <c r="K823" i="22"/>
  <c r="AF823" i="22"/>
  <c r="AO823" i="22"/>
  <c r="K827" i="22"/>
  <c r="AF827" i="22"/>
  <c r="AO827" i="22"/>
  <c r="K831" i="22"/>
  <c r="AF831" i="22"/>
  <c r="AO831" i="22"/>
  <c r="K835" i="22"/>
  <c r="AF835" i="22"/>
  <c r="AO835" i="22"/>
  <c r="G837" i="22"/>
  <c r="A837" i="22" s="1"/>
  <c r="C837" i="22" s="1"/>
  <c r="O837" i="22"/>
  <c r="AB837" i="22"/>
  <c r="AK837" i="22"/>
  <c r="D838" i="22"/>
  <c r="M838" i="22"/>
  <c r="X838" i="22"/>
  <c r="AI838" i="22"/>
  <c r="K839" i="22"/>
  <c r="AF839" i="22"/>
  <c r="AO839" i="22"/>
  <c r="G841" i="22"/>
  <c r="A841" i="22" s="1"/>
  <c r="C841" i="22" s="1"/>
  <c r="O841" i="22"/>
  <c r="AB841" i="22"/>
  <c r="AK841" i="22"/>
  <c r="D842" i="22"/>
  <c r="M842" i="22"/>
  <c r="X842" i="22"/>
  <c r="K843" i="22"/>
  <c r="AF843" i="22"/>
  <c r="G845" i="22"/>
  <c r="A845" i="22" s="1"/>
  <c r="C845" i="22" s="1"/>
  <c r="O845" i="22"/>
  <c r="AB845" i="22"/>
  <c r="D846" i="22"/>
  <c r="M846" i="22"/>
  <c r="X846" i="22"/>
  <c r="K847" i="22"/>
  <c r="AF847" i="22"/>
  <c r="AO847" i="22"/>
  <c r="G849" i="22"/>
  <c r="A849" i="22" s="1"/>
  <c r="C849" i="22" s="1"/>
  <c r="O849" i="22"/>
  <c r="AB849" i="22"/>
  <c r="AL849" i="22"/>
  <c r="K851" i="22"/>
  <c r="K852" i="22"/>
  <c r="AF860" i="22"/>
  <c r="AF864" i="22"/>
  <c r="AN872" i="22"/>
  <c r="AE872" i="22"/>
  <c r="J872" i="22"/>
  <c r="AM872" i="22"/>
  <c r="Q872" i="22"/>
  <c r="I872" i="22"/>
  <c r="AL872" i="22"/>
  <c r="AC872" i="22"/>
  <c r="P872" i="22"/>
  <c r="H872" i="22"/>
  <c r="AK872" i="22"/>
  <c r="AB872" i="22"/>
  <c r="O872" i="22"/>
  <c r="G872" i="22"/>
  <c r="A872" i="22" s="1"/>
  <c r="C872" i="22" s="1"/>
  <c r="AA872" i="22"/>
  <c r="N872" i="22"/>
  <c r="AI872" i="22"/>
  <c r="X872" i="22"/>
  <c r="M872" i="22"/>
  <c r="D872" i="22"/>
  <c r="AH872" i="22"/>
  <c r="T872" i="22"/>
  <c r="L872" i="22"/>
  <c r="AF880" i="22"/>
  <c r="AJ882" i="22"/>
  <c r="AD882" i="22"/>
  <c r="AF884" i="22"/>
  <c r="H809" i="22"/>
  <c r="P809" i="22"/>
  <c r="AC809" i="22"/>
  <c r="N810" i="22"/>
  <c r="L811" i="22"/>
  <c r="T811" i="22"/>
  <c r="H813" i="22"/>
  <c r="P813" i="22"/>
  <c r="AC813" i="22"/>
  <c r="N814" i="22"/>
  <c r="L815" i="22"/>
  <c r="T815" i="22"/>
  <c r="H817" i="22"/>
  <c r="P817" i="22"/>
  <c r="AC817" i="22"/>
  <c r="N818" i="22"/>
  <c r="L819" i="22"/>
  <c r="T819" i="22"/>
  <c r="H821" i="22"/>
  <c r="P821" i="22"/>
  <c r="AC821" i="22"/>
  <c r="L823" i="22"/>
  <c r="T823" i="22"/>
  <c r="L827" i="22"/>
  <c r="T827" i="22"/>
  <c r="H829" i="22"/>
  <c r="P829" i="22"/>
  <c r="AC829" i="22"/>
  <c r="N830" i="22"/>
  <c r="L831" i="22"/>
  <c r="T831" i="22"/>
  <c r="H833" i="22"/>
  <c r="P833" i="22"/>
  <c r="AC833" i="22"/>
  <c r="N834" i="22"/>
  <c r="L835" i="22"/>
  <c r="T835" i="22"/>
  <c r="H837" i="22"/>
  <c r="P837" i="22"/>
  <c r="AC837" i="22"/>
  <c r="N838" i="22"/>
  <c r="L839" i="22"/>
  <c r="T839" i="22"/>
  <c r="H841" i="22"/>
  <c r="P841" i="22"/>
  <c r="AC841" i="22"/>
  <c r="L847" i="22"/>
  <c r="T847" i="22"/>
  <c r="H849" i="22"/>
  <c r="P849" i="22"/>
  <c r="AC849" i="22"/>
  <c r="AM849" i="22"/>
  <c r="L851" i="22"/>
  <c r="AO860" i="22"/>
  <c r="AJ862" i="22"/>
  <c r="AD862" i="22"/>
  <c r="AO864" i="22"/>
  <c r="K872" i="22"/>
  <c r="AO880" i="22"/>
  <c r="AO884" i="22"/>
  <c r="AJ886" i="22"/>
  <c r="AD886" i="22"/>
  <c r="H850" i="22"/>
  <c r="P850" i="22"/>
  <c r="AC850" i="22"/>
  <c r="AL850" i="22"/>
  <c r="J853" i="22"/>
  <c r="AE853" i="22"/>
  <c r="AN853" i="22"/>
  <c r="H854" i="22"/>
  <c r="P854" i="22"/>
  <c r="AC854" i="22"/>
  <c r="AL854" i="22"/>
  <c r="N855" i="22"/>
  <c r="AA855" i="22"/>
  <c r="J857" i="22"/>
  <c r="AE857" i="22"/>
  <c r="AN857" i="22"/>
  <c r="H858" i="22"/>
  <c r="P858" i="22"/>
  <c r="AC858" i="22"/>
  <c r="AL858" i="22"/>
  <c r="N859" i="22"/>
  <c r="AA859" i="22"/>
  <c r="J861" i="22"/>
  <c r="AE861" i="22"/>
  <c r="AN861" i="22"/>
  <c r="J865" i="22"/>
  <c r="AE865" i="22"/>
  <c r="AN865" i="22"/>
  <c r="AC866" i="22"/>
  <c r="AL866" i="22"/>
  <c r="N867" i="22"/>
  <c r="AA867" i="22"/>
  <c r="J869" i="22"/>
  <c r="AE869" i="22"/>
  <c r="AN869" i="22"/>
  <c r="H870" i="22"/>
  <c r="P870" i="22"/>
  <c r="AC870" i="22"/>
  <c r="AL870" i="22"/>
  <c r="N871" i="22"/>
  <c r="AA871" i="22"/>
  <c r="J873" i="22"/>
  <c r="AE873" i="22"/>
  <c r="AN873" i="22"/>
  <c r="H874" i="22"/>
  <c r="P874" i="22"/>
  <c r="AC874" i="22"/>
  <c r="AL874" i="22"/>
  <c r="N875" i="22"/>
  <c r="AA875" i="22"/>
  <c r="J877" i="22"/>
  <c r="AE877" i="22"/>
  <c r="AN877" i="22"/>
  <c r="H878" i="22"/>
  <c r="P878" i="22"/>
  <c r="AC878" i="22"/>
  <c r="AL878" i="22"/>
  <c r="N879" i="22"/>
  <c r="AA879" i="22"/>
  <c r="J881" i="22"/>
  <c r="AE881" i="22"/>
  <c r="AN881" i="22"/>
  <c r="H882" i="22"/>
  <c r="P882" i="22"/>
  <c r="AC882" i="22"/>
  <c r="AL882" i="22"/>
  <c r="AA883" i="22"/>
  <c r="J885" i="22"/>
  <c r="AE885" i="22"/>
  <c r="AN885" i="22"/>
  <c r="H886" i="22"/>
  <c r="P886" i="22"/>
  <c r="AC886" i="22"/>
  <c r="AL886" i="22"/>
  <c r="AA890" i="22"/>
  <c r="N890" i="22"/>
  <c r="AI890" i="22"/>
  <c r="X890" i="22"/>
  <c r="M890" i="22"/>
  <c r="D890" i="22"/>
  <c r="AH890" i="22"/>
  <c r="T890" i="22"/>
  <c r="L890" i="22"/>
  <c r="AO890" i="22"/>
  <c r="AN890" i="22"/>
  <c r="AE890" i="22"/>
  <c r="J890" i="22"/>
  <c r="AM890" i="22"/>
  <c r="Q890" i="22"/>
  <c r="I890" i="22"/>
  <c r="AL890" i="22"/>
  <c r="AC890" i="22"/>
  <c r="P890" i="22"/>
  <c r="H890" i="22"/>
  <c r="AN892" i="22"/>
  <c r="AE892" i="22"/>
  <c r="J892" i="22"/>
  <c r="AM892" i="22"/>
  <c r="Q892" i="22"/>
  <c r="I892" i="22"/>
  <c r="AL892" i="22"/>
  <c r="AC892" i="22"/>
  <c r="P892" i="22"/>
  <c r="H892" i="22"/>
  <c r="AK892" i="22"/>
  <c r="AB892" i="22"/>
  <c r="O892" i="22"/>
  <c r="G892" i="22"/>
  <c r="A892" i="22" s="1"/>
  <c r="C892" i="22" s="1"/>
  <c r="AA892" i="22"/>
  <c r="N892" i="22"/>
  <c r="AI892" i="22"/>
  <c r="X892" i="22"/>
  <c r="M892" i="22"/>
  <c r="D892" i="22"/>
  <c r="AH892" i="22"/>
  <c r="T892" i="22"/>
  <c r="L892" i="22"/>
  <c r="AD901" i="22"/>
  <c r="AJ905" i="22"/>
  <c r="AD905" i="22"/>
  <c r="I850" i="22"/>
  <c r="Q850" i="22"/>
  <c r="AM850" i="22"/>
  <c r="K853" i="22"/>
  <c r="AF853" i="22"/>
  <c r="AO853" i="22"/>
  <c r="I854" i="22"/>
  <c r="Q854" i="22"/>
  <c r="AM854" i="22"/>
  <c r="G855" i="22"/>
  <c r="A855" i="22" s="1"/>
  <c r="C855" i="22" s="1"/>
  <c r="O855" i="22"/>
  <c r="AB855" i="22"/>
  <c r="AK855" i="22"/>
  <c r="K857" i="22"/>
  <c r="AF857" i="22"/>
  <c r="AO857" i="22"/>
  <c r="I858" i="22"/>
  <c r="Q858" i="22"/>
  <c r="AM858" i="22"/>
  <c r="G859" i="22"/>
  <c r="A859" i="22" s="1"/>
  <c r="C859" i="22" s="1"/>
  <c r="O859" i="22"/>
  <c r="AB859" i="22"/>
  <c r="AK859" i="22"/>
  <c r="K861" i="22"/>
  <c r="AF861" i="22"/>
  <c r="AO861" i="22"/>
  <c r="K865" i="22"/>
  <c r="AF865" i="22"/>
  <c r="AO865" i="22"/>
  <c r="Q866" i="22"/>
  <c r="AM866" i="22"/>
  <c r="G867" i="22"/>
  <c r="A867" i="22" s="1"/>
  <c r="C867" i="22" s="1"/>
  <c r="O867" i="22"/>
  <c r="AB867" i="22"/>
  <c r="AK867" i="22"/>
  <c r="K869" i="22"/>
  <c r="AF869" i="22"/>
  <c r="AO869" i="22"/>
  <c r="I870" i="22"/>
  <c r="Q870" i="22"/>
  <c r="AM870" i="22"/>
  <c r="G871" i="22"/>
  <c r="A871" i="22" s="1"/>
  <c r="C871" i="22" s="1"/>
  <c r="O871" i="22"/>
  <c r="AB871" i="22"/>
  <c r="AK871" i="22"/>
  <c r="K873" i="22"/>
  <c r="AF873" i="22"/>
  <c r="AO873" i="22"/>
  <c r="K877" i="22"/>
  <c r="AF877" i="22"/>
  <c r="AO877" i="22"/>
  <c r="K881" i="22"/>
  <c r="AF881" i="22"/>
  <c r="AO881" i="22"/>
  <c r="K885" i="22"/>
  <c r="AF885" i="22"/>
  <c r="AO885" i="22"/>
  <c r="G890" i="22"/>
  <c r="A890" i="22" s="1"/>
  <c r="C890" i="22" s="1"/>
  <c r="K892" i="22"/>
  <c r="AD897" i="22"/>
  <c r="AN904" i="22"/>
  <c r="AE904" i="22"/>
  <c r="J904" i="22"/>
  <c r="AM904" i="22"/>
  <c r="Q904" i="22"/>
  <c r="I904" i="22"/>
  <c r="AL904" i="22"/>
  <c r="AC904" i="22"/>
  <c r="P904" i="22"/>
  <c r="H904" i="22"/>
  <c r="AK904" i="22"/>
  <c r="AB904" i="22"/>
  <c r="O904" i="22"/>
  <c r="G904" i="22"/>
  <c r="A904" i="22" s="1"/>
  <c r="C904" i="22" s="1"/>
  <c r="AA904" i="22"/>
  <c r="N904" i="22"/>
  <c r="AI904" i="22"/>
  <c r="X904" i="22"/>
  <c r="M904" i="22"/>
  <c r="D904" i="22"/>
  <c r="AH904" i="22"/>
  <c r="T904" i="22"/>
  <c r="L904" i="22"/>
  <c r="AC855" i="22"/>
  <c r="AL855" i="22"/>
  <c r="L857" i="22"/>
  <c r="T857" i="22"/>
  <c r="AH857" i="22"/>
  <c r="J858" i="22"/>
  <c r="AE858" i="22"/>
  <c r="AN858" i="22"/>
  <c r="H859" i="22"/>
  <c r="P859" i="22"/>
  <c r="AC859" i="22"/>
  <c r="AL859" i="22"/>
  <c r="L861" i="22"/>
  <c r="T861" i="22"/>
  <c r="AH861" i="22"/>
  <c r="L865" i="22"/>
  <c r="T865" i="22"/>
  <c r="AH865" i="22"/>
  <c r="L873" i="22"/>
  <c r="T873" i="22"/>
  <c r="AH873" i="22"/>
  <c r="L877" i="22"/>
  <c r="T877" i="22"/>
  <c r="AH877" i="22"/>
  <c r="L881" i="22"/>
  <c r="T881" i="22"/>
  <c r="AH881" i="22"/>
  <c r="T885" i="22"/>
  <c r="AH885" i="22"/>
  <c r="AN900" i="22"/>
  <c r="AE900" i="22"/>
  <c r="J900" i="22"/>
  <c r="AM900" i="22"/>
  <c r="Q900" i="22"/>
  <c r="I900" i="22"/>
  <c r="AL900" i="22"/>
  <c r="AC900" i="22"/>
  <c r="P900" i="22"/>
  <c r="H900" i="22"/>
  <c r="AK900" i="22"/>
  <c r="AB900" i="22"/>
  <c r="O900" i="22"/>
  <c r="G900" i="22"/>
  <c r="A900" i="22" s="1"/>
  <c r="C900" i="22" s="1"/>
  <c r="AA900" i="22"/>
  <c r="N900" i="22"/>
  <c r="AI900" i="22"/>
  <c r="X900" i="22"/>
  <c r="M900" i="22"/>
  <c r="D900" i="22"/>
  <c r="AH900" i="22"/>
  <c r="T900" i="22"/>
  <c r="L900" i="22"/>
  <c r="K850" i="22"/>
  <c r="AF850" i="22"/>
  <c r="AO850" i="22"/>
  <c r="M853" i="22"/>
  <c r="X853" i="22"/>
  <c r="AI853" i="22"/>
  <c r="K854" i="22"/>
  <c r="AF854" i="22"/>
  <c r="AO854" i="22"/>
  <c r="D857" i="22"/>
  <c r="M857" i="22"/>
  <c r="X857" i="22"/>
  <c r="AI857" i="22"/>
  <c r="K858" i="22"/>
  <c r="AF858" i="22"/>
  <c r="AO858" i="22"/>
  <c r="I859" i="22"/>
  <c r="Q859" i="22"/>
  <c r="AM859" i="22"/>
  <c r="D861" i="22"/>
  <c r="M861" i="22"/>
  <c r="X861" i="22"/>
  <c r="AI861" i="22"/>
  <c r="K862" i="22"/>
  <c r="AF862" i="22"/>
  <c r="AO862" i="22"/>
  <c r="I863" i="22"/>
  <c r="Q863" i="22"/>
  <c r="AM863" i="22"/>
  <c r="D865" i="22"/>
  <c r="M865" i="22"/>
  <c r="X865" i="22"/>
  <c r="AI865" i="22"/>
  <c r="K866" i="22"/>
  <c r="AF866" i="22"/>
  <c r="AO866" i="22"/>
  <c r="I867" i="22"/>
  <c r="Q867" i="22"/>
  <c r="AM867" i="22"/>
  <c r="D869" i="22"/>
  <c r="M869" i="22"/>
  <c r="X869" i="22"/>
  <c r="AI869" i="22"/>
  <c r="K870" i="22"/>
  <c r="AF870" i="22"/>
  <c r="AO870" i="22"/>
  <c r="D873" i="22"/>
  <c r="M873" i="22"/>
  <c r="X873" i="22"/>
  <c r="AI873" i="22"/>
  <c r="K874" i="22"/>
  <c r="AF874" i="22"/>
  <c r="AO874" i="22"/>
  <c r="I875" i="22"/>
  <c r="Q875" i="22"/>
  <c r="AM875" i="22"/>
  <c r="D877" i="22"/>
  <c r="M877" i="22"/>
  <c r="X877" i="22"/>
  <c r="AI877" i="22"/>
  <c r="K878" i="22"/>
  <c r="AF878" i="22"/>
  <c r="AO878" i="22"/>
  <c r="Q879" i="22"/>
  <c r="AM879" i="22"/>
  <c r="D881" i="22"/>
  <c r="M881" i="22"/>
  <c r="X881" i="22"/>
  <c r="AI881" i="22"/>
  <c r="K882" i="22"/>
  <c r="AF882" i="22"/>
  <c r="AO882" i="22"/>
  <c r="D885" i="22"/>
  <c r="M885" i="22"/>
  <c r="X885" i="22"/>
  <c r="AI885" i="22"/>
  <c r="K886" i="22"/>
  <c r="AF886" i="22"/>
  <c r="AO886" i="22"/>
  <c r="AN896" i="22"/>
  <c r="AE896" i="22"/>
  <c r="J896" i="22"/>
  <c r="AM896" i="22"/>
  <c r="Q896" i="22"/>
  <c r="I896" i="22"/>
  <c r="AL896" i="22"/>
  <c r="AC896" i="22"/>
  <c r="P896" i="22"/>
  <c r="H896" i="22"/>
  <c r="AK896" i="22"/>
  <c r="AB896" i="22"/>
  <c r="O896" i="22"/>
  <c r="G896" i="22"/>
  <c r="A896" i="22" s="1"/>
  <c r="C896" i="22" s="1"/>
  <c r="AA896" i="22"/>
  <c r="N896" i="22"/>
  <c r="AI896" i="22"/>
  <c r="X896" i="22"/>
  <c r="M896" i="22"/>
  <c r="D896" i="22"/>
  <c r="AH896" i="22"/>
  <c r="T896" i="22"/>
  <c r="L896" i="22"/>
  <c r="K900" i="22"/>
  <c r="AJ906" i="22"/>
  <c r="AD906" i="22"/>
  <c r="L850" i="22"/>
  <c r="T850" i="22"/>
  <c r="N853" i="22"/>
  <c r="AA853" i="22"/>
  <c r="L854" i="22"/>
  <c r="T854" i="22"/>
  <c r="AH854" i="22"/>
  <c r="AA857" i="22"/>
  <c r="L858" i="22"/>
  <c r="T858" i="22"/>
  <c r="AH858" i="22"/>
  <c r="J859" i="22"/>
  <c r="AE859" i="22"/>
  <c r="AN859" i="22"/>
  <c r="N861" i="22"/>
  <c r="AA861" i="22"/>
  <c r="L862" i="22"/>
  <c r="T862" i="22"/>
  <c r="AH862" i="22"/>
  <c r="J863" i="22"/>
  <c r="AE863" i="22"/>
  <c r="AN863" i="22"/>
  <c r="N865" i="22"/>
  <c r="AA865" i="22"/>
  <c r="L866" i="22"/>
  <c r="T866" i="22"/>
  <c r="J867" i="22"/>
  <c r="AE867" i="22"/>
  <c r="AN867" i="22"/>
  <c r="N869" i="22"/>
  <c r="AA869" i="22"/>
  <c r="L870" i="22"/>
  <c r="T870" i="22"/>
  <c r="AH870" i="22"/>
  <c r="J871" i="22"/>
  <c r="AE871" i="22"/>
  <c r="AN871" i="22"/>
  <c r="N873" i="22"/>
  <c r="AA873" i="22"/>
  <c r="N877" i="22"/>
  <c r="AA877" i="22"/>
  <c r="AE879" i="22"/>
  <c r="AN879" i="22"/>
  <c r="N881" i="22"/>
  <c r="AA881" i="22"/>
  <c r="L882" i="22"/>
  <c r="T882" i="22"/>
  <c r="AH882" i="22"/>
  <c r="J883" i="22"/>
  <c r="AE883" i="22"/>
  <c r="AN883" i="22"/>
  <c r="N885" i="22"/>
  <c r="AA885" i="22"/>
  <c r="L886" i="22"/>
  <c r="T886" i="22"/>
  <c r="AH886" i="22"/>
  <c r="J887" i="22"/>
  <c r="AN888" i="22"/>
  <c r="AE888" i="22"/>
  <c r="J888" i="22"/>
  <c r="AM888" i="22"/>
  <c r="Q888" i="22"/>
  <c r="I888" i="22"/>
  <c r="AL888" i="22"/>
  <c r="AC888" i="22"/>
  <c r="P888" i="22"/>
  <c r="H888" i="22"/>
  <c r="AA888" i="22"/>
  <c r="N888" i="22"/>
  <c r="AI888" i="22"/>
  <c r="X888" i="22"/>
  <c r="AH888" i="22"/>
  <c r="T888" i="22"/>
  <c r="L888" i="22"/>
  <c r="AF888" i="22"/>
  <c r="AO892" i="22"/>
  <c r="K896" i="22"/>
  <c r="AF904" i="22"/>
  <c r="AD908" i="22"/>
  <c r="AJ908" i="22"/>
  <c r="G853" i="22"/>
  <c r="A853" i="22" s="1"/>
  <c r="C853" i="22" s="1"/>
  <c r="O853" i="22"/>
  <c r="AB853" i="22"/>
  <c r="AK853" i="22"/>
  <c r="D854" i="22"/>
  <c r="M854" i="22"/>
  <c r="X854" i="22"/>
  <c r="AI854" i="22"/>
  <c r="K855" i="22"/>
  <c r="AF855" i="22"/>
  <c r="AO855" i="22"/>
  <c r="G857" i="22"/>
  <c r="A857" i="22" s="1"/>
  <c r="C857" i="22" s="1"/>
  <c r="O857" i="22"/>
  <c r="AB857" i="22"/>
  <c r="AK857" i="22"/>
  <c r="AI858" i="22"/>
  <c r="K859" i="22"/>
  <c r="AF859" i="22"/>
  <c r="AO859" i="22"/>
  <c r="G861" i="22"/>
  <c r="A861" i="22" s="1"/>
  <c r="C861" i="22" s="1"/>
  <c r="O861" i="22"/>
  <c r="AB861" i="22"/>
  <c r="AK861" i="22"/>
  <c r="D862" i="22"/>
  <c r="M862" i="22"/>
  <c r="X862" i="22"/>
  <c r="K863" i="22"/>
  <c r="AF863" i="22"/>
  <c r="G865" i="22"/>
  <c r="A865" i="22" s="1"/>
  <c r="C865" i="22" s="1"/>
  <c r="O865" i="22"/>
  <c r="AB865" i="22"/>
  <c r="AK865" i="22"/>
  <c r="K867" i="22"/>
  <c r="AF867" i="22"/>
  <c r="AO867" i="22"/>
  <c r="G869" i="22"/>
  <c r="A869" i="22" s="1"/>
  <c r="C869" i="22" s="1"/>
  <c r="O869" i="22"/>
  <c r="AB869" i="22"/>
  <c r="D870" i="22"/>
  <c r="M870" i="22"/>
  <c r="X870" i="22"/>
  <c r="K871" i="22"/>
  <c r="AF871" i="22"/>
  <c r="AO871" i="22"/>
  <c r="G873" i="22"/>
  <c r="A873" i="22" s="1"/>
  <c r="C873" i="22" s="1"/>
  <c r="O873" i="22"/>
  <c r="AB873" i="22"/>
  <c r="AK873" i="22"/>
  <c r="D874" i="22"/>
  <c r="M874" i="22"/>
  <c r="X874" i="22"/>
  <c r="AI874" i="22"/>
  <c r="K875" i="22"/>
  <c r="AF875" i="22"/>
  <c r="AO875" i="22"/>
  <c r="G877" i="22"/>
  <c r="A877" i="22" s="1"/>
  <c r="C877" i="22" s="1"/>
  <c r="O877" i="22"/>
  <c r="AB877" i="22"/>
  <c r="AK877" i="22"/>
  <c r="D878" i="22"/>
  <c r="M878" i="22"/>
  <c r="X878" i="22"/>
  <c r="AI878" i="22"/>
  <c r="K879" i="22"/>
  <c r="AF879" i="22"/>
  <c r="AO879" i="22"/>
  <c r="G881" i="22"/>
  <c r="A881" i="22" s="1"/>
  <c r="C881" i="22" s="1"/>
  <c r="O881" i="22"/>
  <c r="AB881" i="22"/>
  <c r="AK881" i="22"/>
  <c r="D882" i="22"/>
  <c r="M882" i="22"/>
  <c r="X882" i="22"/>
  <c r="AI882" i="22"/>
  <c r="K883" i="22"/>
  <c r="AF883" i="22"/>
  <c r="AO883" i="22"/>
  <c r="G885" i="22"/>
  <c r="A885" i="22" s="1"/>
  <c r="C885" i="22" s="1"/>
  <c r="O885" i="22"/>
  <c r="AB885" i="22"/>
  <c r="AK885" i="22"/>
  <c r="D886" i="22"/>
  <c r="M886" i="22"/>
  <c r="X886" i="22"/>
  <c r="AI886" i="22"/>
  <c r="AO887" i="22"/>
  <c r="AN887" i="22"/>
  <c r="K887" i="22"/>
  <c r="AF887" i="22"/>
  <c r="AB890" i="22"/>
  <c r="AF900" i="22"/>
  <c r="AJ902" i="22"/>
  <c r="AD902" i="22"/>
  <c r="AO904" i="22"/>
  <c r="H853" i="22"/>
  <c r="P853" i="22"/>
  <c r="AC853" i="22"/>
  <c r="N854" i="22"/>
  <c r="L855" i="22"/>
  <c r="T855" i="22"/>
  <c r="H857" i="22"/>
  <c r="P857" i="22"/>
  <c r="AC857" i="22"/>
  <c r="N858" i="22"/>
  <c r="L859" i="22"/>
  <c r="T859" i="22"/>
  <c r="H861" i="22"/>
  <c r="P861" i="22"/>
  <c r="AC861" i="22"/>
  <c r="T867" i="22"/>
  <c r="L871" i="22"/>
  <c r="T871" i="22"/>
  <c r="H873" i="22"/>
  <c r="P873" i="22"/>
  <c r="AC873" i="22"/>
  <c r="N874" i="22"/>
  <c r="L875" i="22"/>
  <c r="T875" i="22"/>
  <c r="H877" i="22"/>
  <c r="P877" i="22"/>
  <c r="AC877" i="22"/>
  <c r="N878" i="22"/>
  <c r="L879" i="22"/>
  <c r="T879" i="22"/>
  <c r="H881" i="22"/>
  <c r="P881" i="22"/>
  <c r="AC881" i="22"/>
  <c r="N882" i="22"/>
  <c r="L883" i="22"/>
  <c r="T883" i="22"/>
  <c r="H885" i="22"/>
  <c r="P885" i="22"/>
  <c r="AC885" i="22"/>
  <c r="N886" i="22"/>
  <c r="L887" i="22"/>
  <c r="T887" i="22"/>
  <c r="AH887" i="22"/>
  <c r="G888" i="22"/>
  <c r="A888" i="22" s="1"/>
  <c r="C888" i="22" s="1"/>
  <c r="AO888" i="22"/>
  <c r="AF890" i="22"/>
  <c r="AF896" i="22"/>
  <c r="AJ898" i="22"/>
  <c r="AD898" i="22"/>
  <c r="AO900" i="22"/>
  <c r="J889" i="22"/>
  <c r="AE889" i="22"/>
  <c r="AN889" i="22"/>
  <c r="N891" i="22"/>
  <c r="AA891" i="22"/>
  <c r="J893" i="22"/>
  <c r="AE893" i="22"/>
  <c r="AN893" i="22"/>
  <c r="H894" i="22"/>
  <c r="P894" i="22"/>
  <c r="AC894" i="22"/>
  <c r="AL894" i="22"/>
  <c r="N895" i="22"/>
  <c r="AA895" i="22"/>
  <c r="J897" i="22"/>
  <c r="AE897" i="22"/>
  <c r="AN897" i="22"/>
  <c r="H898" i="22"/>
  <c r="P898" i="22"/>
  <c r="AC898" i="22"/>
  <c r="AL898" i="22"/>
  <c r="N899" i="22"/>
  <c r="AA899" i="22"/>
  <c r="J901" i="22"/>
  <c r="AE901" i="22"/>
  <c r="AN901" i="22"/>
  <c r="H902" i="22"/>
  <c r="P902" i="22"/>
  <c r="AC902" i="22"/>
  <c r="AL902" i="22"/>
  <c r="N903" i="22"/>
  <c r="AA903" i="22"/>
  <c r="H906" i="22"/>
  <c r="AC906" i="22"/>
  <c r="AD911" i="22"/>
  <c r="AF914" i="22"/>
  <c r="AD916" i="22"/>
  <c r="AJ916" i="22"/>
  <c r="AJ946" i="22"/>
  <c r="AD946" i="22"/>
  <c r="K889" i="22"/>
  <c r="AF889" i="22"/>
  <c r="AO889" i="22"/>
  <c r="G891" i="22"/>
  <c r="A891" i="22" s="1"/>
  <c r="C891" i="22" s="1"/>
  <c r="O891" i="22"/>
  <c r="AB891" i="22"/>
  <c r="AK891" i="22"/>
  <c r="K893" i="22"/>
  <c r="AF893" i="22"/>
  <c r="AO893" i="22"/>
  <c r="I894" i="22"/>
  <c r="Q894" i="22"/>
  <c r="AM894" i="22"/>
  <c r="G895" i="22"/>
  <c r="A895" i="22" s="1"/>
  <c r="C895" i="22" s="1"/>
  <c r="O895" i="22"/>
  <c r="AB895" i="22"/>
  <c r="AK895" i="22"/>
  <c r="K897" i="22"/>
  <c r="AF897" i="22"/>
  <c r="AO897" i="22"/>
  <c r="I898" i="22"/>
  <c r="Q898" i="22"/>
  <c r="AM898" i="22"/>
  <c r="G899" i="22"/>
  <c r="A899" i="22" s="1"/>
  <c r="C899" i="22" s="1"/>
  <c r="O899" i="22"/>
  <c r="AB899" i="22"/>
  <c r="AK899" i="22"/>
  <c r="K901" i="22"/>
  <c r="AF901" i="22"/>
  <c r="AO901" i="22"/>
  <c r="I902" i="22"/>
  <c r="Q902" i="22"/>
  <c r="AM902" i="22"/>
  <c r="G903" i="22"/>
  <c r="A903" i="22" s="1"/>
  <c r="C903" i="22" s="1"/>
  <c r="O903" i="22"/>
  <c r="AB903" i="22"/>
  <c r="AK903" i="22"/>
  <c r="AL905" i="22"/>
  <c r="AA905" i="22"/>
  <c r="AO905" i="22"/>
  <c r="AF905" i="22"/>
  <c r="K905" i="22"/>
  <c r="AI905" i="22"/>
  <c r="K906" i="22"/>
  <c r="AF906" i="22"/>
  <c r="AD924" i="22"/>
  <c r="AJ924" i="22"/>
  <c r="L889" i="22"/>
  <c r="T889" i="22"/>
  <c r="AH889" i="22"/>
  <c r="H891" i="22"/>
  <c r="P891" i="22"/>
  <c r="AC891" i="22"/>
  <c r="AL891" i="22"/>
  <c r="L893" i="22"/>
  <c r="T893" i="22"/>
  <c r="AH893" i="22"/>
  <c r="J894" i="22"/>
  <c r="AE894" i="22"/>
  <c r="AN894" i="22"/>
  <c r="H895" i="22"/>
  <c r="P895" i="22"/>
  <c r="AC895" i="22"/>
  <c r="AL895" i="22"/>
  <c r="L897" i="22"/>
  <c r="T897" i="22"/>
  <c r="AH897" i="22"/>
  <c r="J898" i="22"/>
  <c r="AE898" i="22"/>
  <c r="AN898" i="22"/>
  <c r="H899" i="22"/>
  <c r="P899" i="22"/>
  <c r="AC899" i="22"/>
  <c r="AL899" i="22"/>
  <c r="L901" i="22"/>
  <c r="T901" i="22"/>
  <c r="AH901" i="22"/>
  <c r="J902" i="22"/>
  <c r="AE902" i="22"/>
  <c r="AN902" i="22"/>
  <c r="H903" i="22"/>
  <c r="P903" i="22"/>
  <c r="AC903" i="22"/>
  <c r="AL903" i="22"/>
  <c r="L905" i="22"/>
  <c r="T905" i="22"/>
  <c r="AK905" i="22"/>
  <c r="M906" i="22"/>
  <c r="AI906" i="22"/>
  <c r="AK914" i="22"/>
  <c r="AB914" i="22"/>
  <c r="O914" i="22"/>
  <c r="G914" i="22"/>
  <c r="A914" i="22" s="1"/>
  <c r="C914" i="22" s="1"/>
  <c r="AA914" i="22"/>
  <c r="N914" i="22"/>
  <c r="AI914" i="22"/>
  <c r="X914" i="22"/>
  <c r="M914" i="22"/>
  <c r="D914" i="22"/>
  <c r="AH914" i="22"/>
  <c r="T914" i="22"/>
  <c r="L914" i="22"/>
  <c r="AN914" i="22"/>
  <c r="AE914" i="22"/>
  <c r="J914" i="22"/>
  <c r="AM914" i="22"/>
  <c r="Q914" i="22"/>
  <c r="I914" i="22"/>
  <c r="AO914" i="22"/>
  <c r="AK918" i="22"/>
  <c r="AB918" i="22"/>
  <c r="O918" i="22"/>
  <c r="G918" i="22"/>
  <c r="A918" i="22" s="1"/>
  <c r="C918" i="22" s="1"/>
  <c r="AA918" i="22"/>
  <c r="N918" i="22"/>
  <c r="AI918" i="22"/>
  <c r="X918" i="22"/>
  <c r="M918" i="22"/>
  <c r="D918" i="22"/>
  <c r="AH918" i="22"/>
  <c r="T918" i="22"/>
  <c r="L918" i="22"/>
  <c r="AN918" i="22"/>
  <c r="AE918" i="22"/>
  <c r="J918" i="22"/>
  <c r="AM918" i="22"/>
  <c r="Q918" i="22"/>
  <c r="I918" i="22"/>
  <c r="AO918" i="22"/>
  <c r="K894" i="22"/>
  <c r="AF894" i="22"/>
  <c r="AO894" i="22"/>
  <c r="K898" i="22"/>
  <c r="AF898" i="22"/>
  <c r="AO898" i="22"/>
  <c r="K902" i="22"/>
  <c r="AF902" i="22"/>
  <c r="AO902" i="22"/>
  <c r="N889" i="22"/>
  <c r="AA889" i="22"/>
  <c r="J891" i="22"/>
  <c r="AE891" i="22"/>
  <c r="AN891" i="22"/>
  <c r="N893" i="22"/>
  <c r="AA893" i="22"/>
  <c r="L894" i="22"/>
  <c r="T894" i="22"/>
  <c r="AH894" i="22"/>
  <c r="J895" i="22"/>
  <c r="AE895" i="22"/>
  <c r="AN895" i="22"/>
  <c r="N897" i="22"/>
  <c r="AA897" i="22"/>
  <c r="L898" i="22"/>
  <c r="T898" i="22"/>
  <c r="AH898" i="22"/>
  <c r="J899" i="22"/>
  <c r="AE899" i="22"/>
  <c r="AN899" i="22"/>
  <c r="N901" i="22"/>
  <c r="AA901" i="22"/>
  <c r="L902" i="22"/>
  <c r="T902" i="22"/>
  <c r="AH902" i="22"/>
  <c r="J903" i="22"/>
  <c r="AE903" i="22"/>
  <c r="AN903" i="22"/>
  <c r="N905" i="22"/>
  <c r="AB905" i="22"/>
  <c r="AN905" i="22"/>
  <c r="P906" i="22"/>
  <c r="AK910" i="22"/>
  <c r="AB910" i="22"/>
  <c r="O910" i="22"/>
  <c r="G910" i="22"/>
  <c r="A910" i="22" s="1"/>
  <c r="C910" i="22" s="1"/>
  <c r="AA910" i="22"/>
  <c r="N910" i="22"/>
  <c r="AI910" i="22"/>
  <c r="X910" i="22"/>
  <c r="M910" i="22"/>
  <c r="D910" i="22"/>
  <c r="AH910" i="22"/>
  <c r="T910" i="22"/>
  <c r="L910" i="22"/>
  <c r="AN910" i="22"/>
  <c r="AE910" i="22"/>
  <c r="J910" i="22"/>
  <c r="AM910" i="22"/>
  <c r="Q910" i="22"/>
  <c r="I910" i="22"/>
  <c r="AO910" i="22"/>
  <c r="K914" i="22"/>
  <c r="K918" i="22"/>
  <c r="G889" i="22"/>
  <c r="A889" i="22" s="1"/>
  <c r="C889" i="22" s="1"/>
  <c r="O889" i="22"/>
  <c r="AB889" i="22"/>
  <c r="AK889" i="22"/>
  <c r="K891" i="22"/>
  <c r="AF891" i="22"/>
  <c r="AO891" i="22"/>
  <c r="G893" i="22"/>
  <c r="A893" i="22" s="1"/>
  <c r="C893" i="22" s="1"/>
  <c r="O893" i="22"/>
  <c r="AB893" i="22"/>
  <c r="AK893" i="22"/>
  <c r="D894" i="22"/>
  <c r="M894" i="22"/>
  <c r="X894" i="22"/>
  <c r="AI894" i="22"/>
  <c r="K895" i="22"/>
  <c r="AF895" i="22"/>
  <c r="AO895" i="22"/>
  <c r="D898" i="22"/>
  <c r="M898" i="22"/>
  <c r="X898" i="22"/>
  <c r="AI898" i="22"/>
  <c r="K899" i="22"/>
  <c r="AF899" i="22"/>
  <c r="AO899" i="22"/>
  <c r="D902" i="22"/>
  <c r="M902" i="22"/>
  <c r="X902" i="22"/>
  <c r="AI902" i="22"/>
  <c r="K903" i="22"/>
  <c r="AF903" i="22"/>
  <c r="AO903" i="22"/>
  <c r="AA906" i="22"/>
  <c r="N906" i="22"/>
  <c r="AH906" i="22"/>
  <c r="T906" i="22"/>
  <c r="L906" i="22"/>
  <c r="AN906" i="22"/>
  <c r="AE906" i="22"/>
  <c r="J906" i="22"/>
  <c r="AM906" i="22"/>
  <c r="Q906" i="22"/>
  <c r="I906" i="22"/>
  <c r="AO906" i="22"/>
  <c r="AD912" i="22"/>
  <c r="AJ912" i="22"/>
  <c r="AD920" i="22"/>
  <c r="AJ920" i="22"/>
  <c r="H889" i="22"/>
  <c r="P889" i="22"/>
  <c r="AC889" i="22"/>
  <c r="L891" i="22"/>
  <c r="T891" i="22"/>
  <c r="H893" i="22"/>
  <c r="P893" i="22"/>
  <c r="AC893" i="22"/>
  <c r="N894" i="22"/>
  <c r="L895" i="22"/>
  <c r="T895" i="22"/>
  <c r="H897" i="22"/>
  <c r="P897" i="22"/>
  <c r="AC897" i="22"/>
  <c r="N898" i="22"/>
  <c r="L899" i="22"/>
  <c r="T899" i="22"/>
  <c r="H901" i="22"/>
  <c r="P901" i="22"/>
  <c r="AC901" i="22"/>
  <c r="N902" i="22"/>
  <c r="L903" i="22"/>
  <c r="T903" i="22"/>
  <c r="H905" i="22"/>
  <c r="P905" i="22"/>
  <c r="D906" i="22"/>
  <c r="X906" i="22"/>
  <c r="AH907" i="22"/>
  <c r="T907" i="22"/>
  <c r="L907" i="22"/>
  <c r="AO907" i="22"/>
  <c r="AN907" i="22"/>
  <c r="AE907" i="22"/>
  <c r="J907" i="22"/>
  <c r="AL907" i="22"/>
  <c r="AC907" i="22"/>
  <c r="P907" i="22"/>
  <c r="H907" i="22"/>
  <c r="AK907" i="22"/>
  <c r="AB907" i="22"/>
  <c r="O907" i="22"/>
  <c r="G907" i="22"/>
  <c r="A907" i="22" s="1"/>
  <c r="C907" i="22" s="1"/>
  <c r="K910" i="22"/>
  <c r="AK922" i="22"/>
  <c r="AB922" i="22"/>
  <c r="O922" i="22"/>
  <c r="G922" i="22"/>
  <c r="A922" i="22" s="1"/>
  <c r="C922" i="22" s="1"/>
  <c r="AA922" i="22"/>
  <c r="N922" i="22"/>
  <c r="AI922" i="22"/>
  <c r="X922" i="22"/>
  <c r="M922" i="22"/>
  <c r="D922" i="22"/>
  <c r="AH922" i="22"/>
  <c r="T922" i="22"/>
  <c r="L922" i="22"/>
  <c r="AN922" i="22"/>
  <c r="AE922" i="22"/>
  <c r="J922" i="22"/>
  <c r="AM922" i="22"/>
  <c r="Q922" i="22"/>
  <c r="I922" i="22"/>
  <c r="AO922" i="22"/>
  <c r="AL928" i="22"/>
  <c r="AC928" i="22"/>
  <c r="P928" i="22"/>
  <c r="H928" i="22"/>
  <c r="AK928" i="22"/>
  <c r="AB928" i="22"/>
  <c r="O928" i="22"/>
  <c r="G928" i="22"/>
  <c r="A928" i="22" s="1"/>
  <c r="C928" i="22" s="1"/>
  <c r="AA928" i="22"/>
  <c r="N928" i="22"/>
  <c r="AI928" i="22"/>
  <c r="X928" i="22"/>
  <c r="M928" i="22"/>
  <c r="D928" i="22"/>
  <c r="AN928" i="22"/>
  <c r="AE928" i="22"/>
  <c r="J928" i="22"/>
  <c r="T928" i="22"/>
  <c r="Q928" i="22"/>
  <c r="AO928" i="22"/>
  <c r="L928" i="22"/>
  <c r="AM928" i="22"/>
  <c r="K928" i="22"/>
  <c r="AH928" i="22"/>
  <c r="I928" i="22"/>
  <c r="AF928" i="22"/>
  <c r="D908" i="22"/>
  <c r="M908" i="22"/>
  <c r="X908" i="22"/>
  <c r="AI908" i="22"/>
  <c r="K909" i="22"/>
  <c r="AF909" i="22"/>
  <c r="AO909" i="22"/>
  <c r="AB911" i="22"/>
  <c r="AK911" i="22"/>
  <c r="D912" i="22"/>
  <c r="M912" i="22"/>
  <c r="X912" i="22"/>
  <c r="AI912" i="22"/>
  <c r="K913" i="22"/>
  <c r="AF913" i="22"/>
  <c r="AO913" i="22"/>
  <c r="D916" i="22"/>
  <c r="M916" i="22"/>
  <c r="X916" i="22"/>
  <c r="AI916" i="22"/>
  <c r="K917" i="22"/>
  <c r="AF917" i="22"/>
  <c r="AO917" i="22"/>
  <c r="K921" i="22"/>
  <c r="AF921" i="22"/>
  <c r="AO921" i="22"/>
  <c r="K925" i="22"/>
  <c r="AF925" i="22"/>
  <c r="AO925" i="22"/>
  <c r="I926" i="22"/>
  <c r="Q926" i="22"/>
  <c r="AM926" i="22"/>
  <c r="G927" i="22"/>
  <c r="A927" i="22" s="1"/>
  <c r="C927" i="22" s="1"/>
  <c r="O927" i="22"/>
  <c r="AI931" i="22"/>
  <c r="AD934" i="22"/>
  <c r="AJ934" i="22"/>
  <c r="AD942" i="22"/>
  <c r="AJ942" i="22"/>
  <c r="N908" i="22"/>
  <c r="AA908" i="22"/>
  <c r="L909" i="22"/>
  <c r="T909" i="22"/>
  <c r="AH909" i="22"/>
  <c r="H911" i="22"/>
  <c r="P911" i="22"/>
  <c r="AC911" i="22"/>
  <c r="AL911" i="22"/>
  <c r="N912" i="22"/>
  <c r="AA912" i="22"/>
  <c r="L913" i="22"/>
  <c r="T913" i="22"/>
  <c r="AH913" i="22"/>
  <c r="N916" i="22"/>
  <c r="AA916" i="22"/>
  <c r="L917" i="22"/>
  <c r="T917" i="22"/>
  <c r="AH917" i="22"/>
  <c r="L921" i="22"/>
  <c r="T921" i="22"/>
  <c r="AH921" i="22"/>
  <c r="L925" i="22"/>
  <c r="T925" i="22"/>
  <c r="AH925" i="22"/>
  <c r="J926" i="22"/>
  <c r="AE926" i="22"/>
  <c r="AN926" i="22"/>
  <c r="H927" i="22"/>
  <c r="P927" i="22"/>
  <c r="AF927" i="22"/>
  <c r="K931" i="22"/>
  <c r="AD937" i="22"/>
  <c r="AD938" i="22"/>
  <c r="AJ938" i="22"/>
  <c r="AD941" i="22"/>
  <c r="K926" i="22"/>
  <c r="AF926" i="22"/>
  <c r="AO926" i="22"/>
  <c r="AD961" i="22"/>
  <c r="AJ961" i="22"/>
  <c r="H908" i="22"/>
  <c r="P908" i="22"/>
  <c r="AC908" i="22"/>
  <c r="AL908" i="22"/>
  <c r="N909" i="22"/>
  <c r="AA909" i="22"/>
  <c r="J911" i="22"/>
  <c r="AE911" i="22"/>
  <c r="AN911" i="22"/>
  <c r="H912" i="22"/>
  <c r="P912" i="22"/>
  <c r="AC912" i="22"/>
  <c r="AL912" i="22"/>
  <c r="N913" i="22"/>
  <c r="AA913" i="22"/>
  <c r="H916" i="22"/>
  <c r="P916" i="22"/>
  <c r="AC916" i="22"/>
  <c r="AL916" i="22"/>
  <c r="N917" i="22"/>
  <c r="AA917" i="22"/>
  <c r="J919" i="22"/>
  <c r="AE919" i="22"/>
  <c r="AN919" i="22"/>
  <c r="H920" i="22"/>
  <c r="P920" i="22"/>
  <c r="AC920" i="22"/>
  <c r="AL920" i="22"/>
  <c r="N921" i="22"/>
  <c r="AA921" i="22"/>
  <c r="J923" i="22"/>
  <c r="AE923" i="22"/>
  <c r="AN923" i="22"/>
  <c r="H924" i="22"/>
  <c r="P924" i="22"/>
  <c r="AC924" i="22"/>
  <c r="AL924" i="22"/>
  <c r="N925" i="22"/>
  <c r="AA925" i="22"/>
  <c r="L926" i="22"/>
  <c r="T926" i="22"/>
  <c r="AH926" i="22"/>
  <c r="J927" i="22"/>
  <c r="AD929" i="22"/>
  <c r="AD930" i="22"/>
  <c r="AJ930" i="22"/>
  <c r="N931" i="22"/>
  <c r="AL932" i="22"/>
  <c r="AC932" i="22"/>
  <c r="P932" i="22"/>
  <c r="H932" i="22"/>
  <c r="AK932" i="22"/>
  <c r="AB932" i="22"/>
  <c r="O932" i="22"/>
  <c r="G932" i="22"/>
  <c r="A932" i="22" s="1"/>
  <c r="C932" i="22" s="1"/>
  <c r="AA932" i="22"/>
  <c r="N932" i="22"/>
  <c r="AI932" i="22"/>
  <c r="X932" i="22"/>
  <c r="M932" i="22"/>
  <c r="D932" i="22"/>
  <c r="AN932" i="22"/>
  <c r="AE932" i="22"/>
  <c r="J932" i="22"/>
  <c r="AM932" i="22"/>
  <c r="Q932" i="22"/>
  <c r="AH932" i="22"/>
  <c r="AF936" i="22"/>
  <c r="I908" i="22"/>
  <c r="Q908" i="22"/>
  <c r="AM908" i="22"/>
  <c r="G909" i="22"/>
  <c r="A909" i="22" s="1"/>
  <c r="C909" i="22" s="1"/>
  <c r="O909" i="22"/>
  <c r="AB909" i="22"/>
  <c r="AK909" i="22"/>
  <c r="K911" i="22"/>
  <c r="AF911" i="22"/>
  <c r="AO911" i="22"/>
  <c r="I912" i="22"/>
  <c r="Q912" i="22"/>
  <c r="AM912" i="22"/>
  <c r="G913" i="22"/>
  <c r="A913" i="22" s="1"/>
  <c r="C913" i="22" s="1"/>
  <c r="O913" i="22"/>
  <c r="AB913" i="22"/>
  <c r="AK913" i="22"/>
  <c r="K915" i="22"/>
  <c r="AF915" i="22"/>
  <c r="I916" i="22"/>
  <c r="Q916" i="22"/>
  <c r="AM916" i="22"/>
  <c r="G917" i="22"/>
  <c r="A917" i="22" s="1"/>
  <c r="C917" i="22" s="1"/>
  <c r="O917" i="22"/>
  <c r="AB917" i="22"/>
  <c r="AK917" i="22"/>
  <c r="K919" i="22"/>
  <c r="AF919" i="22"/>
  <c r="AO919" i="22"/>
  <c r="I920" i="22"/>
  <c r="Q920" i="22"/>
  <c r="AM920" i="22"/>
  <c r="G921" i="22"/>
  <c r="A921" i="22" s="1"/>
  <c r="C921" i="22" s="1"/>
  <c r="O921" i="22"/>
  <c r="AB921" i="22"/>
  <c r="AK921" i="22"/>
  <c r="K923" i="22"/>
  <c r="AF923" i="22"/>
  <c r="AO923" i="22"/>
  <c r="I924" i="22"/>
  <c r="Q924" i="22"/>
  <c r="AM924" i="22"/>
  <c r="G925" i="22"/>
  <c r="A925" i="22" s="1"/>
  <c r="C925" i="22" s="1"/>
  <c r="O925" i="22"/>
  <c r="AB925" i="22"/>
  <c r="AK925" i="22"/>
  <c r="D926" i="22"/>
  <c r="M926" i="22"/>
  <c r="X926" i="22"/>
  <c r="AI926" i="22"/>
  <c r="AN927" i="22"/>
  <c r="AE927" i="22"/>
  <c r="AK927" i="22"/>
  <c r="AB927" i="22"/>
  <c r="AH927" i="22"/>
  <c r="T927" i="22"/>
  <c r="K927" i="22"/>
  <c r="AL927" i="22"/>
  <c r="AO932" i="22"/>
  <c r="J908" i="22"/>
  <c r="AE908" i="22"/>
  <c r="AN908" i="22"/>
  <c r="H909" i="22"/>
  <c r="P909" i="22"/>
  <c r="AC909" i="22"/>
  <c r="L911" i="22"/>
  <c r="T911" i="22"/>
  <c r="J912" i="22"/>
  <c r="AE912" i="22"/>
  <c r="AN912" i="22"/>
  <c r="H913" i="22"/>
  <c r="P913" i="22"/>
  <c r="AC913" i="22"/>
  <c r="J916" i="22"/>
  <c r="AE916" i="22"/>
  <c r="AN916" i="22"/>
  <c r="H917" i="22"/>
  <c r="P917" i="22"/>
  <c r="AC917" i="22"/>
  <c r="AL917" i="22"/>
  <c r="L919" i="22"/>
  <c r="T919" i="22"/>
  <c r="AH919" i="22"/>
  <c r="J920" i="22"/>
  <c r="AE920" i="22"/>
  <c r="AN920" i="22"/>
  <c r="H921" i="22"/>
  <c r="P921" i="22"/>
  <c r="AC921" i="22"/>
  <c r="AL921" i="22"/>
  <c r="L923" i="22"/>
  <c r="T923" i="22"/>
  <c r="AH923" i="22"/>
  <c r="J924" i="22"/>
  <c r="AE924" i="22"/>
  <c r="AN924" i="22"/>
  <c r="H925" i="22"/>
  <c r="P925" i="22"/>
  <c r="AC925" i="22"/>
  <c r="AL925" i="22"/>
  <c r="N926" i="22"/>
  <c r="AA926" i="22"/>
  <c r="L927" i="22"/>
  <c r="X927" i="22"/>
  <c r="AM927" i="22"/>
  <c r="I932" i="22"/>
  <c r="AL936" i="22"/>
  <c r="AC936" i="22"/>
  <c r="P936" i="22"/>
  <c r="H936" i="22"/>
  <c r="AK936" i="22"/>
  <c r="AB936" i="22"/>
  <c r="O936" i="22"/>
  <c r="G936" i="22"/>
  <c r="A936" i="22" s="1"/>
  <c r="C936" i="22" s="1"/>
  <c r="AA936" i="22"/>
  <c r="N936" i="22"/>
  <c r="AI936" i="22"/>
  <c r="X936" i="22"/>
  <c r="M936" i="22"/>
  <c r="D936" i="22"/>
  <c r="AN936" i="22"/>
  <c r="AE936" i="22"/>
  <c r="J936" i="22"/>
  <c r="AM936" i="22"/>
  <c r="Q936" i="22"/>
  <c r="I936" i="22"/>
  <c r="AO936" i="22"/>
  <c r="K908" i="22"/>
  <c r="AF908" i="22"/>
  <c r="K912" i="22"/>
  <c r="AF912" i="22"/>
  <c r="K916" i="22"/>
  <c r="AF916" i="22"/>
  <c r="I917" i="22"/>
  <c r="Q917" i="22"/>
  <c r="D919" i="22"/>
  <c r="M919" i="22"/>
  <c r="X919" i="22"/>
  <c r="K920" i="22"/>
  <c r="AF920" i="22"/>
  <c r="I921" i="22"/>
  <c r="Q921" i="22"/>
  <c r="D923" i="22"/>
  <c r="M923" i="22"/>
  <c r="X923" i="22"/>
  <c r="K924" i="22"/>
  <c r="AF924" i="22"/>
  <c r="I925" i="22"/>
  <c r="Q925" i="22"/>
  <c r="G926" i="22"/>
  <c r="A926" i="22" s="1"/>
  <c r="C926" i="22" s="1"/>
  <c r="O926" i="22"/>
  <c r="AB926" i="22"/>
  <c r="D927" i="22"/>
  <c r="M927" i="22"/>
  <c r="AA927" i="22"/>
  <c r="AO927" i="22"/>
  <c r="AN931" i="22"/>
  <c r="AE931" i="22"/>
  <c r="J931" i="22"/>
  <c r="AM931" i="22"/>
  <c r="Q931" i="22"/>
  <c r="I931" i="22"/>
  <c r="AL931" i="22"/>
  <c r="AC931" i="22"/>
  <c r="P931" i="22"/>
  <c r="H931" i="22"/>
  <c r="AK931" i="22"/>
  <c r="AB931" i="22"/>
  <c r="O931" i="22"/>
  <c r="G931" i="22"/>
  <c r="A931" i="22" s="1"/>
  <c r="C931" i="22" s="1"/>
  <c r="AH931" i="22"/>
  <c r="T931" i="22"/>
  <c r="L931" i="22"/>
  <c r="AA931" i="22"/>
  <c r="AL940" i="22"/>
  <c r="AC940" i="22"/>
  <c r="P940" i="22"/>
  <c r="H940" i="22"/>
  <c r="AK940" i="22"/>
  <c r="AB940" i="22"/>
  <c r="O940" i="22"/>
  <c r="G940" i="22"/>
  <c r="A940" i="22" s="1"/>
  <c r="C940" i="22" s="1"/>
  <c r="AA940" i="22"/>
  <c r="N940" i="22"/>
  <c r="AI940" i="22"/>
  <c r="X940" i="22"/>
  <c r="M940" i="22"/>
  <c r="D940" i="22"/>
  <c r="AH940" i="22"/>
  <c r="T940" i="22"/>
  <c r="L940" i="22"/>
  <c r="AN940" i="22"/>
  <c r="AE940" i="22"/>
  <c r="J940" i="22"/>
  <c r="AM940" i="22"/>
  <c r="Q940" i="22"/>
  <c r="I940" i="22"/>
  <c r="AL944" i="22"/>
  <c r="AC944" i="22"/>
  <c r="P944" i="22"/>
  <c r="H944" i="22"/>
  <c r="AK944" i="22"/>
  <c r="AB944" i="22"/>
  <c r="O944" i="22"/>
  <c r="G944" i="22"/>
  <c r="A944" i="22" s="1"/>
  <c r="C944" i="22" s="1"/>
  <c r="AA944" i="22"/>
  <c r="N944" i="22"/>
  <c r="AI944" i="22"/>
  <c r="X944" i="22"/>
  <c r="M944" i="22"/>
  <c r="D944" i="22"/>
  <c r="AH944" i="22"/>
  <c r="T944" i="22"/>
  <c r="L944" i="22"/>
  <c r="AN944" i="22"/>
  <c r="AE944" i="22"/>
  <c r="J944" i="22"/>
  <c r="AM944" i="22"/>
  <c r="Q944" i="22"/>
  <c r="I944" i="22"/>
  <c r="AJ949" i="22"/>
  <c r="AD949" i="22"/>
  <c r="AD950" i="22"/>
  <c r="K935" i="22"/>
  <c r="AF935" i="22"/>
  <c r="AO935" i="22"/>
  <c r="K939" i="22"/>
  <c r="AF939" i="22"/>
  <c r="AO939" i="22"/>
  <c r="K943" i="22"/>
  <c r="AF943" i="22"/>
  <c r="AO943" i="22"/>
  <c r="G945" i="22"/>
  <c r="A945" i="22" s="1"/>
  <c r="C945" i="22" s="1"/>
  <c r="P945" i="22"/>
  <c r="AE945" i="22"/>
  <c r="AH948" i="22"/>
  <c r="T948" i="22"/>
  <c r="L948" i="22"/>
  <c r="AN948" i="22"/>
  <c r="AE948" i="22"/>
  <c r="J948" i="22"/>
  <c r="AL948" i="22"/>
  <c r="AC948" i="22"/>
  <c r="P948" i="22"/>
  <c r="H948" i="22"/>
  <c r="AK948" i="22"/>
  <c r="AB948" i="22"/>
  <c r="O948" i="22"/>
  <c r="G948" i="22"/>
  <c r="A948" i="22" s="1"/>
  <c r="C948" i="22" s="1"/>
  <c r="AO948" i="22"/>
  <c r="L953" i="22"/>
  <c r="H929" i="22"/>
  <c r="P929" i="22"/>
  <c r="AC929" i="22"/>
  <c r="AL929" i="22"/>
  <c r="N930" i="22"/>
  <c r="AA930" i="22"/>
  <c r="H933" i="22"/>
  <c r="P933" i="22"/>
  <c r="AC933" i="22"/>
  <c r="AL933" i="22"/>
  <c r="L935" i="22"/>
  <c r="T935" i="22"/>
  <c r="AH935" i="22"/>
  <c r="H937" i="22"/>
  <c r="P937" i="22"/>
  <c r="AC937" i="22"/>
  <c r="AL937" i="22"/>
  <c r="N938" i="22"/>
  <c r="AA938" i="22"/>
  <c r="L939" i="22"/>
  <c r="T939" i="22"/>
  <c r="AH939" i="22"/>
  <c r="H941" i="22"/>
  <c r="P941" i="22"/>
  <c r="AC941" i="22"/>
  <c r="AL941" i="22"/>
  <c r="N942" i="22"/>
  <c r="AA942" i="22"/>
  <c r="L943" i="22"/>
  <c r="T943" i="22"/>
  <c r="AH943" i="22"/>
  <c r="H945" i="22"/>
  <c r="Q945" i="22"/>
  <c r="G947" i="22"/>
  <c r="A947" i="22" s="1"/>
  <c r="C947" i="22" s="1"/>
  <c r="AB947" i="22"/>
  <c r="D948" i="22"/>
  <c r="X948" i="22"/>
  <c r="AN949" i="22"/>
  <c r="AE949" i="22"/>
  <c r="J949" i="22"/>
  <c r="AL949" i="22"/>
  <c r="AC949" i="22"/>
  <c r="P949" i="22"/>
  <c r="H949" i="22"/>
  <c r="AA949" i="22"/>
  <c r="N949" i="22"/>
  <c r="AI949" i="22"/>
  <c r="X949" i="22"/>
  <c r="M949" i="22"/>
  <c r="D949" i="22"/>
  <c r="AO949" i="22"/>
  <c r="AA951" i="22"/>
  <c r="N951" i="22"/>
  <c r="AI951" i="22"/>
  <c r="X951" i="22"/>
  <c r="M951" i="22"/>
  <c r="AH951" i="22"/>
  <c r="T951" i="22"/>
  <c r="L951" i="22"/>
  <c r="AN951" i="22"/>
  <c r="AE951" i="22"/>
  <c r="J951" i="22"/>
  <c r="AM951" i="22"/>
  <c r="Q951" i="22"/>
  <c r="I951" i="22"/>
  <c r="AB951" i="22"/>
  <c r="O953" i="22"/>
  <c r="AD975" i="22"/>
  <c r="AJ975" i="22"/>
  <c r="AN976" i="22"/>
  <c r="AE976" i="22"/>
  <c r="J976" i="22"/>
  <c r="AM976" i="22"/>
  <c r="Q976" i="22"/>
  <c r="I976" i="22"/>
  <c r="AL976" i="22"/>
  <c r="AC976" i="22"/>
  <c r="P976" i="22"/>
  <c r="H976" i="22"/>
  <c r="AK976" i="22"/>
  <c r="AB976" i="22"/>
  <c r="O976" i="22"/>
  <c r="G976" i="22"/>
  <c r="A976" i="22" s="1"/>
  <c r="C976" i="22" s="1"/>
  <c r="AA976" i="22"/>
  <c r="N976" i="22"/>
  <c r="AI976" i="22"/>
  <c r="X976" i="22"/>
  <c r="M976" i="22"/>
  <c r="D976" i="22"/>
  <c r="AH976" i="22"/>
  <c r="T976" i="22"/>
  <c r="L976" i="22"/>
  <c r="AO976" i="22"/>
  <c r="AF976" i="22"/>
  <c r="K976" i="22"/>
  <c r="N943" i="22"/>
  <c r="AA943" i="22"/>
  <c r="AJ951" i="22"/>
  <c r="AD951" i="22"/>
  <c r="K929" i="22"/>
  <c r="AF929" i="22"/>
  <c r="AO929" i="22"/>
  <c r="I930" i="22"/>
  <c r="Q930" i="22"/>
  <c r="AM930" i="22"/>
  <c r="K933" i="22"/>
  <c r="AF933" i="22"/>
  <c r="AO933" i="22"/>
  <c r="G935" i="22"/>
  <c r="A935" i="22" s="1"/>
  <c r="C935" i="22" s="1"/>
  <c r="O935" i="22"/>
  <c r="AB935" i="22"/>
  <c r="AK935" i="22"/>
  <c r="K937" i="22"/>
  <c r="AF937" i="22"/>
  <c r="AO937" i="22"/>
  <c r="G939" i="22"/>
  <c r="A939" i="22" s="1"/>
  <c r="C939" i="22" s="1"/>
  <c r="O939" i="22"/>
  <c r="AB939" i="22"/>
  <c r="AK939" i="22"/>
  <c r="K941" i="22"/>
  <c r="AF941" i="22"/>
  <c r="AO941" i="22"/>
  <c r="G943" i="22"/>
  <c r="A943" i="22" s="1"/>
  <c r="C943" i="22" s="1"/>
  <c r="O943" i="22"/>
  <c r="AB943" i="22"/>
  <c r="AK943" i="22"/>
  <c r="AL945" i="22"/>
  <c r="AC945" i="22"/>
  <c r="AA945" i="22"/>
  <c r="N945" i="22"/>
  <c r="K945" i="22"/>
  <c r="T945" i="22"/>
  <c r="AK945" i="22"/>
  <c r="AO953" i="22"/>
  <c r="AF953" i="22"/>
  <c r="AN953" i="22"/>
  <c r="AE953" i="22"/>
  <c r="J953" i="22"/>
  <c r="AM953" i="22"/>
  <c r="Q953" i="22"/>
  <c r="I953" i="22"/>
  <c r="AL953" i="22"/>
  <c r="AC953" i="22"/>
  <c r="P953" i="22"/>
  <c r="H953" i="22"/>
  <c r="AA953" i="22"/>
  <c r="N953" i="22"/>
  <c r="AI953" i="22"/>
  <c r="X953" i="22"/>
  <c r="M953" i="22"/>
  <c r="D953" i="22"/>
  <c r="AB953" i="22"/>
  <c r="AD957" i="22"/>
  <c r="AJ957" i="22"/>
  <c r="L929" i="22"/>
  <c r="T929" i="22"/>
  <c r="J930" i="22"/>
  <c r="AE930" i="22"/>
  <c r="AN930" i="22"/>
  <c r="L933" i="22"/>
  <c r="T933" i="22"/>
  <c r="AH933" i="22"/>
  <c r="H935" i="22"/>
  <c r="P935" i="22"/>
  <c r="AC935" i="22"/>
  <c r="AL935" i="22"/>
  <c r="H939" i="22"/>
  <c r="P939" i="22"/>
  <c r="AC939" i="22"/>
  <c r="AL939" i="22"/>
  <c r="AH941" i="22"/>
  <c r="J942" i="22"/>
  <c r="AE942" i="22"/>
  <c r="AN942" i="22"/>
  <c r="H943" i="22"/>
  <c r="P943" i="22"/>
  <c r="AC943" i="22"/>
  <c r="AL943" i="22"/>
  <c r="L945" i="22"/>
  <c r="X945" i="22"/>
  <c r="AM945" i="22"/>
  <c r="O947" i="22"/>
  <c r="M948" i="22"/>
  <c r="AI948" i="22"/>
  <c r="K949" i="22"/>
  <c r="AF949" i="22"/>
  <c r="K951" i="22"/>
  <c r="AL951" i="22"/>
  <c r="AH953" i="22"/>
  <c r="K930" i="22"/>
  <c r="AF930" i="22"/>
  <c r="AO930" i="22"/>
  <c r="X933" i="22"/>
  <c r="AI933" i="22"/>
  <c r="K934" i="22"/>
  <c r="AF934" i="22"/>
  <c r="AO934" i="22"/>
  <c r="I935" i="22"/>
  <c r="Q935" i="22"/>
  <c r="AM935" i="22"/>
  <c r="D937" i="22"/>
  <c r="M937" i="22"/>
  <c r="X937" i="22"/>
  <c r="AI937" i="22"/>
  <c r="K938" i="22"/>
  <c r="AF938" i="22"/>
  <c r="I939" i="22"/>
  <c r="Q939" i="22"/>
  <c r="AM939" i="22"/>
  <c r="D941" i="22"/>
  <c r="M941" i="22"/>
  <c r="X941" i="22"/>
  <c r="K942" i="22"/>
  <c r="AF942" i="22"/>
  <c r="I943" i="22"/>
  <c r="Q943" i="22"/>
  <c r="AM943" i="22"/>
  <c r="D945" i="22"/>
  <c r="M945" i="22"/>
  <c r="AB945" i="22"/>
  <c r="AN945" i="22"/>
  <c r="AA947" i="22"/>
  <c r="N947" i="22"/>
  <c r="AH947" i="22"/>
  <c r="T947" i="22"/>
  <c r="L947" i="22"/>
  <c r="AN947" i="22"/>
  <c r="AE947" i="22"/>
  <c r="J947" i="22"/>
  <c r="AM947" i="22"/>
  <c r="Q947" i="22"/>
  <c r="I947" i="22"/>
  <c r="P947" i="22"/>
  <c r="AL947" i="22"/>
  <c r="N948" i="22"/>
  <c r="L949" i="22"/>
  <c r="AH949" i="22"/>
  <c r="O951" i="22"/>
  <c r="AO951" i="22"/>
  <c r="G953" i="22"/>
  <c r="A953" i="22" s="1"/>
  <c r="C953" i="22" s="1"/>
  <c r="AK953" i="22"/>
  <c r="L930" i="22"/>
  <c r="T930" i="22"/>
  <c r="N933" i="22"/>
  <c r="L934" i="22"/>
  <c r="T934" i="22"/>
  <c r="J935" i="22"/>
  <c r="AE935" i="22"/>
  <c r="N937" i="22"/>
  <c r="J939" i="22"/>
  <c r="AE939" i="22"/>
  <c r="J943" i="22"/>
  <c r="AE943" i="22"/>
  <c r="AK949" i="22"/>
  <c r="P951" i="22"/>
  <c r="K953" i="22"/>
  <c r="AD954" i="22"/>
  <c r="AJ954" i="22"/>
  <c r="AD958" i="22"/>
  <c r="AJ958" i="22"/>
  <c r="K946" i="22"/>
  <c r="AF946" i="22"/>
  <c r="AO946" i="22"/>
  <c r="K950" i="22"/>
  <c r="AF950" i="22"/>
  <c r="AO950" i="22"/>
  <c r="G952" i="22"/>
  <c r="A952" i="22" s="1"/>
  <c r="C952" i="22" s="1"/>
  <c r="O952" i="22"/>
  <c r="AB952" i="22"/>
  <c r="AK952" i="22"/>
  <c r="K954" i="22"/>
  <c r="AF954" i="22"/>
  <c r="AO954" i="22"/>
  <c r="I955" i="22"/>
  <c r="Q955" i="22"/>
  <c r="AM955" i="22"/>
  <c r="G956" i="22"/>
  <c r="A956" i="22" s="1"/>
  <c r="C956" i="22" s="1"/>
  <c r="O956" i="22"/>
  <c r="AB956" i="22"/>
  <c r="AK956" i="22"/>
  <c r="M957" i="22"/>
  <c r="X957" i="22"/>
  <c r="AI957" i="22"/>
  <c r="K958" i="22"/>
  <c r="AF958" i="22"/>
  <c r="AO958" i="22"/>
  <c r="I959" i="22"/>
  <c r="Q959" i="22"/>
  <c r="AM959" i="22"/>
  <c r="G960" i="22"/>
  <c r="A960" i="22" s="1"/>
  <c r="C960" i="22" s="1"/>
  <c r="O960" i="22"/>
  <c r="AB960" i="22"/>
  <c r="AK960" i="22"/>
  <c r="D961" i="22"/>
  <c r="M961" i="22"/>
  <c r="X961" i="22"/>
  <c r="AI961" i="22"/>
  <c r="K962" i="22"/>
  <c r="AF962" i="22"/>
  <c r="AO962" i="22"/>
  <c r="I963" i="22"/>
  <c r="Q963" i="22"/>
  <c r="AH963" i="22"/>
  <c r="O964" i="22"/>
  <c r="AO964" i="22"/>
  <c r="AN972" i="22"/>
  <c r="AE972" i="22"/>
  <c r="J972" i="22"/>
  <c r="AM972" i="22"/>
  <c r="Q972" i="22"/>
  <c r="I972" i="22"/>
  <c r="AL972" i="22"/>
  <c r="AC972" i="22"/>
  <c r="P972" i="22"/>
  <c r="H972" i="22"/>
  <c r="AK972" i="22"/>
  <c r="AB972" i="22"/>
  <c r="O972" i="22"/>
  <c r="G972" i="22"/>
  <c r="A972" i="22" s="1"/>
  <c r="C972" i="22" s="1"/>
  <c r="AA972" i="22"/>
  <c r="N972" i="22"/>
  <c r="AI972" i="22"/>
  <c r="X972" i="22"/>
  <c r="M972" i="22"/>
  <c r="D972" i="22"/>
  <c r="AH972" i="22"/>
  <c r="T972" i="22"/>
  <c r="L972" i="22"/>
  <c r="AJ974" i="22"/>
  <c r="AD974" i="22"/>
  <c r="AD979" i="22"/>
  <c r="AJ979" i="22"/>
  <c r="AD985" i="22"/>
  <c r="AJ985" i="22"/>
  <c r="L946" i="22"/>
  <c r="T946" i="22"/>
  <c r="AH946" i="22"/>
  <c r="H952" i="22"/>
  <c r="P952" i="22"/>
  <c r="AC952" i="22"/>
  <c r="AL952" i="22"/>
  <c r="J955" i="22"/>
  <c r="AE955" i="22"/>
  <c r="AN955" i="22"/>
  <c r="H956" i="22"/>
  <c r="P956" i="22"/>
  <c r="AC956" i="22"/>
  <c r="AL956" i="22"/>
  <c r="J959" i="22"/>
  <c r="AE959" i="22"/>
  <c r="AN959" i="22"/>
  <c r="AA966" i="22"/>
  <c r="N966" i="22"/>
  <c r="AI966" i="22"/>
  <c r="X966" i="22"/>
  <c r="AH966" i="22"/>
  <c r="T966" i="22"/>
  <c r="L966" i="22"/>
  <c r="AN966" i="22"/>
  <c r="AE966" i="22"/>
  <c r="J966" i="22"/>
  <c r="AM966" i="22"/>
  <c r="Q966" i="22"/>
  <c r="I966" i="22"/>
  <c r="AL966" i="22"/>
  <c r="AC966" i="22"/>
  <c r="P966" i="22"/>
  <c r="H966" i="22"/>
  <c r="AF966" i="22"/>
  <c r="K955" i="22"/>
  <c r="AF955" i="22"/>
  <c r="AO955" i="22"/>
  <c r="K959" i="22"/>
  <c r="AF959" i="22"/>
  <c r="AO959" i="22"/>
  <c r="AN963" i="22"/>
  <c r="AE963" i="22"/>
  <c r="AL963" i="22"/>
  <c r="AC963" i="22"/>
  <c r="AK963" i="22"/>
  <c r="AB963" i="22"/>
  <c r="K963" i="22"/>
  <c r="AM963" i="22"/>
  <c r="D966" i="22"/>
  <c r="AK966" i="22"/>
  <c r="AJ978" i="22"/>
  <c r="AD978" i="22"/>
  <c r="AM994" i="22"/>
  <c r="Q994" i="22"/>
  <c r="I994" i="22"/>
  <c r="AL994" i="22"/>
  <c r="AC994" i="22"/>
  <c r="P994" i="22"/>
  <c r="H994" i="22"/>
  <c r="AK994" i="22"/>
  <c r="AB994" i="22"/>
  <c r="O994" i="22"/>
  <c r="G994" i="22"/>
  <c r="A994" i="22" s="1"/>
  <c r="C994" i="22" s="1"/>
  <c r="AA994" i="22"/>
  <c r="N994" i="22"/>
  <c r="AI994" i="22"/>
  <c r="X994" i="22"/>
  <c r="M994" i="22"/>
  <c r="D994" i="22"/>
  <c r="AH994" i="22"/>
  <c r="T994" i="22"/>
  <c r="L994" i="22"/>
  <c r="AN994" i="22"/>
  <c r="AF994" i="22"/>
  <c r="AE994" i="22"/>
  <c r="K994" i="22"/>
  <c r="J994" i="22"/>
  <c r="N946" i="22"/>
  <c r="N950" i="22"/>
  <c r="AA950" i="22"/>
  <c r="J952" i="22"/>
  <c r="AE952" i="22"/>
  <c r="AN952" i="22"/>
  <c r="N954" i="22"/>
  <c r="AA954" i="22"/>
  <c r="L955" i="22"/>
  <c r="T955" i="22"/>
  <c r="AH955" i="22"/>
  <c r="J956" i="22"/>
  <c r="AE956" i="22"/>
  <c r="AN956" i="22"/>
  <c r="H957" i="22"/>
  <c r="P957" i="22"/>
  <c r="AC957" i="22"/>
  <c r="AL957" i="22"/>
  <c r="N958" i="22"/>
  <c r="AA958" i="22"/>
  <c r="L959" i="22"/>
  <c r="T959" i="22"/>
  <c r="AH959" i="22"/>
  <c r="J960" i="22"/>
  <c r="AE960" i="22"/>
  <c r="AN960" i="22"/>
  <c r="H961" i="22"/>
  <c r="P961" i="22"/>
  <c r="AC961" i="22"/>
  <c r="AL961" i="22"/>
  <c r="N962" i="22"/>
  <c r="AA962" i="22"/>
  <c r="L963" i="22"/>
  <c r="T963" i="22"/>
  <c r="AO963" i="22"/>
  <c r="G966" i="22"/>
  <c r="A966" i="22" s="1"/>
  <c r="C966" i="22" s="1"/>
  <c r="AO966" i="22"/>
  <c r="AF972" i="22"/>
  <c r="AO994" i="22"/>
  <c r="K952" i="22"/>
  <c r="AF952" i="22"/>
  <c r="AO952" i="22"/>
  <c r="D955" i="22"/>
  <c r="M955" i="22"/>
  <c r="X955" i="22"/>
  <c r="AI955" i="22"/>
  <c r="K956" i="22"/>
  <c r="AF956" i="22"/>
  <c r="AO956" i="22"/>
  <c r="AB958" i="22"/>
  <c r="AK958" i="22"/>
  <c r="D959" i="22"/>
  <c r="M959" i="22"/>
  <c r="X959" i="22"/>
  <c r="AI959" i="22"/>
  <c r="K960" i="22"/>
  <c r="AF960" i="22"/>
  <c r="AO960" i="22"/>
  <c r="I961" i="22"/>
  <c r="Q961" i="22"/>
  <c r="AM961" i="22"/>
  <c r="G962" i="22"/>
  <c r="A962" i="22" s="1"/>
  <c r="C962" i="22" s="1"/>
  <c r="O962" i="22"/>
  <c r="AB962" i="22"/>
  <c r="AK962" i="22"/>
  <c r="D963" i="22"/>
  <c r="M963" i="22"/>
  <c r="X963" i="22"/>
  <c r="AN964" i="22"/>
  <c r="AE964" i="22"/>
  <c r="J964" i="22"/>
  <c r="AL964" i="22"/>
  <c r="AC964" i="22"/>
  <c r="P964" i="22"/>
  <c r="H964" i="22"/>
  <c r="AA964" i="22"/>
  <c r="N964" i="22"/>
  <c r="AI964" i="22"/>
  <c r="X964" i="22"/>
  <c r="M964" i="22"/>
  <c r="D964" i="22"/>
  <c r="AH964" i="22"/>
  <c r="T964" i="22"/>
  <c r="L964" i="22"/>
  <c r="AD964" i="22"/>
  <c r="K966" i="22"/>
  <c r="AJ970" i="22"/>
  <c r="AD970" i="22"/>
  <c r="AO972" i="22"/>
  <c r="AN980" i="22"/>
  <c r="AE980" i="22"/>
  <c r="J980" i="22"/>
  <c r="AM980" i="22"/>
  <c r="Q980" i="22"/>
  <c r="I980" i="22"/>
  <c r="AL980" i="22"/>
  <c r="AC980" i="22"/>
  <c r="P980" i="22"/>
  <c r="H980" i="22"/>
  <c r="AK980" i="22"/>
  <c r="AB980" i="22"/>
  <c r="O980" i="22"/>
  <c r="G980" i="22"/>
  <c r="A980" i="22" s="1"/>
  <c r="C980" i="22" s="1"/>
  <c r="AA980" i="22"/>
  <c r="N980" i="22"/>
  <c r="AI980" i="22"/>
  <c r="X980" i="22"/>
  <c r="M980" i="22"/>
  <c r="D980" i="22"/>
  <c r="AH980" i="22"/>
  <c r="T980" i="22"/>
  <c r="L980" i="22"/>
  <c r="AC950" i="22"/>
  <c r="L952" i="22"/>
  <c r="T952" i="22"/>
  <c r="N955" i="22"/>
  <c r="AA955" i="22"/>
  <c r="L956" i="22"/>
  <c r="T956" i="22"/>
  <c r="AH956" i="22"/>
  <c r="N959" i="22"/>
  <c r="AA959" i="22"/>
  <c r="N963" i="22"/>
  <c r="AA963" i="22"/>
  <c r="M966" i="22"/>
  <c r="AN968" i="22"/>
  <c r="AE968" i="22"/>
  <c r="J968" i="22"/>
  <c r="AM968" i="22"/>
  <c r="Q968" i="22"/>
  <c r="I968" i="22"/>
  <c r="AL968" i="22"/>
  <c r="AC968" i="22"/>
  <c r="P968" i="22"/>
  <c r="H968" i="22"/>
  <c r="AK968" i="22"/>
  <c r="AB968" i="22"/>
  <c r="O968" i="22"/>
  <c r="G968" i="22"/>
  <c r="A968" i="22" s="1"/>
  <c r="C968" i="22" s="1"/>
  <c r="AA968" i="22"/>
  <c r="N968" i="22"/>
  <c r="AI968" i="22"/>
  <c r="X968" i="22"/>
  <c r="M968" i="22"/>
  <c r="D968" i="22"/>
  <c r="AH968" i="22"/>
  <c r="T968" i="22"/>
  <c r="L968" i="22"/>
  <c r="K980" i="22"/>
  <c r="G955" i="22"/>
  <c r="A955" i="22" s="1"/>
  <c r="C955" i="22" s="1"/>
  <c r="O955" i="22"/>
  <c r="AB955" i="22"/>
  <c r="D956" i="22"/>
  <c r="M956" i="22"/>
  <c r="X956" i="22"/>
  <c r="K957" i="22"/>
  <c r="AF957" i="22"/>
  <c r="I958" i="22"/>
  <c r="Q958" i="22"/>
  <c r="G959" i="22"/>
  <c r="A959" i="22" s="1"/>
  <c r="C959" i="22" s="1"/>
  <c r="O959" i="22"/>
  <c r="AB959" i="22"/>
  <c r="D960" i="22"/>
  <c r="M960" i="22"/>
  <c r="X960" i="22"/>
  <c r="K961" i="22"/>
  <c r="AF961" i="22"/>
  <c r="I962" i="22"/>
  <c r="Q962" i="22"/>
  <c r="G963" i="22"/>
  <c r="A963" i="22" s="1"/>
  <c r="C963" i="22" s="1"/>
  <c r="O963" i="22"/>
  <c r="I964" i="22"/>
  <c r="AK964" i="22"/>
  <c r="O966" i="22"/>
  <c r="K968" i="22"/>
  <c r="AD969" i="22"/>
  <c r="AD989" i="22"/>
  <c r="AJ989" i="22"/>
  <c r="J965" i="22"/>
  <c r="AE965" i="22"/>
  <c r="AN965" i="22"/>
  <c r="N967" i="22"/>
  <c r="AA967" i="22"/>
  <c r="J969" i="22"/>
  <c r="AE969" i="22"/>
  <c r="AN969" i="22"/>
  <c r="H970" i="22"/>
  <c r="P970" i="22"/>
  <c r="AC970" i="22"/>
  <c r="AL970" i="22"/>
  <c r="N971" i="22"/>
  <c r="AA971" i="22"/>
  <c r="J973" i="22"/>
  <c r="AE973" i="22"/>
  <c r="AN973" i="22"/>
  <c r="J977" i="22"/>
  <c r="AE977" i="22"/>
  <c r="AN977" i="22"/>
  <c r="Q987" i="22"/>
  <c r="AK991" i="22"/>
  <c r="AB991" i="22"/>
  <c r="O991" i="22"/>
  <c r="G991" i="22"/>
  <c r="A991" i="22" s="1"/>
  <c r="C991" i="22" s="1"/>
  <c r="AA991" i="22"/>
  <c r="N991" i="22"/>
  <c r="AI991" i="22"/>
  <c r="X991" i="22"/>
  <c r="M991" i="22"/>
  <c r="D991" i="22"/>
  <c r="AH991" i="22"/>
  <c r="T991" i="22"/>
  <c r="L991" i="22"/>
  <c r="AO991" i="22"/>
  <c r="AN991" i="22"/>
  <c r="AE991" i="22"/>
  <c r="J991" i="22"/>
  <c r="K965" i="22"/>
  <c r="AF965" i="22"/>
  <c r="AO965" i="22"/>
  <c r="G967" i="22"/>
  <c r="A967" i="22" s="1"/>
  <c r="C967" i="22" s="1"/>
  <c r="O967" i="22"/>
  <c r="AB967" i="22"/>
  <c r="AK967" i="22"/>
  <c r="K969" i="22"/>
  <c r="AF969" i="22"/>
  <c r="AO969" i="22"/>
  <c r="I970" i="22"/>
  <c r="Q970" i="22"/>
  <c r="AM970" i="22"/>
  <c r="G971" i="22"/>
  <c r="A971" i="22" s="1"/>
  <c r="C971" i="22" s="1"/>
  <c r="O971" i="22"/>
  <c r="AB971" i="22"/>
  <c r="AK971" i="22"/>
  <c r="K973" i="22"/>
  <c r="AF973" i="22"/>
  <c r="AO973" i="22"/>
  <c r="K977" i="22"/>
  <c r="AF977" i="22"/>
  <c r="AO977" i="22"/>
  <c r="AO981" i="22"/>
  <c r="AM981" i="22"/>
  <c r="K981" i="22"/>
  <c r="AF981" i="22"/>
  <c r="AM982" i="22"/>
  <c r="Q982" i="22"/>
  <c r="I982" i="22"/>
  <c r="AL982" i="22"/>
  <c r="AC982" i="22"/>
  <c r="P982" i="22"/>
  <c r="H982" i="22"/>
  <c r="AK982" i="22"/>
  <c r="AB982" i="22"/>
  <c r="O982" i="22"/>
  <c r="G982" i="22"/>
  <c r="A982" i="22" s="1"/>
  <c r="C982" i="22" s="1"/>
  <c r="AA982" i="22"/>
  <c r="N982" i="22"/>
  <c r="AH982" i="22"/>
  <c r="T982" i="22"/>
  <c r="L982" i="22"/>
  <c r="AE982" i="22"/>
  <c r="AD988" i="22"/>
  <c r="H991" i="22"/>
  <c r="AF991" i="22"/>
  <c r="L965" i="22"/>
  <c r="T965" i="22"/>
  <c r="AH965" i="22"/>
  <c r="H967" i="22"/>
  <c r="P967" i="22"/>
  <c r="AC967" i="22"/>
  <c r="AL967" i="22"/>
  <c r="L969" i="22"/>
  <c r="T969" i="22"/>
  <c r="AH969" i="22"/>
  <c r="J970" i="22"/>
  <c r="AE970" i="22"/>
  <c r="AN970" i="22"/>
  <c r="H971" i="22"/>
  <c r="P971" i="22"/>
  <c r="AC971" i="22"/>
  <c r="AL971" i="22"/>
  <c r="L973" i="22"/>
  <c r="T973" i="22"/>
  <c r="AH973" i="22"/>
  <c r="J974" i="22"/>
  <c r="AE974" i="22"/>
  <c r="AN974" i="22"/>
  <c r="L977" i="22"/>
  <c r="T977" i="22"/>
  <c r="AH977" i="22"/>
  <c r="J978" i="22"/>
  <c r="AE978" i="22"/>
  <c r="AN978" i="22"/>
  <c r="L981" i="22"/>
  <c r="T981" i="22"/>
  <c r="AH981" i="22"/>
  <c r="AJ995" i="22"/>
  <c r="AD995" i="22"/>
  <c r="K970" i="22"/>
  <c r="AF970" i="22"/>
  <c r="AO970" i="22"/>
  <c r="I971" i="22"/>
  <c r="Q971" i="22"/>
  <c r="AM971" i="22"/>
  <c r="D973" i="22"/>
  <c r="M973" i="22"/>
  <c r="X973" i="22"/>
  <c r="AI973" i="22"/>
  <c r="K974" i="22"/>
  <c r="AF974" i="22"/>
  <c r="AO974" i="22"/>
  <c r="D977" i="22"/>
  <c r="M977" i="22"/>
  <c r="X977" i="22"/>
  <c r="AI977" i="22"/>
  <c r="K978" i="22"/>
  <c r="AF978" i="22"/>
  <c r="AO978" i="22"/>
  <c r="D981" i="22"/>
  <c r="M981" i="22"/>
  <c r="X981" i="22"/>
  <c r="AI981" i="22"/>
  <c r="AK987" i="22"/>
  <c r="AB987" i="22"/>
  <c r="O987" i="22"/>
  <c r="G987" i="22"/>
  <c r="A987" i="22" s="1"/>
  <c r="C987" i="22" s="1"/>
  <c r="AA987" i="22"/>
  <c r="N987" i="22"/>
  <c r="AI987" i="22"/>
  <c r="X987" i="22"/>
  <c r="M987" i="22"/>
  <c r="D987" i="22"/>
  <c r="AH987" i="22"/>
  <c r="T987" i="22"/>
  <c r="L987" i="22"/>
  <c r="AN987" i="22"/>
  <c r="AE987" i="22"/>
  <c r="J987" i="22"/>
  <c r="AM990" i="22"/>
  <c r="Q990" i="22"/>
  <c r="I990" i="22"/>
  <c r="AL990" i="22"/>
  <c r="AC990" i="22"/>
  <c r="P990" i="22"/>
  <c r="H990" i="22"/>
  <c r="AK990" i="22"/>
  <c r="AB990" i="22"/>
  <c r="O990" i="22"/>
  <c r="G990" i="22"/>
  <c r="A990" i="22" s="1"/>
  <c r="C990" i="22" s="1"/>
  <c r="AA990" i="22"/>
  <c r="N990" i="22"/>
  <c r="AH990" i="22"/>
  <c r="T990" i="22"/>
  <c r="L990" i="22"/>
  <c r="AE990" i="22"/>
  <c r="K991" i="22"/>
  <c r="AM991" i="22"/>
  <c r="AJ996" i="22"/>
  <c r="AD998" i="22"/>
  <c r="AJ998" i="22"/>
  <c r="N965" i="22"/>
  <c r="AA965" i="22"/>
  <c r="J967" i="22"/>
  <c r="AE967" i="22"/>
  <c r="AN967" i="22"/>
  <c r="N969" i="22"/>
  <c r="L970" i="22"/>
  <c r="T970" i="22"/>
  <c r="AH970" i="22"/>
  <c r="J971" i="22"/>
  <c r="AE971" i="22"/>
  <c r="AN971" i="22"/>
  <c r="N973" i="22"/>
  <c r="AA973" i="22"/>
  <c r="L974" i="22"/>
  <c r="T974" i="22"/>
  <c r="AH974" i="22"/>
  <c r="J975" i="22"/>
  <c r="AE975" i="22"/>
  <c r="AN975" i="22"/>
  <c r="N977" i="22"/>
  <c r="AA977" i="22"/>
  <c r="L978" i="22"/>
  <c r="T978" i="22"/>
  <c r="AH978" i="22"/>
  <c r="N981" i="22"/>
  <c r="AA981" i="22"/>
  <c r="K982" i="22"/>
  <c r="AN982" i="22"/>
  <c r="AD984" i="22"/>
  <c r="H987" i="22"/>
  <c r="AF987" i="22"/>
  <c r="D990" i="22"/>
  <c r="AF990" i="22"/>
  <c r="P991" i="22"/>
  <c r="K967" i="22"/>
  <c r="AF967" i="22"/>
  <c r="AO967" i="22"/>
  <c r="D970" i="22"/>
  <c r="M970" i="22"/>
  <c r="X970" i="22"/>
  <c r="AI970" i="22"/>
  <c r="K971" i="22"/>
  <c r="AF971" i="22"/>
  <c r="G973" i="22"/>
  <c r="A973" i="22" s="1"/>
  <c r="C973" i="22" s="1"/>
  <c r="O973" i="22"/>
  <c r="AB973" i="22"/>
  <c r="D974" i="22"/>
  <c r="M974" i="22"/>
  <c r="X974" i="22"/>
  <c r="AI974" i="22"/>
  <c r="K975" i="22"/>
  <c r="AF975" i="22"/>
  <c r="AO975" i="22"/>
  <c r="G977" i="22"/>
  <c r="A977" i="22" s="1"/>
  <c r="C977" i="22" s="1"/>
  <c r="O977" i="22"/>
  <c r="AB977" i="22"/>
  <c r="AK977" i="22"/>
  <c r="D978" i="22"/>
  <c r="M978" i="22"/>
  <c r="X978" i="22"/>
  <c r="AI978" i="22"/>
  <c r="K979" i="22"/>
  <c r="AF979" i="22"/>
  <c r="AO979" i="22"/>
  <c r="G981" i="22"/>
  <c r="A981" i="22" s="1"/>
  <c r="C981" i="22" s="1"/>
  <c r="O981" i="22"/>
  <c r="AB981" i="22"/>
  <c r="AK981" i="22"/>
  <c r="M982" i="22"/>
  <c r="AO982" i="22"/>
  <c r="I987" i="22"/>
  <c r="AL987" i="22"/>
  <c r="J990" i="22"/>
  <c r="AI990" i="22"/>
  <c r="Q991" i="22"/>
  <c r="L967" i="22"/>
  <c r="T967" i="22"/>
  <c r="N970" i="22"/>
  <c r="L975" i="22"/>
  <c r="T975" i="22"/>
  <c r="H977" i="22"/>
  <c r="P977" i="22"/>
  <c r="AC977" i="22"/>
  <c r="N978" i="22"/>
  <c r="L979" i="22"/>
  <c r="T979" i="22"/>
  <c r="H981" i="22"/>
  <c r="P981" i="22"/>
  <c r="AC981" i="22"/>
  <c r="AL981" i="22"/>
  <c r="AK983" i="22"/>
  <c r="AB983" i="22"/>
  <c r="O983" i="22"/>
  <c r="G983" i="22"/>
  <c r="A983" i="22" s="1"/>
  <c r="C983" i="22" s="1"/>
  <c r="AA983" i="22"/>
  <c r="N983" i="22"/>
  <c r="AI983" i="22"/>
  <c r="X983" i="22"/>
  <c r="M983" i="22"/>
  <c r="D983" i="22"/>
  <c r="AH983" i="22"/>
  <c r="T983" i="22"/>
  <c r="L983" i="22"/>
  <c r="AN983" i="22"/>
  <c r="AE983" i="22"/>
  <c r="J983" i="22"/>
  <c r="AM986" i="22"/>
  <c r="Q986" i="22"/>
  <c r="I986" i="22"/>
  <c r="AL986" i="22"/>
  <c r="AC986" i="22"/>
  <c r="P986" i="22"/>
  <c r="H986" i="22"/>
  <c r="AK986" i="22"/>
  <c r="AB986" i="22"/>
  <c r="O986" i="22"/>
  <c r="G986" i="22"/>
  <c r="A986" i="22" s="1"/>
  <c r="C986" i="22" s="1"/>
  <c r="AA986" i="22"/>
  <c r="N986" i="22"/>
  <c r="AH986" i="22"/>
  <c r="T986" i="22"/>
  <c r="L986" i="22"/>
  <c r="AE986" i="22"/>
  <c r="K987" i="22"/>
  <c r="AM987" i="22"/>
  <c r="K990" i="22"/>
  <c r="AN990" i="22"/>
  <c r="AJ999" i="22"/>
  <c r="AD999" i="22"/>
  <c r="M997" i="22"/>
  <c r="X997" i="22"/>
  <c r="AI997" i="22"/>
  <c r="K998" i="22"/>
  <c r="AF998" i="22"/>
  <c r="AO998" i="22"/>
  <c r="I999" i="22"/>
  <c r="Q999" i="22"/>
  <c r="AM999" i="22"/>
  <c r="G1000" i="22"/>
  <c r="A1000" i="22" s="1"/>
  <c r="C1000" i="22" s="1"/>
  <c r="O1000" i="22"/>
  <c r="AB1000" i="22"/>
  <c r="AK1000" i="22"/>
  <c r="D1001" i="22"/>
  <c r="M1001" i="22"/>
  <c r="X1001" i="22"/>
  <c r="AI1001" i="22"/>
  <c r="H984" i="22"/>
  <c r="P984" i="22"/>
  <c r="AC984" i="22"/>
  <c r="AL984" i="22"/>
  <c r="N985" i="22"/>
  <c r="AA985" i="22"/>
  <c r="H988" i="22"/>
  <c r="P988" i="22"/>
  <c r="AC988" i="22"/>
  <c r="AL988" i="22"/>
  <c r="N989" i="22"/>
  <c r="AA989" i="22"/>
  <c r="H992" i="22"/>
  <c r="P992" i="22"/>
  <c r="AC992" i="22"/>
  <c r="AL992" i="22"/>
  <c r="N993" i="22"/>
  <c r="AA993" i="22"/>
  <c r="J995" i="22"/>
  <c r="AE995" i="22"/>
  <c r="AN995" i="22"/>
  <c r="H996" i="22"/>
  <c r="P996" i="22"/>
  <c r="AC996" i="22"/>
  <c r="AL996" i="22"/>
  <c r="N997" i="22"/>
  <c r="AA997" i="22"/>
  <c r="L998" i="22"/>
  <c r="T998" i="22"/>
  <c r="AH998" i="22"/>
  <c r="J999" i="22"/>
  <c r="AE999" i="22"/>
  <c r="AN999" i="22"/>
  <c r="H1000" i="22"/>
  <c r="P1000" i="22"/>
  <c r="AC1000" i="22"/>
  <c r="AL1000" i="22"/>
  <c r="N1001" i="22"/>
  <c r="AA1001" i="22"/>
  <c r="I992" i="22"/>
  <c r="Q992" i="22"/>
  <c r="AM992" i="22"/>
  <c r="G993" i="22"/>
  <c r="A993" i="22" s="1"/>
  <c r="C993" i="22" s="1"/>
  <c r="O993" i="22"/>
  <c r="AB993" i="22"/>
  <c r="AK993" i="22"/>
  <c r="K995" i="22"/>
  <c r="AF995" i="22"/>
  <c r="AO995" i="22"/>
  <c r="I996" i="22"/>
  <c r="Q996" i="22"/>
  <c r="AM996" i="22"/>
  <c r="G997" i="22"/>
  <c r="A997" i="22" s="1"/>
  <c r="C997" i="22" s="1"/>
  <c r="O997" i="22"/>
  <c r="AB997" i="22"/>
  <c r="AK997" i="22"/>
  <c r="K999" i="22"/>
  <c r="AF999" i="22"/>
  <c r="AO999" i="22"/>
  <c r="I1000" i="22"/>
  <c r="Q1000" i="22"/>
  <c r="AM1000" i="22"/>
  <c r="G1001" i="22"/>
  <c r="A1001" i="22" s="1"/>
  <c r="C1001" i="22" s="1"/>
  <c r="O1001" i="22"/>
  <c r="AB1001" i="22"/>
  <c r="AK1001" i="22"/>
  <c r="J984" i="22"/>
  <c r="AE984" i="22"/>
  <c r="AN984" i="22"/>
  <c r="H985" i="22"/>
  <c r="P985" i="22"/>
  <c r="AC985" i="22"/>
  <c r="AL985" i="22"/>
  <c r="J988" i="22"/>
  <c r="AE988" i="22"/>
  <c r="AN988" i="22"/>
  <c r="H989" i="22"/>
  <c r="P989" i="22"/>
  <c r="AC989" i="22"/>
  <c r="AL989" i="22"/>
  <c r="J992" i="22"/>
  <c r="AE992" i="22"/>
  <c r="AN992" i="22"/>
  <c r="H993" i="22"/>
  <c r="P993" i="22"/>
  <c r="AC993" i="22"/>
  <c r="AL993" i="22"/>
  <c r="L995" i="22"/>
  <c r="T995" i="22"/>
  <c r="AH995" i="22"/>
  <c r="J996" i="22"/>
  <c r="AE996" i="22"/>
  <c r="AN996" i="22"/>
  <c r="H997" i="22"/>
  <c r="P997" i="22"/>
  <c r="AC997" i="22"/>
  <c r="AL997" i="22"/>
  <c r="N998" i="22"/>
  <c r="AA998" i="22"/>
  <c r="L999" i="22"/>
  <c r="T999" i="22"/>
  <c r="AH999" i="22"/>
  <c r="J1000" i="22"/>
  <c r="AE1000" i="22"/>
  <c r="AN1000" i="22"/>
  <c r="H1001" i="22"/>
  <c r="P1001" i="22"/>
  <c r="AC1001" i="22"/>
  <c r="AL1001" i="22"/>
  <c r="K984" i="22"/>
  <c r="AF984" i="22"/>
  <c r="AO984" i="22"/>
  <c r="I985" i="22"/>
  <c r="Q985" i="22"/>
  <c r="AM985" i="22"/>
  <c r="K988" i="22"/>
  <c r="AF988" i="22"/>
  <c r="AO988" i="22"/>
  <c r="I989" i="22"/>
  <c r="Q989" i="22"/>
  <c r="AM989" i="22"/>
  <c r="K992" i="22"/>
  <c r="AF992" i="22"/>
  <c r="AO992" i="22"/>
  <c r="I993" i="22"/>
  <c r="Q993" i="22"/>
  <c r="AM993" i="22"/>
  <c r="K996" i="22"/>
  <c r="AF996" i="22"/>
  <c r="AO996" i="22"/>
  <c r="I997" i="22"/>
  <c r="Q997" i="22"/>
  <c r="AM997" i="22"/>
  <c r="K1000" i="22"/>
  <c r="AF1000" i="22"/>
  <c r="AO1000" i="22"/>
  <c r="I1001" i="22"/>
  <c r="Q1001" i="22"/>
  <c r="AM1001" i="22"/>
  <c r="L984" i="22"/>
  <c r="T984" i="22"/>
  <c r="AH984" i="22"/>
  <c r="J985" i="22"/>
  <c r="AE985" i="22"/>
  <c r="AN985" i="22"/>
  <c r="L988" i="22"/>
  <c r="T988" i="22"/>
  <c r="AH988" i="22"/>
  <c r="J989" i="22"/>
  <c r="AE989" i="22"/>
  <c r="AN989" i="22"/>
  <c r="L992" i="22"/>
  <c r="T992" i="22"/>
  <c r="AH992" i="22"/>
  <c r="J993" i="22"/>
  <c r="AE993" i="22"/>
  <c r="AN993" i="22"/>
  <c r="N995" i="22"/>
  <c r="L996" i="22"/>
  <c r="T996" i="22"/>
  <c r="J997" i="22"/>
  <c r="AE997" i="22"/>
  <c r="AN997" i="22"/>
  <c r="H998" i="22"/>
  <c r="P998" i="22"/>
  <c r="AC998" i="22"/>
  <c r="N999" i="22"/>
  <c r="L1000" i="22"/>
  <c r="T1000" i="22"/>
  <c r="J1001" i="22"/>
  <c r="AE1001" i="22"/>
  <c r="AN1001" i="22"/>
  <c r="D984" i="22"/>
  <c r="M984" i="22"/>
  <c r="X984" i="22"/>
  <c r="K985" i="22"/>
  <c r="AF985" i="22"/>
  <c r="D988" i="22"/>
  <c r="M988" i="22"/>
  <c r="X988" i="22"/>
  <c r="K989" i="22"/>
  <c r="AF989" i="22"/>
  <c r="D992" i="22"/>
  <c r="M992" i="22"/>
  <c r="X992" i="22"/>
  <c r="K993" i="22"/>
  <c r="AF993" i="22"/>
  <c r="K997" i="22"/>
  <c r="AF997" i="22"/>
  <c r="K1001" i="22"/>
  <c r="AF1001" i="22"/>
  <c r="AO1013" i="6"/>
  <c r="AD903" i="22" l="1"/>
  <c r="AJ903" i="22"/>
  <c r="AJ837" i="22"/>
  <c r="AD837" i="22"/>
  <c r="AD836" i="22"/>
  <c r="AJ836" i="22"/>
  <c r="AD792" i="22"/>
  <c r="AJ792" i="22"/>
  <c r="AD673" i="22"/>
  <c r="AJ673" i="22"/>
  <c r="AJ511" i="22"/>
  <c r="AD511" i="22"/>
  <c r="AD1000" i="22"/>
  <c r="AJ1000" i="22"/>
  <c r="AJ959" i="22"/>
  <c r="AD959" i="22"/>
  <c r="AD980" i="22"/>
  <c r="AJ980" i="22"/>
  <c r="AD953" i="22"/>
  <c r="AJ953" i="22"/>
  <c r="AJ926" i="22"/>
  <c r="AD926" i="22"/>
  <c r="AD917" i="22"/>
  <c r="AJ917" i="22"/>
  <c r="AJ932" i="22"/>
  <c r="AD932" i="22"/>
  <c r="AJ927" i="22"/>
  <c r="AD927" i="22"/>
  <c r="AJ914" i="22"/>
  <c r="AD914" i="22"/>
  <c r="AD891" i="22"/>
  <c r="AJ891" i="22"/>
  <c r="AJ885" i="22"/>
  <c r="AD885" i="22"/>
  <c r="AJ877" i="22"/>
  <c r="AD877" i="22"/>
  <c r="AJ861" i="22"/>
  <c r="AD861" i="22"/>
  <c r="AD852" i="22"/>
  <c r="AJ852" i="22"/>
  <c r="AD860" i="22"/>
  <c r="AJ860" i="22"/>
  <c r="AD851" i="22"/>
  <c r="AJ851" i="22"/>
  <c r="AD831" i="22"/>
  <c r="AJ831" i="22"/>
  <c r="AD876" i="22"/>
  <c r="AJ876" i="22"/>
  <c r="AD820" i="22"/>
  <c r="AJ820" i="22"/>
  <c r="AJ769" i="22"/>
  <c r="AD769" i="22"/>
  <c r="AD816" i="22"/>
  <c r="AJ816" i="22"/>
  <c r="AD783" i="22"/>
  <c r="AJ783" i="22"/>
  <c r="AD743" i="22"/>
  <c r="AJ743" i="22"/>
  <c r="AD727" i="22"/>
  <c r="AJ727" i="22"/>
  <c r="AD750" i="22"/>
  <c r="AJ750" i="22"/>
  <c r="AD724" i="22"/>
  <c r="AJ724" i="22"/>
  <c r="AD718" i="22"/>
  <c r="AJ718" i="22"/>
  <c r="AD708" i="22"/>
  <c r="AJ708" i="22"/>
  <c r="AD696" i="22"/>
  <c r="AJ696" i="22"/>
  <c r="AD692" i="22"/>
  <c r="AJ692" i="22"/>
  <c r="AD674" i="22"/>
  <c r="AJ674" i="22"/>
  <c r="AD670" i="22"/>
  <c r="AJ670" i="22"/>
  <c r="AD666" i="22"/>
  <c r="AJ666" i="22"/>
  <c r="AD662" i="22"/>
  <c r="AJ662" i="22"/>
  <c r="AJ639" i="22"/>
  <c r="AD639" i="22"/>
  <c r="AD624" i="22"/>
  <c r="AJ624" i="22"/>
  <c r="AD611" i="22"/>
  <c r="AJ611" i="22"/>
  <c r="AJ578" i="22"/>
  <c r="AD578" i="22"/>
  <c r="AD608" i="22"/>
  <c r="AJ608" i="22"/>
  <c r="AD604" i="22"/>
  <c r="AJ604" i="22"/>
  <c r="AD562" i="22"/>
  <c r="AJ562" i="22"/>
  <c r="AD554" i="22"/>
  <c r="AJ554" i="22"/>
  <c r="AJ586" i="22"/>
  <c r="AD586" i="22"/>
  <c r="AJ571" i="22"/>
  <c r="AD571" i="22"/>
  <c r="AD561" i="22"/>
  <c r="AJ561" i="22"/>
  <c r="AD557" i="22"/>
  <c r="AJ557" i="22"/>
  <c r="AD553" i="22"/>
  <c r="AJ553" i="22"/>
  <c r="AD584" i="22"/>
  <c r="AJ584" i="22"/>
  <c r="AJ574" i="22"/>
  <c r="AD574" i="22"/>
  <c r="AD504" i="22"/>
  <c r="AJ504" i="22"/>
  <c r="AD703" i="22"/>
  <c r="AJ703" i="22"/>
  <c r="AD657" i="22"/>
  <c r="AJ657" i="22"/>
  <c r="AJ543" i="22"/>
  <c r="AD543" i="22"/>
  <c r="AD1001" i="22"/>
  <c r="AJ1001" i="22"/>
  <c r="AD986" i="22"/>
  <c r="AJ986" i="22"/>
  <c r="AJ973" i="22"/>
  <c r="AD973" i="22"/>
  <c r="AJ967" i="22"/>
  <c r="AD967" i="22"/>
  <c r="AJ966" i="22"/>
  <c r="AD966" i="22"/>
  <c r="AJ893" i="22"/>
  <c r="AD893" i="22"/>
  <c r="AJ889" i="22"/>
  <c r="AD889" i="22"/>
  <c r="AJ857" i="22"/>
  <c r="AD857" i="22"/>
  <c r="AD872" i="22"/>
  <c r="AJ872" i="22"/>
  <c r="AJ845" i="22"/>
  <c r="AD845" i="22"/>
  <c r="AD884" i="22"/>
  <c r="AJ884" i="22"/>
  <c r="AD815" i="22"/>
  <c r="AJ815" i="22"/>
  <c r="AD848" i="22"/>
  <c r="AJ848" i="22"/>
  <c r="AJ805" i="22"/>
  <c r="AD805" i="22"/>
  <c r="AJ793" i="22"/>
  <c r="AD793" i="22"/>
  <c r="AJ785" i="22"/>
  <c r="AD785" i="22"/>
  <c r="AJ781" i="22"/>
  <c r="AD781" i="22"/>
  <c r="AJ777" i="22"/>
  <c r="AD777" i="22"/>
  <c r="AJ767" i="22"/>
  <c r="AD767" i="22"/>
  <c r="AD784" i="22"/>
  <c r="AJ784" i="22"/>
  <c r="AJ761" i="22"/>
  <c r="AD761" i="22"/>
  <c r="AJ725" i="22"/>
  <c r="AD725" i="22"/>
  <c r="AD788" i="22"/>
  <c r="AJ788" i="22"/>
  <c r="AD747" i="22"/>
  <c r="AJ747" i="22"/>
  <c r="AD715" i="22"/>
  <c r="AJ715" i="22"/>
  <c r="AD722" i="22"/>
  <c r="AJ722" i="22"/>
  <c r="AD712" i="22"/>
  <c r="AJ712" i="22"/>
  <c r="AD688" i="22"/>
  <c r="AJ688" i="22"/>
  <c r="AD671" i="22"/>
  <c r="AJ671" i="22"/>
  <c r="AJ617" i="22"/>
  <c r="AD617" i="22"/>
  <c r="AJ601" i="22"/>
  <c r="AD601" i="22"/>
  <c r="AJ599" i="22"/>
  <c r="AD599" i="22"/>
  <c r="AJ595" i="22"/>
  <c r="AD595" i="22"/>
  <c r="AD591" i="22"/>
  <c r="AJ591" i="22"/>
  <c r="AJ587" i="22"/>
  <c r="AD587" i="22"/>
  <c r="AJ583" i="22"/>
  <c r="AD583" i="22"/>
  <c r="AJ579" i="22"/>
  <c r="AD579" i="22"/>
  <c r="AJ575" i="22"/>
  <c r="AD575" i="22"/>
  <c r="AJ547" i="22"/>
  <c r="AD547" i="22"/>
  <c r="AJ531" i="22"/>
  <c r="AD531" i="22"/>
  <c r="AJ515" i="22"/>
  <c r="AD515" i="22"/>
  <c r="AD534" i="22"/>
  <c r="AJ534" i="22"/>
  <c r="AD612" i="22"/>
  <c r="AJ612" i="22"/>
  <c r="AD508" i="22"/>
  <c r="AJ508" i="22"/>
  <c r="AD968" i="22"/>
  <c r="AJ968" i="22"/>
  <c r="AJ940" i="22"/>
  <c r="AD940" i="22"/>
  <c r="AD699" i="22"/>
  <c r="AJ699" i="22"/>
  <c r="AD637" i="22"/>
  <c r="AJ637" i="22"/>
  <c r="AD650" i="22"/>
  <c r="AJ650" i="22"/>
  <c r="AJ527" i="22"/>
  <c r="AD527" i="22"/>
  <c r="AJ983" i="22"/>
  <c r="AD983" i="22"/>
  <c r="AJ981" i="22"/>
  <c r="AD981" i="22"/>
  <c r="AD925" i="22"/>
  <c r="AJ925" i="22"/>
  <c r="AD913" i="22"/>
  <c r="AJ913" i="22"/>
  <c r="AJ918" i="22"/>
  <c r="AD918" i="22"/>
  <c r="AD899" i="22"/>
  <c r="AJ899" i="22"/>
  <c r="AD880" i="22"/>
  <c r="AJ880" i="22"/>
  <c r="AD832" i="22"/>
  <c r="AJ832" i="22"/>
  <c r="AD791" i="22"/>
  <c r="AJ791" i="22"/>
  <c r="AJ737" i="22"/>
  <c r="AD737" i="22"/>
  <c r="AD756" i="22"/>
  <c r="AJ756" i="22"/>
  <c r="AD736" i="22"/>
  <c r="AJ736" i="22"/>
  <c r="AD751" i="22"/>
  <c r="AJ751" i="22"/>
  <c r="AD731" i="22"/>
  <c r="AJ731" i="22"/>
  <c r="AD796" i="22"/>
  <c r="AJ796" i="22"/>
  <c r="AD765" i="22"/>
  <c r="AJ765" i="22"/>
  <c r="AJ689" i="22"/>
  <c r="AD689" i="22"/>
  <c r="AD716" i="22"/>
  <c r="AJ716" i="22"/>
  <c r="AD704" i="22"/>
  <c r="AJ704" i="22"/>
  <c r="AJ685" i="22"/>
  <c r="AD685" i="22"/>
  <c r="AD653" i="22"/>
  <c r="AJ653" i="22"/>
  <c r="AD619" i="22"/>
  <c r="AJ619" i="22"/>
  <c r="AD546" i="22"/>
  <c r="AJ546" i="22"/>
  <c r="AD596" i="22"/>
  <c r="AJ596" i="22"/>
  <c r="AD512" i="22"/>
  <c r="AJ512" i="22"/>
  <c r="AD616" i="22"/>
  <c r="AJ616" i="22"/>
  <c r="AD900" i="22"/>
  <c r="AJ900" i="22"/>
  <c r="AJ890" i="22"/>
  <c r="AD890" i="22"/>
  <c r="AD892" i="22"/>
  <c r="AJ892" i="22"/>
  <c r="AJ817" i="22"/>
  <c r="AD817" i="22"/>
  <c r="AD795" i="22"/>
  <c r="AJ795" i="22"/>
  <c r="AJ753" i="22"/>
  <c r="AD753" i="22"/>
  <c r="AD768" i="22"/>
  <c r="AJ768" i="22"/>
  <c r="AD707" i="22"/>
  <c r="AJ707" i="22"/>
  <c r="AD629" i="22"/>
  <c r="AJ629" i="22"/>
  <c r="AD628" i="22"/>
  <c r="AJ628" i="22"/>
  <c r="AD532" i="22"/>
  <c r="AJ532" i="22"/>
  <c r="AD982" i="22"/>
  <c r="AJ982" i="22"/>
  <c r="AJ955" i="22"/>
  <c r="AD955" i="22"/>
  <c r="AD956" i="22"/>
  <c r="AJ956" i="22"/>
  <c r="AD931" i="22"/>
  <c r="AJ931" i="22"/>
  <c r="AJ936" i="22"/>
  <c r="AD936" i="22"/>
  <c r="AJ928" i="22"/>
  <c r="AD928" i="22"/>
  <c r="AD871" i="22"/>
  <c r="AJ871" i="22"/>
  <c r="AJ841" i="22"/>
  <c r="AD841" i="22"/>
  <c r="AJ821" i="22"/>
  <c r="AD821" i="22"/>
  <c r="AD843" i="22"/>
  <c r="AJ843" i="22"/>
  <c r="AD827" i="22"/>
  <c r="AJ827" i="22"/>
  <c r="AD812" i="22"/>
  <c r="AJ812" i="22"/>
  <c r="AD844" i="22"/>
  <c r="AJ844" i="22"/>
  <c r="AD760" i="22"/>
  <c r="AJ760" i="22"/>
  <c r="AD740" i="22"/>
  <c r="AJ740" i="22"/>
  <c r="AD735" i="22"/>
  <c r="AJ735" i="22"/>
  <c r="AD730" i="22"/>
  <c r="AJ730" i="22"/>
  <c r="AD723" i="22"/>
  <c r="AJ723" i="22"/>
  <c r="AD824" i="22"/>
  <c r="AJ824" i="22"/>
  <c r="AD720" i="22"/>
  <c r="AJ720" i="22"/>
  <c r="AD683" i="22"/>
  <c r="AJ683" i="22"/>
  <c r="AD684" i="22"/>
  <c r="AJ684" i="22"/>
  <c r="AD646" i="22"/>
  <c r="AJ646" i="22"/>
  <c r="AD633" i="22"/>
  <c r="AJ633" i="22"/>
  <c r="AD625" i="22"/>
  <c r="AJ625" i="22"/>
  <c r="AJ613" i="22"/>
  <c r="AD613" i="22"/>
  <c r="AJ589" i="22"/>
  <c r="AD589" i="22"/>
  <c r="AD607" i="22"/>
  <c r="AJ607" i="22"/>
  <c r="AJ551" i="22"/>
  <c r="AD551" i="22"/>
  <c r="AJ535" i="22"/>
  <c r="AD535" i="22"/>
  <c r="AJ519" i="22"/>
  <c r="AD519" i="22"/>
  <c r="AD638" i="22"/>
  <c r="AJ638" i="22"/>
  <c r="AD576" i="22"/>
  <c r="AJ576" i="22"/>
  <c r="AD516" i="22"/>
  <c r="AJ516" i="22"/>
  <c r="AD855" i="22"/>
  <c r="AJ855" i="22"/>
  <c r="AD695" i="22"/>
  <c r="AJ695" i="22"/>
  <c r="AD714" i="22"/>
  <c r="AJ714" i="22"/>
  <c r="AJ621" i="22"/>
  <c r="AD621" i="22"/>
  <c r="AD640" i="22"/>
  <c r="AJ640" i="22"/>
  <c r="AD542" i="22"/>
  <c r="AJ542" i="22"/>
  <c r="AD997" i="22"/>
  <c r="AJ997" i="22"/>
  <c r="AD990" i="22"/>
  <c r="AJ990" i="22"/>
  <c r="AD962" i="22"/>
  <c r="AJ962" i="22"/>
  <c r="AJ947" i="22"/>
  <c r="AD947" i="22"/>
  <c r="AJ948" i="22"/>
  <c r="AD948" i="22"/>
  <c r="AD888" i="22"/>
  <c r="AJ888" i="22"/>
  <c r="AJ881" i="22"/>
  <c r="AD881" i="22"/>
  <c r="AJ873" i="22"/>
  <c r="AD873" i="22"/>
  <c r="AD859" i="22"/>
  <c r="AJ859" i="22"/>
  <c r="AD811" i="22"/>
  <c r="AJ811" i="22"/>
  <c r="AJ773" i="22"/>
  <c r="AD773" i="22"/>
  <c r="AD840" i="22"/>
  <c r="AJ840" i="22"/>
  <c r="AD828" i="22"/>
  <c r="AJ828" i="22"/>
  <c r="AD799" i="22"/>
  <c r="AJ799" i="22"/>
  <c r="AJ757" i="22"/>
  <c r="AD757" i="22"/>
  <c r="AJ745" i="22"/>
  <c r="AD745" i="22"/>
  <c r="AD804" i="22"/>
  <c r="AJ804" i="22"/>
  <c r="AD744" i="22"/>
  <c r="AJ744" i="22"/>
  <c r="AD776" i="22"/>
  <c r="AJ776" i="22"/>
  <c r="AD739" i="22"/>
  <c r="AJ739" i="22"/>
  <c r="AD780" i="22"/>
  <c r="AJ780" i="22"/>
  <c r="AD734" i="22"/>
  <c r="AJ734" i="22"/>
  <c r="AD711" i="22"/>
  <c r="AJ711" i="22"/>
  <c r="AD675" i="22"/>
  <c r="AJ675" i="22"/>
  <c r="AD661" i="22"/>
  <c r="AJ661" i="22"/>
  <c r="AD566" i="22"/>
  <c r="AJ566" i="22"/>
  <c r="AD558" i="22"/>
  <c r="AJ558" i="22"/>
  <c r="AD538" i="22"/>
  <c r="AJ538" i="22"/>
  <c r="AD565" i="22"/>
  <c r="AJ565" i="22"/>
  <c r="AD520" i="22"/>
  <c r="AJ520" i="22"/>
  <c r="AJ741" i="22"/>
  <c r="AD741" i="22"/>
  <c r="AD691" i="22"/>
  <c r="AJ691" i="22"/>
  <c r="AD679" i="22"/>
  <c r="AJ679" i="22"/>
  <c r="AJ605" i="22"/>
  <c r="AD605" i="22"/>
  <c r="AD620" i="22"/>
  <c r="AJ620" i="22"/>
  <c r="AJ987" i="22"/>
  <c r="AD987" i="22"/>
  <c r="AJ991" i="22"/>
  <c r="AD991" i="22"/>
  <c r="AJ963" i="22"/>
  <c r="AD963" i="22"/>
  <c r="AD960" i="22"/>
  <c r="AJ960" i="22"/>
  <c r="AD976" i="22"/>
  <c r="AJ976" i="22"/>
  <c r="AJ945" i="22"/>
  <c r="AD945" i="22"/>
  <c r="AD921" i="22"/>
  <c r="AJ921" i="22"/>
  <c r="AD909" i="22"/>
  <c r="AJ909" i="22"/>
  <c r="AJ922" i="22"/>
  <c r="AD922" i="22"/>
  <c r="AJ907" i="22"/>
  <c r="AD907" i="22"/>
  <c r="AD895" i="22"/>
  <c r="AJ895" i="22"/>
  <c r="AJ853" i="22"/>
  <c r="AD853" i="22"/>
  <c r="AD896" i="22"/>
  <c r="AJ896" i="22"/>
  <c r="AD868" i="22"/>
  <c r="AJ868" i="22"/>
  <c r="AD864" i="22"/>
  <c r="AJ864" i="22"/>
  <c r="AD856" i="22"/>
  <c r="AJ856" i="22"/>
  <c r="AD835" i="22"/>
  <c r="AJ835" i="22"/>
  <c r="AJ808" i="22"/>
  <c r="AD808" i="22"/>
  <c r="AJ801" i="22"/>
  <c r="AD801" i="22"/>
  <c r="AJ789" i="22"/>
  <c r="AD789" i="22"/>
  <c r="AD807" i="22"/>
  <c r="AJ807" i="22"/>
  <c r="AD787" i="22"/>
  <c r="AJ787" i="22"/>
  <c r="AD800" i="22"/>
  <c r="AJ800" i="22"/>
  <c r="AJ733" i="22"/>
  <c r="AD733" i="22"/>
  <c r="AD748" i="22"/>
  <c r="AJ748" i="22"/>
  <c r="AD772" i="22"/>
  <c r="AJ772" i="22"/>
  <c r="AD738" i="22"/>
  <c r="AJ738" i="22"/>
  <c r="AD678" i="22"/>
  <c r="AJ678" i="22"/>
  <c r="AD665" i="22"/>
  <c r="AJ665" i="22"/>
  <c r="AD649" i="22"/>
  <c r="AJ649" i="22"/>
  <c r="AJ645" i="22"/>
  <c r="AD645" i="22"/>
  <c r="AJ609" i="22"/>
  <c r="AD609" i="22"/>
  <c r="AJ593" i="22"/>
  <c r="AD593" i="22"/>
  <c r="AD636" i="22"/>
  <c r="AJ636" i="22"/>
  <c r="AD632" i="22"/>
  <c r="AJ632" i="22"/>
  <c r="AD615" i="22"/>
  <c r="AJ615" i="22"/>
  <c r="AJ539" i="22"/>
  <c r="AD539" i="22"/>
  <c r="AJ523" i="22"/>
  <c r="AD523" i="22"/>
  <c r="AJ507" i="22"/>
  <c r="AD507" i="22"/>
  <c r="AD550" i="22"/>
  <c r="AJ550" i="22"/>
  <c r="AD580" i="22"/>
  <c r="AJ580" i="22"/>
  <c r="AD572" i="22"/>
  <c r="AJ572" i="22"/>
  <c r="AD524" i="22"/>
  <c r="AJ524" i="22"/>
  <c r="AJ594" i="22"/>
  <c r="AD594" i="22"/>
  <c r="AD993" i="22"/>
  <c r="AJ993" i="22"/>
  <c r="AJ849" i="22"/>
  <c r="AD849" i="22"/>
  <c r="AJ597" i="22"/>
  <c r="AD597" i="22"/>
  <c r="AJ977" i="22"/>
  <c r="AD977" i="22"/>
  <c r="AD971" i="22"/>
  <c r="AJ971" i="22"/>
  <c r="AD994" i="22"/>
  <c r="AJ994" i="22"/>
  <c r="AD972" i="22"/>
  <c r="AJ972" i="22"/>
  <c r="AD952" i="22"/>
  <c r="AJ952" i="22"/>
  <c r="AD943" i="22"/>
  <c r="AJ943" i="22"/>
  <c r="AD939" i="22"/>
  <c r="AJ939" i="22"/>
  <c r="AD935" i="22"/>
  <c r="AJ935" i="22"/>
  <c r="AJ944" i="22"/>
  <c r="AD944" i="22"/>
  <c r="AJ910" i="22"/>
  <c r="AD910" i="22"/>
  <c r="AJ869" i="22"/>
  <c r="AD869" i="22"/>
  <c r="AJ865" i="22"/>
  <c r="AD865" i="22"/>
  <c r="AD904" i="22"/>
  <c r="AJ904" i="22"/>
  <c r="AD867" i="22"/>
  <c r="AJ867" i="22"/>
  <c r="AD775" i="22"/>
  <c r="AJ775" i="22"/>
  <c r="AD764" i="22"/>
  <c r="AJ764" i="22"/>
  <c r="AD742" i="22"/>
  <c r="AJ742" i="22"/>
  <c r="AD719" i="22"/>
  <c r="AJ719" i="22"/>
  <c r="AD682" i="22"/>
  <c r="AJ682" i="22"/>
  <c r="AD700" i="22"/>
  <c r="AJ700" i="22"/>
  <c r="AD669" i="22"/>
  <c r="AJ669" i="22"/>
  <c r="AD654" i="22"/>
  <c r="AJ654" i="22"/>
  <c r="AD642" i="22"/>
  <c r="AJ642" i="22"/>
  <c r="AD658" i="22"/>
  <c r="AJ658" i="22"/>
  <c r="AD603" i="22"/>
  <c r="AJ603" i="22"/>
  <c r="AJ582" i="22"/>
  <c r="AD582" i="22"/>
  <c r="AJ568" i="22"/>
  <c r="AD568" i="22"/>
  <c r="AD600" i="22"/>
  <c r="AJ600" i="22"/>
  <c r="AD505" i="22"/>
  <c r="AJ505" i="22"/>
  <c r="AD588" i="22"/>
  <c r="AJ588" i="22"/>
  <c r="AD528" i="22"/>
  <c r="AJ528" i="22"/>
  <c r="BI5" i="9"/>
  <c r="K989" i="7" l="1"/>
  <c r="K988" i="7"/>
  <c r="K987" i="7"/>
  <c r="H987" i="7"/>
  <c r="K986" i="7"/>
  <c r="H986" i="7"/>
  <c r="K985" i="7"/>
  <c r="H985" i="7"/>
  <c r="K984" i="7"/>
  <c r="H984" i="7"/>
  <c r="K983" i="7"/>
  <c r="H983" i="7"/>
  <c r="K982" i="7"/>
  <c r="H982"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601" i="7"/>
  <c r="H600" i="7"/>
  <c r="H599" i="7"/>
  <c r="H598" i="7"/>
  <c r="H597" i="7"/>
  <c r="H596" i="7"/>
  <c r="H595" i="7"/>
  <c r="H594" i="7"/>
  <c r="H593" i="7"/>
  <c r="H592" i="7"/>
  <c r="H591" i="7"/>
  <c r="H590" i="7"/>
  <c r="H589" i="7"/>
  <c r="H588" i="7"/>
  <c r="H587" i="7"/>
  <c r="H586" i="7"/>
  <c r="H585" i="7"/>
  <c r="H584" i="7"/>
  <c r="H583" i="7"/>
  <c r="H582" i="7"/>
  <c r="H581" i="7"/>
  <c r="H580" i="7"/>
  <c r="H579" i="7"/>
  <c r="H578" i="7"/>
  <c r="H577" i="7"/>
  <c r="H576" i="7"/>
  <c r="H575" i="7"/>
  <c r="H574" i="7"/>
  <c r="H573" i="7"/>
  <c r="H57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E8" i="23"/>
  <c r="B2" i="8"/>
  <c r="B2" i="7"/>
  <c r="D8" i="23"/>
  <c r="W21" i="9" l="1"/>
  <c r="W22" i="9"/>
  <c r="W23" i="9"/>
  <c r="W24" i="9"/>
  <c r="W25" i="9"/>
  <c r="C24" i="9"/>
  <c r="E24" i="9" s="1"/>
  <c r="E13" i="9"/>
  <c r="F13" i="9"/>
  <c r="E14" i="9"/>
  <c r="F14" i="9"/>
  <c r="E15" i="9"/>
  <c r="F15" i="9"/>
  <c r="E21" i="9"/>
  <c r="F21" i="9"/>
  <c r="J29" i="9"/>
  <c r="I29" i="9"/>
  <c r="H29" i="9"/>
  <c r="G29" i="9"/>
  <c r="AF102" i="9"/>
  <c r="AE102" i="9"/>
  <c r="AF101" i="9"/>
  <c r="AE101" i="9"/>
  <c r="AF100" i="9"/>
  <c r="AE100" i="9"/>
  <c r="AF99" i="9"/>
  <c r="AE99" i="9"/>
  <c r="AF98" i="9"/>
  <c r="AE98" i="9"/>
  <c r="AF97" i="9"/>
  <c r="AE97" i="9"/>
  <c r="AF96" i="9"/>
  <c r="AE96" i="9"/>
  <c r="AF95" i="9"/>
  <c r="AE95" i="9"/>
  <c r="AF94" i="9"/>
  <c r="AE94" i="9"/>
  <c r="AF93" i="9"/>
  <c r="AE93" i="9"/>
  <c r="AF92" i="9"/>
  <c r="AE92" i="9"/>
  <c r="AF91" i="9"/>
  <c r="AE91" i="9"/>
  <c r="AF90" i="9"/>
  <c r="AE90" i="9"/>
  <c r="AF89" i="9"/>
  <c r="AE89" i="9"/>
  <c r="AF88" i="9"/>
  <c r="AE88" i="9"/>
  <c r="AF87" i="9"/>
  <c r="AE87" i="9"/>
  <c r="AF86" i="9"/>
  <c r="AE86" i="9"/>
  <c r="AF85" i="9"/>
  <c r="AE85" i="9"/>
  <c r="AH102" i="9"/>
  <c r="AH101" i="9"/>
  <c r="AH100" i="9"/>
  <c r="AH99" i="9"/>
  <c r="AH98" i="9"/>
  <c r="AH97" i="9"/>
  <c r="AH96" i="9"/>
  <c r="AH95" i="9"/>
  <c r="AH94" i="9"/>
  <c r="AH93" i="9"/>
  <c r="AH92" i="9"/>
  <c r="AH91" i="9"/>
  <c r="AH90" i="9"/>
  <c r="AH89" i="9"/>
  <c r="AH88" i="9"/>
  <c r="AH87" i="9"/>
  <c r="AH86" i="9"/>
  <c r="AH85" i="9"/>
  <c r="AI102" i="9"/>
  <c r="AI101" i="9"/>
  <c r="AI100" i="9"/>
  <c r="AI99" i="9"/>
  <c r="AI98" i="9"/>
  <c r="AI97" i="9"/>
  <c r="AI96" i="9"/>
  <c r="AI95" i="9"/>
  <c r="AI94" i="9"/>
  <c r="AI93" i="9"/>
  <c r="AI92" i="9"/>
  <c r="AI91" i="9"/>
  <c r="AI90" i="9"/>
  <c r="AI89" i="9"/>
  <c r="AI88" i="9"/>
  <c r="AI87" i="9"/>
  <c r="AI86" i="9"/>
  <c r="AI85" i="9"/>
  <c r="BC102" i="9"/>
  <c r="BB102" i="9"/>
  <c r="BA102" i="9"/>
  <c r="AZ102" i="9"/>
  <c r="AY102" i="9"/>
  <c r="AX102" i="9"/>
  <c r="AW102" i="9"/>
  <c r="AV102" i="9"/>
  <c r="AU102" i="9"/>
  <c r="AT102" i="9"/>
  <c r="AS102" i="9"/>
  <c r="AR102" i="9"/>
  <c r="AQ102" i="9"/>
  <c r="AP102" i="9"/>
  <c r="AO102" i="9"/>
  <c r="AN102" i="9"/>
  <c r="AM102" i="9"/>
  <c r="AL102" i="9"/>
  <c r="AK102" i="9"/>
  <c r="AJ102" i="9"/>
  <c r="BC101" i="9"/>
  <c r="BB101" i="9"/>
  <c r="BA101" i="9"/>
  <c r="AZ101" i="9"/>
  <c r="AY101" i="9"/>
  <c r="AX101" i="9"/>
  <c r="AW101" i="9"/>
  <c r="AV101" i="9"/>
  <c r="AU101" i="9"/>
  <c r="AT101" i="9"/>
  <c r="AS101" i="9"/>
  <c r="AR101" i="9"/>
  <c r="AQ101" i="9"/>
  <c r="AP101" i="9"/>
  <c r="AO101" i="9"/>
  <c r="AN101" i="9"/>
  <c r="AM101" i="9"/>
  <c r="AL101" i="9"/>
  <c r="AK101" i="9"/>
  <c r="AJ101" i="9"/>
  <c r="BC100" i="9"/>
  <c r="BB100" i="9"/>
  <c r="BA100" i="9"/>
  <c r="AZ100" i="9"/>
  <c r="AY100" i="9"/>
  <c r="AX100" i="9"/>
  <c r="AW100" i="9"/>
  <c r="AV100" i="9"/>
  <c r="AU100" i="9"/>
  <c r="AT100" i="9"/>
  <c r="AS100" i="9"/>
  <c r="AR100" i="9"/>
  <c r="AQ100" i="9"/>
  <c r="AP100" i="9"/>
  <c r="AO100" i="9"/>
  <c r="AN100" i="9"/>
  <c r="AM100" i="9"/>
  <c r="AL100" i="9"/>
  <c r="AK100" i="9"/>
  <c r="AJ100" i="9"/>
  <c r="BC99" i="9"/>
  <c r="BB99" i="9"/>
  <c r="BA99" i="9"/>
  <c r="AZ99" i="9"/>
  <c r="AY99" i="9"/>
  <c r="AX99" i="9"/>
  <c r="AW99" i="9"/>
  <c r="AV99" i="9"/>
  <c r="AU99" i="9"/>
  <c r="AT99" i="9"/>
  <c r="AS99" i="9"/>
  <c r="AR99" i="9"/>
  <c r="AQ99" i="9"/>
  <c r="AP99" i="9"/>
  <c r="AO99" i="9"/>
  <c r="AN99" i="9"/>
  <c r="AM99" i="9"/>
  <c r="AL99" i="9"/>
  <c r="AK99" i="9"/>
  <c r="AJ99" i="9"/>
  <c r="BC98" i="9"/>
  <c r="BB98" i="9"/>
  <c r="BA98" i="9"/>
  <c r="AZ98" i="9"/>
  <c r="AY98" i="9"/>
  <c r="AX98" i="9"/>
  <c r="AW98" i="9"/>
  <c r="AV98" i="9"/>
  <c r="AU98" i="9"/>
  <c r="AT98" i="9"/>
  <c r="AS98" i="9"/>
  <c r="AR98" i="9"/>
  <c r="AQ98" i="9"/>
  <c r="AP98" i="9"/>
  <c r="AO98" i="9"/>
  <c r="AN98" i="9"/>
  <c r="AM98" i="9"/>
  <c r="AL98" i="9"/>
  <c r="AK98" i="9"/>
  <c r="AJ98" i="9"/>
  <c r="BC97" i="9"/>
  <c r="BB97" i="9"/>
  <c r="BA97" i="9"/>
  <c r="AZ97" i="9"/>
  <c r="AY97" i="9"/>
  <c r="AX97" i="9"/>
  <c r="AW97" i="9"/>
  <c r="AV97" i="9"/>
  <c r="AU97" i="9"/>
  <c r="AT97" i="9"/>
  <c r="AS97" i="9"/>
  <c r="AR97" i="9"/>
  <c r="AQ97" i="9"/>
  <c r="AP97" i="9"/>
  <c r="AO97" i="9"/>
  <c r="AN97" i="9"/>
  <c r="AM97" i="9"/>
  <c r="AL97" i="9"/>
  <c r="AK97" i="9"/>
  <c r="AJ97" i="9"/>
  <c r="BC96" i="9"/>
  <c r="BB96" i="9"/>
  <c r="BA96" i="9"/>
  <c r="AZ96" i="9"/>
  <c r="AY96" i="9"/>
  <c r="AX96" i="9"/>
  <c r="AW96" i="9"/>
  <c r="AV96" i="9"/>
  <c r="AU96" i="9"/>
  <c r="AT96" i="9"/>
  <c r="AS96" i="9"/>
  <c r="AR96" i="9"/>
  <c r="AQ96" i="9"/>
  <c r="AP96" i="9"/>
  <c r="AO96" i="9"/>
  <c r="AN96" i="9"/>
  <c r="AM96" i="9"/>
  <c r="AL96" i="9"/>
  <c r="AK96" i="9"/>
  <c r="AJ96" i="9"/>
  <c r="BC95" i="9"/>
  <c r="BB95" i="9"/>
  <c r="BA95" i="9"/>
  <c r="AZ95" i="9"/>
  <c r="AY95" i="9"/>
  <c r="AX95" i="9"/>
  <c r="AW95" i="9"/>
  <c r="AV95" i="9"/>
  <c r="AU95" i="9"/>
  <c r="AT95" i="9"/>
  <c r="AS95" i="9"/>
  <c r="AR95" i="9"/>
  <c r="AQ95" i="9"/>
  <c r="AP95" i="9"/>
  <c r="AO95" i="9"/>
  <c r="AN95" i="9"/>
  <c r="AM95" i="9"/>
  <c r="AL95" i="9"/>
  <c r="AK95" i="9"/>
  <c r="AJ95" i="9"/>
  <c r="BC94" i="9"/>
  <c r="BB94" i="9"/>
  <c r="BA94" i="9"/>
  <c r="AZ94" i="9"/>
  <c r="AY94" i="9"/>
  <c r="AX94" i="9"/>
  <c r="AW94" i="9"/>
  <c r="AV94" i="9"/>
  <c r="AU94" i="9"/>
  <c r="AT94" i="9"/>
  <c r="AS94" i="9"/>
  <c r="AR94" i="9"/>
  <c r="AQ94" i="9"/>
  <c r="AP94" i="9"/>
  <c r="AO94" i="9"/>
  <c r="AN94" i="9"/>
  <c r="AM94" i="9"/>
  <c r="AL94" i="9"/>
  <c r="AK94" i="9"/>
  <c r="AJ94" i="9"/>
  <c r="BC93" i="9"/>
  <c r="BB93" i="9"/>
  <c r="BA93" i="9"/>
  <c r="AZ93" i="9"/>
  <c r="AY93" i="9"/>
  <c r="AX93" i="9"/>
  <c r="AW93" i="9"/>
  <c r="AV93" i="9"/>
  <c r="AU93" i="9"/>
  <c r="AT93" i="9"/>
  <c r="AS93" i="9"/>
  <c r="AR93" i="9"/>
  <c r="AQ93" i="9"/>
  <c r="AP93" i="9"/>
  <c r="AO93" i="9"/>
  <c r="AN93" i="9"/>
  <c r="AM93" i="9"/>
  <c r="AL93" i="9"/>
  <c r="AK93" i="9"/>
  <c r="AJ93" i="9"/>
  <c r="BC92" i="9"/>
  <c r="BB92" i="9"/>
  <c r="BA92" i="9"/>
  <c r="AZ92" i="9"/>
  <c r="AY92" i="9"/>
  <c r="AX92" i="9"/>
  <c r="AW92" i="9"/>
  <c r="AV92" i="9"/>
  <c r="AU92" i="9"/>
  <c r="AT92" i="9"/>
  <c r="AS92" i="9"/>
  <c r="AR92" i="9"/>
  <c r="AQ92" i="9"/>
  <c r="AP92" i="9"/>
  <c r="AO92" i="9"/>
  <c r="AN92" i="9"/>
  <c r="AM92" i="9"/>
  <c r="AL92" i="9"/>
  <c r="AK92" i="9"/>
  <c r="AJ92" i="9"/>
  <c r="BC91" i="9"/>
  <c r="BB91" i="9"/>
  <c r="BA91" i="9"/>
  <c r="AZ91" i="9"/>
  <c r="AY91" i="9"/>
  <c r="AX91" i="9"/>
  <c r="AW91" i="9"/>
  <c r="AV91" i="9"/>
  <c r="AU91" i="9"/>
  <c r="AT91" i="9"/>
  <c r="AS91" i="9"/>
  <c r="AR91" i="9"/>
  <c r="AQ91" i="9"/>
  <c r="AP91" i="9"/>
  <c r="AO91" i="9"/>
  <c r="AN91" i="9"/>
  <c r="AM91" i="9"/>
  <c r="AL91" i="9"/>
  <c r="AK91" i="9"/>
  <c r="AJ91" i="9"/>
  <c r="BC90" i="9"/>
  <c r="BB90" i="9"/>
  <c r="BA90" i="9"/>
  <c r="AZ90" i="9"/>
  <c r="AY90" i="9"/>
  <c r="AX90" i="9"/>
  <c r="AW90" i="9"/>
  <c r="AV90" i="9"/>
  <c r="AU90" i="9"/>
  <c r="AT90" i="9"/>
  <c r="AS90" i="9"/>
  <c r="AR90" i="9"/>
  <c r="AQ90" i="9"/>
  <c r="AP90" i="9"/>
  <c r="AO90" i="9"/>
  <c r="AN90" i="9"/>
  <c r="AM90" i="9"/>
  <c r="AL90" i="9"/>
  <c r="AK90" i="9"/>
  <c r="AJ90" i="9"/>
  <c r="BC89" i="9"/>
  <c r="BB89" i="9"/>
  <c r="BA89" i="9"/>
  <c r="AZ89" i="9"/>
  <c r="AY89" i="9"/>
  <c r="AX89" i="9"/>
  <c r="AW89" i="9"/>
  <c r="AV89" i="9"/>
  <c r="AU89" i="9"/>
  <c r="AT89" i="9"/>
  <c r="AS89" i="9"/>
  <c r="AR89" i="9"/>
  <c r="AQ89" i="9"/>
  <c r="AP89" i="9"/>
  <c r="AO89" i="9"/>
  <c r="AN89" i="9"/>
  <c r="AM89" i="9"/>
  <c r="AL89" i="9"/>
  <c r="AK89" i="9"/>
  <c r="AJ89" i="9"/>
  <c r="BC88" i="9"/>
  <c r="BB88" i="9"/>
  <c r="BA88" i="9"/>
  <c r="AZ88" i="9"/>
  <c r="AY88" i="9"/>
  <c r="AX88" i="9"/>
  <c r="AW88" i="9"/>
  <c r="AV88" i="9"/>
  <c r="AU88" i="9"/>
  <c r="AT88" i="9"/>
  <c r="AS88" i="9"/>
  <c r="AR88" i="9"/>
  <c r="AQ88" i="9"/>
  <c r="AP88" i="9"/>
  <c r="AO88" i="9"/>
  <c r="AN88" i="9"/>
  <c r="AM88" i="9"/>
  <c r="AL88" i="9"/>
  <c r="AK88" i="9"/>
  <c r="AJ88" i="9"/>
  <c r="BC87" i="9"/>
  <c r="BB87" i="9"/>
  <c r="BA87" i="9"/>
  <c r="AZ87" i="9"/>
  <c r="AY87" i="9"/>
  <c r="AX87" i="9"/>
  <c r="AW87" i="9"/>
  <c r="AV87" i="9"/>
  <c r="AU87" i="9"/>
  <c r="AT87" i="9"/>
  <c r="AS87" i="9"/>
  <c r="AR87" i="9"/>
  <c r="AQ87" i="9"/>
  <c r="AP87" i="9"/>
  <c r="AO87" i="9"/>
  <c r="AN87" i="9"/>
  <c r="AM87" i="9"/>
  <c r="AL87" i="9"/>
  <c r="AK87" i="9"/>
  <c r="AJ87" i="9"/>
  <c r="BC86" i="9"/>
  <c r="BB86" i="9"/>
  <c r="BA86" i="9"/>
  <c r="AZ86" i="9"/>
  <c r="AY86" i="9"/>
  <c r="AX86" i="9"/>
  <c r="AW86" i="9"/>
  <c r="AV86" i="9"/>
  <c r="AU86" i="9"/>
  <c r="AT86" i="9"/>
  <c r="AS86" i="9"/>
  <c r="AR86" i="9"/>
  <c r="AQ86" i="9"/>
  <c r="AP86" i="9"/>
  <c r="AO86" i="9"/>
  <c r="AN86" i="9"/>
  <c r="AM86" i="9"/>
  <c r="AL86" i="9"/>
  <c r="AK86" i="9"/>
  <c r="AJ86" i="9"/>
  <c r="BC85" i="9"/>
  <c r="BB85" i="9"/>
  <c r="BA85" i="9"/>
  <c r="AZ85" i="9"/>
  <c r="AY85" i="9"/>
  <c r="AX85" i="9"/>
  <c r="AW85" i="9"/>
  <c r="AV85" i="9"/>
  <c r="AU85" i="9"/>
  <c r="AT85" i="9"/>
  <c r="AS85" i="9"/>
  <c r="AR85" i="9"/>
  <c r="AQ85" i="9"/>
  <c r="AP85" i="9"/>
  <c r="AO85" i="9"/>
  <c r="AN85" i="9"/>
  <c r="AM85" i="9"/>
  <c r="AL85" i="9"/>
  <c r="AK85" i="9"/>
  <c r="AJ85" i="9"/>
  <c r="BC84" i="9"/>
  <c r="BB84" i="9"/>
  <c r="BA84" i="9"/>
  <c r="AZ84" i="9"/>
  <c r="AY84" i="9"/>
  <c r="AX84" i="9"/>
  <c r="AW84" i="9"/>
  <c r="AV84" i="9"/>
  <c r="AU84" i="9"/>
  <c r="AT84" i="9"/>
  <c r="AS84" i="9"/>
  <c r="AR84" i="9"/>
  <c r="AQ84" i="9"/>
  <c r="AP84" i="9"/>
  <c r="AO84" i="9"/>
  <c r="AN84" i="9"/>
  <c r="AM84" i="9"/>
  <c r="AL84" i="9"/>
  <c r="AK84" i="9"/>
  <c r="AJ84" i="9"/>
  <c r="AG102" i="9"/>
  <c r="AG101" i="9"/>
  <c r="AG100" i="9"/>
  <c r="AG99" i="9"/>
  <c r="AG98" i="9"/>
  <c r="AG97" i="9"/>
  <c r="AG96" i="9"/>
  <c r="AG95" i="9"/>
  <c r="AG94" i="9"/>
  <c r="AG93" i="9"/>
  <c r="AG92" i="9"/>
  <c r="AG91" i="9"/>
  <c r="AG90" i="9"/>
  <c r="AG89" i="9"/>
  <c r="AG88" i="9"/>
  <c r="AG87" i="9"/>
  <c r="AG86" i="9"/>
  <c r="AG85" i="9"/>
  <c r="AG84" i="9"/>
  <c r="AF84" i="9"/>
  <c r="AE84" i="9"/>
  <c r="AH84" i="9"/>
  <c r="AI84" i="9"/>
  <c r="D37" i="9" l="1"/>
  <c r="C1" i="12" l="1"/>
  <c r="E1" i="11"/>
  <c r="H7" i="11" l="1"/>
  <c r="I120" i="10" l="1"/>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B41" i="10"/>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60" i="10" l="1"/>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61" i="10"/>
  <c r="D59" i="10" l="1"/>
  <c r="A2" i="11"/>
  <c r="I1009" i="11" l="1"/>
  <c r="I1008" i="11"/>
  <c r="I1007" i="11"/>
  <c r="I1006" i="11"/>
  <c r="I1005" i="11"/>
  <c r="I1004" i="11"/>
  <c r="I1003" i="11"/>
  <c r="I1002" i="11"/>
  <c r="I1001" i="11"/>
  <c r="I1000" i="11"/>
  <c r="I999" i="11"/>
  <c r="I998" i="11"/>
  <c r="I997" i="11"/>
  <c r="I996" i="11"/>
  <c r="I995" i="11"/>
  <c r="I994" i="11"/>
  <c r="I993" i="11"/>
  <c r="I992" i="11"/>
  <c r="I991" i="11"/>
  <c r="I990" i="11"/>
  <c r="I989" i="11"/>
  <c r="I988" i="11"/>
  <c r="I987" i="11"/>
  <c r="I986" i="11"/>
  <c r="I985" i="11"/>
  <c r="I984" i="11"/>
  <c r="I983" i="11"/>
  <c r="I982" i="11"/>
  <c r="I981" i="11"/>
  <c r="I980" i="11"/>
  <c r="I979" i="11"/>
  <c r="I978" i="11"/>
  <c r="I977" i="11"/>
  <c r="I976" i="11"/>
  <c r="I975" i="11"/>
  <c r="I974" i="11"/>
  <c r="I973" i="11"/>
  <c r="I972" i="11"/>
  <c r="I971" i="11"/>
  <c r="I970" i="11"/>
  <c r="I969" i="11"/>
  <c r="I968" i="11"/>
  <c r="I967" i="11"/>
  <c r="I966" i="11"/>
  <c r="I965" i="11"/>
  <c r="I964" i="11"/>
  <c r="I963" i="11"/>
  <c r="I962" i="11"/>
  <c r="I961" i="11"/>
  <c r="I960" i="11"/>
  <c r="I959" i="11"/>
  <c r="I958" i="11"/>
  <c r="I957" i="11"/>
  <c r="I956" i="11"/>
  <c r="I955" i="11"/>
  <c r="I954" i="11"/>
  <c r="I953" i="11"/>
  <c r="I952" i="11"/>
  <c r="I951" i="11"/>
  <c r="I950" i="11"/>
  <c r="I949" i="11"/>
  <c r="I948" i="11"/>
  <c r="I947" i="11"/>
  <c r="I946" i="11"/>
  <c r="I945" i="11"/>
  <c r="I944" i="11"/>
  <c r="I943" i="11"/>
  <c r="I942" i="11"/>
  <c r="I941" i="11"/>
  <c r="I940" i="11"/>
  <c r="I939" i="11"/>
  <c r="I938" i="11"/>
  <c r="I937" i="11"/>
  <c r="I936" i="11"/>
  <c r="I935" i="11"/>
  <c r="I934" i="11"/>
  <c r="I933" i="11"/>
  <c r="I932" i="11"/>
  <c r="I931" i="11"/>
  <c r="I930" i="11"/>
  <c r="I929" i="11"/>
  <c r="I928" i="11"/>
  <c r="I927" i="11"/>
  <c r="I926" i="11"/>
  <c r="I925" i="11"/>
  <c r="I924" i="11"/>
  <c r="I923" i="11"/>
  <c r="I922" i="11"/>
  <c r="I921" i="11"/>
  <c r="I920" i="11"/>
  <c r="I919" i="11"/>
  <c r="I918" i="11"/>
  <c r="I917" i="11"/>
  <c r="I916" i="11"/>
  <c r="I915" i="11"/>
  <c r="I914" i="11"/>
  <c r="I913" i="11"/>
  <c r="I912" i="11"/>
  <c r="I911" i="11"/>
  <c r="I910" i="11"/>
  <c r="I909" i="11"/>
  <c r="I908" i="11"/>
  <c r="I907" i="11"/>
  <c r="I906" i="11"/>
  <c r="I905" i="11"/>
  <c r="I904" i="11"/>
  <c r="I903" i="11"/>
  <c r="I902" i="11"/>
  <c r="I901" i="11"/>
  <c r="I900" i="11"/>
  <c r="I899" i="11"/>
  <c r="I898" i="11"/>
  <c r="I897" i="11"/>
  <c r="I896" i="11"/>
  <c r="I895" i="11"/>
  <c r="I894" i="11"/>
  <c r="I893" i="11"/>
  <c r="I892" i="11"/>
  <c r="I891" i="11"/>
  <c r="I890" i="11"/>
  <c r="I889" i="11"/>
  <c r="I888" i="11"/>
  <c r="I887" i="11"/>
  <c r="I886" i="11"/>
  <c r="I885" i="11"/>
  <c r="I884" i="11"/>
  <c r="I883" i="11"/>
  <c r="I882" i="11"/>
  <c r="I881" i="11"/>
  <c r="I880" i="11"/>
  <c r="I879" i="11"/>
  <c r="I878" i="11"/>
  <c r="I877" i="11"/>
  <c r="I876" i="11"/>
  <c r="I875" i="11"/>
  <c r="I874" i="11"/>
  <c r="I873" i="11"/>
  <c r="I872" i="11"/>
  <c r="I871" i="11"/>
  <c r="I870" i="11"/>
  <c r="I869" i="11"/>
  <c r="I868" i="11"/>
  <c r="I867" i="11"/>
  <c r="I866" i="11"/>
  <c r="I865" i="11"/>
  <c r="I864" i="11"/>
  <c r="I863" i="11"/>
  <c r="I862" i="11"/>
  <c r="I861" i="11"/>
  <c r="I860" i="11"/>
  <c r="I859" i="11"/>
  <c r="I858" i="11"/>
  <c r="I857" i="11"/>
  <c r="I856" i="11"/>
  <c r="I855" i="11"/>
  <c r="I854" i="11"/>
  <c r="I853" i="11"/>
  <c r="I852" i="11"/>
  <c r="I851" i="11"/>
  <c r="I850" i="11"/>
  <c r="I849" i="11"/>
  <c r="I848" i="11"/>
  <c r="I847" i="11"/>
  <c r="I846" i="11"/>
  <c r="I845" i="11"/>
  <c r="I844" i="11"/>
  <c r="I843" i="11"/>
  <c r="I842" i="11"/>
  <c r="I841" i="11"/>
  <c r="I840" i="11"/>
  <c r="I839" i="11"/>
  <c r="I838" i="11"/>
  <c r="I837" i="11"/>
  <c r="I836" i="11"/>
  <c r="I835" i="11"/>
  <c r="I834" i="11"/>
  <c r="I833" i="11"/>
  <c r="I832" i="11"/>
  <c r="I831" i="11"/>
  <c r="I830" i="11"/>
  <c r="I829" i="11"/>
  <c r="I828" i="11"/>
  <c r="I827" i="11"/>
  <c r="I826" i="11"/>
  <c r="I825" i="11"/>
  <c r="I824" i="11"/>
  <c r="I823" i="11"/>
  <c r="I822" i="11"/>
  <c r="I821" i="11"/>
  <c r="I820" i="11"/>
  <c r="I819" i="11"/>
  <c r="I818" i="11"/>
  <c r="I817" i="11"/>
  <c r="I816" i="11"/>
  <c r="I815" i="11"/>
  <c r="I814" i="11"/>
  <c r="I813" i="11"/>
  <c r="I812" i="11"/>
  <c r="I811" i="11"/>
  <c r="I810" i="11"/>
  <c r="I809" i="11"/>
  <c r="I808" i="11"/>
  <c r="I807" i="11"/>
  <c r="I806" i="11"/>
  <c r="I805" i="11"/>
  <c r="I804" i="11"/>
  <c r="I803" i="11"/>
  <c r="I802" i="11"/>
  <c r="I801" i="11"/>
  <c r="I800" i="11"/>
  <c r="I799" i="11"/>
  <c r="I798" i="11"/>
  <c r="I797" i="11"/>
  <c r="I796" i="11"/>
  <c r="I795" i="11"/>
  <c r="I794" i="11"/>
  <c r="I793" i="11"/>
  <c r="I792" i="11"/>
  <c r="I791" i="11"/>
  <c r="I790" i="11"/>
  <c r="I789" i="11"/>
  <c r="I788" i="11"/>
  <c r="I787" i="11"/>
  <c r="I786" i="11"/>
  <c r="I785" i="11"/>
  <c r="I784" i="11"/>
  <c r="I783" i="11"/>
  <c r="I782" i="11"/>
  <c r="I781" i="11"/>
  <c r="I780" i="11"/>
  <c r="I779" i="11"/>
  <c r="I778" i="11"/>
  <c r="I777" i="11"/>
  <c r="I776" i="11"/>
  <c r="I775" i="11"/>
  <c r="I774" i="11"/>
  <c r="I773" i="11"/>
  <c r="I772" i="11"/>
  <c r="I771" i="11"/>
  <c r="I770" i="11"/>
  <c r="I769" i="11"/>
  <c r="I768" i="11"/>
  <c r="I767" i="11"/>
  <c r="I766" i="11"/>
  <c r="I765" i="11"/>
  <c r="I764" i="11"/>
  <c r="I763" i="11"/>
  <c r="I762" i="11"/>
  <c r="I761" i="11"/>
  <c r="I760" i="11"/>
  <c r="I759" i="11"/>
  <c r="I758" i="11"/>
  <c r="I757" i="11"/>
  <c r="I756" i="11"/>
  <c r="I755" i="11"/>
  <c r="I754" i="11"/>
  <c r="I753" i="11"/>
  <c r="I752" i="11"/>
  <c r="I751" i="11"/>
  <c r="I750" i="11"/>
  <c r="I749" i="11"/>
  <c r="I748" i="11"/>
  <c r="I747" i="11"/>
  <c r="I746" i="11"/>
  <c r="I745" i="11"/>
  <c r="I744" i="11"/>
  <c r="I743" i="11"/>
  <c r="I742" i="11"/>
  <c r="I741" i="11"/>
  <c r="I740" i="11"/>
  <c r="I739" i="11"/>
  <c r="I738" i="11"/>
  <c r="I737" i="11"/>
  <c r="I736" i="11"/>
  <c r="I735" i="11"/>
  <c r="I734" i="11"/>
  <c r="I733" i="11"/>
  <c r="I732" i="11"/>
  <c r="I731" i="11"/>
  <c r="I730" i="11"/>
  <c r="I729" i="11"/>
  <c r="I728" i="11"/>
  <c r="I727" i="11"/>
  <c r="I726" i="11"/>
  <c r="I725" i="11"/>
  <c r="I724" i="11"/>
  <c r="I723" i="11"/>
  <c r="I722" i="11"/>
  <c r="I721" i="11"/>
  <c r="I720" i="11"/>
  <c r="I719" i="11"/>
  <c r="I718" i="11"/>
  <c r="I717" i="11"/>
  <c r="I716" i="11"/>
  <c r="I715" i="11"/>
  <c r="I714" i="11"/>
  <c r="I713" i="11"/>
  <c r="I712" i="11"/>
  <c r="I711" i="11"/>
  <c r="I710" i="11"/>
  <c r="I709" i="11"/>
  <c r="I708" i="11"/>
  <c r="I707" i="11"/>
  <c r="I706" i="11"/>
  <c r="I705" i="11"/>
  <c r="I704" i="11"/>
  <c r="I703" i="11"/>
  <c r="I702" i="11"/>
  <c r="I701" i="11"/>
  <c r="I700" i="11"/>
  <c r="I699" i="11"/>
  <c r="I698" i="11"/>
  <c r="I697" i="11"/>
  <c r="I696" i="11"/>
  <c r="I695" i="11"/>
  <c r="I694" i="11"/>
  <c r="I693" i="11"/>
  <c r="I692" i="11"/>
  <c r="I691" i="11"/>
  <c r="I690" i="11"/>
  <c r="I689" i="11"/>
  <c r="I688" i="11"/>
  <c r="I687" i="11"/>
  <c r="I686" i="11"/>
  <c r="I685" i="11"/>
  <c r="I684" i="11"/>
  <c r="I683" i="11"/>
  <c r="I682" i="11"/>
  <c r="I681" i="11"/>
  <c r="I680" i="11"/>
  <c r="I679" i="11"/>
  <c r="I678" i="11"/>
  <c r="I677" i="11"/>
  <c r="I676" i="11"/>
  <c r="I675" i="11"/>
  <c r="I674" i="11"/>
  <c r="I673" i="11"/>
  <c r="I672" i="11"/>
  <c r="I671" i="11"/>
  <c r="I670" i="11"/>
  <c r="I669" i="11"/>
  <c r="I668" i="11"/>
  <c r="I667" i="11"/>
  <c r="I666" i="11"/>
  <c r="I665" i="11"/>
  <c r="I664" i="11"/>
  <c r="I663" i="11"/>
  <c r="I662" i="11"/>
  <c r="I661" i="11"/>
  <c r="I660" i="11"/>
  <c r="I659" i="11"/>
  <c r="I658" i="11"/>
  <c r="I657" i="11"/>
  <c r="I656" i="11"/>
  <c r="I655" i="11"/>
  <c r="I654" i="11"/>
  <c r="I653" i="11"/>
  <c r="I652" i="11"/>
  <c r="I651" i="11"/>
  <c r="I650" i="11"/>
  <c r="I649" i="11"/>
  <c r="I648" i="11"/>
  <c r="I647" i="11"/>
  <c r="I646" i="11"/>
  <c r="I645" i="11"/>
  <c r="I644" i="11"/>
  <c r="I643" i="11"/>
  <c r="I642" i="11"/>
  <c r="I641" i="11"/>
  <c r="I640" i="11"/>
  <c r="I639" i="11"/>
  <c r="I638" i="11"/>
  <c r="I637" i="11"/>
  <c r="I636" i="11"/>
  <c r="I635" i="11"/>
  <c r="I634" i="11"/>
  <c r="I633" i="11"/>
  <c r="I632" i="11"/>
  <c r="I631" i="11"/>
  <c r="I630" i="11"/>
  <c r="I629" i="11"/>
  <c r="I628" i="11"/>
  <c r="I627" i="11"/>
  <c r="I626" i="11"/>
  <c r="I625" i="11"/>
  <c r="I624" i="11"/>
  <c r="I623" i="11"/>
  <c r="I622" i="11"/>
  <c r="I621" i="11"/>
  <c r="I620" i="11"/>
  <c r="I619" i="11"/>
  <c r="I618" i="11"/>
  <c r="I617" i="11"/>
  <c r="I616" i="11"/>
  <c r="I615" i="11"/>
  <c r="I614" i="11"/>
  <c r="I613" i="11"/>
  <c r="I612" i="11"/>
  <c r="I611" i="11"/>
  <c r="I610" i="11"/>
  <c r="I609" i="11"/>
  <c r="I608" i="11"/>
  <c r="I607" i="11"/>
  <c r="I606" i="11"/>
  <c r="I605" i="11"/>
  <c r="I604" i="11"/>
  <c r="I603" i="11"/>
  <c r="I602" i="11"/>
  <c r="I601" i="11"/>
  <c r="I600" i="11"/>
  <c r="I599" i="11"/>
  <c r="I598" i="11"/>
  <c r="I597" i="11"/>
  <c r="I596" i="11"/>
  <c r="I595" i="11"/>
  <c r="I594" i="11"/>
  <c r="I593" i="11"/>
  <c r="I592" i="11"/>
  <c r="I591" i="11"/>
  <c r="I590" i="11"/>
  <c r="I589" i="11"/>
  <c r="I588" i="11"/>
  <c r="I587" i="11"/>
  <c r="I586" i="11"/>
  <c r="I585" i="11"/>
  <c r="I584" i="11"/>
  <c r="I583" i="11"/>
  <c r="I582" i="11"/>
  <c r="I581" i="11"/>
  <c r="I580" i="11"/>
  <c r="I579" i="11"/>
  <c r="I578" i="11"/>
  <c r="I577" i="11"/>
  <c r="I576" i="11"/>
  <c r="I575" i="11"/>
  <c r="I574" i="11"/>
  <c r="I573" i="11"/>
  <c r="I572" i="11"/>
  <c r="I571" i="11"/>
  <c r="I570" i="11"/>
  <c r="I569" i="11"/>
  <c r="I568" i="11"/>
  <c r="I567" i="11"/>
  <c r="I566" i="11"/>
  <c r="I565" i="11"/>
  <c r="I564" i="11"/>
  <c r="I563" i="11"/>
  <c r="I562" i="11"/>
  <c r="I561" i="11"/>
  <c r="I560" i="11"/>
  <c r="I559" i="11"/>
  <c r="I558" i="11"/>
  <c r="I557" i="11"/>
  <c r="I556" i="11"/>
  <c r="I555" i="11"/>
  <c r="I554" i="11"/>
  <c r="I553" i="11"/>
  <c r="I552" i="11"/>
  <c r="I551" i="11"/>
  <c r="I550" i="11"/>
  <c r="I549" i="11"/>
  <c r="I548" i="11"/>
  <c r="I547" i="11"/>
  <c r="I546" i="11"/>
  <c r="I545" i="11"/>
  <c r="I544" i="11"/>
  <c r="I543" i="11"/>
  <c r="I542" i="11"/>
  <c r="I541" i="11"/>
  <c r="I540" i="11"/>
  <c r="I539" i="11"/>
  <c r="I538" i="11"/>
  <c r="I537" i="11"/>
  <c r="I536" i="11"/>
  <c r="I535" i="11"/>
  <c r="I534" i="11"/>
  <c r="I533" i="11"/>
  <c r="I532" i="11"/>
  <c r="I531" i="11"/>
  <c r="I530" i="11"/>
  <c r="I529" i="11"/>
  <c r="I528" i="11"/>
  <c r="I527" i="11"/>
  <c r="I526" i="11"/>
  <c r="I525" i="11"/>
  <c r="I524" i="11"/>
  <c r="I523" i="11"/>
  <c r="I522" i="11"/>
  <c r="I521" i="11"/>
  <c r="I520" i="11"/>
  <c r="I519" i="11"/>
  <c r="I518" i="11"/>
  <c r="I517" i="11"/>
  <c r="I516" i="11"/>
  <c r="I515" i="11"/>
  <c r="I514" i="11"/>
  <c r="I513" i="11"/>
  <c r="I512" i="11"/>
  <c r="I511" i="11"/>
  <c r="I510" i="11"/>
  <c r="I509" i="11"/>
  <c r="I508" i="11"/>
  <c r="I507" i="11"/>
  <c r="I506" i="11"/>
  <c r="I505" i="11"/>
  <c r="I504" i="11"/>
  <c r="I503" i="11"/>
  <c r="I502" i="11"/>
  <c r="I501" i="11"/>
  <c r="I500" i="11"/>
  <c r="I499" i="11"/>
  <c r="I498" i="11"/>
  <c r="I497" i="11"/>
  <c r="I496" i="11"/>
  <c r="I495" i="11"/>
  <c r="I494" i="11"/>
  <c r="I493" i="11"/>
  <c r="I492" i="11"/>
  <c r="I491" i="11"/>
  <c r="I490" i="11"/>
  <c r="I489" i="11"/>
  <c r="I488" i="11"/>
  <c r="I487" i="11"/>
  <c r="I486" i="11"/>
  <c r="I485" i="11"/>
  <c r="I484" i="11"/>
  <c r="I483" i="11"/>
  <c r="I482" i="11"/>
  <c r="I481" i="11"/>
  <c r="I480" i="11"/>
  <c r="I479" i="11"/>
  <c r="I478" i="11"/>
  <c r="I477" i="11"/>
  <c r="I476" i="11"/>
  <c r="I475" i="11"/>
  <c r="I474" i="11"/>
  <c r="I473" i="11"/>
  <c r="I472" i="11"/>
  <c r="I471" i="11"/>
  <c r="I470" i="11"/>
  <c r="I469" i="11"/>
  <c r="I468" i="11"/>
  <c r="I467" i="11"/>
  <c r="I466" i="11"/>
  <c r="I465" i="11"/>
  <c r="I464" i="11"/>
  <c r="I463" i="11"/>
  <c r="I462" i="11"/>
  <c r="I461" i="11"/>
  <c r="I460" i="11"/>
  <c r="I459" i="11"/>
  <c r="I458" i="11"/>
  <c r="I457" i="11"/>
  <c r="I456" i="11"/>
  <c r="I455" i="11"/>
  <c r="I454" i="11"/>
  <c r="I453" i="11"/>
  <c r="I452" i="11"/>
  <c r="I451" i="11"/>
  <c r="I450" i="11"/>
  <c r="I449" i="11"/>
  <c r="I448" i="11"/>
  <c r="I447" i="11"/>
  <c r="I446" i="11"/>
  <c r="I445" i="11"/>
  <c r="I444" i="11"/>
  <c r="I443" i="11"/>
  <c r="I442" i="11"/>
  <c r="I441" i="11"/>
  <c r="I440" i="11"/>
  <c r="I439" i="11"/>
  <c r="I438" i="11"/>
  <c r="I437" i="11"/>
  <c r="I436" i="11"/>
  <c r="I435" i="11"/>
  <c r="I434" i="11"/>
  <c r="I433" i="11"/>
  <c r="I432" i="11"/>
  <c r="I431" i="11"/>
  <c r="I430" i="11"/>
  <c r="I429" i="11"/>
  <c r="I428" i="11"/>
  <c r="I427" i="11"/>
  <c r="I426" i="11"/>
  <c r="I425" i="11"/>
  <c r="I424" i="11"/>
  <c r="I423" i="11"/>
  <c r="I422" i="11"/>
  <c r="I421" i="11"/>
  <c r="I420" i="11"/>
  <c r="I419" i="11"/>
  <c r="I418" i="11"/>
  <c r="I417" i="11"/>
  <c r="I416" i="11"/>
  <c r="I415" i="11"/>
  <c r="I414" i="11"/>
  <c r="I413" i="11"/>
  <c r="I412" i="11"/>
  <c r="I411" i="11"/>
  <c r="I410" i="11"/>
  <c r="I409" i="11"/>
  <c r="I408" i="11"/>
  <c r="I407" i="11"/>
  <c r="I406" i="11"/>
  <c r="I405" i="11"/>
  <c r="I404" i="11"/>
  <c r="I403" i="11"/>
  <c r="I402" i="11"/>
  <c r="I401" i="11"/>
  <c r="I400" i="11"/>
  <c r="I399" i="11"/>
  <c r="I398" i="11"/>
  <c r="I397" i="11"/>
  <c r="I396" i="11"/>
  <c r="I395" i="11"/>
  <c r="I394" i="11"/>
  <c r="I393" i="11"/>
  <c r="I392" i="11"/>
  <c r="I391" i="11"/>
  <c r="I390" i="11"/>
  <c r="I389" i="11"/>
  <c r="I388" i="11"/>
  <c r="I387" i="11"/>
  <c r="I386" i="11"/>
  <c r="I385" i="11"/>
  <c r="I384" i="11"/>
  <c r="I383" i="11"/>
  <c r="I382" i="11"/>
  <c r="I381" i="11"/>
  <c r="I380" i="11"/>
  <c r="I379" i="11"/>
  <c r="I378" i="11"/>
  <c r="I377" i="11"/>
  <c r="I376" i="11"/>
  <c r="I375" i="11"/>
  <c r="I374" i="11"/>
  <c r="I373" i="11"/>
  <c r="I372" i="11"/>
  <c r="I371" i="11"/>
  <c r="I370" i="11"/>
  <c r="I369" i="11"/>
  <c r="I368" i="11"/>
  <c r="I367" i="11"/>
  <c r="I366" i="11"/>
  <c r="I365" i="11"/>
  <c r="I364" i="11"/>
  <c r="I363" i="11"/>
  <c r="I362" i="11"/>
  <c r="I361" i="11"/>
  <c r="I360" i="11"/>
  <c r="I359" i="11"/>
  <c r="I358" i="11"/>
  <c r="I357" i="11"/>
  <c r="I356" i="11"/>
  <c r="I355" i="11"/>
  <c r="I354" i="11"/>
  <c r="I353" i="11"/>
  <c r="I352" i="11"/>
  <c r="I351" i="11"/>
  <c r="I350" i="11"/>
  <c r="I349" i="11"/>
  <c r="I348" i="11"/>
  <c r="I347" i="11"/>
  <c r="I346" i="11"/>
  <c r="I345" i="11"/>
  <c r="I344" i="11"/>
  <c r="I343" i="11"/>
  <c r="I342" i="11"/>
  <c r="I341" i="11"/>
  <c r="I340" i="11"/>
  <c r="I339" i="11"/>
  <c r="I338" i="11"/>
  <c r="I337" i="11"/>
  <c r="I336" i="11"/>
  <c r="I335" i="11"/>
  <c r="I334" i="11"/>
  <c r="I333" i="11"/>
  <c r="I332" i="11"/>
  <c r="I331" i="11"/>
  <c r="I330" i="11"/>
  <c r="I329" i="11"/>
  <c r="I328"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300" i="11"/>
  <c r="I299" i="11"/>
  <c r="I298" i="11"/>
  <c r="I297" i="11"/>
  <c r="I296" i="11"/>
  <c r="I295" i="11"/>
  <c r="I294" i="11"/>
  <c r="I293" i="11"/>
  <c r="I292" i="11"/>
  <c r="I291" i="11"/>
  <c r="I290" i="11"/>
  <c r="I289" i="11"/>
  <c r="I288" i="11"/>
  <c r="I287" i="11"/>
  <c r="I286" i="11"/>
  <c r="I285" i="11"/>
  <c r="I284" i="11"/>
  <c r="I283" i="11"/>
  <c r="I282" i="11"/>
  <c r="I281" i="11"/>
  <c r="I280" i="11"/>
  <c r="I279" i="11"/>
  <c r="I278" i="11"/>
  <c r="I277" i="11"/>
  <c r="I276" i="11"/>
  <c r="I275" i="11"/>
  <c r="I274" i="11"/>
  <c r="I273" i="11"/>
  <c r="I272" i="11"/>
  <c r="I271" i="11"/>
  <c r="I270" i="11"/>
  <c r="I269" i="11"/>
  <c r="I268" i="11"/>
  <c r="I267" i="11"/>
  <c r="I266" i="11"/>
  <c r="I265" i="11"/>
  <c r="I264" i="11"/>
  <c r="I263" i="11"/>
  <c r="I262" i="11"/>
  <c r="I261" i="11"/>
  <c r="I260" i="11"/>
  <c r="I259" i="11"/>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2" i="11"/>
  <c r="I21" i="11"/>
  <c r="I20" i="11"/>
  <c r="I19" i="11"/>
  <c r="I18" i="11"/>
  <c r="I17" i="11"/>
  <c r="I16" i="11"/>
  <c r="I15" i="11"/>
  <c r="I14" i="11"/>
  <c r="I13" i="11"/>
  <c r="I12" i="11"/>
  <c r="I11" i="11"/>
  <c r="I10" i="11"/>
  <c r="E13" i="6" l="1"/>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436" i="6"/>
  <c r="E345" i="6"/>
  <c r="E155" i="6"/>
  <c r="E99" i="6"/>
  <c r="F11" i="7" l="1"/>
  <c r="O11" i="7" s="1"/>
  <c r="F28" i="7" l="1"/>
  <c r="F27" i="7"/>
  <c r="F26" i="7"/>
  <c r="F25" i="7"/>
  <c r="F24" i="7"/>
  <c r="F23" i="7"/>
  <c r="F22" i="7"/>
  <c r="F21" i="7"/>
  <c r="F20" i="7"/>
  <c r="F19" i="7"/>
  <c r="F18" i="7"/>
  <c r="F17" i="7"/>
  <c r="F16" i="7"/>
  <c r="F15" i="7"/>
  <c r="F14" i="7"/>
  <c r="F13" i="7"/>
  <c r="F10" i="7" l="1"/>
  <c r="O10" i="7" s="1"/>
  <c r="N15" i="11" l="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K10" i="7" l="1"/>
  <c r="H28" i="7"/>
  <c r="H27" i="7"/>
  <c r="H24" i="7"/>
  <c r="H23" i="7"/>
  <c r="H20" i="7"/>
  <c r="H19" i="7"/>
  <c r="H15" i="7"/>
  <c r="F12" i="7"/>
  <c r="O12" i="7" s="1"/>
  <c r="H11" i="7"/>
  <c r="H10" i="7"/>
  <c r="F9" i="7"/>
  <c r="R56" i="9"/>
  <c r="R55" i="9"/>
  <c r="R54" i="9"/>
  <c r="R53" i="9"/>
  <c r="R52" i="9"/>
  <c r="I10" i="7"/>
  <c r="I11" i="7"/>
  <c r="I12" i="7"/>
  <c r="I13" i="7"/>
  <c r="I14" i="7"/>
  <c r="I15" i="7"/>
  <c r="I16" i="7"/>
  <c r="I17" i="7"/>
  <c r="I18" i="7"/>
  <c r="I19" i="7"/>
  <c r="I20" i="7"/>
  <c r="I21" i="7"/>
  <c r="I22" i="7"/>
  <c r="I23" i="7"/>
  <c r="I24" i="7"/>
  <c r="I25" i="7"/>
  <c r="I26" i="7"/>
  <c r="I27" i="7"/>
  <c r="I28" i="7"/>
  <c r="I9" i="7"/>
  <c r="E8" i="10"/>
  <c r="F8" i="10"/>
  <c r="E9" i="10"/>
  <c r="F9" i="10"/>
  <c r="E10" i="10"/>
  <c r="F10" i="10"/>
  <c r="E11" i="10"/>
  <c r="F11" i="10"/>
  <c r="E12" i="10"/>
  <c r="F12" i="10"/>
  <c r="E13" i="10"/>
  <c r="F13" i="10"/>
  <c r="E14" i="10"/>
  <c r="F14" i="10"/>
  <c r="E15" i="10"/>
  <c r="F15" i="10"/>
  <c r="E16" i="10"/>
  <c r="F16" i="10"/>
  <c r="E17" i="10"/>
  <c r="F17" i="10"/>
  <c r="E18" i="10"/>
  <c r="F18" i="10"/>
  <c r="E19" i="10"/>
  <c r="F19" i="10"/>
  <c r="E20" i="10"/>
  <c r="F20" i="10"/>
  <c r="E21" i="10"/>
  <c r="F21" i="10"/>
  <c r="E22" i="10"/>
  <c r="F22" i="10"/>
  <c r="E23" i="10"/>
  <c r="F23" i="10"/>
  <c r="E24" i="10"/>
  <c r="F24" i="10"/>
  <c r="E25" i="10"/>
  <c r="F25" i="10"/>
  <c r="E26" i="10"/>
  <c r="F26" i="10"/>
  <c r="E27" i="10"/>
  <c r="F27" i="10"/>
  <c r="E28" i="10"/>
  <c r="F28" i="10"/>
  <c r="E29" i="10"/>
  <c r="F29" i="10"/>
  <c r="E30" i="10"/>
  <c r="F30" i="10"/>
  <c r="E31" i="10"/>
  <c r="F31" i="10"/>
  <c r="K9" i="7"/>
  <c r="K11" i="7"/>
  <c r="K12" i="7"/>
  <c r="K13" i="7"/>
  <c r="K14" i="7"/>
  <c r="K15" i="7"/>
  <c r="K16" i="7"/>
  <c r="K17" i="7"/>
  <c r="K18" i="7"/>
  <c r="K19" i="7"/>
  <c r="K20" i="7"/>
  <c r="K21" i="7"/>
  <c r="K22" i="7"/>
  <c r="K23" i="7"/>
  <c r="K24" i="7"/>
  <c r="K25" i="7"/>
  <c r="K26" i="7"/>
  <c r="K27" i="7"/>
  <c r="K28" i="7"/>
  <c r="M10" i="7"/>
  <c r="M11" i="7"/>
  <c r="M12" i="7"/>
  <c r="M13" i="7"/>
  <c r="M14" i="7"/>
  <c r="M15" i="7"/>
  <c r="M16" i="7"/>
  <c r="M17" i="7"/>
  <c r="M18" i="7"/>
  <c r="M19" i="7"/>
  <c r="M20" i="7"/>
  <c r="M21" i="7"/>
  <c r="M22" i="7"/>
  <c r="M23" i="7"/>
  <c r="M24" i="7"/>
  <c r="M25" i="7"/>
  <c r="M26" i="7"/>
  <c r="M27" i="7"/>
  <c r="M28" i="7"/>
  <c r="M9" i="7"/>
  <c r="B17" i="13"/>
  <c r="F4" i="11"/>
  <c r="F3" i="11"/>
  <c r="D26" i="5"/>
  <c r="J10" i="11"/>
  <c r="I13" i="6" s="1"/>
  <c r="H13" i="7"/>
  <c r="H14" i="7"/>
  <c r="H17" i="7"/>
  <c r="H18" i="7"/>
  <c r="H21" i="7"/>
  <c r="H22" i="7"/>
  <c r="H25" i="7"/>
  <c r="H26" i="7"/>
  <c r="J12" i="11"/>
  <c r="I15" i="6" s="1"/>
  <c r="J13" i="11"/>
  <c r="I16" i="6" s="1"/>
  <c r="J14" i="11"/>
  <c r="I17" i="6" s="1"/>
  <c r="J15" i="11"/>
  <c r="I18" i="6" s="1"/>
  <c r="J16" i="11"/>
  <c r="I19" i="6" s="1"/>
  <c r="J17" i="11"/>
  <c r="I20" i="6" s="1"/>
  <c r="J18" i="11"/>
  <c r="I21" i="6" s="1"/>
  <c r="J19" i="11"/>
  <c r="I22" i="6" s="1"/>
  <c r="J20" i="11"/>
  <c r="I23" i="6" s="1"/>
  <c r="J21" i="11"/>
  <c r="I24" i="6" s="1"/>
  <c r="J22" i="11"/>
  <c r="I25" i="6" s="1"/>
  <c r="J23" i="11"/>
  <c r="I26" i="6" s="1"/>
  <c r="J24" i="11"/>
  <c r="I27" i="6" s="1"/>
  <c r="J25" i="11"/>
  <c r="I28" i="6" s="1"/>
  <c r="J26" i="11"/>
  <c r="I29" i="6" s="1"/>
  <c r="J27" i="11"/>
  <c r="I30" i="6" s="1"/>
  <c r="J28" i="11"/>
  <c r="I31" i="6" s="1"/>
  <c r="J29" i="11"/>
  <c r="I32" i="6" s="1"/>
  <c r="J30" i="11"/>
  <c r="I33" i="6" s="1"/>
  <c r="J31" i="11"/>
  <c r="I34" i="6" s="1"/>
  <c r="J32" i="11"/>
  <c r="I35" i="6" s="1"/>
  <c r="J33" i="11"/>
  <c r="I36" i="6" s="1"/>
  <c r="J34" i="11"/>
  <c r="I37" i="6" s="1"/>
  <c r="J35" i="11"/>
  <c r="I38" i="6" s="1"/>
  <c r="J36" i="11"/>
  <c r="I39" i="6" s="1"/>
  <c r="J37" i="11"/>
  <c r="I40" i="6" s="1"/>
  <c r="J38" i="11"/>
  <c r="I41" i="6" s="1"/>
  <c r="J39" i="11"/>
  <c r="I42" i="6" s="1"/>
  <c r="J40" i="11"/>
  <c r="I43" i="6" s="1"/>
  <c r="J41" i="11"/>
  <c r="I44" i="6" s="1"/>
  <c r="J42" i="11"/>
  <c r="I45" i="6" s="1"/>
  <c r="J43" i="11"/>
  <c r="I46" i="6" s="1"/>
  <c r="J44" i="11"/>
  <c r="I47" i="6" s="1"/>
  <c r="J45" i="11"/>
  <c r="I48" i="6" s="1"/>
  <c r="J46" i="11"/>
  <c r="I49" i="6" s="1"/>
  <c r="J47" i="11"/>
  <c r="I50" i="6" s="1"/>
  <c r="J48" i="11"/>
  <c r="I51" i="6" s="1"/>
  <c r="J49" i="11"/>
  <c r="I52" i="6" s="1"/>
  <c r="J50" i="11"/>
  <c r="I53" i="6" s="1"/>
  <c r="J51" i="11"/>
  <c r="I54" i="6" s="1"/>
  <c r="J52" i="11"/>
  <c r="I55" i="6" s="1"/>
  <c r="J53" i="11"/>
  <c r="I56" i="6" s="1"/>
  <c r="J54" i="11"/>
  <c r="I57" i="6" s="1"/>
  <c r="J55" i="11"/>
  <c r="I58" i="6" s="1"/>
  <c r="J56" i="11"/>
  <c r="I59" i="6" s="1"/>
  <c r="J57" i="11"/>
  <c r="I60" i="6" s="1"/>
  <c r="J58" i="11"/>
  <c r="I61" i="6" s="1"/>
  <c r="J59" i="11"/>
  <c r="I62" i="6" s="1"/>
  <c r="J60" i="11"/>
  <c r="I63" i="6" s="1"/>
  <c r="J61" i="11"/>
  <c r="I64" i="6" s="1"/>
  <c r="J62" i="11"/>
  <c r="I65" i="6" s="1"/>
  <c r="J63" i="11"/>
  <c r="I66" i="6" s="1"/>
  <c r="J64" i="11"/>
  <c r="I67" i="6" s="1"/>
  <c r="J65" i="11"/>
  <c r="I68" i="6" s="1"/>
  <c r="J66" i="11"/>
  <c r="I69" i="6" s="1"/>
  <c r="J67" i="11"/>
  <c r="I70" i="6" s="1"/>
  <c r="J68" i="11"/>
  <c r="I71" i="6" s="1"/>
  <c r="J69" i="11"/>
  <c r="I72" i="6" s="1"/>
  <c r="J70" i="11"/>
  <c r="I73" i="6" s="1"/>
  <c r="J71" i="11"/>
  <c r="I74" i="6" s="1"/>
  <c r="J72" i="11"/>
  <c r="I75" i="6" s="1"/>
  <c r="J73" i="11"/>
  <c r="I76" i="6" s="1"/>
  <c r="J74" i="11"/>
  <c r="I77" i="6" s="1"/>
  <c r="J75" i="11"/>
  <c r="I78" i="6" s="1"/>
  <c r="J76" i="11"/>
  <c r="I79" i="6" s="1"/>
  <c r="J77" i="11"/>
  <c r="I80" i="6" s="1"/>
  <c r="J78" i="11"/>
  <c r="I81" i="6" s="1"/>
  <c r="J79" i="11"/>
  <c r="I82" i="6" s="1"/>
  <c r="J80" i="11"/>
  <c r="I83" i="6" s="1"/>
  <c r="J81" i="11"/>
  <c r="I84" i="6" s="1"/>
  <c r="J82" i="11"/>
  <c r="I85" i="6" s="1"/>
  <c r="J83" i="11"/>
  <c r="I86" i="6" s="1"/>
  <c r="J84" i="11"/>
  <c r="I87" i="6" s="1"/>
  <c r="J85" i="11"/>
  <c r="I88" i="6" s="1"/>
  <c r="J86" i="11"/>
  <c r="I89" i="6" s="1"/>
  <c r="J87" i="11"/>
  <c r="I90" i="6" s="1"/>
  <c r="J88" i="11"/>
  <c r="I91" i="6" s="1"/>
  <c r="J89" i="11"/>
  <c r="I92" i="6" s="1"/>
  <c r="J90" i="11"/>
  <c r="I93" i="6" s="1"/>
  <c r="J91" i="11"/>
  <c r="I94" i="6" s="1"/>
  <c r="J92" i="11"/>
  <c r="I95" i="6" s="1"/>
  <c r="J93" i="11"/>
  <c r="I96" i="6" s="1"/>
  <c r="J94" i="11"/>
  <c r="I97" i="6" s="1"/>
  <c r="J95" i="11"/>
  <c r="I98" i="6" s="1"/>
  <c r="J96" i="11"/>
  <c r="I99" i="6" s="1"/>
  <c r="J97" i="11"/>
  <c r="I100" i="6" s="1"/>
  <c r="J98" i="11"/>
  <c r="I101" i="6" s="1"/>
  <c r="J99" i="11"/>
  <c r="I102" i="6" s="1"/>
  <c r="J100" i="11"/>
  <c r="I103" i="6" s="1"/>
  <c r="J101" i="11"/>
  <c r="I104" i="6" s="1"/>
  <c r="J102" i="11"/>
  <c r="I105" i="6" s="1"/>
  <c r="J103" i="11"/>
  <c r="I106" i="6" s="1"/>
  <c r="J104" i="11"/>
  <c r="I107" i="6" s="1"/>
  <c r="J105" i="11"/>
  <c r="I108" i="6" s="1"/>
  <c r="J106" i="11"/>
  <c r="I109" i="6" s="1"/>
  <c r="J107" i="11"/>
  <c r="I110" i="6" s="1"/>
  <c r="J108" i="11"/>
  <c r="I111" i="6" s="1"/>
  <c r="J109" i="11"/>
  <c r="I112" i="6" s="1"/>
  <c r="J110" i="11"/>
  <c r="I113" i="6" s="1"/>
  <c r="J111" i="11"/>
  <c r="I114" i="6" s="1"/>
  <c r="J112" i="11"/>
  <c r="I115" i="6" s="1"/>
  <c r="J113" i="11"/>
  <c r="I116" i="6" s="1"/>
  <c r="J114" i="11"/>
  <c r="I117" i="6" s="1"/>
  <c r="J115" i="11"/>
  <c r="I118" i="6" s="1"/>
  <c r="J116" i="11"/>
  <c r="I119" i="6" s="1"/>
  <c r="J117" i="11"/>
  <c r="I120" i="6" s="1"/>
  <c r="J118" i="11"/>
  <c r="I121" i="6" s="1"/>
  <c r="J119" i="11"/>
  <c r="I122" i="6" s="1"/>
  <c r="J120" i="11"/>
  <c r="I123" i="6" s="1"/>
  <c r="J121" i="11"/>
  <c r="I124" i="6" s="1"/>
  <c r="J122" i="11"/>
  <c r="I125" i="6" s="1"/>
  <c r="J123" i="11"/>
  <c r="I126" i="6" s="1"/>
  <c r="J124" i="11"/>
  <c r="I127" i="6" s="1"/>
  <c r="J125" i="11"/>
  <c r="I128" i="6" s="1"/>
  <c r="J126" i="11"/>
  <c r="I129" i="6" s="1"/>
  <c r="J127" i="11"/>
  <c r="I130" i="6" s="1"/>
  <c r="J128" i="11"/>
  <c r="I131" i="6" s="1"/>
  <c r="J129" i="11"/>
  <c r="I132" i="6" s="1"/>
  <c r="J130" i="11"/>
  <c r="I133" i="6" s="1"/>
  <c r="J131" i="11"/>
  <c r="I134" i="6" s="1"/>
  <c r="J132" i="11"/>
  <c r="I135" i="6" s="1"/>
  <c r="J133" i="11"/>
  <c r="I136" i="6" s="1"/>
  <c r="J134" i="11"/>
  <c r="I137" i="6" s="1"/>
  <c r="J135" i="11"/>
  <c r="I138" i="6" s="1"/>
  <c r="J136" i="11"/>
  <c r="I139" i="6" s="1"/>
  <c r="J137" i="11"/>
  <c r="I140" i="6" s="1"/>
  <c r="J138" i="11"/>
  <c r="I141" i="6" s="1"/>
  <c r="J139" i="11"/>
  <c r="I142" i="6" s="1"/>
  <c r="J140" i="11"/>
  <c r="I143" i="6" s="1"/>
  <c r="J141" i="11"/>
  <c r="I144" i="6" s="1"/>
  <c r="J142" i="11"/>
  <c r="I145" i="6" s="1"/>
  <c r="J143" i="11"/>
  <c r="I146" i="6" s="1"/>
  <c r="J144" i="11"/>
  <c r="I147" i="6" s="1"/>
  <c r="J145" i="11"/>
  <c r="I148" i="6" s="1"/>
  <c r="J146" i="11"/>
  <c r="I149" i="6" s="1"/>
  <c r="J147" i="11"/>
  <c r="I150" i="6" s="1"/>
  <c r="J148" i="11"/>
  <c r="I151" i="6" s="1"/>
  <c r="J149" i="11"/>
  <c r="I152" i="6" s="1"/>
  <c r="J150" i="11"/>
  <c r="I153" i="6" s="1"/>
  <c r="J151" i="11"/>
  <c r="I154" i="6" s="1"/>
  <c r="J152" i="11"/>
  <c r="I155" i="6" s="1"/>
  <c r="J153" i="11"/>
  <c r="I156" i="6" s="1"/>
  <c r="J154" i="11"/>
  <c r="I157" i="6" s="1"/>
  <c r="J155" i="11"/>
  <c r="I158" i="6" s="1"/>
  <c r="J156" i="11"/>
  <c r="I159" i="6" s="1"/>
  <c r="J157" i="11"/>
  <c r="I160" i="6" s="1"/>
  <c r="J158" i="11"/>
  <c r="I161" i="6" s="1"/>
  <c r="J159" i="11"/>
  <c r="I162" i="6" s="1"/>
  <c r="J160" i="11"/>
  <c r="I163" i="6" s="1"/>
  <c r="J161" i="11"/>
  <c r="I164" i="6" s="1"/>
  <c r="J162" i="11"/>
  <c r="I165" i="6" s="1"/>
  <c r="J163" i="11"/>
  <c r="I166" i="6" s="1"/>
  <c r="J164" i="11"/>
  <c r="I167" i="6" s="1"/>
  <c r="J165" i="11"/>
  <c r="I168" i="6" s="1"/>
  <c r="J166" i="11"/>
  <c r="I169" i="6" s="1"/>
  <c r="J167" i="11"/>
  <c r="I170" i="6" s="1"/>
  <c r="J168" i="11"/>
  <c r="I171" i="6" s="1"/>
  <c r="J169" i="11"/>
  <c r="I172" i="6" s="1"/>
  <c r="J170" i="11"/>
  <c r="I173" i="6" s="1"/>
  <c r="J171" i="11"/>
  <c r="I174" i="6" s="1"/>
  <c r="J172" i="11"/>
  <c r="I175" i="6" s="1"/>
  <c r="J173" i="11"/>
  <c r="I176" i="6" s="1"/>
  <c r="J174" i="11"/>
  <c r="I177" i="6" s="1"/>
  <c r="J175" i="11"/>
  <c r="I178" i="6" s="1"/>
  <c r="J176" i="11"/>
  <c r="I179" i="6" s="1"/>
  <c r="J177" i="11"/>
  <c r="I180" i="6" s="1"/>
  <c r="J178" i="11"/>
  <c r="I181" i="6" s="1"/>
  <c r="J179" i="11"/>
  <c r="I182" i="6" s="1"/>
  <c r="J180" i="11"/>
  <c r="I183" i="6" s="1"/>
  <c r="J181" i="11"/>
  <c r="I184" i="6" s="1"/>
  <c r="J182" i="11"/>
  <c r="I185" i="6" s="1"/>
  <c r="J183" i="11"/>
  <c r="I186" i="6" s="1"/>
  <c r="J184" i="11"/>
  <c r="I187" i="6" s="1"/>
  <c r="J185" i="11"/>
  <c r="I188" i="6" s="1"/>
  <c r="J186" i="11"/>
  <c r="I189" i="6" s="1"/>
  <c r="J187" i="11"/>
  <c r="I190" i="6" s="1"/>
  <c r="J188" i="11"/>
  <c r="I191" i="6" s="1"/>
  <c r="J189" i="11"/>
  <c r="I192" i="6" s="1"/>
  <c r="J190" i="11"/>
  <c r="I193" i="6" s="1"/>
  <c r="J191" i="11"/>
  <c r="I194" i="6" s="1"/>
  <c r="J192" i="11"/>
  <c r="I195" i="6" s="1"/>
  <c r="J193" i="11"/>
  <c r="I196" i="6" s="1"/>
  <c r="J194" i="11"/>
  <c r="I197" i="6" s="1"/>
  <c r="J195" i="11"/>
  <c r="I198" i="6" s="1"/>
  <c r="J196" i="11"/>
  <c r="I199" i="6" s="1"/>
  <c r="J197" i="11"/>
  <c r="I200" i="6" s="1"/>
  <c r="J198" i="11"/>
  <c r="I201" i="6" s="1"/>
  <c r="J199" i="11"/>
  <c r="I202" i="6" s="1"/>
  <c r="J200" i="11"/>
  <c r="I203" i="6" s="1"/>
  <c r="J201" i="11"/>
  <c r="I204" i="6" s="1"/>
  <c r="J202" i="11"/>
  <c r="I205" i="6" s="1"/>
  <c r="J203" i="11"/>
  <c r="I206" i="6" s="1"/>
  <c r="J204" i="11"/>
  <c r="I207" i="6" s="1"/>
  <c r="J205" i="11"/>
  <c r="I208" i="6" s="1"/>
  <c r="J206" i="11"/>
  <c r="I209" i="6" s="1"/>
  <c r="J207" i="11"/>
  <c r="I210" i="6" s="1"/>
  <c r="J208" i="11"/>
  <c r="I211" i="6" s="1"/>
  <c r="J209" i="11"/>
  <c r="I212" i="6" s="1"/>
  <c r="J210" i="11"/>
  <c r="I213" i="6" s="1"/>
  <c r="J211" i="11"/>
  <c r="I214" i="6" s="1"/>
  <c r="J212" i="11"/>
  <c r="I215" i="6" s="1"/>
  <c r="J213" i="11"/>
  <c r="I216" i="6" s="1"/>
  <c r="J214" i="11"/>
  <c r="I217" i="6" s="1"/>
  <c r="J215" i="11"/>
  <c r="I218" i="6" s="1"/>
  <c r="J216" i="11"/>
  <c r="I219" i="6" s="1"/>
  <c r="J217" i="11"/>
  <c r="I220" i="6" s="1"/>
  <c r="J218" i="11"/>
  <c r="I221" i="6" s="1"/>
  <c r="J219" i="11"/>
  <c r="I222" i="6" s="1"/>
  <c r="J220" i="11"/>
  <c r="I223" i="6" s="1"/>
  <c r="J221" i="11"/>
  <c r="I224" i="6" s="1"/>
  <c r="J222" i="11"/>
  <c r="I225" i="6" s="1"/>
  <c r="J223" i="11"/>
  <c r="I226" i="6" s="1"/>
  <c r="J224" i="11"/>
  <c r="I227" i="6" s="1"/>
  <c r="J225" i="11"/>
  <c r="I228" i="6" s="1"/>
  <c r="J226" i="11"/>
  <c r="I229" i="6" s="1"/>
  <c r="J227" i="11"/>
  <c r="I230" i="6" s="1"/>
  <c r="J228" i="11"/>
  <c r="I231" i="6" s="1"/>
  <c r="J229" i="11"/>
  <c r="I232" i="6" s="1"/>
  <c r="J230" i="11"/>
  <c r="I233" i="6" s="1"/>
  <c r="J231" i="11"/>
  <c r="I234" i="6" s="1"/>
  <c r="J232" i="11"/>
  <c r="I235" i="6" s="1"/>
  <c r="J233" i="11"/>
  <c r="I236" i="6" s="1"/>
  <c r="J234" i="11"/>
  <c r="I237" i="6" s="1"/>
  <c r="J235" i="11"/>
  <c r="I238" i="6" s="1"/>
  <c r="J236" i="11"/>
  <c r="I239" i="6" s="1"/>
  <c r="J237" i="11"/>
  <c r="I240" i="6" s="1"/>
  <c r="J238" i="11"/>
  <c r="I241" i="6" s="1"/>
  <c r="J239" i="11"/>
  <c r="I242" i="6" s="1"/>
  <c r="J240" i="11"/>
  <c r="I243" i="6" s="1"/>
  <c r="J241" i="11"/>
  <c r="I244" i="6" s="1"/>
  <c r="J242" i="11"/>
  <c r="I245" i="6" s="1"/>
  <c r="J243" i="11"/>
  <c r="I246" i="6" s="1"/>
  <c r="J244" i="11"/>
  <c r="I247" i="6" s="1"/>
  <c r="J245" i="11"/>
  <c r="I248" i="6" s="1"/>
  <c r="J246" i="11"/>
  <c r="I249" i="6" s="1"/>
  <c r="J247" i="11"/>
  <c r="I250" i="6" s="1"/>
  <c r="J248" i="11"/>
  <c r="I251" i="6" s="1"/>
  <c r="J249" i="11"/>
  <c r="I252" i="6" s="1"/>
  <c r="J250" i="11"/>
  <c r="I253" i="6" s="1"/>
  <c r="J251" i="11"/>
  <c r="I254" i="6" s="1"/>
  <c r="J252" i="11"/>
  <c r="I255" i="6" s="1"/>
  <c r="J253" i="11"/>
  <c r="I256" i="6" s="1"/>
  <c r="J254" i="11"/>
  <c r="I257" i="6" s="1"/>
  <c r="J255" i="11"/>
  <c r="I258" i="6" s="1"/>
  <c r="J256" i="11"/>
  <c r="I259" i="6" s="1"/>
  <c r="J257" i="11"/>
  <c r="I260" i="6" s="1"/>
  <c r="J258" i="11"/>
  <c r="I261" i="6" s="1"/>
  <c r="J259" i="11"/>
  <c r="I262" i="6" s="1"/>
  <c r="J260" i="11"/>
  <c r="I263" i="6" s="1"/>
  <c r="J261" i="11"/>
  <c r="I264" i="6" s="1"/>
  <c r="J262" i="11"/>
  <c r="I265" i="6" s="1"/>
  <c r="J263" i="11"/>
  <c r="I266" i="6" s="1"/>
  <c r="J264" i="11"/>
  <c r="I267" i="6" s="1"/>
  <c r="J265" i="11"/>
  <c r="I268" i="6" s="1"/>
  <c r="J266" i="11"/>
  <c r="I269" i="6" s="1"/>
  <c r="J267" i="11"/>
  <c r="I270" i="6" s="1"/>
  <c r="J268" i="11"/>
  <c r="I271" i="6" s="1"/>
  <c r="J269" i="11"/>
  <c r="I272" i="6" s="1"/>
  <c r="J270" i="11"/>
  <c r="I273" i="6" s="1"/>
  <c r="J271" i="11"/>
  <c r="I274" i="6" s="1"/>
  <c r="J272" i="11"/>
  <c r="I275" i="6" s="1"/>
  <c r="J273" i="11"/>
  <c r="I276" i="6" s="1"/>
  <c r="J274" i="11"/>
  <c r="I277" i="6" s="1"/>
  <c r="J275" i="11"/>
  <c r="I278" i="6" s="1"/>
  <c r="J276" i="11"/>
  <c r="I279" i="6" s="1"/>
  <c r="J277" i="11"/>
  <c r="I280" i="6" s="1"/>
  <c r="J278" i="11"/>
  <c r="I281" i="6" s="1"/>
  <c r="J279" i="11"/>
  <c r="I282" i="6" s="1"/>
  <c r="J280" i="11"/>
  <c r="I283" i="6" s="1"/>
  <c r="J281" i="11"/>
  <c r="I284" i="6" s="1"/>
  <c r="J282" i="11"/>
  <c r="I285" i="6" s="1"/>
  <c r="J283" i="11"/>
  <c r="I286" i="6" s="1"/>
  <c r="J284" i="11"/>
  <c r="I287" i="6" s="1"/>
  <c r="J285" i="11"/>
  <c r="I288" i="6" s="1"/>
  <c r="J286" i="11"/>
  <c r="I289" i="6" s="1"/>
  <c r="J287" i="11"/>
  <c r="I290" i="6" s="1"/>
  <c r="J288" i="11"/>
  <c r="I291" i="6" s="1"/>
  <c r="J289" i="11"/>
  <c r="I292" i="6" s="1"/>
  <c r="J290" i="11"/>
  <c r="I293" i="6" s="1"/>
  <c r="J291" i="11"/>
  <c r="I294" i="6" s="1"/>
  <c r="J292" i="11"/>
  <c r="I295" i="6" s="1"/>
  <c r="J293" i="11"/>
  <c r="I296" i="6" s="1"/>
  <c r="J294" i="11"/>
  <c r="I297" i="6" s="1"/>
  <c r="J295" i="11"/>
  <c r="I298" i="6" s="1"/>
  <c r="J296" i="11"/>
  <c r="I299" i="6" s="1"/>
  <c r="J297" i="11"/>
  <c r="I300" i="6" s="1"/>
  <c r="J298" i="11"/>
  <c r="I301" i="6" s="1"/>
  <c r="J299" i="11"/>
  <c r="I302" i="6" s="1"/>
  <c r="J300" i="11"/>
  <c r="I303" i="6" s="1"/>
  <c r="J301" i="11"/>
  <c r="I304" i="6" s="1"/>
  <c r="J302" i="11"/>
  <c r="I305" i="6" s="1"/>
  <c r="J303" i="11"/>
  <c r="I306" i="6" s="1"/>
  <c r="J304" i="11"/>
  <c r="I307" i="6" s="1"/>
  <c r="J305" i="11"/>
  <c r="I308" i="6" s="1"/>
  <c r="J306" i="11"/>
  <c r="I309" i="6" s="1"/>
  <c r="J307" i="11"/>
  <c r="I310" i="6" s="1"/>
  <c r="J308" i="11"/>
  <c r="I311" i="6" s="1"/>
  <c r="J309" i="11"/>
  <c r="I312" i="6" s="1"/>
  <c r="J310" i="11"/>
  <c r="I313" i="6" s="1"/>
  <c r="J311" i="11"/>
  <c r="I314" i="6" s="1"/>
  <c r="J312" i="11"/>
  <c r="I315" i="6" s="1"/>
  <c r="J313" i="11"/>
  <c r="I316" i="6" s="1"/>
  <c r="J314" i="11"/>
  <c r="I317" i="6" s="1"/>
  <c r="J315" i="11"/>
  <c r="I318" i="6" s="1"/>
  <c r="J316" i="11"/>
  <c r="I319" i="6" s="1"/>
  <c r="J317" i="11"/>
  <c r="I320" i="6" s="1"/>
  <c r="J318" i="11"/>
  <c r="I321" i="6" s="1"/>
  <c r="J319" i="11"/>
  <c r="I322" i="6" s="1"/>
  <c r="J320" i="11"/>
  <c r="I323" i="6" s="1"/>
  <c r="J321" i="11"/>
  <c r="I324" i="6" s="1"/>
  <c r="J322" i="11"/>
  <c r="I325" i="6" s="1"/>
  <c r="J323" i="11"/>
  <c r="I326" i="6" s="1"/>
  <c r="J324" i="11"/>
  <c r="I327" i="6" s="1"/>
  <c r="J325" i="11"/>
  <c r="I328" i="6" s="1"/>
  <c r="J326" i="11"/>
  <c r="I329" i="6" s="1"/>
  <c r="J327" i="11"/>
  <c r="I330" i="6" s="1"/>
  <c r="J328" i="11"/>
  <c r="I331" i="6" s="1"/>
  <c r="J329" i="11"/>
  <c r="I332" i="6" s="1"/>
  <c r="J330" i="11"/>
  <c r="I333" i="6" s="1"/>
  <c r="J331" i="11"/>
  <c r="I334" i="6" s="1"/>
  <c r="J332" i="11"/>
  <c r="I335" i="6" s="1"/>
  <c r="J333" i="11"/>
  <c r="I336" i="6" s="1"/>
  <c r="J334" i="11"/>
  <c r="I337" i="6" s="1"/>
  <c r="J335" i="11"/>
  <c r="I338" i="6" s="1"/>
  <c r="J336" i="11"/>
  <c r="I339" i="6" s="1"/>
  <c r="J337" i="11"/>
  <c r="I340" i="6" s="1"/>
  <c r="J338" i="11"/>
  <c r="I341" i="6" s="1"/>
  <c r="J339" i="11"/>
  <c r="I342" i="6" s="1"/>
  <c r="J340" i="11"/>
  <c r="I343" i="6" s="1"/>
  <c r="J341" i="11"/>
  <c r="I344" i="6" s="1"/>
  <c r="J342" i="11"/>
  <c r="I345" i="6" s="1"/>
  <c r="J343" i="11"/>
  <c r="I346" i="6" s="1"/>
  <c r="J344" i="11"/>
  <c r="I347" i="6" s="1"/>
  <c r="J345" i="11"/>
  <c r="I348" i="6" s="1"/>
  <c r="J346" i="11"/>
  <c r="I349" i="6" s="1"/>
  <c r="J347" i="11"/>
  <c r="I350" i="6" s="1"/>
  <c r="J348" i="11"/>
  <c r="I351" i="6" s="1"/>
  <c r="J349" i="11"/>
  <c r="I352" i="6" s="1"/>
  <c r="J350" i="11"/>
  <c r="I353" i="6" s="1"/>
  <c r="J351" i="11"/>
  <c r="I354" i="6" s="1"/>
  <c r="J352" i="11"/>
  <c r="I355" i="6" s="1"/>
  <c r="J353" i="11"/>
  <c r="I356" i="6" s="1"/>
  <c r="J354" i="11"/>
  <c r="I357" i="6" s="1"/>
  <c r="J355" i="11"/>
  <c r="I358" i="6" s="1"/>
  <c r="J356" i="11"/>
  <c r="I359" i="6" s="1"/>
  <c r="J357" i="11"/>
  <c r="I360" i="6" s="1"/>
  <c r="J358" i="11"/>
  <c r="I361" i="6" s="1"/>
  <c r="J359" i="11"/>
  <c r="I362" i="6" s="1"/>
  <c r="J360" i="11"/>
  <c r="I363" i="6" s="1"/>
  <c r="J361" i="11"/>
  <c r="I364" i="6" s="1"/>
  <c r="J362" i="11"/>
  <c r="I365" i="6" s="1"/>
  <c r="J363" i="11"/>
  <c r="I366" i="6" s="1"/>
  <c r="J364" i="11"/>
  <c r="I367" i="6" s="1"/>
  <c r="J365" i="11"/>
  <c r="I368" i="6" s="1"/>
  <c r="J366" i="11"/>
  <c r="I369" i="6" s="1"/>
  <c r="J367" i="11"/>
  <c r="I370" i="6" s="1"/>
  <c r="J368" i="11"/>
  <c r="I371" i="6" s="1"/>
  <c r="J369" i="11"/>
  <c r="I372" i="6" s="1"/>
  <c r="J370" i="11"/>
  <c r="I373" i="6" s="1"/>
  <c r="J371" i="11"/>
  <c r="I374" i="6" s="1"/>
  <c r="J372" i="11"/>
  <c r="I375" i="6" s="1"/>
  <c r="J373" i="11"/>
  <c r="I376" i="6" s="1"/>
  <c r="J374" i="11"/>
  <c r="I377" i="6" s="1"/>
  <c r="J375" i="11"/>
  <c r="I378" i="6" s="1"/>
  <c r="J376" i="11"/>
  <c r="I379" i="6" s="1"/>
  <c r="J377" i="11"/>
  <c r="I380" i="6" s="1"/>
  <c r="J378" i="11"/>
  <c r="I381" i="6" s="1"/>
  <c r="J379" i="11"/>
  <c r="I382" i="6" s="1"/>
  <c r="J380" i="11"/>
  <c r="I383" i="6" s="1"/>
  <c r="J381" i="11"/>
  <c r="I384" i="6" s="1"/>
  <c r="J382" i="11"/>
  <c r="I385" i="6" s="1"/>
  <c r="J383" i="11"/>
  <c r="I386" i="6" s="1"/>
  <c r="J384" i="11"/>
  <c r="I387" i="6" s="1"/>
  <c r="J385" i="11"/>
  <c r="I388" i="6" s="1"/>
  <c r="J386" i="11"/>
  <c r="I389" i="6" s="1"/>
  <c r="J387" i="11"/>
  <c r="I390" i="6" s="1"/>
  <c r="J388" i="11"/>
  <c r="I391" i="6" s="1"/>
  <c r="J389" i="11"/>
  <c r="I392" i="6" s="1"/>
  <c r="J390" i="11"/>
  <c r="I393" i="6" s="1"/>
  <c r="J391" i="11"/>
  <c r="I394" i="6" s="1"/>
  <c r="J392" i="11"/>
  <c r="I395" i="6" s="1"/>
  <c r="J393" i="11"/>
  <c r="I396" i="6" s="1"/>
  <c r="J394" i="11"/>
  <c r="I397" i="6" s="1"/>
  <c r="J395" i="11"/>
  <c r="I398" i="6" s="1"/>
  <c r="J396" i="11"/>
  <c r="I399" i="6" s="1"/>
  <c r="J397" i="11"/>
  <c r="I400" i="6" s="1"/>
  <c r="J398" i="11"/>
  <c r="I401" i="6" s="1"/>
  <c r="J399" i="11"/>
  <c r="I402" i="6" s="1"/>
  <c r="J400" i="11"/>
  <c r="I403" i="6" s="1"/>
  <c r="J401" i="11"/>
  <c r="I404" i="6" s="1"/>
  <c r="J402" i="11"/>
  <c r="I405" i="6" s="1"/>
  <c r="J403" i="11"/>
  <c r="I406" i="6" s="1"/>
  <c r="J404" i="11"/>
  <c r="I407" i="6" s="1"/>
  <c r="J405" i="11"/>
  <c r="I408" i="6" s="1"/>
  <c r="J406" i="11"/>
  <c r="I409" i="6" s="1"/>
  <c r="J407" i="11"/>
  <c r="I410" i="6" s="1"/>
  <c r="J408" i="11"/>
  <c r="I411" i="6" s="1"/>
  <c r="J409" i="11"/>
  <c r="I412" i="6" s="1"/>
  <c r="J410" i="11"/>
  <c r="I413" i="6" s="1"/>
  <c r="J411" i="11"/>
  <c r="I414" i="6" s="1"/>
  <c r="J412" i="11"/>
  <c r="I415" i="6" s="1"/>
  <c r="J413" i="11"/>
  <c r="I416" i="6" s="1"/>
  <c r="J414" i="11"/>
  <c r="I417" i="6" s="1"/>
  <c r="J415" i="11"/>
  <c r="I418" i="6" s="1"/>
  <c r="J416" i="11"/>
  <c r="I419" i="6" s="1"/>
  <c r="J417" i="11"/>
  <c r="I420" i="6" s="1"/>
  <c r="J418" i="11"/>
  <c r="I421" i="6" s="1"/>
  <c r="J419" i="11"/>
  <c r="I422" i="6" s="1"/>
  <c r="J420" i="11"/>
  <c r="I423" i="6" s="1"/>
  <c r="J421" i="11"/>
  <c r="I424" i="6" s="1"/>
  <c r="J422" i="11"/>
  <c r="I425" i="6" s="1"/>
  <c r="J423" i="11"/>
  <c r="I426" i="6" s="1"/>
  <c r="J424" i="11"/>
  <c r="I427" i="6" s="1"/>
  <c r="J425" i="11"/>
  <c r="I428" i="6" s="1"/>
  <c r="J426" i="11"/>
  <c r="I429" i="6" s="1"/>
  <c r="J427" i="11"/>
  <c r="I430" i="6" s="1"/>
  <c r="J428" i="11"/>
  <c r="I431" i="6" s="1"/>
  <c r="J429" i="11"/>
  <c r="I432" i="6" s="1"/>
  <c r="J430" i="11"/>
  <c r="I433" i="6" s="1"/>
  <c r="J431" i="11"/>
  <c r="I434" i="6" s="1"/>
  <c r="J432" i="11"/>
  <c r="I435" i="6" s="1"/>
  <c r="J433" i="11"/>
  <c r="I436" i="6" s="1"/>
  <c r="J434" i="11"/>
  <c r="I437" i="6" s="1"/>
  <c r="J435" i="11"/>
  <c r="I438" i="6" s="1"/>
  <c r="J436" i="11"/>
  <c r="I439" i="6" s="1"/>
  <c r="J437" i="11"/>
  <c r="I440" i="6" s="1"/>
  <c r="J438" i="11"/>
  <c r="I441" i="6" s="1"/>
  <c r="J439" i="11"/>
  <c r="I442" i="6" s="1"/>
  <c r="J440" i="11"/>
  <c r="I443" i="6" s="1"/>
  <c r="J441" i="11"/>
  <c r="I444" i="6" s="1"/>
  <c r="J442" i="11"/>
  <c r="I445" i="6" s="1"/>
  <c r="J443" i="11"/>
  <c r="I446" i="6" s="1"/>
  <c r="J444" i="11"/>
  <c r="I447" i="6" s="1"/>
  <c r="J445" i="11"/>
  <c r="I448" i="6" s="1"/>
  <c r="J446" i="11"/>
  <c r="I449" i="6" s="1"/>
  <c r="J447" i="11"/>
  <c r="I450" i="6" s="1"/>
  <c r="J448" i="11"/>
  <c r="I451" i="6" s="1"/>
  <c r="J449" i="11"/>
  <c r="I452" i="6" s="1"/>
  <c r="J450" i="11"/>
  <c r="I453" i="6" s="1"/>
  <c r="J451" i="11"/>
  <c r="I454" i="6" s="1"/>
  <c r="J452" i="11"/>
  <c r="I455" i="6" s="1"/>
  <c r="J453" i="11"/>
  <c r="I456" i="6" s="1"/>
  <c r="J454" i="11"/>
  <c r="I457" i="6" s="1"/>
  <c r="J455" i="11"/>
  <c r="I458" i="6" s="1"/>
  <c r="J456" i="11"/>
  <c r="I459" i="6" s="1"/>
  <c r="J457" i="11"/>
  <c r="I460" i="6" s="1"/>
  <c r="J458" i="11"/>
  <c r="I461" i="6" s="1"/>
  <c r="J459" i="11"/>
  <c r="I462" i="6" s="1"/>
  <c r="J460" i="11"/>
  <c r="I463" i="6" s="1"/>
  <c r="J461" i="11"/>
  <c r="I464" i="6" s="1"/>
  <c r="J462" i="11"/>
  <c r="I465" i="6" s="1"/>
  <c r="J463" i="11"/>
  <c r="I466" i="6" s="1"/>
  <c r="J464" i="11"/>
  <c r="I467" i="6" s="1"/>
  <c r="J465" i="11"/>
  <c r="I468" i="6" s="1"/>
  <c r="J466" i="11"/>
  <c r="I469" i="6" s="1"/>
  <c r="J467" i="11"/>
  <c r="I470" i="6" s="1"/>
  <c r="J468" i="11"/>
  <c r="I471" i="6" s="1"/>
  <c r="J469" i="11"/>
  <c r="I472" i="6" s="1"/>
  <c r="J470" i="11"/>
  <c r="I473" i="6" s="1"/>
  <c r="J471" i="11"/>
  <c r="I474" i="6" s="1"/>
  <c r="J472" i="11"/>
  <c r="I475" i="6" s="1"/>
  <c r="J473" i="11"/>
  <c r="I476" i="6" s="1"/>
  <c r="J474" i="11"/>
  <c r="I477" i="6" s="1"/>
  <c r="J475" i="11"/>
  <c r="I478" i="6" s="1"/>
  <c r="J476" i="11"/>
  <c r="I479" i="6" s="1"/>
  <c r="J477" i="11"/>
  <c r="I480" i="6" s="1"/>
  <c r="J478" i="11"/>
  <c r="I481" i="6" s="1"/>
  <c r="J479" i="11"/>
  <c r="I482" i="6" s="1"/>
  <c r="J480" i="11"/>
  <c r="I483" i="6" s="1"/>
  <c r="J481" i="11"/>
  <c r="I484" i="6" s="1"/>
  <c r="J482" i="11"/>
  <c r="I485" i="6" s="1"/>
  <c r="J483" i="11"/>
  <c r="I486" i="6" s="1"/>
  <c r="J484" i="11"/>
  <c r="I487" i="6" s="1"/>
  <c r="J485" i="11"/>
  <c r="I488" i="6" s="1"/>
  <c r="J486" i="11"/>
  <c r="I489" i="6" s="1"/>
  <c r="J487" i="11"/>
  <c r="I490" i="6" s="1"/>
  <c r="J488" i="11"/>
  <c r="I491" i="6" s="1"/>
  <c r="J489" i="11"/>
  <c r="I492" i="6" s="1"/>
  <c r="J490" i="11"/>
  <c r="I493" i="6" s="1"/>
  <c r="J491" i="11"/>
  <c r="I494" i="6" s="1"/>
  <c r="J492" i="11"/>
  <c r="I495" i="6" s="1"/>
  <c r="J493" i="11"/>
  <c r="I496" i="6" s="1"/>
  <c r="J494" i="11"/>
  <c r="I497" i="6" s="1"/>
  <c r="J495" i="11"/>
  <c r="I498" i="6" s="1"/>
  <c r="J496" i="11"/>
  <c r="I499" i="6" s="1"/>
  <c r="J497" i="11"/>
  <c r="I500" i="6" s="1"/>
  <c r="J498" i="11"/>
  <c r="I501" i="6" s="1"/>
  <c r="J499" i="11"/>
  <c r="I502" i="6" s="1"/>
  <c r="J500" i="11"/>
  <c r="I503" i="6" s="1"/>
  <c r="J501" i="11"/>
  <c r="I504" i="6" s="1"/>
  <c r="J502" i="11"/>
  <c r="I505" i="6" s="1"/>
  <c r="J503" i="11"/>
  <c r="I506" i="6" s="1"/>
  <c r="J504" i="11"/>
  <c r="I507" i="6" s="1"/>
  <c r="J505" i="11"/>
  <c r="I508" i="6" s="1"/>
  <c r="J506" i="11"/>
  <c r="I509" i="6" s="1"/>
  <c r="J507" i="11"/>
  <c r="I510" i="6" s="1"/>
  <c r="J508" i="11"/>
  <c r="I511" i="6" s="1"/>
  <c r="J509" i="11"/>
  <c r="I512" i="6" s="1"/>
  <c r="J510" i="11"/>
  <c r="I513" i="6" s="1"/>
  <c r="J511" i="11"/>
  <c r="I514" i="6" s="1"/>
  <c r="J512" i="11"/>
  <c r="I515" i="6" s="1"/>
  <c r="J513" i="11"/>
  <c r="I516" i="6" s="1"/>
  <c r="J514" i="11"/>
  <c r="I517" i="6" s="1"/>
  <c r="J515" i="11"/>
  <c r="I518" i="6" s="1"/>
  <c r="J516" i="11"/>
  <c r="I519" i="6" s="1"/>
  <c r="J517" i="11"/>
  <c r="I520" i="6" s="1"/>
  <c r="J518" i="11"/>
  <c r="I521" i="6" s="1"/>
  <c r="J519" i="11"/>
  <c r="I522" i="6" s="1"/>
  <c r="J520" i="11"/>
  <c r="I523" i="6" s="1"/>
  <c r="J521" i="11"/>
  <c r="I524" i="6" s="1"/>
  <c r="J522" i="11"/>
  <c r="I525" i="6" s="1"/>
  <c r="J523" i="11"/>
  <c r="I526" i="6" s="1"/>
  <c r="J524" i="11"/>
  <c r="I527" i="6" s="1"/>
  <c r="J525" i="11"/>
  <c r="I528" i="6" s="1"/>
  <c r="J526" i="11"/>
  <c r="I529" i="6" s="1"/>
  <c r="J527" i="11"/>
  <c r="I530" i="6" s="1"/>
  <c r="J528" i="11"/>
  <c r="I531" i="6" s="1"/>
  <c r="J529" i="11"/>
  <c r="I532" i="6" s="1"/>
  <c r="J530" i="11"/>
  <c r="I533" i="6" s="1"/>
  <c r="J531" i="11"/>
  <c r="I534" i="6" s="1"/>
  <c r="J532" i="11"/>
  <c r="I535" i="6" s="1"/>
  <c r="J533" i="11"/>
  <c r="I536" i="6" s="1"/>
  <c r="J534" i="11"/>
  <c r="I537" i="6" s="1"/>
  <c r="J535" i="11"/>
  <c r="I538" i="6" s="1"/>
  <c r="J536" i="11"/>
  <c r="I539" i="6" s="1"/>
  <c r="J537" i="11"/>
  <c r="I540" i="6" s="1"/>
  <c r="J538" i="11"/>
  <c r="I541" i="6" s="1"/>
  <c r="J539" i="11"/>
  <c r="I542" i="6" s="1"/>
  <c r="J540" i="11"/>
  <c r="I543" i="6" s="1"/>
  <c r="J541" i="11"/>
  <c r="I544" i="6" s="1"/>
  <c r="J542" i="11"/>
  <c r="I545" i="6" s="1"/>
  <c r="J543" i="11"/>
  <c r="I546" i="6" s="1"/>
  <c r="J544" i="11"/>
  <c r="I547" i="6" s="1"/>
  <c r="J545" i="11"/>
  <c r="I548" i="6" s="1"/>
  <c r="J546" i="11"/>
  <c r="I549" i="6" s="1"/>
  <c r="J547" i="11"/>
  <c r="I550" i="6" s="1"/>
  <c r="J548" i="11"/>
  <c r="I551" i="6" s="1"/>
  <c r="J549" i="11"/>
  <c r="I552" i="6" s="1"/>
  <c r="J550" i="11"/>
  <c r="I553" i="6" s="1"/>
  <c r="J551" i="11"/>
  <c r="I554" i="6" s="1"/>
  <c r="J552" i="11"/>
  <c r="I555" i="6" s="1"/>
  <c r="J553" i="11"/>
  <c r="I556" i="6" s="1"/>
  <c r="J554" i="11"/>
  <c r="I557" i="6" s="1"/>
  <c r="J555" i="11"/>
  <c r="I558" i="6" s="1"/>
  <c r="J556" i="11"/>
  <c r="I559" i="6" s="1"/>
  <c r="J557" i="11"/>
  <c r="I560" i="6" s="1"/>
  <c r="J558" i="11"/>
  <c r="I561" i="6" s="1"/>
  <c r="J559" i="11"/>
  <c r="I562" i="6" s="1"/>
  <c r="J560" i="11"/>
  <c r="I563" i="6" s="1"/>
  <c r="J561" i="11"/>
  <c r="I564" i="6" s="1"/>
  <c r="J562" i="11"/>
  <c r="I565" i="6" s="1"/>
  <c r="J563" i="11"/>
  <c r="I566" i="6" s="1"/>
  <c r="J564" i="11"/>
  <c r="I567" i="6" s="1"/>
  <c r="J565" i="11"/>
  <c r="I568" i="6" s="1"/>
  <c r="J566" i="11"/>
  <c r="I569" i="6" s="1"/>
  <c r="J567" i="11"/>
  <c r="I570" i="6" s="1"/>
  <c r="J568" i="11"/>
  <c r="I571" i="6" s="1"/>
  <c r="J569" i="11"/>
  <c r="I572" i="6" s="1"/>
  <c r="J570" i="11"/>
  <c r="I573" i="6" s="1"/>
  <c r="J571" i="11"/>
  <c r="I574" i="6" s="1"/>
  <c r="J572" i="11"/>
  <c r="I575" i="6" s="1"/>
  <c r="J573" i="11"/>
  <c r="I576" i="6" s="1"/>
  <c r="J574" i="11"/>
  <c r="I577" i="6" s="1"/>
  <c r="J575" i="11"/>
  <c r="I578" i="6" s="1"/>
  <c r="J576" i="11"/>
  <c r="I579" i="6" s="1"/>
  <c r="J577" i="11"/>
  <c r="I580" i="6" s="1"/>
  <c r="J578" i="11"/>
  <c r="I581" i="6" s="1"/>
  <c r="J579" i="11"/>
  <c r="I582" i="6" s="1"/>
  <c r="J580" i="11"/>
  <c r="I583" i="6" s="1"/>
  <c r="J581" i="11"/>
  <c r="I584" i="6" s="1"/>
  <c r="J582" i="11"/>
  <c r="I585" i="6" s="1"/>
  <c r="J583" i="11"/>
  <c r="I586" i="6" s="1"/>
  <c r="J584" i="11"/>
  <c r="I587" i="6" s="1"/>
  <c r="J585" i="11"/>
  <c r="I588" i="6" s="1"/>
  <c r="J586" i="11"/>
  <c r="I589" i="6" s="1"/>
  <c r="J587" i="11"/>
  <c r="I590" i="6" s="1"/>
  <c r="J588" i="11"/>
  <c r="I591" i="6" s="1"/>
  <c r="J589" i="11"/>
  <c r="I592" i="6" s="1"/>
  <c r="J590" i="11"/>
  <c r="I593" i="6" s="1"/>
  <c r="J591" i="11"/>
  <c r="I594" i="6" s="1"/>
  <c r="J592" i="11"/>
  <c r="I595" i="6" s="1"/>
  <c r="J593" i="11"/>
  <c r="I596" i="6" s="1"/>
  <c r="J594" i="11"/>
  <c r="I597" i="6" s="1"/>
  <c r="J595" i="11"/>
  <c r="I598" i="6" s="1"/>
  <c r="J596" i="11"/>
  <c r="I599" i="6" s="1"/>
  <c r="J597" i="11"/>
  <c r="I600" i="6" s="1"/>
  <c r="J598" i="11"/>
  <c r="I601" i="6" s="1"/>
  <c r="J599" i="11"/>
  <c r="I602" i="6" s="1"/>
  <c r="J600" i="11"/>
  <c r="I603" i="6" s="1"/>
  <c r="J601" i="11"/>
  <c r="I604" i="6" s="1"/>
  <c r="J602" i="11"/>
  <c r="I605" i="6" s="1"/>
  <c r="J603" i="11"/>
  <c r="I606" i="6" s="1"/>
  <c r="J604" i="11"/>
  <c r="I607" i="6" s="1"/>
  <c r="J605" i="11"/>
  <c r="I608" i="6" s="1"/>
  <c r="J606" i="11"/>
  <c r="I609" i="6" s="1"/>
  <c r="J607" i="11"/>
  <c r="I610" i="6" s="1"/>
  <c r="J608" i="11"/>
  <c r="I611" i="6" s="1"/>
  <c r="J609" i="11"/>
  <c r="I612" i="6" s="1"/>
  <c r="J610" i="11"/>
  <c r="I613" i="6" s="1"/>
  <c r="J611" i="11"/>
  <c r="I614" i="6" s="1"/>
  <c r="J612" i="11"/>
  <c r="I615" i="6" s="1"/>
  <c r="J613" i="11"/>
  <c r="I616" i="6" s="1"/>
  <c r="J614" i="11"/>
  <c r="I617" i="6" s="1"/>
  <c r="J615" i="11"/>
  <c r="I618" i="6" s="1"/>
  <c r="J616" i="11"/>
  <c r="I619" i="6" s="1"/>
  <c r="J617" i="11"/>
  <c r="I620" i="6" s="1"/>
  <c r="J618" i="11"/>
  <c r="I621" i="6" s="1"/>
  <c r="J619" i="11"/>
  <c r="I622" i="6" s="1"/>
  <c r="J620" i="11"/>
  <c r="I623" i="6" s="1"/>
  <c r="J621" i="11"/>
  <c r="I624" i="6" s="1"/>
  <c r="J622" i="11"/>
  <c r="I625" i="6" s="1"/>
  <c r="J623" i="11"/>
  <c r="I626" i="6" s="1"/>
  <c r="J624" i="11"/>
  <c r="I627" i="6" s="1"/>
  <c r="J625" i="11"/>
  <c r="I628" i="6" s="1"/>
  <c r="J626" i="11"/>
  <c r="I629" i="6" s="1"/>
  <c r="J627" i="11"/>
  <c r="I630" i="6" s="1"/>
  <c r="J628" i="11"/>
  <c r="I631" i="6" s="1"/>
  <c r="J629" i="11"/>
  <c r="I632" i="6" s="1"/>
  <c r="J630" i="11"/>
  <c r="I633" i="6" s="1"/>
  <c r="J631" i="11"/>
  <c r="I634" i="6" s="1"/>
  <c r="J632" i="11"/>
  <c r="I635" i="6" s="1"/>
  <c r="J633" i="11"/>
  <c r="I636" i="6" s="1"/>
  <c r="J634" i="11"/>
  <c r="I637" i="6" s="1"/>
  <c r="J635" i="11"/>
  <c r="I638" i="6" s="1"/>
  <c r="J636" i="11"/>
  <c r="I639" i="6" s="1"/>
  <c r="J637" i="11"/>
  <c r="I640" i="6" s="1"/>
  <c r="J638" i="11"/>
  <c r="I641" i="6" s="1"/>
  <c r="J639" i="11"/>
  <c r="I642" i="6" s="1"/>
  <c r="J640" i="11"/>
  <c r="I643" i="6" s="1"/>
  <c r="J641" i="11"/>
  <c r="I644" i="6" s="1"/>
  <c r="J642" i="11"/>
  <c r="I645" i="6" s="1"/>
  <c r="J643" i="11"/>
  <c r="I646" i="6" s="1"/>
  <c r="J644" i="11"/>
  <c r="I647" i="6" s="1"/>
  <c r="J645" i="11"/>
  <c r="I648" i="6" s="1"/>
  <c r="J646" i="11"/>
  <c r="I649" i="6" s="1"/>
  <c r="J647" i="11"/>
  <c r="I650" i="6" s="1"/>
  <c r="J648" i="11"/>
  <c r="I651" i="6" s="1"/>
  <c r="J649" i="11"/>
  <c r="I652" i="6" s="1"/>
  <c r="J650" i="11"/>
  <c r="I653" i="6" s="1"/>
  <c r="J651" i="11"/>
  <c r="I654" i="6" s="1"/>
  <c r="J652" i="11"/>
  <c r="I655" i="6" s="1"/>
  <c r="J653" i="11"/>
  <c r="I656" i="6" s="1"/>
  <c r="J654" i="11"/>
  <c r="I657" i="6" s="1"/>
  <c r="J655" i="11"/>
  <c r="I658" i="6" s="1"/>
  <c r="J656" i="11"/>
  <c r="I659" i="6" s="1"/>
  <c r="J657" i="11"/>
  <c r="I660" i="6" s="1"/>
  <c r="J658" i="11"/>
  <c r="I661" i="6" s="1"/>
  <c r="J659" i="11"/>
  <c r="I662" i="6" s="1"/>
  <c r="J660" i="11"/>
  <c r="I663" i="6" s="1"/>
  <c r="J661" i="11"/>
  <c r="I664" i="6" s="1"/>
  <c r="J662" i="11"/>
  <c r="I665" i="6" s="1"/>
  <c r="J663" i="11"/>
  <c r="I666" i="6" s="1"/>
  <c r="J664" i="11"/>
  <c r="I667" i="6" s="1"/>
  <c r="J665" i="11"/>
  <c r="I668" i="6" s="1"/>
  <c r="J666" i="11"/>
  <c r="I669" i="6" s="1"/>
  <c r="J667" i="11"/>
  <c r="I670" i="6" s="1"/>
  <c r="J668" i="11"/>
  <c r="I671" i="6" s="1"/>
  <c r="J669" i="11"/>
  <c r="I672" i="6" s="1"/>
  <c r="J670" i="11"/>
  <c r="I673" i="6" s="1"/>
  <c r="J671" i="11"/>
  <c r="I674" i="6" s="1"/>
  <c r="J672" i="11"/>
  <c r="I675" i="6" s="1"/>
  <c r="J673" i="11"/>
  <c r="I676" i="6" s="1"/>
  <c r="J674" i="11"/>
  <c r="I677" i="6" s="1"/>
  <c r="J675" i="11"/>
  <c r="I678" i="6" s="1"/>
  <c r="J676" i="11"/>
  <c r="I679" i="6" s="1"/>
  <c r="J677" i="11"/>
  <c r="I680" i="6" s="1"/>
  <c r="J678" i="11"/>
  <c r="I681" i="6" s="1"/>
  <c r="J679" i="11"/>
  <c r="I682" i="6" s="1"/>
  <c r="J680" i="11"/>
  <c r="I683" i="6" s="1"/>
  <c r="J681" i="11"/>
  <c r="I684" i="6" s="1"/>
  <c r="J682" i="11"/>
  <c r="I685" i="6" s="1"/>
  <c r="J683" i="11"/>
  <c r="I686" i="6" s="1"/>
  <c r="J684" i="11"/>
  <c r="I687" i="6" s="1"/>
  <c r="J685" i="11"/>
  <c r="I688" i="6" s="1"/>
  <c r="J686" i="11"/>
  <c r="I689" i="6" s="1"/>
  <c r="J687" i="11"/>
  <c r="I690" i="6" s="1"/>
  <c r="J688" i="11"/>
  <c r="I691" i="6" s="1"/>
  <c r="J689" i="11"/>
  <c r="I692" i="6" s="1"/>
  <c r="J690" i="11"/>
  <c r="I693" i="6" s="1"/>
  <c r="J691" i="11"/>
  <c r="I694" i="6" s="1"/>
  <c r="J692" i="11"/>
  <c r="I695" i="6" s="1"/>
  <c r="J693" i="11"/>
  <c r="I696" i="6" s="1"/>
  <c r="J694" i="11"/>
  <c r="I697" i="6" s="1"/>
  <c r="J695" i="11"/>
  <c r="I698" i="6" s="1"/>
  <c r="J696" i="11"/>
  <c r="I699" i="6" s="1"/>
  <c r="J697" i="11"/>
  <c r="I700" i="6" s="1"/>
  <c r="J698" i="11"/>
  <c r="I701" i="6" s="1"/>
  <c r="J699" i="11"/>
  <c r="I702" i="6" s="1"/>
  <c r="J700" i="11"/>
  <c r="I703" i="6" s="1"/>
  <c r="J701" i="11"/>
  <c r="I704" i="6" s="1"/>
  <c r="J702" i="11"/>
  <c r="I705" i="6" s="1"/>
  <c r="J703" i="11"/>
  <c r="I706" i="6" s="1"/>
  <c r="J704" i="11"/>
  <c r="I707" i="6" s="1"/>
  <c r="J705" i="11"/>
  <c r="I708" i="6" s="1"/>
  <c r="J706" i="11"/>
  <c r="I709" i="6" s="1"/>
  <c r="J707" i="11"/>
  <c r="I710" i="6" s="1"/>
  <c r="J708" i="11"/>
  <c r="I711" i="6" s="1"/>
  <c r="J709" i="11"/>
  <c r="I712" i="6" s="1"/>
  <c r="J710" i="11"/>
  <c r="I713" i="6" s="1"/>
  <c r="J711" i="11"/>
  <c r="I714" i="6" s="1"/>
  <c r="J712" i="11"/>
  <c r="I715" i="6" s="1"/>
  <c r="J713" i="11"/>
  <c r="I716" i="6" s="1"/>
  <c r="J714" i="11"/>
  <c r="I717" i="6" s="1"/>
  <c r="J715" i="11"/>
  <c r="I718" i="6" s="1"/>
  <c r="J716" i="11"/>
  <c r="I719" i="6" s="1"/>
  <c r="J717" i="11"/>
  <c r="I720" i="6" s="1"/>
  <c r="J718" i="11"/>
  <c r="I721" i="6" s="1"/>
  <c r="J719" i="11"/>
  <c r="I722" i="6" s="1"/>
  <c r="J720" i="11"/>
  <c r="I723" i="6" s="1"/>
  <c r="J721" i="11"/>
  <c r="I724" i="6" s="1"/>
  <c r="J722" i="11"/>
  <c r="I725" i="6" s="1"/>
  <c r="J723" i="11"/>
  <c r="I726" i="6" s="1"/>
  <c r="J724" i="11"/>
  <c r="I727" i="6" s="1"/>
  <c r="J725" i="11"/>
  <c r="I728" i="6" s="1"/>
  <c r="J726" i="11"/>
  <c r="I729" i="6" s="1"/>
  <c r="J727" i="11"/>
  <c r="I730" i="6" s="1"/>
  <c r="J728" i="11"/>
  <c r="I731" i="6" s="1"/>
  <c r="J729" i="11"/>
  <c r="I732" i="6" s="1"/>
  <c r="J730" i="11"/>
  <c r="I733" i="6" s="1"/>
  <c r="J731" i="11"/>
  <c r="I734" i="6" s="1"/>
  <c r="J732" i="11"/>
  <c r="I735" i="6" s="1"/>
  <c r="J733" i="11"/>
  <c r="I736" i="6" s="1"/>
  <c r="J734" i="11"/>
  <c r="I737" i="6" s="1"/>
  <c r="J735" i="11"/>
  <c r="I738" i="6" s="1"/>
  <c r="J736" i="11"/>
  <c r="I739" i="6" s="1"/>
  <c r="J737" i="11"/>
  <c r="I740" i="6" s="1"/>
  <c r="J738" i="11"/>
  <c r="I741" i="6" s="1"/>
  <c r="J739" i="11"/>
  <c r="I742" i="6" s="1"/>
  <c r="J740" i="11"/>
  <c r="I743" i="6" s="1"/>
  <c r="J741" i="11"/>
  <c r="I744" i="6" s="1"/>
  <c r="J742" i="11"/>
  <c r="I745" i="6" s="1"/>
  <c r="J743" i="11"/>
  <c r="I746" i="6" s="1"/>
  <c r="J744" i="11"/>
  <c r="I747" i="6" s="1"/>
  <c r="J745" i="11"/>
  <c r="I748" i="6" s="1"/>
  <c r="J746" i="11"/>
  <c r="I749" i="6" s="1"/>
  <c r="J747" i="11"/>
  <c r="I750" i="6" s="1"/>
  <c r="J748" i="11"/>
  <c r="I751" i="6" s="1"/>
  <c r="J749" i="11"/>
  <c r="I752" i="6" s="1"/>
  <c r="J750" i="11"/>
  <c r="I753" i="6" s="1"/>
  <c r="J751" i="11"/>
  <c r="I754" i="6" s="1"/>
  <c r="J752" i="11"/>
  <c r="I755" i="6" s="1"/>
  <c r="J753" i="11"/>
  <c r="I756" i="6" s="1"/>
  <c r="J754" i="11"/>
  <c r="I757" i="6" s="1"/>
  <c r="J755" i="11"/>
  <c r="I758" i="6" s="1"/>
  <c r="J756" i="11"/>
  <c r="I759" i="6" s="1"/>
  <c r="J757" i="11"/>
  <c r="I760" i="6" s="1"/>
  <c r="J758" i="11"/>
  <c r="I761" i="6" s="1"/>
  <c r="J759" i="11"/>
  <c r="I762" i="6" s="1"/>
  <c r="J760" i="11"/>
  <c r="I763" i="6" s="1"/>
  <c r="J761" i="11"/>
  <c r="I764" i="6" s="1"/>
  <c r="J762" i="11"/>
  <c r="I765" i="6" s="1"/>
  <c r="J763" i="11"/>
  <c r="I766" i="6" s="1"/>
  <c r="J764" i="11"/>
  <c r="I767" i="6" s="1"/>
  <c r="J765" i="11"/>
  <c r="I768" i="6" s="1"/>
  <c r="J766" i="11"/>
  <c r="I769" i="6" s="1"/>
  <c r="J767" i="11"/>
  <c r="I770" i="6" s="1"/>
  <c r="J768" i="11"/>
  <c r="I771" i="6" s="1"/>
  <c r="J769" i="11"/>
  <c r="I772" i="6" s="1"/>
  <c r="J770" i="11"/>
  <c r="I773" i="6" s="1"/>
  <c r="J771" i="11"/>
  <c r="I774" i="6" s="1"/>
  <c r="J772" i="11"/>
  <c r="I775" i="6" s="1"/>
  <c r="J773" i="11"/>
  <c r="I776" i="6" s="1"/>
  <c r="J774" i="11"/>
  <c r="I777" i="6" s="1"/>
  <c r="J775" i="11"/>
  <c r="I778" i="6" s="1"/>
  <c r="J776" i="11"/>
  <c r="I779" i="6" s="1"/>
  <c r="J777" i="11"/>
  <c r="I780" i="6" s="1"/>
  <c r="J778" i="11"/>
  <c r="I781" i="6" s="1"/>
  <c r="J779" i="11"/>
  <c r="I782" i="6" s="1"/>
  <c r="J780" i="11"/>
  <c r="I783" i="6" s="1"/>
  <c r="J781" i="11"/>
  <c r="I784" i="6" s="1"/>
  <c r="J782" i="11"/>
  <c r="I785" i="6" s="1"/>
  <c r="J783" i="11"/>
  <c r="I786" i="6" s="1"/>
  <c r="J784" i="11"/>
  <c r="I787" i="6" s="1"/>
  <c r="J785" i="11"/>
  <c r="I788" i="6" s="1"/>
  <c r="J786" i="11"/>
  <c r="I789" i="6" s="1"/>
  <c r="J787" i="11"/>
  <c r="I790" i="6" s="1"/>
  <c r="J788" i="11"/>
  <c r="I791" i="6" s="1"/>
  <c r="J789" i="11"/>
  <c r="I792" i="6" s="1"/>
  <c r="J790" i="11"/>
  <c r="I793" i="6" s="1"/>
  <c r="J791" i="11"/>
  <c r="I794" i="6" s="1"/>
  <c r="J792" i="11"/>
  <c r="I795" i="6" s="1"/>
  <c r="J793" i="11"/>
  <c r="I796" i="6" s="1"/>
  <c r="J794" i="11"/>
  <c r="I797" i="6" s="1"/>
  <c r="J795" i="11"/>
  <c r="I798" i="6" s="1"/>
  <c r="J796" i="11"/>
  <c r="I799" i="6" s="1"/>
  <c r="J797" i="11"/>
  <c r="I800" i="6" s="1"/>
  <c r="J798" i="11"/>
  <c r="I801" i="6" s="1"/>
  <c r="J799" i="11"/>
  <c r="I802" i="6" s="1"/>
  <c r="J800" i="11"/>
  <c r="I803" i="6" s="1"/>
  <c r="J801" i="11"/>
  <c r="I804" i="6" s="1"/>
  <c r="J802" i="11"/>
  <c r="I805" i="6" s="1"/>
  <c r="J803" i="11"/>
  <c r="I806" i="6" s="1"/>
  <c r="J804" i="11"/>
  <c r="I807" i="6" s="1"/>
  <c r="J805" i="11"/>
  <c r="I808" i="6" s="1"/>
  <c r="J806" i="11"/>
  <c r="I809" i="6" s="1"/>
  <c r="J807" i="11"/>
  <c r="I810" i="6" s="1"/>
  <c r="J808" i="11"/>
  <c r="I811" i="6" s="1"/>
  <c r="J809" i="11"/>
  <c r="I812" i="6" s="1"/>
  <c r="J810" i="11"/>
  <c r="I813" i="6" s="1"/>
  <c r="J811" i="11"/>
  <c r="I814" i="6" s="1"/>
  <c r="J812" i="11"/>
  <c r="I815" i="6" s="1"/>
  <c r="J813" i="11"/>
  <c r="I816" i="6" s="1"/>
  <c r="J814" i="11"/>
  <c r="I817" i="6" s="1"/>
  <c r="J815" i="11"/>
  <c r="I818" i="6" s="1"/>
  <c r="J816" i="11"/>
  <c r="I819" i="6" s="1"/>
  <c r="J817" i="11"/>
  <c r="I820" i="6" s="1"/>
  <c r="J818" i="11"/>
  <c r="I821" i="6" s="1"/>
  <c r="J819" i="11"/>
  <c r="I822" i="6" s="1"/>
  <c r="J820" i="11"/>
  <c r="I823" i="6" s="1"/>
  <c r="J821" i="11"/>
  <c r="I824" i="6" s="1"/>
  <c r="J822" i="11"/>
  <c r="I825" i="6" s="1"/>
  <c r="J823" i="11"/>
  <c r="I826" i="6" s="1"/>
  <c r="J824" i="11"/>
  <c r="I827" i="6" s="1"/>
  <c r="J825" i="11"/>
  <c r="I828" i="6" s="1"/>
  <c r="J826" i="11"/>
  <c r="I829" i="6" s="1"/>
  <c r="J827" i="11"/>
  <c r="I830" i="6" s="1"/>
  <c r="J828" i="11"/>
  <c r="I831" i="6" s="1"/>
  <c r="J829" i="11"/>
  <c r="I832" i="6" s="1"/>
  <c r="J830" i="11"/>
  <c r="I833" i="6" s="1"/>
  <c r="J831" i="11"/>
  <c r="I834" i="6" s="1"/>
  <c r="J832" i="11"/>
  <c r="I835" i="6" s="1"/>
  <c r="J833" i="11"/>
  <c r="I836" i="6" s="1"/>
  <c r="J834" i="11"/>
  <c r="I837" i="6" s="1"/>
  <c r="J835" i="11"/>
  <c r="I838" i="6" s="1"/>
  <c r="J836" i="11"/>
  <c r="I839" i="6" s="1"/>
  <c r="J837" i="11"/>
  <c r="I840" i="6" s="1"/>
  <c r="J838" i="11"/>
  <c r="I841" i="6" s="1"/>
  <c r="J839" i="11"/>
  <c r="I842" i="6" s="1"/>
  <c r="J840" i="11"/>
  <c r="I843" i="6" s="1"/>
  <c r="J841" i="11"/>
  <c r="I844" i="6" s="1"/>
  <c r="J842" i="11"/>
  <c r="I845" i="6" s="1"/>
  <c r="J843" i="11"/>
  <c r="I846" i="6" s="1"/>
  <c r="J844" i="11"/>
  <c r="I847" i="6" s="1"/>
  <c r="J845" i="11"/>
  <c r="I848" i="6" s="1"/>
  <c r="J846" i="11"/>
  <c r="I849" i="6" s="1"/>
  <c r="J847" i="11"/>
  <c r="I850" i="6" s="1"/>
  <c r="J848" i="11"/>
  <c r="I851" i="6" s="1"/>
  <c r="J849" i="11"/>
  <c r="I852" i="6" s="1"/>
  <c r="J850" i="11"/>
  <c r="I853" i="6" s="1"/>
  <c r="J851" i="11"/>
  <c r="I854" i="6" s="1"/>
  <c r="J852" i="11"/>
  <c r="I855" i="6" s="1"/>
  <c r="J853" i="11"/>
  <c r="I856" i="6" s="1"/>
  <c r="J854" i="11"/>
  <c r="I857" i="6" s="1"/>
  <c r="J855" i="11"/>
  <c r="I858" i="6" s="1"/>
  <c r="J856" i="11"/>
  <c r="I859" i="6" s="1"/>
  <c r="J857" i="11"/>
  <c r="I860" i="6" s="1"/>
  <c r="J858" i="11"/>
  <c r="I861" i="6" s="1"/>
  <c r="J859" i="11"/>
  <c r="I862" i="6" s="1"/>
  <c r="J860" i="11"/>
  <c r="I863" i="6" s="1"/>
  <c r="J861" i="11"/>
  <c r="I864" i="6" s="1"/>
  <c r="J862" i="11"/>
  <c r="I865" i="6" s="1"/>
  <c r="J863" i="11"/>
  <c r="I866" i="6" s="1"/>
  <c r="J864" i="11"/>
  <c r="I867" i="6" s="1"/>
  <c r="J865" i="11"/>
  <c r="I868" i="6" s="1"/>
  <c r="J866" i="11"/>
  <c r="I869" i="6" s="1"/>
  <c r="J867" i="11"/>
  <c r="I870" i="6" s="1"/>
  <c r="J868" i="11"/>
  <c r="I871" i="6" s="1"/>
  <c r="J869" i="11"/>
  <c r="I872" i="6" s="1"/>
  <c r="J870" i="11"/>
  <c r="I873" i="6" s="1"/>
  <c r="J871" i="11"/>
  <c r="I874" i="6" s="1"/>
  <c r="J872" i="11"/>
  <c r="I875" i="6" s="1"/>
  <c r="J873" i="11"/>
  <c r="I876" i="6" s="1"/>
  <c r="J874" i="11"/>
  <c r="I877" i="6" s="1"/>
  <c r="J875" i="11"/>
  <c r="I878" i="6" s="1"/>
  <c r="J876" i="11"/>
  <c r="I879" i="6" s="1"/>
  <c r="J877" i="11"/>
  <c r="I880" i="6" s="1"/>
  <c r="J878" i="11"/>
  <c r="I881" i="6" s="1"/>
  <c r="J879" i="11"/>
  <c r="I882" i="6" s="1"/>
  <c r="J880" i="11"/>
  <c r="I883" i="6" s="1"/>
  <c r="J881" i="11"/>
  <c r="I884" i="6" s="1"/>
  <c r="J882" i="11"/>
  <c r="I885" i="6" s="1"/>
  <c r="J883" i="11"/>
  <c r="I886" i="6" s="1"/>
  <c r="J884" i="11"/>
  <c r="I887" i="6" s="1"/>
  <c r="J885" i="11"/>
  <c r="I888" i="6" s="1"/>
  <c r="J886" i="11"/>
  <c r="I889" i="6" s="1"/>
  <c r="J887" i="11"/>
  <c r="I890" i="6" s="1"/>
  <c r="J888" i="11"/>
  <c r="I891" i="6" s="1"/>
  <c r="J889" i="11"/>
  <c r="I892" i="6" s="1"/>
  <c r="J890" i="11"/>
  <c r="I893" i="6" s="1"/>
  <c r="J891" i="11"/>
  <c r="I894" i="6" s="1"/>
  <c r="J892" i="11"/>
  <c r="I895" i="6" s="1"/>
  <c r="J893" i="11"/>
  <c r="I896" i="6" s="1"/>
  <c r="J894" i="11"/>
  <c r="I897" i="6" s="1"/>
  <c r="J895" i="11"/>
  <c r="I898" i="6" s="1"/>
  <c r="J896" i="11"/>
  <c r="I899" i="6" s="1"/>
  <c r="J897" i="11"/>
  <c r="I900" i="6" s="1"/>
  <c r="J898" i="11"/>
  <c r="I901" i="6" s="1"/>
  <c r="J899" i="11"/>
  <c r="I902" i="6" s="1"/>
  <c r="J900" i="11"/>
  <c r="I903" i="6" s="1"/>
  <c r="J901" i="11"/>
  <c r="I904" i="6" s="1"/>
  <c r="J902" i="11"/>
  <c r="I905" i="6" s="1"/>
  <c r="J903" i="11"/>
  <c r="I906" i="6" s="1"/>
  <c r="J904" i="11"/>
  <c r="I907" i="6" s="1"/>
  <c r="J905" i="11"/>
  <c r="I908" i="6" s="1"/>
  <c r="J906" i="11"/>
  <c r="I909" i="6" s="1"/>
  <c r="J907" i="11"/>
  <c r="I910" i="6" s="1"/>
  <c r="J908" i="11"/>
  <c r="I911" i="6" s="1"/>
  <c r="J909" i="11"/>
  <c r="I912" i="6" s="1"/>
  <c r="J910" i="11"/>
  <c r="I913" i="6" s="1"/>
  <c r="J911" i="11"/>
  <c r="I914" i="6" s="1"/>
  <c r="J912" i="11"/>
  <c r="I915" i="6" s="1"/>
  <c r="J913" i="11"/>
  <c r="I916" i="6" s="1"/>
  <c r="J914" i="11"/>
  <c r="I917" i="6" s="1"/>
  <c r="J915" i="11"/>
  <c r="I918" i="6" s="1"/>
  <c r="J916" i="11"/>
  <c r="I919" i="6" s="1"/>
  <c r="J917" i="11"/>
  <c r="I920" i="6" s="1"/>
  <c r="J918" i="11"/>
  <c r="I921" i="6" s="1"/>
  <c r="J919" i="11"/>
  <c r="I922" i="6" s="1"/>
  <c r="J920" i="11"/>
  <c r="I923" i="6" s="1"/>
  <c r="J921" i="11"/>
  <c r="I924" i="6" s="1"/>
  <c r="J922" i="11"/>
  <c r="I925" i="6" s="1"/>
  <c r="J923" i="11"/>
  <c r="I926" i="6" s="1"/>
  <c r="J924" i="11"/>
  <c r="I927" i="6" s="1"/>
  <c r="J925" i="11"/>
  <c r="I928" i="6" s="1"/>
  <c r="J926" i="11"/>
  <c r="I929" i="6" s="1"/>
  <c r="J927" i="11"/>
  <c r="I930" i="6" s="1"/>
  <c r="J928" i="11"/>
  <c r="I931" i="6" s="1"/>
  <c r="J929" i="11"/>
  <c r="I932" i="6" s="1"/>
  <c r="J930" i="11"/>
  <c r="I933" i="6" s="1"/>
  <c r="J931" i="11"/>
  <c r="I934" i="6" s="1"/>
  <c r="J932" i="11"/>
  <c r="I935" i="6" s="1"/>
  <c r="J933" i="11"/>
  <c r="I936" i="6" s="1"/>
  <c r="J934" i="11"/>
  <c r="I937" i="6" s="1"/>
  <c r="J935" i="11"/>
  <c r="I938" i="6" s="1"/>
  <c r="J936" i="11"/>
  <c r="I939" i="6" s="1"/>
  <c r="J937" i="11"/>
  <c r="I940" i="6" s="1"/>
  <c r="J938" i="11"/>
  <c r="I941" i="6" s="1"/>
  <c r="J939" i="11"/>
  <c r="I942" i="6" s="1"/>
  <c r="J940" i="11"/>
  <c r="I943" i="6" s="1"/>
  <c r="J941" i="11"/>
  <c r="I944" i="6" s="1"/>
  <c r="J942" i="11"/>
  <c r="I945" i="6" s="1"/>
  <c r="J943" i="11"/>
  <c r="I946" i="6" s="1"/>
  <c r="J944" i="11"/>
  <c r="I947" i="6" s="1"/>
  <c r="J945" i="11"/>
  <c r="I948" i="6" s="1"/>
  <c r="J946" i="11"/>
  <c r="I949" i="6" s="1"/>
  <c r="J947" i="11"/>
  <c r="I950" i="6" s="1"/>
  <c r="J948" i="11"/>
  <c r="I951" i="6" s="1"/>
  <c r="J949" i="11"/>
  <c r="I952" i="6" s="1"/>
  <c r="J950" i="11"/>
  <c r="I953" i="6" s="1"/>
  <c r="J951" i="11"/>
  <c r="I954" i="6" s="1"/>
  <c r="J952" i="11"/>
  <c r="I955" i="6" s="1"/>
  <c r="J953" i="11"/>
  <c r="I956" i="6" s="1"/>
  <c r="J954" i="11"/>
  <c r="I957" i="6" s="1"/>
  <c r="J955" i="11"/>
  <c r="I958" i="6" s="1"/>
  <c r="J956" i="11"/>
  <c r="I959" i="6" s="1"/>
  <c r="J957" i="11"/>
  <c r="I960" i="6" s="1"/>
  <c r="J958" i="11"/>
  <c r="I961" i="6" s="1"/>
  <c r="J959" i="11"/>
  <c r="I962" i="6" s="1"/>
  <c r="J960" i="11"/>
  <c r="I963" i="6" s="1"/>
  <c r="J961" i="11"/>
  <c r="I964" i="6" s="1"/>
  <c r="J962" i="11"/>
  <c r="I965" i="6" s="1"/>
  <c r="J963" i="11"/>
  <c r="I966" i="6" s="1"/>
  <c r="J964" i="11"/>
  <c r="I967" i="6" s="1"/>
  <c r="J965" i="11"/>
  <c r="I968" i="6" s="1"/>
  <c r="J966" i="11"/>
  <c r="I969" i="6" s="1"/>
  <c r="J967" i="11"/>
  <c r="I970" i="6" s="1"/>
  <c r="J968" i="11"/>
  <c r="I971" i="6" s="1"/>
  <c r="J969" i="11"/>
  <c r="I972" i="6" s="1"/>
  <c r="J970" i="11"/>
  <c r="I973" i="6" s="1"/>
  <c r="J971" i="11"/>
  <c r="I974" i="6" s="1"/>
  <c r="J972" i="11"/>
  <c r="I975" i="6" s="1"/>
  <c r="J973" i="11"/>
  <c r="I976" i="6" s="1"/>
  <c r="J974" i="11"/>
  <c r="I977" i="6" s="1"/>
  <c r="J975" i="11"/>
  <c r="I978" i="6" s="1"/>
  <c r="J976" i="11"/>
  <c r="I979" i="6" s="1"/>
  <c r="J977" i="11"/>
  <c r="I980" i="6" s="1"/>
  <c r="J978" i="11"/>
  <c r="I981" i="6" s="1"/>
  <c r="J979" i="11"/>
  <c r="I982" i="6" s="1"/>
  <c r="J980" i="11"/>
  <c r="I983" i="6" s="1"/>
  <c r="J981" i="11"/>
  <c r="I984" i="6" s="1"/>
  <c r="J982" i="11"/>
  <c r="I985" i="6" s="1"/>
  <c r="J983" i="11"/>
  <c r="I986" i="6" s="1"/>
  <c r="J984" i="11"/>
  <c r="I987" i="6" s="1"/>
  <c r="J985" i="11"/>
  <c r="I988" i="6" s="1"/>
  <c r="J986" i="11"/>
  <c r="I989" i="6" s="1"/>
  <c r="J987" i="11"/>
  <c r="I990" i="6" s="1"/>
  <c r="J988" i="11"/>
  <c r="I991" i="6" s="1"/>
  <c r="J989" i="11"/>
  <c r="I992" i="6" s="1"/>
  <c r="J990" i="11"/>
  <c r="I993" i="6" s="1"/>
  <c r="J991" i="11"/>
  <c r="I994" i="6" s="1"/>
  <c r="J992" i="11"/>
  <c r="I995" i="6" s="1"/>
  <c r="J993" i="11"/>
  <c r="I996" i="6" s="1"/>
  <c r="J994" i="11"/>
  <c r="I997" i="6" s="1"/>
  <c r="J995" i="11"/>
  <c r="I998" i="6" s="1"/>
  <c r="J996" i="11"/>
  <c r="I999" i="6" s="1"/>
  <c r="J997" i="11"/>
  <c r="I1000" i="6" s="1"/>
  <c r="J998" i="11"/>
  <c r="I1001" i="6" s="1"/>
  <c r="J999" i="11"/>
  <c r="I1002" i="6" s="1"/>
  <c r="J1000" i="11"/>
  <c r="I1003" i="6" s="1"/>
  <c r="J1001" i="11"/>
  <c r="I1004" i="6" s="1"/>
  <c r="J1002" i="11"/>
  <c r="I1005" i="6" s="1"/>
  <c r="J1003" i="11"/>
  <c r="I1006" i="6" s="1"/>
  <c r="J1004" i="11"/>
  <c r="I1007" i="6" s="1"/>
  <c r="J1005" i="11"/>
  <c r="I1008" i="6" s="1"/>
  <c r="J1006" i="11"/>
  <c r="I1009" i="6" s="1"/>
  <c r="J1007" i="11"/>
  <c r="I1010" i="6" s="1"/>
  <c r="J1008" i="11"/>
  <c r="I1011" i="6" s="1"/>
  <c r="J1009" i="11"/>
  <c r="I1012" i="6" s="1"/>
  <c r="P9" i="11"/>
  <c r="H9" i="11"/>
  <c r="P8" i="11"/>
  <c r="M8" i="11"/>
  <c r="E8" i="11"/>
  <c r="J11" i="11"/>
  <c r="I14" i="6" s="1"/>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T362" i="6" s="1"/>
  <c r="C363" i="6"/>
  <c r="C364" i="6"/>
  <c r="C365" i="6"/>
  <c r="C366" i="6"/>
  <c r="Z366" i="6" s="1"/>
  <c r="C367" i="6"/>
  <c r="C368" i="6"/>
  <c r="C369" i="6"/>
  <c r="C370" i="6"/>
  <c r="U370" i="6" s="1"/>
  <c r="C371" i="6"/>
  <c r="C372" i="6"/>
  <c r="C373" i="6"/>
  <c r="C374" i="6"/>
  <c r="T374" i="6" s="1"/>
  <c r="C375" i="6"/>
  <c r="C376" i="6"/>
  <c r="C377" i="6"/>
  <c r="C378" i="6"/>
  <c r="U378" i="6" s="1"/>
  <c r="C379" i="6"/>
  <c r="C380" i="6"/>
  <c r="C381" i="6"/>
  <c r="C382" i="6"/>
  <c r="Z382" i="6" s="1"/>
  <c r="C383" i="6"/>
  <c r="T383" i="6" s="1"/>
  <c r="C384" i="6"/>
  <c r="C385" i="6"/>
  <c r="C386" i="6"/>
  <c r="Z386" i="6" s="1"/>
  <c r="C387" i="6"/>
  <c r="U387" i="6" s="1"/>
  <c r="C388" i="6"/>
  <c r="C389" i="6"/>
  <c r="C390" i="6"/>
  <c r="T390" i="6" s="1"/>
  <c r="C391" i="6"/>
  <c r="U391" i="6" s="1"/>
  <c r="C392" i="6"/>
  <c r="C393" i="6"/>
  <c r="C394" i="6"/>
  <c r="Z394" i="6" s="1"/>
  <c r="C395" i="6"/>
  <c r="U395" i="6" s="1"/>
  <c r="C396" i="6"/>
  <c r="Z396" i="6" s="1"/>
  <c r="C397" i="6"/>
  <c r="C398" i="6"/>
  <c r="Z398" i="6" s="1"/>
  <c r="C399" i="6"/>
  <c r="T399" i="6" s="1"/>
  <c r="C400" i="6"/>
  <c r="C401" i="6"/>
  <c r="C402" i="6"/>
  <c r="Z402" i="6" s="1"/>
  <c r="C403" i="6"/>
  <c r="U403" i="6" s="1"/>
  <c r="C404" i="6"/>
  <c r="C405" i="6"/>
  <c r="C406" i="6"/>
  <c r="T406" i="6" s="1"/>
  <c r="C407" i="6"/>
  <c r="U407" i="6" s="1"/>
  <c r="C408" i="6"/>
  <c r="C409" i="6"/>
  <c r="C410" i="6"/>
  <c r="T410" i="6" s="1"/>
  <c r="C411" i="6"/>
  <c r="U411" i="6" s="1"/>
  <c r="C412" i="6"/>
  <c r="C413" i="6"/>
  <c r="C414" i="6"/>
  <c r="Z414" i="6" s="1"/>
  <c r="C415" i="6"/>
  <c r="T415" i="6" s="1"/>
  <c r="C416" i="6"/>
  <c r="C417" i="6"/>
  <c r="C418" i="6"/>
  <c r="Z418" i="6" s="1"/>
  <c r="C419" i="6"/>
  <c r="U419" i="6" s="1"/>
  <c r="C420" i="6"/>
  <c r="C421" i="6"/>
  <c r="C422" i="6"/>
  <c r="T422" i="6" s="1"/>
  <c r="C423" i="6"/>
  <c r="U423" i="6" s="1"/>
  <c r="C424" i="6"/>
  <c r="C425" i="6"/>
  <c r="C426" i="6"/>
  <c r="T426" i="6" s="1"/>
  <c r="C427" i="6"/>
  <c r="T427" i="6" s="1"/>
  <c r="C428" i="6"/>
  <c r="C429" i="6"/>
  <c r="C430" i="6"/>
  <c r="Z430" i="6" s="1"/>
  <c r="C431" i="6"/>
  <c r="T431" i="6" s="1"/>
  <c r="C432" i="6"/>
  <c r="C433" i="6"/>
  <c r="C434" i="6"/>
  <c r="U434" i="6" s="1"/>
  <c r="C435" i="6"/>
  <c r="U435" i="6" s="1"/>
  <c r="C436" i="6"/>
  <c r="C437" i="6"/>
  <c r="C438" i="6"/>
  <c r="T438" i="6" s="1"/>
  <c r="C439" i="6"/>
  <c r="T439" i="6" s="1"/>
  <c r="C440" i="6"/>
  <c r="T440" i="6" s="1"/>
  <c r="C441" i="6"/>
  <c r="C442" i="6"/>
  <c r="U442" i="6" s="1"/>
  <c r="C443" i="6"/>
  <c r="T443" i="6" s="1"/>
  <c r="C444" i="6"/>
  <c r="C445" i="6"/>
  <c r="C446" i="6"/>
  <c r="Z446" i="6" s="1"/>
  <c r="C447" i="6"/>
  <c r="T447" i="6" s="1"/>
  <c r="C448" i="6"/>
  <c r="C449" i="6"/>
  <c r="C450" i="6"/>
  <c r="Z450" i="6" s="1"/>
  <c r="C451" i="6"/>
  <c r="U451" i="6" s="1"/>
  <c r="C452" i="6"/>
  <c r="C453" i="6"/>
  <c r="C454" i="6"/>
  <c r="T454" i="6" s="1"/>
  <c r="C455" i="6"/>
  <c r="U455" i="6" s="1"/>
  <c r="C456" i="6"/>
  <c r="C457" i="6"/>
  <c r="C458" i="6"/>
  <c r="Z458" i="6" s="1"/>
  <c r="C459" i="6"/>
  <c r="T459" i="6" s="1"/>
  <c r="C460" i="6"/>
  <c r="C461" i="6"/>
  <c r="C462" i="6"/>
  <c r="Z462" i="6" s="1"/>
  <c r="C463" i="6"/>
  <c r="T463" i="6" s="1"/>
  <c r="C464" i="6"/>
  <c r="C465" i="6"/>
  <c r="C466" i="6"/>
  <c r="Z466" i="6" s="1"/>
  <c r="C467" i="6"/>
  <c r="U467" i="6" s="1"/>
  <c r="C468" i="6"/>
  <c r="C469" i="6"/>
  <c r="C470" i="6"/>
  <c r="T470" i="6" s="1"/>
  <c r="C471" i="6"/>
  <c r="U471" i="6" s="1"/>
  <c r="C472" i="6"/>
  <c r="C473" i="6"/>
  <c r="C474" i="6"/>
  <c r="Z474" i="6" s="1"/>
  <c r="C475" i="6"/>
  <c r="U475" i="6" s="1"/>
  <c r="C476" i="6"/>
  <c r="C477" i="6"/>
  <c r="C478" i="6"/>
  <c r="Z478" i="6" s="1"/>
  <c r="C479" i="6"/>
  <c r="T479" i="6" s="1"/>
  <c r="C480" i="6"/>
  <c r="C481" i="6"/>
  <c r="C482" i="6"/>
  <c r="T482" i="6" s="1"/>
  <c r="C483" i="6"/>
  <c r="U483" i="6" s="1"/>
  <c r="C484" i="6"/>
  <c r="C485" i="6"/>
  <c r="C486" i="6"/>
  <c r="T486" i="6" s="1"/>
  <c r="C487" i="6"/>
  <c r="U487" i="6" s="1"/>
  <c r="C488" i="6"/>
  <c r="C489" i="6"/>
  <c r="C490" i="6"/>
  <c r="T490" i="6" s="1"/>
  <c r="C491" i="6"/>
  <c r="T491" i="6" s="1"/>
  <c r="C492" i="6"/>
  <c r="C493" i="6"/>
  <c r="C494" i="6"/>
  <c r="Z494" i="6" s="1"/>
  <c r="C495" i="6"/>
  <c r="T495" i="6" s="1"/>
  <c r="C496" i="6"/>
  <c r="C497" i="6"/>
  <c r="C498" i="6"/>
  <c r="U498" i="6" s="1"/>
  <c r="C499" i="6"/>
  <c r="U499" i="6" s="1"/>
  <c r="C500" i="6"/>
  <c r="Z500" i="6" s="1"/>
  <c r="C501" i="6"/>
  <c r="C502" i="6"/>
  <c r="T502" i="6" s="1"/>
  <c r="C503" i="6"/>
  <c r="T503" i="6" s="1"/>
  <c r="C504" i="6"/>
  <c r="C505" i="6"/>
  <c r="C506" i="6"/>
  <c r="U506" i="6" s="1"/>
  <c r="C507" i="6"/>
  <c r="U507" i="6" s="1"/>
  <c r="C508" i="6"/>
  <c r="C509" i="6"/>
  <c r="C510" i="6"/>
  <c r="Z510" i="6" s="1"/>
  <c r="C511" i="6"/>
  <c r="T511" i="6" s="1"/>
  <c r="C512" i="6"/>
  <c r="C513" i="6"/>
  <c r="C514" i="6"/>
  <c r="T514" i="6" s="1"/>
  <c r="C515" i="6"/>
  <c r="U515" i="6" s="1"/>
  <c r="C516" i="6"/>
  <c r="C517" i="6"/>
  <c r="C518" i="6"/>
  <c r="Z518" i="6" s="1"/>
  <c r="C519" i="6"/>
  <c r="Y519" i="6" s="1"/>
  <c r="C520" i="6"/>
  <c r="C521" i="6"/>
  <c r="C522" i="6"/>
  <c r="T522" i="6" s="1"/>
  <c r="C523" i="6"/>
  <c r="Y523" i="6" s="1"/>
  <c r="C524" i="6"/>
  <c r="C525" i="6"/>
  <c r="C526" i="6"/>
  <c r="T526" i="6" s="1"/>
  <c r="C527" i="6"/>
  <c r="Y527" i="6" s="1"/>
  <c r="C528" i="6"/>
  <c r="C529" i="6"/>
  <c r="C530" i="6"/>
  <c r="T530" i="6" s="1"/>
  <c r="C531" i="6"/>
  <c r="Y531" i="6" s="1"/>
  <c r="C532" i="6"/>
  <c r="C533" i="6"/>
  <c r="C534" i="6"/>
  <c r="Y534" i="6" s="1"/>
  <c r="C535" i="6"/>
  <c r="Y535" i="6" s="1"/>
  <c r="C536" i="6"/>
  <c r="C537" i="6"/>
  <c r="C538" i="6"/>
  <c r="Z538" i="6" s="1"/>
  <c r="C539" i="6"/>
  <c r="Y539" i="6" s="1"/>
  <c r="C540" i="6"/>
  <c r="C541" i="6"/>
  <c r="C542" i="6"/>
  <c r="T542" i="6" s="1"/>
  <c r="C543" i="6"/>
  <c r="Y543" i="6" s="1"/>
  <c r="C544" i="6"/>
  <c r="T544" i="6" s="1"/>
  <c r="C545" i="6"/>
  <c r="C546" i="6"/>
  <c r="T546" i="6" s="1"/>
  <c r="C547" i="6"/>
  <c r="Y547" i="6" s="1"/>
  <c r="C548" i="6"/>
  <c r="C549" i="6"/>
  <c r="C550" i="6"/>
  <c r="Y550" i="6" s="1"/>
  <c r="C551" i="6"/>
  <c r="Y551" i="6" s="1"/>
  <c r="C552" i="6"/>
  <c r="C553" i="6"/>
  <c r="C554" i="6"/>
  <c r="Z554" i="6" s="1"/>
  <c r="C555" i="6"/>
  <c r="Y555" i="6" s="1"/>
  <c r="C556" i="6"/>
  <c r="C557" i="6"/>
  <c r="C558" i="6"/>
  <c r="T558" i="6" s="1"/>
  <c r="C559" i="6"/>
  <c r="Y559" i="6" s="1"/>
  <c r="C560" i="6"/>
  <c r="C561" i="6"/>
  <c r="C562" i="6"/>
  <c r="Y562" i="6" s="1"/>
  <c r="C563" i="6"/>
  <c r="Y563" i="6" s="1"/>
  <c r="C564" i="6"/>
  <c r="C565" i="6"/>
  <c r="C566" i="6"/>
  <c r="Z566" i="6" s="1"/>
  <c r="C567" i="6"/>
  <c r="Y567" i="6" s="1"/>
  <c r="C568" i="6"/>
  <c r="U568" i="6" s="1"/>
  <c r="C569" i="6"/>
  <c r="C570" i="6"/>
  <c r="T570" i="6" s="1"/>
  <c r="C571" i="6"/>
  <c r="Y571" i="6" s="1"/>
  <c r="C572" i="6"/>
  <c r="C573" i="6"/>
  <c r="C574" i="6"/>
  <c r="Y574" i="6" s="1"/>
  <c r="C575" i="6"/>
  <c r="Y575" i="6" s="1"/>
  <c r="C576" i="6"/>
  <c r="C577" i="6"/>
  <c r="C578" i="6"/>
  <c r="T578" i="6" s="1"/>
  <c r="C579" i="6"/>
  <c r="Y579" i="6" s="1"/>
  <c r="C580" i="6"/>
  <c r="Y580" i="6" s="1"/>
  <c r="C581" i="6"/>
  <c r="C582" i="6"/>
  <c r="Z582" i="6" s="1"/>
  <c r="C583" i="6"/>
  <c r="Y583" i="6" s="1"/>
  <c r="C584" i="6"/>
  <c r="C585" i="6"/>
  <c r="C586" i="6"/>
  <c r="T586" i="6" s="1"/>
  <c r="C587" i="6"/>
  <c r="Y587" i="6" s="1"/>
  <c r="C588" i="6"/>
  <c r="C589" i="6"/>
  <c r="C590" i="6"/>
  <c r="T590" i="6" s="1"/>
  <c r="C591" i="6"/>
  <c r="Y591" i="6" s="1"/>
  <c r="C592" i="6"/>
  <c r="C593" i="6"/>
  <c r="C594" i="6"/>
  <c r="T594" i="6" s="1"/>
  <c r="C595" i="6"/>
  <c r="Y595" i="6" s="1"/>
  <c r="C596" i="6"/>
  <c r="Z596" i="6" s="1"/>
  <c r="C597" i="6"/>
  <c r="C598" i="6"/>
  <c r="T598" i="6" s="1"/>
  <c r="C599" i="6"/>
  <c r="Y599" i="6" s="1"/>
  <c r="C600" i="6"/>
  <c r="C601" i="6"/>
  <c r="C602" i="6"/>
  <c r="T602" i="6" s="1"/>
  <c r="C603" i="6"/>
  <c r="Z603" i="6" s="1"/>
  <c r="C604" i="6"/>
  <c r="C605" i="6"/>
  <c r="C606" i="6"/>
  <c r="T606" i="6" s="1"/>
  <c r="C607" i="6"/>
  <c r="Z607" i="6" s="1"/>
  <c r="C608" i="6"/>
  <c r="C609" i="6"/>
  <c r="C610" i="6"/>
  <c r="Z610" i="6" s="1"/>
  <c r="C611" i="6"/>
  <c r="Z611" i="6" s="1"/>
  <c r="C612" i="6"/>
  <c r="C613" i="6"/>
  <c r="C614" i="6"/>
  <c r="T614" i="6" s="1"/>
  <c r="C615" i="6"/>
  <c r="Z615" i="6" s="1"/>
  <c r="C616" i="6"/>
  <c r="C617" i="6"/>
  <c r="C618" i="6"/>
  <c r="T618" i="6" s="1"/>
  <c r="C619" i="6"/>
  <c r="Z619" i="6" s="1"/>
  <c r="C620" i="6"/>
  <c r="C621" i="6"/>
  <c r="C622" i="6"/>
  <c r="T622" i="6" s="1"/>
  <c r="C623" i="6"/>
  <c r="Z623" i="6" s="1"/>
  <c r="C624" i="6"/>
  <c r="C625" i="6"/>
  <c r="C626" i="6"/>
  <c r="Y626" i="6" s="1"/>
  <c r="C627" i="6"/>
  <c r="Z627" i="6" s="1"/>
  <c r="C628" i="6"/>
  <c r="C629" i="6"/>
  <c r="C630" i="6"/>
  <c r="T630" i="6" s="1"/>
  <c r="C631" i="6"/>
  <c r="Z631" i="6" s="1"/>
  <c r="C632" i="6"/>
  <c r="C633" i="6"/>
  <c r="C634" i="6"/>
  <c r="T634" i="6" s="1"/>
  <c r="C635" i="6"/>
  <c r="Z635" i="6" s="1"/>
  <c r="C636" i="6"/>
  <c r="C637" i="6"/>
  <c r="C638" i="6"/>
  <c r="Y638" i="6" s="1"/>
  <c r="C639" i="6"/>
  <c r="Z639" i="6" s="1"/>
  <c r="C640" i="6"/>
  <c r="C641" i="6"/>
  <c r="C642" i="6"/>
  <c r="Y642" i="6" s="1"/>
  <c r="C643" i="6"/>
  <c r="Z643" i="6" s="1"/>
  <c r="C644" i="6"/>
  <c r="U644" i="6" s="1"/>
  <c r="C645" i="6"/>
  <c r="C646" i="6"/>
  <c r="T646" i="6" s="1"/>
  <c r="C647" i="6"/>
  <c r="Z647" i="6" s="1"/>
  <c r="C648" i="6"/>
  <c r="C649" i="6"/>
  <c r="C650" i="6"/>
  <c r="Y650" i="6" s="1"/>
  <c r="C651" i="6"/>
  <c r="Z651" i="6" s="1"/>
  <c r="C652" i="6"/>
  <c r="C653" i="6"/>
  <c r="C654" i="6"/>
  <c r="T654" i="6" s="1"/>
  <c r="C655" i="6"/>
  <c r="Z655" i="6" s="1"/>
  <c r="C656" i="6"/>
  <c r="C657" i="6"/>
  <c r="C658" i="6"/>
  <c r="Y658" i="6" s="1"/>
  <c r="C659" i="6"/>
  <c r="Z659" i="6" s="1"/>
  <c r="C660" i="6"/>
  <c r="C661" i="6"/>
  <c r="C662" i="6"/>
  <c r="T662" i="6" s="1"/>
  <c r="C663" i="6"/>
  <c r="Z663" i="6" s="1"/>
  <c r="C664" i="6"/>
  <c r="C665" i="6"/>
  <c r="C666" i="6"/>
  <c r="T666" i="6" s="1"/>
  <c r="C667" i="6"/>
  <c r="Z667" i="6" s="1"/>
  <c r="C668" i="6"/>
  <c r="C669" i="6"/>
  <c r="C670" i="6"/>
  <c r="T670" i="6" s="1"/>
  <c r="C671" i="6"/>
  <c r="Z671" i="6" s="1"/>
  <c r="C672" i="6"/>
  <c r="Z672" i="6" s="1"/>
  <c r="C673" i="6"/>
  <c r="C674" i="6"/>
  <c r="Y674" i="6" s="1"/>
  <c r="C675" i="6"/>
  <c r="Z675" i="6" s="1"/>
  <c r="C676" i="6"/>
  <c r="C677" i="6"/>
  <c r="C678" i="6"/>
  <c r="T678" i="6" s="1"/>
  <c r="C679" i="6"/>
  <c r="Z679" i="6" s="1"/>
  <c r="C680" i="6"/>
  <c r="C681" i="6"/>
  <c r="C682" i="6"/>
  <c r="T682" i="6" s="1"/>
  <c r="C683" i="6"/>
  <c r="Z683" i="6" s="1"/>
  <c r="C684" i="6"/>
  <c r="C685" i="6"/>
  <c r="C686" i="6"/>
  <c r="T686" i="6" s="1"/>
  <c r="C687" i="6"/>
  <c r="Z687" i="6" s="1"/>
  <c r="C688" i="6"/>
  <c r="C689" i="6"/>
  <c r="C690" i="6"/>
  <c r="T690" i="6" s="1"/>
  <c r="C691" i="6"/>
  <c r="Z691" i="6" s="1"/>
  <c r="C692" i="6"/>
  <c r="C693" i="6"/>
  <c r="C694" i="6"/>
  <c r="Y694" i="6" s="1"/>
  <c r="C695" i="6"/>
  <c r="Z695" i="6" s="1"/>
  <c r="C696" i="6"/>
  <c r="C697" i="6"/>
  <c r="C698" i="6"/>
  <c r="T698" i="6" s="1"/>
  <c r="C699" i="6"/>
  <c r="Z699" i="6" s="1"/>
  <c r="C700" i="6"/>
  <c r="C701" i="6"/>
  <c r="C702" i="6"/>
  <c r="T702" i="6" s="1"/>
  <c r="C703" i="6"/>
  <c r="Z703" i="6" s="1"/>
  <c r="C704" i="6"/>
  <c r="C705" i="6"/>
  <c r="C706" i="6"/>
  <c r="T706" i="6" s="1"/>
  <c r="C707" i="6"/>
  <c r="Z707" i="6" s="1"/>
  <c r="C708" i="6"/>
  <c r="C709" i="6"/>
  <c r="C710" i="6"/>
  <c r="Y710" i="6" s="1"/>
  <c r="C711" i="6"/>
  <c r="Z711" i="6" s="1"/>
  <c r="C712" i="6"/>
  <c r="C713" i="6"/>
  <c r="C714" i="6"/>
  <c r="U714" i="6" s="1"/>
  <c r="C715" i="6"/>
  <c r="Z715" i="6" s="1"/>
  <c r="C716" i="6"/>
  <c r="C717" i="6"/>
  <c r="C718" i="6"/>
  <c r="U718" i="6" s="1"/>
  <c r="C719" i="6"/>
  <c r="Z719" i="6" s="1"/>
  <c r="C720" i="6"/>
  <c r="C721" i="6"/>
  <c r="C722" i="6"/>
  <c r="U722" i="6" s="1"/>
  <c r="C723" i="6"/>
  <c r="Z723" i="6" s="1"/>
  <c r="C724" i="6"/>
  <c r="C725" i="6"/>
  <c r="C726" i="6"/>
  <c r="U726" i="6" s="1"/>
  <c r="C727" i="6"/>
  <c r="Z727" i="6" s="1"/>
  <c r="C728" i="6"/>
  <c r="C729" i="6"/>
  <c r="C730" i="6"/>
  <c r="U730" i="6" s="1"/>
  <c r="C731" i="6"/>
  <c r="Z731" i="6" s="1"/>
  <c r="C732" i="6"/>
  <c r="Y732" i="6" s="1"/>
  <c r="C733" i="6"/>
  <c r="C734" i="6"/>
  <c r="U734" i="6" s="1"/>
  <c r="C735" i="6"/>
  <c r="Z735" i="6" s="1"/>
  <c r="C736" i="6"/>
  <c r="C737" i="6"/>
  <c r="C738" i="6"/>
  <c r="U738" i="6" s="1"/>
  <c r="C739" i="6"/>
  <c r="Z739" i="6" s="1"/>
  <c r="C740" i="6"/>
  <c r="C741" i="6"/>
  <c r="C742" i="6"/>
  <c r="U742" i="6" s="1"/>
  <c r="C743" i="6"/>
  <c r="Z743" i="6" s="1"/>
  <c r="C744" i="6"/>
  <c r="C745" i="6"/>
  <c r="C746" i="6"/>
  <c r="U746" i="6" s="1"/>
  <c r="C747" i="6"/>
  <c r="Z747" i="6" s="1"/>
  <c r="C748" i="6"/>
  <c r="C749" i="6"/>
  <c r="C750" i="6"/>
  <c r="U750" i="6" s="1"/>
  <c r="C751" i="6"/>
  <c r="Z751" i="6" s="1"/>
  <c r="C752" i="6"/>
  <c r="C753" i="6"/>
  <c r="U753" i="6" s="1"/>
  <c r="C754" i="6"/>
  <c r="U754" i="6" s="1"/>
  <c r="C755" i="6"/>
  <c r="Z755" i="6" s="1"/>
  <c r="C756" i="6"/>
  <c r="C757" i="6"/>
  <c r="U757" i="6" s="1"/>
  <c r="C758" i="6"/>
  <c r="U758" i="6" s="1"/>
  <c r="C759" i="6"/>
  <c r="Z759" i="6" s="1"/>
  <c r="C760" i="6"/>
  <c r="Z760" i="6" s="1"/>
  <c r="C761" i="6"/>
  <c r="U761" i="6" s="1"/>
  <c r="C762" i="6"/>
  <c r="U762" i="6" s="1"/>
  <c r="C763" i="6"/>
  <c r="Z763" i="6" s="1"/>
  <c r="C764" i="6"/>
  <c r="C765" i="6"/>
  <c r="U765" i="6" s="1"/>
  <c r="C766" i="6"/>
  <c r="U766" i="6" s="1"/>
  <c r="C767" i="6"/>
  <c r="Z767" i="6" s="1"/>
  <c r="C768" i="6"/>
  <c r="C769" i="6"/>
  <c r="U769" i="6" s="1"/>
  <c r="C770" i="6"/>
  <c r="U770" i="6" s="1"/>
  <c r="C771" i="6"/>
  <c r="Z771" i="6" s="1"/>
  <c r="C772" i="6"/>
  <c r="C773" i="6"/>
  <c r="U773" i="6" s="1"/>
  <c r="C774" i="6"/>
  <c r="U774" i="6" s="1"/>
  <c r="C775" i="6"/>
  <c r="Z775" i="6" s="1"/>
  <c r="C776" i="6"/>
  <c r="C777" i="6"/>
  <c r="U777" i="6" s="1"/>
  <c r="C778" i="6"/>
  <c r="U778" i="6" s="1"/>
  <c r="C779" i="6"/>
  <c r="Z779" i="6" s="1"/>
  <c r="C780" i="6"/>
  <c r="C781" i="6"/>
  <c r="U781" i="6" s="1"/>
  <c r="C782" i="6"/>
  <c r="U782" i="6" s="1"/>
  <c r="C783" i="6"/>
  <c r="Z783" i="6" s="1"/>
  <c r="C784" i="6"/>
  <c r="C785" i="6"/>
  <c r="U785" i="6" s="1"/>
  <c r="C786" i="6"/>
  <c r="U786" i="6" s="1"/>
  <c r="C787" i="6"/>
  <c r="Z787" i="6" s="1"/>
  <c r="C788" i="6"/>
  <c r="Z788" i="6" s="1"/>
  <c r="C789" i="6"/>
  <c r="U789" i="6" s="1"/>
  <c r="C790" i="6"/>
  <c r="U790" i="6" s="1"/>
  <c r="C791" i="6"/>
  <c r="Z791" i="6" s="1"/>
  <c r="C792" i="6"/>
  <c r="C793" i="6"/>
  <c r="U793" i="6" s="1"/>
  <c r="C794" i="6"/>
  <c r="U794" i="6" s="1"/>
  <c r="C795" i="6"/>
  <c r="Z795" i="6" s="1"/>
  <c r="C796" i="6"/>
  <c r="C797" i="6"/>
  <c r="U797" i="6" s="1"/>
  <c r="C798" i="6"/>
  <c r="U798" i="6" s="1"/>
  <c r="C799" i="6"/>
  <c r="Z799" i="6" s="1"/>
  <c r="C800" i="6"/>
  <c r="C801" i="6"/>
  <c r="U801" i="6" s="1"/>
  <c r="C802" i="6"/>
  <c r="U802" i="6" s="1"/>
  <c r="C803" i="6"/>
  <c r="Z803" i="6" s="1"/>
  <c r="C804" i="6"/>
  <c r="C805" i="6"/>
  <c r="U805" i="6" s="1"/>
  <c r="C806" i="6"/>
  <c r="U806" i="6" s="1"/>
  <c r="C807" i="6"/>
  <c r="Z807" i="6" s="1"/>
  <c r="C808" i="6"/>
  <c r="C809" i="6"/>
  <c r="U809" i="6" s="1"/>
  <c r="C810" i="6"/>
  <c r="U810" i="6" s="1"/>
  <c r="C811" i="6"/>
  <c r="Z811" i="6" s="1"/>
  <c r="C812" i="6"/>
  <c r="C813" i="6"/>
  <c r="U813" i="6" s="1"/>
  <c r="C814" i="6"/>
  <c r="U814" i="6" s="1"/>
  <c r="C815" i="6"/>
  <c r="Z815" i="6" s="1"/>
  <c r="C816" i="6"/>
  <c r="C817" i="6"/>
  <c r="U817" i="6" s="1"/>
  <c r="C818" i="6"/>
  <c r="U818" i="6" s="1"/>
  <c r="C819" i="6"/>
  <c r="Z819" i="6" s="1"/>
  <c r="C820" i="6"/>
  <c r="C821" i="6"/>
  <c r="U821" i="6" s="1"/>
  <c r="C822" i="6"/>
  <c r="U822" i="6" s="1"/>
  <c r="C823" i="6"/>
  <c r="Z823" i="6" s="1"/>
  <c r="C824" i="6"/>
  <c r="C825" i="6"/>
  <c r="U825" i="6" s="1"/>
  <c r="C826" i="6"/>
  <c r="U826" i="6" s="1"/>
  <c r="C827" i="6"/>
  <c r="Z827" i="6" s="1"/>
  <c r="C828" i="6"/>
  <c r="C829" i="6"/>
  <c r="U829" i="6" s="1"/>
  <c r="C830" i="6"/>
  <c r="U830" i="6" s="1"/>
  <c r="C831" i="6"/>
  <c r="Z831" i="6" s="1"/>
  <c r="C832" i="6"/>
  <c r="C833" i="6"/>
  <c r="U833" i="6" s="1"/>
  <c r="C834" i="6"/>
  <c r="U834" i="6" s="1"/>
  <c r="C835" i="6"/>
  <c r="Z835" i="6" s="1"/>
  <c r="C836" i="6"/>
  <c r="C837" i="6"/>
  <c r="U837" i="6" s="1"/>
  <c r="C838" i="6"/>
  <c r="U838" i="6" s="1"/>
  <c r="C839" i="6"/>
  <c r="Z839" i="6" s="1"/>
  <c r="C840" i="6"/>
  <c r="C841" i="6"/>
  <c r="U841" i="6" s="1"/>
  <c r="C842" i="6"/>
  <c r="U842" i="6" s="1"/>
  <c r="C843" i="6"/>
  <c r="Z843" i="6" s="1"/>
  <c r="C844" i="6"/>
  <c r="U844" i="6" s="1"/>
  <c r="C845" i="6"/>
  <c r="U845" i="6" s="1"/>
  <c r="C846" i="6"/>
  <c r="U846" i="6" s="1"/>
  <c r="C847" i="6"/>
  <c r="Z847" i="6" s="1"/>
  <c r="C848" i="6"/>
  <c r="C849" i="6"/>
  <c r="U849" i="6" s="1"/>
  <c r="C850" i="6"/>
  <c r="U850" i="6" s="1"/>
  <c r="C851" i="6"/>
  <c r="Z851" i="6" s="1"/>
  <c r="C852" i="6"/>
  <c r="C853" i="6"/>
  <c r="U853" i="6" s="1"/>
  <c r="C854" i="6"/>
  <c r="U854" i="6" s="1"/>
  <c r="C855" i="6"/>
  <c r="Z855" i="6" s="1"/>
  <c r="C856" i="6"/>
  <c r="C857" i="6"/>
  <c r="U857" i="6" s="1"/>
  <c r="C858" i="6"/>
  <c r="U858" i="6" s="1"/>
  <c r="C859" i="6"/>
  <c r="Z859" i="6" s="1"/>
  <c r="C860" i="6"/>
  <c r="C861" i="6"/>
  <c r="U861" i="6" s="1"/>
  <c r="C862" i="6"/>
  <c r="U862" i="6" s="1"/>
  <c r="C863" i="6"/>
  <c r="Z863" i="6" s="1"/>
  <c r="C864" i="6"/>
  <c r="C865" i="6"/>
  <c r="U865" i="6" s="1"/>
  <c r="C866" i="6"/>
  <c r="U866" i="6" s="1"/>
  <c r="C867" i="6"/>
  <c r="Z867" i="6" s="1"/>
  <c r="C868" i="6"/>
  <c r="C869" i="6"/>
  <c r="Y869" i="6" s="1"/>
  <c r="C870" i="6"/>
  <c r="U870" i="6" s="1"/>
  <c r="C871" i="6"/>
  <c r="Z871" i="6" s="1"/>
  <c r="C872" i="6"/>
  <c r="T872" i="6" s="1"/>
  <c r="C873" i="6"/>
  <c r="T873" i="6" s="1"/>
  <c r="C874" i="6"/>
  <c r="Y874" i="6" s="1"/>
  <c r="C875" i="6"/>
  <c r="Z875" i="6" s="1"/>
  <c r="C876" i="6"/>
  <c r="C877" i="6"/>
  <c r="U877" i="6" s="1"/>
  <c r="C878" i="6"/>
  <c r="Y878" i="6" s="1"/>
  <c r="C879" i="6"/>
  <c r="Z879" i="6" s="1"/>
  <c r="C880" i="6"/>
  <c r="C881" i="6"/>
  <c r="T881" i="6" s="1"/>
  <c r="C882" i="6"/>
  <c r="U882" i="6" s="1"/>
  <c r="C883" i="6"/>
  <c r="Z883" i="6" s="1"/>
  <c r="C884" i="6"/>
  <c r="C885" i="6"/>
  <c r="T885" i="6" s="1"/>
  <c r="C886" i="6"/>
  <c r="Y886" i="6" s="1"/>
  <c r="C887" i="6"/>
  <c r="Z887" i="6" s="1"/>
  <c r="C888" i="6"/>
  <c r="C889" i="6"/>
  <c r="T889" i="6" s="1"/>
  <c r="C890" i="6"/>
  <c r="U890" i="6" s="1"/>
  <c r="C891" i="6"/>
  <c r="Z891" i="6" s="1"/>
  <c r="C892" i="6"/>
  <c r="C893" i="6"/>
  <c r="Y893" i="6" s="1"/>
  <c r="C894" i="6"/>
  <c r="Y894" i="6" s="1"/>
  <c r="C895" i="6"/>
  <c r="Z895" i="6" s="1"/>
  <c r="C896" i="6"/>
  <c r="C897" i="6"/>
  <c r="U897" i="6" s="1"/>
  <c r="C898" i="6"/>
  <c r="U898" i="6" s="1"/>
  <c r="C899" i="6"/>
  <c r="Z899" i="6" s="1"/>
  <c r="C900" i="6"/>
  <c r="Y900" i="6" s="1"/>
  <c r="C901" i="6"/>
  <c r="T901" i="6" s="1"/>
  <c r="C902" i="6"/>
  <c r="U902" i="6" s="1"/>
  <c r="C903" i="6"/>
  <c r="Z903" i="6" s="1"/>
  <c r="C904" i="6"/>
  <c r="C905" i="6"/>
  <c r="Y905" i="6" s="1"/>
  <c r="C906" i="6"/>
  <c r="U906" i="6" s="1"/>
  <c r="C907" i="6"/>
  <c r="Z907" i="6" s="1"/>
  <c r="C908" i="6"/>
  <c r="C909" i="6"/>
  <c r="U909" i="6" s="1"/>
  <c r="C910" i="6"/>
  <c r="Y910" i="6" s="1"/>
  <c r="C911" i="6"/>
  <c r="Z911" i="6" s="1"/>
  <c r="C912" i="6"/>
  <c r="C913" i="6"/>
  <c r="U913" i="6" s="1"/>
  <c r="C914" i="6"/>
  <c r="U914" i="6" s="1"/>
  <c r="C915" i="6"/>
  <c r="Z915" i="6" s="1"/>
  <c r="C916" i="6"/>
  <c r="C917" i="6"/>
  <c r="Y917" i="6" s="1"/>
  <c r="C918" i="6"/>
  <c r="U918" i="6" s="1"/>
  <c r="C919" i="6"/>
  <c r="Z919" i="6" s="1"/>
  <c r="C920" i="6"/>
  <c r="C921" i="6"/>
  <c r="U921" i="6" s="1"/>
  <c r="C922" i="6"/>
  <c r="Y922" i="6" s="1"/>
  <c r="C923" i="6"/>
  <c r="Z923" i="6" s="1"/>
  <c r="C924" i="6"/>
  <c r="C925" i="6"/>
  <c r="U925" i="6" s="1"/>
  <c r="C926" i="6"/>
  <c r="U926" i="6" s="1"/>
  <c r="C927" i="6"/>
  <c r="Z927" i="6" s="1"/>
  <c r="C928" i="6"/>
  <c r="C929" i="6"/>
  <c r="T929" i="6" s="1"/>
  <c r="C930" i="6"/>
  <c r="U930" i="6" s="1"/>
  <c r="C931" i="6"/>
  <c r="Z931" i="6" s="1"/>
  <c r="C932" i="6"/>
  <c r="C933" i="6"/>
  <c r="Y933" i="6" s="1"/>
  <c r="C934" i="6"/>
  <c r="U934" i="6" s="1"/>
  <c r="C935" i="6"/>
  <c r="Z935" i="6" s="1"/>
  <c r="C936" i="6"/>
  <c r="C937" i="6"/>
  <c r="U937" i="6" s="1"/>
  <c r="C938" i="6"/>
  <c r="Y938" i="6" s="1"/>
  <c r="C939" i="6"/>
  <c r="Z939" i="6" s="1"/>
  <c r="C940" i="6"/>
  <c r="C941" i="6"/>
  <c r="U941" i="6" s="1"/>
  <c r="C942" i="6"/>
  <c r="U942" i="6" s="1"/>
  <c r="C943" i="6"/>
  <c r="Z943" i="6" s="1"/>
  <c r="C944" i="6"/>
  <c r="C945" i="6"/>
  <c r="T945" i="6" s="1"/>
  <c r="C946" i="6"/>
  <c r="U946" i="6" s="1"/>
  <c r="C947" i="6"/>
  <c r="Z947" i="6" s="1"/>
  <c r="C948" i="6"/>
  <c r="C949" i="6"/>
  <c r="Y949" i="6" s="1"/>
  <c r="C950" i="6"/>
  <c r="U950" i="6" s="1"/>
  <c r="C951" i="6"/>
  <c r="Z951" i="6" s="1"/>
  <c r="C952" i="6"/>
  <c r="C953" i="6"/>
  <c r="U953" i="6" s="1"/>
  <c r="C954" i="6"/>
  <c r="Y954" i="6" s="1"/>
  <c r="C955" i="6"/>
  <c r="Z955" i="6" s="1"/>
  <c r="C956" i="6"/>
  <c r="C957" i="6"/>
  <c r="U957" i="6" s="1"/>
  <c r="C958" i="6"/>
  <c r="U958" i="6" s="1"/>
  <c r="C959" i="6"/>
  <c r="Z959" i="6" s="1"/>
  <c r="C960" i="6"/>
  <c r="C961" i="6"/>
  <c r="T961" i="6" s="1"/>
  <c r="C962" i="6"/>
  <c r="U962" i="6" s="1"/>
  <c r="C963" i="6"/>
  <c r="Z963" i="6" s="1"/>
  <c r="C964" i="6"/>
  <c r="C965" i="6"/>
  <c r="Y965" i="6" s="1"/>
  <c r="C966" i="6"/>
  <c r="U966" i="6" s="1"/>
  <c r="C967" i="6"/>
  <c r="Z967" i="6" s="1"/>
  <c r="C968" i="6"/>
  <c r="C969" i="6"/>
  <c r="U969" i="6" s="1"/>
  <c r="C970" i="6"/>
  <c r="Y970" i="6" s="1"/>
  <c r="C971" i="6"/>
  <c r="Z971" i="6" s="1"/>
  <c r="C972" i="6"/>
  <c r="C973" i="6"/>
  <c r="U973" i="6" s="1"/>
  <c r="C974" i="6"/>
  <c r="U974" i="6" s="1"/>
  <c r="C975" i="6"/>
  <c r="Z975" i="6" s="1"/>
  <c r="C976" i="6"/>
  <c r="C977" i="6"/>
  <c r="T977" i="6" s="1"/>
  <c r="C978" i="6"/>
  <c r="U978" i="6" s="1"/>
  <c r="C979" i="6"/>
  <c r="Z979" i="6" s="1"/>
  <c r="C980" i="6"/>
  <c r="C981" i="6"/>
  <c r="Y981" i="6" s="1"/>
  <c r="C982" i="6"/>
  <c r="U982" i="6" s="1"/>
  <c r="C983" i="6"/>
  <c r="Z983" i="6" s="1"/>
  <c r="C984" i="6"/>
  <c r="C985" i="6"/>
  <c r="U985" i="6" s="1"/>
  <c r="C986" i="6"/>
  <c r="Y986" i="6" s="1"/>
  <c r="C987" i="6"/>
  <c r="Z987" i="6" s="1"/>
  <c r="C988" i="6"/>
  <c r="Y988" i="6" s="1"/>
  <c r="C989" i="6"/>
  <c r="U989" i="6" s="1"/>
  <c r="C990" i="6"/>
  <c r="U990" i="6" s="1"/>
  <c r="C991" i="6"/>
  <c r="Z991" i="6" s="1"/>
  <c r="C992" i="6"/>
  <c r="C993" i="6"/>
  <c r="T993" i="6" s="1"/>
  <c r="C994" i="6"/>
  <c r="U994" i="6" s="1"/>
  <c r="C995" i="6"/>
  <c r="Z995" i="6" s="1"/>
  <c r="C996" i="6"/>
  <c r="C997" i="6"/>
  <c r="Y997" i="6" s="1"/>
  <c r="C998" i="6"/>
  <c r="U998" i="6" s="1"/>
  <c r="C999" i="6"/>
  <c r="Z999" i="6" s="1"/>
  <c r="C1000" i="6"/>
  <c r="C1001" i="6"/>
  <c r="U1001" i="6" s="1"/>
  <c r="C1002" i="6"/>
  <c r="Y1002" i="6" s="1"/>
  <c r="C1003" i="6"/>
  <c r="Z1003" i="6" s="1"/>
  <c r="C1004" i="6"/>
  <c r="C1005" i="6"/>
  <c r="U1005" i="6" s="1"/>
  <c r="C1006" i="6"/>
  <c r="U1006" i="6" s="1"/>
  <c r="C1007" i="6"/>
  <c r="Z1007" i="6" s="1"/>
  <c r="C1008" i="6"/>
  <c r="C1009" i="6"/>
  <c r="T1009" i="6" s="1"/>
  <c r="C1010" i="6"/>
  <c r="U1010" i="6" s="1"/>
  <c r="C1011" i="6"/>
  <c r="Z1011" i="6" s="1"/>
  <c r="C1012" i="6"/>
  <c r="C43" i="5"/>
  <c r="T22" i="9" s="1"/>
  <c r="C44" i="5"/>
  <c r="C45" i="5"/>
  <c r="C46" i="5"/>
  <c r="T25" i="9" s="1"/>
  <c r="C47" i="5"/>
  <c r="C13" i="6"/>
  <c r="AD26" i="5"/>
  <c r="AB26" i="5"/>
  <c r="Y26" i="5"/>
  <c r="V26" i="5"/>
  <c r="R26" i="5"/>
  <c r="T26" i="5"/>
  <c r="T987" i="6"/>
  <c r="T955" i="6"/>
  <c r="T951" i="6"/>
  <c r="T939" i="6"/>
  <c r="T935" i="6"/>
  <c r="T923" i="6"/>
  <c r="T919" i="6"/>
  <c r="T907" i="6"/>
  <c r="Y903" i="6"/>
  <c r="T891" i="6"/>
  <c r="Y887" i="6"/>
  <c r="T875" i="6"/>
  <c r="Y871" i="6"/>
  <c r="Y859" i="6"/>
  <c r="Y855" i="6"/>
  <c r="Y843" i="6"/>
  <c r="Y839" i="6"/>
  <c r="Y827" i="6"/>
  <c r="Y823" i="6"/>
  <c r="Y811" i="6"/>
  <c r="Y807" i="6"/>
  <c r="Y795" i="6"/>
  <c r="Y791" i="6"/>
  <c r="Y779" i="6"/>
  <c r="Y775" i="6"/>
  <c r="Y763" i="6"/>
  <c r="Y759" i="6"/>
  <c r="Y755" i="6"/>
  <c r="Y751" i="6"/>
  <c r="Y747" i="6"/>
  <c r="Y743" i="6"/>
  <c r="Y739" i="6"/>
  <c r="Y735" i="6"/>
  <c r="Y731" i="6"/>
  <c r="Y727" i="6"/>
  <c r="Y723" i="6"/>
  <c r="Y719" i="6"/>
  <c r="Y715" i="6"/>
  <c r="T711" i="6"/>
  <c r="T707" i="6"/>
  <c r="U703" i="6"/>
  <c r="T699" i="6"/>
  <c r="T695" i="6"/>
  <c r="T691" i="6"/>
  <c r="U687" i="6"/>
  <c r="U683" i="6"/>
  <c r="T679" i="6"/>
  <c r="T675" i="6"/>
  <c r="T671" i="6"/>
  <c r="U667" i="6"/>
  <c r="T663" i="6"/>
  <c r="T659" i="6"/>
  <c r="T655" i="6"/>
  <c r="U651" i="6"/>
  <c r="T647" i="6"/>
  <c r="U643" i="6"/>
  <c r="T639" i="6"/>
  <c r="U635" i="6"/>
  <c r="U631" i="6"/>
  <c r="T627" i="6"/>
  <c r="T623" i="6"/>
  <c r="U619" i="6"/>
  <c r="T615" i="6"/>
  <c r="T611" i="6"/>
  <c r="T607" i="6"/>
  <c r="U603" i="6"/>
  <c r="Z599" i="6"/>
  <c r="T599" i="6"/>
  <c r="Z595" i="6"/>
  <c r="T595" i="6"/>
  <c r="Z591" i="6"/>
  <c r="U591" i="6"/>
  <c r="Z587" i="6"/>
  <c r="T587" i="6"/>
  <c r="Z583" i="6"/>
  <c r="T583" i="6"/>
  <c r="Z579" i="6"/>
  <c r="T579" i="6"/>
  <c r="Z575" i="6"/>
  <c r="U575" i="6"/>
  <c r="Z571" i="6"/>
  <c r="T571" i="6"/>
  <c r="Z567" i="6"/>
  <c r="U567" i="6"/>
  <c r="Z563" i="6"/>
  <c r="T563" i="6"/>
  <c r="Z559" i="6"/>
  <c r="U559" i="6"/>
  <c r="Z555" i="6"/>
  <c r="U555" i="6"/>
  <c r="Z551" i="6"/>
  <c r="T551" i="6"/>
  <c r="Z547" i="6"/>
  <c r="T547" i="6"/>
  <c r="Z543" i="6"/>
  <c r="U543" i="6"/>
  <c r="Z539" i="6"/>
  <c r="T539" i="6"/>
  <c r="Z535" i="6"/>
  <c r="U535" i="6"/>
  <c r="Z531" i="6"/>
  <c r="T531" i="6"/>
  <c r="Z527" i="6"/>
  <c r="U527" i="6"/>
  <c r="Z523" i="6"/>
  <c r="T523" i="6"/>
  <c r="Z519" i="6"/>
  <c r="U519" i="6"/>
  <c r="Z515" i="6"/>
  <c r="Y515" i="6"/>
  <c r="T515" i="6"/>
  <c r="Z511" i="6"/>
  <c r="Y511" i="6"/>
  <c r="U511" i="6"/>
  <c r="Z507" i="6"/>
  <c r="Y507" i="6"/>
  <c r="T507" i="6"/>
  <c r="Z503" i="6"/>
  <c r="Y503" i="6"/>
  <c r="U503" i="6"/>
  <c r="Z499" i="6"/>
  <c r="Y499" i="6"/>
  <c r="T499" i="6"/>
  <c r="Z495" i="6"/>
  <c r="Y495" i="6"/>
  <c r="U495" i="6"/>
  <c r="Z491" i="6"/>
  <c r="Y491" i="6"/>
  <c r="U491" i="6"/>
  <c r="Z487" i="6"/>
  <c r="Y487" i="6"/>
  <c r="T487" i="6"/>
  <c r="Z483" i="6"/>
  <c r="Y483" i="6"/>
  <c r="T483" i="6"/>
  <c r="Z479" i="6"/>
  <c r="Y479" i="6"/>
  <c r="U479" i="6"/>
  <c r="Z475" i="6"/>
  <c r="Y475" i="6"/>
  <c r="T475" i="6"/>
  <c r="Z471" i="6"/>
  <c r="Y471" i="6"/>
  <c r="T471" i="6"/>
  <c r="Z467" i="6"/>
  <c r="Y467" i="6"/>
  <c r="T467" i="6"/>
  <c r="Z463" i="6"/>
  <c r="Y463" i="6"/>
  <c r="U463" i="6"/>
  <c r="Z459" i="6"/>
  <c r="Y459" i="6"/>
  <c r="U459" i="6"/>
  <c r="Z455" i="6"/>
  <c r="Y455" i="6"/>
  <c r="T455" i="6"/>
  <c r="Z451" i="6"/>
  <c r="Y451" i="6"/>
  <c r="T451" i="6"/>
  <c r="Z447" i="6"/>
  <c r="Y447" i="6"/>
  <c r="U447" i="6"/>
  <c r="Z443" i="6"/>
  <c r="Y443" i="6"/>
  <c r="U443" i="6"/>
  <c r="Z439" i="6"/>
  <c r="Y439" i="6"/>
  <c r="U439" i="6"/>
  <c r="Z435" i="6"/>
  <c r="Y435" i="6"/>
  <c r="T435" i="6"/>
  <c r="Z431" i="6"/>
  <c r="Y431" i="6"/>
  <c r="U431" i="6"/>
  <c r="Z427" i="6"/>
  <c r="Y427" i="6"/>
  <c r="U427" i="6"/>
  <c r="Z423" i="6"/>
  <c r="Y423" i="6"/>
  <c r="T423" i="6"/>
  <c r="Z419" i="6"/>
  <c r="Y419" i="6"/>
  <c r="T419" i="6"/>
  <c r="Z415" i="6"/>
  <c r="Y415" i="6"/>
  <c r="U415" i="6"/>
  <c r="Z411" i="6"/>
  <c r="Y411" i="6"/>
  <c r="T411" i="6"/>
  <c r="Z407" i="6"/>
  <c r="Y407" i="6"/>
  <c r="T407" i="6"/>
  <c r="Z403" i="6"/>
  <c r="Y403" i="6"/>
  <c r="T403" i="6"/>
  <c r="Z399" i="6"/>
  <c r="Y399" i="6"/>
  <c r="U399" i="6"/>
  <c r="Z395" i="6"/>
  <c r="Y395" i="6"/>
  <c r="T395" i="6"/>
  <c r="Z391" i="6"/>
  <c r="Y391" i="6"/>
  <c r="T391" i="6"/>
  <c r="Z387" i="6"/>
  <c r="Y387" i="6"/>
  <c r="T387" i="6"/>
  <c r="Z383" i="6"/>
  <c r="Y383" i="6"/>
  <c r="U383" i="6"/>
  <c r="Z379" i="6"/>
  <c r="Y379" i="6"/>
  <c r="T379" i="6"/>
  <c r="U379" i="6"/>
  <c r="Z375" i="6"/>
  <c r="Y375" i="6"/>
  <c r="U375" i="6"/>
  <c r="T375" i="6"/>
  <c r="Z371" i="6"/>
  <c r="Y371" i="6"/>
  <c r="T371" i="6"/>
  <c r="U371" i="6"/>
  <c r="Z367" i="6"/>
  <c r="Y367" i="6"/>
  <c r="U367" i="6"/>
  <c r="T367" i="6"/>
  <c r="Z363" i="6"/>
  <c r="Y363" i="6"/>
  <c r="U363" i="6"/>
  <c r="T363" i="6"/>
  <c r="Z359" i="6"/>
  <c r="Y359" i="6"/>
  <c r="T359" i="6"/>
  <c r="U359" i="6"/>
  <c r="Z1006" i="6"/>
  <c r="Z998" i="6"/>
  <c r="Y994" i="6"/>
  <c r="T986" i="6"/>
  <c r="Y982" i="6"/>
  <c r="Z974" i="6"/>
  <c r="T970" i="6"/>
  <c r="Y966" i="6"/>
  <c r="Z958" i="6"/>
  <c r="T954" i="6"/>
  <c r="Y950" i="6"/>
  <c r="Z942" i="6"/>
  <c r="T938" i="6"/>
  <c r="Y934" i="6"/>
  <c r="Z926" i="6"/>
  <c r="T922" i="6"/>
  <c r="Y918" i="6"/>
  <c r="Z910" i="6"/>
  <c r="T906" i="6"/>
  <c r="Y902" i="6"/>
  <c r="Z894" i="6"/>
  <c r="T890" i="6"/>
  <c r="U886" i="6"/>
  <c r="Z878" i="6"/>
  <c r="T874" i="6"/>
  <c r="Y870" i="6"/>
  <c r="Z862" i="6"/>
  <c r="T858" i="6"/>
  <c r="Y854" i="6"/>
  <c r="Z846" i="6"/>
  <c r="T842" i="6"/>
  <c r="Y838" i="6"/>
  <c r="Z830" i="6"/>
  <c r="Z826" i="6"/>
  <c r="Y826" i="6"/>
  <c r="T822" i="6"/>
  <c r="Z818" i="6"/>
  <c r="Y818" i="6"/>
  <c r="T814" i="6"/>
  <c r="Z810" i="6"/>
  <c r="Y810" i="6"/>
  <c r="T806" i="6"/>
  <c r="Z802" i="6"/>
  <c r="Y802" i="6"/>
  <c r="T798" i="6"/>
  <c r="Z794" i="6"/>
  <c r="Y794" i="6"/>
  <c r="T790" i="6"/>
  <c r="Z786" i="6"/>
  <c r="Y786" i="6"/>
  <c r="T782" i="6"/>
  <c r="Z778" i="6"/>
  <c r="Y778" i="6"/>
  <c r="T774" i="6"/>
  <c r="Z770" i="6"/>
  <c r="Y770" i="6"/>
  <c r="T766" i="6"/>
  <c r="Z762" i="6"/>
  <c r="Y762" i="6"/>
  <c r="T758" i="6"/>
  <c r="Z754" i="6"/>
  <c r="Y754" i="6"/>
  <c r="T750" i="6"/>
  <c r="Z746" i="6"/>
  <c r="Y746" i="6"/>
  <c r="T742" i="6"/>
  <c r="Z738" i="6"/>
  <c r="Y738" i="6"/>
  <c r="T734" i="6"/>
  <c r="Z730" i="6"/>
  <c r="Y730" i="6"/>
  <c r="T726" i="6"/>
  <c r="Z722" i="6"/>
  <c r="Y722" i="6"/>
  <c r="T718" i="6"/>
  <c r="Z714" i="6"/>
  <c r="Y714" i="6"/>
  <c r="U710" i="6"/>
  <c r="Z706" i="6"/>
  <c r="Y706" i="6"/>
  <c r="U702" i="6"/>
  <c r="Z698" i="6"/>
  <c r="Y698" i="6"/>
  <c r="U694" i="6"/>
  <c r="Z690" i="6"/>
  <c r="Y690" i="6"/>
  <c r="U686" i="6"/>
  <c r="U682" i="6"/>
  <c r="Y682" i="6"/>
  <c r="U678" i="6"/>
  <c r="U674" i="6"/>
  <c r="T674" i="6"/>
  <c r="U670" i="6"/>
  <c r="U666" i="6"/>
  <c r="Y666" i="6"/>
  <c r="U662" i="6"/>
  <c r="Z658" i="6"/>
  <c r="T658" i="6"/>
  <c r="U654" i="6"/>
  <c r="Z650" i="6"/>
  <c r="T650" i="6"/>
  <c r="Z646" i="6"/>
  <c r="Z642" i="6"/>
  <c r="T642" i="6"/>
  <c r="U638" i="6"/>
  <c r="Z634" i="6"/>
  <c r="Y634" i="6"/>
  <c r="U630" i="6"/>
  <c r="Z626" i="6"/>
  <c r="T626" i="6"/>
  <c r="U622" i="6"/>
  <c r="U618" i="6"/>
  <c r="Y618" i="6"/>
  <c r="U614" i="6"/>
  <c r="U610" i="6"/>
  <c r="T610" i="6"/>
  <c r="U606" i="6"/>
  <c r="Z602" i="6"/>
  <c r="Y602" i="6"/>
  <c r="U598" i="6"/>
  <c r="U594" i="6"/>
  <c r="Y594" i="6"/>
  <c r="U590" i="6"/>
  <c r="U586" i="6"/>
  <c r="Y586" i="6"/>
  <c r="Y582" i="6"/>
  <c r="U578" i="6"/>
  <c r="Y578" i="6"/>
  <c r="U574" i="6"/>
  <c r="Z570" i="6"/>
  <c r="Y570" i="6"/>
  <c r="Y566" i="6"/>
  <c r="Z562" i="6"/>
  <c r="T562" i="6"/>
  <c r="U558" i="6"/>
  <c r="U554" i="6"/>
  <c r="Y554" i="6"/>
  <c r="Z550" i="6"/>
  <c r="U546" i="6"/>
  <c r="Y546" i="6"/>
  <c r="U542" i="6"/>
  <c r="U538" i="6"/>
  <c r="Y538" i="6"/>
  <c r="U534" i="6"/>
  <c r="U530" i="6"/>
  <c r="Y530" i="6"/>
  <c r="U526" i="6"/>
  <c r="U522" i="6"/>
  <c r="Y522" i="6"/>
  <c r="Y518" i="6"/>
  <c r="U514" i="6"/>
  <c r="Y514" i="6"/>
  <c r="U510" i="6"/>
  <c r="Z506" i="6"/>
  <c r="Y506" i="6"/>
  <c r="Z502" i="6"/>
  <c r="Z498" i="6"/>
  <c r="T498" i="6"/>
  <c r="U494" i="6"/>
  <c r="U490" i="6"/>
  <c r="Y490" i="6"/>
  <c r="Z486" i="6"/>
  <c r="U482" i="6"/>
  <c r="Y482" i="6"/>
  <c r="U478" i="6"/>
  <c r="U474" i="6"/>
  <c r="Y474" i="6"/>
  <c r="U470" i="6"/>
  <c r="U466" i="6"/>
  <c r="Y466" i="6"/>
  <c r="U462" i="6"/>
  <c r="U458" i="6"/>
  <c r="Y458" i="6"/>
  <c r="Y454" i="6"/>
  <c r="U450" i="6"/>
  <c r="Y450" i="6"/>
  <c r="U446" i="6"/>
  <c r="Z442" i="6"/>
  <c r="Y442" i="6"/>
  <c r="Y438" i="6"/>
  <c r="Z434" i="6"/>
  <c r="T434" i="6"/>
  <c r="U430" i="6"/>
  <c r="U426" i="6"/>
  <c r="Y426" i="6"/>
  <c r="Z422" i="6"/>
  <c r="U418" i="6"/>
  <c r="Y418" i="6"/>
  <c r="U414" i="6"/>
  <c r="U410" i="6"/>
  <c r="Y410" i="6"/>
  <c r="U406" i="6"/>
  <c r="U402" i="6"/>
  <c r="T402" i="6"/>
  <c r="U398" i="6"/>
  <c r="U394" i="6"/>
  <c r="Y394" i="6"/>
  <c r="Y390" i="6"/>
  <c r="U386" i="6"/>
  <c r="T386" i="6"/>
  <c r="U382" i="6"/>
  <c r="Z378" i="6"/>
  <c r="Y378" i="6"/>
  <c r="Z374" i="6"/>
  <c r="Z370" i="6"/>
  <c r="T370" i="6"/>
  <c r="U366" i="6"/>
  <c r="U362" i="6"/>
  <c r="Y362" i="6"/>
  <c r="Y1009" i="6"/>
  <c r="Z1005" i="6"/>
  <c r="Y1005" i="6"/>
  <c r="T1001" i="6"/>
  <c r="Z997" i="6"/>
  <c r="T997" i="6"/>
  <c r="Y993" i="6"/>
  <c r="Z989" i="6"/>
  <c r="Y989" i="6"/>
  <c r="T985" i="6"/>
  <c r="Z981" i="6"/>
  <c r="T981" i="6"/>
  <c r="Y977" i="6"/>
  <c r="Z973" i="6"/>
  <c r="Y973" i="6"/>
  <c r="T969" i="6"/>
  <c r="Z965" i="6"/>
  <c r="T965" i="6"/>
  <c r="Y961" i="6"/>
  <c r="Z957" i="6"/>
  <c r="Y957" i="6"/>
  <c r="T953" i="6"/>
  <c r="Z949" i="6"/>
  <c r="T949" i="6"/>
  <c r="Y945" i="6"/>
  <c r="Z941" i="6"/>
  <c r="Y941" i="6"/>
  <c r="T937" i="6"/>
  <c r="Z933" i="6"/>
  <c r="T933" i="6"/>
  <c r="Y929" i="6"/>
  <c r="Z925" i="6"/>
  <c r="T925" i="6"/>
  <c r="Y925" i="6"/>
  <c r="T921" i="6"/>
  <c r="Y921" i="6"/>
  <c r="Z917" i="6"/>
  <c r="T917" i="6"/>
  <c r="Z913" i="6"/>
  <c r="T913" i="6"/>
  <c r="Z909" i="6"/>
  <c r="T909" i="6"/>
  <c r="Y909" i="6"/>
  <c r="Z905" i="6"/>
  <c r="U905" i="6"/>
  <c r="T905" i="6"/>
  <c r="Z901" i="6"/>
  <c r="Y901" i="6"/>
  <c r="U901" i="6"/>
  <c r="Z897" i="6"/>
  <c r="T897" i="6"/>
  <c r="Y897" i="6"/>
  <c r="Z893" i="6"/>
  <c r="T893" i="6"/>
  <c r="U893" i="6"/>
  <c r="Z889" i="6"/>
  <c r="U889" i="6"/>
  <c r="Y889" i="6"/>
  <c r="Z885" i="6"/>
  <c r="Y885" i="6"/>
  <c r="U885" i="6"/>
  <c r="Z881" i="6"/>
  <c r="Y881" i="6"/>
  <c r="U881" i="6"/>
  <c r="Z877" i="6"/>
  <c r="T877" i="6"/>
  <c r="Y877" i="6"/>
  <c r="Z873" i="6"/>
  <c r="U873" i="6"/>
  <c r="Y873" i="6"/>
  <c r="Z869" i="6"/>
  <c r="T869" i="6"/>
  <c r="U869" i="6"/>
  <c r="Z865" i="6"/>
  <c r="T865" i="6"/>
  <c r="Y865" i="6"/>
  <c r="Z861" i="6"/>
  <c r="T861" i="6"/>
  <c r="Y861" i="6"/>
  <c r="Z857" i="6"/>
  <c r="T857" i="6"/>
  <c r="Y857" i="6"/>
  <c r="Z853" i="6"/>
  <c r="T853" i="6"/>
  <c r="Y853" i="6"/>
  <c r="Z849" i="6"/>
  <c r="T849" i="6"/>
  <c r="Y849" i="6"/>
  <c r="Z845" i="6"/>
  <c r="T845" i="6"/>
  <c r="Y845" i="6"/>
  <c r="Z841" i="6"/>
  <c r="T841" i="6"/>
  <c r="Y841" i="6"/>
  <c r="Z837" i="6"/>
  <c r="T837" i="6"/>
  <c r="Y837" i="6"/>
  <c r="Z833" i="6"/>
  <c r="T833" i="6"/>
  <c r="Y833" i="6"/>
  <c r="Z829" i="6"/>
  <c r="T829" i="6"/>
  <c r="Y829" i="6"/>
  <c r="Z825" i="6"/>
  <c r="T825" i="6"/>
  <c r="Y825" i="6"/>
  <c r="Z821" i="6"/>
  <c r="T821" i="6"/>
  <c r="Y821" i="6"/>
  <c r="Z817" i="6"/>
  <c r="T817" i="6"/>
  <c r="Y817" i="6"/>
  <c r="Z813" i="6"/>
  <c r="T813" i="6"/>
  <c r="Y813" i="6"/>
  <c r="Z809" i="6"/>
  <c r="T809" i="6"/>
  <c r="Y809" i="6"/>
  <c r="Z805" i="6"/>
  <c r="T805" i="6"/>
  <c r="Y805" i="6"/>
  <c r="Z801" i="6"/>
  <c r="T801" i="6"/>
  <c r="Y801" i="6"/>
  <c r="Z797" i="6"/>
  <c r="T797" i="6"/>
  <c r="Y797" i="6"/>
  <c r="Z793" i="6"/>
  <c r="T793" i="6"/>
  <c r="Y793" i="6"/>
  <c r="Z789" i="6"/>
  <c r="T789" i="6"/>
  <c r="Y789" i="6"/>
  <c r="Z785" i="6"/>
  <c r="T785" i="6"/>
  <c r="Y785" i="6"/>
  <c r="Z781" i="6"/>
  <c r="T781" i="6"/>
  <c r="Y781" i="6"/>
  <c r="Z777" i="6"/>
  <c r="T777" i="6"/>
  <c r="Y777" i="6"/>
  <c r="Z773" i="6"/>
  <c r="T773" i="6"/>
  <c r="Y773" i="6"/>
  <c r="Z769" i="6"/>
  <c r="T769" i="6"/>
  <c r="Y769" i="6"/>
  <c r="Z765" i="6"/>
  <c r="T765" i="6"/>
  <c r="Y765" i="6"/>
  <c r="Z761" i="6"/>
  <c r="T761" i="6"/>
  <c r="Y761" i="6"/>
  <c r="Z757" i="6"/>
  <c r="T757" i="6"/>
  <c r="Y757" i="6"/>
  <c r="Z753" i="6"/>
  <c r="T753" i="6"/>
  <c r="Y753" i="6"/>
  <c r="Z749" i="6"/>
  <c r="T749" i="6"/>
  <c r="U749" i="6"/>
  <c r="Y749" i="6"/>
  <c r="Z745" i="6"/>
  <c r="T745" i="6"/>
  <c r="U745" i="6"/>
  <c r="Y745" i="6"/>
  <c r="Z741" i="6"/>
  <c r="T741" i="6"/>
  <c r="U741" i="6"/>
  <c r="Y741" i="6"/>
  <c r="Z737" i="6"/>
  <c r="T737" i="6"/>
  <c r="U737" i="6"/>
  <c r="Y737" i="6"/>
  <c r="Z733" i="6"/>
  <c r="T733" i="6"/>
  <c r="U733" i="6"/>
  <c r="Y733" i="6"/>
  <c r="Z729" i="6"/>
  <c r="T729" i="6"/>
  <c r="U729" i="6"/>
  <c r="Y729" i="6"/>
  <c r="Z725" i="6"/>
  <c r="T725" i="6"/>
  <c r="U725" i="6"/>
  <c r="Y725" i="6"/>
  <c r="Z721" i="6"/>
  <c r="T721" i="6"/>
  <c r="U721" i="6"/>
  <c r="Y721" i="6"/>
  <c r="Z717" i="6"/>
  <c r="T717" i="6"/>
  <c r="U717" i="6"/>
  <c r="Y717" i="6"/>
  <c r="Z713" i="6"/>
  <c r="T713" i="6"/>
  <c r="U713" i="6"/>
  <c r="Y713" i="6"/>
  <c r="T709" i="6"/>
  <c r="Z709" i="6"/>
  <c r="U709" i="6"/>
  <c r="Y709" i="6"/>
  <c r="Z705" i="6"/>
  <c r="T705" i="6"/>
  <c r="U705" i="6"/>
  <c r="Y705" i="6"/>
  <c r="Z701" i="6"/>
  <c r="T701" i="6"/>
  <c r="Y701" i="6"/>
  <c r="U701" i="6"/>
  <c r="Z697" i="6"/>
  <c r="T697" i="6"/>
  <c r="U697" i="6"/>
  <c r="Y697" i="6"/>
  <c r="Z693" i="6"/>
  <c r="T693" i="6"/>
  <c r="U693" i="6"/>
  <c r="Y693" i="6"/>
  <c r="Z689" i="6"/>
  <c r="T689" i="6"/>
  <c r="U689" i="6"/>
  <c r="Y689" i="6"/>
  <c r="Z685" i="6"/>
  <c r="T685" i="6"/>
  <c r="Y685" i="6"/>
  <c r="U685" i="6"/>
  <c r="Z681" i="6"/>
  <c r="T681" i="6"/>
  <c r="Y681" i="6"/>
  <c r="U681" i="6"/>
  <c r="Z677" i="6"/>
  <c r="T677" i="6"/>
  <c r="U677" i="6"/>
  <c r="Y677" i="6"/>
  <c r="Z673" i="6"/>
  <c r="T673" i="6"/>
  <c r="U673" i="6"/>
  <c r="Y673" i="6"/>
  <c r="Z669" i="6"/>
  <c r="T669" i="6"/>
  <c r="U669" i="6"/>
  <c r="Y669" i="6"/>
  <c r="Z665" i="6"/>
  <c r="T665" i="6"/>
  <c r="Y665" i="6"/>
  <c r="U665" i="6"/>
  <c r="T661" i="6"/>
  <c r="Z661" i="6"/>
  <c r="U661" i="6"/>
  <c r="Y661" i="6"/>
  <c r="Z657" i="6"/>
  <c r="T657" i="6"/>
  <c r="Y657" i="6"/>
  <c r="U657" i="6"/>
  <c r="T653" i="6"/>
  <c r="U653" i="6"/>
  <c r="Z653" i="6"/>
  <c r="Y653" i="6"/>
  <c r="Z649" i="6"/>
  <c r="T649" i="6"/>
  <c r="Y649" i="6"/>
  <c r="U649" i="6"/>
  <c r="Z645" i="6"/>
  <c r="T645" i="6"/>
  <c r="Y645" i="6"/>
  <c r="U645" i="6"/>
  <c r="Z641" i="6"/>
  <c r="T641" i="6"/>
  <c r="U641" i="6"/>
  <c r="Y641" i="6"/>
  <c r="T637" i="6"/>
  <c r="Z637" i="6"/>
  <c r="U637" i="6"/>
  <c r="Y637" i="6"/>
  <c r="Z633" i="6"/>
  <c r="T633" i="6"/>
  <c r="Y633" i="6"/>
  <c r="U633" i="6"/>
  <c r="Z629" i="6"/>
  <c r="T629" i="6"/>
  <c r="U629" i="6"/>
  <c r="Y629" i="6"/>
  <c r="T625" i="6"/>
  <c r="Z625" i="6"/>
  <c r="U625" i="6"/>
  <c r="Y625" i="6"/>
  <c r="Z621" i="6"/>
  <c r="T621" i="6"/>
  <c r="U621" i="6"/>
  <c r="Y621" i="6"/>
  <c r="Z617" i="6"/>
  <c r="T617" i="6"/>
  <c r="Y617" i="6"/>
  <c r="U617" i="6"/>
  <c r="Z613" i="6"/>
  <c r="T613" i="6"/>
  <c r="U613" i="6"/>
  <c r="Y613" i="6"/>
  <c r="T609" i="6"/>
  <c r="Z609" i="6"/>
  <c r="U609" i="6"/>
  <c r="Y609" i="6"/>
  <c r="Z605" i="6"/>
  <c r="T605" i="6"/>
  <c r="U605" i="6"/>
  <c r="Y605" i="6"/>
  <c r="Z601" i="6"/>
  <c r="T601" i="6"/>
  <c r="Y601" i="6"/>
  <c r="U601" i="6"/>
  <c r="T597" i="6"/>
  <c r="Z597" i="6"/>
  <c r="U597" i="6"/>
  <c r="Y597" i="6"/>
  <c r="T593" i="6"/>
  <c r="Z593" i="6"/>
  <c r="U593" i="6"/>
  <c r="Y593" i="6"/>
  <c r="T589" i="6"/>
  <c r="Y589" i="6"/>
  <c r="Z589" i="6"/>
  <c r="U589" i="6"/>
  <c r="Z585" i="6"/>
  <c r="T585" i="6"/>
  <c r="Y585" i="6"/>
  <c r="U585" i="6"/>
  <c r="T581" i="6"/>
  <c r="Z581" i="6"/>
  <c r="Y581" i="6"/>
  <c r="U581" i="6"/>
  <c r="Z577" i="6"/>
  <c r="T577" i="6"/>
  <c r="U577" i="6"/>
  <c r="Y577" i="6"/>
  <c r="T573" i="6"/>
  <c r="Z573" i="6"/>
  <c r="Y573" i="6"/>
  <c r="U573" i="6"/>
  <c r="Z569" i="6"/>
  <c r="T569" i="6"/>
  <c r="Y569" i="6"/>
  <c r="U569" i="6"/>
  <c r="T565" i="6"/>
  <c r="Z565" i="6"/>
  <c r="U565" i="6"/>
  <c r="Y565" i="6"/>
  <c r="T561" i="6"/>
  <c r="U561" i="6"/>
  <c r="Z561" i="6"/>
  <c r="Y561" i="6"/>
  <c r="T557" i="6"/>
  <c r="Z557" i="6"/>
  <c r="Y557" i="6"/>
  <c r="U557" i="6"/>
  <c r="Z553" i="6"/>
  <c r="T553" i="6"/>
  <c r="U553" i="6"/>
  <c r="Y553" i="6"/>
  <c r="Z549" i="6"/>
  <c r="T549" i="6"/>
  <c r="U549" i="6"/>
  <c r="Y549" i="6"/>
  <c r="T545" i="6"/>
  <c r="Z545" i="6"/>
  <c r="U545" i="6"/>
  <c r="Y545" i="6"/>
  <c r="Z541" i="6"/>
  <c r="T541" i="6"/>
  <c r="Y541" i="6"/>
  <c r="U541" i="6"/>
  <c r="Z537" i="6"/>
  <c r="T537" i="6"/>
  <c r="U537" i="6"/>
  <c r="Y537" i="6"/>
  <c r="T533" i="6"/>
  <c r="Z533" i="6"/>
  <c r="U533" i="6"/>
  <c r="Y533" i="6"/>
  <c r="T529" i="6"/>
  <c r="Z529" i="6"/>
  <c r="U529" i="6"/>
  <c r="Y529" i="6"/>
  <c r="T525" i="6"/>
  <c r="Y525" i="6"/>
  <c r="Z525" i="6"/>
  <c r="U525" i="6"/>
  <c r="Z521" i="6"/>
  <c r="T521" i="6"/>
  <c r="U521" i="6"/>
  <c r="Y521" i="6"/>
  <c r="T517" i="6"/>
  <c r="Z517" i="6"/>
  <c r="Y517" i="6"/>
  <c r="U517" i="6"/>
  <c r="Z513" i="6"/>
  <c r="T513" i="6"/>
  <c r="U513" i="6"/>
  <c r="Y513" i="6"/>
  <c r="T509" i="6"/>
  <c r="Y509" i="6"/>
  <c r="Z509" i="6"/>
  <c r="U509" i="6"/>
  <c r="Z505" i="6"/>
  <c r="T505" i="6"/>
  <c r="Y505" i="6"/>
  <c r="U505" i="6"/>
  <c r="T501" i="6"/>
  <c r="Z501" i="6"/>
  <c r="U501" i="6"/>
  <c r="Y501" i="6"/>
  <c r="T497" i="6"/>
  <c r="U497" i="6"/>
  <c r="Z497" i="6"/>
  <c r="Y497" i="6"/>
  <c r="T493" i="6"/>
  <c r="Z493" i="6"/>
  <c r="Y493" i="6"/>
  <c r="U493" i="6"/>
  <c r="Z489" i="6"/>
  <c r="T489" i="6"/>
  <c r="U489" i="6"/>
  <c r="Y489" i="6"/>
  <c r="Z485" i="6"/>
  <c r="T485" i="6"/>
  <c r="U485" i="6"/>
  <c r="Y485" i="6"/>
  <c r="T481" i="6"/>
  <c r="U481" i="6"/>
  <c r="Z481" i="6"/>
  <c r="Y481" i="6"/>
  <c r="Z477" i="6"/>
  <c r="T477" i="6"/>
  <c r="Y477" i="6"/>
  <c r="U477" i="6"/>
  <c r="Z473" i="6"/>
  <c r="T473" i="6"/>
  <c r="U473" i="6"/>
  <c r="Y473" i="6"/>
  <c r="T469" i="6"/>
  <c r="Z469" i="6"/>
  <c r="U469" i="6"/>
  <c r="Y469" i="6"/>
  <c r="T465" i="6"/>
  <c r="Z465" i="6"/>
  <c r="U465" i="6"/>
  <c r="Y465" i="6"/>
  <c r="T461" i="6"/>
  <c r="Y461" i="6"/>
  <c r="Z461" i="6"/>
  <c r="U461" i="6"/>
  <c r="Z457" i="6"/>
  <c r="T457" i="6"/>
  <c r="U457" i="6"/>
  <c r="Y457" i="6"/>
  <c r="T453" i="6"/>
  <c r="Z453" i="6"/>
  <c r="Y453" i="6"/>
  <c r="U453" i="6"/>
  <c r="Z449" i="6"/>
  <c r="T449" i="6"/>
  <c r="U449" i="6"/>
  <c r="Y449" i="6"/>
  <c r="T445" i="6"/>
  <c r="Z445" i="6"/>
  <c r="Y445" i="6"/>
  <c r="U445" i="6"/>
  <c r="Z441" i="6"/>
  <c r="T441" i="6"/>
  <c r="Y441" i="6"/>
  <c r="U441" i="6"/>
  <c r="T437" i="6"/>
  <c r="Z437" i="6"/>
  <c r="U437" i="6"/>
  <c r="Y437" i="6"/>
  <c r="T433" i="6"/>
  <c r="U433" i="6"/>
  <c r="Z433" i="6"/>
  <c r="Y433" i="6"/>
  <c r="T429" i="6"/>
  <c r="Z429" i="6"/>
  <c r="Y429" i="6"/>
  <c r="U429" i="6"/>
  <c r="Z425" i="6"/>
  <c r="T425" i="6"/>
  <c r="U425" i="6"/>
  <c r="Y425" i="6"/>
  <c r="Z421" i="6"/>
  <c r="T421" i="6"/>
  <c r="Y421" i="6"/>
  <c r="U421" i="6"/>
  <c r="T417" i="6"/>
  <c r="Z417" i="6"/>
  <c r="U417" i="6"/>
  <c r="Y417" i="6"/>
  <c r="Z413" i="6"/>
  <c r="T413" i="6"/>
  <c r="Y413" i="6"/>
  <c r="U413" i="6"/>
  <c r="Z409" i="6"/>
  <c r="T409" i="6"/>
  <c r="U409" i="6"/>
  <c r="Y409" i="6"/>
  <c r="T405" i="6"/>
  <c r="Z405" i="6"/>
  <c r="Y405" i="6"/>
  <c r="U405" i="6"/>
  <c r="T401" i="6"/>
  <c r="Z401" i="6"/>
  <c r="U401" i="6"/>
  <c r="Y401" i="6"/>
  <c r="T397" i="6"/>
  <c r="Y397" i="6"/>
  <c r="Z397" i="6"/>
  <c r="U397" i="6"/>
  <c r="Z393" i="6"/>
  <c r="T393" i="6"/>
  <c r="U393" i="6"/>
  <c r="Y393" i="6"/>
  <c r="T389" i="6"/>
  <c r="Z389" i="6"/>
  <c r="Y389" i="6"/>
  <c r="U389" i="6"/>
  <c r="Z385" i="6"/>
  <c r="T385" i="6"/>
  <c r="U385" i="6"/>
  <c r="Y385" i="6"/>
  <c r="T381" i="6"/>
  <c r="Y381" i="6"/>
  <c r="Z381" i="6"/>
  <c r="U381" i="6"/>
  <c r="Z377" i="6"/>
  <c r="T377" i="6"/>
  <c r="Y377" i="6"/>
  <c r="U377" i="6"/>
  <c r="T373" i="6"/>
  <c r="Z373" i="6"/>
  <c r="U373" i="6"/>
  <c r="Y373" i="6"/>
  <c r="T369" i="6"/>
  <c r="U369" i="6"/>
  <c r="Z369" i="6"/>
  <c r="Y369" i="6"/>
  <c r="T365" i="6"/>
  <c r="Z365" i="6"/>
  <c r="Y365" i="6"/>
  <c r="U365" i="6"/>
  <c r="Z361" i="6"/>
  <c r="T361" i="6"/>
  <c r="U361" i="6"/>
  <c r="Y361" i="6"/>
  <c r="O260" i="11"/>
  <c r="S263" i="6" s="1"/>
  <c r="O261" i="11"/>
  <c r="S264" i="6" s="1"/>
  <c r="O262" i="11"/>
  <c r="S265" i="6" s="1"/>
  <c r="O263" i="11"/>
  <c r="S266" i="6" s="1"/>
  <c r="O264" i="11"/>
  <c r="S267" i="6" s="1"/>
  <c r="O265" i="11"/>
  <c r="S268" i="6" s="1"/>
  <c r="O266" i="11"/>
  <c r="S269" i="6" s="1"/>
  <c r="O267" i="11"/>
  <c r="S270" i="6" s="1"/>
  <c r="O268" i="11"/>
  <c r="S271" i="6" s="1"/>
  <c r="O269" i="11"/>
  <c r="S272" i="6" s="1"/>
  <c r="O270" i="11"/>
  <c r="S273" i="6" s="1"/>
  <c r="O271" i="11"/>
  <c r="S274" i="6" s="1"/>
  <c r="O272" i="11"/>
  <c r="S275" i="6" s="1"/>
  <c r="O273" i="11"/>
  <c r="S276" i="6" s="1"/>
  <c r="O274" i="11"/>
  <c r="S277" i="6" s="1"/>
  <c r="O275" i="11"/>
  <c r="S278" i="6" s="1"/>
  <c r="O276" i="11"/>
  <c r="S279" i="6" s="1"/>
  <c r="O277" i="11"/>
  <c r="S280" i="6" s="1"/>
  <c r="O278" i="11"/>
  <c r="S281" i="6" s="1"/>
  <c r="O279" i="11"/>
  <c r="S282" i="6" s="1"/>
  <c r="O280" i="11"/>
  <c r="S283" i="6" s="1"/>
  <c r="O281" i="11"/>
  <c r="S284" i="6" s="1"/>
  <c r="O282" i="11"/>
  <c r="S285" i="6" s="1"/>
  <c r="O283" i="11"/>
  <c r="S286" i="6" s="1"/>
  <c r="O284" i="11"/>
  <c r="S287" i="6" s="1"/>
  <c r="O285" i="11"/>
  <c r="S288" i="6" s="1"/>
  <c r="O286" i="11"/>
  <c r="S289" i="6" s="1"/>
  <c r="O287" i="11"/>
  <c r="S290" i="6" s="1"/>
  <c r="O288" i="11"/>
  <c r="S291" i="6" s="1"/>
  <c r="O289" i="11"/>
  <c r="S292" i="6" s="1"/>
  <c r="O290" i="11"/>
  <c r="S293" i="6" s="1"/>
  <c r="O291" i="11"/>
  <c r="S294" i="6" s="1"/>
  <c r="O292" i="11"/>
  <c r="S295" i="6" s="1"/>
  <c r="O293" i="11"/>
  <c r="S296" i="6" s="1"/>
  <c r="O294" i="11"/>
  <c r="S297" i="6" s="1"/>
  <c r="O295" i="11"/>
  <c r="S298" i="6" s="1"/>
  <c r="O296" i="11"/>
  <c r="S299" i="6" s="1"/>
  <c r="O297" i="11"/>
  <c r="S300" i="6" s="1"/>
  <c r="O298" i="11"/>
  <c r="S301" i="6" s="1"/>
  <c r="O299" i="11"/>
  <c r="S302" i="6" s="1"/>
  <c r="O300" i="11"/>
  <c r="S303" i="6" s="1"/>
  <c r="O301" i="11"/>
  <c r="S304" i="6" s="1"/>
  <c r="O302" i="11"/>
  <c r="S305" i="6" s="1"/>
  <c r="O303" i="11"/>
  <c r="S306" i="6" s="1"/>
  <c r="O304" i="11"/>
  <c r="S307" i="6" s="1"/>
  <c r="O305" i="11"/>
  <c r="S308" i="6" s="1"/>
  <c r="O306" i="11"/>
  <c r="S309" i="6" s="1"/>
  <c r="O307" i="11"/>
  <c r="S310" i="6" s="1"/>
  <c r="O308" i="11"/>
  <c r="S311" i="6" s="1"/>
  <c r="O309" i="11"/>
  <c r="S312" i="6" s="1"/>
  <c r="O310" i="11"/>
  <c r="S313" i="6" s="1"/>
  <c r="O311" i="11"/>
  <c r="S314" i="6" s="1"/>
  <c r="O312" i="11"/>
  <c r="S315" i="6" s="1"/>
  <c r="O313" i="11"/>
  <c r="S316" i="6" s="1"/>
  <c r="O314" i="11"/>
  <c r="S317" i="6" s="1"/>
  <c r="O315" i="11"/>
  <c r="S318" i="6" s="1"/>
  <c r="O316" i="11"/>
  <c r="S319" i="6" s="1"/>
  <c r="O317" i="11"/>
  <c r="S320" i="6" s="1"/>
  <c r="O318" i="11"/>
  <c r="S321" i="6" s="1"/>
  <c r="O319" i="11"/>
  <c r="S322" i="6" s="1"/>
  <c r="O320" i="11"/>
  <c r="S323" i="6" s="1"/>
  <c r="O321" i="11"/>
  <c r="S324" i="6" s="1"/>
  <c r="O322" i="11"/>
  <c r="S325" i="6" s="1"/>
  <c r="O323" i="11"/>
  <c r="S326" i="6" s="1"/>
  <c r="O324" i="11"/>
  <c r="S327" i="6" s="1"/>
  <c r="O325" i="11"/>
  <c r="S328" i="6" s="1"/>
  <c r="O326" i="11"/>
  <c r="S329" i="6" s="1"/>
  <c r="O327" i="11"/>
  <c r="S330" i="6" s="1"/>
  <c r="O328" i="11"/>
  <c r="S331" i="6" s="1"/>
  <c r="O329" i="11"/>
  <c r="S332" i="6" s="1"/>
  <c r="O330" i="11"/>
  <c r="S333" i="6" s="1"/>
  <c r="O331" i="11"/>
  <c r="S334" i="6" s="1"/>
  <c r="O332" i="11"/>
  <c r="S335" i="6" s="1"/>
  <c r="O333" i="11"/>
  <c r="S336" i="6" s="1"/>
  <c r="O334" i="11"/>
  <c r="S337" i="6" s="1"/>
  <c r="O335" i="11"/>
  <c r="S338" i="6" s="1"/>
  <c r="O336" i="11"/>
  <c r="S339" i="6" s="1"/>
  <c r="O337" i="11"/>
  <c r="S340" i="6" s="1"/>
  <c r="O338" i="11"/>
  <c r="S341" i="6" s="1"/>
  <c r="O339" i="11"/>
  <c r="S342" i="6" s="1"/>
  <c r="O340" i="11"/>
  <c r="S343" i="6" s="1"/>
  <c r="O341" i="11"/>
  <c r="S344" i="6" s="1"/>
  <c r="O342" i="11"/>
  <c r="S345" i="6" s="1"/>
  <c r="O343" i="11"/>
  <c r="S346" i="6" s="1"/>
  <c r="O344" i="11"/>
  <c r="S347" i="6" s="1"/>
  <c r="O345" i="11"/>
  <c r="S348" i="6" s="1"/>
  <c r="O346" i="11"/>
  <c r="S349" i="6" s="1"/>
  <c r="O347" i="11"/>
  <c r="S350" i="6" s="1"/>
  <c r="O348" i="11"/>
  <c r="S351" i="6" s="1"/>
  <c r="O349" i="11"/>
  <c r="S352" i="6" s="1"/>
  <c r="O350" i="11"/>
  <c r="S353" i="6" s="1"/>
  <c r="O351" i="11"/>
  <c r="S354" i="6" s="1"/>
  <c r="O352" i="11"/>
  <c r="S355" i="6" s="1"/>
  <c r="O353" i="11"/>
  <c r="S356" i="6" s="1"/>
  <c r="O354" i="11"/>
  <c r="S357" i="6" s="1"/>
  <c r="O355" i="11"/>
  <c r="S358" i="6" s="1"/>
  <c r="O356" i="11"/>
  <c r="S359" i="6" s="1"/>
  <c r="O357" i="11"/>
  <c r="S360" i="6" s="1"/>
  <c r="O358" i="11"/>
  <c r="S361" i="6" s="1"/>
  <c r="O359" i="11"/>
  <c r="S362" i="6" s="1"/>
  <c r="O360" i="11"/>
  <c r="S363" i="6" s="1"/>
  <c r="O361" i="11"/>
  <c r="S364" i="6" s="1"/>
  <c r="O362" i="11"/>
  <c r="S365" i="6" s="1"/>
  <c r="O363" i="11"/>
  <c r="S366" i="6" s="1"/>
  <c r="O364" i="11"/>
  <c r="S367" i="6" s="1"/>
  <c r="O365" i="11"/>
  <c r="S368" i="6" s="1"/>
  <c r="O366" i="11"/>
  <c r="S369" i="6" s="1"/>
  <c r="O367" i="11"/>
  <c r="S370" i="6" s="1"/>
  <c r="O368" i="11"/>
  <c r="S371" i="6" s="1"/>
  <c r="O369" i="11"/>
  <c r="S372" i="6" s="1"/>
  <c r="O370" i="11"/>
  <c r="S373" i="6" s="1"/>
  <c r="O371" i="11"/>
  <c r="S374" i="6" s="1"/>
  <c r="O372" i="11"/>
  <c r="S375" i="6" s="1"/>
  <c r="O373" i="11"/>
  <c r="S376" i="6" s="1"/>
  <c r="O374" i="11"/>
  <c r="S377" i="6" s="1"/>
  <c r="O375" i="11"/>
  <c r="S378" i="6" s="1"/>
  <c r="O376" i="11"/>
  <c r="S379" i="6" s="1"/>
  <c r="O377" i="11"/>
  <c r="S380" i="6" s="1"/>
  <c r="O378" i="11"/>
  <c r="S381" i="6" s="1"/>
  <c r="O379" i="11"/>
  <c r="S382" i="6" s="1"/>
  <c r="O380" i="11"/>
  <c r="S383" i="6" s="1"/>
  <c r="O381" i="11"/>
  <c r="S384" i="6" s="1"/>
  <c r="O382" i="11"/>
  <c r="S385" i="6" s="1"/>
  <c r="O383" i="11"/>
  <c r="S386" i="6" s="1"/>
  <c r="O384" i="11"/>
  <c r="S387" i="6" s="1"/>
  <c r="O385" i="11"/>
  <c r="S388" i="6" s="1"/>
  <c r="O386" i="11"/>
  <c r="S389" i="6" s="1"/>
  <c r="O387" i="11"/>
  <c r="S390" i="6" s="1"/>
  <c r="O388" i="11"/>
  <c r="S391" i="6" s="1"/>
  <c r="O389" i="11"/>
  <c r="S392" i="6" s="1"/>
  <c r="O390" i="11"/>
  <c r="S393" i="6" s="1"/>
  <c r="O391" i="11"/>
  <c r="S394" i="6" s="1"/>
  <c r="O392" i="11"/>
  <c r="S395" i="6" s="1"/>
  <c r="O393" i="11"/>
  <c r="S396" i="6" s="1"/>
  <c r="O394" i="11"/>
  <c r="S397" i="6" s="1"/>
  <c r="O395" i="11"/>
  <c r="S398" i="6" s="1"/>
  <c r="O396" i="11"/>
  <c r="S399" i="6" s="1"/>
  <c r="O397" i="11"/>
  <c r="S400" i="6" s="1"/>
  <c r="O398" i="11"/>
  <c r="S401" i="6" s="1"/>
  <c r="O399" i="11"/>
  <c r="S402" i="6" s="1"/>
  <c r="O400" i="11"/>
  <c r="S403" i="6" s="1"/>
  <c r="O401" i="11"/>
  <c r="S404" i="6" s="1"/>
  <c r="O402" i="11"/>
  <c r="S405" i="6" s="1"/>
  <c r="O403" i="11"/>
  <c r="S406" i="6" s="1"/>
  <c r="O404" i="11"/>
  <c r="S407" i="6" s="1"/>
  <c r="O405" i="11"/>
  <c r="S408" i="6" s="1"/>
  <c r="O406" i="11"/>
  <c r="S409" i="6" s="1"/>
  <c r="O407" i="11"/>
  <c r="S410" i="6" s="1"/>
  <c r="O408" i="11"/>
  <c r="S411" i="6" s="1"/>
  <c r="O409" i="11"/>
  <c r="S412" i="6" s="1"/>
  <c r="O410" i="11"/>
  <c r="S413" i="6" s="1"/>
  <c r="O411" i="11"/>
  <c r="S414" i="6" s="1"/>
  <c r="O412" i="11"/>
  <c r="S415" i="6" s="1"/>
  <c r="O413" i="11"/>
  <c r="S416" i="6" s="1"/>
  <c r="O414" i="11"/>
  <c r="S417" i="6" s="1"/>
  <c r="O415" i="11"/>
  <c r="S418" i="6" s="1"/>
  <c r="O416" i="11"/>
  <c r="S419" i="6" s="1"/>
  <c r="O417" i="11"/>
  <c r="S420" i="6" s="1"/>
  <c r="O418" i="11"/>
  <c r="S421" i="6" s="1"/>
  <c r="O419" i="11"/>
  <c r="S422" i="6" s="1"/>
  <c r="O420" i="11"/>
  <c r="S423" i="6" s="1"/>
  <c r="O421" i="11"/>
  <c r="S424" i="6" s="1"/>
  <c r="O422" i="11"/>
  <c r="S425" i="6" s="1"/>
  <c r="O423" i="11"/>
  <c r="S426" i="6" s="1"/>
  <c r="O424" i="11"/>
  <c r="S427" i="6" s="1"/>
  <c r="O425" i="11"/>
  <c r="S428" i="6" s="1"/>
  <c r="O426" i="11"/>
  <c r="S429" i="6" s="1"/>
  <c r="O427" i="11"/>
  <c r="S430" i="6" s="1"/>
  <c r="O428" i="11"/>
  <c r="S431" i="6" s="1"/>
  <c r="O429" i="11"/>
  <c r="S432" i="6" s="1"/>
  <c r="O430" i="11"/>
  <c r="S433" i="6" s="1"/>
  <c r="O431" i="11"/>
  <c r="S434" i="6" s="1"/>
  <c r="O432" i="11"/>
  <c r="S435" i="6" s="1"/>
  <c r="O433" i="11"/>
  <c r="S436" i="6" s="1"/>
  <c r="O434" i="11"/>
  <c r="S437" i="6" s="1"/>
  <c r="O435" i="11"/>
  <c r="S438" i="6" s="1"/>
  <c r="O436" i="11"/>
  <c r="S439" i="6" s="1"/>
  <c r="O437" i="11"/>
  <c r="S440" i="6" s="1"/>
  <c r="O438" i="11"/>
  <c r="S441" i="6" s="1"/>
  <c r="O439" i="11"/>
  <c r="S442" i="6" s="1"/>
  <c r="O440" i="11"/>
  <c r="S443" i="6" s="1"/>
  <c r="O441" i="11"/>
  <c r="S444" i="6" s="1"/>
  <c r="O442" i="11"/>
  <c r="S445" i="6" s="1"/>
  <c r="O443" i="11"/>
  <c r="S446" i="6" s="1"/>
  <c r="O444" i="11"/>
  <c r="S447" i="6" s="1"/>
  <c r="O445" i="11"/>
  <c r="S448" i="6" s="1"/>
  <c r="O446" i="11"/>
  <c r="S449" i="6" s="1"/>
  <c r="O447" i="11"/>
  <c r="S450" i="6" s="1"/>
  <c r="O448" i="11"/>
  <c r="S451" i="6" s="1"/>
  <c r="O449" i="11"/>
  <c r="S452" i="6" s="1"/>
  <c r="O450" i="11"/>
  <c r="S453" i="6" s="1"/>
  <c r="O451" i="11"/>
  <c r="S454" i="6" s="1"/>
  <c r="O452" i="11"/>
  <c r="S455" i="6" s="1"/>
  <c r="O453" i="11"/>
  <c r="S456" i="6" s="1"/>
  <c r="O454" i="11"/>
  <c r="S457" i="6" s="1"/>
  <c r="O455" i="11"/>
  <c r="S458" i="6" s="1"/>
  <c r="O456" i="11"/>
  <c r="S459" i="6" s="1"/>
  <c r="O457" i="11"/>
  <c r="S460" i="6" s="1"/>
  <c r="O458" i="11"/>
  <c r="S461" i="6" s="1"/>
  <c r="O459" i="11"/>
  <c r="S462" i="6" s="1"/>
  <c r="O460" i="11"/>
  <c r="S463" i="6" s="1"/>
  <c r="O461" i="11"/>
  <c r="S464" i="6" s="1"/>
  <c r="O462" i="11"/>
  <c r="S465" i="6" s="1"/>
  <c r="O463" i="11"/>
  <c r="S466" i="6" s="1"/>
  <c r="O464" i="11"/>
  <c r="S467" i="6" s="1"/>
  <c r="O465" i="11"/>
  <c r="S468" i="6" s="1"/>
  <c r="O466" i="11"/>
  <c r="S469" i="6" s="1"/>
  <c r="O467" i="11"/>
  <c r="S470" i="6" s="1"/>
  <c r="O468" i="11"/>
  <c r="S471" i="6" s="1"/>
  <c r="O469" i="11"/>
  <c r="S472" i="6" s="1"/>
  <c r="O470" i="11"/>
  <c r="S473" i="6" s="1"/>
  <c r="O471" i="11"/>
  <c r="S474" i="6" s="1"/>
  <c r="O472" i="11"/>
  <c r="S475" i="6" s="1"/>
  <c r="O473" i="11"/>
  <c r="S476" i="6" s="1"/>
  <c r="O474" i="11"/>
  <c r="S477" i="6" s="1"/>
  <c r="O475" i="11"/>
  <c r="S478" i="6" s="1"/>
  <c r="O476" i="11"/>
  <c r="S479" i="6" s="1"/>
  <c r="O477" i="11"/>
  <c r="S480" i="6" s="1"/>
  <c r="O478" i="11"/>
  <c r="S481" i="6" s="1"/>
  <c r="O479" i="11"/>
  <c r="S482" i="6" s="1"/>
  <c r="O480" i="11"/>
  <c r="S483" i="6" s="1"/>
  <c r="O481" i="11"/>
  <c r="S484" i="6" s="1"/>
  <c r="O482" i="11"/>
  <c r="S485" i="6" s="1"/>
  <c r="O483" i="11"/>
  <c r="S486" i="6" s="1"/>
  <c r="O484" i="11"/>
  <c r="S487" i="6" s="1"/>
  <c r="O485" i="11"/>
  <c r="S488" i="6" s="1"/>
  <c r="O486" i="11"/>
  <c r="S489" i="6" s="1"/>
  <c r="O487" i="11"/>
  <c r="S490" i="6" s="1"/>
  <c r="O488" i="11"/>
  <c r="S491" i="6" s="1"/>
  <c r="O489" i="11"/>
  <c r="S492" i="6" s="1"/>
  <c r="O490" i="11"/>
  <c r="S493" i="6" s="1"/>
  <c r="O491" i="11"/>
  <c r="S494" i="6" s="1"/>
  <c r="O492" i="11"/>
  <c r="S495" i="6" s="1"/>
  <c r="O493" i="11"/>
  <c r="S496" i="6" s="1"/>
  <c r="O494" i="11"/>
  <c r="S497" i="6" s="1"/>
  <c r="O495" i="11"/>
  <c r="S498" i="6" s="1"/>
  <c r="O496" i="11"/>
  <c r="S499" i="6" s="1"/>
  <c r="O497" i="11"/>
  <c r="S500" i="6" s="1"/>
  <c r="O498" i="11"/>
  <c r="S501" i="6" s="1"/>
  <c r="O499" i="11"/>
  <c r="S502" i="6" s="1"/>
  <c r="O500" i="11"/>
  <c r="S503" i="6" s="1"/>
  <c r="O501" i="11"/>
  <c r="S504" i="6" s="1"/>
  <c r="O502" i="11"/>
  <c r="S505" i="6" s="1"/>
  <c r="O503" i="11"/>
  <c r="S506" i="6" s="1"/>
  <c r="O504" i="11"/>
  <c r="S507" i="6" s="1"/>
  <c r="O505" i="11"/>
  <c r="S508" i="6" s="1"/>
  <c r="O506" i="11"/>
  <c r="S509" i="6" s="1"/>
  <c r="O507" i="11"/>
  <c r="S510" i="6" s="1"/>
  <c r="O508" i="11"/>
  <c r="S511" i="6" s="1"/>
  <c r="O509" i="11"/>
  <c r="S512" i="6" s="1"/>
  <c r="O510" i="11"/>
  <c r="S513" i="6" s="1"/>
  <c r="O511" i="11"/>
  <c r="S514" i="6" s="1"/>
  <c r="O512" i="11"/>
  <c r="S515" i="6" s="1"/>
  <c r="O513" i="11"/>
  <c r="S516" i="6" s="1"/>
  <c r="O514" i="11"/>
  <c r="S517" i="6" s="1"/>
  <c r="O515" i="11"/>
  <c r="S518" i="6" s="1"/>
  <c r="O516" i="11"/>
  <c r="S519" i="6" s="1"/>
  <c r="O517" i="11"/>
  <c r="S520" i="6" s="1"/>
  <c r="O518" i="11"/>
  <c r="S521" i="6" s="1"/>
  <c r="O519" i="11"/>
  <c r="S522" i="6" s="1"/>
  <c r="O520" i="11"/>
  <c r="S523" i="6" s="1"/>
  <c r="O521" i="11"/>
  <c r="S524" i="6" s="1"/>
  <c r="O522" i="11"/>
  <c r="S525" i="6" s="1"/>
  <c r="O523" i="11"/>
  <c r="S526" i="6" s="1"/>
  <c r="O524" i="11"/>
  <c r="S527" i="6" s="1"/>
  <c r="O525" i="11"/>
  <c r="S528" i="6" s="1"/>
  <c r="O526" i="11"/>
  <c r="S529" i="6" s="1"/>
  <c r="O527" i="11"/>
  <c r="S530" i="6" s="1"/>
  <c r="O528" i="11"/>
  <c r="S531" i="6" s="1"/>
  <c r="O529" i="11"/>
  <c r="S532" i="6" s="1"/>
  <c r="O530" i="11"/>
  <c r="S533" i="6" s="1"/>
  <c r="O531" i="11"/>
  <c r="S534" i="6" s="1"/>
  <c r="O532" i="11"/>
  <c r="S535" i="6" s="1"/>
  <c r="O533" i="11"/>
  <c r="S536" i="6" s="1"/>
  <c r="O534" i="11"/>
  <c r="S537" i="6" s="1"/>
  <c r="O535" i="11"/>
  <c r="S538" i="6" s="1"/>
  <c r="O536" i="11"/>
  <c r="S539" i="6" s="1"/>
  <c r="O537" i="11"/>
  <c r="S540" i="6" s="1"/>
  <c r="O538" i="11"/>
  <c r="S541" i="6" s="1"/>
  <c r="O539" i="11"/>
  <c r="S542" i="6" s="1"/>
  <c r="O540" i="11"/>
  <c r="S543" i="6" s="1"/>
  <c r="O541" i="11"/>
  <c r="S544" i="6" s="1"/>
  <c r="O542" i="11"/>
  <c r="S545" i="6" s="1"/>
  <c r="O543" i="11"/>
  <c r="S546" i="6" s="1"/>
  <c r="O544" i="11"/>
  <c r="S547" i="6" s="1"/>
  <c r="O545" i="11"/>
  <c r="S548" i="6" s="1"/>
  <c r="O546" i="11"/>
  <c r="S549" i="6" s="1"/>
  <c r="O547" i="11"/>
  <c r="S550" i="6" s="1"/>
  <c r="O548" i="11"/>
  <c r="S551" i="6" s="1"/>
  <c r="O549" i="11"/>
  <c r="S552" i="6" s="1"/>
  <c r="O550" i="11"/>
  <c r="S553" i="6" s="1"/>
  <c r="O551" i="11"/>
  <c r="S554" i="6" s="1"/>
  <c r="O552" i="11"/>
  <c r="S555" i="6" s="1"/>
  <c r="O553" i="11"/>
  <c r="S556" i="6" s="1"/>
  <c r="O554" i="11"/>
  <c r="S557" i="6" s="1"/>
  <c r="O555" i="11"/>
  <c r="S558" i="6" s="1"/>
  <c r="O556" i="11"/>
  <c r="S559" i="6" s="1"/>
  <c r="O557" i="11"/>
  <c r="S560" i="6" s="1"/>
  <c r="O558" i="11"/>
  <c r="S561" i="6" s="1"/>
  <c r="O559" i="11"/>
  <c r="S562" i="6" s="1"/>
  <c r="O560" i="11"/>
  <c r="S563" i="6" s="1"/>
  <c r="O561" i="11"/>
  <c r="S564" i="6" s="1"/>
  <c r="O562" i="11"/>
  <c r="S565" i="6" s="1"/>
  <c r="O563" i="11"/>
  <c r="S566" i="6" s="1"/>
  <c r="O564" i="11"/>
  <c r="S567" i="6" s="1"/>
  <c r="O565" i="11"/>
  <c r="S568" i="6" s="1"/>
  <c r="O566" i="11"/>
  <c r="S569" i="6" s="1"/>
  <c r="O567" i="11"/>
  <c r="S570" i="6" s="1"/>
  <c r="O568" i="11"/>
  <c r="S571" i="6" s="1"/>
  <c r="O569" i="11"/>
  <c r="S572" i="6" s="1"/>
  <c r="O570" i="11"/>
  <c r="S573" i="6" s="1"/>
  <c r="O571" i="11"/>
  <c r="S574" i="6" s="1"/>
  <c r="O572" i="11"/>
  <c r="S575" i="6" s="1"/>
  <c r="O573" i="11"/>
  <c r="S576" i="6" s="1"/>
  <c r="O574" i="11"/>
  <c r="S577" i="6" s="1"/>
  <c r="O575" i="11"/>
  <c r="S578" i="6" s="1"/>
  <c r="O576" i="11"/>
  <c r="S579" i="6" s="1"/>
  <c r="O577" i="11"/>
  <c r="S580" i="6" s="1"/>
  <c r="O578" i="11"/>
  <c r="S581" i="6" s="1"/>
  <c r="O579" i="11"/>
  <c r="S582" i="6" s="1"/>
  <c r="O580" i="11"/>
  <c r="S583" i="6" s="1"/>
  <c r="O581" i="11"/>
  <c r="S584" i="6" s="1"/>
  <c r="O582" i="11"/>
  <c r="S585" i="6" s="1"/>
  <c r="O583" i="11"/>
  <c r="S586" i="6" s="1"/>
  <c r="O584" i="11"/>
  <c r="S587" i="6" s="1"/>
  <c r="O585" i="11"/>
  <c r="S588" i="6" s="1"/>
  <c r="O586" i="11"/>
  <c r="S589" i="6" s="1"/>
  <c r="O587" i="11"/>
  <c r="S590" i="6" s="1"/>
  <c r="O588" i="11"/>
  <c r="S591" i="6" s="1"/>
  <c r="O589" i="11"/>
  <c r="S592" i="6" s="1"/>
  <c r="O590" i="11"/>
  <c r="S593" i="6" s="1"/>
  <c r="O591" i="11"/>
  <c r="S594" i="6" s="1"/>
  <c r="O592" i="11"/>
  <c r="S595" i="6" s="1"/>
  <c r="O593" i="11"/>
  <c r="S596" i="6" s="1"/>
  <c r="O594" i="11"/>
  <c r="S597" i="6" s="1"/>
  <c r="O595" i="11"/>
  <c r="S598" i="6" s="1"/>
  <c r="O596" i="11"/>
  <c r="S599" i="6" s="1"/>
  <c r="O597" i="11"/>
  <c r="S600" i="6" s="1"/>
  <c r="O598" i="11"/>
  <c r="S601" i="6" s="1"/>
  <c r="O599" i="11"/>
  <c r="S602" i="6" s="1"/>
  <c r="O600" i="11"/>
  <c r="S603" i="6" s="1"/>
  <c r="O601" i="11"/>
  <c r="S604" i="6" s="1"/>
  <c r="O602" i="11"/>
  <c r="S605" i="6" s="1"/>
  <c r="O603" i="11"/>
  <c r="S606" i="6" s="1"/>
  <c r="O604" i="11"/>
  <c r="S607" i="6" s="1"/>
  <c r="O605" i="11"/>
  <c r="S608" i="6" s="1"/>
  <c r="O606" i="11"/>
  <c r="S609" i="6" s="1"/>
  <c r="O607" i="11"/>
  <c r="S610" i="6" s="1"/>
  <c r="O608" i="11"/>
  <c r="S611" i="6" s="1"/>
  <c r="O609" i="11"/>
  <c r="S612" i="6" s="1"/>
  <c r="O610" i="11"/>
  <c r="S613" i="6" s="1"/>
  <c r="O611" i="11"/>
  <c r="S614" i="6" s="1"/>
  <c r="O612" i="11"/>
  <c r="S615" i="6" s="1"/>
  <c r="O613" i="11"/>
  <c r="S616" i="6" s="1"/>
  <c r="O614" i="11"/>
  <c r="S617" i="6" s="1"/>
  <c r="O615" i="11"/>
  <c r="S618" i="6" s="1"/>
  <c r="O616" i="11"/>
  <c r="S619" i="6" s="1"/>
  <c r="O617" i="11"/>
  <c r="S620" i="6" s="1"/>
  <c r="O618" i="11"/>
  <c r="S621" i="6" s="1"/>
  <c r="O619" i="11"/>
  <c r="S622" i="6" s="1"/>
  <c r="O620" i="11"/>
  <c r="S623" i="6" s="1"/>
  <c r="O621" i="11"/>
  <c r="S624" i="6" s="1"/>
  <c r="O622" i="11"/>
  <c r="S625" i="6" s="1"/>
  <c r="O623" i="11"/>
  <c r="S626" i="6" s="1"/>
  <c r="O624" i="11"/>
  <c r="S627" i="6" s="1"/>
  <c r="O625" i="11"/>
  <c r="S628" i="6" s="1"/>
  <c r="O626" i="11"/>
  <c r="S629" i="6" s="1"/>
  <c r="O627" i="11"/>
  <c r="S630" i="6" s="1"/>
  <c r="O628" i="11"/>
  <c r="S631" i="6" s="1"/>
  <c r="O629" i="11"/>
  <c r="S632" i="6" s="1"/>
  <c r="O630" i="11"/>
  <c r="S633" i="6" s="1"/>
  <c r="O631" i="11"/>
  <c r="S634" i="6" s="1"/>
  <c r="O632" i="11"/>
  <c r="S635" i="6" s="1"/>
  <c r="O633" i="11"/>
  <c r="S636" i="6" s="1"/>
  <c r="O634" i="11"/>
  <c r="S637" i="6" s="1"/>
  <c r="O635" i="11"/>
  <c r="S638" i="6" s="1"/>
  <c r="O636" i="11"/>
  <c r="S639" i="6" s="1"/>
  <c r="O637" i="11"/>
  <c r="S640" i="6" s="1"/>
  <c r="O638" i="11"/>
  <c r="S641" i="6" s="1"/>
  <c r="O639" i="11"/>
  <c r="S642" i="6" s="1"/>
  <c r="O640" i="11"/>
  <c r="S643" i="6" s="1"/>
  <c r="O641" i="11"/>
  <c r="S644" i="6" s="1"/>
  <c r="O642" i="11"/>
  <c r="S645" i="6" s="1"/>
  <c r="O643" i="11"/>
  <c r="S646" i="6" s="1"/>
  <c r="O644" i="11"/>
  <c r="S647" i="6" s="1"/>
  <c r="O645" i="11"/>
  <c r="S648" i="6" s="1"/>
  <c r="O646" i="11"/>
  <c r="S649" i="6" s="1"/>
  <c r="O647" i="11"/>
  <c r="S650" i="6" s="1"/>
  <c r="O648" i="11"/>
  <c r="S651" i="6" s="1"/>
  <c r="O649" i="11"/>
  <c r="S652" i="6" s="1"/>
  <c r="O650" i="11"/>
  <c r="S653" i="6" s="1"/>
  <c r="O651" i="11"/>
  <c r="S654" i="6" s="1"/>
  <c r="O652" i="11"/>
  <c r="S655" i="6" s="1"/>
  <c r="O653" i="11"/>
  <c r="S656" i="6" s="1"/>
  <c r="O654" i="11"/>
  <c r="S657" i="6" s="1"/>
  <c r="O655" i="11"/>
  <c r="S658" i="6" s="1"/>
  <c r="O656" i="11"/>
  <c r="S659" i="6" s="1"/>
  <c r="O657" i="11"/>
  <c r="S660" i="6" s="1"/>
  <c r="O658" i="11"/>
  <c r="S661" i="6" s="1"/>
  <c r="O659" i="11"/>
  <c r="S662" i="6" s="1"/>
  <c r="O660" i="11"/>
  <c r="S663" i="6" s="1"/>
  <c r="O661" i="11"/>
  <c r="S664" i="6" s="1"/>
  <c r="O662" i="11"/>
  <c r="S665" i="6" s="1"/>
  <c r="O663" i="11"/>
  <c r="S666" i="6" s="1"/>
  <c r="O664" i="11"/>
  <c r="S667" i="6" s="1"/>
  <c r="O665" i="11"/>
  <c r="S668" i="6" s="1"/>
  <c r="O666" i="11"/>
  <c r="S669" i="6" s="1"/>
  <c r="O667" i="11"/>
  <c r="S670" i="6" s="1"/>
  <c r="O668" i="11"/>
  <c r="S671" i="6" s="1"/>
  <c r="O669" i="11"/>
  <c r="S672" i="6" s="1"/>
  <c r="O670" i="11"/>
  <c r="S673" i="6" s="1"/>
  <c r="O671" i="11"/>
  <c r="S674" i="6" s="1"/>
  <c r="O672" i="11"/>
  <c r="S675" i="6" s="1"/>
  <c r="O673" i="11"/>
  <c r="S676" i="6" s="1"/>
  <c r="O674" i="11"/>
  <c r="S677" i="6" s="1"/>
  <c r="O675" i="11"/>
  <c r="S678" i="6" s="1"/>
  <c r="O676" i="11"/>
  <c r="S679" i="6" s="1"/>
  <c r="O677" i="11"/>
  <c r="S680" i="6" s="1"/>
  <c r="O678" i="11"/>
  <c r="S681" i="6" s="1"/>
  <c r="O679" i="11"/>
  <c r="S682" i="6" s="1"/>
  <c r="O680" i="11"/>
  <c r="S683" i="6" s="1"/>
  <c r="O681" i="11"/>
  <c r="S684" i="6" s="1"/>
  <c r="O682" i="11"/>
  <c r="S685" i="6" s="1"/>
  <c r="O683" i="11"/>
  <c r="S686" i="6" s="1"/>
  <c r="O684" i="11"/>
  <c r="S687" i="6" s="1"/>
  <c r="O685" i="11"/>
  <c r="S688" i="6" s="1"/>
  <c r="O686" i="11"/>
  <c r="S689" i="6" s="1"/>
  <c r="O687" i="11"/>
  <c r="S690" i="6" s="1"/>
  <c r="O688" i="11"/>
  <c r="S691" i="6" s="1"/>
  <c r="O689" i="11"/>
  <c r="S692" i="6" s="1"/>
  <c r="O690" i="11"/>
  <c r="S693" i="6" s="1"/>
  <c r="O691" i="11"/>
  <c r="S694" i="6" s="1"/>
  <c r="O692" i="11"/>
  <c r="S695" i="6" s="1"/>
  <c r="O693" i="11"/>
  <c r="S696" i="6" s="1"/>
  <c r="O694" i="11"/>
  <c r="S697" i="6" s="1"/>
  <c r="O695" i="11"/>
  <c r="S698" i="6" s="1"/>
  <c r="O696" i="11"/>
  <c r="S699" i="6" s="1"/>
  <c r="O697" i="11"/>
  <c r="S700" i="6" s="1"/>
  <c r="O698" i="11"/>
  <c r="S701" i="6" s="1"/>
  <c r="O699" i="11"/>
  <c r="S702" i="6" s="1"/>
  <c r="O700" i="11"/>
  <c r="S703" i="6" s="1"/>
  <c r="O701" i="11"/>
  <c r="S704" i="6" s="1"/>
  <c r="O702" i="11"/>
  <c r="S705" i="6" s="1"/>
  <c r="O703" i="11"/>
  <c r="S706" i="6" s="1"/>
  <c r="O704" i="11"/>
  <c r="S707" i="6" s="1"/>
  <c r="O705" i="11"/>
  <c r="S708" i="6" s="1"/>
  <c r="O706" i="11"/>
  <c r="S709" i="6" s="1"/>
  <c r="O707" i="11"/>
  <c r="S710" i="6" s="1"/>
  <c r="O708" i="11"/>
  <c r="S711" i="6" s="1"/>
  <c r="O709" i="11"/>
  <c r="S712" i="6" s="1"/>
  <c r="O710" i="11"/>
  <c r="S713" i="6" s="1"/>
  <c r="O711" i="11"/>
  <c r="S714" i="6" s="1"/>
  <c r="O712" i="11"/>
  <c r="S715" i="6" s="1"/>
  <c r="O713" i="11"/>
  <c r="S716" i="6" s="1"/>
  <c r="O714" i="11"/>
  <c r="S717" i="6" s="1"/>
  <c r="O715" i="11"/>
  <c r="S718" i="6" s="1"/>
  <c r="O716" i="11"/>
  <c r="S719" i="6" s="1"/>
  <c r="O717" i="11"/>
  <c r="S720" i="6" s="1"/>
  <c r="O718" i="11"/>
  <c r="S721" i="6" s="1"/>
  <c r="O719" i="11"/>
  <c r="S722" i="6" s="1"/>
  <c r="O720" i="11"/>
  <c r="S723" i="6" s="1"/>
  <c r="O721" i="11"/>
  <c r="S724" i="6" s="1"/>
  <c r="O722" i="11"/>
  <c r="S725" i="6" s="1"/>
  <c r="O723" i="11"/>
  <c r="S726" i="6" s="1"/>
  <c r="O724" i="11"/>
  <c r="S727" i="6" s="1"/>
  <c r="O725" i="11"/>
  <c r="S728" i="6" s="1"/>
  <c r="O726" i="11"/>
  <c r="S729" i="6" s="1"/>
  <c r="O727" i="11"/>
  <c r="S730" i="6" s="1"/>
  <c r="O728" i="11"/>
  <c r="S731" i="6" s="1"/>
  <c r="O729" i="11"/>
  <c r="S732" i="6" s="1"/>
  <c r="O730" i="11"/>
  <c r="S733" i="6" s="1"/>
  <c r="O731" i="11"/>
  <c r="S734" i="6" s="1"/>
  <c r="O732" i="11"/>
  <c r="S735" i="6" s="1"/>
  <c r="O733" i="11"/>
  <c r="S736" i="6" s="1"/>
  <c r="O734" i="11"/>
  <c r="S737" i="6" s="1"/>
  <c r="O735" i="11"/>
  <c r="S738" i="6" s="1"/>
  <c r="O736" i="11"/>
  <c r="S739" i="6" s="1"/>
  <c r="O737" i="11"/>
  <c r="S740" i="6" s="1"/>
  <c r="O738" i="11"/>
  <c r="S741" i="6" s="1"/>
  <c r="O739" i="11"/>
  <c r="S742" i="6" s="1"/>
  <c r="O740" i="11"/>
  <c r="S743" i="6" s="1"/>
  <c r="O741" i="11"/>
  <c r="S744" i="6" s="1"/>
  <c r="O742" i="11"/>
  <c r="S745" i="6" s="1"/>
  <c r="O743" i="11"/>
  <c r="S746" i="6" s="1"/>
  <c r="O744" i="11"/>
  <c r="S747" i="6" s="1"/>
  <c r="O745" i="11"/>
  <c r="S748" i="6" s="1"/>
  <c r="O746" i="11"/>
  <c r="S749" i="6" s="1"/>
  <c r="O747" i="11"/>
  <c r="S750" i="6" s="1"/>
  <c r="O748" i="11"/>
  <c r="S751" i="6" s="1"/>
  <c r="O749" i="11"/>
  <c r="S752" i="6" s="1"/>
  <c r="O750" i="11"/>
  <c r="S753" i="6" s="1"/>
  <c r="O751" i="11"/>
  <c r="S754" i="6" s="1"/>
  <c r="O752" i="11"/>
  <c r="S755" i="6" s="1"/>
  <c r="O753" i="11"/>
  <c r="S756" i="6" s="1"/>
  <c r="O754" i="11"/>
  <c r="S757" i="6" s="1"/>
  <c r="O755" i="11"/>
  <c r="S758" i="6" s="1"/>
  <c r="O756" i="11"/>
  <c r="S759" i="6" s="1"/>
  <c r="O757" i="11"/>
  <c r="S760" i="6" s="1"/>
  <c r="O758" i="11"/>
  <c r="S761" i="6" s="1"/>
  <c r="O759" i="11"/>
  <c r="S762" i="6" s="1"/>
  <c r="O760" i="11"/>
  <c r="S763" i="6" s="1"/>
  <c r="O761" i="11"/>
  <c r="S764" i="6" s="1"/>
  <c r="O762" i="11"/>
  <c r="S765" i="6" s="1"/>
  <c r="O763" i="11"/>
  <c r="S766" i="6" s="1"/>
  <c r="O764" i="11"/>
  <c r="S767" i="6" s="1"/>
  <c r="O765" i="11"/>
  <c r="S768" i="6" s="1"/>
  <c r="O766" i="11"/>
  <c r="S769" i="6" s="1"/>
  <c r="O767" i="11"/>
  <c r="S770" i="6" s="1"/>
  <c r="O768" i="11"/>
  <c r="S771" i="6" s="1"/>
  <c r="O769" i="11"/>
  <c r="S772" i="6" s="1"/>
  <c r="O770" i="11"/>
  <c r="S773" i="6" s="1"/>
  <c r="O771" i="11"/>
  <c r="S774" i="6" s="1"/>
  <c r="O772" i="11"/>
  <c r="S775" i="6" s="1"/>
  <c r="O773" i="11"/>
  <c r="S776" i="6" s="1"/>
  <c r="O774" i="11"/>
  <c r="S777" i="6" s="1"/>
  <c r="O775" i="11"/>
  <c r="S778" i="6" s="1"/>
  <c r="O776" i="11"/>
  <c r="S779" i="6" s="1"/>
  <c r="O777" i="11"/>
  <c r="S780" i="6" s="1"/>
  <c r="O778" i="11"/>
  <c r="S781" i="6" s="1"/>
  <c r="O779" i="11"/>
  <c r="S782" i="6" s="1"/>
  <c r="O780" i="11"/>
  <c r="S783" i="6" s="1"/>
  <c r="O781" i="11"/>
  <c r="S784" i="6" s="1"/>
  <c r="O782" i="11"/>
  <c r="S785" i="6" s="1"/>
  <c r="O783" i="11"/>
  <c r="S786" i="6" s="1"/>
  <c r="O784" i="11"/>
  <c r="S787" i="6" s="1"/>
  <c r="O785" i="11"/>
  <c r="S788" i="6" s="1"/>
  <c r="O786" i="11"/>
  <c r="S789" i="6" s="1"/>
  <c r="O787" i="11"/>
  <c r="S790" i="6" s="1"/>
  <c r="O788" i="11"/>
  <c r="S791" i="6" s="1"/>
  <c r="O789" i="11"/>
  <c r="S792" i="6" s="1"/>
  <c r="O790" i="11"/>
  <c r="S793" i="6" s="1"/>
  <c r="O791" i="11"/>
  <c r="S794" i="6" s="1"/>
  <c r="O792" i="11"/>
  <c r="S795" i="6" s="1"/>
  <c r="O793" i="11"/>
  <c r="S796" i="6" s="1"/>
  <c r="O794" i="11"/>
  <c r="S797" i="6" s="1"/>
  <c r="O795" i="11"/>
  <c r="S798" i="6" s="1"/>
  <c r="O796" i="11"/>
  <c r="S799" i="6" s="1"/>
  <c r="O797" i="11"/>
  <c r="S800" i="6" s="1"/>
  <c r="O798" i="11"/>
  <c r="S801" i="6" s="1"/>
  <c r="O799" i="11"/>
  <c r="S802" i="6" s="1"/>
  <c r="O800" i="11"/>
  <c r="S803" i="6" s="1"/>
  <c r="O801" i="11"/>
  <c r="S804" i="6" s="1"/>
  <c r="O802" i="11"/>
  <c r="S805" i="6" s="1"/>
  <c r="O803" i="11"/>
  <c r="S806" i="6" s="1"/>
  <c r="O804" i="11"/>
  <c r="S807" i="6" s="1"/>
  <c r="O805" i="11"/>
  <c r="S808" i="6" s="1"/>
  <c r="O806" i="11"/>
  <c r="S809" i="6" s="1"/>
  <c r="O807" i="11"/>
  <c r="S810" i="6" s="1"/>
  <c r="O808" i="11"/>
  <c r="S811" i="6" s="1"/>
  <c r="O809" i="11"/>
  <c r="S812" i="6" s="1"/>
  <c r="O810" i="11"/>
  <c r="S813" i="6" s="1"/>
  <c r="O811" i="11"/>
  <c r="S814" i="6" s="1"/>
  <c r="O812" i="11"/>
  <c r="S815" i="6" s="1"/>
  <c r="O813" i="11"/>
  <c r="S816" i="6" s="1"/>
  <c r="O814" i="11"/>
  <c r="S817" i="6" s="1"/>
  <c r="O815" i="11"/>
  <c r="S818" i="6" s="1"/>
  <c r="O816" i="11"/>
  <c r="S819" i="6" s="1"/>
  <c r="O817" i="11"/>
  <c r="S820" i="6" s="1"/>
  <c r="O818" i="11"/>
  <c r="S821" i="6" s="1"/>
  <c r="O819" i="11"/>
  <c r="S822" i="6" s="1"/>
  <c r="O820" i="11"/>
  <c r="S823" i="6" s="1"/>
  <c r="O821" i="11"/>
  <c r="S824" i="6" s="1"/>
  <c r="O822" i="11"/>
  <c r="S825" i="6" s="1"/>
  <c r="O823" i="11"/>
  <c r="S826" i="6" s="1"/>
  <c r="O824" i="11"/>
  <c r="S827" i="6" s="1"/>
  <c r="O825" i="11"/>
  <c r="S828" i="6" s="1"/>
  <c r="O826" i="11"/>
  <c r="S829" i="6" s="1"/>
  <c r="O827" i="11"/>
  <c r="S830" i="6" s="1"/>
  <c r="O828" i="11"/>
  <c r="S831" i="6" s="1"/>
  <c r="O829" i="11"/>
  <c r="S832" i="6" s="1"/>
  <c r="O830" i="11"/>
  <c r="S833" i="6" s="1"/>
  <c r="O831" i="11"/>
  <c r="S834" i="6" s="1"/>
  <c r="O832" i="11"/>
  <c r="S835" i="6" s="1"/>
  <c r="O833" i="11"/>
  <c r="S836" i="6" s="1"/>
  <c r="O834" i="11"/>
  <c r="S837" i="6" s="1"/>
  <c r="O835" i="11"/>
  <c r="S838" i="6" s="1"/>
  <c r="O836" i="11"/>
  <c r="S839" i="6" s="1"/>
  <c r="O837" i="11"/>
  <c r="S840" i="6" s="1"/>
  <c r="O838" i="11"/>
  <c r="S841" i="6" s="1"/>
  <c r="O839" i="11"/>
  <c r="S842" i="6" s="1"/>
  <c r="O840" i="11"/>
  <c r="S843" i="6" s="1"/>
  <c r="O841" i="11"/>
  <c r="S844" i="6" s="1"/>
  <c r="O842" i="11"/>
  <c r="S845" i="6" s="1"/>
  <c r="O843" i="11"/>
  <c r="S846" i="6" s="1"/>
  <c r="O844" i="11"/>
  <c r="S847" i="6" s="1"/>
  <c r="O845" i="11"/>
  <c r="S848" i="6" s="1"/>
  <c r="O846" i="11"/>
  <c r="S849" i="6" s="1"/>
  <c r="O847" i="11"/>
  <c r="S850" i="6" s="1"/>
  <c r="O848" i="11"/>
  <c r="S851" i="6" s="1"/>
  <c r="O849" i="11"/>
  <c r="S852" i="6" s="1"/>
  <c r="O850" i="11"/>
  <c r="S853" i="6" s="1"/>
  <c r="O851" i="11"/>
  <c r="S854" i="6" s="1"/>
  <c r="O852" i="11"/>
  <c r="S855" i="6" s="1"/>
  <c r="O853" i="11"/>
  <c r="S856" i="6" s="1"/>
  <c r="O854" i="11"/>
  <c r="S857" i="6" s="1"/>
  <c r="O855" i="11"/>
  <c r="S858" i="6" s="1"/>
  <c r="O856" i="11"/>
  <c r="S859" i="6" s="1"/>
  <c r="O857" i="11"/>
  <c r="S860" i="6" s="1"/>
  <c r="O858" i="11"/>
  <c r="S861" i="6" s="1"/>
  <c r="O859" i="11"/>
  <c r="S862" i="6" s="1"/>
  <c r="O860" i="11"/>
  <c r="S863" i="6" s="1"/>
  <c r="O861" i="11"/>
  <c r="S864" i="6" s="1"/>
  <c r="O862" i="11"/>
  <c r="S865" i="6" s="1"/>
  <c r="O863" i="11"/>
  <c r="S866" i="6" s="1"/>
  <c r="O864" i="11"/>
  <c r="S867" i="6" s="1"/>
  <c r="O865" i="11"/>
  <c r="S868" i="6" s="1"/>
  <c r="O866" i="11"/>
  <c r="S869" i="6" s="1"/>
  <c r="O867" i="11"/>
  <c r="S870" i="6" s="1"/>
  <c r="O868" i="11"/>
  <c r="S871" i="6" s="1"/>
  <c r="O869" i="11"/>
  <c r="S872" i="6" s="1"/>
  <c r="O870" i="11"/>
  <c r="S873" i="6" s="1"/>
  <c r="O871" i="11"/>
  <c r="S874" i="6" s="1"/>
  <c r="O872" i="11"/>
  <c r="S875" i="6" s="1"/>
  <c r="O873" i="11"/>
  <c r="S876" i="6" s="1"/>
  <c r="O874" i="11"/>
  <c r="S877" i="6" s="1"/>
  <c r="O875" i="11"/>
  <c r="S878" i="6" s="1"/>
  <c r="O876" i="11"/>
  <c r="S879" i="6" s="1"/>
  <c r="O877" i="11"/>
  <c r="S880" i="6" s="1"/>
  <c r="O878" i="11"/>
  <c r="S881" i="6" s="1"/>
  <c r="O879" i="11"/>
  <c r="S882" i="6" s="1"/>
  <c r="O880" i="11"/>
  <c r="S883" i="6" s="1"/>
  <c r="O881" i="11"/>
  <c r="S884" i="6" s="1"/>
  <c r="O882" i="11"/>
  <c r="S885" i="6" s="1"/>
  <c r="O883" i="11"/>
  <c r="S886" i="6" s="1"/>
  <c r="O884" i="11"/>
  <c r="S887" i="6" s="1"/>
  <c r="O885" i="11"/>
  <c r="S888" i="6" s="1"/>
  <c r="O886" i="11"/>
  <c r="S889" i="6" s="1"/>
  <c r="O887" i="11"/>
  <c r="S890" i="6" s="1"/>
  <c r="O888" i="11"/>
  <c r="S891" i="6" s="1"/>
  <c r="O889" i="11"/>
  <c r="S892" i="6" s="1"/>
  <c r="O890" i="11"/>
  <c r="S893" i="6" s="1"/>
  <c r="O891" i="11"/>
  <c r="S894" i="6" s="1"/>
  <c r="O892" i="11"/>
  <c r="S895" i="6" s="1"/>
  <c r="O893" i="11"/>
  <c r="S896" i="6" s="1"/>
  <c r="O894" i="11"/>
  <c r="S897" i="6" s="1"/>
  <c r="O895" i="11"/>
  <c r="S898" i="6" s="1"/>
  <c r="O896" i="11"/>
  <c r="S899" i="6" s="1"/>
  <c r="O897" i="11"/>
  <c r="S900" i="6" s="1"/>
  <c r="O898" i="11"/>
  <c r="S901" i="6" s="1"/>
  <c r="O899" i="11"/>
  <c r="S902" i="6" s="1"/>
  <c r="O900" i="11"/>
  <c r="S903" i="6" s="1"/>
  <c r="O901" i="11"/>
  <c r="S904" i="6" s="1"/>
  <c r="O902" i="11"/>
  <c r="S905" i="6" s="1"/>
  <c r="O903" i="11"/>
  <c r="S906" i="6" s="1"/>
  <c r="O904" i="11"/>
  <c r="S907" i="6" s="1"/>
  <c r="O905" i="11"/>
  <c r="S908" i="6" s="1"/>
  <c r="O906" i="11"/>
  <c r="S909" i="6" s="1"/>
  <c r="O907" i="11"/>
  <c r="S910" i="6" s="1"/>
  <c r="O908" i="11"/>
  <c r="S911" i="6" s="1"/>
  <c r="O909" i="11"/>
  <c r="S912" i="6" s="1"/>
  <c r="O910" i="11"/>
  <c r="S913" i="6" s="1"/>
  <c r="O911" i="11"/>
  <c r="S914" i="6" s="1"/>
  <c r="O912" i="11"/>
  <c r="S915" i="6" s="1"/>
  <c r="O913" i="11"/>
  <c r="S916" i="6" s="1"/>
  <c r="O914" i="11"/>
  <c r="S917" i="6" s="1"/>
  <c r="O915" i="11"/>
  <c r="S918" i="6" s="1"/>
  <c r="O916" i="11"/>
  <c r="S919" i="6" s="1"/>
  <c r="O917" i="11"/>
  <c r="S920" i="6" s="1"/>
  <c r="O918" i="11"/>
  <c r="S921" i="6" s="1"/>
  <c r="O919" i="11"/>
  <c r="S922" i="6" s="1"/>
  <c r="O920" i="11"/>
  <c r="S923" i="6" s="1"/>
  <c r="O921" i="11"/>
  <c r="S924" i="6" s="1"/>
  <c r="O922" i="11"/>
  <c r="S925" i="6" s="1"/>
  <c r="O923" i="11"/>
  <c r="S926" i="6" s="1"/>
  <c r="O924" i="11"/>
  <c r="S927" i="6" s="1"/>
  <c r="O925" i="11"/>
  <c r="S928" i="6" s="1"/>
  <c r="O926" i="11"/>
  <c r="S929" i="6" s="1"/>
  <c r="O927" i="11"/>
  <c r="S930" i="6" s="1"/>
  <c r="O928" i="11"/>
  <c r="S931" i="6" s="1"/>
  <c r="O929" i="11"/>
  <c r="S932" i="6" s="1"/>
  <c r="O930" i="11"/>
  <c r="S933" i="6" s="1"/>
  <c r="O931" i="11"/>
  <c r="S934" i="6" s="1"/>
  <c r="O932" i="11"/>
  <c r="S935" i="6" s="1"/>
  <c r="O933" i="11"/>
  <c r="S936" i="6" s="1"/>
  <c r="O934" i="11"/>
  <c r="S937" i="6" s="1"/>
  <c r="O935" i="11"/>
  <c r="S938" i="6" s="1"/>
  <c r="O936" i="11"/>
  <c r="S939" i="6" s="1"/>
  <c r="O937" i="11"/>
  <c r="S940" i="6" s="1"/>
  <c r="O938" i="11"/>
  <c r="S941" i="6" s="1"/>
  <c r="O939" i="11"/>
  <c r="S942" i="6" s="1"/>
  <c r="O940" i="11"/>
  <c r="S943" i="6" s="1"/>
  <c r="O941" i="11"/>
  <c r="S944" i="6" s="1"/>
  <c r="O942" i="11"/>
  <c r="S945" i="6" s="1"/>
  <c r="O943" i="11"/>
  <c r="S946" i="6" s="1"/>
  <c r="O944" i="11"/>
  <c r="S947" i="6" s="1"/>
  <c r="O945" i="11"/>
  <c r="S948" i="6" s="1"/>
  <c r="O946" i="11"/>
  <c r="S949" i="6" s="1"/>
  <c r="O947" i="11"/>
  <c r="S950" i="6" s="1"/>
  <c r="O948" i="11"/>
  <c r="S951" i="6" s="1"/>
  <c r="O949" i="11"/>
  <c r="S952" i="6" s="1"/>
  <c r="O950" i="11"/>
  <c r="S953" i="6" s="1"/>
  <c r="O951" i="11"/>
  <c r="S954" i="6" s="1"/>
  <c r="O952" i="11"/>
  <c r="S955" i="6" s="1"/>
  <c r="O953" i="11"/>
  <c r="S956" i="6" s="1"/>
  <c r="O954" i="11"/>
  <c r="S957" i="6" s="1"/>
  <c r="O955" i="11"/>
  <c r="S958" i="6" s="1"/>
  <c r="O956" i="11"/>
  <c r="S959" i="6" s="1"/>
  <c r="O957" i="11"/>
  <c r="S960" i="6" s="1"/>
  <c r="O958" i="11"/>
  <c r="S961" i="6" s="1"/>
  <c r="O959" i="11"/>
  <c r="S962" i="6" s="1"/>
  <c r="O960" i="11"/>
  <c r="S963" i="6" s="1"/>
  <c r="O961" i="11"/>
  <c r="S964" i="6" s="1"/>
  <c r="O962" i="11"/>
  <c r="S965" i="6" s="1"/>
  <c r="O963" i="11"/>
  <c r="S966" i="6" s="1"/>
  <c r="O964" i="11"/>
  <c r="S967" i="6" s="1"/>
  <c r="O965" i="11"/>
  <c r="S968" i="6" s="1"/>
  <c r="O966" i="11"/>
  <c r="S969" i="6" s="1"/>
  <c r="O967" i="11"/>
  <c r="S970" i="6" s="1"/>
  <c r="O968" i="11"/>
  <c r="S971" i="6" s="1"/>
  <c r="O969" i="11"/>
  <c r="S972" i="6" s="1"/>
  <c r="O970" i="11"/>
  <c r="S973" i="6" s="1"/>
  <c r="O971" i="11"/>
  <c r="S974" i="6" s="1"/>
  <c r="O972" i="11"/>
  <c r="S975" i="6" s="1"/>
  <c r="O973" i="11"/>
  <c r="S976" i="6" s="1"/>
  <c r="O974" i="11"/>
  <c r="S977" i="6" s="1"/>
  <c r="O975" i="11"/>
  <c r="S978" i="6" s="1"/>
  <c r="O976" i="11"/>
  <c r="S979" i="6" s="1"/>
  <c r="O977" i="11"/>
  <c r="S980" i="6" s="1"/>
  <c r="O978" i="11"/>
  <c r="S981" i="6" s="1"/>
  <c r="O979" i="11"/>
  <c r="S982" i="6" s="1"/>
  <c r="O980" i="11"/>
  <c r="S983" i="6" s="1"/>
  <c r="O981" i="11"/>
  <c r="S984" i="6" s="1"/>
  <c r="O982" i="11"/>
  <c r="S985" i="6" s="1"/>
  <c r="O983" i="11"/>
  <c r="S986" i="6" s="1"/>
  <c r="O984" i="11"/>
  <c r="S987" i="6" s="1"/>
  <c r="O985" i="11"/>
  <c r="S988" i="6" s="1"/>
  <c r="O986" i="11"/>
  <c r="S989" i="6" s="1"/>
  <c r="O987" i="11"/>
  <c r="S990" i="6" s="1"/>
  <c r="O988" i="11"/>
  <c r="S991" i="6" s="1"/>
  <c r="O989" i="11"/>
  <c r="S992" i="6" s="1"/>
  <c r="O990" i="11"/>
  <c r="S993" i="6" s="1"/>
  <c r="O991" i="11"/>
  <c r="S994" i="6" s="1"/>
  <c r="O992" i="11"/>
  <c r="S995" i="6" s="1"/>
  <c r="O993" i="11"/>
  <c r="S996" i="6" s="1"/>
  <c r="O994" i="11"/>
  <c r="S997" i="6" s="1"/>
  <c r="O995" i="11"/>
  <c r="S998" i="6" s="1"/>
  <c r="O996" i="11"/>
  <c r="S999" i="6" s="1"/>
  <c r="O997" i="11"/>
  <c r="S1000" i="6" s="1"/>
  <c r="O998" i="11"/>
  <c r="S1001" i="6" s="1"/>
  <c r="O999" i="11"/>
  <c r="S1002" i="6" s="1"/>
  <c r="O1000" i="11"/>
  <c r="S1003" i="6" s="1"/>
  <c r="O1001" i="11"/>
  <c r="S1004" i="6" s="1"/>
  <c r="O1002" i="11"/>
  <c r="S1005" i="6" s="1"/>
  <c r="O1003" i="11"/>
  <c r="S1006" i="6" s="1"/>
  <c r="O1004" i="11"/>
  <c r="S1007" i="6" s="1"/>
  <c r="O1005" i="11"/>
  <c r="S1008" i="6" s="1"/>
  <c r="O1006" i="11"/>
  <c r="S1009" i="6" s="1"/>
  <c r="O1007" i="11"/>
  <c r="S1010" i="6" s="1"/>
  <c r="O1008" i="11"/>
  <c r="S1011" i="6" s="1"/>
  <c r="O1009" i="11"/>
  <c r="S1012" i="6" s="1"/>
  <c r="D1012" i="6"/>
  <c r="G1012" i="6"/>
  <c r="H1012" i="6" s="1"/>
  <c r="Q1012" i="6"/>
  <c r="D1009" i="6"/>
  <c r="G1009" i="6"/>
  <c r="H1009" i="6" s="1"/>
  <c r="Q1009" i="6"/>
  <c r="D1010" i="6"/>
  <c r="G1010" i="6"/>
  <c r="H1010" i="6" s="1"/>
  <c r="Q1010" i="6"/>
  <c r="D1011" i="6"/>
  <c r="G1011" i="6"/>
  <c r="H1011" i="6" s="1"/>
  <c r="Q1011" i="6"/>
  <c r="D263" i="6"/>
  <c r="G263" i="6"/>
  <c r="Q263" i="6"/>
  <c r="B252" i="22" s="1"/>
  <c r="D264" i="6"/>
  <c r="G264" i="6"/>
  <c r="Q264" i="6"/>
  <c r="B253" i="22" s="1"/>
  <c r="D265" i="6"/>
  <c r="G265" i="6"/>
  <c r="Q265" i="6"/>
  <c r="B254" i="22" s="1"/>
  <c r="M254" i="22" s="1"/>
  <c r="D266" i="6"/>
  <c r="G266" i="6"/>
  <c r="Q266" i="6"/>
  <c r="B255" i="22" s="1"/>
  <c r="D267" i="6"/>
  <c r="G267" i="6"/>
  <c r="Q267" i="6"/>
  <c r="B256" i="22" s="1"/>
  <c r="D268" i="6"/>
  <c r="G268" i="6"/>
  <c r="Q268" i="6"/>
  <c r="B257" i="22" s="1"/>
  <c r="D269" i="6"/>
  <c r="G269" i="6"/>
  <c r="Q269" i="6"/>
  <c r="B258" i="22" s="1"/>
  <c r="M258" i="22" s="1"/>
  <c r="D270" i="6"/>
  <c r="G270" i="6"/>
  <c r="Q270" i="6"/>
  <c r="B259" i="22" s="1"/>
  <c r="D271" i="6"/>
  <c r="G271" i="6"/>
  <c r="Q271" i="6"/>
  <c r="B260" i="22" s="1"/>
  <c r="D272" i="6"/>
  <c r="G272" i="6"/>
  <c r="Q272" i="6"/>
  <c r="B261" i="22" s="1"/>
  <c r="D273" i="6"/>
  <c r="G273" i="6"/>
  <c r="Q273" i="6"/>
  <c r="B262" i="22" s="1"/>
  <c r="M262" i="22" s="1"/>
  <c r="D274" i="6"/>
  <c r="G274" i="6"/>
  <c r="Q274" i="6"/>
  <c r="B263" i="22" s="1"/>
  <c r="D275" i="6"/>
  <c r="G275" i="6"/>
  <c r="Q275" i="6"/>
  <c r="B264" i="22" s="1"/>
  <c r="D276" i="6"/>
  <c r="G276" i="6"/>
  <c r="Q276" i="6"/>
  <c r="B265" i="22" s="1"/>
  <c r="D277" i="6"/>
  <c r="G277" i="6"/>
  <c r="Q277" i="6"/>
  <c r="B266" i="22" s="1"/>
  <c r="M266" i="22" s="1"/>
  <c r="D278" i="6"/>
  <c r="G278" i="6"/>
  <c r="Q278" i="6"/>
  <c r="B267" i="22" s="1"/>
  <c r="D279" i="6"/>
  <c r="G279" i="6"/>
  <c r="Q279" i="6"/>
  <c r="B268" i="22" s="1"/>
  <c r="D280" i="6"/>
  <c r="G280" i="6"/>
  <c r="Q280" i="6"/>
  <c r="B269" i="22" s="1"/>
  <c r="D281" i="6"/>
  <c r="G281" i="6"/>
  <c r="Q281" i="6"/>
  <c r="B270" i="22" s="1"/>
  <c r="M270" i="22" s="1"/>
  <c r="D282" i="6"/>
  <c r="G282" i="6"/>
  <c r="Q282" i="6"/>
  <c r="B271" i="22" s="1"/>
  <c r="D283" i="6"/>
  <c r="G283" i="6"/>
  <c r="Q283" i="6"/>
  <c r="B272" i="22" s="1"/>
  <c r="D284" i="6"/>
  <c r="G284" i="6"/>
  <c r="Q284" i="6"/>
  <c r="B273" i="22" s="1"/>
  <c r="D285" i="6"/>
  <c r="G285" i="6"/>
  <c r="Q285" i="6"/>
  <c r="B274" i="22" s="1"/>
  <c r="M274" i="22" s="1"/>
  <c r="D286" i="6"/>
  <c r="G286" i="6"/>
  <c r="Q286" i="6"/>
  <c r="B275" i="22" s="1"/>
  <c r="D287" i="6"/>
  <c r="G287" i="6"/>
  <c r="Q287" i="6"/>
  <c r="B276" i="22" s="1"/>
  <c r="D288" i="6"/>
  <c r="G288" i="6"/>
  <c r="Q288" i="6"/>
  <c r="B277" i="22" s="1"/>
  <c r="D289" i="6"/>
  <c r="G289" i="6"/>
  <c r="Q289" i="6"/>
  <c r="B278" i="22" s="1"/>
  <c r="M278" i="22" s="1"/>
  <c r="D290" i="6"/>
  <c r="G290" i="6"/>
  <c r="Q290" i="6"/>
  <c r="B279" i="22" s="1"/>
  <c r="D291" i="6"/>
  <c r="G291" i="6"/>
  <c r="Q291" i="6"/>
  <c r="B280" i="22" s="1"/>
  <c r="D292" i="6"/>
  <c r="G292" i="6"/>
  <c r="Q292" i="6"/>
  <c r="B281" i="22" s="1"/>
  <c r="D293" i="6"/>
  <c r="G293" i="6"/>
  <c r="Q293" i="6"/>
  <c r="B282" i="22" s="1"/>
  <c r="M282" i="22" s="1"/>
  <c r="D294" i="6"/>
  <c r="G294" i="6"/>
  <c r="Q294" i="6"/>
  <c r="B283" i="22" s="1"/>
  <c r="D295" i="6"/>
  <c r="G295" i="6"/>
  <c r="Q295" i="6"/>
  <c r="B284" i="22" s="1"/>
  <c r="D296" i="6"/>
  <c r="G296" i="6"/>
  <c r="Q296" i="6"/>
  <c r="B285" i="22" s="1"/>
  <c r="D297" i="6"/>
  <c r="G297" i="6"/>
  <c r="Q297" i="6"/>
  <c r="B286" i="22" s="1"/>
  <c r="M286" i="22" s="1"/>
  <c r="D298" i="6"/>
  <c r="G298" i="6"/>
  <c r="Q298" i="6"/>
  <c r="B287" i="22" s="1"/>
  <c r="D299" i="6"/>
  <c r="G299" i="6"/>
  <c r="Q299" i="6"/>
  <c r="B288" i="22" s="1"/>
  <c r="D300" i="6"/>
  <c r="G300" i="6"/>
  <c r="Q300" i="6"/>
  <c r="B289" i="22" s="1"/>
  <c r="D301" i="6"/>
  <c r="G301" i="6"/>
  <c r="Q301" i="6"/>
  <c r="B290" i="22" s="1"/>
  <c r="M290" i="22" s="1"/>
  <c r="D302" i="6"/>
  <c r="G302" i="6"/>
  <c r="Q302" i="6"/>
  <c r="B291" i="22" s="1"/>
  <c r="D303" i="6"/>
  <c r="G303" i="6"/>
  <c r="Q303" i="6"/>
  <c r="B292" i="22" s="1"/>
  <c r="D304" i="6"/>
  <c r="G304" i="6"/>
  <c r="Q304" i="6"/>
  <c r="B293" i="22" s="1"/>
  <c r="D305" i="6"/>
  <c r="G305" i="6"/>
  <c r="Q305" i="6"/>
  <c r="B294" i="22" s="1"/>
  <c r="M294" i="22" s="1"/>
  <c r="D306" i="6"/>
  <c r="G306" i="6"/>
  <c r="Q306" i="6"/>
  <c r="B295" i="22" s="1"/>
  <c r="D307" i="6"/>
  <c r="G307" i="6"/>
  <c r="Q307" i="6"/>
  <c r="B296" i="22" s="1"/>
  <c r="D308" i="6"/>
  <c r="G308" i="6"/>
  <c r="Q308" i="6"/>
  <c r="B297" i="22" s="1"/>
  <c r="D309" i="6"/>
  <c r="G309" i="6"/>
  <c r="Q309" i="6"/>
  <c r="B298" i="22" s="1"/>
  <c r="M298" i="22" s="1"/>
  <c r="D310" i="6"/>
  <c r="G310" i="6"/>
  <c r="Q310" i="6"/>
  <c r="B299" i="22" s="1"/>
  <c r="D311" i="6"/>
  <c r="G311" i="6"/>
  <c r="Q311" i="6"/>
  <c r="B300" i="22" s="1"/>
  <c r="D312" i="6"/>
  <c r="G312" i="6"/>
  <c r="Q312" i="6"/>
  <c r="B301" i="22" s="1"/>
  <c r="D313" i="6"/>
  <c r="G313" i="6"/>
  <c r="Q313" i="6"/>
  <c r="B302" i="22" s="1"/>
  <c r="M302" i="22" s="1"/>
  <c r="D314" i="6"/>
  <c r="G314" i="6"/>
  <c r="Q314" i="6"/>
  <c r="B303" i="22" s="1"/>
  <c r="D315" i="6"/>
  <c r="G315" i="6"/>
  <c r="Q315" i="6"/>
  <c r="B304" i="22" s="1"/>
  <c r="D316" i="6"/>
  <c r="G316" i="6"/>
  <c r="Q316" i="6"/>
  <c r="B305" i="22" s="1"/>
  <c r="D317" i="6"/>
  <c r="G317" i="6"/>
  <c r="Q317" i="6"/>
  <c r="B306" i="22" s="1"/>
  <c r="M306" i="22" s="1"/>
  <c r="D318" i="6"/>
  <c r="G318" i="6"/>
  <c r="Q318" i="6"/>
  <c r="B307" i="22" s="1"/>
  <c r="D319" i="6"/>
  <c r="G319" i="6"/>
  <c r="Q319" i="6"/>
  <c r="B308" i="22" s="1"/>
  <c r="D320" i="6"/>
  <c r="G320" i="6"/>
  <c r="Q320" i="6"/>
  <c r="B309" i="22" s="1"/>
  <c r="D321" i="6"/>
  <c r="G321" i="6"/>
  <c r="Q321" i="6"/>
  <c r="B310" i="22" s="1"/>
  <c r="M310" i="22" s="1"/>
  <c r="D322" i="6"/>
  <c r="G322" i="6"/>
  <c r="Q322" i="6"/>
  <c r="B311" i="22" s="1"/>
  <c r="D323" i="6"/>
  <c r="G323" i="6"/>
  <c r="Q323" i="6"/>
  <c r="B312" i="22" s="1"/>
  <c r="D324" i="6"/>
  <c r="G324" i="6"/>
  <c r="Q324" i="6"/>
  <c r="B313" i="22" s="1"/>
  <c r="D325" i="6"/>
  <c r="G325" i="6"/>
  <c r="Q325" i="6"/>
  <c r="B314" i="22" s="1"/>
  <c r="M314" i="22" s="1"/>
  <c r="D326" i="6"/>
  <c r="G326" i="6"/>
  <c r="Q326" i="6"/>
  <c r="B315" i="22" s="1"/>
  <c r="D327" i="6"/>
  <c r="G327" i="6"/>
  <c r="Q327" i="6"/>
  <c r="B316" i="22" s="1"/>
  <c r="D328" i="6"/>
  <c r="G328" i="6"/>
  <c r="Q328" i="6"/>
  <c r="B317" i="22" s="1"/>
  <c r="D329" i="6"/>
  <c r="G329" i="6"/>
  <c r="Q329" i="6"/>
  <c r="B318" i="22" s="1"/>
  <c r="M318" i="22" s="1"/>
  <c r="D330" i="6"/>
  <c r="G330" i="6"/>
  <c r="Q330" i="6"/>
  <c r="B319" i="22" s="1"/>
  <c r="D331" i="6"/>
  <c r="G331" i="6"/>
  <c r="Q331" i="6"/>
  <c r="B320" i="22" s="1"/>
  <c r="D332" i="6"/>
  <c r="G332" i="6"/>
  <c r="Q332" i="6"/>
  <c r="B321" i="22" s="1"/>
  <c r="D333" i="6"/>
  <c r="G333" i="6"/>
  <c r="Q333" i="6"/>
  <c r="B322" i="22" s="1"/>
  <c r="M322" i="22" s="1"/>
  <c r="D334" i="6"/>
  <c r="G334" i="6"/>
  <c r="Q334" i="6"/>
  <c r="B323" i="22" s="1"/>
  <c r="D335" i="6"/>
  <c r="G335" i="6"/>
  <c r="Q335" i="6"/>
  <c r="B324" i="22" s="1"/>
  <c r="D336" i="6"/>
  <c r="G336" i="6"/>
  <c r="Q336" i="6"/>
  <c r="B325" i="22" s="1"/>
  <c r="D337" i="6"/>
  <c r="G337" i="6"/>
  <c r="Q337" i="6"/>
  <c r="B326" i="22" s="1"/>
  <c r="M326" i="22" s="1"/>
  <c r="D338" i="6"/>
  <c r="G338" i="6"/>
  <c r="Q338" i="6"/>
  <c r="B327" i="22" s="1"/>
  <c r="D339" i="6"/>
  <c r="G339" i="6"/>
  <c r="Q339" i="6"/>
  <c r="B328" i="22" s="1"/>
  <c r="D340" i="6"/>
  <c r="G340" i="6"/>
  <c r="Q340" i="6"/>
  <c r="B329" i="22" s="1"/>
  <c r="D341" i="6"/>
  <c r="G341" i="6"/>
  <c r="Q341" i="6"/>
  <c r="B330" i="22" s="1"/>
  <c r="M330" i="22" s="1"/>
  <c r="D342" i="6"/>
  <c r="G342" i="6"/>
  <c r="Q342" i="6"/>
  <c r="B331" i="22" s="1"/>
  <c r="D343" i="6"/>
  <c r="G343" i="6"/>
  <c r="Q343" i="6"/>
  <c r="B332" i="22" s="1"/>
  <c r="D344" i="6"/>
  <c r="G344" i="6"/>
  <c r="Q344" i="6"/>
  <c r="B333" i="22" s="1"/>
  <c r="D345" i="6"/>
  <c r="G345" i="6"/>
  <c r="Q345" i="6"/>
  <c r="B334" i="22" s="1"/>
  <c r="M334" i="22" s="1"/>
  <c r="D346" i="6"/>
  <c r="G346" i="6"/>
  <c r="Q346" i="6"/>
  <c r="B335" i="22" s="1"/>
  <c r="D347" i="6"/>
  <c r="G347" i="6"/>
  <c r="Q347" i="6"/>
  <c r="B336" i="22" s="1"/>
  <c r="D348" i="6"/>
  <c r="G348" i="6"/>
  <c r="Q348" i="6"/>
  <c r="B337" i="22" s="1"/>
  <c r="D349" i="6"/>
  <c r="G349" i="6"/>
  <c r="Q349" i="6"/>
  <c r="B338" i="22" s="1"/>
  <c r="M338" i="22" s="1"/>
  <c r="D350" i="6"/>
  <c r="G350" i="6"/>
  <c r="Q350" i="6"/>
  <c r="B339" i="22" s="1"/>
  <c r="D351" i="6"/>
  <c r="G351" i="6"/>
  <c r="Q351" i="6"/>
  <c r="B340" i="22" s="1"/>
  <c r="D352" i="6"/>
  <c r="G352" i="6"/>
  <c r="Q352" i="6"/>
  <c r="B341" i="22" s="1"/>
  <c r="D353" i="6"/>
  <c r="G353" i="6"/>
  <c r="Q353" i="6"/>
  <c r="B342" i="22" s="1"/>
  <c r="M342" i="22" s="1"/>
  <c r="D354" i="6"/>
  <c r="G354" i="6"/>
  <c r="Q354" i="6"/>
  <c r="B343" i="22" s="1"/>
  <c r="D355" i="6"/>
  <c r="G355" i="6"/>
  <c r="Q355" i="6"/>
  <c r="B344" i="22" s="1"/>
  <c r="D356" i="6"/>
  <c r="G356" i="6"/>
  <c r="Q356" i="6"/>
  <c r="B345" i="22" s="1"/>
  <c r="D357" i="6"/>
  <c r="G357" i="6"/>
  <c r="Q357" i="6"/>
  <c r="B346" i="22" s="1"/>
  <c r="M346" i="22" s="1"/>
  <c r="D358" i="6"/>
  <c r="G358" i="6"/>
  <c r="Q358" i="6"/>
  <c r="B347" i="22" s="1"/>
  <c r="D359" i="6"/>
  <c r="G359" i="6"/>
  <c r="Q359" i="6"/>
  <c r="B348" i="22" s="1"/>
  <c r="D360" i="6"/>
  <c r="G360" i="6"/>
  <c r="Q360" i="6"/>
  <c r="B349" i="22" s="1"/>
  <c r="D361" i="6"/>
  <c r="G361" i="6"/>
  <c r="H361" i="6" s="1"/>
  <c r="Q361" i="6"/>
  <c r="B350" i="22" s="1"/>
  <c r="M350" i="22" s="1"/>
  <c r="D362" i="6"/>
  <c r="G362" i="6"/>
  <c r="H362" i="6" s="1"/>
  <c r="Q362" i="6"/>
  <c r="B351" i="22" s="1"/>
  <c r="D363" i="6"/>
  <c r="G363" i="6"/>
  <c r="H363" i="6" s="1"/>
  <c r="Q363" i="6"/>
  <c r="B352" i="22" s="1"/>
  <c r="D364" i="6"/>
  <c r="G364" i="6"/>
  <c r="Q364" i="6"/>
  <c r="B353" i="22" s="1"/>
  <c r="D365" i="6"/>
  <c r="G365" i="6"/>
  <c r="H365" i="6" s="1"/>
  <c r="Q365" i="6"/>
  <c r="B354" i="22" s="1"/>
  <c r="M354" i="22" s="1"/>
  <c r="D366" i="6"/>
  <c r="G366" i="6"/>
  <c r="H366" i="6" s="1"/>
  <c r="Q366" i="6"/>
  <c r="B355" i="22" s="1"/>
  <c r="D367" i="6"/>
  <c r="G367" i="6"/>
  <c r="Q367" i="6"/>
  <c r="B356" i="22" s="1"/>
  <c r="D368" i="6"/>
  <c r="G368" i="6"/>
  <c r="Q368" i="6"/>
  <c r="B357" i="22" s="1"/>
  <c r="D369" i="6"/>
  <c r="G369" i="6"/>
  <c r="H369" i="6" s="1"/>
  <c r="Q369" i="6"/>
  <c r="B358" i="22" s="1"/>
  <c r="M358" i="22" s="1"/>
  <c r="D370" i="6"/>
  <c r="G370" i="6"/>
  <c r="H370" i="6" s="1"/>
  <c r="Q370" i="6"/>
  <c r="B359" i="22" s="1"/>
  <c r="D371" i="6"/>
  <c r="G371" i="6"/>
  <c r="H371" i="6" s="1"/>
  <c r="Q371" i="6"/>
  <c r="B360" i="22" s="1"/>
  <c r="D372" i="6"/>
  <c r="G372" i="6"/>
  <c r="Q372" i="6"/>
  <c r="B361" i="22" s="1"/>
  <c r="D373" i="6"/>
  <c r="G373" i="6"/>
  <c r="H373" i="6" s="1"/>
  <c r="Q373" i="6"/>
  <c r="B362" i="22" s="1"/>
  <c r="M362" i="22" s="1"/>
  <c r="D374" i="6"/>
  <c r="G374" i="6"/>
  <c r="H374" i="6" s="1"/>
  <c r="Q374" i="6"/>
  <c r="B363" i="22" s="1"/>
  <c r="D375" i="6"/>
  <c r="G375" i="6"/>
  <c r="H375" i="6" s="1"/>
  <c r="Q375" i="6"/>
  <c r="B364" i="22" s="1"/>
  <c r="D376" i="6"/>
  <c r="G376" i="6"/>
  <c r="H376" i="6" s="1"/>
  <c r="Q376" i="6"/>
  <c r="B365" i="22" s="1"/>
  <c r="D377" i="6"/>
  <c r="G377" i="6"/>
  <c r="H377" i="6" s="1"/>
  <c r="Q377" i="6"/>
  <c r="B366" i="22" s="1"/>
  <c r="M366" i="22" s="1"/>
  <c r="D378" i="6"/>
  <c r="G378" i="6"/>
  <c r="H378" i="6" s="1"/>
  <c r="Q378" i="6"/>
  <c r="B367" i="22" s="1"/>
  <c r="D379" i="6"/>
  <c r="G379" i="6"/>
  <c r="H379" i="6" s="1"/>
  <c r="Q379" i="6"/>
  <c r="B368" i="22" s="1"/>
  <c r="D380" i="6"/>
  <c r="G380" i="6"/>
  <c r="H380" i="6" s="1"/>
  <c r="Q380" i="6"/>
  <c r="B369" i="22" s="1"/>
  <c r="D381" i="6"/>
  <c r="G381" i="6"/>
  <c r="H381" i="6" s="1"/>
  <c r="Q381" i="6"/>
  <c r="B370" i="22" s="1"/>
  <c r="M370" i="22" s="1"/>
  <c r="D382" i="6"/>
  <c r="G382" i="6"/>
  <c r="H382" i="6" s="1"/>
  <c r="Q382" i="6"/>
  <c r="B371" i="22" s="1"/>
  <c r="D383" i="6"/>
  <c r="G383" i="6"/>
  <c r="H383" i="6" s="1"/>
  <c r="Q383" i="6"/>
  <c r="B372" i="22" s="1"/>
  <c r="D384" i="6"/>
  <c r="G384" i="6"/>
  <c r="H384" i="6" s="1"/>
  <c r="Q384" i="6"/>
  <c r="B373" i="22" s="1"/>
  <c r="D385" i="6"/>
  <c r="G385" i="6"/>
  <c r="H385" i="6" s="1"/>
  <c r="Q385" i="6"/>
  <c r="B374" i="22" s="1"/>
  <c r="M374" i="22" s="1"/>
  <c r="D386" i="6"/>
  <c r="G386" i="6"/>
  <c r="H386" i="6" s="1"/>
  <c r="Q386" i="6"/>
  <c r="B375" i="22" s="1"/>
  <c r="D387" i="6"/>
  <c r="G387" i="6"/>
  <c r="H387" i="6" s="1"/>
  <c r="Q387" i="6"/>
  <c r="B376" i="22" s="1"/>
  <c r="D388" i="6"/>
  <c r="G388" i="6"/>
  <c r="Q388" i="6"/>
  <c r="B377" i="22" s="1"/>
  <c r="D389" i="6"/>
  <c r="G389" i="6"/>
  <c r="H389" i="6" s="1"/>
  <c r="Q389" i="6"/>
  <c r="B378" i="22" s="1"/>
  <c r="M378" i="22" s="1"/>
  <c r="D390" i="6"/>
  <c r="G390" i="6"/>
  <c r="H390" i="6" s="1"/>
  <c r="Q390" i="6"/>
  <c r="B379" i="22" s="1"/>
  <c r="D391" i="6"/>
  <c r="G391" i="6"/>
  <c r="H391" i="6" s="1"/>
  <c r="Q391" i="6"/>
  <c r="B380" i="22" s="1"/>
  <c r="D392" i="6"/>
  <c r="G392" i="6"/>
  <c r="H392" i="6" s="1"/>
  <c r="Q392" i="6"/>
  <c r="B381" i="22" s="1"/>
  <c r="D393" i="6"/>
  <c r="G393" i="6"/>
  <c r="H393" i="6" s="1"/>
  <c r="Q393" i="6"/>
  <c r="B382" i="22" s="1"/>
  <c r="M382" i="22" s="1"/>
  <c r="D394" i="6"/>
  <c r="G394" i="6"/>
  <c r="H394" i="6" s="1"/>
  <c r="Q394" i="6"/>
  <c r="B383" i="22" s="1"/>
  <c r="D395" i="6"/>
  <c r="G395" i="6"/>
  <c r="H395" i="6" s="1"/>
  <c r="Q395" i="6"/>
  <c r="B384" i="22" s="1"/>
  <c r="D396" i="6"/>
  <c r="G396" i="6"/>
  <c r="Q396" i="6"/>
  <c r="B385" i="22" s="1"/>
  <c r="D397" i="6"/>
  <c r="G397" i="6"/>
  <c r="H397" i="6" s="1"/>
  <c r="Q397" i="6"/>
  <c r="B386" i="22" s="1"/>
  <c r="M386" i="22" s="1"/>
  <c r="D398" i="6"/>
  <c r="G398" i="6"/>
  <c r="H398" i="6" s="1"/>
  <c r="Q398" i="6"/>
  <c r="B387" i="22" s="1"/>
  <c r="D399" i="6"/>
  <c r="G399" i="6"/>
  <c r="H399" i="6" s="1"/>
  <c r="Q399" i="6"/>
  <c r="B388" i="22" s="1"/>
  <c r="D400" i="6"/>
  <c r="G400" i="6"/>
  <c r="H400" i="6" s="1"/>
  <c r="Q400" i="6"/>
  <c r="B389" i="22" s="1"/>
  <c r="D401" i="6"/>
  <c r="G401" i="6"/>
  <c r="H401" i="6" s="1"/>
  <c r="Q401" i="6"/>
  <c r="B390" i="22" s="1"/>
  <c r="M390" i="22" s="1"/>
  <c r="D402" i="6"/>
  <c r="G402" i="6"/>
  <c r="H402" i="6" s="1"/>
  <c r="Q402" i="6"/>
  <c r="B391" i="22" s="1"/>
  <c r="D403" i="6"/>
  <c r="G403" i="6"/>
  <c r="H403" i="6" s="1"/>
  <c r="Q403" i="6"/>
  <c r="B392" i="22" s="1"/>
  <c r="D404" i="6"/>
  <c r="G404" i="6"/>
  <c r="H404" i="6" s="1"/>
  <c r="Q404" i="6"/>
  <c r="B393" i="22" s="1"/>
  <c r="D405" i="6"/>
  <c r="G405" i="6"/>
  <c r="H405" i="6" s="1"/>
  <c r="Q405" i="6"/>
  <c r="B394" i="22" s="1"/>
  <c r="M394" i="22" s="1"/>
  <c r="D406" i="6"/>
  <c r="G406" i="6"/>
  <c r="H406" i="6" s="1"/>
  <c r="Q406" i="6"/>
  <c r="B395" i="22" s="1"/>
  <c r="D407" i="6"/>
  <c r="G407" i="6"/>
  <c r="H407" i="6" s="1"/>
  <c r="Q407" i="6"/>
  <c r="B396" i="22" s="1"/>
  <c r="D408" i="6"/>
  <c r="G408" i="6"/>
  <c r="H408" i="6" s="1"/>
  <c r="Q408" i="6"/>
  <c r="B397" i="22" s="1"/>
  <c r="D409" i="6"/>
  <c r="G409" i="6"/>
  <c r="H409" i="6" s="1"/>
  <c r="Q409" i="6"/>
  <c r="B398" i="22" s="1"/>
  <c r="M398" i="22" s="1"/>
  <c r="D410" i="6"/>
  <c r="G410" i="6"/>
  <c r="H410" i="6" s="1"/>
  <c r="Q410" i="6"/>
  <c r="B399" i="22" s="1"/>
  <c r="D411" i="6"/>
  <c r="G411" i="6"/>
  <c r="H411" i="6" s="1"/>
  <c r="Q411" i="6"/>
  <c r="B400" i="22" s="1"/>
  <c r="D412" i="6"/>
  <c r="G412" i="6"/>
  <c r="H412" i="6" s="1"/>
  <c r="Q412" i="6"/>
  <c r="B401" i="22" s="1"/>
  <c r="D413" i="6"/>
  <c r="G413" i="6"/>
  <c r="H413" i="6" s="1"/>
  <c r="Q413" i="6"/>
  <c r="B402" i="22" s="1"/>
  <c r="M402" i="22" s="1"/>
  <c r="D414" i="6"/>
  <c r="G414" i="6"/>
  <c r="H414" i="6" s="1"/>
  <c r="Q414" i="6"/>
  <c r="B403" i="22" s="1"/>
  <c r="D415" i="6"/>
  <c r="G415" i="6"/>
  <c r="H415" i="6" s="1"/>
  <c r="Q415" i="6"/>
  <c r="B404" i="22" s="1"/>
  <c r="D416" i="6"/>
  <c r="G416" i="6"/>
  <c r="H416" i="6" s="1"/>
  <c r="Q416" i="6"/>
  <c r="B405" i="22" s="1"/>
  <c r="D417" i="6"/>
  <c r="G417" i="6"/>
  <c r="H417" i="6" s="1"/>
  <c r="Q417" i="6"/>
  <c r="B406" i="22" s="1"/>
  <c r="M406" i="22" s="1"/>
  <c r="D418" i="6"/>
  <c r="G418" i="6"/>
  <c r="Q418" i="6"/>
  <c r="B407" i="22" s="1"/>
  <c r="D419" i="6"/>
  <c r="G419" i="6"/>
  <c r="H419" i="6" s="1"/>
  <c r="Q419" i="6"/>
  <c r="B408" i="22" s="1"/>
  <c r="D420" i="6"/>
  <c r="G420" i="6"/>
  <c r="H420" i="6" s="1"/>
  <c r="Q420" i="6"/>
  <c r="B409" i="22" s="1"/>
  <c r="D421" i="6"/>
  <c r="G421" i="6"/>
  <c r="H421" i="6" s="1"/>
  <c r="Q421" i="6"/>
  <c r="B410" i="22" s="1"/>
  <c r="M410" i="22" s="1"/>
  <c r="D422" i="6"/>
  <c r="G422" i="6"/>
  <c r="H422" i="6" s="1"/>
  <c r="Q422" i="6"/>
  <c r="B411" i="22" s="1"/>
  <c r="D423" i="6"/>
  <c r="G423" i="6"/>
  <c r="H423" i="6" s="1"/>
  <c r="Q423" i="6"/>
  <c r="B412" i="22" s="1"/>
  <c r="D424" i="6"/>
  <c r="G424" i="6"/>
  <c r="H424" i="6" s="1"/>
  <c r="Q424" i="6"/>
  <c r="B413" i="22" s="1"/>
  <c r="D425" i="6"/>
  <c r="G425" i="6"/>
  <c r="H425" i="6" s="1"/>
  <c r="Q425" i="6"/>
  <c r="B414" i="22" s="1"/>
  <c r="M414" i="22" s="1"/>
  <c r="D426" i="6"/>
  <c r="G426" i="6"/>
  <c r="H426" i="6" s="1"/>
  <c r="Q426" i="6"/>
  <c r="B415" i="22" s="1"/>
  <c r="D427" i="6"/>
  <c r="G427" i="6"/>
  <c r="H427" i="6" s="1"/>
  <c r="Q427" i="6"/>
  <c r="B416" i="22" s="1"/>
  <c r="D428" i="6"/>
  <c r="G428" i="6"/>
  <c r="H428" i="6" s="1"/>
  <c r="Q428" i="6"/>
  <c r="B417" i="22" s="1"/>
  <c r="D429" i="6"/>
  <c r="G429" i="6"/>
  <c r="H429" i="6" s="1"/>
  <c r="Q429" i="6"/>
  <c r="B418" i="22" s="1"/>
  <c r="M418" i="22" s="1"/>
  <c r="D430" i="6"/>
  <c r="G430" i="6"/>
  <c r="H430" i="6" s="1"/>
  <c r="Q430" i="6"/>
  <c r="B419" i="22" s="1"/>
  <c r="D431" i="6"/>
  <c r="G431" i="6"/>
  <c r="H431" i="6" s="1"/>
  <c r="Q431" i="6"/>
  <c r="B420" i="22" s="1"/>
  <c r="D432" i="6"/>
  <c r="G432" i="6"/>
  <c r="Q432" i="6"/>
  <c r="B421" i="22" s="1"/>
  <c r="D433" i="6"/>
  <c r="G433" i="6"/>
  <c r="H433" i="6" s="1"/>
  <c r="Q433" i="6"/>
  <c r="B422" i="22" s="1"/>
  <c r="M422" i="22" s="1"/>
  <c r="D434" i="6"/>
  <c r="G434" i="6"/>
  <c r="H434" i="6" s="1"/>
  <c r="Q434" i="6"/>
  <c r="B423" i="22" s="1"/>
  <c r="D435" i="6"/>
  <c r="G435" i="6"/>
  <c r="H435" i="6" s="1"/>
  <c r="Q435" i="6"/>
  <c r="B424" i="22" s="1"/>
  <c r="D436" i="6"/>
  <c r="G436" i="6"/>
  <c r="H436" i="6" s="1"/>
  <c r="Q436" i="6"/>
  <c r="B425" i="22" s="1"/>
  <c r="D437" i="6"/>
  <c r="G437" i="6"/>
  <c r="H437" i="6" s="1"/>
  <c r="Q437" i="6"/>
  <c r="B426" i="22" s="1"/>
  <c r="M426" i="22" s="1"/>
  <c r="D438" i="6"/>
  <c r="G438" i="6"/>
  <c r="H438" i="6" s="1"/>
  <c r="Q438" i="6"/>
  <c r="B427" i="22" s="1"/>
  <c r="D439" i="6"/>
  <c r="G439" i="6"/>
  <c r="H439" i="6" s="1"/>
  <c r="Q439" i="6"/>
  <c r="B428" i="22" s="1"/>
  <c r="D440" i="6"/>
  <c r="G440" i="6"/>
  <c r="H440" i="6" s="1"/>
  <c r="Q440" i="6"/>
  <c r="B429" i="22" s="1"/>
  <c r="D441" i="6"/>
  <c r="G441" i="6"/>
  <c r="H441" i="6" s="1"/>
  <c r="Q441" i="6"/>
  <c r="B430" i="22" s="1"/>
  <c r="M430" i="22" s="1"/>
  <c r="D442" i="6"/>
  <c r="G442" i="6"/>
  <c r="H442" i="6" s="1"/>
  <c r="Q442" i="6"/>
  <c r="B431" i="22" s="1"/>
  <c r="D443" i="6"/>
  <c r="G443" i="6"/>
  <c r="H443" i="6" s="1"/>
  <c r="Q443" i="6"/>
  <c r="B432" i="22" s="1"/>
  <c r="D444" i="6"/>
  <c r="G444" i="6"/>
  <c r="H444" i="6" s="1"/>
  <c r="Q444" i="6"/>
  <c r="B433" i="22" s="1"/>
  <c r="D445" i="6"/>
  <c r="G445" i="6"/>
  <c r="H445" i="6" s="1"/>
  <c r="Q445" i="6"/>
  <c r="B434" i="22" s="1"/>
  <c r="M434" i="22" s="1"/>
  <c r="D446" i="6"/>
  <c r="G446" i="6"/>
  <c r="H446" i="6" s="1"/>
  <c r="Q446" i="6"/>
  <c r="B435" i="22" s="1"/>
  <c r="D447" i="6"/>
  <c r="G447" i="6"/>
  <c r="H447" i="6" s="1"/>
  <c r="Q447" i="6"/>
  <c r="B436" i="22" s="1"/>
  <c r="D448" i="6"/>
  <c r="G448" i="6"/>
  <c r="H448" i="6" s="1"/>
  <c r="Q448" i="6"/>
  <c r="B437" i="22" s="1"/>
  <c r="D449" i="6"/>
  <c r="G449" i="6"/>
  <c r="H449" i="6" s="1"/>
  <c r="Q449" i="6"/>
  <c r="B438" i="22" s="1"/>
  <c r="M438" i="22" s="1"/>
  <c r="D450" i="6"/>
  <c r="G450" i="6"/>
  <c r="H450" i="6" s="1"/>
  <c r="Q450" i="6"/>
  <c r="B439" i="22" s="1"/>
  <c r="D451" i="6"/>
  <c r="G451" i="6"/>
  <c r="H451" i="6" s="1"/>
  <c r="Q451" i="6"/>
  <c r="B440" i="22" s="1"/>
  <c r="D452" i="6"/>
  <c r="G452" i="6"/>
  <c r="H452" i="6" s="1"/>
  <c r="Q452" i="6"/>
  <c r="B441" i="22" s="1"/>
  <c r="D453" i="6"/>
  <c r="G453" i="6"/>
  <c r="H453" i="6" s="1"/>
  <c r="Q453" i="6"/>
  <c r="B442" i="22" s="1"/>
  <c r="M442" i="22" s="1"/>
  <c r="D454" i="6"/>
  <c r="G454" i="6"/>
  <c r="H454" i="6" s="1"/>
  <c r="Q454" i="6"/>
  <c r="B443" i="22" s="1"/>
  <c r="D455" i="6"/>
  <c r="G455" i="6"/>
  <c r="H455" i="6" s="1"/>
  <c r="Q455" i="6"/>
  <c r="B444" i="22" s="1"/>
  <c r="D456" i="6"/>
  <c r="G456" i="6"/>
  <c r="H456" i="6" s="1"/>
  <c r="Q456" i="6"/>
  <c r="B445" i="22" s="1"/>
  <c r="D457" i="6"/>
  <c r="G457" i="6"/>
  <c r="H457" i="6" s="1"/>
  <c r="Q457" i="6"/>
  <c r="B446" i="22" s="1"/>
  <c r="M446" i="22" s="1"/>
  <c r="D458" i="6"/>
  <c r="G458" i="6"/>
  <c r="H458" i="6" s="1"/>
  <c r="Q458" i="6"/>
  <c r="B447" i="22" s="1"/>
  <c r="D459" i="6"/>
  <c r="G459" i="6"/>
  <c r="H459" i="6" s="1"/>
  <c r="Q459" i="6"/>
  <c r="B448" i="22" s="1"/>
  <c r="D460" i="6"/>
  <c r="G460" i="6"/>
  <c r="H460" i="6" s="1"/>
  <c r="Q460" i="6"/>
  <c r="B449" i="22" s="1"/>
  <c r="D461" i="6"/>
  <c r="G461" i="6"/>
  <c r="H461" i="6" s="1"/>
  <c r="Q461" i="6"/>
  <c r="B450" i="22" s="1"/>
  <c r="M450" i="22" s="1"/>
  <c r="D462" i="6"/>
  <c r="G462" i="6"/>
  <c r="H462" i="6" s="1"/>
  <c r="Q462" i="6"/>
  <c r="B451" i="22" s="1"/>
  <c r="D463" i="6"/>
  <c r="G463" i="6"/>
  <c r="H463" i="6" s="1"/>
  <c r="Q463" i="6"/>
  <c r="B452" i="22" s="1"/>
  <c r="D464" i="6"/>
  <c r="G464" i="6"/>
  <c r="H464" i="6" s="1"/>
  <c r="Q464" i="6"/>
  <c r="B453" i="22" s="1"/>
  <c r="D465" i="6"/>
  <c r="G465" i="6"/>
  <c r="H465" i="6" s="1"/>
  <c r="Q465" i="6"/>
  <c r="B454" i="22" s="1"/>
  <c r="M454" i="22" s="1"/>
  <c r="D466" i="6"/>
  <c r="G466" i="6"/>
  <c r="H466" i="6" s="1"/>
  <c r="Q466" i="6"/>
  <c r="B455" i="22" s="1"/>
  <c r="D467" i="6"/>
  <c r="G467" i="6"/>
  <c r="H467" i="6" s="1"/>
  <c r="Q467" i="6"/>
  <c r="B456" i="22" s="1"/>
  <c r="D468" i="6"/>
  <c r="G468" i="6"/>
  <c r="H468" i="6" s="1"/>
  <c r="Q468" i="6"/>
  <c r="B457" i="22" s="1"/>
  <c r="D469" i="6"/>
  <c r="G469" i="6"/>
  <c r="H469" i="6" s="1"/>
  <c r="Q469" i="6"/>
  <c r="B458" i="22" s="1"/>
  <c r="M458" i="22" s="1"/>
  <c r="D470" i="6"/>
  <c r="G470" i="6"/>
  <c r="H470" i="6" s="1"/>
  <c r="Q470" i="6"/>
  <c r="B459" i="22" s="1"/>
  <c r="D471" i="6"/>
  <c r="G471" i="6"/>
  <c r="H471" i="6" s="1"/>
  <c r="Q471" i="6"/>
  <c r="B460" i="22" s="1"/>
  <c r="D472" i="6"/>
  <c r="G472" i="6"/>
  <c r="H472" i="6" s="1"/>
  <c r="Q472" i="6"/>
  <c r="B461" i="22" s="1"/>
  <c r="D473" i="6"/>
  <c r="G473" i="6"/>
  <c r="H473" i="6" s="1"/>
  <c r="Q473" i="6"/>
  <c r="B462" i="22" s="1"/>
  <c r="M462" i="22" s="1"/>
  <c r="D474" i="6"/>
  <c r="G474" i="6"/>
  <c r="Q474" i="6"/>
  <c r="B463" i="22" s="1"/>
  <c r="D475" i="6"/>
  <c r="G475" i="6"/>
  <c r="H475" i="6" s="1"/>
  <c r="Q475" i="6"/>
  <c r="B464" i="22" s="1"/>
  <c r="D476" i="6"/>
  <c r="G476" i="6"/>
  <c r="H476" i="6" s="1"/>
  <c r="Q476" i="6"/>
  <c r="B465" i="22" s="1"/>
  <c r="D477" i="6"/>
  <c r="G477" i="6"/>
  <c r="H477" i="6" s="1"/>
  <c r="Q477" i="6"/>
  <c r="B466" i="22" s="1"/>
  <c r="M466" i="22" s="1"/>
  <c r="D478" i="6"/>
  <c r="G478" i="6"/>
  <c r="H478" i="6" s="1"/>
  <c r="Q478" i="6"/>
  <c r="B467" i="22" s="1"/>
  <c r="D479" i="6"/>
  <c r="G479" i="6"/>
  <c r="H479" i="6" s="1"/>
  <c r="Q479" i="6"/>
  <c r="B468" i="22" s="1"/>
  <c r="D480" i="6"/>
  <c r="G480" i="6"/>
  <c r="H480" i="6" s="1"/>
  <c r="Q480" i="6"/>
  <c r="B469" i="22" s="1"/>
  <c r="D481" i="6"/>
  <c r="G481" i="6"/>
  <c r="H481" i="6" s="1"/>
  <c r="Q481" i="6"/>
  <c r="B470" i="22" s="1"/>
  <c r="M470" i="22" s="1"/>
  <c r="D482" i="6"/>
  <c r="G482" i="6"/>
  <c r="H482" i="6" s="1"/>
  <c r="Q482" i="6"/>
  <c r="B471" i="22" s="1"/>
  <c r="D483" i="6"/>
  <c r="G483" i="6"/>
  <c r="H483" i="6" s="1"/>
  <c r="Q483" i="6"/>
  <c r="B472" i="22" s="1"/>
  <c r="D484" i="6"/>
  <c r="G484" i="6"/>
  <c r="H484" i="6" s="1"/>
  <c r="Q484" i="6"/>
  <c r="B473" i="22" s="1"/>
  <c r="D485" i="6"/>
  <c r="G485" i="6"/>
  <c r="H485" i="6" s="1"/>
  <c r="Q485" i="6"/>
  <c r="B474" i="22" s="1"/>
  <c r="M474" i="22" s="1"/>
  <c r="D486" i="6"/>
  <c r="G486" i="6"/>
  <c r="H486" i="6" s="1"/>
  <c r="Q486" i="6"/>
  <c r="B475" i="22" s="1"/>
  <c r="D487" i="6"/>
  <c r="G487" i="6"/>
  <c r="H487" i="6" s="1"/>
  <c r="Q487" i="6"/>
  <c r="B476" i="22" s="1"/>
  <c r="D488" i="6"/>
  <c r="G488" i="6"/>
  <c r="H488" i="6" s="1"/>
  <c r="Q488" i="6"/>
  <c r="B477" i="22" s="1"/>
  <c r="D489" i="6"/>
  <c r="G489" i="6"/>
  <c r="H489" i="6" s="1"/>
  <c r="Q489" i="6"/>
  <c r="B478" i="22" s="1"/>
  <c r="M478" i="22" s="1"/>
  <c r="D490" i="6"/>
  <c r="G490" i="6"/>
  <c r="H490" i="6" s="1"/>
  <c r="Q490" i="6"/>
  <c r="B479" i="22" s="1"/>
  <c r="D491" i="6"/>
  <c r="G491" i="6"/>
  <c r="H491" i="6" s="1"/>
  <c r="Q491" i="6"/>
  <c r="B480" i="22" s="1"/>
  <c r="D492" i="6"/>
  <c r="G492" i="6"/>
  <c r="H492" i="6" s="1"/>
  <c r="Q492" i="6"/>
  <c r="B481" i="22" s="1"/>
  <c r="D493" i="6"/>
  <c r="G493" i="6"/>
  <c r="H493" i="6" s="1"/>
  <c r="Q493" i="6"/>
  <c r="B482" i="22" s="1"/>
  <c r="M482" i="22" s="1"/>
  <c r="D494" i="6"/>
  <c r="G494" i="6"/>
  <c r="H494" i="6" s="1"/>
  <c r="Q494" i="6"/>
  <c r="B483" i="22" s="1"/>
  <c r="D495" i="6"/>
  <c r="G495" i="6"/>
  <c r="H495" i="6" s="1"/>
  <c r="Q495" i="6"/>
  <c r="B484" i="22" s="1"/>
  <c r="D496" i="6"/>
  <c r="G496" i="6"/>
  <c r="H496" i="6" s="1"/>
  <c r="Q496" i="6"/>
  <c r="B485" i="22" s="1"/>
  <c r="D497" i="6"/>
  <c r="G497" i="6"/>
  <c r="H497" i="6" s="1"/>
  <c r="Q497" i="6"/>
  <c r="B486" i="22" s="1"/>
  <c r="M486" i="22" s="1"/>
  <c r="D498" i="6"/>
  <c r="G498" i="6"/>
  <c r="H498" i="6" s="1"/>
  <c r="Q498" i="6"/>
  <c r="B487" i="22" s="1"/>
  <c r="D499" i="6"/>
  <c r="G499" i="6"/>
  <c r="H499" i="6" s="1"/>
  <c r="Q499" i="6"/>
  <c r="B488" i="22" s="1"/>
  <c r="D500" i="6"/>
  <c r="G500" i="6"/>
  <c r="H500" i="6" s="1"/>
  <c r="Q500" i="6"/>
  <c r="B489" i="22" s="1"/>
  <c r="D501" i="6"/>
  <c r="G501" i="6"/>
  <c r="H501" i="6" s="1"/>
  <c r="Q501" i="6"/>
  <c r="B490" i="22" s="1"/>
  <c r="M490" i="22" s="1"/>
  <c r="D502" i="6"/>
  <c r="G502" i="6"/>
  <c r="H502" i="6" s="1"/>
  <c r="Q502" i="6"/>
  <c r="B491" i="22" s="1"/>
  <c r="D503" i="6"/>
  <c r="G503" i="6"/>
  <c r="H503" i="6" s="1"/>
  <c r="Q503" i="6"/>
  <c r="B492" i="22" s="1"/>
  <c r="D504" i="6"/>
  <c r="G504" i="6"/>
  <c r="H504" i="6" s="1"/>
  <c r="Q504" i="6"/>
  <c r="B493" i="22" s="1"/>
  <c r="D505" i="6"/>
  <c r="G505" i="6"/>
  <c r="H505" i="6" s="1"/>
  <c r="Q505" i="6"/>
  <c r="B494" i="22" s="1"/>
  <c r="M494" i="22" s="1"/>
  <c r="D506" i="6"/>
  <c r="G506" i="6"/>
  <c r="H506" i="6" s="1"/>
  <c r="Q506" i="6"/>
  <c r="B495" i="22" s="1"/>
  <c r="D507" i="6"/>
  <c r="G507" i="6"/>
  <c r="Q507" i="6"/>
  <c r="B496" i="22" s="1"/>
  <c r="D508" i="6"/>
  <c r="G508" i="6"/>
  <c r="H508" i="6" s="1"/>
  <c r="Q508" i="6"/>
  <c r="B497" i="22" s="1"/>
  <c r="D509" i="6"/>
  <c r="G509" i="6"/>
  <c r="H509" i="6" s="1"/>
  <c r="Q509" i="6"/>
  <c r="B498" i="22" s="1"/>
  <c r="M498" i="22" s="1"/>
  <c r="D510" i="6"/>
  <c r="G510" i="6"/>
  <c r="H510" i="6" s="1"/>
  <c r="Q510" i="6"/>
  <c r="B499" i="22" s="1"/>
  <c r="D511" i="6"/>
  <c r="G511" i="6"/>
  <c r="H511" i="6" s="1"/>
  <c r="Q511" i="6"/>
  <c r="B500" i="22" s="1"/>
  <c r="D512" i="6"/>
  <c r="G512" i="6"/>
  <c r="H512" i="6" s="1"/>
  <c r="Q512" i="6"/>
  <c r="B501" i="22" s="1"/>
  <c r="D513" i="6"/>
  <c r="G513" i="6"/>
  <c r="H513" i="6" s="1"/>
  <c r="Q513" i="6"/>
  <c r="D514" i="6"/>
  <c r="G514" i="6"/>
  <c r="H514" i="6" s="1"/>
  <c r="Q514" i="6"/>
  <c r="D515" i="6"/>
  <c r="G515" i="6"/>
  <c r="Q515" i="6"/>
  <c r="D516" i="6"/>
  <c r="G516" i="6"/>
  <c r="H516" i="6" s="1"/>
  <c r="Q516" i="6"/>
  <c r="D517" i="6"/>
  <c r="G517" i="6"/>
  <c r="Q517" i="6"/>
  <c r="D518" i="6"/>
  <c r="G518" i="6"/>
  <c r="H518" i="6" s="1"/>
  <c r="Q518" i="6"/>
  <c r="D519" i="6"/>
  <c r="G519" i="6"/>
  <c r="H519" i="6" s="1"/>
  <c r="Q519" i="6"/>
  <c r="D520" i="6"/>
  <c r="G520" i="6"/>
  <c r="H520" i="6" s="1"/>
  <c r="Q520" i="6"/>
  <c r="D521" i="6"/>
  <c r="G521" i="6"/>
  <c r="H521" i="6" s="1"/>
  <c r="Q521" i="6"/>
  <c r="D522" i="6"/>
  <c r="G522" i="6"/>
  <c r="H522" i="6" s="1"/>
  <c r="Q522" i="6"/>
  <c r="D523" i="6"/>
  <c r="G523" i="6"/>
  <c r="Q523" i="6"/>
  <c r="D524" i="6"/>
  <c r="G524" i="6"/>
  <c r="H524" i="6" s="1"/>
  <c r="Q524" i="6"/>
  <c r="D525" i="6"/>
  <c r="G525" i="6"/>
  <c r="H525" i="6" s="1"/>
  <c r="Q525" i="6"/>
  <c r="D526" i="6"/>
  <c r="G526" i="6"/>
  <c r="H526" i="6" s="1"/>
  <c r="Q526" i="6"/>
  <c r="D527" i="6"/>
  <c r="G527" i="6"/>
  <c r="H527" i="6" s="1"/>
  <c r="Q527" i="6"/>
  <c r="D528" i="6"/>
  <c r="G528" i="6"/>
  <c r="H528" i="6" s="1"/>
  <c r="Q528" i="6"/>
  <c r="D529" i="6"/>
  <c r="G529" i="6"/>
  <c r="H529" i="6" s="1"/>
  <c r="Q529" i="6"/>
  <c r="D530" i="6"/>
  <c r="G530" i="6"/>
  <c r="H530" i="6" s="1"/>
  <c r="Q530" i="6"/>
  <c r="D531" i="6"/>
  <c r="G531" i="6"/>
  <c r="H531" i="6" s="1"/>
  <c r="Q531" i="6"/>
  <c r="D532" i="6"/>
  <c r="G532" i="6"/>
  <c r="H532" i="6" s="1"/>
  <c r="Q532" i="6"/>
  <c r="D533" i="6"/>
  <c r="G533" i="6"/>
  <c r="H533" i="6" s="1"/>
  <c r="Q533" i="6"/>
  <c r="D534" i="6"/>
  <c r="G534" i="6"/>
  <c r="H534" i="6" s="1"/>
  <c r="Q534" i="6"/>
  <c r="D535" i="6"/>
  <c r="G535" i="6"/>
  <c r="H535" i="6" s="1"/>
  <c r="Q535" i="6"/>
  <c r="D536" i="6"/>
  <c r="G536" i="6"/>
  <c r="H536" i="6" s="1"/>
  <c r="Q536" i="6"/>
  <c r="D537" i="6"/>
  <c r="G537" i="6"/>
  <c r="H537" i="6" s="1"/>
  <c r="Q537" i="6"/>
  <c r="D538" i="6"/>
  <c r="G538" i="6"/>
  <c r="H538" i="6" s="1"/>
  <c r="Q538" i="6"/>
  <c r="D539" i="6"/>
  <c r="G539" i="6"/>
  <c r="H539" i="6" s="1"/>
  <c r="Q539" i="6"/>
  <c r="D540" i="6"/>
  <c r="G540" i="6"/>
  <c r="H540" i="6" s="1"/>
  <c r="Q540" i="6"/>
  <c r="D541" i="6"/>
  <c r="G541" i="6"/>
  <c r="H541" i="6" s="1"/>
  <c r="Q541" i="6"/>
  <c r="D542" i="6"/>
  <c r="G542" i="6"/>
  <c r="H542" i="6" s="1"/>
  <c r="Q542" i="6"/>
  <c r="D543" i="6"/>
  <c r="G543" i="6"/>
  <c r="H543" i="6" s="1"/>
  <c r="Q543" i="6"/>
  <c r="D544" i="6"/>
  <c r="G544" i="6"/>
  <c r="H544" i="6" s="1"/>
  <c r="Q544" i="6"/>
  <c r="D545" i="6"/>
  <c r="G545" i="6"/>
  <c r="H545" i="6" s="1"/>
  <c r="Q545" i="6"/>
  <c r="D546" i="6"/>
  <c r="G546" i="6"/>
  <c r="H546" i="6" s="1"/>
  <c r="Q546" i="6"/>
  <c r="D547" i="6"/>
  <c r="G547" i="6"/>
  <c r="H547" i="6" s="1"/>
  <c r="Q547" i="6"/>
  <c r="D548" i="6"/>
  <c r="G548" i="6"/>
  <c r="H548" i="6" s="1"/>
  <c r="Q548" i="6"/>
  <c r="D549" i="6"/>
  <c r="G549" i="6"/>
  <c r="H549" i="6" s="1"/>
  <c r="Q549" i="6"/>
  <c r="D550" i="6"/>
  <c r="G550" i="6"/>
  <c r="H550" i="6" s="1"/>
  <c r="Q550" i="6"/>
  <c r="D551" i="6"/>
  <c r="G551" i="6"/>
  <c r="Q551" i="6"/>
  <c r="D552" i="6"/>
  <c r="G552" i="6"/>
  <c r="H552" i="6" s="1"/>
  <c r="Q552" i="6"/>
  <c r="D553" i="6"/>
  <c r="G553" i="6"/>
  <c r="H553" i="6" s="1"/>
  <c r="Q553" i="6"/>
  <c r="D554" i="6"/>
  <c r="G554" i="6"/>
  <c r="H554" i="6" s="1"/>
  <c r="Q554" i="6"/>
  <c r="D555" i="6"/>
  <c r="G555" i="6"/>
  <c r="H555" i="6" s="1"/>
  <c r="Q555" i="6"/>
  <c r="D556" i="6"/>
  <c r="G556" i="6"/>
  <c r="H556" i="6" s="1"/>
  <c r="Q556" i="6"/>
  <c r="D557" i="6"/>
  <c r="G557" i="6"/>
  <c r="H557" i="6" s="1"/>
  <c r="Q557" i="6"/>
  <c r="D558" i="6"/>
  <c r="G558" i="6"/>
  <c r="H558" i="6" s="1"/>
  <c r="Q558" i="6"/>
  <c r="D559" i="6"/>
  <c r="G559" i="6"/>
  <c r="H559" i="6" s="1"/>
  <c r="Q559" i="6"/>
  <c r="D560" i="6"/>
  <c r="G560" i="6"/>
  <c r="H560" i="6" s="1"/>
  <c r="Q560" i="6"/>
  <c r="D561" i="6"/>
  <c r="G561" i="6"/>
  <c r="H561" i="6" s="1"/>
  <c r="Q561" i="6"/>
  <c r="D562" i="6"/>
  <c r="G562" i="6"/>
  <c r="H562" i="6" s="1"/>
  <c r="Q562" i="6"/>
  <c r="D563" i="6"/>
  <c r="G563" i="6"/>
  <c r="H563" i="6" s="1"/>
  <c r="Q563" i="6"/>
  <c r="D564" i="6"/>
  <c r="G564" i="6"/>
  <c r="H564" i="6" s="1"/>
  <c r="Q564" i="6"/>
  <c r="D565" i="6"/>
  <c r="G565" i="6"/>
  <c r="H565" i="6" s="1"/>
  <c r="Q565" i="6"/>
  <c r="D566" i="6"/>
  <c r="G566" i="6"/>
  <c r="H566" i="6" s="1"/>
  <c r="Q566" i="6"/>
  <c r="D567" i="6"/>
  <c r="G567" i="6"/>
  <c r="H567" i="6" s="1"/>
  <c r="Q567" i="6"/>
  <c r="D568" i="6"/>
  <c r="G568" i="6"/>
  <c r="H568" i="6" s="1"/>
  <c r="Q568" i="6"/>
  <c r="D569" i="6"/>
  <c r="G569" i="6"/>
  <c r="H569" i="6" s="1"/>
  <c r="Q569" i="6"/>
  <c r="D570" i="6"/>
  <c r="G570" i="6"/>
  <c r="H570" i="6" s="1"/>
  <c r="Q570" i="6"/>
  <c r="D571" i="6"/>
  <c r="G571" i="6"/>
  <c r="H571" i="6" s="1"/>
  <c r="Q571" i="6"/>
  <c r="D572" i="6"/>
  <c r="G572" i="6"/>
  <c r="H572" i="6" s="1"/>
  <c r="Q572" i="6"/>
  <c r="D573" i="6"/>
  <c r="G573" i="6"/>
  <c r="H573" i="6" s="1"/>
  <c r="Q573" i="6"/>
  <c r="D574" i="6"/>
  <c r="G574" i="6"/>
  <c r="H574" i="6" s="1"/>
  <c r="Q574" i="6"/>
  <c r="D575" i="6"/>
  <c r="G575" i="6"/>
  <c r="H575" i="6" s="1"/>
  <c r="Q575" i="6"/>
  <c r="D576" i="6"/>
  <c r="G576" i="6"/>
  <c r="H576" i="6" s="1"/>
  <c r="Q576" i="6"/>
  <c r="D577" i="6"/>
  <c r="G577" i="6"/>
  <c r="H577" i="6" s="1"/>
  <c r="Q577" i="6"/>
  <c r="D578" i="6"/>
  <c r="G578" i="6"/>
  <c r="Q578" i="6"/>
  <c r="D579" i="6"/>
  <c r="G579" i="6"/>
  <c r="H579" i="6" s="1"/>
  <c r="Q579" i="6"/>
  <c r="D580" i="6"/>
  <c r="G580" i="6"/>
  <c r="H580" i="6" s="1"/>
  <c r="Q580" i="6"/>
  <c r="D581" i="6"/>
  <c r="G581" i="6"/>
  <c r="H581" i="6" s="1"/>
  <c r="Q581" i="6"/>
  <c r="D582" i="6"/>
  <c r="G582" i="6"/>
  <c r="H582" i="6" s="1"/>
  <c r="Q582" i="6"/>
  <c r="D583" i="6"/>
  <c r="G583" i="6"/>
  <c r="H583" i="6" s="1"/>
  <c r="Q583" i="6"/>
  <c r="D584" i="6"/>
  <c r="G584" i="6"/>
  <c r="H584" i="6" s="1"/>
  <c r="Q584" i="6"/>
  <c r="D585" i="6"/>
  <c r="G585" i="6"/>
  <c r="H585" i="6" s="1"/>
  <c r="Q585" i="6"/>
  <c r="D586" i="6"/>
  <c r="G586" i="6"/>
  <c r="H586" i="6" s="1"/>
  <c r="Q586" i="6"/>
  <c r="D587" i="6"/>
  <c r="G587" i="6"/>
  <c r="H587" i="6" s="1"/>
  <c r="Q587" i="6"/>
  <c r="D588" i="6"/>
  <c r="G588" i="6"/>
  <c r="H588" i="6" s="1"/>
  <c r="Q588" i="6"/>
  <c r="D589" i="6"/>
  <c r="G589" i="6"/>
  <c r="H589" i="6" s="1"/>
  <c r="Q589" i="6"/>
  <c r="D590" i="6"/>
  <c r="G590" i="6"/>
  <c r="H590" i="6" s="1"/>
  <c r="Q590" i="6"/>
  <c r="D591" i="6"/>
  <c r="G591" i="6"/>
  <c r="H591" i="6" s="1"/>
  <c r="Q591" i="6"/>
  <c r="D592" i="6"/>
  <c r="G592" i="6"/>
  <c r="Q592" i="6"/>
  <c r="D593" i="6"/>
  <c r="G593" i="6"/>
  <c r="H593" i="6" s="1"/>
  <c r="Q593" i="6"/>
  <c r="D594" i="6"/>
  <c r="G594" i="6"/>
  <c r="Q594" i="6"/>
  <c r="D595" i="6"/>
  <c r="G595" i="6"/>
  <c r="H595" i="6" s="1"/>
  <c r="Q595" i="6"/>
  <c r="D596" i="6"/>
  <c r="G596" i="6"/>
  <c r="H596" i="6" s="1"/>
  <c r="Q596" i="6"/>
  <c r="D597" i="6"/>
  <c r="G597" i="6"/>
  <c r="H597" i="6" s="1"/>
  <c r="Q597" i="6"/>
  <c r="D598" i="6"/>
  <c r="G598" i="6"/>
  <c r="H598" i="6" s="1"/>
  <c r="Q598" i="6"/>
  <c r="D599" i="6"/>
  <c r="G599" i="6"/>
  <c r="H599" i="6" s="1"/>
  <c r="Q599" i="6"/>
  <c r="D600" i="6"/>
  <c r="G600" i="6"/>
  <c r="H600" i="6" s="1"/>
  <c r="Q600" i="6"/>
  <c r="D601" i="6"/>
  <c r="G601" i="6"/>
  <c r="H601" i="6" s="1"/>
  <c r="Q601" i="6"/>
  <c r="D602" i="6"/>
  <c r="G602" i="6"/>
  <c r="Q602" i="6"/>
  <c r="D603" i="6"/>
  <c r="G603" i="6"/>
  <c r="H603" i="6" s="1"/>
  <c r="Q603" i="6"/>
  <c r="D604" i="6"/>
  <c r="G604" i="6"/>
  <c r="H604" i="6" s="1"/>
  <c r="Q604" i="6"/>
  <c r="D605" i="6"/>
  <c r="G605" i="6"/>
  <c r="H605" i="6" s="1"/>
  <c r="Q605" i="6"/>
  <c r="D606" i="6"/>
  <c r="G606" i="6"/>
  <c r="H606" i="6" s="1"/>
  <c r="Q606" i="6"/>
  <c r="D607" i="6"/>
  <c r="G607" i="6"/>
  <c r="H607" i="6" s="1"/>
  <c r="Q607" i="6"/>
  <c r="D608" i="6"/>
  <c r="G608" i="6"/>
  <c r="H608" i="6" s="1"/>
  <c r="Q608" i="6"/>
  <c r="D609" i="6"/>
  <c r="G609" i="6"/>
  <c r="H609" i="6" s="1"/>
  <c r="Q609" i="6"/>
  <c r="D610" i="6"/>
  <c r="G610" i="6"/>
  <c r="H610" i="6" s="1"/>
  <c r="Q610" i="6"/>
  <c r="D611" i="6"/>
  <c r="G611" i="6"/>
  <c r="H611" i="6" s="1"/>
  <c r="Q611" i="6"/>
  <c r="D612" i="6"/>
  <c r="G612" i="6"/>
  <c r="Q612" i="6"/>
  <c r="D613" i="6"/>
  <c r="G613" i="6"/>
  <c r="H613" i="6" s="1"/>
  <c r="Q613" i="6"/>
  <c r="D614" i="6"/>
  <c r="G614" i="6"/>
  <c r="H614" i="6" s="1"/>
  <c r="Q614" i="6"/>
  <c r="D615" i="6"/>
  <c r="G615" i="6"/>
  <c r="H615" i="6" s="1"/>
  <c r="Q615" i="6"/>
  <c r="D616" i="6"/>
  <c r="G616" i="6"/>
  <c r="H616" i="6" s="1"/>
  <c r="Q616" i="6"/>
  <c r="D617" i="6"/>
  <c r="G617" i="6"/>
  <c r="H617" i="6" s="1"/>
  <c r="Q617" i="6"/>
  <c r="D618" i="6"/>
  <c r="G618" i="6"/>
  <c r="Q618" i="6"/>
  <c r="D619" i="6"/>
  <c r="G619" i="6"/>
  <c r="H619" i="6" s="1"/>
  <c r="Q619" i="6"/>
  <c r="D620" i="6"/>
  <c r="G620" i="6"/>
  <c r="H620" i="6" s="1"/>
  <c r="Q620" i="6"/>
  <c r="D621" i="6"/>
  <c r="G621" i="6"/>
  <c r="H621" i="6" s="1"/>
  <c r="Q621" i="6"/>
  <c r="D622" i="6"/>
  <c r="G622" i="6"/>
  <c r="H622" i="6" s="1"/>
  <c r="Q622" i="6"/>
  <c r="D623" i="6"/>
  <c r="G623" i="6"/>
  <c r="H623" i="6" s="1"/>
  <c r="Q623" i="6"/>
  <c r="D624" i="6"/>
  <c r="G624" i="6"/>
  <c r="H624" i="6" s="1"/>
  <c r="Q624" i="6"/>
  <c r="D625" i="6"/>
  <c r="G625" i="6"/>
  <c r="H625" i="6" s="1"/>
  <c r="Q625" i="6"/>
  <c r="D626" i="6"/>
  <c r="G626" i="6"/>
  <c r="Q626" i="6"/>
  <c r="D627" i="6"/>
  <c r="G627" i="6"/>
  <c r="H627" i="6" s="1"/>
  <c r="Q627" i="6"/>
  <c r="D628" i="6"/>
  <c r="G628" i="6"/>
  <c r="Q628" i="6"/>
  <c r="D629" i="6"/>
  <c r="G629" i="6"/>
  <c r="H629" i="6" s="1"/>
  <c r="Q629" i="6"/>
  <c r="D630" i="6"/>
  <c r="G630" i="6"/>
  <c r="H630" i="6" s="1"/>
  <c r="Q630" i="6"/>
  <c r="D631" i="6"/>
  <c r="G631" i="6"/>
  <c r="H631" i="6" s="1"/>
  <c r="Q631" i="6"/>
  <c r="D632" i="6"/>
  <c r="G632" i="6"/>
  <c r="Q632" i="6"/>
  <c r="D633" i="6"/>
  <c r="G633" i="6"/>
  <c r="H633" i="6" s="1"/>
  <c r="Q633" i="6"/>
  <c r="D634" i="6"/>
  <c r="G634" i="6"/>
  <c r="Q634" i="6"/>
  <c r="D635" i="6"/>
  <c r="G635" i="6"/>
  <c r="H635" i="6" s="1"/>
  <c r="Q635" i="6"/>
  <c r="D636" i="6"/>
  <c r="G636" i="6"/>
  <c r="H636" i="6" s="1"/>
  <c r="Q636" i="6"/>
  <c r="D637" i="6"/>
  <c r="G637" i="6"/>
  <c r="H637" i="6" s="1"/>
  <c r="Q637" i="6"/>
  <c r="D638" i="6"/>
  <c r="G638" i="6"/>
  <c r="H638" i="6" s="1"/>
  <c r="Q638" i="6"/>
  <c r="D639" i="6"/>
  <c r="G639" i="6"/>
  <c r="H639" i="6" s="1"/>
  <c r="Q639" i="6"/>
  <c r="D640" i="6"/>
  <c r="G640" i="6"/>
  <c r="H640" i="6" s="1"/>
  <c r="Q640" i="6"/>
  <c r="D641" i="6"/>
  <c r="G641" i="6"/>
  <c r="H641" i="6" s="1"/>
  <c r="Q641" i="6"/>
  <c r="D642" i="6"/>
  <c r="G642" i="6"/>
  <c r="H642" i="6" s="1"/>
  <c r="Q642" i="6"/>
  <c r="D643" i="6"/>
  <c r="G643" i="6"/>
  <c r="H643" i="6" s="1"/>
  <c r="Q643" i="6"/>
  <c r="D644" i="6"/>
  <c r="G644" i="6"/>
  <c r="Q644" i="6"/>
  <c r="D645" i="6"/>
  <c r="G645" i="6"/>
  <c r="H645" i="6" s="1"/>
  <c r="Q645" i="6"/>
  <c r="D646" i="6"/>
  <c r="G646" i="6"/>
  <c r="H646" i="6" s="1"/>
  <c r="Q646" i="6"/>
  <c r="D647" i="6"/>
  <c r="G647" i="6"/>
  <c r="H647" i="6" s="1"/>
  <c r="Q647" i="6"/>
  <c r="D648" i="6"/>
  <c r="G648" i="6"/>
  <c r="H648" i="6" s="1"/>
  <c r="Q648" i="6"/>
  <c r="D649" i="6"/>
  <c r="G649" i="6"/>
  <c r="H649" i="6" s="1"/>
  <c r="Q649" i="6"/>
  <c r="D650" i="6"/>
  <c r="G650" i="6"/>
  <c r="H650" i="6" s="1"/>
  <c r="Q650" i="6"/>
  <c r="D651" i="6"/>
  <c r="G651" i="6"/>
  <c r="H651" i="6" s="1"/>
  <c r="Q651" i="6"/>
  <c r="D652" i="6"/>
  <c r="G652" i="6"/>
  <c r="H652" i="6" s="1"/>
  <c r="Q652" i="6"/>
  <c r="D653" i="6"/>
  <c r="G653" i="6"/>
  <c r="H653" i="6" s="1"/>
  <c r="Q653" i="6"/>
  <c r="D654" i="6"/>
  <c r="G654" i="6"/>
  <c r="H654" i="6" s="1"/>
  <c r="Q654" i="6"/>
  <c r="D655" i="6"/>
  <c r="G655" i="6"/>
  <c r="H655" i="6" s="1"/>
  <c r="Q655" i="6"/>
  <c r="D656" i="6"/>
  <c r="G656" i="6"/>
  <c r="H656" i="6" s="1"/>
  <c r="Q656" i="6"/>
  <c r="D657" i="6"/>
  <c r="G657" i="6"/>
  <c r="H657" i="6" s="1"/>
  <c r="Q657" i="6"/>
  <c r="D658" i="6"/>
  <c r="G658" i="6"/>
  <c r="H658" i="6" s="1"/>
  <c r="Q658" i="6"/>
  <c r="D659" i="6"/>
  <c r="G659" i="6"/>
  <c r="H659" i="6" s="1"/>
  <c r="Q659" i="6"/>
  <c r="D660" i="6"/>
  <c r="G660" i="6"/>
  <c r="H660" i="6" s="1"/>
  <c r="Q660" i="6"/>
  <c r="D661" i="6"/>
  <c r="G661" i="6"/>
  <c r="H661" i="6" s="1"/>
  <c r="Q661" i="6"/>
  <c r="D662" i="6"/>
  <c r="G662" i="6"/>
  <c r="H662" i="6" s="1"/>
  <c r="Q662" i="6"/>
  <c r="D663" i="6"/>
  <c r="G663" i="6"/>
  <c r="H663" i="6" s="1"/>
  <c r="Q663" i="6"/>
  <c r="D664" i="6"/>
  <c r="G664" i="6"/>
  <c r="H664" i="6" s="1"/>
  <c r="Q664" i="6"/>
  <c r="D665" i="6"/>
  <c r="G665" i="6"/>
  <c r="H665" i="6" s="1"/>
  <c r="Q665" i="6"/>
  <c r="D666" i="6"/>
  <c r="G666" i="6"/>
  <c r="H666" i="6" s="1"/>
  <c r="Q666" i="6"/>
  <c r="D667" i="6"/>
  <c r="G667" i="6"/>
  <c r="H667" i="6" s="1"/>
  <c r="Q667" i="6"/>
  <c r="D668" i="6"/>
  <c r="G668" i="6"/>
  <c r="H668" i="6" s="1"/>
  <c r="Q668" i="6"/>
  <c r="D669" i="6"/>
  <c r="G669" i="6"/>
  <c r="H669" i="6" s="1"/>
  <c r="Q669" i="6"/>
  <c r="D670" i="6"/>
  <c r="G670" i="6"/>
  <c r="H670" i="6" s="1"/>
  <c r="Q670" i="6"/>
  <c r="D671" i="6"/>
  <c r="G671" i="6"/>
  <c r="H671" i="6" s="1"/>
  <c r="Q671" i="6"/>
  <c r="D672" i="6"/>
  <c r="G672" i="6"/>
  <c r="H672" i="6" s="1"/>
  <c r="Q672" i="6"/>
  <c r="D673" i="6"/>
  <c r="G673" i="6"/>
  <c r="H673" i="6" s="1"/>
  <c r="Q673" i="6"/>
  <c r="D674" i="6"/>
  <c r="G674" i="6"/>
  <c r="H674" i="6" s="1"/>
  <c r="Q674" i="6"/>
  <c r="D675" i="6"/>
  <c r="G675" i="6"/>
  <c r="H675" i="6" s="1"/>
  <c r="Q675" i="6"/>
  <c r="D676" i="6"/>
  <c r="G676" i="6"/>
  <c r="H676" i="6" s="1"/>
  <c r="Q676" i="6"/>
  <c r="D677" i="6"/>
  <c r="G677" i="6"/>
  <c r="H677" i="6" s="1"/>
  <c r="Q677" i="6"/>
  <c r="D678" i="6"/>
  <c r="G678" i="6"/>
  <c r="Q678" i="6"/>
  <c r="D679" i="6"/>
  <c r="G679" i="6"/>
  <c r="H679" i="6" s="1"/>
  <c r="Q679" i="6"/>
  <c r="D680" i="6"/>
  <c r="G680" i="6"/>
  <c r="H680" i="6" s="1"/>
  <c r="Q680" i="6"/>
  <c r="D681" i="6"/>
  <c r="G681" i="6"/>
  <c r="H681" i="6" s="1"/>
  <c r="Q681" i="6"/>
  <c r="D682" i="6"/>
  <c r="G682" i="6"/>
  <c r="H682" i="6" s="1"/>
  <c r="Q682" i="6"/>
  <c r="D683" i="6"/>
  <c r="G683" i="6"/>
  <c r="H683" i="6" s="1"/>
  <c r="Q683" i="6"/>
  <c r="D684" i="6"/>
  <c r="G684" i="6"/>
  <c r="H684" i="6" s="1"/>
  <c r="Q684" i="6"/>
  <c r="D685" i="6"/>
  <c r="G685" i="6"/>
  <c r="H685" i="6" s="1"/>
  <c r="Q685" i="6"/>
  <c r="D686" i="6"/>
  <c r="G686" i="6"/>
  <c r="H686" i="6" s="1"/>
  <c r="Q686" i="6"/>
  <c r="D687" i="6"/>
  <c r="G687" i="6"/>
  <c r="H687" i="6" s="1"/>
  <c r="Q687" i="6"/>
  <c r="D688" i="6"/>
  <c r="G688" i="6"/>
  <c r="H688" i="6" s="1"/>
  <c r="Q688" i="6"/>
  <c r="D689" i="6"/>
  <c r="G689" i="6"/>
  <c r="H689" i="6" s="1"/>
  <c r="Q689" i="6"/>
  <c r="D690" i="6"/>
  <c r="G690" i="6"/>
  <c r="H690" i="6" s="1"/>
  <c r="Q690" i="6"/>
  <c r="D691" i="6"/>
  <c r="G691" i="6"/>
  <c r="H691" i="6" s="1"/>
  <c r="Q691" i="6"/>
  <c r="D692" i="6"/>
  <c r="G692" i="6"/>
  <c r="Q692" i="6"/>
  <c r="D693" i="6"/>
  <c r="G693" i="6"/>
  <c r="H693" i="6" s="1"/>
  <c r="Q693" i="6"/>
  <c r="D694" i="6"/>
  <c r="G694" i="6"/>
  <c r="H694" i="6" s="1"/>
  <c r="Q694" i="6"/>
  <c r="D695" i="6"/>
  <c r="G695" i="6"/>
  <c r="H695" i="6" s="1"/>
  <c r="Q695" i="6"/>
  <c r="D696" i="6"/>
  <c r="G696" i="6"/>
  <c r="H696" i="6" s="1"/>
  <c r="Q696" i="6"/>
  <c r="D697" i="6"/>
  <c r="G697" i="6"/>
  <c r="H697" i="6" s="1"/>
  <c r="Q697" i="6"/>
  <c r="D698" i="6"/>
  <c r="G698" i="6"/>
  <c r="H698" i="6" s="1"/>
  <c r="Q698" i="6"/>
  <c r="D699" i="6"/>
  <c r="G699" i="6"/>
  <c r="H699" i="6" s="1"/>
  <c r="Q699" i="6"/>
  <c r="D700" i="6"/>
  <c r="G700" i="6"/>
  <c r="H700" i="6" s="1"/>
  <c r="Q700" i="6"/>
  <c r="D701" i="6"/>
  <c r="G701" i="6"/>
  <c r="H701" i="6" s="1"/>
  <c r="Q701" i="6"/>
  <c r="D702" i="6"/>
  <c r="G702" i="6"/>
  <c r="H702" i="6" s="1"/>
  <c r="Q702" i="6"/>
  <c r="D703" i="6"/>
  <c r="G703" i="6"/>
  <c r="H703" i="6" s="1"/>
  <c r="Q703" i="6"/>
  <c r="D704" i="6"/>
  <c r="G704" i="6"/>
  <c r="H704" i="6" s="1"/>
  <c r="Q704" i="6"/>
  <c r="D705" i="6"/>
  <c r="G705" i="6"/>
  <c r="H705" i="6" s="1"/>
  <c r="Q705" i="6"/>
  <c r="D706" i="6"/>
  <c r="G706" i="6"/>
  <c r="H706" i="6" s="1"/>
  <c r="Q706" i="6"/>
  <c r="D707" i="6"/>
  <c r="G707" i="6"/>
  <c r="H707" i="6" s="1"/>
  <c r="Q707" i="6"/>
  <c r="D708" i="6"/>
  <c r="G708" i="6"/>
  <c r="H708" i="6" s="1"/>
  <c r="Q708" i="6"/>
  <c r="D709" i="6"/>
  <c r="G709" i="6"/>
  <c r="H709" i="6" s="1"/>
  <c r="Q709" i="6"/>
  <c r="D710" i="6"/>
  <c r="G710" i="6"/>
  <c r="H710" i="6" s="1"/>
  <c r="Q710" i="6"/>
  <c r="D711" i="6"/>
  <c r="G711" i="6"/>
  <c r="H711" i="6" s="1"/>
  <c r="Q711" i="6"/>
  <c r="D712" i="6"/>
  <c r="G712" i="6"/>
  <c r="Q712" i="6"/>
  <c r="D713" i="6"/>
  <c r="G713" i="6"/>
  <c r="H713" i="6" s="1"/>
  <c r="Q713" i="6"/>
  <c r="D714" i="6"/>
  <c r="G714" i="6"/>
  <c r="H714" i="6" s="1"/>
  <c r="Q714" i="6"/>
  <c r="D715" i="6"/>
  <c r="G715" i="6"/>
  <c r="H715" i="6" s="1"/>
  <c r="Q715" i="6"/>
  <c r="D716" i="6"/>
  <c r="G716" i="6"/>
  <c r="Q716" i="6"/>
  <c r="D717" i="6"/>
  <c r="G717" i="6"/>
  <c r="H717" i="6" s="1"/>
  <c r="Q717" i="6"/>
  <c r="D718" i="6"/>
  <c r="G718" i="6"/>
  <c r="H718" i="6" s="1"/>
  <c r="Q718" i="6"/>
  <c r="D719" i="6"/>
  <c r="G719" i="6"/>
  <c r="H719" i="6" s="1"/>
  <c r="Q719" i="6"/>
  <c r="D720" i="6"/>
  <c r="G720" i="6"/>
  <c r="H720" i="6" s="1"/>
  <c r="Q720" i="6"/>
  <c r="D721" i="6"/>
  <c r="G721" i="6"/>
  <c r="H721" i="6" s="1"/>
  <c r="Q721" i="6"/>
  <c r="D722" i="6"/>
  <c r="G722" i="6"/>
  <c r="Q722" i="6"/>
  <c r="D723" i="6"/>
  <c r="G723" i="6"/>
  <c r="H723" i="6" s="1"/>
  <c r="Q723" i="6"/>
  <c r="D724" i="6"/>
  <c r="G724" i="6"/>
  <c r="H724" i="6" s="1"/>
  <c r="Q724" i="6"/>
  <c r="D725" i="6"/>
  <c r="G725" i="6"/>
  <c r="H725" i="6" s="1"/>
  <c r="Q725" i="6"/>
  <c r="D726" i="6"/>
  <c r="G726" i="6"/>
  <c r="H726" i="6" s="1"/>
  <c r="Q726" i="6"/>
  <c r="D727" i="6"/>
  <c r="G727" i="6"/>
  <c r="H727" i="6" s="1"/>
  <c r="Q727" i="6"/>
  <c r="D728" i="6"/>
  <c r="G728" i="6"/>
  <c r="H728" i="6" s="1"/>
  <c r="Q728" i="6"/>
  <c r="D729" i="6"/>
  <c r="G729" i="6"/>
  <c r="H729" i="6" s="1"/>
  <c r="Q729" i="6"/>
  <c r="D730" i="6"/>
  <c r="G730" i="6"/>
  <c r="H730" i="6" s="1"/>
  <c r="Q730" i="6"/>
  <c r="D731" i="6"/>
  <c r="G731" i="6"/>
  <c r="H731" i="6" s="1"/>
  <c r="Q731" i="6"/>
  <c r="D732" i="6"/>
  <c r="G732" i="6"/>
  <c r="H732" i="6" s="1"/>
  <c r="Q732" i="6"/>
  <c r="D733" i="6"/>
  <c r="G733" i="6"/>
  <c r="H733" i="6" s="1"/>
  <c r="Q733" i="6"/>
  <c r="D734" i="6"/>
  <c r="G734" i="6"/>
  <c r="H734" i="6" s="1"/>
  <c r="Q734" i="6"/>
  <c r="D735" i="6"/>
  <c r="G735" i="6"/>
  <c r="H735" i="6" s="1"/>
  <c r="Q735" i="6"/>
  <c r="D736" i="6"/>
  <c r="G736" i="6"/>
  <c r="H736" i="6" s="1"/>
  <c r="Q736" i="6"/>
  <c r="D737" i="6"/>
  <c r="G737" i="6"/>
  <c r="H737" i="6" s="1"/>
  <c r="Q737" i="6"/>
  <c r="D738" i="6"/>
  <c r="G738" i="6"/>
  <c r="H738" i="6" s="1"/>
  <c r="Q738" i="6"/>
  <c r="D739" i="6"/>
  <c r="G739" i="6"/>
  <c r="H739" i="6" s="1"/>
  <c r="Q739" i="6"/>
  <c r="D740" i="6"/>
  <c r="G740" i="6"/>
  <c r="H740" i="6" s="1"/>
  <c r="Q740" i="6"/>
  <c r="D741" i="6"/>
  <c r="G741" i="6"/>
  <c r="H741" i="6" s="1"/>
  <c r="Q741" i="6"/>
  <c r="D742" i="6"/>
  <c r="G742" i="6"/>
  <c r="H742" i="6" s="1"/>
  <c r="Q742" i="6"/>
  <c r="D743" i="6"/>
  <c r="G743" i="6"/>
  <c r="H743" i="6" s="1"/>
  <c r="Q743" i="6"/>
  <c r="D744" i="6"/>
  <c r="G744" i="6"/>
  <c r="H744" i="6" s="1"/>
  <c r="Q744" i="6"/>
  <c r="D745" i="6"/>
  <c r="G745" i="6"/>
  <c r="H745" i="6" s="1"/>
  <c r="Q745" i="6"/>
  <c r="D746" i="6"/>
  <c r="G746" i="6"/>
  <c r="H746" i="6" s="1"/>
  <c r="Q746" i="6"/>
  <c r="D747" i="6"/>
  <c r="G747" i="6"/>
  <c r="H747" i="6" s="1"/>
  <c r="Q747" i="6"/>
  <c r="D748" i="6"/>
  <c r="G748" i="6"/>
  <c r="H748" i="6" s="1"/>
  <c r="Q748" i="6"/>
  <c r="D749" i="6"/>
  <c r="G749" i="6"/>
  <c r="H749" i="6" s="1"/>
  <c r="Q749" i="6"/>
  <c r="D750" i="6"/>
  <c r="G750" i="6"/>
  <c r="H750" i="6" s="1"/>
  <c r="Q750" i="6"/>
  <c r="D751" i="6"/>
  <c r="G751" i="6"/>
  <c r="H751" i="6" s="1"/>
  <c r="Q751" i="6"/>
  <c r="D752" i="6"/>
  <c r="G752" i="6"/>
  <c r="Q752" i="6"/>
  <c r="D753" i="6"/>
  <c r="G753" i="6"/>
  <c r="H753" i="6" s="1"/>
  <c r="Q753" i="6"/>
  <c r="D754" i="6"/>
  <c r="G754" i="6"/>
  <c r="H754" i="6" s="1"/>
  <c r="Q754" i="6"/>
  <c r="D755" i="6"/>
  <c r="G755" i="6"/>
  <c r="H755" i="6" s="1"/>
  <c r="Q755" i="6"/>
  <c r="D756" i="6"/>
  <c r="G756" i="6"/>
  <c r="H756" i="6" s="1"/>
  <c r="Q756" i="6"/>
  <c r="D757" i="6"/>
  <c r="G757" i="6"/>
  <c r="H757" i="6" s="1"/>
  <c r="Q757" i="6"/>
  <c r="D758" i="6"/>
  <c r="G758" i="6"/>
  <c r="H758" i="6" s="1"/>
  <c r="Q758" i="6"/>
  <c r="D759" i="6"/>
  <c r="G759" i="6"/>
  <c r="H759" i="6" s="1"/>
  <c r="Q759" i="6"/>
  <c r="D760" i="6"/>
  <c r="G760" i="6"/>
  <c r="H760" i="6" s="1"/>
  <c r="Q760" i="6"/>
  <c r="D761" i="6"/>
  <c r="G761" i="6"/>
  <c r="H761" i="6" s="1"/>
  <c r="Q761" i="6"/>
  <c r="D762" i="6"/>
  <c r="G762" i="6"/>
  <c r="H762" i="6" s="1"/>
  <c r="Q762" i="6"/>
  <c r="D763" i="6"/>
  <c r="G763" i="6"/>
  <c r="H763" i="6" s="1"/>
  <c r="Q763" i="6"/>
  <c r="D764" i="6"/>
  <c r="G764" i="6"/>
  <c r="H764" i="6" s="1"/>
  <c r="Q764" i="6"/>
  <c r="D765" i="6"/>
  <c r="G765" i="6"/>
  <c r="H765" i="6" s="1"/>
  <c r="Q765" i="6"/>
  <c r="D766" i="6"/>
  <c r="G766" i="6"/>
  <c r="H766" i="6" s="1"/>
  <c r="Q766" i="6"/>
  <c r="D767" i="6"/>
  <c r="G767" i="6"/>
  <c r="H767" i="6" s="1"/>
  <c r="Q767" i="6"/>
  <c r="D768" i="6"/>
  <c r="G768" i="6"/>
  <c r="H768" i="6" s="1"/>
  <c r="Q768" i="6"/>
  <c r="D769" i="6"/>
  <c r="G769" i="6"/>
  <c r="H769" i="6" s="1"/>
  <c r="Q769" i="6"/>
  <c r="D770" i="6"/>
  <c r="G770" i="6"/>
  <c r="H770" i="6" s="1"/>
  <c r="Q770" i="6"/>
  <c r="D771" i="6"/>
  <c r="G771" i="6"/>
  <c r="H771" i="6" s="1"/>
  <c r="Q771" i="6"/>
  <c r="D772" i="6"/>
  <c r="G772" i="6"/>
  <c r="H772" i="6" s="1"/>
  <c r="Q772" i="6"/>
  <c r="D773" i="6"/>
  <c r="G773" i="6"/>
  <c r="H773" i="6" s="1"/>
  <c r="Q773" i="6"/>
  <c r="D774" i="6"/>
  <c r="G774" i="6"/>
  <c r="H774" i="6" s="1"/>
  <c r="Q774" i="6"/>
  <c r="D775" i="6"/>
  <c r="G775" i="6"/>
  <c r="H775" i="6" s="1"/>
  <c r="Q775" i="6"/>
  <c r="D776" i="6"/>
  <c r="G776" i="6"/>
  <c r="H776" i="6" s="1"/>
  <c r="Q776" i="6"/>
  <c r="D777" i="6"/>
  <c r="G777" i="6"/>
  <c r="H777" i="6" s="1"/>
  <c r="Q777" i="6"/>
  <c r="D778" i="6"/>
  <c r="G778" i="6"/>
  <c r="H778" i="6" s="1"/>
  <c r="Q778" i="6"/>
  <c r="D779" i="6"/>
  <c r="G779" i="6"/>
  <c r="H779" i="6" s="1"/>
  <c r="Q779" i="6"/>
  <c r="D780" i="6"/>
  <c r="G780" i="6"/>
  <c r="H780" i="6" s="1"/>
  <c r="Q780" i="6"/>
  <c r="D781" i="6"/>
  <c r="G781" i="6"/>
  <c r="H781" i="6" s="1"/>
  <c r="Q781" i="6"/>
  <c r="D782" i="6"/>
  <c r="G782" i="6"/>
  <c r="H782" i="6" s="1"/>
  <c r="Q782" i="6"/>
  <c r="D783" i="6"/>
  <c r="G783" i="6"/>
  <c r="H783" i="6" s="1"/>
  <c r="Q783" i="6"/>
  <c r="D784" i="6"/>
  <c r="G784" i="6"/>
  <c r="H784" i="6" s="1"/>
  <c r="Q784" i="6"/>
  <c r="D785" i="6"/>
  <c r="G785" i="6"/>
  <c r="H785" i="6" s="1"/>
  <c r="Q785" i="6"/>
  <c r="D786" i="6"/>
  <c r="G786" i="6"/>
  <c r="H786" i="6" s="1"/>
  <c r="Q786" i="6"/>
  <c r="D787" i="6"/>
  <c r="G787" i="6"/>
  <c r="H787" i="6" s="1"/>
  <c r="Q787" i="6"/>
  <c r="D788" i="6"/>
  <c r="G788" i="6"/>
  <c r="H788" i="6" s="1"/>
  <c r="Q788" i="6"/>
  <c r="D789" i="6"/>
  <c r="G789" i="6"/>
  <c r="H789" i="6" s="1"/>
  <c r="Q789" i="6"/>
  <c r="D790" i="6"/>
  <c r="G790" i="6"/>
  <c r="H790" i="6" s="1"/>
  <c r="Q790" i="6"/>
  <c r="D791" i="6"/>
  <c r="G791" i="6"/>
  <c r="H791" i="6" s="1"/>
  <c r="Q791" i="6"/>
  <c r="D792" i="6"/>
  <c r="G792" i="6"/>
  <c r="H792" i="6" s="1"/>
  <c r="Q792" i="6"/>
  <c r="D793" i="6"/>
  <c r="G793" i="6"/>
  <c r="H793" i="6" s="1"/>
  <c r="Q793" i="6"/>
  <c r="D794" i="6"/>
  <c r="G794" i="6"/>
  <c r="H794" i="6" s="1"/>
  <c r="Q794" i="6"/>
  <c r="D795" i="6"/>
  <c r="G795" i="6"/>
  <c r="H795" i="6" s="1"/>
  <c r="Q795" i="6"/>
  <c r="D796" i="6"/>
  <c r="G796" i="6"/>
  <c r="H796" i="6" s="1"/>
  <c r="Q796" i="6"/>
  <c r="D797" i="6"/>
  <c r="G797" i="6"/>
  <c r="H797" i="6" s="1"/>
  <c r="Q797" i="6"/>
  <c r="D798" i="6"/>
  <c r="G798" i="6"/>
  <c r="H798" i="6" s="1"/>
  <c r="Q798" i="6"/>
  <c r="D799" i="6"/>
  <c r="G799" i="6"/>
  <c r="H799" i="6" s="1"/>
  <c r="Q799" i="6"/>
  <c r="D800" i="6"/>
  <c r="G800" i="6"/>
  <c r="H800" i="6" s="1"/>
  <c r="Q800" i="6"/>
  <c r="D801" i="6"/>
  <c r="G801" i="6"/>
  <c r="H801" i="6" s="1"/>
  <c r="Q801" i="6"/>
  <c r="D802" i="6"/>
  <c r="G802" i="6"/>
  <c r="H802" i="6" s="1"/>
  <c r="Q802" i="6"/>
  <c r="D803" i="6"/>
  <c r="G803" i="6"/>
  <c r="H803" i="6" s="1"/>
  <c r="Q803" i="6"/>
  <c r="D804" i="6"/>
  <c r="G804" i="6"/>
  <c r="H804" i="6" s="1"/>
  <c r="Q804" i="6"/>
  <c r="D805" i="6"/>
  <c r="G805" i="6"/>
  <c r="H805" i="6" s="1"/>
  <c r="Q805" i="6"/>
  <c r="D806" i="6"/>
  <c r="G806" i="6"/>
  <c r="H806" i="6" s="1"/>
  <c r="Q806" i="6"/>
  <c r="D807" i="6"/>
  <c r="G807" i="6"/>
  <c r="H807" i="6" s="1"/>
  <c r="Q807" i="6"/>
  <c r="D808" i="6"/>
  <c r="G808" i="6"/>
  <c r="H808" i="6" s="1"/>
  <c r="Q808" i="6"/>
  <c r="D809" i="6"/>
  <c r="G809" i="6"/>
  <c r="H809" i="6" s="1"/>
  <c r="Q809" i="6"/>
  <c r="D810" i="6"/>
  <c r="G810" i="6"/>
  <c r="H810" i="6" s="1"/>
  <c r="Q810" i="6"/>
  <c r="D811" i="6"/>
  <c r="G811" i="6"/>
  <c r="H811" i="6" s="1"/>
  <c r="Q811" i="6"/>
  <c r="D812" i="6"/>
  <c r="G812" i="6"/>
  <c r="H812" i="6" s="1"/>
  <c r="Q812" i="6"/>
  <c r="D813" i="6"/>
  <c r="G813" i="6"/>
  <c r="H813" i="6" s="1"/>
  <c r="Q813" i="6"/>
  <c r="D814" i="6"/>
  <c r="G814" i="6"/>
  <c r="H814" i="6" s="1"/>
  <c r="Q814" i="6"/>
  <c r="D815" i="6"/>
  <c r="G815" i="6"/>
  <c r="H815" i="6" s="1"/>
  <c r="Q815" i="6"/>
  <c r="D816" i="6"/>
  <c r="G816" i="6"/>
  <c r="H816" i="6" s="1"/>
  <c r="Q816" i="6"/>
  <c r="D817" i="6"/>
  <c r="G817" i="6"/>
  <c r="H817" i="6" s="1"/>
  <c r="Q817" i="6"/>
  <c r="D818" i="6"/>
  <c r="G818" i="6"/>
  <c r="H818" i="6" s="1"/>
  <c r="Q818" i="6"/>
  <c r="D819" i="6"/>
  <c r="G819" i="6"/>
  <c r="H819" i="6" s="1"/>
  <c r="Q819" i="6"/>
  <c r="D820" i="6"/>
  <c r="G820" i="6"/>
  <c r="H820" i="6" s="1"/>
  <c r="Q820" i="6"/>
  <c r="D821" i="6"/>
  <c r="G821" i="6"/>
  <c r="H821" i="6" s="1"/>
  <c r="Q821" i="6"/>
  <c r="D822" i="6"/>
  <c r="G822" i="6"/>
  <c r="H822" i="6" s="1"/>
  <c r="Q822" i="6"/>
  <c r="D823" i="6"/>
  <c r="G823" i="6"/>
  <c r="H823" i="6" s="1"/>
  <c r="Q823" i="6"/>
  <c r="D824" i="6"/>
  <c r="G824" i="6"/>
  <c r="H824" i="6" s="1"/>
  <c r="Q824" i="6"/>
  <c r="D825" i="6"/>
  <c r="G825" i="6"/>
  <c r="H825" i="6" s="1"/>
  <c r="Q825" i="6"/>
  <c r="D826" i="6"/>
  <c r="G826" i="6"/>
  <c r="H826" i="6" s="1"/>
  <c r="Q826" i="6"/>
  <c r="D827" i="6"/>
  <c r="G827" i="6"/>
  <c r="H827" i="6" s="1"/>
  <c r="Q827" i="6"/>
  <c r="D828" i="6"/>
  <c r="G828" i="6"/>
  <c r="H828" i="6" s="1"/>
  <c r="Q828" i="6"/>
  <c r="D829" i="6"/>
  <c r="G829" i="6"/>
  <c r="H829" i="6" s="1"/>
  <c r="Q829" i="6"/>
  <c r="D830" i="6"/>
  <c r="G830" i="6"/>
  <c r="H830" i="6" s="1"/>
  <c r="Q830" i="6"/>
  <c r="D831" i="6"/>
  <c r="G831" i="6"/>
  <c r="H831" i="6" s="1"/>
  <c r="Q831" i="6"/>
  <c r="D832" i="6"/>
  <c r="G832" i="6"/>
  <c r="H832" i="6" s="1"/>
  <c r="Q832" i="6"/>
  <c r="D833" i="6"/>
  <c r="G833" i="6"/>
  <c r="H833" i="6" s="1"/>
  <c r="Q833" i="6"/>
  <c r="D834" i="6"/>
  <c r="G834" i="6"/>
  <c r="H834" i="6" s="1"/>
  <c r="Q834" i="6"/>
  <c r="D835" i="6"/>
  <c r="G835" i="6"/>
  <c r="H835" i="6" s="1"/>
  <c r="Q835" i="6"/>
  <c r="D836" i="6"/>
  <c r="G836" i="6"/>
  <c r="H836" i="6" s="1"/>
  <c r="Q836" i="6"/>
  <c r="D837" i="6"/>
  <c r="G837" i="6"/>
  <c r="H837" i="6" s="1"/>
  <c r="Q837" i="6"/>
  <c r="D838" i="6"/>
  <c r="G838" i="6"/>
  <c r="H838" i="6" s="1"/>
  <c r="Q838" i="6"/>
  <c r="D839" i="6"/>
  <c r="G839" i="6"/>
  <c r="H839" i="6" s="1"/>
  <c r="Q839" i="6"/>
  <c r="D840" i="6"/>
  <c r="G840" i="6"/>
  <c r="H840" i="6" s="1"/>
  <c r="Q840" i="6"/>
  <c r="D841" i="6"/>
  <c r="G841" i="6"/>
  <c r="H841" i="6" s="1"/>
  <c r="Q841" i="6"/>
  <c r="D842" i="6"/>
  <c r="G842" i="6"/>
  <c r="H842" i="6" s="1"/>
  <c r="Q842" i="6"/>
  <c r="D843" i="6"/>
  <c r="G843" i="6"/>
  <c r="H843" i="6" s="1"/>
  <c r="Q843" i="6"/>
  <c r="D844" i="6"/>
  <c r="G844" i="6"/>
  <c r="H844" i="6" s="1"/>
  <c r="Q844" i="6"/>
  <c r="D845" i="6"/>
  <c r="G845" i="6"/>
  <c r="H845" i="6" s="1"/>
  <c r="Q845" i="6"/>
  <c r="D846" i="6"/>
  <c r="G846" i="6"/>
  <c r="H846" i="6" s="1"/>
  <c r="Q846" i="6"/>
  <c r="D847" i="6"/>
  <c r="G847" i="6"/>
  <c r="H847" i="6" s="1"/>
  <c r="Q847" i="6"/>
  <c r="D848" i="6"/>
  <c r="G848" i="6"/>
  <c r="H848" i="6" s="1"/>
  <c r="Q848" i="6"/>
  <c r="D849" i="6"/>
  <c r="G849" i="6"/>
  <c r="H849" i="6" s="1"/>
  <c r="Q849" i="6"/>
  <c r="D850" i="6"/>
  <c r="G850" i="6"/>
  <c r="H850" i="6" s="1"/>
  <c r="Q850" i="6"/>
  <c r="D851" i="6"/>
  <c r="G851" i="6"/>
  <c r="H851" i="6" s="1"/>
  <c r="Q851" i="6"/>
  <c r="D852" i="6"/>
  <c r="G852" i="6"/>
  <c r="H852" i="6" s="1"/>
  <c r="Q852" i="6"/>
  <c r="D853" i="6"/>
  <c r="G853" i="6"/>
  <c r="H853" i="6" s="1"/>
  <c r="Q853" i="6"/>
  <c r="D854" i="6"/>
  <c r="G854" i="6"/>
  <c r="H854" i="6" s="1"/>
  <c r="Q854" i="6"/>
  <c r="D855" i="6"/>
  <c r="G855" i="6"/>
  <c r="H855" i="6" s="1"/>
  <c r="Q855" i="6"/>
  <c r="D856" i="6"/>
  <c r="G856" i="6"/>
  <c r="H856" i="6" s="1"/>
  <c r="Q856" i="6"/>
  <c r="D857" i="6"/>
  <c r="G857" i="6"/>
  <c r="H857" i="6" s="1"/>
  <c r="Q857" i="6"/>
  <c r="D858" i="6"/>
  <c r="G858" i="6"/>
  <c r="H858" i="6" s="1"/>
  <c r="Q858" i="6"/>
  <c r="D859" i="6"/>
  <c r="G859" i="6"/>
  <c r="H859" i="6" s="1"/>
  <c r="Q859" i="6"/>
  <c r="D860" i="6"/>
  <c r="G860" i="6"/>
  <c r="H860" i="6" s="1"/>
  <c r="Q860" i="6"/>
  <c r="D861" i="6"/>
  <c r="G861" i="6"/>
  <c r="H861" i="6" s="1"/>
  <c r="Q861" i="6"/>
  <c r="D862" i="6"/>
  <c r="G862" i="6"/>
  <c r="H862" i="6" s="1"/>
  <c r="Q862" i="6"/>
  <c r="D863" i="6"/>
  <c r="G863" i="6"/>
  <c r="H863" i="6" s="1"/>
  <c r="Q863" i="6"/>
  <c r="D864" i="6"/>
  <c r="G864" i="6"/>
  <c r="H864" i="6" s="1"/>
  <c r="Q864" i="6"/>
  <c r="D865" i="6"/>
  <c r="G865" i="6"/>
  <c r="H865" i="6" s="1"/>
  <c r="Q865" i="6"/>
  <c r="D866" i="6"/>
  <c r="G866" i="6"/>
  <c r="H866" i="6" s="1"/>
  <c r="Q866" i="6"/>
  <c r="D867" i="6"/>
  <c r="G867" i="6"/>
  <c r="H867" i="6" s="1"/>
  <c r="Q867" i="6"/>
  <c r="D868" i="6"/>
  <c r="G868" i="6"/>
  <c r="H868" i="6" s="1"/>
  <c r="Q868" i="6"/>
  <c r="D869" i="6"/>
  <c r="G869" i="6"/>
  <c r="H869" i="6" s="1"/>
  <c r="Q869" i="6"/>
  <c r="D870" i="6"/>
  <c r="G870" i="6"/>
  <c r="H870" i="6" s="1"/>
  <c r="Q870" i="6"/>
  <c r="D871" i="6"/>
  <c r="G871" i="6"/>
  <c r="H871" i="6" s="1"/>
  <c r="Q871" i="6"/>
  <c r="D872" i="6"/>
  <c r="G872" i="6"/>
  <c r="H872" i="6" s="1"/>
  <c r="Q872" i="6"/>
  <c r="D873" i="6"/>
  <c r="G873" i="6"/>
  <c r="H873" i="6" s="1"/>
  <c r="Q873" i="6"/>
  <c r="D874" i="6"/>
  <c r="G874" i="6"/>
  <c r="H874" i="6" s="1"/>
  <c r="Q874" i="6"/>
  <c r="D875" i="6"/>
  <c r="G875" i="6"/>
  <c r="H875" i="6" s="1"/>
  <c r="Q875" i="6"/>
  <c r="D876" i="6"/>
  <c r="G876" i="6"/>
  <c r="H876" i="6" s="1"/>
  <c r="Q876" i="6"/>
  <c r="D877" i="6"/>
  <c r="G877" i="6"/>
  <c r="H877" i="6" s="1"/>
  <c r="Q877" i="6"/>
  <c r="D878" i="6"/>
  <c r="G878" i="6"/>
  <c r="H878" i="6" s="1"/>
  <c r="Q878" i="6"/>
  <c r="D879" i="6"/>
  <c r="G879" i="6"/>
  <c r="H879" i="6" s="1"/>
  <c r="Q879" i="6"/>
  <c r="D880" i="6"/>
  <c r="G880" i="6"/>
  <c r="H880" i="6" s="1"/>
  <c r="Q880" i="6"/>
  <c r="D881" i="6"/>
  <c r="G881" i="6"/>
  <c r="H881" i="6" s="1"/>
  <c r="Q881" i="6"/>
  <c r="D882" i="6"/>
  <c r="G882" i="6"/>
  <c r="H882" i="6" s="1"/>
  <c r="Q882" i="6"/>
  <c r="D883" i="6"/>
  <c r="G883" i="6"/>
  <c r="H883" i="6" s="1"/>
  <c r="Q883" i="6"/>
  <c r="D884" i="6"/>
  <c r="G884" i="6"/>
  <c r="H884" i="6" s="1"/>
  <c r="Q884" i="6"/>
  <c r="D885" i="6"/>
  <c r="G885" i="6"/>
  <c r="H885" i="6" s="1"/>
  <c r="Q885" i="6"/>
  <c r="D886" i="6"/>
  <c r="G886" i="6"/>
  <c r="H886" i="6" s="1"/>
  <c r="Q886" i="6"/>
  <c r="D887" i="6"/>
  <c r="G887" i="6"/>
  <c r="H887" i="6" s="1"/>
  <c r="Q887" i="6"/>
  <c r="D888" i="6"/>
  <c r="G888" i="6"/>
  <c r="H888" i="6" s="1"/>
  <c r="Q888" i="6"/>
  <c r="D889" i="6"/>
  <c r="G889" i="6"/>
  <c r="H889" i="6" s="1"/>
  <c r="Q889" i="6"/>
  <c r="D890" i="6"/>
  <c r="G890" i="6"/>
  <c r="H890" i="6" s="1"/>
  <c r="Q890" i="6"/>
  <c r="D891" i="6"/>
  <c r="G891" i="6"/>
  <c r="H891" i="6" s="1"/>
  <c r="Q891" i="6"/>
  <c r="D892" i="6"/>
  <c r="G892" i="6"/>
  <c r="H892" i="6" s="1"/>
  <c r="Q892" i="6"/>
  <c r="D893" i="6"/>
  <c r="G893" i="6"/>
  <c r="H893" i="6" s="1"/>
  <c r="Q893" i="6"/>
  <c r="D894" i="6"/>
  <c r="G894" i="6"/>
  <c r="H894" i="6" s="1"/>
  <c r="Q894" i="6"/>
  <c r="D895" i="6"/>
  <c r="G895" i="6"/>
  <c r="H895" i="6" s="1"/>
  <c r="Q895" i="6"/>
  <c r="D896" i="6"/>
  <c r="G896" i="6"/>
  <c r="H896" i="6" s="1"/>
  <c r="Q896" i="6"/>
  <c r="D897" i="6"/>
  <c r="G897" i="6"/>
  <c r="H897" i="6" s="1"/>
  <c r="Q897" i="6"/>
  <c r="D898" i="6"/>
  <c r="G898" i="6"/>
  <c r="H898" i="6" s="1"/>
  <c r="Q898" i="6"/>
  <c r="D899" i="6"/>
  <c r="G899" i="6"/>
  <c r="H899" i="6" s="1"/>
  <c r="Q899" i="6"/>
  <c r="D900" i="6"/>
  <c r="G900" i="6"/>
  <c r="H900" i="6" s="1"/>
  <c r="Q900" i="6"/>
  <c r="D901" i="6"/>
  <c r="G901" i="6"/>
  <c r="H901" i="6" s="1"/>
  <c r="Q901" i="6"/>
  <c r="D902" i="6"/>
  <c r="G902" i="6"/>
  <c r="H902" i="6" s="1"/>
  <c r="Q902" i="6"/>
  <c r="D903" i="6"/>
  <c r="G903" i="6"/>
  <c r="H903" i="6" s="1"/>
  <c r="Q903" i="6"/>
  <c r="D904" i="6"/>
  <c r="G904" i="6"/>
  <c r="H904" i="6" s="1"/>
  <c r="Q904" i="6"/>
  <c r="D905" i="6"/>
  <c r="G905" i="6"/>
  <c r="H905" i="6" s="1"/>
  <c r="Q905" i="6"/>
  <c r="D906" i="6"/>
  <c r="G906" i="6"/>
  <c r="H906" i="6" s="1"/>
  <c r="Q906" i="6"/>
  <c r="D907" i="6"/>
  <c r="G907" i="6"/>
  <c r="H907" i="6" s="1"/>
  <c r="Q907" i="6"/>
  <c r="D908" i="6"/>
  <c r="G908" i="6"/>
  <c r="H908" i="6" s="1"/>
  <c r="Q908" i="6"/>
  <c r="D909" i="6"/>
  <c r="G909" i="6"/>
  <c r="H909" i="6" s="1"/>
  <c r="Q909" i="6"/>
  <c r="D910" i="6"/>
  <c r="G910" i="6"/>
  <c r="H910" i="6" s="1"/>
  <c r="Q910" i="6"/>
  <c r="D911" i="6"/>
  <c r="G911" i="6"/>
  <c r="H911" i="6" s="1"/>
  <c r="Q911" i="6"/>
  <c r="D912" i="6"/>
  <c r="G912" i="6"/>
  <c r="H912" i="6" s="1"/>
  <c r="Q912" i="6"/>
  <c r="D913" i="6"/>
  <c r="G913" i="6"/>
  <c r="H913" i="6" s="1"/>
  <c r="Q913" i="6"/>
  <c r="D914" i="6"/>
  <c r="G914" i="6"/>
  <c r="H914" i="6" s="1"/>
  <c r="Q914" i="6"/>
  <c r="D915" i="6"/>
  <c r="G915" i="6"/>
  <c r="H915" i="6" s="1"/>
  <c r="Q915" i="6"/>
  <c r="D916" i="6"/>
  <c r="G916" i="6"/>
  <c r="H916" i="6" s="1"/>
  <c r="Q916" i="6"/>
  <c r="D917" i="6"/>
  <c r="G917" i="6"/>
  <c r="H917" i="6" s="1"/>
  <c r="Q917" i="6"/>
  <c r="D918" i="6"/>
  <c r="G918" i="6"/>
  <c r="H918" i="6" s="1"/>
  <c r="Q918" i="6"/>
  <c r="D919" i="6"/>
  <c r="G919" i="6"/>
  <c r="H919" i="6" s="1"/>
  <c r="Q919" i="6"/>
  <c r="D920" i="6"/>
  <c r="G920" i="6"/>
  <c r="H920" i="6" s="1"/>
  <c r="Q920" i="6"/>
  <c r="D921" i="6"/>
  <c r="G921" i="6"/>
  <c r="H921" i="6" s="1"/>
  <c r="Q921" i="6"/>
  <c r="D922" i="6"/>
  <c r="G922" i="6"/>
  <c r="H922" i="6" s="1"/>
  <c r="Q922" i="6"/>
  <c r="D923" i="6"/>
  <c r="G923" i="6"/>
  <c r="Q923" i="6"/>
  <c r="D924" i="6"/>
  <c r="G924" i="6"/>
  <c r="H924" i="6" s="1"/>
  <c r="Q924" i="6"/>
  <c r="D925" i="6"/>
  <c r="G925" i="6"/>
  <c r="H925" i="6" s="1"/>
  <c r="Q925" i="6"/>
  <c r="D926" i="6"/>
  <c r="G926" i="6"/>
  <c r="H926" i="6" s="1"/>
  <c r="Q926" i="6"/>
  <c r="D927" i="6"/>
  <c r="G927" i="6"/>
  <c r="H927" i="6" s="1"/>
  <c r="Q927" i="6"/>
  <c r="D928" i="6"/>
  <c r="G928" i="6"/>
  <c r="H928" i="6" s="1"/>
  <c r="Q928" i="6"/>
  <c r="D929" i="6"/>
  <c r="G929" i="6"/>
  <c r="H929" i="6" s="1"/>
  <c r="Q929" i="6"/>
  <c r="D930" i="6"/>
  <c r="G930" i="6"/>
  <c r="H930" i="6" s="1"/>
  <c r="Q930" i="6"/>
  <c r="D931" i="6"/>
  <c r="G931" i="6"/>
  <c r="H931" i="6" s="1"/>
  <c r="Q931" i="6"/>
  <c r="D932" i="6"/>
  <c r="G932" i="6"/>
  <c r="H932" i="6" s="1"/>
  <c r="Q932" i="6"/>
  <c r="D933" i="6"/>
  <c r="G933" i="6"/>
  <c r="H933" i="6" s="1"/>
  <c r="Q933" i="6"/>
  <c r="D934" i="6"/>
  <c r="G934" i="6"/>
  <c r="H934" i="6" s="1"/>
  <c r="Q934" i="6"/>
  <c r="D935" i="6"/>
  <c r="G935" i="6"/>
  <c r="H935" i="6" s="1"/>
  <c r="Q935" i="6"/>
  <c r="D936" i="6"/>
  <c r="G936" i="6"/>
  <c r="H936" i="6" s="1"/>
  <c r="Q936" i="6"/>
  <c r="D937" i="6"/>
  <c r="G937" i="6"/>
  <c r="H937" i="6" s="1"/>
  <c r="Q937" i="6"/>
  <c r="D938" i="6"/>
  <c r="G938" i="6"/>
  <c r="H938" i="6" s="1"/>
  <c r="Q938" i="6"/>
  <c r="D939" i="6"/>
  <c r="G939" i="6"/>
  <c r="H939" i="6" s="1"/>
  <c r="Q939" i="6"/>
  <c r="D940" i="6"/>
  <c r="G940" i="6"/>
  <c r="H940" i="6" s="1"/>
  <c r="Q940" i="6"/>
  <c r="D941" i="6"/>
  <c r="G941" i="6"/>
  <c r="H941" i="6" s="1"/>
  <c r="Q941" i="6"/>
  <c r="D942" i="6"/>
  <c r="G942" i="6"/>
  <c r="H942" i="6" s="1"/>
  <c r="Q942" i="6"/>
  <c r="D943" i="6"/>
  <c r="G943" i="6"/>
  <c r="H943" i="6" s="1"/>
  <c r="Q943" i="6"/>
  <c r="D944" i="6"/>
  <c r="G944" i="6"/>
  <c r="H944" i="6" s="1"/>
  <c r="Q944" i="6"/>
  <c r="D945" i="6"/>
  <c r="G945" i="6"/>
  <c r="H945" i="6" s="1"/>
  <c r="Q945" i="6"/>
  <c r="D946" i="6"/>
  <c r="G946" i="6"/>
  <c r="H946" i="6" s="1"/>
  <c r="Q946" i="6"/>
  <c r="D947" i="6"/>
  <c r="G947" i="6"/>
  <c r="H947" i="6" s="1"/>
  <c r="Q947" i="6"/>
  <c r="D948" i="6"/>
  <c r="G948" i="6"/>
  <c r="H948" i="6" s="1"/>
  <c r="Q948" i="6"/>
  <c r="D949" i="6"/>
  <c r="G949" i="6"/>
  <c r="H949" i="6" s="1"/>
  <c r="Q949" i="6"/>
  <c r="D950" i="6"/>
  <c r="G950" i="6"/>
  <c r="H950" i="6" s="1"/>
  <c r="Q950" i="6"/>
  <c r="D951" i="6"/>
  <c r="G951" i="6"/>
  <c r="H951" i="6" s="1"/>
  <c r="Q951" i="6"/>
  <c r="D952" i="6"/>
  <c r="G952" i="6"/>
  <c r="H952" i="6" s="1"/>
  <c r="Q952" i="6"/>
  <c r="D953" i="6"/>
  <c r="G953" i="6"/>
  <c r="H953" i="6" s="1"/>
  <c r="Q953" i="6"/>
  <c r="D954" i="6"/>
  <c r="G954" i="6"/>
  <c r="H954" i="6" s="1"/>
  <c r="Q954" i="6"/>
  <c r="D955" i="6"/>
  <c r="G955" i="6"/>
  <c r="H955" i="6" s="1"/>
  <c r="Q955" i="6"/>
  <c r="D956" i="6"/>
  <c r="G956" i="6"/>
  <c r="H956" i="6" s="1"/>
  <c r="Q956" i="6"/>
  <c r="D957" i="6"/>
  <c r="G957" i="6"/>
  <c r="H957" i="6" s="1"/>
  <c r="Q957" i="6"/>
  <c r="D958" i="6"/>
  <c r="G958" i="6"/>
  <c r="H958" i="6" s="1"/>
  <c r="Q958" i="6"/>
  <c r="D959" i="6"/>
  <c r="G959" i="6"/>
  <c r="H959" i="6" s="1"/>
  <c r="Q959" i="6"/>
  <c r="D960" i="6"/>
  <c r="G960" i="6"/>
  <c r="H960" i="6" s="1"/>
  <c r="Q960" i="6"/>
  <c r="D961" i="6"/>
  <c r="G961" i="6"/>
  <c r="H961" i="6" s="1"/>
  <c r="Q961" i="6"/>
  <c r="D962" i="6"/>
  <c r="G962" i="6"/>
  <c r="H962" i="6" s="1"/>
  <c r="Q962" i="6"/>
  <c r="D963" i="6"/>
  <c r="G963" i="6"/>
  <c r="H963" i="6" s="1"/>
  <c r="Q963" i="6"/>
  <c r="D964" i="6"/>
  <c r="G964" i="6"/>
  <c r="H964" i="6" s="1"/>
  <c r="Q964" i="6"/>
  <c r="D965" i="6"/>
  <c r="G965" i="6"/>
  <c r="H965" i="6" s="1"/>
  <c r="Q965" i="6"/>
  <c r="D966" i="6"/>
  <c r="G966" i="6"/>
  <c r="H966" i="6" s="1"/>
  <c r="Q966" i="6"/>
  <c r="D967" i="6"/>
  <c r="G967" i="6"/>
  <c r="H967" i="6" s="1"/>
  <c r="Q967" i="6"/>
  <c r="D968" i="6"/>
  <c r="G968" i="6"/>
  <c r="H968" i="6" s="1"/>
  <c r="Q968" i="6"/>
  <c r="D969" i="6"/>
  <c r="G969" i="6"/>
  <c r="H969" i="6" s="1"/>
  <c r="Q969" i="6"/>
  <c r="D970" i="6"/>
  <c r="G970" i="6"/>
  <c r="H970" i="6" s="1"/>
  <c r="Q970" i="6"/>
  <c r="D971" i="6"/>
  <c r="G971" i="6"/>
  <c r="H971" i="6" s="1"/>
  <c r="Q971" i="6"/>
  <c r="D972" i="6"/>
  <c r="G972" i="6"/>
  <c r="H972" i="6" s="1"/>
  <c r="Q972" i="6"/>
  <c r="D973" i="6"/>
  <c r="G973" i="6"/>
  <c r="H973" i="6" s="1"/>
  <c r="Q973" i="6"/>
  <c r="D974" i="6"/>
  <c r="G974" i="6"/>
  <c r="H974" i="6" s="1"/>
  <c r="Q974" i="6"/>
  <c r="D975" i="6"/>
  <c r="G975" i="6"/>
  <c r="H975" i="6" s="1"/>
  <c r="Q975" i="6"/>
  <c r="D976" i="6"/>
  <c r="G976" i="6"/>
  <c r="H976" i="6" s="1"/>
  <c r="Q976" i="6"/>
  <c r="D977" i="6"/>
  <c r="G977" i="6"/>
  <c r="H977" i="6" s="1"/>
  <c r="Q977" i="6"/>
  <c r="D978" i="6"/>
  <c r="G978" i="6"/>
  <c r="H978" i="6" s="1"/>
  <c r="Q978" i="6"/>
  <c r="D979" i="6"/>
  <c r="G979" i="6"/>
  <c r="H979" i="6" s="1"/>
  <c r="Q979" i="6"/>
  <c r="D980" i="6"/>
  <c r="G980" i="6"/>
  <c r="H980" i="6" s="1"/>
  <c r="Q980" i="6"/>
  <c r="D981" i="6"/>
  <c r="G981" i="6"/>
  <c r="H981" i="6" s="1"/>
  <c r="Q981" i="6"/>
  <c r="D982" i="6"/>
  <c r="G982" i="6"/>
  <c r="H982" i="6" s="1"/>
  <c r="Q982" i="6"/>
  <c r="D983" i="6"/>
  <c r="G983" i="6"/>
  <c r="H983" i="6" s="1"/>
  <c r="Q983" i="6"/>
  <c r="D984" i="6"/>
  <c r="G984" i="6"/>
  <c r="H984" i="6" s="1"/>
  <c r="Q984" i="6"/>
  <c r="D985" i="6"/>
  <c r="G985" i="6"/>
  <c r="H985" i="6" s="1"/>
  <c r="Q985" i="6"/>
  <c r="D986" i="6"/>
  <c r="G986" i="6"/>
  <c r="H986" i="6" s="1"/>
  <c r="Q986" i="6"/>
  <c r="D987" i="6"/>
  <c r="G987" i="6"/>
  <c r="H987" i="6" s="1"/>
  <c r="Q987" i="6"/>
  <c r="D988" i="6"/>
  <c r="G988" i="6"/>
  <c r="H988" i="6" s="1"/>
  <c r="Q988" i="6"/>
  <c r="D989" i="6"/>
  <c r="G989" i="6"/>
  <c r="H989" i="6" s="1"/>
  <c r="Q989" i="6"/>
  <c r="D990" i="6"/>
  <c r="G990" i="6"/>
  <c r="H990" i="6" s="1"/>
  <c r="Q990" i="6"/>
  <c r="D991" i="6"/>
  <c r="G991" i="6"/>
  <c r="H991" i="6" s="1"/>
  <c r="Q991" i="6"/>
  <c r="D992" i="6"/>
  <c r="G992" i="6"/>
  <c r="H992" i="6" s="1"/>
  <c r="Q992" i="6"/>
  <c r="D993" i="6"/>
  <c r="G993" i="6"/>
  <c r="H993" i="6" s="1"/>
  <c r="Q993" i="6"/>
  <c r="D994" i="6"/>
  <c r="G994" i="6"/>
  <c r="H994" i="6" s="1"/>
  <c r="Q994" i="6"/>
  <c r="D995" i="6"/>
  <c r="G995" i="6"/>
  <c r="H995" i="6" s="1"/>
  <c r="Q995" i="6"/>
  <c r="D996" i="6"/>
  <c r="G996" i="6"/>
  <c r="H996" i="6" s="1"/>
  <c r="Q996" i="6"/>
  <c r="D997" i="6"/>
  <c r="G997" i="6"/>
  <c r="H997" i="6" s="1"/>
  <c r="Q997" i="6"/>
  <c r="D998" i="6"/>
  <c r="G998" i="6"/>
  <c r="H998" i="6" s="1"/>
  <c r="Q998" i="6"/>
  <c r="D999" i="6"/>
  <c r="G999" i="6"/>
  <c r="H999" i="6" s="1"/>
  <c r="Q999" i="6"/>
  <c r="D1000" i="6"/>
  <c r="G1000" i="6"/>
  <c r="H1000" i="6" s="1"/>
  <c r="Q1000" i="6"/>
  <c r="D1001" i="6"/>
  <c r="G1001" i="6"/>
  <c r="H1001" i="6" s="1"/>
  <c r="Q1001" i="6"/>
  <c r="D1002" i="6"/>
  <c r="G1002" i="6"/>
  <c r="H1002" i="6" s="1"/>
  <c r="Q1002" i="6"/>
  <c r="D1003" i="6"/>
  <c r="G1003" i="6"/>
  <c r="H1003" i="6" s="1"/>
  <c r="Q1003" i="6"/>
  <c r="D1004" i="6"/>
  <c r="G1004" i="6"/>
  <c r="H1004" i="6" s="1"/>
  <c r="Q1004" i="6"/>
  <c r="D1005" i="6"/>
  <c r="G1005" i="6"/>
  <c r="H1005" i="6" s="1"/>
  <c r="Q1005" i="6"/>
  <c r="D1006" i="6"/>
  <c r="G1006" i="6"/>
  <c r="H1006" i="6" s="1"/>
  <c r="Q1006" i="6"/>
  <c r="D1007" i="6"/>
  <c r="G1007" i="6"/>
  <c r="H1007" i="6" s="1"/>
  <c r="Q1007" i="6"/>
  <c r="D1008" i="6"/>
  <c r="G1008" i="6"/>
  <c r="H1008" i="6" s="1"/>
  <c r="Q1008" i="6"/>
  <c r="H923" i="6"/>
  <c r="H592" i="6"/>
  <c r="H474" i="6"/>
  <c r="H594" i="6"/>
  <c r="H515" i="6"/>
  <c r="H578" i="6"/>
  <c r="H507" i="6"/>
  <c r="H418" i="6"/>
  <c r="H432" i="6"/>
  <c r="H551" i="6"/>
  <c r="H752" i="6"/>
  <c r="H722" i="6"/>
  <c r="H716" i="6"/>
  <c r="H712" i="6"/>
  <c r="H692" i="6"/>
  <c r="H678" i="6"/>
  <c r="H644" i="6"/>
  <c r="H634" i="6"/>
  <c r="H632" i="6"/>
  <c r="H628" i="6"/>
  <c r="H626" i="6"/>
  <c r="H618" i="6"/>
  <c r="H612" i="6"/>
  <c r="H602" i="6"/>
  <c r="H517" i="6"/>
  <c r="H523" i="6"/>
  <c r="H388" i="6"/>
  <c r="H396" i="6"/>
  <c r="H367" i="6"/>
  <c r="H359" i="6"/>
  <c r="H372" i="6"/>
  <c r="H368" i="6"/>
  <c r="H364" i="6"/>
  <c r="H360"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13" i="6"/>
  <c r="C42" i="5"/>
  <c r="T21" i="9" s="1"/>
  <c r="O253" i="11"/>
  <c r="S256" i="6" s="1"/>
  <c r="O254" i="11"/>
  <c r="S257" i="6" s="1"/>
  <c r="O255" i="11"/>
  <c r="S258" i="6" s="1"/>
  <c r="O256" i="11"/>
  <c r="S259" i="6" s="1"/>
  <c r="O257" i="11"/>
  <c r="S260" i="6" s="1"/>
  <c r="O258" i="11"/>
  <c r="S261" i="6" s="1"/>
  <c r="O259" i="11"/>
  <c r="S262" i="6" s="1"/>
  <c r="B11" i="1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B273" i="11" s="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B327" i="11" s="1"/>
  <c r="B328" i="11" s="1"/>
  <c r="B329" i="11" s="1"/>
  <c r="B330" i="11" s="1"/>
  <c r="B331" i="11" s="1"/>
  <c r="B332" i="11" s="1"/>
  <c r="B333" i="11" s="1"/>
  <c r="B334" i="11" s="1"/>
  <c r="B335" i="11" s="1"/>
  <c r="B336" i="11" s="1"/>
  <c r="B337" i="11" s="1"/>
  <c r="B338" i="11" s="1"/>
  <c r="B339" i="11" s="1"/>
  <c r="B340" i="11" s="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B394" i="11" s="1"/>
  <c r="B395" i="11" s="1"/>
  <c r="B396" i="11" s="1"/>
  <c r="B397" i="11" s="1"/>
  <c r="B398" i="11" s="1"/>
  <c r="B399" i="11" s="1"/>
  <c r="B400" i="11" s="1"/>
  <c r="B401" i="11" s="1"/>
  <c r="B402" i="11" s="1"/>
  <c r="B403" i="11" s="1"/>
  <c r="B404" i="11" s="1"/>
  <c r="B405" i="11" s="1"/>
  <c r="B406" i="11" s="1"/>
  <c r="B407" i="11" s="1"/>
  <c r="B408" i="11" s="1"/>
  <c r="B409" i="11" s="1"/>
  <c r="B410" i="11" s="1"/>
  <c r="B411" i="11" s="1"/>
  <c r="B412" i="11" s="1"/>
  <c r="B413" i="11" s="1"/>
  <c r="B414" i="11" s="1"/>
  <c r="B415" i="11" s="1"/>
  <c r="B416" i="11" s="1"/>
  <c r="B417" i="11" s="1"/>
  <c r="B418" i="11" s="1"/>
  <c r="B419" i="11" s="1"/>
  <c r="B420" i="11" s="1"/>
  <c r="B421" i="11" s="1"/>
  <c r="B422" i="11" s="1"/>
  <c r="B423" i="11" s="1"/>
  <c r="B424" i="11" s="1"/>
  <c r="B425" i="11" s="1"/>
  <c r="B426" i="11" s="1"/>
  <c r="B427" i="11" s="1"/>
  <c r="B428" i="11" s="1"/>
  <c r="B429" i="11" s="1"/>
  <c r="B430" i="11" s="1"/>
  <c r="B431" i="11" s="1"/>
  <c r="B432" i="11" s="1"/>
  <c r="B433" i="11" s="1"/>
  <c r="B434" i="11" s="1"/>
  <c r="B435" i="11" s="1"/>
  <c r="B436" i="11" s="1"/>
  <c r="B437" i="11" s="1"/>
  <c r="B438" i="11" s="1"/>
  <c r="B439" i="11" s="1"/>
  <c r="B440" i="11" s="1"/>
  <c r="B441" i="11" s="1"/>
  <c r="B442" i="11" s="1"/>
  <c r="B443" i="11" s="1"/>
  <c r="B444" i="11" s="1"/>
  <c r="B445" i="11" s="1"/>
  <c r="B446" i="11" s="1"/>
  <c r="B447" i="11" s="1"/>
  <c r="B448" i="11" s="1"/>
  <c r="B449" i="11" s="1"/>
  <c r="B450" i="11" s="1"/>
  <c r="B451" i="11" s="1"/>
  <c r="B452" i="11" s="1"/>
  <c r="B453" i="11" s="1"/>
  <c r="B454" i="11" s="1"/>
  <c r="B455" i="11" s="1"/>
  <c r="B456" i="11" s="1"/>
  <c r="B457" i="11" s="1"/>
  <c r="B458" i="11" s="1"/>
  <c r="B459" i="11" s="1"/>
  <c r="B460" i="11" s="1"/>
  <c r="B461" i="11" s="1"/>
  <c r="B462" i="11" s="1"/>
  <c r="B463" i="11" s="1"/>
  <c r="B464" i="11" s="1"/>
  <c r="B465" i="11" s="1"/>
  <c r="B466" i="11" s="1"/>
  <c r="B467" i="11" s="1"/>
  <c r="B468" i="11" s="1"/>
  <c r="B469" i="11" s="1"/>
  <c r="B470" i="11" s="1"/>
  <c r="B471" i="11" s="1"/>
  <c r="B472" i="11" s="1"/>
  <c r="B473" i="11" s="1"/>
  <c r="B474" i="11" s="1"/>
  <c r="B475" i="11" s="1"/>
  <c r="B476" i="11" s="1"/>
  <c r="B477" i="11" s="1"/>
  <c r="B478" i="11" s="1"/>
  <c r="B479" i="11" s="1"/>
  <c r="B480" i="11" s="1"/>
  <c r="B481" i="11" s="1"/>
  <c r="B482" i="11" s="1"/>
  <c r="B483" i="11" s="1"/>
  <c r="B484" i="11" s="1"/>
  <c r="B485" i="11" s="1"/>
  <c r="B486" i="11" s="1"/>
  <c r="B487" i="11" s="1"/>
  <c r="B488" i="11" s="1"/>
  <c r="B489" i="11" s="1"/>
  <c r="B490" i="11" s="1"/>
  <c r="B491" i="11" s="1"/>
  <c r="B492" i="11" s="1"/>
  <c r="B493" i="11" s="1"/>
  <c r="B494" i="11" s="1"/>
  <c r="B495" i="11" s="1"/>
  <c r="B496" i="11" s="1"/>
  <c r="B497" i="11" s="1"/>
  <c r="B498" i="11" s="1"/>
  <c r="B499" i="11" s="1"/>
  <c r="B500" i="11" s="1"/>
  <c r="B501" i="11" s="1"/>
  <c r="B502" i="11" s="1"/>
  <c r="B503" i="11" s="1"/>
  <c r="B504" i="11" s="1"/>
  <c r="B505" i="11" s="1"/>
  <c r="B506" i="11" s="1"/>
  <c r="B507" i="11" s="1"/>
  <c r="B508" i="11" s="1"/>
  <c r="B509" i="11" s="1"/>
  <c r="B510" i="11" s="1"/>
  <c r="B511" i="11" s="1"/>
  <c r="B512" i="11" s="1"/>
  <c r="B513" i="11" s="1"/>
  <c r="B514" i="11" s="1"/>
  <c r="B515" i="11" s="1"/>
  <c r="B516" i="11" s="1"/>
  <c r="B517" i="11" s="1"/>
  <c r="B518" i="11" s="1"/>
  <c r="B519" i="11" s="1"/>
  <c r="B520" i="11" s="1"/>
  <c r="B521" i="11" s="1"/>
  <c r="B522" i="11" s="1"/>
  <c r="B523" i="11" s="1"/>
  <c r="B524" i="11" s="1"/>
  <c r="B525" i="11" s="1"/>
  <c r="B526" i="11" s="1"/>
  <c r="B527" i="11" s="1"/>
  <c r="B528" i="11" s="1"/>
  <c r="B529" i="11" s="1"/>
  <c r="B530" i="11" s="1"/>
  <c r="B531" i="11" s="1"/>
  <c r="B532" i="11" s="1"/>
  <c r="B533" i="11" s="1"/>
  <c r="B534" i="11" s="1"/>
  <c r="B535" i="11" s="1"/>
  <c r="B536" i="11" s="1"/>
  <c r="B537" i="11" s="1"/>
  <c r="B538" i="11" s="1"/>
  <c r="B539" i="11" s="1"/>
  <c r="B540" i="11" s="1"/>
  <c r="B541" i="11" s="1"/>
  <c r="B542" i="11" s="1"/>
  <c r="B543" i="11" s="1"/>
  <c r="B544" i="11" s="1"/>
  <c r="B545" i="11" s="1"/>
  <c r="B546" i="11" s="1"/>
  <c r="B547" i="11" s="1"/>
  <c r="B548" i="11" s="1"/>
  <c r="B549" i="11" s="1"/>
  <c r="B550" i="11" s="1"/>
  <c r="B551" i="11" s="1"/>
  <c r="B552" i="11" s="1"/>
  <c r="B553" i="11" s="1"/>
  <c r="B554" i="11" s="1"/>
  <c r="B555" i="11" s="1"/>
  <c r="B556" i="11" s="1"/>
  <c r="B557" i="11" s="1"/>
  <c r="B558" i="11" s="1"/>
  <c r="B559" i="11" s="1"/>
  <c r="B560" i="11" s="1"/>
  <c r="B561" i="11" s="1"/>
  <c r="B562" i="11" s="1"/>
  <c r="B563" i="11" s="1"/>
  <c r="B564" i="11" s="1"/>
  <c r="B565" i="11" s="1"/>
  <c r="B566" i="11" s="1"/>
  <c r="B567" i="11" s="1"/>
  <c r="B568" i="11" s="1"/>
  <c r="B569" i="11" s="1"/>
  <c r="B570" i="11" s="1"/>
  <c r="B571" i="11" s="1"/>
  <c r="B572" i="11" s="1"/>
  <c r="B573" i="11" s="1"/>
  <c r="B574" i="11" s="1"/>
  <c r="B575" i="11" s="1"/>
  <c r="B576" i="11" s="1"/>
  <c r="B577" i="11" s="1"/>
  <c r="B578" i="11" s="1"/>
  <c r="B579" i="11" s="1"/>
  <c r="B580" i="11" s="1"/>
  <c r="B581" i="11" s="1"/>
  <c r="B582" i="11" s="1"/>
  <c r="B583" i="11" s="1"/>
  <c r="B584" i="11" s="1"/>
  <c r="B585" i="11" s="1"/>
  <c r="B586" i="11" s="1"/>
  <c r="B587" i="11" s="1"/>
  <c r="B588" i="11" s="1"/>
  <c r="B589" i="11" s="1"/>
  <c r="B590" i="11" s="1"/>
  <c r="B591" i="11" s="1"/>
  <c r="B592" i="11" s="1"/>
  <c r="B593" i="11" s="1"/>
  <c r="B594" i="11" s="1"/>
  <c r="B595" i="11" s="1"/>
  <c r="B596" i="11" s="1"/>
  <c r="B597" i="11" s="1"/>
  <c r="B598" i="11" s="1"/>
  <c r="B599" i="11" s="1"/>
  <c r="B600" i="11" s="1"/>
  <c r="B601" i="11" s="1"/>
  <c r="B602" i="11" s="1"/>
  <c r="B603" i="11" s="1"/>
  <c r="B604" i="11" s="1"/>
  <c r="B605" i="11" s="1"/>
  <c r="B606" i="11" s="1"/>
  <c r="B607" i="11" s="1"/>
  <c r="B608" i="11" s="1"/>
  <c r="B609" i="11" s="1"/>
  <c r="B610" i="11" s="1"/>
  <c r="B611" i="11" s="1"/>
  <c r="B612" i="11" s="1"/>
  <c r="B613" i="11" s="1"/>
  <c r="B614" i="11" s="1"/>
  <c r="B615" i="11" s="1"/>
  <c r="B616" i="11" s="1"/>
  <c r="B617" i="11" s="1"/>
  <c r="B618" i="11" s="1"/>
  <c r="B619" i="11" s="1"/>
  <c r="B620" i="11" s="1"/>
  <c r="B621" i="11" s="1"/>
  <c r="B622" i="11" s="1"/>
  <c r="B623" i="11" s="1"/>
  <c r="B624" i="11" s="1"/>
  <c r="B625" i="11" s="1"/>
  <c r="B626" i="11" s="1"/>
  <c r="B627" i="11" s="1"/>
  <c r="B628" i="11" s="1"/>
  <c r="B629" i="11" s="1"/>
  <c r="B630" i="11" s="1"/>
  <c r="B631" i="11" s="1"/>
  <c r="B632" i="11" s="1"/>
  <c r="B633" i="11" s="1"/>
  <c r="B634" i="11" s="1"/>
  <c r="B635" i="11" s="1"/>
  <c r="B636" i="11" s="1"/>
  <c r="B637" i="11" s="1"/>
  <c r="B638" i="11" s="1"/>
  <c r="B639" i="11" s="1"/>
  <c r="B640" i="11" s="1"/>
  <c r="B641" i="11" s="1"/>
  <c r="B642" i="11" s="1"/>
  <c r="B643" i="11" s="1"/>
  <c r="B644" i="11" s="1"/>
  <c r="B645" i="11" s="1"/>
  <c r="B646" i="11" s="1"/>
  <c r="B647" i="11" s="1"/>
  <c r="B648" i="11" s="1"/>
  <c r="B649" i="11" s="1"/>
  <c r="B650" i="11" s="1"/>
  <c r="B651" i="11" s="1"/>
  <c r="B652" i="11" s="1"/>
  <c r="B653" i="11" s="1"/>
  <c r="B654" i="11" s="1"/>
  <c r="B655" i="11" s="1"/>
  <c r="B656" i="11" s="1"/>
  <c r="B657" i="11" s="1"/>
  <c r="B658" i="11" s="1"/>
  <c r="B659" i="11" s="1"/>
  <c r="B660" i="11" s="1"/>
  <c r="B661" i="11" s="1"/>
  <c r="B662" i="11" s="1"/>
  <c r="B663" i="11" s="1"/>
  <c r="B664" i="11" s="1"/>
  <c r="B665" i="11" s="1"/>
  <c r="B666" i="11" s="1"/>
  <c r="B667" i="11" s="1"/>
  <c r="B668" i="11" s="1"/>
  <c r="B669" i="11" s="1"/>
  <c r="B670" i="11" s="1"/>
  <c r="B671" i="11" s="1"/>
  <c r="B672" i="11" s="1"/>
  <c r="B673" i="11" s="1"/>
  <c r="B674" i="11" s="1"/>
  <c r="B675" i="11" s="1"/>
  <c r="B676" i="11" s="1"/>
  <c r="B677" i="11" s="1"/>
  <c r="B678" i="11" s="1"/>
  <c r="B679" i="11" s="1"/>
  <c r="B680" i="11" s="1"/>
  <c r="B681" i="11" s="1"/>
  <c r="B682" i="11" s="1"/>
  <c r="B683" i="11" s="1"/>
  <c r="B684" i="11" s="1"/>
  <c r="B685" i="11" s="1"/>
  <c r="B686" i="11" s="1"/>
  <c r="B687" i="11" s="1"/>
  <c r="B688" i="11" s="1"/>
  <c r="B689" i="11" s="1"/>
  <c r="B690" i="11" s="1"/>
  <c r="B691" i="11" s="1"/>
  <c r="B692" i="11" s="1"/>
  <c r="B693" i="11" s="1"/>
  <c r="B694" i="11" s="1"/>
  <c r="B695" i="11" s="1"/>
  <c r="B696" i="11" s="1"/>
  <c r="B697" i="11" s="1"/>
  <c r="B698" i="11" s="1"/>
  <c r="B699" i="11" s="1"/>
  <c r="B700" i="11" s="1"/>
  <c r="B701" i="11" s="1"/>
  <c r="B702" i="11" s="1"/>
  <c r="B703" i="11" s="1"/>
  <c r="B704" i="11" s="1"/>
  <c r="B705" i="11" s="1"/>
  <c r="B706" i="11" s="1"/>
  <c r="B707" i="11" s="1"/>
  <c r="B708" i="11" s="1"/>
  <c r="B709" i="11" s="1"/>
  <c r="B710" i="11" s="1"/>
  <c r="B711" i="11" s="1"/>
  <c r="B712" i="11" s="1"/>
  <c r="B713" i="11" s="1"/>
  <c r="B714" i="11" s="1"/>
  <c r="B715" i="11" s="1"/>
  <c r="B716" i="11" s="1"/>
  <c r="B717" i="11" s="1"/>
  <c r="B718" i="11" s="1"/>
  <c r="B719" i="11" s="1"/>
  <c r="B720" i="11" s="1"/>
  <c r="B721" i="11" s="1"/>
  <c r="B722" i="11" s="1"/>
  <c r="B723" i="11" s="1"/>
  <c r="B724" i="11" s="1"/>
  <c r="B725" i="11" s="1"/>
  <c r="B726" i="11" s="1"/>
  <c r="B727" i="11" s="1"/>
  <c r="B728" i="11" s="1"/>
  <c r="B729" i="11" s="1"/>
  <c r="B730" i="11" s="1"/>
  <c r="B731" i="11" s="1"/>
  <c r="B732" i="11" s="1"/>
  <c r="B733" i="11" s="1"/>
  <c r="B734" i="11" s="1"/>
  <c r="B735" i="11" s="1"/>
  <c r="B736" i="11" s="1"/>
  <c r="B737" i="11" s="1"/>
  <c r="B738" i="11" s="1"/>
  <c r="B739" i="11" s="1"/>
  <c r="B740" i="11" s="1"/>
  <c r="B741" i="11" s="1"/>
  <c r="B742" i="11" s="1"/>
  <c r="B743" i="11" s="1"/>
  <c r="B744" i="11" s="1"/>
  <c r="B745" i="11" s="1"/>
  <c r="B746" i="11" s="1"/>
  <c r="B747" i="11" s="1"/>
  <c r="B748" i="11" s="1"/>
  <c r="B749" i="11" s="1"/>
  <c r="B750" i="11" s="1"/>
  <c r="B751" i="11" s="1"/>
  <c r="B752" i="11" s="1"/>
  <c r="B753" i="11" s="1"/>
  <c r="B754" i="11" s="1"/>
  <c r="B755" i="11" s="1"/>
  <c r="B756" i="11" s="1"/>
  <c r="B757" i="11" s="1"/>
  <c r="B758" i="11" s="1"/>
  <c r="B759" i="11" s="1"/>
  <c r="B760" i="11" s="1"/>
  <c r="B761" i="11" s="1"/>
  <c r="B762" i="11" s="1"/>
  <c r="B763" i="11" s="1"/>
  <c r="B764" i="11" s="1"/>
  <c r="B765" i="11" s="1"/>
  <c r="B766" i="11" s="1"/>
  <c r="B767" i="11" s="1"/>
  <c r="B768" i="11" s="1"/>
  <c r="B769" i="11" s="1"/>
  <c r="B770" i="11" s="1"/>
  <c r="B771" i="11" s="1"/>
  <c r="B772" i="11" s="1"/>
  <c r="B773" i="11" s="1"/>
  <c r="B774" i="11" s="1"/>
  <c r="B775" i="11" s="1"/>
  <c r="B776" i="11" s="1"/>
  <c r="B777" i="11" s="1"/>
  <c r="B778" i="11" s="1"/>
  <c r="B779" i="11" s="1"/>
  <c r="B780" i="11" s="1"/>
  <c r="B781" i="11" s="1"/>
  <c r="B782" i="11" s="1"/>
  <c r="B783" i="11" s="1"/>
  <c r="B784" i="11" s="1"/>
  <c r="B785" i="11" s="1"/>
  <c r="B786" i="11" s="1"/>
  <c r="B787" i="11" s="1"/>
  <c r="B788" i="11" s="1"/>
  <c r="B789" i="11" s="1"/>
  <c r="B790" i="11" s="1"/>
  <c r="B791" i="11" s="1"/>
  <c r="B792" i="11" s="1"/>
  <c r="B793" i="11" s="1"/>
  <c r="B794" i="11" s="1"/>
  <c r="B795" i="11" s="1"/>
  <c r="B796" i="11" s="1"/>
  <c r="B797" i="11" s="1"/>
  <c r="B798" i="11" s="1"/>
  <c r="B799" i="11" s="1"/>
  <c r="B800" i="11" s="1"/>
  <c r="B801" i="11" s="1"/>
  <c r="B802" i="11" s="1"/>
  <c r="B803" i="11" s="1"/>
  <c r="B804" i="11" s="1"/>
  <c r="B805" i="11" s="1"/>
  <c r="B806" i="11" s="1"/>
  <c r="B807" i="11" s="1"/>
  <c r="B808" i="11" s="1"/>
  <c r="B809" i="11" s="1"/>
  <c r="B810" i="11" s="1"/>
  <c r="B811" i="11" s="1"/>
  <c r="B812" i="11" s="1"/>
  <c r="B813" i="11" s="1"/>
  <c r="B814" i="11" s="1"/>
  <c r="B815" i="11" s="1"/>
  <c r="B816" i="11" s="1"/>
  <c r="B817" i="11" s="1"/>
  <c r="B818" i="11" s="1"/>
  <c r="B819" i="11" s="1"/>
  <c r="B820" i="11" s="1"/>
  <c r="B821" i="11" s="1"/>
  <c r="B822" i="11" s="1"/>
  <c r="B823" i="11" s="1"/>
  <c r="B824" i="11" s="1"/>
  <c r="B825" i="11" s="1"/>
  <c r="B826" i="11" s="1"/>
  <c r="B827" i="11" s="1"/>
  <c r="B828" i="11" s="1"/>
  <c r="B829" i="11" s="1"/>
  <c r="B830" i="11" s="1"/>
  <c r="B831" i="11" s="1"/>
  <c r="B832" i="11" s="1"/>
  <c r="B833" i="11" s="1"/>
  <c r="B834" i="11" s="1"/>
  <c r="B835" i="11" s="1"/>
  <c r="B836" i="11" s="1"/>
  <c r="B837" i="11" s="1"/>
  <c r="B838" i="11" s="1"/>
  <c r="B839" i="11" s="1"/>
  <c r="B840" i="11" s="1"/>
  <c r="B841" i="11" s="1"/>
  <c r="B842" i="11" s="1"/>
  <c r="B843" i="11" s="1"/>
  <c r="B844" i="11" s="1"/>
  <c r="B845" i="11" s="1"/>
  <c r="B846" i="11" s="1"/>
  <c r="B847" i="11" s="1"/>
  <c r="B848" i="11" s="1"/>
  <c r="B849" i="11" s="1"/>
  <c r="B850" i="11" s="1"/>
  <c r="B851" i="11" s="1"/>
  <c r="B852" i="11" s="1"/>
  <c r="B853" i="11" s="1"/>
  <c r="B854" i="11" s="1"/>
  <c r="B855" i="11" s="1"/>
  <c r="B856" i="11" s="1"/>
  <c r="B857" i="11" s="1"/>
  <c r="B858" i="11" s="1"/>
  <c r="B859" i="11" s="1"/>
  <c r="B860" i="11" s="1"/>
  <c r="B861" i="11" s="1"/>
  <c r="B862" i="11" s="1"/>
  <c r="B863" i="11" s="1"/>
  <c r="B864" i="11" s="1"/>
  <c r="B865" i="11" s="1"/>
  <c r="B866" i="11" s="1"/>
  <c r="B867" i="11" s="1"/>
  <c r="B868" i="11" s="1"/>
  <c r="B869" i="11" s="1"/>
  <c r="B870" i="11" s="1"/>
  <c r="B871" i="11" s="1"/>
  <c r="B872" i="11" s="1"/>
  <c r="B873" i="11" s="1"/>
  <c r="B874" i="11" s="1"/>
  <c r="B875" i="11" s="1"/>
  <c r="B876" i="11" s="1"/>
  <c r="B877" i="11" s="1"/>
  <c r="B878" i="11" s="1"/>
  <c r="B879" i="11" s="1"/>
  <c r="B880" i="11" s="1"/>
  <c r="B881" i="11" s="1"/>
  <c r="B882" i="11" s="1"/>
  <c r="B883" i="11" s="1"/>
  <c r="B884" i="11" s="1"/>
  <c r="B885" i="11" s="1"/>
  <c r="B886" i="11" s="1"/>
  <c r="B887" i="11" s="1"/>
  <c r="B888" i="11" s="1"/>
  <c r="B889" i="11" s="1"/>
  <c r="B890" i="11" s="1"/>
  <c r="B891" i="11" s="1"/>
  <c r="B892" i="11" s="1"/>
  <c r="B893" i="11" s="1"/>
  <c r="B894" i="11" s="1"/>
  <c r="B895" i="11" s="1"/>
  <c r="B896" i="11" s="1"/>
  <c r="B897" i="11" s="1"/>
  <c r="B898" i="11" s="1"/>
  <c r="B899" i="11" s="1"/>
  <c r="B900" i="11" s="1"/>
  <c r="B901" i="11" s="1"/>
  <c r="B902" i="11" s="1"/>
  <c r="B903" i="11" s="1"/>
  <c r="B904" i="11" s="1"/>
  <c r="B905" i="11" s="1"/>
  <c r="B906" i="11" s="1"/>
  <c r="B907" i="11" s="1"/>
  <c r="B908" i="11" s="1"/>
  <c r="B909" i="11" s="1"/>
  <c r="B910" i="11" s="1"/>
  <c r="B911" i="11" s="1"/>
  <c r="B912" i="11" s="1"/>
  <c r="B913" i="11" s="1"/>
  <c r="B914" i="11" s="1"/>
  <c r="B915" i="11" s="1"/>
  <c r="B916" i="11" s="1"/>
  <c r="B917" i="11" s="1"/>
  <c r="B918" i="11" s="1"/>
  <c r="B919" i="11" s="1"/>
  <c r="B920" i="11" s="1"/>
  <c r="B921" i="11" s="1"/>
  <c r="B922" i="11" s="1"/>
  <c r="B923" i="11" s="1"/>
  <c r="B924" i="11" s="1"/>
  <c r="B925" i="11" s="1"/>
  <c r="B926" i="11" s="1"/>
  <c r="B927" i="11" s="1"/>
  <c r="B928" i="11" s="1"/>
  <c r="B929" i="11" s="1"/>
  <c r="B930" i="11" s="1"/>
  <c r="B931" i="11" s="1"/>
  <c r="B932" i="11" s="1"/>
  <c r="B933" i="11" s="1"/>
  <c r="B934" i="11" s="1"/>
  <c r="B935" i="11" s="1"/>
  <c r="B936" i="11" s="1"/>
  <c r="B937" i="11" s="1"/>
  <c r="B938" i="11" s="1"/>
  <c r="B939" i="11" s="1"/>
  <c r="B940" i="11" s="1"/>
  <c r="B941" i="11" s="1"/>
  <c r="B942" i="11" s="1"/>
  <c r="B943" i="11" s="1"/>
  <c r="B944" i="11" s="1"/>
  <c r="B945" i="11" s="1"/>
  <c r="B946" i="11" s="1"/>
  <c r="B947" i="11" s="1"/>
  <c r="B948" i="11" s="1"/>
  <c r="B949" i="11" s="1"/>
  <c r="B950" i="11" s="1"/>
  <c r="B951" i="11" s="1"/>
  <c r="B952" i="11" s="1"/>
  <c r="B953" i="11" s="1"/>
  <c r="B954" i="11" s="1"/>
  <c r="B955" i="11" s="1"/>
  <c r="B956" i="11" s="1"/>
  <c r="B957" i="11" s="1"/>
  <c r="B958" i="11" s="1"/>
  <c r="B959" i="11" s="1"/>
  <c r="B960" i="11" s="1"/>
  <c r="B961" i="11" s="1"/>
  <c r="B962" i="11" s="1"/>
  <c r="B963" i="11" s="1"/>
  <c r="B964" i="11" s="1"/>
  <c r="B965" i="11" s="1"/>
  <c r="B966" i="11" s="1"/>
  <c r="B967" i="11" s="1"/>
  <c r="B968" i="11" s="1"/>
  <c r="B969" i="11" s="1"/>
  <c r="B970" i="11" s="1"/>
  <c r="B971" i="11" s="1"/>
  <c r="B972" i="11" s="1"/>
  <c r="B973" i="11" s="1"/>
  <c r="B974" i="11" s="1"/>
  <c r="B975" i="11" s="1"/>
  <c r="B976" i="11" s="1"/>
  <c r="B977" i="11" s="1"/>
  <c r="B978" i="11" s="1"/>
  <c r="B979" i="11" s="1"/>
  <c r="B980" i="11" s="1"/>
  <c r="B981" i="11" s="1"/>
  <c r="B982" i="11" s="1"/>
  <c r="B983" i="11" s="1"/>
  <c r="B984" i="11" s="1"/>
  <c r="B985" i="11" s="1"/>
  <c r="B986" i="11" s="1"/>
  <c r="B987" i="11" s="1"/>
  <c r="B988" i="11" s="1"/>
  <c r="B989" i="11" s="1"/>
  <c r="B990" i="11" s="1"/>
  <c r="B991" i="11" s="1"/>
  <c r="B992" i="11" s="1"/>
  <c r="B993" i="11" s="1"/>
  <c r="B994" i="11" s="1"/>
  <c r="B995" i="11" s="1"/>
  <c r="B996" i="11" s="1"/>
  <c r="B997" i="11" s="1"/>
  <c r="B998" i="11" s="1"/>
  <c r="B999" i="11" s="1"/>
  <c r="B1000" i="11" s="1"/>
  <c r="B1001" i="11" s="1"/>
  <c r="B1002" i="11" s="1"/>
  <c r="B1003" i="11" s="1"/>
  <c r="B1004" i="11" s="1"/>
  <c r="B1005" i="11" s="1"/>
  <c r="B1006" i="11" s="1"/>
  <c r="B1007" i="11" s="1"/>
  <c r="B1008" i="11" s="1"/>
  <c r="B1009" i="11" s="1"/>
  <c r="O80" i="11"/>
  <c r="S83" i="6" s="1"/>
  <c r="O81" i="11"/>
  <c r="S84" i="6" s="1"/>
  <c r="O82" i="11"/>
  <c r="S85" i="6" s="1"/>
  <c r="O83" i="11"/>
  <c r="S86" i="6" s="1"/>
  <c r="O84" i="11"/>
  <c r="S87" i="6" s="1"/>
  <c r="O85" i="11"/>
  <c r="S88" i="6" s="1"/>
  <c r="O86" i="11"/>
  <c r="S89" i="6" s="1"/>
  <c r="O87" i="11"/>
  <c r="S90" i="6" s="1"/>
  <c r="O88" i="11"/>
  <c r="S91" i="6" s="1"/>
  <c r="O89" i="11"/>
  <c r="S92" i="6" s="1"/>
  <c r="O90" i="11"/>
  <c r="S93" i="6" s="1"/>
  <c r="O91" i="11"/>
  <c r="S94" i="6" s="1"/>
  <c r="O92" i="11"/>
  <c r="S95" i="6" s="1"/>
  <c r="O93" i="11"/>
  <c r="S96" i="6" s="1"/>
  <c r="O94" i="11"/>
  <c r="S97" i="6" s="1"/>
  <c r="O95" i="11"/>
  <c r="S98" i="6" s="1"/>
  <c r="O96" i="11"/>
  <c r="S99" i="6" s="1"/>
  <c r="O97" i="11"/>
  <c r="S100" i="6" s="1"/>
  <c r="O98" i="11"/>
  <c r="S101" i="6" s="1"/>
  <c r="O99" i="11"/>
  <c r="S102" i="6" s="1"/>
  <c r="O100" i="11"/>
  <c r="S103" i="6" s="1"/>
  <c r="O101" i="11"/>
  <c r="S104" i="6" s="1"/>
  <c r="O102" i="11"/>
  <c r="S105" i="6" s="1"/>
  <c r="O103" i="11"/>
  <c r="S106" i="6" s="1"/>
  <c r="O104" i="11"/>
  <c r="S107" i="6" s="1"/>
  <c r="O105" i="11"/>
  <c r="S108" i="6" s="1"/>
  <c r="O106" i="11"/>
  <c r="S109" i="6" s="1"/>
  <c r="O107" i="11"/>
  <c r="S110" i="6" s="1"/>
  <c r="O108" i="11"/>
  <c r="S111" i="6" s="1"/>
  <c r="O109" i="11"/>
  <c r="S112" i="6" s="1"/>
  <c r="O110" i="11"/>
  <c r="S113" i="6" s="1"/>
  <c r="O111" i="11"/>
  <c r="S114" i="6" s="1"/>
  <c r="O112" i="11"/>
  <c r="S115" i="6" s="1"/>
  <c r="O113" i="11"/>
  <c r="S116" i="6" s="1"/>
  <c r="O114" i="11"/>
  <c r="S117" i="6" s="1"/>
  <c r="O115" i="11"/>
  <c r="S118" i="6" s="1"/>
  <c r="O116" i="11"/>
  <c r="S119" i="6" s="1"/>
  <c r="O117" i="11"/>
  <c r="S120" i="6" s="1"/>
  <c r="O118" i="11"/>
  <c r="S121" i="6" s="1"/>
  <c r="O119" i="11"/>
  <c r="S122" i="6" s="1"/>
  <c r="O120" i="11"/>
  <c r="S123" i="6" s="1"/>
  <c r="O121" i="11"/>
  <c r="S124" i="6" s="1"/>
  <c r="O122" i="11"/>
  <c r="S125" i="6" s="1"/>
  <c r="O123" i="11"/>
  <c r="S126" i="6" s="1"/>
  <c r="O124" i="11"/>
  <c r="S127" i="6" s="1"/>
  <c r="O125" i="11"/>
  <c r="S128" i="6" s="1"/>
  <c r="O126" i="11"/>
  <c r="S129" i="6" s="1"/>
  <c r="O127" i="11"/>
  <c r="S130" i="6" s="1"/>
  <c r="O128" i="11"/>
  <c r="S131" i="6" s="1"/>
  <c r="O129" i="11"/>
  <c r="S132" i="6" s="1"/>
  <c r="O130" i="11"/>
  <c r="S133" i="6" s="1"/>
  <c r="O131" i="11"/>
  <c r="S134" i="6" s="1"/>
  <c r="O132" i="11"/>
  <c r="S135" i="6" s="1"/>
  <c r="O133" i="11"/>
  <c r="S136" i="6" s="1"/>
  <c r="O134" i="11"/>
  <c r="S137" i="6" s="1"/>
  <c r="O135" i="11"/>
  <c r="S138" i="6" s="1"/>
  <c r="O136" i="11"/>
  <c r="S139" i="6" s="1"/>
  <c r="O137" i="11"/>
  <c r="S140" i="6" s="1"/>
  <c r="O138" i="11"/>
  <c r="S141" i="6" s="1"/>
  <c r="O139" i="11"/>
  <c r="S142" i="6" s="1"/>
  <c r="O140" i="11"/>
  <c r="S143" i="6" s="1"/>
  <c r="O141" i="11"/>
  <c r="S144" i="6" s="1"/>
  <c r="O142" i="11"/>
  <c r="S145" i="6" s="1"/>
  <c r="O143" i="11"/>
  <c r="S146" i="6" s="1"/>
  <c r="O144" i="11"/>
  <c r="S147" i="6" s="1"/>
  <c r="O145" i="11"/>
  <c r="S148" i="6" s="1"/>
  <c r="O146" i="11"/>
  <c r="S149" i="6" s="1"/>
  <c r="O147" i="11"/>
  <c r="S150" i="6" s="1"/>
  <c r="O148" i="11"/>
  <c r="S151" i="6" s="1"/>
  <c r="O149" i="11"/>
  <c r="S152" i="6" s="1"/>
  <c r="O150" i="11"/>
  <c r="S153" i="6" s="1"/>
  <c r="O151" i="11"/>
  <c r="S154" i="6" s="1"/>
  <c r="O152" i="11"/>
  <c r="S155" i="6" s="1"/>
  <c r="O153" i="11"/>
  <c r="S156" i="6" s="1"/>
  <c r="O154" i="11"/>
  <c r="S157" i="6" s="1"/>
  <c r="O155" i="11"/>
  <c r="S158" i="6" s="1"/>
  <c r="O156" i="11"/>
  <c r="S159" i="6" s="1"/>
  <c r="O157" i="11"/>
  <c r="S160" i="6" s="1"/>
  <c r="O158" i="11"/>
  <c r="S161" i="6" s="1"/>
  <c r="O159" i="11"/>
  <c r="S162" i="6" s="1"/>
  <c r="O160" i="11"/>
  <c r="S163" i="6" s="1"/>
  <c r="O161" i="11"/>
  <c r="S164" i="6" s="1"/>
  <c r="O162" i="11"/>
  <c r="S165" i="6" s="1"/>
  <c r="O163" i="11"/>
  <c r="S166" i="6" s="1"/>
  <c r="O164" i="11"/>
  <c r="S167" i="6" s="1"/>
  <c r="O165" i="11"/>
  <c r="S168" i="6" s="1"/>
  <c r="O166" i="11"/>
  <c r="S169" i="6" s="1"/>
  <c r="O167" i="11"/>
  <c r="S170" i="6" s="1"/>
  <c r="O168" i="11"/>
  <c r="S171" i="6" s="1"/>
  <c r="O169" i="11"/>
  <c r="S172" i="6" s="1"/>
  <c r="O170" i="11"/>
  <c r="S173" i="6" s="1"/>
  <c r="O171" i="11"/>
  <c r="S174" i="6" s="1"/>
  <c r="O172" i="11"/>
  <c r="S175" i="6" s="1"/>
  <c r="O173" i="11"/>
  <c r="S176" i="6" s="1"/>
  <c r="O174" i="11"/>
  <c r="S177" i="6" s="1"/>
  <c r="O175" i="11"/>
  <c r="S178" i="6" s="1"/>
  <c r="O176" i="11"/>
  <c r="S179" i="6" s="1"/>
  <c r="O177" i="11"/>
  <c r="S180" i="6" s="1"/>
  <c r="O178" i="11"/>
  <c r="S181" i="6" s="1"/>
  <c r="O179" i="11"/>
  <c r="S182" i="6" s="1"/>
  <c r="O180" i="11"/>
  <c r="S183" i="6" s="1"/>
  <c r="O181" i="11"/>
  <c r="S184" i="6" s="1"/>
  <c r="O182" i="11"/>
  <c r="S185" i="6" s="1"/>
  <c r="O183" i="11"/>
  <c r="S186" i="6" s="1"/>
  <c r="O184" i="11"/>
  <c r="S187" i="6" s="1"/>
  <c r="O185" i="11"/>
  <c r="S188" i="6" s="1"/>
  <c r="O186" i="11"/>
  <c r="S189" i="6" s="1"/>
  <c r="O187" i="11"/>
  <c r="S190" i="6" s="1"/>
  <c r="O188" i="11"/>
  <c r="S191" i="6" s="1"/>
  <c r="O189" i="11"/>
  <c r="S192" i="6" s="1"/>
  <c r="O190" i="11"/>
  <c r="S193" i="6" s="1"/>
  <c r="O191" i="11"/>
  <c r="S194" i="6" s="1"/>
  <c r="O192" i="11"/>
  <c r="S195" i="6" s="1"/>
  <c r="O193" i="11"/>
  <c r="S196" i="6" s="1"/>
  <c r="O194" i="11"/>
  <c r="S197" i="6" s="1"/>
  <c r="O195" i="11"/>
  <c r="S198" i="6" s="1"/>
  <c r="O196" i="11"/>
  <c r="S199" i="6" s="1"/>
  <c r="O197" i="11"/>
  <c r="S200" i="6" s="1"/>
  <c r="O198" i="11"/>
  <c r="S201" i="6" s="1"/>
  <c r="O199" i="11"/>
  <c r="S202" i="6" s="1"/>
  <c r="O200" i="11"/>
  <c r="S203" i="6" s="1"/>
  <c r="O201" i="11"/>
  <c r="S204" i="6" s="1"/>
  <c r="O202" i="11"/>
  <c r="S205" i="6" s="1"/>
  <c r="O203" i="11"/>
  <c r="S206" i="6" s="1"/>
  <c r="O204" i="11"/>
  <c r="S207" i="6" s="1"/>
  <c r="O205" i="11"/>
  <c r="S208" i="6" s="1"/>
  <c r="O206" i="11"/>
  <c r="S209" i="6" s="1"/>
  <c r="O207" i="11"/>
  <c r="S210" i="6" s="1"/>
  <c r="O208" i="11"/>
  <c r="S211" i="6" s="1"/>
  <c r="O209" i="11"/>
  <c r="S212" i="6" s="1"/>
  <c r="O210" i="11"/>
  <c r="S213" i="6" s="1"/>
  <c r="O211" i="11"/>
  <c r="S214" i="6" s="1"/>
  <c r="O212" i="11"/>
  <c r="S215" i="6" s="1"/>
  <c r="O213" i="11"/>
  <c r="S216" i="6" s="1"/>
  <c r="O214" i="11"/>
  <c r="S217" i="6" s="1"/>
  <c r="O215" i="11"/>
  <c r="S218" i="6" s="1"/>
  <c r="O216" i="11"/>
  <c r="S219" i="6" s="1"/>
  <c r="O217" i="11"/>
  <c r="S220" i="6" s="1"/>
  <c r="O218" i="11"/>
  <c r="S221" i="6" s="1"/>
  <c r="O219" i="11"/>
  <c r="S222" i="6" s="1"/>
  <c r="O220" i="11"/>
  <c r="S223" i="6" s="1"/>
  <c r="O221" i="11"/>
  <c r="S224" i="6" s="1"/>
  <c r="O222" i="11"/>
  <c r="S225" i="6" s="1"/>
  <c r="O223" i="11"/>
  <c r="S226" i="6" s="1"/>
  <c r="O224" i="11"/>
  <c r="S227" i="6" s="1"/>
  <c r="O225" i="11"/>
  <c r="S228" i="6" s="1"/>
  <c r="O226" i="11"/>
  <c r="S229" i="6" s="1"/>
  <c r="O227" i="11"/>
  <c r="S230" i="6" s="1"/>
  <c r="O228" i="11"/>
  <c r="S231" i="6" s="1"/>
  <c r="O229" i="11"/>
  <c r="S232" i="6" s="1"/>
  <c r="O230" i="11"/>
  <c r="S233" i="6" s="1"/>
  <c r="O231" i="11"/>
  <c r="S234" i="6" s="1"/>
  <c r="O232" i="11"/>
  <c r="S235" i="6" s="1"/>
  <c r="O233" i="11"/>
  <c r="S236" i="6" s="1"/>
  <c r="O234" i="11"/>
  <c r="S237" i="6" s="1"/>
  <c r="O235" i="11"/>
  <c r="S238" i="6" s="1"/>
  <c r="O236" i="11"/>
  <c r="S239" i="6" s="1"/>
  <c r="O237" i="11"/>
  <c r="S240" i="6" s="1"/>
  <c r="O238" i="11"/>
  <c r="S241" i="6" s="1"/>
  <c r="O239" i="11"/>
  <c r="S242" i="6" s="1"/>
  <c r="O240" i="11"/>
  <c r="S243" i="6" s="1"/>
  <c r="O241" i="11"/>
  <c r="S244" i="6" s="1"/>
  <c r="O242" i="11"/>
  <c r="S245" i="6" s="1"/>
  <c r="O243" i="11"/>
  <c r="S246" i="6" s="1"/>
  <c r="O244" i="11"/>
  <c r="S247" i="6" s="1"/>
  <c r="O245" i="11"/>
  <c r="S248" i="6" s="1"/>
  <c r="O246" i="11"/>
  <c r="S249" i="6" s="1"/>
  <c r="O247" i="11"/>
  <c r="S250" i="6" s="1"/>
  <c r="O248" i="11"/>
  <c r="S251" i="6" s="1"/>
  <c r="O249" i="11"/>
  <c r="S252" i="6" s="1"/>
  <c r="O250" i="11"/>
  <c r="S253" i="6" s="1"/>
  <c r="O251" i="11"/>
  <c r="S254" i="6" s="1"/>
  <c r="O252" i="11"/>
  <c r="S255" i="6" s="1"/>
  <c r="G15" i="6"/>
  <c r="Q15" i="6"/>
  <c r="B4" i="22" s="1"/>
  <c r="G16" i="6"/>
  <c r="Q16" i="6"/>
  <c r="B5" i="22" s="1"/>
  <c r="G17" i="6"/>
  <c r="Q17" i="6"/>
  <c r="B6" i="22" s="1"/>
  <c r="M6" i="22" s="1"/>
  <c r="G18" i="6"/>
  <c r="Q18" i="6"/>
  <c r="B7" i="22" s="1"/>
  <c r="G19" i="6"/>
  <c r="Q19" i="6"/>
  <c r="B8" i="22" s="1"/>
  <c r="G20" i="6"/>
  <c r="Q20" i="6"/>
  <c r="B9" i="22" s="1"/>
  <c r="G21" i="6"/>
  <c r="Q21" i="6"/>
  <c r="B10" i="22" s="1"/>
  <c r="M10" i="22" s="1"/>
  <c r="G22" i="6"/>
  <c r="Q22" i="6"/>
  <c r="B11" i="22" s="1"/>
  <c r="G23" i="6"/>
  <c r="Q23" i="6"/>
  <c r="B12" i="22" s="1"/>
  <c r="G24" i="6"/>
  <c r="Q24" i="6"/>
  <c r="B13" i="22" s="1"/>
  <c r="G25" i="6"/>
  <c r="Q25" i="6"/>
  <c r="B14" i="22" s="1"/>
  <c r="M14" i="22" s="1"/>
  <c r="G26" i="6"/>
  <c r="Q26" i="6"/>
  <c r="B15" i="22" s="1"/>
  <c r="G27" i="6"/>
  <c r="Q27" i="6"/>
  <c r="B16" i="22" s="1"/>
  <c r="G28" i="6"/>
  <c r="Q28" i="6"/>
  <c r="B17" i="22" s="1"/>
  <c r="G29" i="6"/>
  <c r="Q29" i="6"/>
  <c r="B18" i="22" s="1"/>
  <c r="M18" i="22" s="1"/>
  <c r="G30" i="6"/>
  <c r="Q30" i="6"/>
  <c r="B19" i="22" s="1"/>
  <c r="G31" i="6"/>
  <c r="Q31" i="6"/>
  <c r="B20" i="22" s="1"/>
  <c r="G32" i="6"/>
  <c r="Q32" i="6"/>
  <c r="B21" i="22" s="1"/>
  <c r="G33" i="6"/>
  <c r="Q33" i="6"/>
  <c r="B22" i="22" s="1"/>
  <c r="M22" i="22" s="1"/>
  <c r="G34" i="6"/>
  <c r="Q34" i="6"/>
  <c r="B23" i="22" s="1"/>
  <c r="G35" i="6"/>
  <c r="Q35" i="6"/>
  <c r="B24" i="22" s="1"/>
  <c r="G36" i="6"/>
  <c r="Q36" i="6"/>
  <c r="B25" i="22" s="1"/>
  <c r="G37" i="6"/>
  <c r="Q37" i="6"/>
  <c r="B26" i="22" s="1"/>
  <c r="M26" i="22" s="1"/>
  <c r="G38" i="6"/>
  <c r="Q38" i="6"/>
  <c r="B27" i="22" s="1"/>
  <c r="G39" i="6"/>
  <c r="Q39" i="6"/>
  <c r="B28" i="22" s="1"/>
  <c r="G40" i="6"/>
  <c r="Q40" i="6"/>
  <c r="B29" i="22" s="1"/>
  <c r="G41" i="6"/>
  <c r="Q41" i="6"/>
  <c r="B30" i="22" s="1"/>
  <c r="M30" i="22" s="1"/>
  <c r="G42" i="6"/>
  <c r="Q42" i="6"/>
  <c r="B31" i="22" s="1"/>
  <c r="G43" i="6"/>
  <c r="Q43" i="6"/>
  <c r="B32" i="22" s="1"/>
  <c r="G44" i="6"/>
  <c r="Q44" i="6"/>
  <c r="B33" i="22" s="1"/>
  <c r="G45" i="6"/>
  <c r="Q45" i="6"/>
  <c r="B34" i="22" s="1"/>
  <c r="M34" i="22" s="1"/>
  <c r="G46" i="6"/>
  <c r="Q46" i="6"/>
  <c r="B35" i="22" s="1"/>
  <c r="G47" i="6"/>
  <c r="Q47" i="6"/>
  <c r="B36" i="22" s="1"/>
  <c r="G48" i="6"/>
  <c r="Q48" i="6"/>
  <c r="B37" i="22" s="1"/>
  <c r="G49" i="6"/>
  <c r="Q49" i="6"/>
  <c r="B38" i="22" s="1"/>
  <c r="M38" i="22" s="1"/>
  <c r="G50" i="6"/>
  <c r="Q50" i="6"/>
  <c r="B39" i="22" s="1"/>
  <c r="G51" i="6"/>
  <c r="Q51" i="6"/>
  <c r="B40" i="22" s="1"/>
  <c r="G52" i="6"/>
  <c r="Q52" i="6"/>
  <c r="B41" i="22" s="1"/>
  <c r="G53" i="6"/>
  <c r="Q53" i="6"/>
  <c r="B42" i="22" s="1"/>
  <c r="M42" i="22" s="1"/>
  <c r="G54" i="6"/>
  <c r="Q54" i="6"/>
  <c r="B43" i="22" s="1"/>
  <c r="G55" i="6"/>
  <c r="Q55" i="6"/>
  <c r="B44" i="22" s="1"/>
  <c r="G56" i="6"/>
  <c r="Q56" i="6"/>
  <c r="B45" i="22" s="1"/>
  <c r="G57" i="6"/>
  <c r="Q57" i="6"/>
  <c r="B46" i="22" s="1"/>
  <c r="M46" i="22" s="1"/>
  <c r="G58" i="6"/>
  <c r="Q58" i="6"/>
  <c r="B47" i="22" s="1"/>
  <c r="G59" i="6"/>
  <c r="Q59" i="6"/>
  <c r="B48" i="22" s="1"/>
  <c r="G60" i="6"/>
  <c r="Q60" i="6"/>
  <c r="B49" i="22" s="1"/>
  <c r="G61" i="6"/>
  <c r="Q61" i="6"/>
  <c r="B50" i="22" s="1"/>
  <c r="M50" i="22" s="1"/>
  <c r="G62" i="6"/>
  <c r="Q62" i="6"/>
  <c r="B51" i="22" s="1"/>
  <c r="G63" i="6"/>
  <c r="Q63" i="6"/>
  <c r="B52" i="22" s="1"/>
  <c r="G64" i="6"/>
  <c r="Q64" i="6"/>
  <c r="B53" i="22" s="1"/>
  <c r="G65" i="6"/>
  <c r="Q65" i="6"/>
  <c r="B54" i="22" s="1"/>
  <c r="M54" i="22" s="1"/>
  <c r="G66" i="6"/>
  <c r="Q66" i="6"/>
  <c r="B55" i="22" s="1"/>
  <c r="G67" i="6"/>
  <c r="Q67" i="6"/>
  <c r="B56" i="22" s="1"/>
  <c r="G68" i="6"/>
  <c r="Q68" i="6"/>
  <c r="B57" i="22" s="1"/>
  <c r="G69" i="6"/>
  <c r="Q69" i="6"/>
  <c r="B58" i="22" s="1"/>
  <c r="M58" i="22" s="1"/>
  <c r="G70" i="6"/>
  <c r="Q70" i="6"/>
  <c r="B59" i="22" s="1"/>
  <c r="G71" i="6"/>
  <c r="Q71" i="6"/>
  <c r="B60" i="22" s="1"/>
  <c r="G72" i="6"/>
  <c r="Q72" i="6"/>
  <c r="B61" i="22" s="1"/>
  <c r="G73" i="6"/>
  <c r="Q73" i="6"/>
  <c r="B62" i="22" s="1"/>
  <c r="M62" i="22" s="1"/>
  <c r="G74" i="6"/>
  <c r="Q74" i="6"/>
  <c r="B63" i="22" s="1"/>
  <c r="G75" i="6"/>
  <c r="Q75" i="6"/>
  <c r="B64" i="22" s="1"/>
  <c r="G76" i="6"/>
  <c r="Q76" i="6"/>
  <c r="B65" i="22" s="1"/>
  <c r="G77" i="6"/>
  <c r="Q77" i="6"/>
  <c r="B66" i="22" s="1"/>
  <c r="M66" i="22" s="1"/>
  <c r="G78" i="6"/>
  <c r="Q78" i="6"/>
  <c r="B67" i="22" s="1"/>
  <c r="G79" i="6"/>
  <c r="Q79" i="6"/>
  <c r="B68" i="22" s="1"/>
  <c r="G80" i="6"/>
  <c r="Q80" i="6"/>
  <c r="B69" i="22" s="1"/>
  <c r="G81" i="6"/>
  <c r="Q81" i="6"/>
  <c r="B70" i="22" s="1"/>
  <c r="M70" i="22" s="1"/>
  <c r="G82" i="6"/>
  <c r="Q82" i="6"/>
  <c r="B71" i="22" s="1"/>
  <c r="G83" i="6"/>
  <c r="Q83" i="6"/>
  <c r="B72" i="22" s="1"/>
  <c r="G84" i="6"/>
  <c r="Q84" i="6"/>
  <c r="B73" i="22" s="1"/>
  <c r="G85" i="6"/>
  <c r="Q85" i="6"/>
  <c r="B74" i="22" s="1"/>
  <c r="M74" i="22" s="1"/>
  <c r="G86" i="6"/>
  <c r="Q86" i="6"/>
  <c r="B75" i="22" s="1"/>
  <c r="G87" i="6"/>
  <c r="Q87" i="6"/>
  <c r="B76" i="22" s="1"/>
  <c r="G88" i="6"/>
  <c r="Q88" i="6"/>
  <c r="B77" i="22" s="1"/>
  <c r="G89" i="6"/>
  <c r="Q89" i="6"/>
  <c r="B78" i="22" s="1"/>
  <c r="M78" i="22" s="1"/>
  <c r="G90" i="6"/>
  <c r="Q90" i="6"/>
  <c r="B79" i="22" s="1"/>
  <c r="G91" i="6"/>
  <c r="Q91" i="6"/>
  <c r="B80" i="22" s="1"/>
  <c r="G92" i="6"/>
  <c r="Q92" i="6"/>
  <c r="B81" i="22" s="1"/>
  <c r="G93" i="6"/>
  <c r="Q93" i="6"/>
  <c r="B82" i="22" s="1"/>
  <c r="M82" i="22" s="1"/>
  <c r="G94" i="6"/>
  <c r="Q94" i="6"/>
  <c r="B83" i="22" s="1"/>
  <c r="G95" i="6"/>
  <c r="Q95" i="6"/>
  <c r="B84" i="22" s="1"/>
  <c r="G96" i="6"/>
  <c r="Q96" i="6"/>
  <c r="B85" i="22" s="1"/>
  <c r="G97" i="6"/>
  <c r="Q97" i="6"/>
  <c r="B86" i="22" s="1"/>
  <c r="M86" i="22" s="1"/>
  <c r="G98" i="6"/>
  <c r="Q98" i="6"/>
  <c r="B87" i="22" s="1"/>
  <c r="G99" i="6"/>
  <c r="Q99" i="6"/>
  <c r="B88" i="22" s="1"/>
  <c r="G100" i="6"/>
  <c r="Q100" i="6"/>
  <c r="B89" i="22" s="1"/>
  <c r="G101" i="6"/>
  <c r="Q101" i="6"/>
  <c r="B90" i="22" s="1"/>
  <c r="M90" i="22" s="1"/>
  <c r="G102" i="6"/>
  <c r="Q102" i="6"/>
  <c r="B91" i="22" s="1"/>
  <c r="G103" i="6"/>
  <c r="Q103" i="6"/>
  <c r="B92" i="22" s="1"/>
  <c r="G104" i="6"/>
  <c r="Q104" i="6"/>
  <c r="B93" i="22" s="1"/>
  <c r="G105" i="6"/>
  <c r="Q105" i="6"/>
  <c r="B94" i="22" s="1"/>
  <c r="M94" i="22" s="1"/>
  <c r="G106" i="6"/>
  <c r="Q106" i="6"/>
  <c r="B95" i="22" s="1"/>
  <c r="G107" i="6"/>
  <c r="Q107" i="6"/>
  <c r="B96" i="22" s="1"/>
  <c r="G108" i="6"/>
  <c r="Q108" i="6"/>
  <c r="B97" i="22" s="1"/>
  <c r="G109" i="6"/>
  <c r="Q109" i="6"/>
  <c r="B98" i="22" s="1"/>
  <c r="M98" i="22" s="1"/>
  <c r="G110" i="6"/>
  <c r="Q110" i="6"/>
  <c r="B99" i="22" s="1"/>
  <c r="G111" i="6"/>
  <c r="Q111" i="6"/>
  <c r="B100" i="22" s="1"/>
  <c r="G112" i="6"/>
  <c r="Q112" i="6"/>
  <c r="B101" i="22" s="1"/>
  <c r="G113" i="6"/>
  <c r="Q113" i="6"/>
  <c r="B102" i="22" s="1"/>
  <c r="M102" i="22" s="1"/>
  <c r="G114" i="6"/>
  <c r="Q114" i="6"/>
  <c r="B103" i="22" s="1"/>
  <c r="G115" i="6"/>
  <c r="Q115" i="6"/>
  <c r="B104" i="22" s="1"/>
  <c r="G116" i="6"/>
  <c r="Q116" i="6"/>
  <c r="B105" i="22" s="1"/>
  <c r="G117" i="6"/>
  <c r="Q117" i="6"/>
  <c r="B106" i="22" s="1"/>
  <c r="M106" i="22" s="1"/>
  <c r="G118" i="6"/>
  <c r="Q118" i="6"/>
  <c r="B107" i="22" s="1"/>
  <c r="G119" i="6"/>
  <c r="Q119" i="6"/>
  <c r="B108" i="22" s="1"/>
  <c r="G120" i="6"/>
  <c r="Q120" i="6"/>
  <c r="B109" i="22" s="1"/>
  <c r="G121" i="6"/>
  <c r="Q121" i="6"/>
  <c r="B110" i="22" s="1"/>
  <c r="M110" i="22" s="1"/>
  <c r="G122" i="6"/>
  <c r="Q122" i="6"/>
  <c r="B111" i="22" s="1"/>
  <c r="G123" i="6"/>
  <c r="Q123" i="6"/>
  <c r="B112" i="22" s="1"/>
  <c r="G124" i="6"/>
  <c r="Q124" i="6"/>
  <c r="B113" i="22" s="1"/>
  <c r="G125" i="6"/>
  <c r="Q125" i="6"/>
  <c r="B114" i="22" s="1"/>
  <c r="M114" i="22" s="1"/>
  <c r="G126" i="6"/>
  <c r="Q126" i="6"/>
  <c r="B115" i="22" s="1"/>
  <c r="G127" i="6"/>
  <c r="Q127" i="6"/>
  <c r="B116" i="22" s="1"/>
  <c r="G128" i="6"/>
  <c r="Q128" i="6"/>
  <c r="B117" i="22" s="1"/>
  <c r="G129" i="6"/>
  <c r="Q129" i="6"/>
  <c r="B118" i="22" s="1"/>
  <c r="M118" i="22" s="1"/>
  <c r="G130" i="6"/>
  <c r="Q130" i="6"/>
  <c r="B119" i="22" s="1"/>
  <c r="G131" i="6"/>
  <c r="Q131" i="6"/>
  <c r="B120" i="22" s="1"/>
  <c r="G132" i="6"/>
  <c r="Q132" i="6"/>
  <c r="B121" i="22" s="1"/>
  <c r="G133" i="6"/>
  <c r="Q133" i="6"/>
  <c r="B122" i="22" s="1"/>
  <c r="M122" i="22" s="1"/>
  <c r="G134" i="6"/>
  <c r="Q134" i="6"/>
  <c r="B123" i="22" s="1"/>
  <c r="G135" i="6"/>
  <c r="Q135" i="6"/>
  <c r="B124" i="22" s="1"/>
  <c r="G136" i="6"/>
  <c r="Q136" i="6"/>
  <c r="B125" i="22" s="1"/>
  <c r="G137" i="6"/>
  <c r="Q137" i="6"/>
  <c r="B126" i="22" s="1"/>
  <c r="M126" i="22" s="1"/>
  <c r="G138" i="6"/>
  <c r="Q138" i="6"/>
  <c r="B127" i="22" s="1"/>
  <c r="G139" i="6"/>
  <c r="Q139" i="6"/>
  <c r="B128" i="22" s="1"/>
  <c r="G140" i="6"/>
  <c r="Q140" i="6"/>
  <c r="B129" i="22" s="1"/>
  <c r="G141" i="6"/>
  <c r="Q141" i="6"/>
  <c r="B130" i="22" s="1"/>
  <c r="M130" i="22" s="1"/>
  <c r="G142" i="6"/>
  <c r="Q142" i="6"/>
  <c r="B131" i="22" s="1"/>
  <c r="G143" i="6"/>
  <c r="Q143" i="6"/>
  <c r="B132" i="22" s="1"/>
  <c r="G144" i="6"/>
  <c r="Q144" i="6"/>
  <c r="B133" i="22" s="1"/>
  <c r="G145" i="6"/>
  <c r="Q145" i="6"/>
  <c r="B134" i="22" s="1"/>
  <c r="M134" i="22" s="1"/>
  <c r="G146" i="6"/>
  <c r="Q146" i="6"/>
  <c r="B135" i="22" s="1"/>
  <c r="G147" i="6"/>
  <c r="Q147" i="6"/>
  <c r="B136" i="22" s="1"/>
  <c r="G148" i="6"/>
  <c r="Q148" i="6"/>
  <c r="B137" i="22" s="1"/>
  <c r="G149" i="6"/>
  <c r="Q149" i="6"/>
  <c r="B138" i="22" s="1"/>
  <c r="M138" i="22" s="1"/>
  <c r="G150" i="6"/>
  <c r="Q150" i="6"/>
  <c r="B139" i="22" s="1"/>
  <c r="G151" i="6"/>
  <c r="Q151" i="6"/>
  <c r="B140" i="22" s="1"/>
  <c r="G152" i="6"/>
  <c r="Q152" i="6"/>
  <c r="B141" i="22" s="1"/>
  <c r="G153" i="6"/>
  <c r="Q153" i="6"/>
  <c r="B142" i="22" s="1"/>
  <c r="M142" i="22" s="1"/>
  <c r="G154" i="6"/>
  <c r="Q154" i="6"/>
  <c r="B143" i="22" s="1"/>
  <c r="G155" i="6"/>
  <c r="Q155" i="6"/>
  <c r="B144" i="22" s="1"/>
  <c r="G156" i="6"/>
  <c r="Q156" i="6"/>
  <c r="B145" i="22" s="1"/>
  <c r="G157" i="6"/>
  <c r="Q157" i="6"/>
  <c r="B146" i="22" s="1"/>
  <c r="M146" i="22" s="1"/>
  <c r="G158" i="6"/>
  <c r="Q158" i="6"/>
  <c r="B147" i="22" s="1"/>
  <c r="G159" i="6"/>
  <c r="Q159" i="6"/>
  <c r="B148" i="22" s="1"/>
  <c r="G160" i="6"/>
  <c r="Q160" i="6"/>
  <c r="B149" i="22" s="1"/>
  <c r="G161" i="6"/>
  <c r="Q161" i="6"/>
  <c r="B150" i="22" s="1"/>
  <c r="M150" i="22" s="1"/>
  <c r="G162" i="6"/>
  <c r="Q162" i="6"/>
  <c r="B151" i="22" s="1"/>
  <c r="G163" i="6"/>
  <c r="Q163" i="6"/>
  <c r="B152" i="22" s="1"/>
  <c r="G164" i="6"/>
  <c r="Q164" i="6"/>
  <c r="B153" i="22" s="1"/>
  <c r="G165" i="6"/>
  <c r="Q165" i="6"/>
  <c r="B154" i="22" s="1"/>
  <c r="M154" i="22" s="1"/>
  <c r="G166" i="6"/>
  <c r="Q166" i="6"/>
  <c r="B155" i="22" s="1"/>
  <c r="G167" i="6"/>
  <c r="Q167" i="6"/>
  <c r="B156" i="22" s="1"/>
  <c r="G168" i="6"/>
  <c r="Q168" i="6"/>
  <c r="B157" i="22" s="1"/>
  <c r="G169" i="6"/>
  <c r="Q169" i="6"/>
  <c r="B158" i="22" s="1"/>
  <c r="M158" i="22" s="1"/>
  <c r="G170" i="6"/>
  <c r="Q170" i="6"/>
  <c r="B159" i="22" s="1"/>
  <c r="G171" i="6"/>
  <c r="Q171" i="6"/>
  <c r="B160" i="22" s="1"/>
  <c r="G172" i="6"/>
  <c r="Q172" i="6"/>
  <c r="B161" i="22" s="1"/>
  <c r="G173" i="6"/>
  <c r="Q173" i="6"/>
  <c r="B162" i="22" s="1"/>
  <c r="M162" i="22" s="1"/>
  <c r="G174" i="6"/>
  <c r="Q174" i="6"/>
  <c r="B163" i="22" s="1"/>
  <c r="G175" i="6"/>
  <c r="Q175" i="6"/>
  <c r="B164" i="22" s="1"/>
  <c r="G176" i="6"/>
  <c r="Q176" i="6"/>
  <c r="B165" i="22" s="1"/>
  <c r="G177" i="6"/>
  <c r="Q177" i="6"/>
  <c r="B166" i="22" s="1"/>
  <c r="M166" i="22" s="1"/>
  <c r="G178" i="6"/>
  <c r="Q178" i="6"/>
  <c r="B167" i="22" s="1"/>
  <c r="G179" i="6"/>
  <c r="Q179" i="6"/>
  <c r="B168" i="22" s="1"/>
  <c r="G180" i="6"/>
  <c r="Q180" i="6"/>
  <c r="B169" i="22" s="1"/>
  <c r="G181" i="6"/>
  <c r="Q181" i="6"/>
  <c r="B170" i="22" s="1"/>
  <c r="M170" i="22" s="1"/>
  <c r="G182" i="6"/>
  <c r="Q182" i="6"/>
  <c r="B171" i="22" s="1"/>
  <c r="G183" i="6"/>
  <c r="Q183" i="6"/>
  <c r="B172" i="22" s="1"/>
  <c r="G184" i="6"/>
  <c r="Q184" i="6"/>
  <c r="B173" i="22" s="1"/>
  <c r="G185" i="6"/>
  <c r="Q185" i="6"/>
  <c r="B174" i="22" s="1"/>
  <c r="M174" i="22" s="1"/>
  <c r="G186" i="6"/>
  <c r="Q186" i="6"/>
  <c r="B175" i="22" s="1"/>
  <c r="G187" i="6"/>
  <c r="Q187" i="6"/>
  <c r="B176" i="22" s="1"/>
  <c r="G188" i="6"/>
  <c r="Q188" i="6"/>
  <c r="B177" i="22" s="1"/>
  <c r="G189" i="6"/>
  <c r="Q189" i="6"/>
  <c r="B178" i="22" s="1"/>
  <c r="M178" i="22" s="1"/>
  <c r="G190" i="6"/>
  <c r="Q190" i="6"/>
  <c r="B179" i="22" s="1"/>
  <c r="G191" i="6"/>
  <c r="Q191" i="6"/>
  <c r="B180" i="22" s="1"/>
  <c r="G192" i="6"/>
  <c r="Q192" i="6"/>
  <c r="B181" i="22" s="1"/>
  <c r="G193" i="6"/>
  <c r="Q193" i="6"/>
  <c r="B182" i="22" s="1"/>
  <c r="M182" i="22" s="1"/>
  <c r="G194" i="6"/>
  <c r="Q194" i="6"/>
  <c r="B183" i="22" s="1"/>
  <c r="G195" i="6"/>
  <c r="Q195" i="6"/>
  <c r="B184" i="22" s="1"/>
  <c r="G196" i="6"/>
  <c r="Q196" i="6"/>
  <c r="B185" i="22" s="1"/>
  <c r="G197" i="6"/>
  <c r="Q197" i="6"/>
  <c r="B186" i="22" s="1"/>
  <c r="M186" i="22" s="1"/>
  <c r="G198" i="6"/>
  <c r="Q198" i="6"/>
  <c r="B187" i="22" s="1"/>
  <c r="G199" i="6"/>
  <c r="Q199" i="6"/>
  <c r="B188" i="22" s="1"/>
  <c r="G200" i="6"/>
  <c r="Q200" i="6"/>
  <c r="B189" i="22" s="1"/>
  <c r="G201" i="6"/>
  <c r="Q201" i="6"/>
  <c r="B190" i="22" s="1"/>
  <c r="M190" i="22" s="1"/>
  <c r="G202" i="6"/>
  <c r="Q202" i="6"/>
  <c r="B191" i="22" s="1"/>
  <c r="G203" i="6"/>
  <c r="Q203" i="6"/>
  <c r="B192" i="22" s="1"/>
  <c r="G204" i="6"/>
  <c r="Q204" i="6"/>
  <c r="B193" i="22" s="1"/>
  <c r="G205" i="6"/>
  <c r="Q205" i="6"/>
  <c r="B194" i="22" s="1"/>
  <c r="M194" i="22" s="1"/>
  <c r="G206" i="6"/>
  <c r="Q206" i="6"/>
  <c r="B195" i="22" s="1"/>
  <c r="G207" i="6"/>
  <c r="Q207" i="6"/>
  <c r="B196" i="22" s="1"/>
  <c r="G208" i="6"/>
  <c r="Q208" i="6"/>
  <c r="B197" i="22" s="1"/>
  <c r="G209" i="6"/>
  <c r="Q209" i="6"/>
  <c r="B198" i="22" s="1"/>
  <c r="M198" i="22" s="1"/>
  <c r="G210" i="6"/>
  <c r="Q210" i="6"/>
  <c r="B199" i="22" s="1"/>
  <c r="G211" i="6"/>
  <c r="Q211" i="6"/>
  <c r="B200" i="22" s="1"/>
  <c r="G212" i="6"/>
  <c r="Q212" i="6"/>
  <c r="B201" i="22" s="1"/>
  <c r="G213" i="6"/>
  <c r="Q213" i="6"/>
  <c r="B202" i="22" s="1"/>
  <c r="M202" i="22" s="1"/>
  <c r="G214" i="6"/>
  <c r="Q214" i="6"/>
  <c r="B203" i="22" s="1"/>
  <c r="G215" i="6"/>
  <c r="Q215" i="6"/>
  <c r="B204" i="22" s="1"/>
  <c r="G216" i="6"/>
  <c r="Q216" i="6"/>
  <c r="B205" i="22" s="1"/>
  <c r="G217" i="6"/>
  <c r="Q217" i="6"/>
  <c r="B206" i="22" s="1"/>
  <c r="M206" i="22" s="1"/>
  <c r="G218" i="6"/>
  <c r="Q218" i="6"/>
  <c r="B207" i="22" s="1"/>
  <c r="G219" i="6"/>
  <c r="Q219" i="6"/>
  <c r="B208" i="22" s="1"/>
  <c r="G220" i="6"/>
  <c r="Q220" i="6"/>
  <c r="B209" i="22" s="1"/>
  <c r="G221" i="6"/>
  <c r="Q221" i="6"/>
  <c r="B210" i="22" s="1"/>
  <c r="M210" i="22" s="1"/>
  <c r="G222" i="6"/>
  <c r="Q222" i="6"/>
  <c r="B211" i="22" s="1"/>
  <c r="G223" i="6"/>
  <c r="Q223" i="6"/>
  <c r="B212" i="22" s="1"/>
  <c r="G224" i="6"/>
  <c r="Q224" i="6"/>
  <c r="B213" i="22" s="1"/>
  <c r="G225" i="6"/>
  <c r="Q225" i="6"/>
  <c r="B214" i="22" s="1"/>
  <c r="M214" i="22" s="1"/>
  <c r="G226" i="6"/>
  <c r="Q226" i="6"/>
  <c r="B215" i="22" s="1"/>
  <c r="G227" i="6"/>
  <c r="Q227" i="6"/>
  <c r="B216" i="22" s="1"/>
  <c r="G228" i="6"/>
  <c r="Q228" i="6"/>
  <c r="B217" i="22" s="1"/>
  <c r="G229" i="6"/>
  <c r="Q229" i="6"/>
  <c r="B218" i="22" s="1"/>
  <c r="M218" i="22" s="1"/>
  <c r="G230" i="6"/>
  <c r="Q230" i="6"/>
  <c r="B219" i="22" s="1"/>
  <c r="G231" i="6"/>
  <c r="Q231" i="6"/>
  <c r="B220" i="22" s="1"/>
  <c r="G232" i="6"/>
  <c r="Q232" i="6"/>
  <c r="B221" i="22" s="1"/>
  <c r="G233" i="6"/>
  <c r="Q233" i="6"/>
  <c r="B222" i="22" s="1"/>
  <c r="M222" i="22" s="1"/>
  <c r="G234" i="6"/>
  <c r="Q234" i="6"/>
  <c r="B223" i="22" s="1"/>
  <c r="G235" i="6"/>
  <c r="Q235" i="6"/>
  <c r="B224" i="22" s="1"/>
  <c r="G236" i="6"/>
  <c r="Q236" i="6"/>
  <c r="B225" i="22" s="1"/>
  <c r="G237" i="6"/>
  <c r="Q237" i="6"/>
  <c r="B226" i="22" s="1"/>
  <c r="M226" i="22" s="1"/>
  <c r="G238" i="6"/>
  <c r="Q238" i="6"/>
  <c r="B227" i="22" s="1"/>
  <c r="G239" i="6"/>
  <c r="Q239" i="6"/>
  <c r="B228" i="22" s="1"/>
  <c r="G240" i="6"/>
  <c r="Q240" i="6"/>
  <c r="B229" i="22" s="1"/>
  <c r="G241" i="6"/>
  <c r="Q241" i="6"/>
  <c r="B230" i="22" s="1"/>
  <c r="M230" i="22" s="1"/>
  <c r="G242" i="6"/>
  <c r="Q242" i="6"/>
  <c r="B231" i="22" s="1"/>
  <c r="G243" i="6"/>
  <c r="Q243" i="6"/>
  <c r="B232" i="22" s="1"/>
  <c r="G244" i="6"/>
  <c r="Q244" i="6"/>
  <c r="B233" i="22" s="1"/>
  <c r="G245" i="6"/>
  <c r="Q245" i="6"/>
  <c r="B234" i="22" s="1"/>
  <c r="M234" i="22" s="1"/>
  <c r="G246" i="6"/>
  <c r="Q246" i="6"/>
  <c r="B235" i="22" s="1"/>
  <c r="G247" i="6"/>
  <c r="Q247" i="6"/>
  <c r="B236" i="22" s="1"/>
  <c r="G248" i="6"/>
  <c r="Q248" i="6"/>
  <c r="B237" i="22" s="1"/>
  <c r="G249" i="6"/>
  <c r="Q249" i="6"/>
  <c r="B238" i="22" s="1"/>
  <c r="M238" i="22" s="1"/>
  <c r="G250" i="6"/>
  <c r="Q250" i="6"/>
  <c r="B239" i="22" s="1"/>
  <c r="G251" i="6"/>
  <c r="Q251" i="6"/>
  <c r="B240" i="22" s="1"/>
  <c r="G252" i="6"/>
  <c r="Q252" i="6"/>
  <c r="B241" i="22" s="1"/>
  <c r="G253" i="6"/>
  <c r="Q253" i="6"/>
  <c r="B242" i="22" s="1"/>
  <c r="M242" i="22" s="1"/>
  <c r="G254" i="6"/>
  <c r="Q254" i="6"/>
  <c r="B243" i="22" s="1"/>
  <c r="G255" i="6"/>
  <c r="Q255" i="6"/>
  <c r="B244" i="22" s="1"/>
  <c r="G256" i="6"/>
  <c r="Q256" i="6"/>
  <c r="B245" i="22" s="1"/>
  <c r="G257" i="6"/>
  <c r="Q257" i="6"/>
  <c r="B246" i="22" s="1"/>
  <c r="M246" i="22" s="1"/>
  <c r="G258" i="6"/>
  <c r="Q258" i="6"/>
  <c r="B247" i="22" s="1"/>
  <c r="G259" i="6"/>
  <c r="Q259" i="6"/>
  <c r="B248" i="22" s="1"/>
  <c r="G260" i="6"/>
  <c r="Q260" i="6"/>
  <c r="B249" i="22" s="1"/>
  <c r="G261" i="6"/>
  <c r="Q261" i="6"/>
  <c r="B250" i="22" s="1"/>
  <c r="M250" i="22" s="1"/>
  <c r="G262" i="6"/>
  <c r="Q262" i="6"/>
  <c r="B251" i="22" s="1"/>
  <c r="B14" i="6"/>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B432" i="6" s="1"/>
  <c r="B433" i="6" s="1"/>
  <c r="B434" i="6" s="1"/>
  <c r="B435" i="6" s="1"/>
  <c r="B436" i="6" s="1"/>
  <c r="B437" i="6" s="1"/>
  <c r="B438" i="6" s="1"/>
  <c r="B439" i="6" s="1"/>
  <c r="B440" i="6" s="1"/>
  <c r="B441" i="6" s="1"/>
  <c r="B442" i="6" s="1"/>
  <c r="B443" i="6" s="1"/>
  <c r="B444" i="6" s="1"/>
  <c r="B445" i="6" s="1"/>
  <c r="B446" i="6" s="1"/>
  <c r="B447" i="6" s="1"/>
  <c r="B448" i="6" s="1"/>
  <c r="B449" i="6" s="1"/>
  <c r="B450" i="6" s="1"/>
  <c r="B451" i="6" s="1"/>
  <c r="B452" i="6" s="1"/>
  <c r="B453" i="6" s="1"/>
  <c r="B454" i="6" s="1"/>
  <c r="B455" i="6" s="1"/>
  <c r="B456" i="6" s="1"/>
  <c r="B457" i="6" s="1"/>
  <c r="B458" i="6" s="1"/>
  <c r="B459" i="6" s="1"/>
  <c r="B460" i="6" s="1"/>
  <c r="B461" i="6" s="1"/>
  <c r="B462" i="6" s="1"/>
  <c r="B463" i="6" s="1"/>
  <c r="B464" i="6" s="1"/>
  <c r="B465" i="6" s="1"/>
  <c r="B466" i="6" s="1"/>
  <c r="B467" i="6" s="1"/>
  <c r="B468" i="6" s="1"/>
  <c r="B469" i="6" s="1"/>
  <c r="B470" i="6" s="1"/>
  <c r="B471" i="6" s="1"/>
  <c r="B472" i="6" s="1"/>
  <c r="B473" i="6" s="1"/>
  <c r="B474" i="6" s="1"/>
  <c r="B475" i="6" s="1"/>
  <c r="B476" i="6" s="1"/>
  <c r="B477" i="6" s="1"/>
  <c r="B478" i="6" s="1"/>
  <c r="B479" i="6" s="1"/>
  <c r="B480" i="6" s="1"/>
  <c r="B481" i="6" s="1"/>
  <c r="B482" i="6" s="1"/>
  <c r="B483" i="6" s="1"/>
  <c r="B484" i="6" s="1"/>
  <c r="B485" i="6" s="1"/>
  <c r="B486" i="6" s="1"/>
  <c r="B487" i="6" s="1"/>
  <c r="B488" i="6" s="1"/>
  <c r="B489" i="6" s="1"/>
  <c r="B490" i="6" s="1"/>
  <c r="B491" i="6" s="1"/>
  <c r="B492" i="6" s="1"/>
  <c r="B493" i="6" s="1"/>
  <c r="B494" i="6" s="1"/>
  <c r="B495" i="6" s="1"/>
  <c r="B496" i="6" s="1"/>
  <c r="B497" i="6" s="1"/>
  <c r="B498" i="6" s="1"/>
  <c r="B499" i="6" s="1"/>
  <c r="B500" i="6" s="1"/>
  <c r="B501" i="6" s="1"/>
  <c r="B502" i="6" s="1"/>
  <c r="B503" i="6" s="1"/>
  <c r="B504" i="6" s="1"/>
  <c r="B505" i="6" s="1"/>
  <c r="B506" i="6" s="1"/>
  <c r="B507" i="6" s="1"/>
  <c r="B508" i="6" s="1"/>
  <c r="B509" i="6" s="1"/>
  <c r="B510" i="6" s="1"/>
  <c r="B511" i="6" s="1"/>
  <c r="B512" i="6" s="1"/>
  <c r="B513" i="6" s="1"/>
  <c r="B514" i="6" s="1"/>
  <c r="B515" i="6" s="1"/>
  <c r="B516" i="6" s="1"/>
  <c r="B517" i="6" s="1"/>
  <c r="B518" i="6" s="1"/>
  <c r="B519" i="6" s="1"/>
  <c r="B520" i="6" s="1"/>
  <c r="B521" i="6" s="1"/>
  <c r="B522" i="6" s="1"/>
  <c r="B523" i="6" s="1"/>
  <c r="B524" i="6" s="1"/>
  <c r="B525" i="6" s="1"/>
  <c r="B526" i="6" s="1"/>
  <c r="B527" i="6" s="1"/>
  <c r="B528" i="6" s="1"/>
  <c r="B529" i="6" s="1"/>
  <c r="B530" i="6" s="1"/>
  <c r="B531" i="6" s="1"/>
  <c r="B532" i="6" s="1"/>
  <c r="B533" i="6" s="1"/>
  <c r="B534" i="6" s="1"/>
  <c r="B535" i="6" s="1"/>
  <c r="B536" i="6" s="1"/>
  <c r="B537" i="6" s="1"/>
  <c r="B538" i="6" s="1"/>
  <c r="B539" i="6" s="1"/>
  <c r="B540" i="6" s="1"/>
  <c r="B541" i="6" s="1"/>
  <c r="B542" i="6" s="1"/>
  <c r="B543" i="6" s="1"/>
  <c r="B544" i="6" s="1"/>
  <c r="B545" i="6" s="1"/>
  <c r="B546" i="6" s="1"/>
  <c r="B547" i="6" s="1"/>
  <c r="B548" i="6" s="1"/>
  <c r="B549" i="6" s="1"/>
  <c r="B550" i="6" s="1"/>
  <c r="B551" i="6" s="1"/>
  <c r="B552" i="6" s="1"/>
  <c r="B553" i="6" s="1"/>
  <c r="B554" i="6" s="1"/>
  <c r="B555" i="6" s="1"/>
  <c r="B556" i="6" s="1"/>
  <c r="B557" i="6" s="1"/>
  <c r="B558" i="6" s="1"/>
  <c r="B559" i="6" s="1"/>
  <c r="B560" i="6" s="1"/>
  <c r="B561" i="6" s="1"/>
  <c r="B562" i="6" s="1"/>
  <c r="B563" i="6" s="1"/>
  <c r="B564" i="6" s="1"/>
  <c r="B565" i="6" s="1"/>
  <c r="B566" i="6" s="1"/>
  <c r="B567" i="6" s="1"/>
  <c r="B568" i="6" s="1"/>
  <c r="B569" i="6" s="1"/>
  <c r="B570" i="6" s="1"/>
  <c r="B571" i="6" s="1"/>
  <c r="B572" i="6" s="1"/>
  <c r="B573" i="6" s="1"/>
  <c r="B574" i="6" s="1"/>
  <c r="B575" i="6" s="1"/>
  <c r="B576" i="6" s="1"/>
  <c r="B577" i="6" s="1"/>
  <c r="B578" i="6" s="1"/>
  <c r="B579" i="6" s="1"/>
  <c r="B580" i="6" s="1"/>
  <c r="B581" i="6" s="1"/>
  <c r="B582" i="6" s="1"/>
  <c r="B583" i="6" s="1"/>
  <c r="B584" i="6" s="1"/>
  <c r="B585" i="6" s="1"/>
  <c r="B586" i="6" s="1"/>
  <c r="B587" i="6" s="1"/>
  <c r="B588" i="6" s="1"/>
  <c r="B589" i="6" s="1"/>
  <c r="B590" i="6" s="1"/>
  <c r="B591" i="6" s="1"/>
  <c r="B592" i="6" s="1"/>
  <c r="B593" i="6" s="1"/>
  <c r="B594" i="6" s="1"/>
  <c r="B595" i="6" s="1"/>
  <c r="B596" i="6" s="1"/>
  <c r="B597" i="6" s="1"/>
  <c r="B598" i="6" s="1"/>
  <c r="B599" i="6" s="1"/>
  <c r="B600" i="6" s="1"/>
  <c r="B601" i="6" s="1"/>
  <c r="B602" i="6" s="1"/>
  <c r="B603" i="6" s="1"/>
  <c r="B604" i="6" s="1"/>
  <c r="B605" i="6" s="1"/>
  <c r="B606" i="6" s="1"/>
  <c r="B607" i="6" s="1"/>
  <c r="B608" i="6" s="1"/>
  <c r="B609" i="6" s="1"/>
  <c r="B610" i="6" s="1"/>
  <c r="B611" i="6" s="1"/>
  <c r="B612" i="6" s="1"/>
  <c r="B613" i="6" s="1"/>
  <c r="B614" i="6" s="1"/>
  <c r="B615" i="6" s="1"/>
  <c r="B616" i="6" s="1"/>
  <c r="B617" i="6" s="1"/>
  <c r="B618" i="6" s="1"/>
  <c r="B619" i="6" s="1"/>
  <c r="B620" i="6" s="1"/>
  <c r="B621" i="6" s="1"/>
  <c r="B622" i="6" s="1"/>
  <c r="B623" i="6" s="1"/>
  <c r="B624" i="6" s="1"/>
  <c r="B625" i="6" s="1"/>
  <c r="B626" i="6" s="1"/>
  <c r="B627" i="6" s="1"/>
  <c r="B628" i="6" s="1"/>
  <c r="B629" i="6" s="1"/>
  <c r="B630" i="6" s="1"/>
  <c r="B631" i="6" s="1"/>
  <c r="B632" i="6" s="1"/>
  <c r="B633" i="6" s="1"/>
  <c r="B634" i="6" s="1"/>
  <c r="B635" i="6" s="1"/>
  <c r="B636" i="6" s="1"/>
  <c r="B637" i="6" s="1"/>
  <c r="B638" i="6" s="1"/>
  <c r="B639" i="6" s="1"/>
  <c r="B640" i="6" s="1"/>
  <c r="B641" i="6" s="1"/>
  <c r="B642" i="6" s="1"/>
  <c r="B643" i="6" s="1"/>
  <c r="B644" i="6" s="1"/>
  <c r="B645" i="6" s="1"/>
  <c r="B646" i="6" s="1"/>
  <c r="B647" i="6" s="1"/>
  <c r="B648" i="6" s="1"/>
  <c r="B649" i="6" s="1"/>
  <c r="B650" i="6" s="1"/>
  <c r="B651" i="6" s="1"/>
  <c r="B652" i="6" s="1"/>
  <c r="B653" i="6" s="1"/>
  <c r="B654" i="6" s="1"/>
  <c r="B655" i="6" s="1"/>
  <c r="B656" i="6" s="1"/>
  <c r="B657" i="6" s="1"/>
  <c r="B658" i="6" s="1"/>
  <c r="B659" i="6" s="1"/>
  <c r="B660" i="6" s="1"/>
  <c r="B661" i="6" s="1"/>
  <c r="B662" i="6" s="1"/>
  <c r="B663" i="6" s="1"/>
  <c r="B664" i="6" s="1"/>
  <c r="B665" i="6" s="1"/>
  <c r="B666" i="6" s="1"/>
  <c r="B667" i="6" s="1"/>
  <c r="B668" i="6" s="1"/>
  <c r="B669" i="6" s="1"/>
  <c r="B670" i="6" s="1"/>
  <c r="B671" i="6" s="1"/>
  <c r="B672" i="6" s="1"/>
  <c r="B673" i="6" s="1"/>
  <c r="B674" i="6" s="1"/>
  <c r="B675" i="6" s="1"/>
  <c r="B676" i="6" s="1"/>
  <c r="B677" i="6" s="1"/>
  <c r="B678" i="6" s="1"/>
  <c r="B679" i="6" s="1"/>
  <c r="B680" i="6" s="1"/>
  <c r="B681" i="6" s="1"/>
  <c r="B682" i="6" s="1"/>
  <c r="B683" i="6" s="1"/>
  <c r="B684" i="6" s="1"/>
  <c r="B685" i="6" s="1"/>
  <c r="B686" i="6" s="1"/>
  <c r="B687" i="6" s="1"/>
  <c r="B688" i="6" s="1"/>
  <c r="B689" i="6" s="1"/>
  <c r="B690" i="6" s="1"/>
  <c r="B691" i="6" s="1"/>
  <c r="B692" i="6" s="1"/>
  <c r="B693" i="6" s="1"/>
  <c r="B694" i="6" s="1"/>
  <c r="B695" i="6" s="1"/>
  <c r="B696" i="6" s="1"/>
  <c r="B697" i="6" s="1"/>
  <c r="B698" i="6" s="1"/>
  <c r="B699" i="6" s="1"/>
  <c r="B700" i="6" s="1"/>
  <c r="B701" i="6" s="1"/>
  <c r="B702" i="6" s="1"/>
  <c r="B703" i="6" s="1"/>
  <c r="B704" i="6" s="1"/>
  <c r="B705" i="6" s="1"/>
  <c r="B706" i="6" s="1"/>
  <c r="B707" i="6" s="1"/>
  <c r="B708" i="6" s="1"/>
  <c r="B709" i="6" s="1"/>
  <c r="B710" i="6" s="1"/>
  <c r="B711" i="6" s="1"/>
  <c r="B712" i="6" s="1"/>
  <c r="B713" i="6" s="1"/>
  <c r="B714" i="6" s="1"/>
  <c r="B715" i="6" s="1"/>
  <c r="B716" i="6" s="1"/>
  <c r="B717" i="6" s="1"/>
  <c r="B718" i="6" s="1"/>
  <c r="B719" i="6" s="1"/>
  <c r="B720" i="6" s="1"/>
  <c r="B721" i="6" s="1"/>
  <c r="B722" i="6" s="1"/>
  <c r="B723" i="6" s="1"/>
  <c r="B724" i="6" s="1"/>
  <c r="B725" i="6" s="1"/>
  <c r="B726" i="6" s="1"/>
  <c r="B727" i="6" s="1"/>
  <c r="B728" i="6" s="1"/>
  <c r="B729" i="6" s="1"/>
  <c r="B730" i="6" s="1"/>
  <c r="B731" i="6" s="1"/>
  <c r="B732" i="6" s="1"/>
  <c r="B733" i="6" s="1"/>
  <c r="B734" i="6" s="1"/>
  <c r="B735" i="6" s="1"/>
  <c r="B736" i="6" s="1"/>
  <c r="B737" i="6" s="1"/>
  <c r="B738" i="6" s="1"/>
  <c r="B739" i="6" s="1"/>
  <c r="B740" i="6" s="1"/>
  <c r="B741" i="6" s="1"/>
  <c r="B742" i="6" s="1"/>
  <c r="B743" i="6" s="1"/>
  <c r="B744" i="6" s="1"/>
  <c r="B745" i="6" s="1"/>
  <c r="B746" i="6" s="1"/>
  <c r="B747" i="6" s="1"/>
  <c r="B748" i="6" s="1"/>
  <c r="B749" i="6" s="1"/>
  <c r="B750" i="6" s="1"/>
  <c r="B751" i="6" s="1"/>
  <c r="B752" i="6" s="1"/>
  <c r="B753" i="6" s="1"/>
  <c r="B754" i="6" s="1"/>
  <c r="B755" i="6" s="1"/>
  <c r="B756" i="6" s="1"/>
  <c r="B757" i="6" s="1"/>
  <c r="B758" i="6" s="1"/>
  <c r="B759" i="6" s="1"/>
  <c r="B760" i="6" s="1"/>
  <c r="B761" i="6" s="1"/>
  <c r="B762" i="6" s="1"/>
  <c r="B763" i="6" s="1"/>
  <c r="B764" i="6" s="1"/>
  <c r="B765" i="6" s="1"/>
  <c r="B766" i="6" s="1"/>
  <c r="B767" i="6" s="1"/>
  <c r="B768" i="6" s="1"/>
  <c r="B769" i="6" s="1"/>
  <c r="B770" i="6" s="1"/>
  <c r="B771" i="6" s="1"/>
  <c r="B772" i="6" s="1"/>
  <c r="B773" i="6" s="1"/>
  <c r="B774" i="6" s="1"/>
  <c r="B775" i="6" s="1"/>
  <c r="B776" i="6" s="1"/>
  <c r="B777" i="6" s="1"/>
  <c r="B778" i="6" s="1"/>
  <c r="B779" i="6" s="1"/>
  <c r="B780" i="6" s="1"/>
  <c r="B781" i="6" s="1"/>
  <c r="B782" i="6" s="1"/>
  <c r="B783" i="6" s="1"/>
  <c r="B784" i="6" s="1"/>
  <c r="B785" i="6" s="1"/>
  <c r="B786" i="6" s="1"/>
  <c r="B787" i="6" s="1"/>
  <c r="B788" i="6" s="1"/>
  <c r="B789" i="6" s="1"/>
  <c r="B790" i="6" s="1"/>
  <c r="B791" i="6" s="1"/>
  <c r="B792" i="6" s="1"/>
  <c r="B793" i="6" s="1"/>
  <c r="B794" i="6" s="1"/>
  <c r="B795" i="6" s="1"/>
  <c r="B796" i="6" s="1"/>
  <c r="B797" i="6" s="1"/>
  <c r="B798" i="6" s="1"/>
  <c r="B799" i="6" s="1"/>
  <c r="B800" i="6" s="1"/>
  <c r="B801" i="6" s="1"/>
  <c r="B802" i="6" s="1"/>
  <c r="B803" i="6" s="1"/>
  <c r="B804" i="6" s="1"/>
  <c r="B805" i="6" s="1"/>
  <c r="B806" i="6" s="1"/>
  <c r="B807" i="6" s="1"/>
  <c r="B808" i="6" s="1"/>
  <c r="B809" i="6" s="1"/>
  <c r="B810" i="6" s="1"/>
  <c r="B811" i="6" s="1"/>
  <c r="B812" i="6" s="1"/>
  <c r="B813" i="6" s="1"/>
  <c r="B814" i="6" s="1"/>
  <c r="B815" i="6" s="1"/>
  <c r="B816" i="6" s="1"/>
  <c r="B817" i="6" s="1"/>
  <c r="B818" i="6" s="1"/>
  <c r="B819" i="6" s="1"/>
  <c r="B820" i="6" s="1"/>
  <c r="B821" i="6" s="1"/>
  <c r="B822" i="6" s="1"/>
  <c r="B823" i="6" s="1"/>
  <c r="B824" i="6" s="1"/>
  <c r="B825" i="6" s="1"/>
  <c r="B826" i="6" s="1"/>
  <c r="B827" i="6" s="1"/>
  <c r="B828" i="6" s="1"/>
  <c r="B829" i="6" s="1"/>
  <c r="B830" i="6" s="1"/>
  <c r="B831" i="6" s="1"/>
  <c r="B832" i="6" s="1"/>
  <c r="B833" i="6" s="1"/>
  <c r="B834" i="6" s="1"/>
  <c r="B835" i="6" s="1"/>
  <c r="B836" i="6" s="1"/>
  <c r="B837" i="6" s="1"/>
  <c r="B838" i="6" s="1"/>
  <c r="B839" i="6" s="1"/>
  <c r="B840" i="6" s="1"/>
  <c r="B841" i="6" s="1"/>
  <c r="B842" i="6" s="1"/>
  <c r="B843" i="6" s="1"/>
  <c r="B844" i="6" s="1"/>
  <c r="B845" i="6" s="1"/>
  <c r="B846" i="6" s="1"/>
  <c r="B847" i="6" s="1"/>
  <c r="B848" i="6" s="1"/>
  <c r="B849" i="6" s="1"/>
  <c r="B850" i="6" s="1"/>
  <c r="B851" i="6" s="1"/>
  <c r="B852" i="6" s="1"/>
  <c r="B853" i="6" s="1"/>
  <c r="B854" i="6" s="1"/>
  <c r="B855" i="6" s="1"/>
  <c r="B856" i="6" s="1"/>
  <c r="B857" i="6" s="1"/>
  <c r="B858" i="6" s="1"/>
  <c r="B859" i="6" s="1"/>
  <c r="B860" i="6" s="1"/>
  <c r="B861" i="6" s="1"/>
  <c r="B862" i="6" s="1"/>
  <c r="B863" i="6" s="1"/>
  <c r="B864" i="6" s="1"/>
  <c r="B865" i="6" s="1"/>
  <c r="B866" i="6" s="1"/>
  <c r="B867" i="6" s="1"/>
  <c r="B868" i="6" s="1"/>
  <c r="B869" i="6" s="1"/>
  <c r="B870" i="6" s="1"/>
  <c r="B871" i="6" s="1"/>
  <c r="B872" i="6" s="1"/>
  <c r="B873" i="6" s="1"/>
  <c r="B874" i="6" s="1"/>
  <c r="B875" i="6" s="1"/>
  <c r="B876" i="6" s="1"/>
  <c r="B877" i="6" s="1"/>
  <c r="B878" i="6" s="1"/>
  <c r="B879" i="6" s="1"/>
  <c r="B880" i="6" s="1"/>
  <c r="B881" i="6" s="1"/>
  <c r="B882" i="6" s="1"/>
  <c r="B883" i="6" s="1"/>
  <c r="B884" i="6" s="1"/>
  <c r="B885" i="6" s="1"/>
  <c r="B886" i="6" s="1"/>
  <c r="B887" i="6" s="1"/>
  <c r="B888" i="6" s="1"/>
  <c r="B889" i="6" s="1"/>
  <c r="B890" i="6" s="1"/>
  <c r="B891" i="6" s="1"/>
  <c r="B892" i="6" s="1"/>
  <c r="B893" i="6" s="1"/>
  <c r="B894" i="6" s="1"/>
  <c r="B895" i="6" s="1"/>
  <c r="B896" i="6" s="1"/>
  <c r="B897" i="6" s="1"/>
  <c r="B898" i="6" s="1"/>
  <c r="B899" i="6" s="1"/>
  <c r="B900" i="6" s="1"/>
  <c r="B901" i="6" s="1"/>
  <c r="B902" i="6" s="1"/>
  <c r="B903" i="6" s="1"/>
  <c r="B904" i="6" s="1"/>
  <c r="B905" i="6" s="1"/>
  <c r="B906" i="6" s="1"/>
  <c r="B907" i="6" s="1"/>
  <c r="B908" i="6" s="1"/>
  <c r="B909" i="6" s="1"/>
  <c r="B910" i="6" s="1"/>
  <c r="B911" i="6" s="1"/>
  <c r="B912" i="6" s="1"/>
  <c r="B913" i="6" s="1"/>
  <c r="B914" i="6" s="1"/>
  <c r="B915" i="6" s="1"/>
  <c r="B916" i="6" s="1"/>
  <c r="B917" i="6" s="1"/>
  <c r="B918" i="6" s="1"/>
  <c r="B919" i="6" s="1"/>
  <c r="B920" i="6" s="1"/>
  <c r="B921" i="6" s="1"/>
  <c r="B922" i="6" s="1"/>
  <c r="B923" i="6" s="1"/>
  <c r="B924" i="6" s="1"/>
  <c r="B925" i="6" s="1"/>
  <c r="B926" i="6" s="1"/>
  <c r="B927" i="6" s="1"/>
  <c r="B928" i="6" s="1"/>
  <c r="B929" i="6" s="1"/>
  <c r="B930" i="6" s="1"/>
  <c r="B931" i="6" s="1"/>
  <c r="B932" i="6" s="1"/>
  <c r="B933" i="6" s="1"/>
  <c r="B934" i="6" s="1"/>
  <c r="B935" i="6" s="1"/>
  <c r="B936" i="6" s="1"/>
  <c r="B937" i="6" s="1"/>
  <c r="B938" i="6" s="1"/>
  <c r="B939" i="6" s="1"/>
  <c r="B940" i="6" s="1"/>
  <c r="B941" i="6" s="1"/>
  <c r="B942" i="6" s="1"/>
  <c r="B943" i="6" s="1"/>
  <c r="B944" i="6" s="1"/>
  <c r="B945" i="6" s="1"/>
  <c r="B946" i="6" s="1"/>
  <c r="B947" i="6" s="1"/>
  <c r="B948" i="6" s="1"/>
  <c r="B949" i="6" s="1"/>
  <c r="B950" i="6" s="1"/>
  <c r="B951" i="6" s="1"/>
  <c r="B952" i="6" s="1"/>
  <c r="B953" i="6" s="1"/>
  <c r="B954" i="6" s="1"/>
  <c r="B955" i="6" s="1"/>
  <c r="B956" i="6" s="1"/>
  <c r="B957" i="6" s="1"/>
  <c r="B958" i="6" s="1"/>
  <c r="B959" i="6" s="1"/>
  <c r="B960" i="6" s="1"/>
  <c r="B961" i="6" s="1"/>
  <c r="B962" i="6" s="1"/>
  <c r="B963" i="6" s="1"/>
  <c r="B964" i="6" s="1"/>
  <c r="B965" i="6" s="1"/>
  <c r="B966" i="6" s="1"/>
  <c r="B967" i="6" s="1"/>
  <c r="B968" i="6" s="1"/>
  <c r="B969" i="6" s="1"/>
  <c r="B970" i="6" s="1"/>
  <c r="B971" i="6" s="1"/>
  <c r="B972" i="6" s="1"/>
  <c r="B973" i="6" s="1"/>
  <c r="B974" i="6" s="1"/>
  <c r="B975" i="6" s="1"/>
  <c r="B976" i="6" s="1"/>
  <c r="B977" i="6" s="1"/>
  <c r="B978" i="6" s="1"/>
  <c r="B979" i="6" s="1"/>
  <c r="B980" i="6" s="1"/>
  <c r="B981" i="6" s="1"/>
  <c r="B982" i="6" s="1"/>
  <c r="B983" i="6" s="1"/>
  <c r="B984" i="6" s="1"/>
  <c r="B985" i="6" s="1"/>
  <c r="B986" i="6" s="1"/>
  <c r="B987" i="6" s="1"/>
  <c r="B988" i="6" s="1"/>
  <c r="B989" i="6" s="1"/>
  <c r="B990" i="6" s="1"/>
  <c r="B991" i="6" s="1"/>
  <c r="B992" i="6" s="1"/>
  <c r="B993" i="6" s="1"/>
  <c r="B994" i="6" s="1"/>
  <c r="B995" i="6" s="1"/>
  <c r="B996" i="6" s="1"/>
  <c r="B997" i="6" s="1"/>
  <c r="B998" i="6" s="1"/>
  <c r="B999" i="6" s="1"/>
  <c r="B1000" i="6" s="1"/>
  <c r="B1001" i="6" s="1"/>
  <c r="B1002" i="6" s="1"/>
  <c r="B1003" i="6" s="1"/>
  <c r="B1004" i="6" s="1"/>
  <c r="B1005" i="6" s="1"/>
  <c r="B1006" i="6" s="1"/>
  <c r="B1007" i="6" s="1"/>
  <c r="B1008" i="6" s="1"/>
  <c r="B1009" i="6" s="1"/>
  <c r="B1010" i="6" s="1"/>
  <c r="B1011" i="6" s="1"/>
  <c r="B1012" i="6" s="1"/>
  <c r="T27" i="9"/>
  <c r="T28" i="9"/>
  <c r="T29" i="9"/>
  <c r="T30" i="9"/>
  <c r="T31" i="9"/>
  <c r="T32" i="9"/>
  <c r="T33" i="9"/>
  <c r="T34" i="9"/>
  <c r="T35" i="9"/>
  <c r="T36" i="9"/>
  <c r="T37" i="9"/>
  <c r="T38" i="9"/>
  <c r="T39" i="9"/>
  <c r="N43" i="5"/>
  <c r="N44" i="5"/>
  <c r="N45" i="5"/>
  <c r="N46" i="5"/>
  <c r="N47" i="5"/>
  <c r="N42" i="5"/>
  <c r="D43" i="5"/>
  <c r="D44" i="5"/>
  <c r="D45" i="5"/>
  <c r="D46" i="5"/>
  <c r="D47" i="5"/>
  <c r="D42" i="5"/>
  <c r="N41" i="5"/>
  <c r="C41" i="5"/>
  <c r="D41" i="5" s="1"/>
  <c r="T26" i="9"/>
  <c r="T23" i="9"/>
  <c r="AE23" i="5"/>
  <c r="AD23" i="5"/>
  <c r="AE22" i="5"/>
  <c r="AD22" i="5"/>
  <c r="AE21" i="5"/>
  <c r="AD21" i="5"/>
  <c r="AF77" i="5" s="1"/>
  <c r="AE20" i="5"/>
  <c r="AD20" i="5"/>
  <c r="AE19" i="5"/>
  <c r="AD19" i="5"/>
  <c r="AE18" i="5"/>
  <c r="AD18" i="5"/>
  <c r="AD74" i="5" s="1"/>
  <c r="AE17" i="5"/>
  <c r="AD17" i="5"/>
  <c r="AC73" i="5" s="1"/>
  <c r="AC23" i="5"/>
  <c r="AB23" i="5"/>
  <c r="AT23" i="5" s="1"/>
  <c r="AC22" i="5"/>
  <c r="AB22" i="5"/>
  <c r="AC21" i="5"/>
  <c r="AB21" i="5"/>
  <c r="AC20" i="5"/>
  <c r="AB20" i="5"/>
  <c r="AC19" i="5"/>
  <c r="AB19" i="5"/>
  <c r="AE69" i="5" s="1"/>
  <c r="AC18" i="5"/>
  <c r="AB18" i="5"/>
  <c r="AC68" i="5" s="1"/>
  <c r="AC17" i="5"/>
  <c r="AB17" i="5"/>
  <c r="AC67" i="5" s="1"/>
  <c r="AA23" i="5"/>
  <c r="Y23" i="5"/>
  <c r="AA22" i="5"/>
  <c r="Y22" i="5"/>
  <c r="AA21" i="5"/>
  <c r="AC65" i="5" s="1"/>
  <c r="Y21" i="5"/>
  <c r="AA20" i="5"/>
  <c r="AE64" i="5" s="1"/>
  <c r="Y20" i="5"/>
  <c r="AA19" i="5"/>
  <c r="Y19" i="5"/>
  <c r="AA18" i="5"/>
  <c r="AD62" i="5" s="1"/>
  <c r="Y18" i="5"/>
  <c r="AA17" i="5"/>
  <c r="AD61" i="5" s="1"/>
  <c r="Y17" i="5"/>
  <c r="W23" i="5"/>
  <c r="V23" i="5"/>
  <c r="W22" i="5"/>
  <c r="V22" i="5"/>
  <c r="W21" i="5"/>
  <c r="V21" i="5"/>
  <c r="AD59" i="5" s="1"/>
  <c r="W20" i="5"/>
  <c r="V20" i="5"/>
  <c r="AD58" i="5" s="1"/>
  <c r="W19" i="5"/>
  <c r="V19" i="5"/>
  <c r="W18" i="5"/>
  <c r="V18" i="5"/>
  <c r="W17" i="5"/>
  <c r="V17" i="5"/>
  <c r="U23" i="5"/>
  <c r="T23" i="5"/>
  <c r="U22" i="5"/>
  <c r="T22" i="5"/>
  <c r="U21" i="5"/>
  <c r="T21" i="5"/>
  <c r="U20" i="5"/>
  <c r="T20" i="5"/>
  <c r="U19" i="5"/>
  <c r="T19" i="5"/>
  <c r="U18" i="5"/>
  <c r="T18" i="5"/>
  <c r="U17" i="5"/>
  <c r="T17" i="5"/>
  <c r="S23" i="5"/>
  <c r="S22" i="5"/>
  <c r="R23" i="5"/>
  <c r="R22" i="5"/>
  <c r="R18" i="5"/>
  <c r="S18" i="5"/>
  <c r="R19" i="5"/>
  <c r="S19" i="5"/>
  <c r="R20" i="5"/>
  <c r="S20" i="5"/>
  <c r="R21" i="5"/>
  <c r="AC47" i="5" s="1"/>
  <c r="S21" i="5"/>
  <c r="S17" i="5"/>
  <c r="R17" i="5"/>
  <c r="AE63" i="5"/>
  <c r="AF61" i="5"/>
  <c r="AE62" i="5"/>
  <c r="AF63" i="5"/>
  <c r="D19" i="5"/>
  <c r="D9" i="8" s="1"/>
  <c r="D14" i="5"/>
  <c r="B7" i="13"/>
  <c r="Q14" i="6"/>
  <c r="B3" i="22" s="1"/>
  <c r="G14" i="6"/>
  <c r="Q13" i="6"/>
  <c r="G13" i="6"/>
  <c r="AE75" i="5"/>
  <c r="AF41" i="5"/>
  <c r="AE41" i="5"/>
  <c r="AD41" i="5"/>
  <c r="AC41" i="5"/>
  <c r="T41" i="5"/>
  <c r="AF40" i="5"/>
  <c r="AE40" i="5"/>
  <c r="AD40" i="5"/>
  <c r="AC40" i="5"/>
  <c r="AF39" i="5"/>
  <c r="AE39" i="5"/>
  <c r="AD39" i="5"/>
  <c r="AC39" i="5"/>
  <c r="AF38" i="5"/>
  <c r="AE38" i="5"/>
  <c r="AD38" i="5"/>
  <c r="AC38" i="5"/>
  <c r="AG37" i="5"/>
  <c r="AF37" i="5"/>
  <c r="AE37" i="5"/>
  <c r="AD37" i="5"/>
  <c r="AC37" i="5"/>
  <c r="D37" i="5"/>
  <c r="O41" i="5" s="1"/>
  <c r="P27" i="5"/>
  <c r="AD25" i="5"/>
  <c r="AB25" i="5"/>
  <c r="Y25" i="5"/>
  <c r="V25" i="5"/>
  <c r="T25" i="5"/>
  <c r="R25" i="5"/>
  <c r="I25" i="5"/>
  <c r="M8" i="9" s="1"/>
  <c r="D25" i="5"/>
  <c r="H10" i="8" s="1"/>
  <c r="AD24" i="5"/>
  <c r="AB24" i="5"/>
  <c r="Y24" i="5"/>
  <c r="V24" i="5"/>
  <c r="T24" i="5"/>
  <c r="R24" i="5"/>
  <c r="D24" i="5"/>
  <c r="D23" i="5"/>
  <c r="D21" i="5"/>
  <c r="D20" i="5"/>
  <c r="J17" i="5"/>
  <c r="D17" i="5"/>
  <c r="D16" i="5"/>
  <c r="D10" i="8" s="1"/>
  <c r="AD15" i="5"/>
  <c r="J47" i="5" s="1"/>
  <c r="AB15" i="5"/>
  <c r="Y15" i="5"/>
  <c r="AR16" i="5" s="1"/>
  <c r="V15" i="5"/>
  <c r="J44" i="5" s="1"/>
  <c r="T15" i="5"/>
  <c r="AL16" i="5" s="1"/>
  <c r="R15" i="5"/>
  <c r="AJ16" i="5" s="1"/>
  <c r="D13" i="5"/>
  <c r="D8" i="8" s="1"/>
  <c r="C27" i="13"/>
  <c r="C67" i="13" s="1"/>
  <c r="B21" i="13"/>
  <c r="B18" i="13"/>
  <c r="B14" i="13"/>
  <c r="C10" i="13"/>
  <c r="B8" i="13"/>
  <c r="B6" i="13"/>
  <c r="B5" i="13"/>
  <c r="O79" i="11"/>
  <c r="S82" i="6" s="1"/>
  <c r="O78" i="11"/>
  <c r="S81" i="6" s="1"/>
  <c r="O77" i="11"/>
  <c r="S80" i="6" s="1"/>
  <c r="O76" i="11"/>
  <c r="S79" i="6" s="1"/>
  <c r="O75" i="11"/>
  <c r="S78" i="6" s="1"/>
  <c r="O74" i="11"/>
  <c r="S77" i="6" s="1"/>
  <c r="O73" i="11"/>
  <c r="S76" i="6" s="1"/>
  <c r="O72" i="11"/>
  <c r="S75" i="6" s="1"/>
  <c r="O71" i="11"/>
  <c r="S74" i="6" s="1"/>
  <c r="O70" i="11"/>
  <c r="S73" i="6" s="1"/>
  <c r="O69" i="11"/>
  <c r="S72" i="6" s="1"/>
  <c r="O68" i="11"/>
  <c r="S71" i="6" s="1"/>
  <c r="O67" i="11"/>
  <c r="S70" i="6" s="1"/>
  <c r="O66" i="11"/>
  <c r="S69" i="6" s="1"/>
  <c r="O65" i="11"/>
  <c r="S68" i="6" s="1"/>
  <c r="O64" i="11"/>
  <c r="S67" i="6" s="1"/>
  <c r="O63" i="11"/>
  <c r="S66" i="6" s="1"/>
  <c r="O62" i="11"/>
  <c r="S65" i="6" s="1"/>
  <c r="O61" i="11"/>
  <c r="S64" i="6" s="1"/>
  <c r="O60" i="11"/>
  <c r="S63" i="6" s="1"/>
  <c r="O59" i="11"/>
  <c r="S62" i="6" s="1"/>
  <c r="O58" i="11"/>
  <c r="S61" i="6" s="1"/>
  <c r="O57" i="11"/>
  <c r="S60" i="6" s="1"/>
  <c r="O56" i="11"/>
  <c r="S59" i="6" s="1"/>
  <c r="O55" i="11"/>
  <c r="S58" i="6" s="1"/>
  <c r="O54" i="11"/>
  <c r="S57" i="6" s="1"/>
  <c r="O53" i="11"/>
  <c r="S56" i="6" s="1"/>
  <c r="O52" i="11"/>
  <c r="S55" i="6" s="1"/>
  <c r="O51" i="11"/>
  <c r="S54" i="6" s="1"/>
  <c r="O50" i="11"/>
  <c r="S53" i="6" s="1"/>
  <c r="O49" i="11"/>
  <c r="S52" i="6" s="1"/>
  <c r="O48" i="11"/>
  <c r="S51" i="6" s="1"/>
  <c r="O47" i="11"/>
  <c r="S50" i="6" s="1"/>
  <c r="O46" i="11"/>
  <c r="S49" i="6" s="1"/>
  <c r="O45" i="11"/>
  <c r="S48" i="6" s="1"/>
  <c r="O44" i="11"/>
  <c r="S47" i="6" s="1"/>
  <c r="O43" i="11"/>
  <c r="S46" i="6" s="1"/>
  <c r="O42" i="11"/>
  <c r="S45" i="6" s="1"/>
  <c r="O41" i="11"/>
  <c r="S44" i="6" s="1"/>
  <c r="O40" i="11"/>
  <c r="S43" i="6" s="1"/>
  <c r="O39" i="11"/>
  <c r="S42" i="6" s="1"/>
  <c r="O38" i="11"/>
  <c r="S41" i="6" s="1"/>
  <c r="O37" i="11"/>
  <c r="S40" i="6" s="1"/>
  <c r="O36" i="11"/>
  <c r="S39" i="6" s="1"/>
  <c r="O35" i="11"/>
  <c r="S38" i="6" s="1"/>
  <c r="O34" i="11"/>
  <c r="S37" i="6" s="1"/>
  <c r="O33" i="11"/>
  <c r="S36" i="6" s="1"/>
  <c r="O32" i="11"/>
  <c r="S35" i="6" s="1"/>
  <c r="O31" i="11"/>
  <c r="S34" i="6" s="1"/>
  <c r="O30" i="11"/>
  <c r="S33" i="6" s="1"/>
  <c r="O29" i="11"/>
  <c r="S32" i="6" s="1"/>
  <c r="O28" i="11"/>
  <c r="S31" i="6" s="1"/>
  <c r="O27" i="11"/>
  <c r="S30" i="6" s="1"/>
  <c r="O26" i="11"/>
  <c r="S29" i="6" s="1"/>
  <c r="O25" i="11"/>
  <c r="S28" i="6" s="1"/>
  <c r="O24" i="11"/>
  <c r="S27" i="6" s="1"/>
  <c r="O23" i="11"/>
  <c r="S26" i="6" s="1"/>
  <c r="O22" i="11"/>
  <c r="S25" i="6" s="1"/>
  <c r="O21" i="11"/>
  <c r="S24" i="6" s="1"/>
  <c r="O20" i="11"/>
  <c r="S23" i="6" s="1"/>
  <c r="O19" i="11"/>
  <c r="S22" i="6" s="1"/>
  <c r="O18" i="11"/>
  <c r="S21" i="6" s="1"/>
  <c r="O17" i="11"/>
  <c r="S20" i="6" s="1"/>
  <c r="O16" i="11"/>
  <c r="S19" i="6" s="1"/>
  <c r="O15" i="11"/>
  <c r="S18" i="6" s="1"/>
  <c r="O14" i="11"/>
  <c r="S17" i="6" s="1"/>
  <c r="O13" i="11"/>
  <c r="S16" i="6" s="1"/>
  <c r="O12" i="11"/>
  <c r="S15" i="6" s="1"/>
  <c r="O11" i="11"/>
  <c r="S14" i="6" s="1"/>
  <c r="O10" i="11"/>
  <c r="S13" i="6" s="1"/>
  <c r="K6" i="11"/>
  <c r="C3" i="16"/>
  <c r="B3" i="16"/>
  <c r="B62" i="13"/>
  <c r="AG28" i="5" l="1"/>
  <c r="AG27" i="5"/>
  <c r="AF28" i="5"/>
  <c r="AF27" i="5"/>
  <c r="B2" i="22"/>
  <c r="AR2" i="22" s="1"/>
  <c r="F12" i="13"/>
  <c r="H9" i="7"/>
  <c r="O9" i="7"/>
  <c r="M249" i="22"/>
  <c r="M185" i="22"/>
  <c r="M161" i="22"/>
  <c r="M145" i="22"/>
  <c r="M125" i="22"/>
  <c r="M109" i="22"/>
  <c r="M89" i="22"/>
  <c r="M21" i="22"/>
  <c r="M464" i="22"/>
  <c r="M408" i="22"/>
  <c r="M368" i="22"/>
  <c r="M328" i="22"/>
  <c r="M264" i="22"/>
  <c r="M245" i="22"/>
  <c r="M225" i="22"/>
  <c r="M201" i="22"/>
  <c r="M177" i="22"/>
  <c r="M129" i="22"/>
  <c r="M113" i="22"/>
  <c r="M93" i="22"/>
  <c r="M65" i="22"/>
  <c r="M41" i="22"/>
  <c r="M13" i="22"/>
  <c r="M496" i="22"/>
  <c r="M424" i="22"/>
  <c r="M392" i="22"/>
  <c r="M360" i="22"/>
  <c r="M344" i="22"/>
  <c r="M312" i="22"/>
  <c r="M256" i="22"/>
  <c r="M501" i="22"/>
  <c r="M493" i="22"/>
  <c r="M485" i="22"/>
  <c r="M477" i="22"/>
  <c r="M469" i="22"/>
  <c r="M461" i="22"/>
  <c r="M453" i="22"/>
  <c r="M445" i="22"/>
  <c r="M437" i="22"/>
  <c r="M429" i="22"/>
  <c r="M421" i="22"/>
  <c r="M413" i="22"/>
  <c r="M405" i="22"/>
  <c r="M397" i="22"/>
  <c r="M389" i="22"/>
  <c r="M381" i="22"/>
  <c r="M373" i="22"/>
  <c r="M365" i="22"/>
  <c r="M357" i="22"/>
  <c r="M349" i="22"/>
  <c r="M341" i="22"/>
  <c r="M333" i="22"/>
  <c r="M325" i="22"/>
  <c r="M317" i="22"/>
  <c r="M309" i="22"/>
  <c r="M301" i="22"/>
  <c r="M293" i="22"/>
  <c r="M285" i="22"/>
  <c r="M277" i="22"/>
  <c r="M269" i="22"/>
  <c r="M261" i="22"/>
  <c r="M253" i="22"/>
  <c r="M217" i="22"/>
  <c r="M197" i="22"/>
  <c r="M173" i="22"/>
  <c r="M153" i="22"/>
  <c r="M137" i="22"/>
  <c r="M85" i="22"/>
  <c r="M61" i="22"/>
  <c r="M37" i="22"/>
  <c r="M9" i="22"/>
  <c r="M480" i="22"/>
  <c r="M448" i="22"/>
  <c r="M432" i="22"/>
  <c r="M400" i="22"/>
  <c r="M376" i="22"/>
  <c r="M304" i="22"/>
  <c r="M288" i="22"/>
  <c r="M272" i="22"/>
  <c r="M248" i="22"/>
  <c r="M244" i="22"/>
  <c r="M240" i="22"/>
  <c r="M236" i="22"/>
  <c r="M232" i="22"/>
  <c r="M228" i="22"/>
  <c r="M224" i="22"/>
  <c r="M220" i="22"/>
  <c r="M216" i="22"/>
  <c r="M212" i="22"/>
  <c r="M208" i="22"/>
  <c r="M204" i="22"/>
  <c r="M200" i="22"/>
  <c r="M196" i="22"/>
  <c r="M192" i="22"/>
  <c r="M188" i="22"/>
  <c r="M184" i="22"/>
  <c r="M180" i="22"/>
  <c r="M176" i="22"/>
  <c r="M172" i="22"/>
  <c r="M168" i="22"/>
  <c r="M164" i="22"/>
  <c r="M160" i="22"/>
  <c r="M156" i="22"/>
  <c r="M152" i="22"/>
  <c r="M148" i="22"/>
  <c r="M144" i="22"/>
  <c r="M140" i="22"/>
  <c r="M136" i="22"/>
  <c r="M132" i="22"/>
  <c r="M128" i="22"/>
  <c r="M124" i="22"/>
  <c r="M120" i="22"/>
  <c r="M116" i="22"/>
  <c r="M112" i="22"/>
  <c r="M108" i="22"/>
  <c r="M104" i="22"/>
  <c r="M100" i="22"/>
  <c r="M96" i="22"/>
  <c r="M92" i="22"/>
  <c r="M88" i="22"/>
  <c r="M84" i="22"/>
  <c r="M80" i="22"/>
  <c r="M76" i="22"/>
  <c r="M72" i="22"/>
  <c r="M68" i="22"/>
  <c r="M64" i="22"/>
  <c r="M60" i="22"/>
  <c r="M56" i="22"/>
  <c r="M52" i="22"/>
  <c r="M48" i="22"/>
  <c r="M44" i="22"/>
  <c r="M40" i="22"/>
  <c r="M36" i="22"/>
  <c r="M32" i="22"/>
  <c r="M28" i="22"/>
  <c r="M24" i="22"/>
  <c r="M20" i="22"/>
  <c r="M16" i="22"/>
  <c r="M12" i="22"/>
  <c r="M8" i="22"/>
  <c r="M4" i="22"/>
  <c r="M495" i="22"/>
  <c r="M487" i="22"/>
  <c r="M479" i="22"/>
  <c r="M471" i="22"/>
  <c r="M463" i="22"/>
  <c r="M455" i="22"/>
  <c r="M447" i="22"/>
  <c r="M439" i="22"/>
  <c r="M431" i="22"/>
  <c r="M423" i="22"/>
  <c r="M415" i="22"/>
  <c r="M407" i="22"/>
  <c r="M399" i="22"/>
  <c r="M391" i="22"/>
  <c r="M383" i="22"/>
  <c r="M375" i="22"/>
  <c r="M367" i="22"/>
  <c r="M359" i="22"/>
  <c r="M351" i="22"/>
  <c r="M343" i="22"/>
  <c r="M335" i="22"/>
  <c r="M327" i="22"/>
  <c r="M319" i="22"/>
  <c r="M311" i="22"/>
  <c r="M303" i="22"/>
  <c r="M295" i="22"/>
  <c r="M287" i="22"/>
  <c r="M279" i="22"/>
  <c r="M271" i="22"/>
  <c r="M263" i="22"/>
  <c r="M255" i="22"/>
  <c r="T967" i="6"/>
  <c r="M229" i="22"/>
  <c r="M213" i="22"/>
  <c r="M189" i="22"/>
  <c r="M165" i="22"/>
  <c r="M149" i="22"/>
  <c r="M105" i="22"/>
  <c r="M81" i="22"/>
  <c r="M57" i="22"/>
  <c r="M33" i="22"/>
  <c r="M5" i="22"/>
  <c r="M472" i="22"/>
  <c r="M456" i="22"/>
  <c r="M352" i="22"/>
  <c r="M336" i="22"/>
  <c r="M296" i="22"/>
  <c r="M280" i="22"/>
  <c r="M251" i="22"/>
  <c r="M247" i="22"/>
  <c r="M243" i="22"/>
  <c r="M239" i="22"/>
  <c r="M235" i="22"/>
  <c r="M231" i="22"/>
  <c r="M227" i="22"/>
  <c r="M223" i="22"/>
  <c r="M219" i="22"/>
  <c r="M215" i="22"/>
  <c r="M211" i="22"/>
  <c r="M207" i="22"/>
  <c r="M203" i="22"/>
  <c r="M199" i="22"/>
  <c r="M195" i="22"/>
  <c r="M191" i="22"/>
  <c r="M187" i="22"/>
  <c r="M183" i="22"/>
  <c r="M179" i="22"/>
  <c r="M175" i="22"/>
  <c r="M171" i="22"/>
  <c r="M167" i="22"/>
  <c r="M163" i="22"/>
  <c r="M159" i="22"/>
  <c r="M155" i="22"/>
  <c r="M151" i="22"/>
  <c r="M147" i="22"/>
  <c r="M143" i="22"/>
  <c r="M139" i="22"/>
  <c r="M135" i="22"/>
  <c r="M131" i="22"/>
  <c r="M127" i="22"/>
  <c r="M123" i="22"/>
  <c r="M119" i="22"/>
  <c r="M115" i="22"/>
  <c r="M111" i="22"/>
  <c r="M107" i="22"/>
  <c r="M103" i="22"/>
  <c r="M99" i="22"/>
  <c r="M95" i="22"/>
  <c r="M91" i="22"/>
  <c r="M87" i="22"/>
  <c r="M83" i="22"/>
  <c r="M79" i="22"/>
  <c r="M75" i="22"/>
  <c r="M71" i="22"/>
  <c r="M67" i="22"/>
  <c r="M63" i="22"/>
  <c r="M59" i="22"/>
  <c r="M55" i="22"/>
  <c r="M51" i="22"/>
  <c r="M47" i="22"/>
  <c r="M43" i="22"/>
  <c r="M39" i="22"/>
  <c r="M35" i="22"/>
  <c r="M31" i="22"/>
  <c r="M27" i="22"/>
  <c r="M23" i="22"/>
  <c r="M19" i="22"/>
  <c r="M15" i="22"/>
  <c r="M11" i="22"/>
  <c r="M7" i="22"/>
  <c r="M500" i="22"/>
  <c r="M492" i="22"/>
  <c r="M484" i="22"/>
  <c r="M476" i="22"/>
  <c r="M468" i="22"/>
  <c r="M460" i="22"/>
  <c r="M452" i="22"/>
  <c r="M444" i="22"/>
  <c r="M436" i="22"/>
  <c r="M428" i="22"/>
  <c r="M420" i="22"/>
  <c r="M412" i="22"/>
  <c r="M404" i="22"/>
  <c r="M396" i="22"/>
  <c r="M388" i="22"/>
  <c r="M380" i="22"/>
  <c r="M372" i="22"/>
  <c r="M364" i="22"/>
  <c r="M356" i="22"/>
  <c r="M348" i="22"/>
  <c r="M340" i="22"/>
  <c r="M332" i="22"/>
  <c r="M324" i="22"/>
  <c r="M316" i="22"/>
  <c r="M308" i="22"/>
  <c r="M300" i="22"/>
  <c r="M292" i="22"/>
  <c r="M284" i="22"/>
  <c r="M276" i="22"/>
  <c r="M268" i="22"/>
  <c r="M260" i="22"/>
  <c r="M252" i="22"/>
  <c r="T971" i="6"/>
  <c r="M233" i="22"/>
  <c r="M205" i="22"/>
  <c r="M181" i="22"/>
  <c r="M157" i="22"/>
  <c r="M141" i="22"/>
  <c r="M77" i="22"/>
  <c r="M45" i="22"/>
  <c r="M17" i="22"/>
  <c r="M497" i="22"/>
  <c r="M489" i="22"/>
  <c r="M481" i="22"/>
  <c r="M473" i="22"/>
  <c r="M465" i="22"/>
  <c r="M457" i="22"/>
  <c r="M449" i="22"/>
  <c r="M441" i="22"/>
  <c r="M433" i="22"/>
  <c r="M425" i="22"/>
  <c r="M417" i="22"/>
  <c r="M409" i="22"/>
  <c r="M401" i="22"/>
  <c r="M393" i="22"/>
  <c r="M385" i="22"/>
  <c r="M377" i="22"/>
  <c r="M369" i="22"/>
  <c r="M361" i="22"/>
  <c r="M353" i="22"/>
  <c r="M345" i="22"/>
  <c r="M337" i="22"/>
  <c r="M329" i="22"/>
  <c r="M321" i="22"/>
  <c r="M313" i="22"/>
  <c r="M305" i="22"/>
  <c r="M297" i="22"/>
  <c r="M289" i="22"/>
  <c r="M281" i="22"/>
  <c r="M273" i="22"/>
  <c r="M265" i="22"/>
  <c r="M257" i="22"/>
  <c r="M237" i="22"/>
  <c r="M209" i="22"/>
  <c r="M133" i="22"/>
  <c r="M117" i="22"/>
  <c r="M97" i="22"/>
  <c r="M69" i="22"/>
  <c r="M49" i="22"/>
  <c r="M25" i="22"/>
  <c r="M440" i="22"/>
  <c r="M384" i="22"/>
  <c r="T999" i="6"/>
  <c r="M241" i="22"/>
  <c r="M221" i="22"/>
  <c r="M193" i="22"/>
  <c r="M169" i="22"/>
  <c r="M121" i="22"/>
  <c r="M101" i="22"/>
  <c r="M73" i="22"/>
  <c r="M53" i="22"/>
  <c r="M29" i="22"/>
  <c r="M488" i="22"/>
  <c r="M416" i="22"/>
  <c r="M320" i="22"/>
  <c r="M3" i="22"/>
  <c r="M499" i="22"/>
  <c r="M491" i="22"/>
  <c r="M483" i="22"/>
  <c r="M475" i="22"/>
  <c r="M467" i="22"/>
  <c r="M459" i="22"/>
  <c r="M451" i="22"/>
  <c r="M443" i="22"/>
  <c r="M435" i="22"/>
  <c r="M427" i="22"/>
  <c r="M419" i="22"/>
  <c r="M411" i="22"/>
  <c r="M403" i="22"/>
  <c r="M395" i="22"/>
  <c r="M387" i="22"/>
  <c r="M379" i="22"/>
  <c r="M371" i="22"/>
  <c r="M363" i="22"/>
  <c r="M355" i="22"/>
  <c r="M347" i="22"/>
  <c r="M339" i="22"/>
  <c r="M331" i="22"/>
  <c r="M323" i="22"/>
  <c r="M315" i="22"/>
  <c r="M307" i="22"/>
  <c r="M299" i="22"/>
  <c r="M291" i="22"/>
  <c r="M283" i="22"/>
  <c r="M275" i="22"/>
  <c r="M267" i="22"/>
  <c r="M259" i="22"/>
  <c r="T1003" i="6"/>
  <c r="AB3" i="22"/>
  <c r="T3" i="22"/>
  <c r="AB248" i="22"/>
  <c r="T248" i="22"/>
  <c r="AB242" i="22"/>
  <c r="T242" i="22"/>
  <c r="AB234" i="22"/>
  <c r="T234" i="22"/>
  <c r="AB230" i="22"/>
  <c r="T230" i="22"/>
  <c r="AB222" i="22"/>
  <c r="T222" i="22"/>
  <c r="AB214" i="22"/>
  <c r="T214" i="22"/>
  <c r="AB210" i="22"/>
  <c r="T210" i="22"/>
  <c r="T202" i="22"/>
  <c r="AB202" i="22"/>
  <c r="AB194" i="22"/>
  <c r="T194" i="22"/>
  <c r="AB190" i="22"/>
  <c r="T190" i="22"/>
  <c r="AB182" i="22"/>
  <c r="T182" i="22"/>
  <c r="T174" i="22"/>
  <c r="AB174" i="22"/>
  <c r="AB166" i="22"/>
  <c r="T166" i="22"/>
  <c r="AB164" i="22"/>
  <c r="T164" i="22"/>
  <c r="AB156" i="22"/>
  <c r="T156" i="22"/>
  <c r="AB148" i="22"/>
  <c r="T148" i="22"/>
  <c r="AB140" i="22"/>
  <c r="T140" i="22"/>
  <c r="AB132" i="22"/>
  <c r="T132" i="22"/>
  <c r="AB249" i="22"/>
  <c r="T249" i="22"/>
  <c r="AB245" i="22"/>
  <c r="T245" i="22"/>
  <c r="AB241" i="22"/>
  <c r="T241" i="22"/>
  <c r="AB237" i="22"/>
  <c r="T237" i="22"/>
  <c r="AB233" i="22"/>
  <c r="T233" i="22"/>
  <c r="AB229" i="22"/>
  <c r="T229" i="22"/>
  <c r="AB225" i="22"/>
  <c r="T225" i="22"/>
  <c r="AB221" i="22"/>
  <c r="T221" i="22"/>
  <c r="AB217" i="22"/>
  <c r="T217" i="22"/>
  <c r="AB213" i="22"/>
  <c r="T213" i="22"/>
  <c r="AB209" i="22"/>
  <c r="T209" i="22"/>
  <c r="T205" i="22"/>
  <c r="AB205" i="22"/>
  <c r="T201" i="22"/>
  <c r="AB201" i="22"/>
  <c r="T197" i="22"/>
  <c r="AB197" i="22"/>
  <c r="AB193" i="22"/>
  <c r="T193" i="22"/>
  <c r="AB189" i="22"/>
  <c r="T189" i="22"/>
  <c r="AB185" i="22"/>
  <c r="T185" i="22"/>
  <c r="AB181" i="22"/>
  <c r="T181" i="22"/>
  <c r="AB177" i="22"/>
  <c r="T177" i="22"/>
  <c r="AB173" i="22"/>
  <c r="T173" i="22"/>
  <c r="AB169" i="22"/>
  <c r="T169" i="22"/>
  <c r="AB163" i="22"/>
  <c r="T163" i="22"/>
  <c r="AB159" i="22"/>
  <c r="T159" i="22"/>
  <c r="AB155" i="22"/>
  <c r="T155" i="22"/>
  <c r="AB151" i="22"/>
  <c r="T151" i="22"/>
  <c r="AB147" i="22"/>
  <c r="T147" i="22"/>
  <c r="T143" i="22"/>
  <c r="AB143" i="22"/>
  <c r="AB139" i="22"/>
  <c r="T139" i="22"/>
  <c r="AB135" i="22"/>
  <c r="T135" i="22"/>
  <c r="AB131" i="22"/>
  <c r="T131" i="22"/>
  <c r="AB127" i="22"/>
  <c r="T127" i="22"/>
  <c r="AB123" i="22"/>
  <c r="T123" i="22"/>
  <c r="AB119" i="22"/>
  <c r="T119" i="22"/>
  <c r="AB115" i="22"/>
  <c r="T115" i="22"/>
  <c r="T111" i="22"/>
  <c r="AB111" i="22"/>
  <c r="AB107" i="22"/>
  <c r="T107" i="22"/>
  <c r="AB103" i="22"/>
  <c r="T103" i="22"/>
  <c r="AB99" i="22"/>
  <c r="T99" i="22"/>
  <c r="T95" i="22"/>
  <c r="AB95" i="22"/>
  <c r="AB91" i="22"/>
  <c r="T91" i="22"/>
  <c r="AB87" i="22"/>
  <c r="T87" i="22"/>
  <c r="AB83" i="22"/>
  <c r="T83" i="22"/>
  <c r="T79" i="22"/>
  <c r="AB79" i="22"/>
  <c r="AB75" i="22"/>
  <c r="T75" i="22"/>
  <c r="AB71" i="22"/>
  <c r="T71" i="22"/>
  <c r="AB67" i="22"/>
  <c r="T67" i="22"/>
  <c r="T63" i="22"/>
  <c r="AB63" i="22"/>
  <c r="AB59" i="22"/>
  <c r="T59" i="22"/>
  <c r="AB57" i="22"/>
  <c r="T57" i="22"/>
  <c r="AB53" i="22"/>
  <c r="T53" i="22"/>
  <c r="AB49" i="22"/>
  <c r="T49" i="22"/>
  <c r="T45" i="22"/>
  <c r="AB45" i="22"/>
  <c r="AB41" i="22"/>
  <c r="T41" i="22"/>
  <c r="AB37" i="22"/>
  <c r="T37" i="22"/>
  <c r="T33" i="22"/>
  <c r="AB33" i="22"/>
  <c r="T29" i="22"/>
  <c r="AB29" i="22"/>
  <c r="AB25" i="22"/>
  <c r="T25" i="22"/>
  <c r="AB21" i="22"/>
  <c r="T21" i="22"/>
  <c r="AB17" i="22"/>
  <c r="T17" i="22"/>
  <c r="AB11" i="22"/>
  <c r="T11" i="22"/>
  <c r="AB7" i="22"/>
  <c r="T7" i="22"/>
  <c r="T499" i="22"/>
  <c r="AB499" i="22"/>
  <c r="AB495" i="22"/>
  <c r="T495" i="22"/>
  <c r="AB491" i="22"/>
  <c r="T491" i="22"/>
  <c r="T487" i="22"/>
  <c r="AB487" i="22"/>
  <c r="T483" i="22"/>
  <c r="AB483" i="22"/>
  <c r="AB479" i="22"/>
  <c r="T479" i="22"/>
  <c r="AB475" i="22"/>
  <c r="T475" i="22"/>
  <c r="T471" i="22"/>
  <c r="AB471" i="22"/>
  <c r="AB463" i="22"/>
  <c r="T463" i="22"/>
  <c r="AB459" i="22"/>
  <c r="T459" i="22"/>
  <c r="T455" i="22"/>
  <c r="AB455" i="22"/>
  <c r="T451" i="22"/>
  <c r="AB451" i="22"/>
  <c r="AB447" i="22"/>
  <c r="T447" i="22"/>
  <c r="AB443" i="22"/>
  <c r="T443" i="22"/>
  <c r="T439" i="22"/>
  <c r="AB439" i="22"/>
  <c r="T435" i="22"/>
  <c r="AB435" i="22"/>
  <c r="AB427" i="22"/>
  <c r="T427" i="22"/>
  <c r="AB383" i="22"/>
  <c r="T383" i="22"/>
  <c r="AB379" i="22"/>
  <c r="T379" i="22"/>
  <c r="T343" i="22"/>
  <c r="AB343" i="22"/>
  <c r="T339" i="22"/>
  <c r="AB339" i="22"/>
  <c r="AB331" i="22"/>
  <c r="T331" i="22"/>
  <c r="AB319" i="22"/>
  <c r="T319" i="22"/>
  <c r="T311" i="22"/>
  <c r="AB311" i="22"/>
  <c r="T307" i="22"/>
  <c r="AB307" i="22"/>
  <c r="T295" i="22"/>
  <c r="AB295" i="22"/>
  <c r="AB287" i="22"/>
  <c r="T287" i="22"/>
  <c r="AB283" i="22"/>
  <c r="T283" i="22"/>
  <c r="T275" i="22"/>
  <c r="AB275" i="22"/>
  <c r="AB271" i="22"/>
  <c r="T271" i="22"/>
  <c r="T267" i="22"/>
  <c r="AB267" i="22"/>
  <c r="AB255" i="22"/>
  <c r="T255" i="22"/>
  <c r="AB250" i="22"/>
  <c r="T250" i="22"/>
  <c r="AB240" i="22"/>
  <c r="T240" i="22"/>
  <c r="AB232" i="22"/>
  <c r="T232" i="22"/>
  <c r="AB224" i="22"/>
  <c r="T224" i="22"/>
  <c r="T220" i="22"/>
  <c r="AB220" i="22"/>
  <c r="AB212" i="22"/>
  <c r="T212" i="22"/>
  <c r="AB204" i="22"/>
  <c r="T204" i="22"/>
  <c r="AB200" i="22"/>
  <c r="T200" i="22"/>
  <c r="AB192" i="22"/>
  <c r="T192" i="22"/>
  <c r="AB184" i="22"/>
  <c r="T184" i="22"/>
  <c r="AB176" i="22"/>
  <c r="T176" i="22"/>
  <c r="AB168" i="22"/>
  <c r="T168" i="22"/>
  <c r="AB160" i="22"/>
  <c r="T160" i="22"/>
  <c r="AB154" i="22"/>
  <c r="T154" i="22"/>
  <c r="T142" i="22"/>
  <c r="AB142" i="22"/>
  <c r="AB134" i="22"/>
  <c r="T134" i="22"/>
  <c r="AB118" i="22"/>
  <c r="T118" i="22"/>
  <c r="AB2" i="22"/>
  <c r="T251" i="22"/>
  <c r="AB251" i="22"/>
  <c r="AB247" i="22"/>
  <c r="T247" i="22"/>
  <c r="T243" i="22"/>
  <c r="AB243" i="22"/>
  <c r="AB239" i="22"/>
  <c r="T239" i="22"/>
  <c r="T235" i="22"/>
  <c r="AB235" i="22"/>
  <c r="AB231" i="22"/>
  <c r="T231" i="22"/>
  <c r="T227" i="22"/>
  <c r="AB227" i="22"/>
  <c r="AB223" i="22"/>
  <c r="T223" i="22"/>
  <c r="T219" i="22"/>
  <c r="AB219" i="22"/>
  <c r="AB215" i="22"/>
  <c r="T215" i="22"/>
  <c r="T211" i="22"/>
  <c r="AB211" i="22"/>
  <c r="AB207" i="22"/>
  <c r="T207" i="22"/>
  <c r="AB203" i="22"/>
  <c r="T203" i="22"/>
  <c r="AB199" i="22"/>
  <c r="T199" i="22"/>
  <c r="AB195" i="22"/>
  <c r="T195" i="22"/>
  <c r="AB191" i="22"/>
  <c r="T191" i="22"/>
  <c r="AB187" i="22"/>
  <c r="T187" i="22"/>
  <c r="AB183" i="22"/>
  <c r="T183" i="22"/>
  <c r="AB179" i="22"/>
  <c r="T179" i="22"/>
  <c r="AB175" i="22"/>
  <c r="T175" i="22"/>
  <c r="AB171" i="22"/>
  <c r="T171" i="22"/>
  <c r="AB167" i="22"/>
  <c r="T167" i="22"/>
  <c r="AB165" i="22"/>
  <c r="T165" i="22"/>
  <c r="AB161" i="22"/>
  <c r="T161" i="22"/>
  <c r="AB157" i="22"/>
  <c r="T157" i="22"/>
  <c r="AB153" i="22"/>
  <c r="T153" i="22"/>
  <c r="AB149" i="22"/>
  <c r="T149" i="22"/>
  <c r="AB145" i="22"/>
  <c r="T145" i="22"/>
  <c r="AB141" i="22"/>
  <c r="T141" i="22"/>
  <c r="AB137" i="22"/>
  <c r="T137" i="22"/>
  <c r="AB133" i="22"/>
  <c r="T133" i="22"/>
  <c r="AB129" i="22"/>
  <c r="T129" i="22"/>
  <c r="AB125" i="22"/>
  <c r="T125" i="22"/>
  <c r="AB121" i="22"/>
  <c r="T121" i="22"/>
  <c r="AB117" i="22"/>
  <c r="T117" i="22"/>
  <c r="AB113" i="22"/>
  <c r="T113" i="22"/>
  <c r="AB109" i="22"/>
  <c r="T109" i="22"/>
  <c r="AB105" i="22"/>
  <c r="T105" i="22"/>
  <c r="AB101" i="22"/>
  <c r="T101" i="22"/>
  <c r="AB97" i="22"/>
  <c r="T97" i="22"/>
  <c r="AB93" i="22"/>
  <c r="T93" i="22"/>
  <c r="AB89" i="22"/>
  <c r="T89" i="22"/>
  <c r="AB85" i="22"/>
  <c r="T85" i="22"/>
  <c r="AB81" i="22"/>
  <c r="T81" i="22"/>
  <c r="AB77" i="22"/>
  <c r="T77" i="22"/>
  <c r="AB73" i="22"/>
  <c r="T73" i="22"/>
  <c r="AB69" i="22"/>
  <c r="T69" i="22"/>
  <c r="AB65" i="22"/>
  <c r="T65" i="22"/>
  <c r="AB61" i="22"/>
  <c r="T61" i="22"/>
  <c r="AB55" i="22"/>
  <c r="T55" i="22"/>
  <c r="AB51" i="22"/>
  <c r="T51" i="22"/>
  <c r="AB47" i="22"/>
  <c r="T47" i="22"/>
  <c r="AB43" i="22"/>
  <c r="T43" i="22"/>
  <c r="AB39" i="22"/>
  <c r="T39" i="22"/>
  <c r="AB35" i="22"/>
  <c r="T35" i="22"/>
  <c r="AB31" i="22"/>
  <c r="T31" i="22"/>
  <c r="AB27" i="22"/>
  <c r="T27" i="22"/>
  <c r="T23" i="22"/>
  <c r="AB23" i="22"/>
  <c r="AB19" i="22"/>
  <c r="T19" i="22"/>
  <c r="AB15" i="22"/>
  <c r="T15" i="22"/>
  <c r="T13" i="22"/>
  <c r="AB13" i="22"/>
  <c r="AB9" i="22"/>
  <c r="T9" i="22"/>
  <c r="AB5" i="22"/>
  <c r="T5" i="22"/>
  <c r="T467" i="22"/>
  <c r="AB467" i="22"/>
  <c r="AB431" i="22"/>
  <c r="T431" i="22"/>
  <c r="T423" i="22"/>
  <c r="AB423" i="22"/>
  <c r="T419" i="22"/>
  <c r="AB419" i="22"/>
  <c r="AB415" i="22"/>
  <c r="T415" i="22"/>
  <c r="AB411" i="22"/>
  <c r="T411" i="22"/>
  <c r="T407" i="22"/>
  <c r="AB407" i="22"/>
  <c r="T403" i="22"/>
  <c r="AB403" i="22"/>
  <c r="AB399" i="22"/>
  <c r="T399" i="22"/>
  <c r="AB395" i="22"/>
  <c r="T395" i="22"/>
  <c r="T391" i="22"/>
  <c r="AB391" i="22"/>
  <c r="T387" i="22"/>
  <c r="AB387" i="22"/>
  <c r="T375" i="22"/>
  <c r="AB375" i="22"/>
  <c r="T371" i="22"/>
  <c r="AB371" i="22"/>
  <c r="AB367" i="22"/>
  <c r="T367" i="22"/>
  <c r="AB363" i="22"/>
  <c r="T363" i="22"/>
  <c r="T359" i="22"/>
  <c r="AB359" i="22"/>
  <c r="T355" i="22"/>
  <c r="AB355" i="22"/>
  <c r="AB351" i="22"/>
  <c r="T351" i="22"/>
  <c r="AB347" i="22"/>
  <c r="T347" i="22"/>
  <c r="AB335" i="22"/>
  <c r="T335" i="22"/>
  <c r="T327" i="22"/>
  <c r="AB327" i="22"/>
  <c r="T323" i="22"/>
  <c r="AB323" i="22"/>
  <c r="AB315" i="22"/>
  <c r="T315" i="22"/>
  <c r="AB303" i="22"/>
  <c r="T303" i="22"/>
  <c r="AB299" i="22"/>
  <c r="T299" i="22"/>
  <c r="T291" i="22"/>
  <c r="AB291" i="22"/>
  <c r="T279" i="22"/>
  <c r="AB279" i="22"/>
  <c r="AB263" i="22"/>
  <c r="T263" i="22"/>
  <c r="T259" i="22"/>
  <c r="AB259" i="22"/>
  <c r="AB500" i="22"/>
  <c r="T500" i="22"/>
  <c r="AB496" i="22"/>
  <c r="T496" i="22"/>
  <c r="AB492" i="22"/>
  <c r="T492" i="22"/>
  <c r="T488" i="22"/>
  <c r="AB488" i="22"/>
  <c r="AB484" i="22"/>
  <c r="T484" i="22"/>
  <c r="AB480" i="22"/>
  <c r="T480" i="22"/>
  <c r="T476" i="22"/>
  <c r="AB476" i="22"/>
  <c r="T472" i="22"/>
  <c r="AB472" i="22"/>
  <c r="AB468" i="22"/>
  <c r="T468" i="22"/>
  <c r="AB464" i="22"/>
  <c r="T464" i="22"/>
  <c r="AB460" i="22"/>
  <c r="T460" i="22"/>
  <c r="T456" i="22"/>
  <c r="AB456" i="22"/>
  <c r="AB452" i="22"/>
  <c r="T452" i="22"/>
  <c r="AB448" i="22"/>
  <c r="T448" i="22"/>
  <c r="T444" i="22"/>
  <c r="AB444" i="22"/>
  <c r="T440" i="22"/>
  <c r="AB440" i="22"/>
  <c r="AB436" i="22"/>
  <c r="T436" i="22"/>
  <c r="AB432" i="22"/>
  <c r="T432" i="22"/>
  <c r="T428" i="22"/>
  <c r="AB428" i="22"/>
  <c r="T424" i="22"/>
  <c r="AB424" i="22"/>
  <c r="AB420" i="22"/>
  <c r="T420" i="22"/>
  <c r="AB416" i="22"/>
  <c r="T416" i="22"/>
  <c r="AB412" i="22"/>
  <c r="T412" i="22"/>
  <c r="T408" i="22"/>
  <c r="AB408" i="22"/>
  <c r="AB404" i="22"/>
  <c r="T404" i="22"/>
  <c r="AB400" i="22"/>
  <c r="T400" i="22"/>
  <c r="AB396" i="22"/>
  <c r="T396" i="22"/>
  <c r="T392" i="22"/>
  <c r="AB392" i="22"/>
  <c r="AB388" i="22"/>
  <c r="T388" i="22"/>
  <c r="AB384" i="22"/>
  <c r="T384" i="22"/>
  <c r="T380" i="22"/>
  <c r="AB380" i="22"/>
  <c r="T376" i="22"/>
  <c r="AB376" i="22"/>
  <c r="AB372" i="22"/>
  <c r="T372" i="22"/>
  <c r="AB368" i="22"/>
  <c r="T368" i="22"/>
  <c r="T364" i="22"/>
  <c r="AB364" i="22"/>
  <c r="T360" i="22"/>
  <c r="AB360" i="22"/>
  <c r="AB356" i="22"/>
  <c r="T356" i="22"/>
  <c r="AB352" i="22"/>
  <c r="T352" i="22"/>
  <c r="T348" i="22"/>
  <c r="AB348" i="22"/>
  <c r="T344" i="22"/>
  <c r="AB344" i="22"/>
  <c r="AB340" i="22"/>
  <c r="T340" i="22"/>
  <c r="AB336" i="22"/>
  <c r="T336" i="22"/>
  <c r="T332" i="22"/>
  <c r="AB332" i="22"/>
  <c r="T328" i="22"/>
  <c r="AB328" i="22"/>
  <c r="AB324" i="22"/>
  <c r="T324" i="22"/>
  <c r="AB320" i="22"/>
  <c r="T320" i="22"/>
  <c r="T316" i="22"/>
  <c r="AB316" i="22"/>
  <c r="T312" i="22"/>
  <c r="AB312" i="22"/>
  <c r="AB308" i="22"/>
  <c r="T308" i="22"/>
  <c r="AB304" i="22"/>
  <c r="T304" i="22"/>
  <c r="T300" i="22"/>
  <c r="AB300" i="22"/>
  <c r="T296" i="22"/>
  <c r="AB296" i="22"/>
  <c r="AB292" i="22"/>
  <c r="T292" i="22"/>
  <c r="AB288" i="22"/>
  <c r="T288" i="22"/>
  <c r="T284" i="22"/>
  <c r="AB284" i="22"/>
  <c r="T280" i="22"/>
  <c r="AB280" i="22"/>
  <c r="AB276" i="22"/>
  <c r="T276" i="22"/>
  <c r="AB272" i="22"/>
  <c r="T272" i="22"/>
  <c r="T268" i="22"/>
  <c r="AB268" i="22"/>
  <c r="AB264" i="22"/>
  <c r="T264" i="22"/>
  <c r="T260" i="22"/>
  <c r="AB260" i="22"/>
  <c r="AB256" i="22"/>
  <c r="T256" i="22"/>
  <c r="T252" i="22"/>
  <c r="AB252" i="22"/>
  <c r="Y366" i="6"/>
  <c r="U374" i="6"/>
  <c r="T382" i="6"/>
  <c r="U390" i="6"/>
  <c r="Y398" i="6"/>
  <c r="Z406" i="6"/>
  <c r="Y414" i="6"/>
  <c r="U422" i="6"/>
  <c r="Y430" i="6"/>
  <c r="U438" i="6"/>
  <c r="T446" i="6"/>
  <c r="U454" i="6"/>
  <c r="T462" i="6"/>
  <c r="Z470" i="6"/>
  <c r="T478" i="6"/>
  <c r="U486" i="6"/>
  <c r="Y494" i="6"/>
  <c r="U502" i="6"/>
  <c r="T510" i="6"/>
  <c r="Z514" i="6"/>
  <c r="U518" i="6"/>
  <c r="Y526" i="6"/>
  <c r="Z530" i="6"/>
  <c r="Z534" i="6"/>
  <c r="Y542" i="6"/>
  <c r="Z546" i="6"/>
  <c r="U550" i="6"/>
  <c r="Y558" i="6"/>
  <c r="U562" i="6"/>
  <c r="U566" i="6"/>
  <c r="T574" i="6"/>
  <c r="Z578" i="6"/>
  <c r="U582" i="6"/>
  <c r="Y590" i="6"/>
  <c r="Z594" i="6"/>
  <c r="Z598" i="6"/>
  <c r="Y606" i="6"/>
  <c r="Y610" i="6"/>
  <c r="Z614" i="6"/>
  <c r="Y622" i="6"/>
  <c r="U626" i="6"/>
  <c r="Z630" i="6"/>
  <c r="T638" i="6"/>
  <c r="U642" i="6"/>
  <c r="U646" i="6"/>
  <c r="Y654" i="6"/>
  <c r="U658" i="6"/>
  <c r="Z662" i="6"/>
  <c r="Y670" i="6"/>
  <c r="Z674" i="6"/>
  <c r="Z678" i="6"/>
  <c r="Y686" i="6"/>
  <c r="U690" i="6"/>
  <c r="Z694" i="6"/>
  <c r="Y702" i="6"/>
  <c r="U706" i="6"/>
  <c r="Z710" i="6"/>
  <c r="Y718" i="6"/>
  <c r="T722" i="6"/>
  <c r="Z726" i="6"/>
  <c r="Y734" i="6"/>
  <c r="T738" i="6"/>
  <c r="Z742" i="6"/>
  <c r="Y750" i="6"/>
  <c r="T754" i="6"/>
  <c r="Z758" i="6"/>
  <c r="Y766" i="6"/>
  <c r="T770" i="6"/>
  <c r="Z774" i="6"/>
  <c r="Y782" i="6"/>
  <c r="T786" i="6"/>
  <c r="Z790" i="6"/>
  <c r="Y798" i="6"/>
  <c r="T802" i="6"/>
  <c r="Z806" i="6"/>
  <c r="Y814" i="6"/>
  <c r="T818" i="6"/>
  <c r="Z822" i="6"/>
  <c r="Y830" i="6"/>
  <c r="Z838" i="6"/>
  <c r="T850" i="6"/>
  <c r="Y862" i="6"/>
  <c r="Z870" i="6"/>
  <c r="T882" i="6"/>
  <c r="U894" i="6"/>
  <c r="Z902" i="6"/>
  <c r="T914" i="6"/>
  <c r="Y926" i="6"/>
  <c r="Z934" i="6"/>
  <c r="T946" i="6"/>
  <c r="Y958" i="6"/>
  <c r="Z966" i="6"/>
  <c r="T978" i="6"/>
  <c r="Y990" i="6"/>
  <c r="Z1002" i="6"/>
  <c r="T244" i="22"/>
  <c r="AB244" i="22"/>
  <c r="AB238" i="22"/>
  <c r="T238" i="22"/>
  <c r="T228" i="22"/>
  <c r="AB228" i="22"/>
  <c r="AB218" i="22"/>
  <c r="T218" i="22"/>
  <c r="AB206" i="22"/>
  <c r="T206" i="22"/>
  <c r="AB198" i="22"/>
  <c r="T198" i="22"/>
  <c r="AB186" i="22"/>
  <c r="T186" i="22"/>
  <c r="AB178" i="22"/>
  <c r="T178" i="22"/>
  <c r="AB170" i="22"/>
  <c r="T170" i="22"/>
  <c r="T158" i="22"/>
  <c r="AB158" i="22"/>
  <c r="AB150" i="22"/>
  <c r="T150" i="22"/>
  <c r="AB146" i="22"/>
  <c r="T146" i="22"/>
  <c r="AB136" i="22"/>
  <c r="T136" i="22"/>
  <c r="AB128" i="22"/>
  <c r="T128" i="22"/>
  <c r="T126" i="22"/>
  <c r="AB126" i="22"/>
  <c r="AB122" i="22"/>
  <c r="T122" i="22"/>
  <c r="AB116" i="22"/>
  <c r="T116" i="22"/>
  <c r="AB112" i="22"/>
  <c r="T112" i="22"/>
  <c r="AB108" i="22"/>
  <c r="T108" i="22"/>
  <c r="AB104" i="22"/>
  <c r="T104" i="22"/>
  <c r="AB100" i="22"/>
  <c r="T100" i="22"/>
  <c r="AB96" i="22"/>
  <c r="T96" i="22"/>
  <c r="AB92" i="22"/>
  <c r="T92" i="22"/>
  <c r="AB88" i="22"/>
  <c r="T88" i="22"/>
  <c r="AB84" i="22"/>
  <c r="T84" i="22"/>
  <c r="AB80" i="22"/>
  <c r="T80" i="22"/>
  <c r="AB76" i="22"/>
  <c r="T76" i="22"/>
  <c r="AB72" i="22"/>
  <c r="T72" i="22"/>
  <c r="AB68" i="22"/>
  <c r="T68" i="22"/>
  <c r="AB64" i="22"/>
  <c r="T64" i="22"/>
  <c r="AB60" i="22"/>
  <c r="T60" i="22"/>
  <c r="AB56" i="22"/>
  <c r="T56" i="22"/>
  <c r="AB52" i="22"/>
  <c r="T52" i="22"/>
  <c r="AB48" i="22"/>
  <c r="T48" i="22"/>
  <c r="T44" i="22"/>
  <c r="AB44" i="22"/>
  <c r="AB40" i="22"/>
  <c r="T40" i="22"/>
  <c r="AB36" i="22"/>
  <c r="T36" i="22"/>
  <c r="AB32" i="22"/>
  <c r="T32" i="22"/>
  <c r="AB28" i="22"/>
  <c r="T28" i="22"/>
  <c r="T24" i="22"/>
  <c r="AB24" i="22"/>
  <c r="AB20" i="22"/>
  <c r="T20" i="22"/>
  <c r="AB16" i="22"/>
  <c r="T16" i="22"/>
  <c r="AB12" i="22"/>
  <c r="T12" i="22"/>
  <c r="AB8" i="22"/>
  <c r="T8" i="22"/>
  <c r="AB497" i="22"/>
  <c r="T497" i="22"/>
  <c r="AB493" i="22"/>
  <c r="T493" i="22"/>
  <c r="AB489" i="22"/>
  <c r="T489" i="22"/>
  <c r="AB485" i="22"/>
  <c r="T485" i="22"/>
  <c r="AB481" i="22"/>
  <c r="T481" i="22"/>
  <c r="AB477" i="22"/>
  <c r="T477" i="22"/>
  <c r="AB473" i="22"/>
  <c r="T473" i="22"/>
  <c r="AB469" i="22"/>
  <c r="T469" i="22"/>
  <c r="AB465" i="22"/>
  <c r="T465" i="22"/>
  <c r="AB461" i="22"/>
  <c r="T461" i="22"/>
  <c r="AB457" i="22"/>
  <c r="T457" i="22"/>
  <c r="AB453" i="22"/>
  <c r="T453" i="22"/>
  <c r="AB449" i="22"/>
  <c r="T449" i="22"/>
  <c r="AB445" i="22"/>
  <c r="T445" i="22"/>
  <c r="AB441" i="22"/>
  <c r="T441" i="22"/>
  <c r="AB437" i="22"/>
  <c r="T437" i="22"/>
  <c r="AB433" i="22"/>
  <c r="T433" i="22"/>
  <c r="AB429" i="22"/>
  <c r="T429" i="22"/>
  <c r="AB425" i="22"/>
  <c r="T425" i="22"/>
  <c r="AB421" i="22"/>
  <c r="T421" i="22"/>
  <c r="AB417" i="22"/>
  <c r="T417" i="22"/>
  <c r="AB413" i="22"/>
  <c r="T413" i="22"/>
  <c r="AB409" i="22"/>
  <c r="T409" i="22"/>
  <c r="AB405" i="22"/>
  <c r="T405" i="22"/>
  <c r="AB401" i="22"/>
  <c r="T401" i="22"/>
  <c r="AB397" i="22"/>
  <c r="T397" i="22"/>
  <c r="AB393" i="22"/>
  <c r="T393" i="22"/>
  <c r="AB389" i="22"/>
  <c r="T389" i="22"/>
  <c r="AB385" i="22"/>
  <c r="T385" i="22"/>
  <c r="AB381" i="22"/>
  <c r="T381" i="22"/>
  <c r="AB377" i="22"/>
  <c r="T377" i="22"/>
  <c r="AB373" i="22"/>
  <c r="T373" i="22"/>
  <c r="AB365" i="22"/>
  <c r="T365" i="22"/>
  <c r="AB361" i="22"/>
  <c r="T361" i="22"/>
  <c r="AB357" i="22"/>
  <c r="T357" i="22"/>
  <c r="AB353" i="22"/>
  <c r="T353" i="22"/>
  <c r="AB349" i="22"/>
  <c r="T349" i="22"/>
  <c r="AB345" i="22"/>
  <c r="T345" i="22"/>
  <c r="AB341" i="22"/>
  <c r="T341" i="22"/>
  <c r="AB337" i="22"/>
  <c r="T337" i="22"/>
  <c r="AB333" i="22"/>
  <c r="T333" i="22"/>
  <c r="AB329" i="22"/>
  <c r="T329" i="22"/>
  <c r="AB325" i="22"/>
  <c r="T325" i="22"/>
  <c r="AB321" i="22"/>
  <c r="T321" i="22"/>
  <c r="AB317" i="22"/>
  <c r="T317" i="22"/>
  <c r="AB313" i="22"/>
  <c r="T313" i="22"/>
  <c r="AB309" i="22"/>
  <c r="T309" i="22"/>
  <c r="AB305" i="22"/>
  <c r="T305" i="22"/>
  <c r="AB301" i="22"/>
  <c r="T301" i="22"/>
  <c r="AB297" i="22"/>
  <c r="T297" i="22"/>
  <c r="AB293" i="22"/>
  <c r="T293" i="22"/>
  <c r="AB289" i="22"/>
  <c r="T289" i="22"/>
  <c r="AB285" i="22"/>
  <c r="T285" i="22"/>
  <c r="AB281" i="22"/>
  <c r="T281" i="22"/>
  <c r="AB277" i="22"/>
  <c r="T277" i="22"/>
  <c r="AB273" i="22"/>
  <c r="T273" i="22"/>
  <c r="AB269" i="22"/>
  <c r="T269" i="22"/>
  <c r="AB265" i="22"/>
  <c r="T265" i="22"/>
  <c r="AB261" i="22"/>
  <c r="T261" i="22"/>
  <c r="AB257" i="22"/>
  <c r="T257" i="22"/>
  <c r="AB253" i="22"/>
  <c r="T253" i="22"/>
  <c r="AB246" i="22"/>
  <c r="T246" i="22"/>
  <c r="T236" i="22"/>
  <c r="AB236" i="22"/>
  <c r="AB226" i="22"/>
  <c r="T226" i="22"/>
  <c r="AB216" i="22"/>
  <c r="T216" i="22"/>
  <c r="AB208" i="22"/>
  <c r="T208" i="22"/>
  <c r="AB196" i="22"/>
  <c r="T196" i="22"/>
  <c r="AB188" i="22"/>
  <c r="T188" i="22"/>
  <c r="AB180" i="22"/>
  <c r="T180" i="22"/>
  <c r="AB172" i="22"/>
  <c r="T172" i="22"/>
  <c r="AB162" i="22"/>
  <c r="T162" i="22"/>
  <c r="AB152" i="22"/>
  <c r="T152" i="22"/>
  <c r="AB144" i="22"/>
  <c r="T144" i="22"/>
  <c r="AB138" i="22"/>
  <c r="T138" i="22"/>
  <c r="AB130" i="22"/>
  <c r="T130" i="22"/>
  <c r="AB124" i="22"/>
  <c r="T124" i="22"/>
  <c r="AB120" i="22"/>
  <c r="T120" i="22"/>
  <c r="AB114" i="22"/>
  <c r="T114" i="22"/>
  <c r="AB110" i="22"/>
  <c r="T110" i="22"/>
  <c r="AB106" i="22"/>
  <c r="T106" i="22"/>
  <c r="AB102" i="22"/>
  <c r="T102" i="22"/>
  <c r="AB98" i="22"/>
  <c r="T98" i="22"/>
  <c r="T94" i="22"/>
  <c r="AB94" i="22"/>
  <c r="AB90" i="22"/>
  <c r="T90" i="22"/>
  <c r="AB86" i="22"/>
  <c r="T86" i="22"/>
  <c r="AB82" i="22"/>
  <c r="T82" i="22"/>
  <c r="T78" i="22"/>
  <c r="AB78" i="22"/>
  <c r="AB74" i="22"/>
  <c r="T74" i="22"/>
  <c r="AB70" i="22"/>
  <c r="T70" i="22"/>
  <c r="AB66" i="22"/>
  <c r="T66" i="22"/>
  <c r="AB62" i="22"/>
  <c r="T62" i="22"/>
  <c r="AB58" i="22"/>
  <c r="T58" i="22"/>
  <c r="AB54" i="22"/>
  <c r="T54" i="22"/>
  <c r="AB50" i="22"/>
  <c r="T50" i="22"/>
  <c r="AB46" i="22"/>
  <c r="T46" i="22"/>
  <c r="AB42" i="22"/>
  <c r="T42" i="22"/>
  <c r="AB38" i="22"/>
  <c r="T38" i="22"/>
  <c r="AB34" i="22"/>
  <c r="T34" i="22"/>
  <c r="AB30" i="22"/>
  <c r="T30" i="22"/>
  <c r="AB26" i="22"/>
  <c r="T26" i="22"/>
  <c r="AB22" i="22"/>
  <c r="T22" i="22"/>
  <c r="AB18" i="22"/>
  <c r="T18" i="22"/>
  <c r="AB14" i="22"/>
  <c r="T14" i="22"/>
  <c r="AB10" i="22"/>
  <c r="T10" i="22"/>
  <c r="AB6" i="22"/>
  <c r="T6" i="22"/>
  <c r="AB4" i="22"/>
  <c r="T4" i="22"/>
  <c r="AB501" i="22"/>
  <c r="T501" i="22"/>
  <c r="AB369" i="22"/>
  <c r="T369" i="22"/>
  <c r="T498" i="22"/>
  <c r="AB498" i="22"/>
  <c r="T494" i="22"/>
  <c r="AB494" i="22"/>
  <c r="AB490" i="22"/>
  <c r="T490" i="22"/>
  <c r="T486" i="22"/>
  <c r="AB486" i="22"/>
  <c r="T482" i="22"/>
  <c r="AB482" i="22"/>
  <c r="T478" i="22"/>
  <c r="AB478" i="22"/>
  <c r="AB474" i="22"/>
  <c r="T474" i="22"/>
  <c r="T470" i="22"/>
  <c r="AB470" i="22"/>
  <c r="T466" i="22"/>
  <c r="AB466" i="22"/>
  <c r="T462" i="22"/>
  <c r="AB462" i="22"/>
  <c r="AB458" i="22"/>
  <c r="T458" i="22"/>
  <c r="T454" i="22"/>
  <c r="AB454" i="22"/>
  <c r="T450" i="22"/>
  <c r="AB450" i="22"/>
  <c r="T446" i="22"/>
  <c r="AB446" i="22"/>
  <c r="AB442" i="22"/>
  <c r="T442" i="22"/>
  <c r="T438" i="22"/>
  <c r="AB438" i="22"/>
  <c r="T434" i="22"/>
  <c r="AB434" i="22"/>
  <c r="T430" i="22"/>
  <c r="AB430" i="22"/>
  <c r="AB426" i="22"/>
  <c r="T426" i="22"/>
  <c r="T422" i="22"/>
  <c r="AB422" i="22"/>
  <c r="T418" i="22"/>
  <c r="AB418" i="22"/>
  <c r="T414" i="22"/>
  <c r="AB414" i="22"/>
  <c r="AB410" i="22"/>
  <c r="T410" i="22"/>
  <c r="T406" i="22"/>
  <c r="AB406" i="22"/>
  <c r="T402" i="22"/>
  <c r="AB402" i="22"/>
  <c r="T398" i="22"/>
  <c r="AB398" i="22"/>
  <c r="AB394" i="22"/>
  <c r="T394" i="22"/>
  <c r="T390" i="22"/>
  <c r="AB390" i="22"/>
  <c r="T386" i="22"/>
  <c r="AB386" i="22"/>
  <c r="T382" i="22"/>
  <c r="AB382" i="22"/>
  <c r="AB378" i="22"/>
  <c r="T378" i="22"/>
  <c r="T374" i="22"/>
  <c r="AB374" i="22"/>
  <c r="T370" i="22"/>
  <c r="AB370" i="22"/>
  <c r="T366" i="22"/>
  <c r="AB366" i="22"/>
  <c r="AB362" i="22"/>
  <c r="T362" i="22"/>
  <c r="T358" i="22"/>
  <c r="AB358" i="22"/>
  <c r="T354" i="22"/>
  <c r="AB354" i="22"/>
  <c r="T350" i="22"/>
  <c r="AB350" i="22"/>
  <c r="AB346" i="22"/>
  <c r="T346" i="22"/>
  <c r="T342" i="22"/>
  <c r="AB342" i="22"/>
  <c r="T338" i="22"/>
  <c r="AB338" i="22"/>
  <c r="T334" i="22"/>
  <c r="AB334" i="22"/>
  <c r="AB330" i="22"/>
  <c r="T330" i="22"/>
  <c r="T326" i="22"/>
  <c r="AB326" i="22"/>
  <c r="T322" i="22"/>
  <c r="AB322" i="22"/>
  <c r="T318" i="22"/>
  <c r="AB318" i="22"/>
  <c r="AB314" i="22"/>
  <c r="T314" i="22"/>
  <c r="T310" i="22"/>
  <c r="AB310" i="22"/>
  <c r="T306" i="22"/>
  <c r="AB306" i="22"/>
  <c r="T302" i="22"/>
  <c r="AB302" i="22"/>
  <c r="AB298" i="22"/>
  <c r="T298" i="22"/>
  <c r="T294" i="22"/>
  <c r="AB294" i="22"/>
  <c r="T290" i="22"/>
  <c r="AB290" i="22"/>
  <c r="T286" i="22"/>
  <c r="AB286" i="22"/>
  <c r="AB282" i="22"/>
  <c r="T282" i="22"/>
  <c r="T278" i="22"/>
  <c r="AB278" i="22"/>
  <c r="T274" i="22"/>
  <c r="AB274" i="22"/>
  <c r="AB270" i="22"/>
  <c r="T270" i="22"/>
  <c r="AB266" i="22"/>
  <c r="T266" i="22"/>
  <c r="AB262" i="22"/>
  <c r="T262" i="22"/>
  <c r="AB258" i="22"/>
  <c r="T258" i="22"/>
  <c r="AB254" i="22"/>
  <c r="T254" i="22"/>
  <c r="T518" i="6"/>
  <c r="Z522" i="6"/>
  <c r="Z526" i="6"/>
  <c r="T534" i="6"/>
  <c r="T538" i="6"/>
  <c r="Z542" i="6"/>
  <c r="T550" i="6"/>
  <c r="T554" i="6"/>
  <c r="Z558" i="6"/>
  <c r="T566" i="6"/>
  <c r="U570" i="6"/>
  <c r="Z574" i="6"/>
  <c r="T582" i="6"/>
  <c r="Z586" i="6"/>
  <c r="Z590" i="6"/>
  <c r="Y598" i="6"/>
  <c r="U602" i="6"/>
  <c r="Z606" i="6"/>
  <c r="Y614" i="6"/>
  <c r="Z618" i="6"/>
  <c r="Z622" i="6"/>
  <c r="Y630" i="6"/>
  <c r="U634" i="6"/>
  <c r="Z638" i="6"/>
  <c r="Y646" i="6"/>
  <c r="U650" i="6"/>
  <c r="Z654" i="6"/>
  <c r="Y662" i="6"/>
  <c r="Z666" i="6"/>
  <c r="Z670" i="6"/>
  <c r="Y678" i="6"/>
  <c r="Z682" i="6"/>
  <c r="Z686" i="6"/>
  <c r="T694" i="6"/>
  <c r="U698" i="6"/>
  <c r="Z702" i="6"/>
  <c r="T710" i="6"/>
  <c r="T714" i="6"/>
  <c r="Z718" i="6"/>
  <c r="Y726" i="6"/>
  <c r="T730" i="6"/>
  <c r="Z734" i="6"/>
  <c r="Y742" i="6"/>
  <c r="T746" i="6"/>
  <c r="Z750" i="6"/>
  <c r="Y758" i="6"/>
  <c r="T762" i="6"/>
  <c r="Z766" i="6"/>
  <c r="Y774" i="6"/>
  <c r="T778" i="6"/>
  <c r="Z782" i="6"/>
  <c r="Y790" i="6"/>
  <c r="T794" i="6"/>
  <c r="Z798" i="6"/>
  <c r="Y806" i="6"/>
  <c r="T810" i="6"/>
  <c r="Z814" i="6"/>
  <c r="Y822" i="6"/>
  <c r="T826" i="6"/>
  <c r="T834" i="6"/>
  <c r="Y846" i="6"/>
  <c r="Z854" i="6"/>
  <c r="T866" i="6"/>
  <c r="U878" i="6"/>
  <c r="Z886" i="6"/>
  <c r="T898" i="6"/>
  <c r="U910" i="6"/>
  <c r="Z918" i="6"/>
  <c r="T930" i="6"/>
  <c r="Y942" i="6"/>
  <c r="Z950" i="6"/>
  <c r="T962" i="6"/>
  <c r="Y974" i="6"/>
  <c r="Z982" i="6"/>
  <c r="Y998" i="6"/>
  <c r="T1010" i="6"/>
  <c r="T983" i="6"/>
  <c r="AE44" i="5"/>
  <c r="Y767" i="6"/>
  <c r="Y783" i="6"/>
  <c r="Y799" i="6"/>
  <c r="Y815" i="6"/>
  <c r="Y831" i="6"/>
  <c r="Y847" i="6"/>
  <c r="Y863" i="6"/>
  <c r="Y879" i="6"/>
  <c r="T895" i="6"/>
  <c r="T911" i="6"/>
  <c r="T927" i="6"/>
  <c r="T943" i="6"/>
  <c r="T959" i="6"/>
  <c r="T975" i="6"/>
  <c r="T991" i="6"/>
  <c r="T1007" i="6"/>
  <c r="Y771" i="6"/>
  <c r="Y787" i="6"/>
  <c r="Y803" i="6"/>
  <c r="Y819" i="6"/>
  <c r="Y835" i="6"/>
  <c r="Y851" i="6"/>
  <c r="Y867" i="6"/>
  <c r="T883" i="6"/>
  <c r="T899" i="6"/>
  <c r="T915" i="6"/>
  <c r="Y931" i="6"/>
  <c r="Y947" i="6"/>
  <c r="Y963" i="6"/>
  <c r="Y979" i="6"/>
  <c r="Y995" i="6"/>
  <c r="Y1011" i="6"/>
  <c r="Y596" i="6"/>
  <c r="AO250" i="22"/>
  <c r="AN250" i="22"/>
  <c r="AM250" i="22"/>
  <c r="AL250" i="22"/>
  <c r="AK250" i="22"/>
  <c r="AO246" i="22"/>
  <c r="AN246" i="22"/>
  <c r="AM246" i="22"/>
  <c r="AL246" i="22"/>
  <c r="AK246" i="22"/>
  <c r="AO242" i="22"/>
  <c r="AN242" i="22"/>
  <c r="AM242" i="22"/>
  <c r="AL242" i="22"/>
  <c r="AK242" i="22"/>
  <c r="AO236" i="22"/>
  <c r="AN236" i="22"/>
  <c r="AM236" i="22"/>
  <c r="AL236" i="22"/>
  <c r="AK236" i="22"/>
  <c r="AO232" i="22"/>
  <c r="AN232" i="22"/>
  <c r="AM232" i="22"/>
  <c r="AL232" i="22"/>
  <c r="AK232" i="22"/>
  <c r="AO228" i="22"/>
  <c r="AN228" i="22"/>
  <c r="AM228" i="22"/>
  <c r="AL228" i="22"/>
  <c r="AK228" i="22"/>
  <c r="AO224" i="22"/>
  <c r="AN224" i="22"/>
  <c r="AM224" i="22"/>
  <c r="AL224" i="22"/>
  <c r="AK224" i="22"/>
  <c r="AO220" i="22"/>
  <c r="AN220" i="22"/>
  <c r="AM220" i="22"/>
  <c r="AL220" i="22"/>
  <c r="AK220" i="22"/>
  <c r="AO216" i="22"/>
  <c r="AN216" i="22"/>
  <c r="AM216" i="22"/>
  <c r="AL216" i="22"/>
  <c r="AK216" i="22"/>
  <c r="AO212" i="22"/>
  <c r="AN212" i="22"/>
  <c r="AM212" i="22"/>
  <c r="AL212" i="22"/>
  <c r="AK212" i="22"/>
  <c r="AO208" i="22"/>
  <c r="AN208" i="22"/>
  <c r="AM208" i="22"/>
  <c r="AL208" i="22"/>
  <c r="AK208" i="22"/>
  <c r="AO204" i="22"/>
  <c r="AN204" i="22"/>
  <c r="AM204" i="22"/>
  <c r="AL204" i="22"/>
  <c r="AK204" i="22"/>
  <c r="AO200" i="22"/>
  <c r="AN200" i="22"/>
  <c r="AM200" i="22"/>
  <c r="AL200" i="22"/>
  <c r="AK200" i="22"/>
  <c r="AO196" i="22"/>
  <c r="AN196" i="22"/>
  <c r="AM196" i="22"/>
  <c r="AL196" i="22"/>
  <c r="AK196" i="22"/>
  <c r="AO190" i="22"/>
  <c r="AN190" i="22"/>
  <c r="AM190" i="22"/>
  <c r="AL190" i="22"/>
  <c r="AK190" i="22"/>
  <c r="AO186" i="22"/>
  <c r="AN186" i="22"/>
  <c r="AM186" i="22"/>
  <c r="AL186" i="22"/>
  <c r="AK186" i="22"/>
  <c r="AO182" i="22"/>
  <c r="AN182" i="22"/>
  <c r="AM182" i="22"/>
  <c r="AL182" i="22"/>
  <c r="AK182" i="22"/>
  <c r="AO178" i="22"/>
  <c r="AN178" i="22"/>
  <c r="AM178" i="22"/>
  <c r="AL178" i="22"/>
  <c r="AK178" i="22"/>
  <c r="AO174" i="22"/>
  <c r="AN174" i="22"/>
  <c r="AM174" i="22"/>
  <c r="AL174" i="22"/>
  <c r="AK174" i="22"/>
  <c r="AO172" i="22"/>
  <c r="AN172" i="22"/>
  <c r="AM172" i="22"/>
  <c r="AL172" i="22"/>
  <c r="AK172" i="22"/>
  <c r="AO168" i="22"/>
  <c r="AN168" i="22"/>
  <c r="AM168" i="22"/>
  <c r="AL168" i="22"/>
  <c r="AK168" i="22"/>
  <c r="AO164" i="22"/>
  <c r="AN164" i="22"/>
  <c r="AM164" i="22"/>
  <c r="AL164" i="22"/>
  <c r="AK164" i="22"/>
  <c r="AO160" i="22"/>
  <c r="AN160" i="22"/>
  <c r="AM160" i="22"/>
  <c r="AL160" i="22"/>
  <c r="AK160" i="22"/>
  <c r="AO156" i="22"/>
  <c r="AN156" i="22"/>
  <c r="AM156" i="22"/>
  <c r="AL156" i="22"/>
  <c r="AK156" i="22"/>
  <c r="AO152" i="22"/>
  <c r="AN152" i="22"/>
  <c r="AM152" i="22"/>
  <c r="AL152" i="22"/>
  <c r="AK152" i="22"/>
  <c r="AO148" i="22"/>
  <c r="AN148" i="22"/>
  <c r="AM148" i="22"/>
  <c r="AL148" i="22"/>
  <c r="AK148" i="22"/>
  <c r="AO146" i="22"/>
  <c r="AN146" i="22"/>
  <c r="AM146" i="22"/>
  <c r="AL146" i="22"/>
  <c r="AK146" i="22"/>
  <c r="AO142" i="22"/>
  <c r="AN142" i="22"/>
  <c r="AM142" i="22"/>
  <c r="AL142" i="22"/>
  <c r="AK142" i="22"/>
  <c r="AO138" i="22"/>
  <c r="AN138" i="22"/>
  <c r="AM138" i="22"/>
  <c r="AL138" i="22"/>
  <c r="AK138" i="22"/>
  <c r="AN132" i="22"/>
  <c r="AO132" i="22"/>
  <c r="AM132" i="22"/>
  <c r="AL132" i="22"/>
  <c r="AK132" i="22"/>
  <c r="AO128" i="22"/>
  <c r="AN128" i="22"/>
  <c r="AM128" i="22"/>
  <c r="AL128" i="22"/>
  <c r="AK128" i="22"/>
  <c r="AO124" i="22"/>
  <c r="AN124" i="22"/>
  <c r="AM124" i="22"/>
  <c r="AL124" i="22"/>
  <c r="AK124" i="22"/>
  <c r="AO122" i="22"/>
  <c r="AN122" i="22"/>
  <c r="AM122" i="22"/>
  <c r="AL122" i="22"/>
  <c r="AK122" i="22"/>
  <c r="AO118" i="22"/>
  <c r="AN118" i="22"/>
  <c r="AM118" i="22"/>
  <c r="AL118" i="22"/>
  <c r="AK118" i="22"/>
  <c r="AO114" i="22"/>
  <c r="AN114" i="22"/>
  <c r="AM114" i="22"/>
  <c r="AL114" i="22"/>
  <c r="AK114" i="22"/>
  <c r="AO110" i="22"/>
  <c r="AN110" i="22"/>
  <c r="AM110" i="22"/>
  <c r="AL110" i="22"/>
  <c r="AK110" i="22"/>
  <c r="AO106" i="22"/>
  <c r="AN106" i="22"/>
  <c r="AM106" i="22"/>
  <c r="AL106" i="22"/>
  <c r="AK106" i="22"/>
  <c r="AO102" i="22"/>
  <c r="AN102" i="22"/>
  <c r="AM102" i="22"/>
  <c r="AL102" i="22"/>
  <c r="AK102" i="22"/>
  <c r="AO98" i="22"/>
  <c r="AN98" i="22"/>
  <c r="AM98" i="22"/>
  <c r="AL98" i="22"/>
  <c r="AK98" i="22"/>
  <c r="AO94" i="22"/>
  <c r="AN94" i="22"/>
  <c r="AM94" i="22"/>
  <c r="AL94" i="22"/>
  <c r="AK94" i="22"/>
  <c r="AO90" i="22"/>
  <c r="AN90" i="22"/>
  <c r="AL90" i="22"/>
  <c r="AM90" i="22"/>
  <c r="AK90" i="22"/>
  <c r="AO86" i="22"/>
  <c r="AN86" i="22"/>
  <c r="AM86" i="22"/>
  <c r="AL86" i="22"/>
  <c r="AK86" i="22"/>
  <c r="AO82" i="22"/>
  <c r="AN82" i="22"/>
  <c r="AM82" i="22"/>
  <c r="AL82" i="22"/>
  <c r="AK82" i="22"/>
  <c r="AO78" i="22"/>
  <c r="AN78" i="22"/>
  <c r="AL78" i="22"/>
  <c r="AM78" i="22"/>
  <c r="AK78" i="22"/>
  <c r="AO74" i="22"/>
  <c r="AN74" i="22"/>
  <c r="AM74" i="22"/>
  <c r="AL74" i="22"/>
  <c r="AK74" i="22"/>
  <c r="AO70" i="22"/>
  <c r="AN70" i="22"/>
  <c r="AM70" i="22"/>
  <c r="AL70" i="22"/>
  <c r="AK70" i="22"/>
  <c r="AO66" i="22"/>
  <c r="AN66" i="22"/>
  <c r="AM66" i="22"/>
  <c r="AL66" i="22"/>
  <c r="AK66" i="22"/>
  <c r="AO60" i="22"/>
  <c r="AN60" i="22"/>
  <c r="AM60" i="22"/>
  <c r="AL60" i="22"/>
  <c r="AK60" i="22"/>
  <c r="AO56" i="22"/>
  <c r="AN56" i="22"/>
  <c r="AM56" i="22"/>
  <c r="AL56" i="22"/>
  <c r="AK56" i="22"/>
  <c r="AO52" i="22"/>
  <c r="AN52" i="22"/>
  <c r="AM52" i="22"/>
  <c r="AL52" i="22"/>
  <c r="AK52" i="22"/>
  <c r="AO48" i="22"/>
  <c r="AN48" i="22"/>
  <c r="AM48" i="22"/>
  <c r="AL48" i="22"/>
  <c r="AK48" i="22"/>
  <c r="AO44" i="22"/>
  <c r="AN44" i="22"/>
  <c r="AM44" i="22"/>
  <c r="AL44" i="22"/>
  <c r="AK44" i="22"/>
  <c r="AO40" i="22"/>
  <c r="AN40" i="22"/>
  <c r="AM40" i="22"/>
  <c r="AL40" i="22"/>
  <c r="AK40" i="22"/>
  <c r="AO36" i="22"/>
  <c r="AN36" i="22"/>
  <c r="AM36" i="22"/>
  <c r="AL36" i="22"/>
  <c r="AK36" i="22"/>
  <c r="AO32" i="22"/>
  <c r="AN32" i="22"/>
  <c r="AM32" i="22"/>
  <c r="AL32" i="22"/>
  <c r="AK32" i="22"/>
  <c r="AO28" i="22"/>
  <c r="AN28" i="22"/>
  <c r="AM28" i="22"/>
  <c r="AL28" i="22"/>
  <c r="AK28" i="22"/>
  <c r="AO24" i="22"/>
  <c r="AN24" i="22"/>
  <c r="AM24" i="22"/>
  <c r="AL24" i="22"/>
  <c r="AK24" i="22"/>
  <c r="AO20" i="22"/>
  <c r="AN20" i="22"/>
  <c r="AM20" i="22"/>
  <c r="AL20" i="22"/>
  <c r="AK20" i="22"/>
  <c r="AO16" i="22"/>
  <c r="AN16" i="22"/>
  <c r="AM16" i="22"/>
  <c r="AL16" i="22"/>
  <c r="AK16" i="22"/>
  <c r="AO12" i="22"/>
  <c r="AN12" i="22"/>
  <c r="AM12" i="22"/>
  <c r="AL12" i="22"/>
  <c r="AK12" i="22"/>
  <c r="AO8" i="22"/>
  <c r="AN8" i="22"/>
  <c r="AM8" i="22"/>
  <c r="AL8" i="22"/>
  <c r="AK8" i="22"/>
  <c r="AO6" i="22"/>
  <c r="AN6" i="22"/>
  <c r="AM6" i="22"/>
  <c r="AL6" i="22"/>
  <c r="AK6" i="22"/>
  <c r="AO499" i="22"/>
  <c r="AN499" i="22"/>
  <c r="AM499" i="22"/>
  <c r="AL499" i="22"/>
  <c r="AK499" i="22"/>
  <c r="AO491" i="22"/>
  <c r="AN491" i="22"/>
  <c r="AM491" i="22"/>
  <c r="AL491" i="22"/>
  <c r="AK491" i="22"/>
  <c r="AO483" i="22"/>
  <c r="AN483" i="22"/>
  <c r="AM483" i="22"/>
  <c r="AL483" i="22"/>
  <c r="AK483" i="22"/>
  <c r="AO475" i="22"/>
  <c r="AN475" i="22"/>
  <c r="AM475" i="22"/>
  <c r="AL475" i="22"/>
  <c r="AK475" i="22"/>
  <c r="AO463" i="22"/>
  <c r="AN463" i="22"/>
  <c r="AM463" i="22"/>
  <c r="AL463" i="22"/>
  <c r="AK463" i="22"/>
  <c r="AO455" i="22"/>
  <c r="AN455" i="22"/>
  <c r="AM455" i="22"/>
  <c r="AL455" i="22"/>
  <c r="AK455" i="22"/>
  <c r="AO447" i="22"/>
  <c r="AN447" i="22"/>
  <c r="AM447" i="22"/>
  <c r="AL447" i="22"/>
  <c r="AK447" i="22"/>
  <c r="AO443" i="22"/>
  <c r="AN443" i="22"/>
  <c r="AM443" i="22"/>
  <c r="AL443" i="22"/>
  <c r="AK443" i="22"/>
  <c r="AO435" i="22"/>
  <c r="AN435" i="22"/>
  <c r="AM435" i="22"/>
  <c r="AL435" i="22"/>
  <c r="AK435" i="22"/>
  <c r="AO427" i="22"/>
  <c r="AN427" i="22"/>
  <c r="AM427" i="22"/>
  <c r="AL427" i="22"/>
  <c r="AK427" i="22"/>
  <c r="AO419" i="22"/>
  <c r="AN419" i="22"/>
  <c r="AM419" i="22"/>
  <c r="AL419" i="22"/>
  <c r="AK419" i="22"/>
  <c r="AO411" i="22"/>
  <c r="AN411" i="22"/>
  <c r="AM411" i="22"/>
  <c r="AL411" i="22"/>
  <c r="AK411" i="22"/>
  <c r="AO403" i="22"/>
  <c r="AN403" i="22"/>
  <c r="AM403" i="22"/>
  <c r="AL403" i="22"/>
  <c r="AK403" i="22"/>
  <c r="AO395" i="22"/>
  <c r="AN395" i="22"/>
  <c r="AM395" i="22"/>
  <c r="AL395" i="22"/>
  <c r="AK395" i="22"/>
  <c r="AO387" i="22"/>
  <c r="AN387" i="22"/>
  <c r="AM387" i="22"/>
  <c r="AL387" i="22"/>
  <c r="AK387" i="22"/>
  <c r="AO379" i="22"/>
  <c r="AN379" i="22"/>
  <c r="AM379" i="22"/>
  <c r="AL379" i="22"/>
  <c r="AK379" i="22"/>
  <c r="AO371" i="22"/>
  <c r="AN371" i="22"/>
  <c r="AM371" i="22"/>
  <c r="AL371" i="22"/>
  <c r="AK371" i="22"/>
  <c r="AO363" i="22"/>
  <c r="AN363" i="22"/>
  <c r="AM363" i="22"/>
  <c r="AL363" i="22"/>
  <c r="AK363" i="22"/>
  <c r="AO355" i="22"/>
  <c r="AN355" i="22"/>
  <c r="AM355" i="22"/>
  <c r="AL355" i="22"/>
  <c r="AK355" i="22"/>
  <c r="AO347" i="22"/>
  <c r="AN347" i="22"/>
  <c r="AM347" i="22"/>
  <c r="AL347" i="22"/>
  <c r="AK347" i="22"/>
  <c r="AO339" i="22"/>
  <c r="AN339" i="22"/>
  <c r="AM339" i="22"/>
  <c r="AL339" i="22"/>
  <c r="AK339" i="22"/>
  <c r="AO331" i="22"/>
  <c r="AN331" i="22"/>
  <c r="AM331" i="22"/>
  <c r="AL331" i="22"/>
  <c r="AK331" i="22"/>
  <c r="AO323" i="22"/>
  <c r="AN323" i="22"/>
  <c r="AM323" i="22"/>
  <c r="AL323" i="22"/>
  <c r="AK323" i="22"/>
  <c r="AO319" i="22"/>
  <c r="AN319" i="22"/>
  <c r="AM319" i="22"/>
  <c r="AL319" i="22"/>
  <c r="AK319" i="22"/>
  <c r="AO307" i="22"/>
  <c r="AN307" i="22"/>
  <c r="AM307" i="22"/>
  <c r="AL307" i="22"/>
  <c r="AK307" i="22"/>
  <c r="AO299" i="22"/>
  <c r="AN299" i="22"/>
  <c r="AM299" i="22"/>
  <c r="AL299" i="22"/>
  <c r="AK299" i="22"/>
  <c r="AO291" i="22"/>
  <c r="AN291" i="22"/>
  <c r="AM291" i="22"/>
  <c r="AL291" i="22"/>
  <c r="AK291" i="22"/>
  <c r="AO283" i="22"/>
  <c r="AN283" i="22"/>
  <c r="AM283" i="22"/>
  <c r="AL283" i="22"/>
  <c r="AK283" i="22"/>
  <c r="AO275" i="22"/>
  <c r="AN275" i="22"/>
  <c r="AM275" i="22"/>
  <c r="AL275" i="22"/>
  <c r="AK275" i="22"/>
  <c r="AO267" i="22"/>
  <c r="AN267" i="22"/>
  <c r="AM267" i="22"/>
  <c r="AL267" i="22"/>
  <c r="AK267" i="22"/>
  <c r="AO259" i="22"/>
  <c r="AN259" i="22"/>
  <c r="AM259" i="22"/>
  <c r="AL259" i="22"/>
  <c r="AK259" i="22"/>
  <c r="AO500" i="22"/>
  <c r="AN500" i="22"/>
  <c r="AM500" i="22"/>
  <c r="AL500" i="22"/>
  <c r="AK500" i="22"/>
  <c r="AO496" i="22"/>
  <c r="AM496" i="22"/>
  <c r="AN496" i="22"/>
  <c r="AL496" i="22"/>
  <c r="AK496" i="22"/>
  <c r="AO492" i="22"/>
  <c r="AN492" i="22"/>
  <c r="AM492" i="22"/>
  <c r="AL492" i="22"/>
  <c r="AK492" i="22"/>
  <c r="AO488" i="22"/>
  <c r="AM488" i="22"/>
  <c r="AN488" i="22"/>
  <c r="AL488" i="22"/>
  <c r="AK488" i="22"/>
  <c r="AO484" i="22"/>
  <c r="AN484" i="22"/>
  <c r="AM484" i="22"/>
  <c r="AL484" i="22"/>
  <c r="AK484" i="22"/>
  <c r="AO480" i="22"/>
  <c r="AM480" i="22"/>
  <c r="AN480" i="22"/>
  <c r="AL480" i="22"/>
  <c r="AK480" i="22"/>
  <c r="AO476" i="22"/>
  <c r="AN476" i="22"/>
  <c r="AM476" i="22"/>
  <c r="AL476" i="22"/>
  <c r="AK476" i="22"/>
  <c r="AO472" i="22"/>
  <c r="AM472" i="22"/>
  <c r="AN472" i="22"/>
  <c r="AL472" i="22"/>
  <c r="AK472" i="22"/>
  <c r="AO468" i="22"/>
  <c r="AN468" i="22"/>
  <c r="AM468" i="22"/>
  <c r="AL468" i="22"/>
  <c r="AK468" i="22"/>
  <c r="AO464" i="22"/>
  <c r="AM464" i="22"/>
  <c r="AN464" i="22"/>
  <c r="AL464" i="22"/>
  <c r="AK464" i="22"/>
  <c r="AO460" i="22"/>
  <c r="AN460" i="22"/>
  <c r="AM460" i="22"/>
  <c r="AL460" i="22"/>
  <c r="AK460" i="22"/>
  <c r="AO456" i="22"/>
  <c r="AM456" i="22"/>
  <c r="AN456" i="22"/>
  <c r="AL456" i="22"/>
  <c r="AK456" i="22"/>
  <c r="AO452" i="22"/>
  <c r="AN452" i="22"/>
  <c r="AM452" i="22"/>
  <c r="AL452" i="22"/>
  <c r="AK452" i="22"/>
  <c r="AO448" i="22"/>
  <c r="AM448" i="22"/>
  <c r="AN448" i="22"/>
  <c r="AL448" i="22"/>
  <c r="AK448" i="22"/>
  <c r="AO444" i="22"/>
  <c r="AN444" i="22"/>
  <c r="AM444" i="22"/>
  <c r="AL444" i="22"/>
  <c r="AK444" i="22"/>
  <c r="AO440" i="22"/>
  <c r="AM440" i="22"/>
  <c r="AN440" i="22"/>
  <c r="AL440" i="22"/>
  <c r="AK440" i="22"/>
  <c r="AO436" i="22"/>
  <c r="AN436" i="22"/>
  <c r="AM436" i="22"/>
  <c r="AL436" i="22"/>
  <c r="AK436" i="22"/>
  <c r="AO432" i="22"/>
  <c r="AM432" i="22"/>
  <c r="AN432" i="22"/>
  <c r="AL432" i="22"/>
  <c r="AK432" i="22"/>
  <c r="AO428" i="22"/>
  <c r="AN428" i="22"/>
  <c r="AM428" i="22"/>
  <c r="AL428" i="22"/>
  <c r="AK428" i="22"/>
  <c r="AO424" i="22"/>
  <c r="AM424" i="22"/>
  <c r="AN424" i="22"/>
  <c r="AL424" i="22"/>
  <c r="AK424" i="22"/>
  <c r="AO420" i="22"/>
  <c r="AN420" i="22"/>
  <c r="AM420" i="22"/>
  <c r="AL420" i="22"/>
  <c r="AK420" i="22"/>
  <c r="AO416" i="22"/>
  <c r="AM416" i="22"/>
  <c r="AN416" i="22"/>
  <c r="AL416" i="22"/>
  <c r="AK416" i="22"/>
  <c r="AO412" i="22"/>
  <c r="AN412" i="22"/>
  <c r="AM412" i="22"/>
  <c r="AL412" i="22"/>
  <c r="AK412" i="22"/>
  <c r="AO408" i="22"/>
  <c r="AM408" i="22"/>
  <c r="AN408" i="22"/>
  <c r="AL408" i="22"/>
  <c r="AK408" i="22"/>
  <c r="AO404" i="22"/>
  <c r="AN404" i="22"/>
  <c r="AM404" i="22"/>
  <c r="AL404" i="22"/>
  <c r="AK404" i="22"/>
  <c r="AO400" i="22"/>
  <c r="AM400" i="22"/>
  <c r="AN400" i="22"/>
  <c r="AL400" i="22"/>
  <c r="AK400" i="22"/>
  <c r="AO396" i="22"/>
  <c r="AN396" i="22"/>
  <c r="AM396" i="22"/>
  <c r="AL396" i="22"/>
  <c r="AK396" i="22"/>
  <c r="AO392" i="22"/>
  <c r="AM392" i="22"/>
  <c r="AN392" i="22"/>
  <c r="AL392" i="22"/>
  <c r="AK392" i="22"/>
  <c r="AO388" i="22"/>
  <c r="AN388" i="22"/>
  <c r="AM388" i="22"/>
  <c r="AL388" i="22"/>
  <c r="AK388" i="22"/>
  <c r="AO384" i="22"/>
  <c r="AM384" i="22"/>
  <c r="AN384" i="22"/>
  <c r="AL384" i="22"/>
  <c r="AK384" i="22"/>
  <c r="AO380" i="22"/>
  <c r="AN380" i="22"/>
  <c r="AM380" i="22"/>
  <c r="AL380" i="22"/>
  <c r="AK380" i="22"/>
  <c r="AO376" i="22"/>
  <c r="AM376" i="22"/>
  <c r="AN376" i="22"/>
  <c r="AL376" i="22"/>
  <c r="AK376" i="22"/>
  <c r="AO372" i="22"/>
  <c r="AN372" i="22"/>
  <c r="AM372" i="22"/>
  <c r="AL372" i="22"/>
  <c r="AK372" i="22"/>
  <c r="AO368" i="22"/>
  <c r="AM368" i="22"/>
  <c r="AN368" i="22"/>
  <c r="AL368" i="22"/>
  <c r="AK368" i="22"/>
  <c r="AO364" i="22"/>
  <c r="AN364" i="22"/>
  <c r="AM364" i="22"/>
  <c r="AL364" i="22"/>
  <c r="AK364" i="22"/>
  <c r="AO360" i="22"/>
  <c r="AM360" i="22"/>
  <c r="AN360" i="22"/>
  <c r="AL360" i="22"/>
  <c r="AK360" i="22"/>
  <c r="AO356" i="22"/>
  <c r="AN356" i="22"/>
  <c r="AM356" i="22"/>
  <c r="AL356" i="22"/>
  <c r="AK356" i="22"/>
  <c r="AO352" i="22"/>
  <c r="AN352" i="22"/>
  <c r="AM352" i="22"/>
  <c r="AL352" i="22"/>
  <c r="AK352" i="22"/>
  <c r="AO348" i="22"/>
  <c r="AN348" i="22"/>
  <c r="AM348" i="22"/>
  <c r="AL348" i="22"/>
  <c r="AK348" i="22"/>
  <c r="AO344" i="22"/>
  <c r="AN344" i="22"/>
  <c r="AM344" i="22"/>
  <c r="AL344" i="22"/>
  <c r="AK344" i="22"/>
  <c r="AO340" i="22"/>
  <c r="AN340" i="22"/>
  <c r="AM340" i="22"/>
  <c r="AL340" i="22"/>
  <c r="AK340" i="22"/>
  <c r="AO336" i="22"/>
  <c r="AN336" i="22"/>
  <c r="AM336" i="22"/>
  <c r="AL336" i="22"/>
  <c r="AK336" i="22"/>
  <c r="AO332" i="22"/>
  <c r="AN332" i="22"/>
  <c r="AM332" i="22"/>
  <c r="AL332" i="22"/>
  <c r="AK332" i="22"/>
  <c r="AO328" i="22"/>
  <c r="AN328" i="22"/>
  <c r="AM328" i="22"/>
  <c r="AL328" i="22"/>
  <c r="AK328" i="22"/>
  <c r="AO324" i="22"/>
  <c r="AN324" i="22"/>
  <c r="AM324" i="22"/>
  <c r="AL324" i="22"/>
  <c r="AK324" i="22"/>
  <c r="AO320" i="22"/>
  <c r="AN320" i="22"/>
  <c r="AM320" i="22"/>
  <c r="AL320" i="22"/>
  <c r="AK320" i="22"/>
  <c r="AO316" i="22"/>
  <c r="AN316" i="22"/>
  <c r="AM316" i="22"/>
  <c r="AL316" i="22"/>
  <c r="AK316" i="22"/>
  <c r="AO312" i="22"/>
  <c r="AN312" i="22"/>
  <c r="AM312" i="22"/>
  <c r="AL312" i="22"/>
  <c r="AK312" i="22"/>
  <c r="AO308" i="22"/>
  <c r="AN308" i="22"/>
  <c r="AM308" i="22"/>
  <c r="AL308" i="22"/>
  <c r="AK308" i="22"/>
  <c r="AO304" i="22"/>
  <c r="AN304" i="22"/>
  <c r="AM304" i="22"/>
  <c r="AL304" i="22"/>
  <c r="AK304" i="22"/>
  <c r="AO300" i="22"/>
  <c r="AN300" i="22"/>
  <c r="AM300" i="22"/>
  <c r="AL300" i="22"/>
  <c r="AK300" i="22"/>
  <c r="AO296" i="22"/>
  <c r="AN296" i="22"/>
  <c r="AM296" i="22"/>
  <c r="AL296" i="22"/>
  <c r="AK296" i="22"/>
  <c r="AO292" i="22"/>
  <c r="AN292" i="22"/>
  <c r="AM292" i="22"/>
  <c r="AL292" i="22"/>
  <c r="AK292" i="22"/>
  <c r="AO288" i="22"/>
  <c r="AN288" i="22"/>
  <c r="AM288" i="22"/>
  <c r="AL288" i="22"/>
  <c r="AK288" i="22"/>
  <c r="AO284" i="22"/>
  <c r="AN284" i="22"/>
  <c r="AM284" i="22"/>
  <c r="AL284" i="22"/>
  <c r="AK284" i="22"/>
  <c r="AO280" i="22"/>
  <c r="AN280" i="22"/>
  <c r="AM280" i="22"/>
  <c r="AL280" i="22"/>
  <c r="AK280" i="22"/>
  <c r="AO276" i="22"/>
  <c r="AN276" i="22"/>
  <c r="AM276" i="22"/>
  <c r="AL276" i="22"/>
  <c r="AK276" i="22"/>
  <c r="AO272" i="22"/>
  <c r="AN272" i="22"/>
  <c r="AM272" i="22"/>
  <c r="AL272" i="22"/>
  <c r="AK272" i="22"/>
  <c r="AO268" i="22"/>
  <c r="AN268" i="22"/>
  <c r="AM268" i="22"/>
  <c r="AL268" i="22"/>
  <c r="AK268" i="22"/>
  <c r="AO264" i="22"/>
  <c r="AN264" i="22"/>
  <c r="AM264" i="22"/>
  <c r="AL264" i="22"/>
  <c r="AK264" i="22"/>
  <c r="AO260" i="22"/>
  <c r="AN260" i="22"/>
  <c r="AM260" i="22"/>
  <c r="AL260" i="22"/>
  <c r="AK260" i="22"/>
  <c r="AO256" i="22"/>
  <c r="AN256" i="22"/>
  <c r="AM256" i="22"/>
  <c r="AL256" i="22"/>
  <c r="AK256" i="22"/>
  <c r="AO252" i="22"/>
  <c r="AN252" i="22"/>
  <c r="AM252" i="22"/>
  <c r="AL252" i="22"/>
  <c r="AK252" i="22"/>
  <c r="AO189" i="22"/>
  <c r="AN189" i="22"/>
  <c r="AM189" i="22"/>
  <c r="AL189" i="22"/>
  <c r="AK189" i="22"/>
  <c r="AO187" i="22"/>
  <c r="AN187" i="22"/>
  <c r="AM187" i="22"/>
  <c r="AL187" i="22"/>
  <c r="AK187" i="22"/>
  <c r="AO185" i="22"/>
  <c r="AN185" i="22"/>
  <c r="AM185" i="22"/>
  <c r="AL185" i="22"/>
  <c r="AK185" i="22"/>
  <c r="AO183" i="22"/>
  <c r="AN183" i="22"/>
  <c r="AM183" i="22"/>
  <c r="AL183" i="22"/>
  <c r="AK183" i="22"/>
  <c r="AO181" i="22"/>
  <c r="AN181" i="22"/>
  <c r="AM181" i="22"/>
  <c r="AL181" i="22"/>
  <c r="AK181" i="22"/>
  <c r="AO179" i="22"/>
  <c r="AN179" i="22"/>
  <c r="AM179" i="22"/>
  <c r="AL179" i="22"/>
  <c r="AK179" i="22"/>
  <c r="AO177" i="22"/>
  <c r="AN177" i="22"/>
  <c r="AM177" i="22"/>
  <c r="AL177" i="22"/>
  <c r="AK177" i="22"/>
  <c r="AO175" i="22"/>
  <c r="AN175" i="22"/>
  <c r="AM175" i="22"/>
  <c r="AL175" i="22"/>
  <c r="AK175" i="22"/>
  <c r="AO173" i="22"/>
  <c r="AN173" i="22"/>
  <c r="AM173" i="22"/>
  <c r="AL173" i="22"/>
  <c r="AK173" i="22"/>
  <c r="AO171" i="22"/>
  <c r="AN171" i="22"/>
  <c r="AM171" i="22"/>
  <c r="AL171" i="22"/>
  <c r="AK171" i="22"/>
  <c r="AO169" i="22"/>
  <c r="AN169" i="22"/>
  <c r="AM169" i="22"/>
  <c r="AL169" i="22"/>
  <c r="AK169" i="22"/>
  <c r="AO167" i="22"/>
  <c r="AN167" i="22"/>
  <c r="AM167" i="22"/>
  <c r="AL167" i="22"/>
  <c r="AK167" i="22"/>
  <c r="AO165" i="22"/>
  <c r="AN165" i="22"/>
  <c r="AM165" i="22"/>
  <c r="AL165" i="22"/>
  <c r="AK165" i="22"/>
  <c r="AO163" i="22"/>
  <c r="AN163" i="22"/>
  <c r="AM163" i="22"/>
  <c r="AL163" i="22"/>
  <c r="AK163" i="22"/>
  <c r="AO161" i="22"/>
  <c r="AN161" i="22"/>
  <c r="AM161" i="22"/>
  <c r="AL161" i="22"/>
  <c r="AK161" i="22"/>
  <c r="AO159" i="22"/>
  <c r="AN159" i="22"/>
  <c r="AM159" i="22"/>
  <c r="AL159" i="22"/>
  <c r="AK159" i="22"/>
  <c r="AO157" i="22"/>
  <c r="AN157" i="22"/>
  <c r="AM157" i="22"/>
  <c r="AL157" i="22"/>
  <c r="AK157" i="22"/>
  <c r="AO155" i="22"/>
  <c r="AN155" i="22"/>
  <c r="AM155" i="22"/>
  <c r="AL155" i="22"/>
  <c r="AK155" i="22"/>
  <c r="AO153" i="22"/>
  <c r="AN153" i="22"/>
  <c r="AM153" i="22"/>
  <c r="AL153" i="22"/>
  <c r="AK153" i="22"/>
  <c r="AO151" i="22"/>
  <c r="AN151" i="22"/>
  <c r="AM151" i="22"/>
  <c r="AL151" i="22"/>
  <c r="AK151" i="22"/>
  <c r="AO149" i="22"/>
  <c r="AN149" i="22"/>
  <c r="AM149" i="22"/>
  <c r="AL149" i="22"/>
  <c r="AK149" i="22"/>
  <c r="AO147" i="22"/>
  <c r="AN147" i="22"/>
  <c r="AM147" i="22"/>
  <c r="AL147" i="22"/>
  <c r="AK147" i="22"/>
  <c r="AO145" i="22"/>
  <c r="AN145" i="22"/>
  <c r="AM145" i="22"/>
  <c r="AL145" i="22"/>
  <c r="AK145" i="22"/>
  <c r="AO143" i="22"/>
  <c r="AN143" i="22"/>
  <c r="AM143" i="22"/>
  <c r="AL143" i="22"/>
  <c r="AK143" i="22"/>
  <c r="AO141" i="22"/>
  <c r="AN141" i="22"/>
  <c r="AM141" i="22"/>
  <c r="AL141" i="22"/>
  <c r="AK141" i="22"/>
  <c r="AO139" i="22"/>
  <c r="AN139" i="22"/>
  <c r="AM139" i="22"/>
  <c r="AL139" i="22"/>
  <c r="AK139" i="22"/>
  <c r="AO137" i="22"/>
  <c r="AN137" i="22"/>
  <c r="AM137" i="22"/>
  <c r="AL137" i="22"/>
  <c r="AK137" i="22"/>
  <c r="AO135" i="22"/>
  <c r="AN135" i="22"/>
  <c r="AM135" i="22"/>
  <c r="AL135" i="22"/>
  <c r="AK135" i="22"/>
  <c r="AO133" i="22"/>
  <c r="AN133" i="22"/>
  <c r="AM133" i="22"/>
  <c r="AL133" i="22"/>
  <c r="AK133" i="22"/>
  <c r="AO131" i="22"/>
  <c r="AN131" i="22"/>
  <c r="AM131" i="22"/>
  <c r="AL131" i="22"/>
  <c r="AK131" i="22"/>
  <c r="AO129" i="22"/>
  <c r="AN129" i="22"/>
  <c r="AM129" i="22"/>
  <c r="AL129" i="22"/>
  <c r="AK129" i="22"/>
  <c r="AO127" i="22"/>
  <c r="AN127" i="22"/>
  <c r="AM127" i="22"/>
  <c r="AL127" i="22"/>
  <c r="AK127" i="22"/>
  <c r="AO125" i="22"/>
  <c r="AN125" i="22"/>
  <c r="AM125" i="22"/>
  <c r="AL125" i="22"/>
  <c r="AK125" i="22"/>
  <c r="AO123" i="22"/>
  <c r="AN123" i="22"/>
  <c r="AM123" i="22"/>
  <c r="AL123" i="22"/>
  <c r="AK123" i="22"/>
  <c r="AO121" i="22"/>
  <c r="AN121" i="22"/>
  <c r="AM121" i="22"/>
  <c r="AL121" i="22"/>
  <c r="AK121" i="22"/>
  <c r="AO119" i="22"/>
  <c r="AN119" i="22"/>
  <c r="AM119" i="22"/>
  <c r="AL119" i="22"/>
  <c r="AK119" i="22"/>
  <c r="AO117" i="22"/>
  <c r="AN117" i="22"/>
  <c r="AM117" i="22"/>
  <c r="AL117" i="22"/>
  <c r="AK117" i="22"/>
  <c r="AO115" i="22"/>
  <c r="AN115" i="22"/>
  <c r="AM115" i="22"/>
  <c r="AL115" i="22"/>
  <c r="AK115" i="22"/>
  <c r="AO113" i="22"/>
  <c r="AN113" i="22"/>
  <c r="AM113" i="22"/>
  <c r="AL113" i="22"/>
  <c r="AK113" i="22"/>
  <c r="AO111" i="22"/>
  <c r="AN111" i="22"/>
  <c r="AM111" i="22"/>
  <c r="AL111" i="22"/>
  <c r="AK111" i="22"/>
  <c r="AO109" i="22"/>
  <c r="AN109" i="22"/>
  <c r="AM109" i="22"/>
  <c r="AL109" i="22"/>
  <c r="AK109" i="22"/>
  <c r="AO107" i="22"/>
  <c r="AN107" i="22"/>
  <c r="AM107" i="22"/>
  <c r="AL107" i="22"/>
  <c r="AK107" i="22"/>
  <c r="AO105" i="22"/>
  <c r="AN105" i="22"/>
  <c r="AM105" i="22"/>
  <c r="AL105" i="22"/>
  <c r="AK105" i="22"/>
  <c r="AO103" i="22"/>
  <c r="AN103" i="22"/>
  <c r="AM103" i="22"/>
  <c r="AL103" i="22"/>
  <c r="AK103" i="22"/>
  <c r="AO101" i="22"/>
  <c r="AN101" i="22"/>
  <c r="AM101" i="22"/>
  <c r="AL101" i="22"/>
  <c r="AK101" i="22"/>
  <c r="AO99" i="22"/>
  <c r="AN99" i="22"/>
  <c r="AM99" i="22"/>
  <c r="AL99" i="22"/>
  <c r="AK99" i="22"/>
  <c r="AO97" i="22"/>
  <c r="AN97" i="22"/>
  <c r="AL97" i="22"/>
  <c r="AM97" i="22"/>
  <c r="AK97" i="22"/>
  <c r="AO95" i="22"/>
  <c r="AN95" i="22"/>
  <c r="AM95" i="22"/>
  <c r="AL95" i="22"/>
  <c r="AK95" i="22"/>
  <c r="AO93" i="22"/>
  <c r="AN93" i="22"/>
  <c r="AM93" i="22"/>
  <c r="AL93" i="22"/>
  <c r="AK93" i="22"/>
  <c r="AO91" i="22"/>
  <c r="AN91" i="22"/>
  <c r="AM91" i="22"/>
  <c r="AL91" i="22"/>
  <c r="AK91" i="22"/>
  <c r="AO89" i="22"/>
  <c r="AN89" i="22"/>
  <c r="AL89" i="22"/>
  <c r="AM89" i="22"/>
  <c r="AK89" i="22"/>
  <c r="AO87" i="22"/>
  <c r="AN87" i="22"/>
  <c r="AM87" i="22"/>
  <c r="AL87" i="22"/>
  <c r="AK87" i="22"/>
  <c r="AO85" i="22"/>
  <c r="AN85" i="22"/>
  <c r="AM85" i="22"/>
  <c r="AL85" i="22"/>
  <c r="AK85" i="22"/>
  <c r="AO83" i="22"/>
  <c r="AM83" i="22"/>
  <c r="AN83" i="22"/>
  <c r="AL83" i="22"/>
  <c r="AK83" i="22"/>
  <c r="AO81" i="22"/>
  <c r="AN81" i="22"/>
  <c r="AM81" i="22"/>
  <c r="AL81" i="22"/>
  <c r="AK81" i="22"/>
  <c r="AO79" i="22"/>
  <c r="AM79" i="22"/>
  <c r="AN79" i="22"/>
  <c r="AL79" i="22"/>
  <c r="AK79" i="22"/>
  <c r="AO77" i="22"/>
  <c r="AN77" i="22"/>
  <c r="AL77" i="22"/>
  <c r="AM77" i="22"/>
  <c r="AK77" i="22"/>
  <c r="AO75" i="22"/>
  <c r="AM75" i="22"/>
  <c r="AN75" i="22"/>
  <c r="AL75" i="22"/>
  <c r="AK75" i="22"/>
  <c r="AO73" i="22"/>
  <c r="AN73" i="22"/>
  <c r="AM73" i="22"/>
  <c r="AL73" i="22"/>
  <c r="AK73" i="22"/>
  <c r="AO71" i="22"/>
  <c r="AN71" i="22"/>
  <c r="AM71" i="22"/>
  <c r="AL71" i="22"/>
  <c r="AK71" i="22"/>
  <c r="AO69" i="22"/>
  <c r="AN69" i="22"/>
  <c r="AM69" i="22"/>
  <c r="AL69" i="22"/>
  <c r="AK69" i="22"/>
  <c r="AO67" i="22"/>
  <c r="AN67" i="22"/>
  <c r="AM67" i="22"/>
  <c r="AL67" i="22"/>
  <c r="AK67" i="22"/>
  <c r="AO65" i="22"/>
  <c r="AN65" i="22"/>
  <c r="AM65" i="22"/>
  <c r="AL65" i="22"/>
  <c r="AK65" i="22"/>
  <c r="AO63" i="22"/>
  <c r="AN63" i="22"/>
  <c r="AM63" i="22"/>
  <c r="AL63" i="22"/>
  <c r="AK63" i="22"/>
  <c r="AO61" i="22"/>
  <c r="AN61" i="22"/>
  <c r="AL61" i="22"/>
  <c r="AM61" i="22"/>
  <c r="AK61" i="22"/>
  <c r="AO59" i="22"/>
  <c r="AN59" i="22"/>
  <c r="AM59" i="22"/>
  <c r="AL59" i="22"/>
  <c r="AK59" i="22"/>
  <c r="AO57" i="22"/>
  <c r="AN57" i="22"/>
  <c r="AM57" i="22"/>
  <c r="AL57" i="22"/>
  <c r="AK57" i="22"/>
  <c r="AO55" i="22"/>
  <c r="AN55" i="22"/>
  <c r="AM55" i="22"/>
  <c r="AL55" i="22"/>
  <c r="AK55" i="22"/>
  <c r="AO53" i="22"/>
  <c r="AN53" i="22"/>
  <c r="AM53" i="22"/>
  <c r="AL53" i="22"/>
  <c r="AK53" i="22"/>
  <c r="AO51" i="22"/>
  <c r="AN51" i="22"/>
  <c r="AM51" i="22"/>
  <c r="AL51" i="22"/>
  <c r="AK51" i="22"/>
  <c r="AO49" i="22"/>
  <c r="AN49" i="22"/>
  <c r="AM49" i="22"/>
  <c r="AL49" i="22"/>
  <c r="AK49" i="22"/>
  <c r="AO47" i="22"/>
  <c r="AN47" i="22"/>
  <c r="AM47" i="22"/>
  <c r="AL47" i="22"/>
  <c r="AK47" i="22"/>
  <c r="AO45" i="22"/>
  <c r="AN45" i="22"/>
  <c r="AL45" i="22"/>
  <c r="AM45" i="22"/>
  <c r="AK45" i="22"/>
  <c r="AO43" i="22"/>
  <c r="AN43" i="22"/>
  <c r="AM43" i="22"/>
  <c r="AL43" i="22"/>
  <c r="AK43" i="22"/>
  <c r="AO41" i="22"/>
  <c r="AN41" i="22"/>
  <c r="AM41" i="22"/>
  <c r="AL41" i="22"/>
  <c r="AK41" i="22"/>
  <c r="AO39" i="22"/>
  <c r="AN39" i="22"/>
  <c r="AM39" i="22"/>
  <c r="AL39" i="22"/>
  <c r="AK39" i="22"/>
  <c r="AO37" i="22"/>
  <c r="AN37" i="22"/>
  <c r="AL37" i="22"/>
  <c r="AM37" i="22"/>
  <c r="AK37" i="22"/>
  <c r="AO35" i="22"/>
  <c r="AN35" i="22"/>
  <c r="AM35" i="22"/>
  <c r="AL35" i="22"/>
  <c r="AK35" i="22"/>
  <c r="AO33" i="22"/>
  <c r="AN33" i="22"/>
  <c r="AM33" i="22"/>
  <c r="AL33" i="22"/>
  <c r="AK33" i="22"/>
  <c r="AO31" i="22"/>
  <c r="AN31" i="22"/>
  <c r="AM31" i="22"/>
  <c r="AL31" i="22"/>
  <c r="AK31" i="22"/>
  <c r="AO29" i="22"/>
  <c r="AN29" i="22"/>
  <c r="AL29" i="22"/>
  <c r="AM29" i="22"/>
  <c r="AK29" i="22"/>
  <c r="AO27" i="22"/>
  <c r="AN27" i="22"/>
  <c r="AM27" i="22"/>
  <c r="AL27" i="22"/>
  <c r="AK27" i="22"/>
  <c r="AO25" i="22"/>
  <c r="AN25" i="22"/>
  <c r="AM25" i="22"/>
  <c r="AL25" i="22"/>
  <c r="AK25" i="22"/>
  <c r="AO23" i="22"/>
  <c r="AN23" i="22"/>
  <c r="AM23" i="22"/>
  <c r="AL23" i="22"/>
  <c r="AK23" i="22"/>
  <c r="AO21" i="22"/>
  <c r="AN21" i="22"/>
  <c r="AL21" i="22"/>
  <c r="AM21" i="22"/>
  <c r="AK21" i="22"/>
  <c r="AO19" i="22"/>
  <c r="AN19" i="22"/>
  <c r="AM19" i="22"/>
  <c r="AL19" i="22"/>
  <c r="AK19" i="22"/>
  <c r="AO17" i="22"/>
  <c r="AN17" i="22"/>
  <c r="AM17" i="22"/>
  <c r="AL17" i="22"/>
  <c r="AK17" i="22"/>
  <c r="AO15" i="22"/>
  <c r="AN15" i="22"/>
  <c r="AM15" i="22"/>
  <c r="AL15" i="22"/>
  <c r="AK15" i="22"/>
  <c r="AO13" i="22"/>
  <c r="AN13" i="22"/>
  <c r="AL13" i="22"/>
  <c r="AM13" i="22"/>
  <c r="AK13" i="22"/>
  <c r="AO11" i="22"/>
  <c r="AN11" i="22"/>
  <c r="AM11" i="22"/>
  <c r="AL11" i="22"/>
  <c r="AK11" i="22"/>
  <c r="AO9" i="22"/>
  <c r="AN9" i="22"/>
  <c r="AM9" i="22"/>
  <c r="AL9" i="22"/>
  <c r="AK9" i="22"/>
  <c r="AO7" i="22"/>
  <c r="AN7" i="22"/>
  <c r="AM7" i="22"/>
  <c r="AL7" i="22"/>
  <c r="AK7" i="22"/>
  <c r="AO5" i="22"/>
  <c r="AN5" i="22"/>
  <c r="AL5" i="22"/>
  <c r="AM5" i="22"/>
  <c r="AK5" i="22"/>
  <c r="AO501" i="22"/>
  <c r="AN501" i="22"/>
  <c r="AM501" i="22"/>
  <c r="AK501" i="22"/>
  <c r="AL501" i="22"/>
  <c r="AO497" i="22"/>
  <c r="AM497" i="22"/>
  <c r="AN497" i="22"/>
  <c r="AK497" i="22"/>
  <c r="AL497" i="22"/>
  <c r="AO493" i="22"/>
  <c r="AN493" i="22"/>
  <c r="AM493" i="22"/>
  <c r="AK493" i="22"/>
  <c r="AL493" i="22"/>
  <c r="AO489" i="22"/>
  <c r="AN489" i="22"/>
  <c r="AM489" i="22"/>
  <c r="AK489" i="22"/>
  <c r="AL489" i="22"/>
  <c r="AO485" i="22"/>
  <c r="AN485" i="22"/>
  <c r="AM485" i="22"/>
  <c r="AK485" i="22"/>
  <c r="AL485" i="22"/>
  <c r="AO481" i="22"/>
  <c r="AM481" i="22"/>
  <c r="AN481" i="22"/>
  <c r="AK481" i="22"/>
  <c r="AL481" i="22"/>
  <c r="AO477" i="22"/>
  <c r="AN477" i="22"/>
  <c r="AM477" i="22"/>
  <c r="AK477" i="22"/>
  <c r="AL477" i="22"/>
  <c r="AO473" i="22"/>
  <c r="AN473" i="22"/>
  <c r="AM473" i="22"/>
  <c r="AK473" i="22"/>
  <c r="AL473" i="22"/>
  <c r="AO469" i="22"/>
  <c r="AN469" i="22"/>
  <c r="AM469" i="22"/>
  <c r="AK469" i="22"/>
  <c r="AL469" i="22"/>
  <c r="AO465" i="22"/>
  <c r="AM465" i="22"/>
  <c r="AN465" i="22"/>
  <c r="AK465" i="22"/>
  <c r="AL465" i="22"/>
  <c r="AO461" i="22"/>
  <c r="AN461" i="22"/>
  <c r="AM461" i="22"/>
  <c r="AK461" i="22"/>
  <c r="AL461" i="22"/>
  <c r="AO457" i="22"/>
  <c r="AN457" i="22"/>
  <c r="AM457" i="22"/>
  <c r="AK457" i="22"/>
  <c r="AL457" i="22"/>
  <c r="AO453" i="22"/>
  <c r="AN453" i="22"/>
  <c r="AM453" i="22"/>
  <c r="AK453" i="22"/>
  <c r="AL453" i="22"/>
  <c r="AO449" i="22"/>
  <c r="AM449" i="22"/>
  <c r="AN449" i="22"/>
  <c r="AK449" i="22"/>
  <c r="AL449" i="22"/>
  <c r="AO445" i="22"/>
  <c r="AN445" i="22"/>
  <c r="AM445" i="22"/>
  <c r="AK445" i="22"/>
  <c r="AL445" i="22"/>
  <c r="AO441" i="22"/>
  <c r="AN441" i="22"/>
  <c r="AM441" i="22"/>
  <c r="AK441" i="22"/>
  <c r="AL441" i="22"/>
  <c r="AO437" i="22"/>
  <c r="AN437" i="22"/>
  <c r="AM437" i="22"/>
  <c r="AL437" i="22"/>
  <c r="AK437" i="22"/>
  <c r="AO433" i="22"/>
  <c r="AM433" i="22"/>
  <c r="AN433" i="22"/>
  <c r="AL433" i="22"/>
  <c r="AK433" i="22"/>
  <c r="AO429" i="22"/>
  <c r="AN429" i="22"/>
  <c r="AM429" i="22"/>
  <c r="AL429" i="22"/>
  <c r="AK429" i="22"/>
  <c r="AO425" i="22"/>
  <c r="AN425" i="22"/>
  <c r="AM425" i="22"/>
  <c r="AL425" i="22"/>
  <c r="AK425" i="22"/>
  <c r="AO421" i="22"/>
  <c r="AN421" i="22"/>
  <c r="AM421" i="22"/>
  <c r="AL421" i="22"/>
  <c r="AK421" i="22"/>
  <c r="AO417" i="22"/>
  <c r="AM417" i="22"/>
  <c r="AN417" i="22"/>
  <c r="AL417" i="22"/>
  <c r="AK417" i="22"/>
  <c r="AO413" i="22"/>
  <c r="AN413" i="22"/>
  <c r="AM413" i="22"/>
  <c r="AL413" i="22"/>
  <c r="AK413" i="22"/>
  <c r="AO409" i="22"/>
  <c r="AN409" i="22"/>
  <c r="AM409" i="22"/>
  <c r="AL409" i="22"/>
  <c r="AK409" i="22"/>
  <c r="AO405" i="22"/>
  <c r="AN405" i="22"/>
  <c r="AM405" i="22"/>
  <c r="AL405" i="22"/>
  <c r="AK405" i="22"/>
  <c r="AO401" i="22"/>
  <c r="AM401" i="22"/>
  <c r="AN401" i="22"/>
  <c r="AL401" i="22"/>
  <c r="AK401" i="22"/>
  <c r="AO397" i="22"/>
  <c r="AN397" i="22"/>
  <c r="AM397" i="22"/>
  <c r="AL397" i="22"/>
  <c r="AK397" i="22"/>
  <c r="AO393" i="22"/>
  <c r="AN393" i="22"/>
  <c r="AM393" i="22"/>
  <c r="AL393" i="22"/>
  <c r="AK393" i="22"/>
  <c r="AO389" i="22"/>
  <c r="AN389" i="22"/>
  <c r="AM389" i="22"/>
  <c r="AL389" i="22"/>
  <c r="AK389" i="22"/>
  <c r="AO385" i="22"/>
  <c r="AM385" i="22"/>
  <c r="AN385" i="22"/>
  <c r="AL385" i="22"/>
  <c r="AK385" i="22"/>
  <c r="AO381" i="22"/>
  <c r="AN381" i="22"/>
  <c r="AM381" i="22"/>
  <c r="AL381" i="22"/>
  <c r="AK381" i="22"/>
  <c r="AO377" i="22"/>
  <c r="AN377" i="22"/>
  <c r="AM377" i="22"/>
  <c r="AL377" i="22"/>
  <c r="AK377" i="22"/>
  <c r="AO373" i="22"/>
  <c r="AN373" i="22"/>
  <c r="AM373" i="22"/>
  <c r="AL373" i="22"/>
  <c r="AK373" i="22"/>
  <c r="AO369" i="22"/>
  <c r="AM369" i="22"/>
  <c r="AN369" i="22"/>
  <c r="AL369" i="22"/>
  <c r="AK369" i="22"/>
  <c r="AO365" i="22"/>
  <c r="AN365" i="22"/>
  <c r="AM365" i="22"/>
  <c r="AL365" i="22"/>
  <c r="AK365" i="22"/>
  <c r="AO361" i="22"/>
  <c r="AN361" i="22"/>
  <c r="AM361" i="22"/>
  <c r="AL361" i="22"/>
  <c r="AK361" i="22"/>
  <c r="AO357" i="22"/>
  <c r="AN357" i="22"/>
  <c r="AM357" i="22"/>
  <c r="AL357" i="22"/>
  <c r="AK357" i="22"/>
  <c r="AO353" i="22"/>
  <c r="AN353" i="22"/>
  <c r="AM353" i="22"/>
  <c r="AL353" i="22"/>
  <c r="AK353" i="22"/>
  <c r="AO349" i="22"/>
  <c r="AN349" i="22"/>
  <c r="AM349" i="22"/>
  <c r="AL349" i="22"/>
  <c r="AK349" i="22"/>
  <c r="AO345" i="22"/>
  <c r="AN345" i="22"/>
  <c r="AM345" i="22"/>
  <c r="AL345" i="22"/>
  <c r="AK345" i="22"/>
  <c r="AO341" i="22"/>
  <c r="AN341" i="22"/>
  <c r="AM341" i="22"/>
  <c r="AL341" i="22"/>
  <c r="AK341" i="22"/>
  <c r="AO337" i="22"/>
  <c r="AN337" i="22"/>
  <c r="AM337" i="22"/>
  <c r="AL337" i="22"/>
  <c r="AK337" i="22"/>
  <c r="AO333" i="22"/>
  <c r="AN333" i="22"/>
  <c r="AM333" i="22"/>
  <c r="AL333" i="22"/>
  <c r="AK333" i="22"/>
  <c r="AO329" i="22"/>
  <c r="AN329" i="22"/>
  <c r="AM329" i="22"/>
  <c r="AL329" i="22"/>
  <c r="AK329" i="22"/>
  <c r="AO325" i="22"/>
  <c r="AN325" i="22"/>
  <c r="AM325" i="22"/>
  <c r="AL325" i="22"/>
  <c r="AK325" i="22"/>
  <c r="AO321" i="22"/>
  <c r="AN321" i="22"/>
  <c r="AM321" i="22"/>
  <c r="AL321" i="22"/>
  <c r="AK321" i="22"/>
  <c r="AO317" i="22"/>
  <c r="AN317" i="22"/>
  <c r="AM317" i="22"/>
  <c r="AL317" i="22"/>
  <c r="AK317" i="22"/>
  <c r="AO313" i="22"/>
  <c r="AN313" i="22"/>
  <c r="AM313" i="22"/>
  <c r="AL313" i="22"/>
  <c r="AK313" i="22"/>
  <c r="AO309" i="22"/>
  <c r="AN309" i="22"/>
  <c r="AM309" i="22"/>
  <c r="AL309" i="22"/>
  <c r="AK309" i="22"/>
  <c r="AO305" i="22"/>
  <c r="AN305" i="22"/>
  <c r="AM305" i="22"/>
  <c r="AL305" i="22"/>
  <c r="AK305" i="22"/>
  <c r="AO301" i="22"/>
  <c r="AN301" i="22"/>
  <c r="AM301" i="22"/>
  <c r="AL301" i="22"/>
  <c r="AK301" i="22"/>
  <c r="AO297" i="22"/>
  <c r="AN297" i="22"/>
  <c r="AM297" i="22"/>
  <c r="AL297" i="22"/>
  <c r="AK297" i="22"/>
  <c r="AO293" i="22"/>
  <c r="AN293" i="22"/>
  <c r="AM293" i="22"/>
  <c r="AL293" i="22"/>
  <c r="AK293" i="22"/>
  <c r="AO289" i="22"/>
  <c r="AN289" i="22"/>
  <c r="AM289" i="22"/>
  <c r="AL289" i="22"/>
  <c r="AK289" i="22"/>
  <c r="AO285" i="22"/>
  <c r="AN285" i="22"/>
  <c r="AM285" i="22"/>
  <c r="AL285" i="22"/>
  <c r="AK285" i="22"/>
  <c r="AO281" i="22"/>
  <c r="AN281" i="22"/>
  <c r="AM281" i="22"/>
  <c r="AL281" i="22"/>
  <c r="AK281" i="22"/>
  <c r="AO277" i="22"/>
  <c r="AN277" i="22"/>
  <c r="AM277" i="22"/>
  <c r="AL277" i="22"/>
  <c r="AK277" i="22"/>
  <c r="AO273" i="22"/>
  <c r="AN273" i="22"/>
  <c r="AM273" i="22"/>
  <c r="AL273" i="22"/>
  <c r="AK273" i="22"/>
  <c r="AO269" i="22"/>
  <c r="AN269" i="22"/>
  <c r="AM269" i="22"/>
  <c r="AL269" i="22"/>
  <c r="AK269" i="22"/>
  <c r="AO265" i="22"/>
  <c r="AN265" i="22"/>
  <c r="AM265" i="22"/>
  <c r="AL265" i="22"/>
  <c r="AK265" i="22"/>
  <c r="AO261" i="22"/>
  <c r="AN261" i="22"/>
  <c r="AM261" i="22"/>
  <c r="AL261" i="22"/>
  <c r="AK261" i="22"/>
  <c r="AO257" i="22"/>
  <c r="AN257" i="22"/>
  <c r="AM257" i="22"/>
  <c r="AL257" i="22"/>
  <c r="AK257" i="22"/>
  <c r="AO253" i="22"/>
  <c r="AN253" i="22"/>
  <c r="AM253" i="22"/>
  <c r="AL253" i="22"/>
  <c r="AK253" i="22"/>
  <c r="AO248" i="22"/>
  <c r="AN248" i="22"/>
  <c r="AM248" i="22"/>
  <c r="AL248" i="22"/>
  <c r="AK248" i="22"/>
  <c r="AO244" i="22"/>
  <c r="AN244" i="22"/>
  <c r="AM244" i="22"/>
  <c r="AL244" i="22"/>
  <c r="AK244" i="22"/>
  <c r="AO240" i="22"/>
  <c r="AN240" i="22"/>
  <c r="AM240" i="22"/>
  <c r="AL240" i="22"/>
  <c r="AK240" i="22"/>
  <c r="AO238" i="22"/>
  <c r="AN238" i="22"/>
  <c r="AM238" i="22"/>
  <c r="AL238" i="22"/>
  <c r="AK238" i="22"/>
  <c r="AO234" i="22"/>
  <c r="AN234" i="22"/>
  <c r="AM234" i="22"/>
  <c r="AL234" i="22"/>
  <c r="AK234" i="22"/>
  <c r="AO230" i="22"/>
  <c r="AN230" i="22"/>
  <c r="AM230" i="22"/>
  <c r="AL230" i="22"/>
  <c r="AK230" i="22"/>
  <c r="AO226" i="22"/>
  <c r="AN226" i="22"/>
  <c r="AM226" i="22"/>
  <c r="AL226" i="22"/>
  <c r="AK226" i="22"/>
  <c r="AO222" i="22"/>
  <c r="AN222" i="22"/>
  <c r="AM222" i="22"/>
  <c r="AL222" i="22"/>
  <c r="AK222" i="22"/>
  <c r="AO218" i="22"/>
  <c r="AN218" i="22"/>
  <c r="AM218" i="22"/>
  <c r="AL218" i="22"/>
  <c r="AK218" i="22"/>
  <c r="AO214" i="22"/>
  <c r="AN214" i="22"/>
  <c r="AM214" i="22"/>
  <c r="AL214" i="22"/>
  <c r="AK214" i="22"/>
  <c r="AO210" i="22"/>
  <c r="AN210" i="22"/>
  <c r="AM210" i="22"/>
  <c r="AL210" i="22"/>
  <c r="AK210" i="22"/>
  <c r="AO206" i="22"/>
  <c r="AN206" i="22"/>
  <c r="AM206" i="22"/>
  <c r="AL206" i="22"/>
  <c r="AK206" i="22"/>
  <c r="AO202" i="22"/>
  <c r="AN202" i="22"/>
  <c r="AM202" i="22"/>
  <c r="AL202" i="22"/>
  <c r="AK202" i="22"/>
  <c r="AO198" i="22"/>
  <c r="AN198" i="22"/>
  <c r="AM198" i="22"/>
  <c r="AL198" i="22"/>
  <c r="AK198" i="22"/>
  <c r="AO194" i="22"/>
  <c r="AN194" i="22"/>
  <c r="AM194" i="22"/>
  <c r="AL194" i="22"/>
  <c r="AK194" i="22"/>
  <c r="AO192" i="22"/>
  <c r="AN192" i="22"/>
  <c r="AM192" i="22"/>
  <c r="AL192" i="22"/>
  <c r="AK192" i="22"/>
  <c r="AO188" i="22"/>
  <c r="AN188" i="22"/>
  <c r="AM188" i="22"/>
  <c r="AL188" i="22"/>
  <c r="AK188" i="22"/>
  <c r="AO184" i="22"/>
  <c r="AN184" i="22"/>
  <c r="AM184" i="22"/>
  <c r="AL184" i="22"/>
  <c r="AK184" i="22"/>
  <c r="AO180" i="22"/>
  <c r="AN180" i="22"/>
  <c r="AM180" i="22"/>
  <c r="AL180" i="22"/>
  <c r="AK180" i="22"/>
  <c r="AO176" i="22"/>
  <c r="AN176" i="22"/>
  <c r="AM176" i="22"/>
  <c r="AL176" i="22"/>
  <c r="AK176" i="22"/>
  <c r="AO170" i="22"/>
  <c r="AN170" i="22"/>
  <c r="AM170" i="22"/>
  <c r="AL170" i="22"/>
  <c r="AK170" i="22"/>
  <c r="AO166" i="22"/>
  <c r="AN166" i="22"/>
  <c r="AM166" i="22"/>
  <c r="AL166" i="22"/>
  <c r="AK166" i="22"/>
  <c r="AO162" i="22"/>
  <c r="AN162" i="22"/>
  <c r="AM162" i="22"/>
  <c r="AL162" i="22"/>
  <c r="AK162" i="22"/>
  <c r="AO158" i="22"/>
  <c r="AN158" i="22"/>
  <c r="AM158" i="22"/>
  <c r="AL158" i="22"/>
  <c r="AK158" i="22"/>
  <c r="AO154" i="22"/>
  <c r="AN154" i="22"/>
  <c r="AM154" i="22"/>
  <c r="AL154" i="22"/>
  <c r="AK154" i="22"/>
  <c r="AO150" i="22"/>
  <c r="AN150" i="22"/>
  <c r="AM150" i="22"/>
  <c r="AL150" i="22"/>
  <c r="AK150" i="22"/>
  <c r="AO144" i="22"/>
  <c r="AN144" i="22"/>
  <c r="AM144" i="22"/>
  <c r="AL144" i="22"/>
  <c r="AK144" i="22"/>
  <c r="AO140" i="22"/>
  <c r="AN140" i="22"/>
  <c r="AM140" i="22"/>
  <c r="AL140" i="22"/>
  <c r="AK140" i="22"/>
  <c r="AO136" i="22"/>
  <c r="AN136" i="22"/>
  <c r="AM136" i="22"/>
  <c r="AL136" i="22"/>
  <c r="AK136" i="22"/>
  <c r="AO134" i="22"/>
  <c r="AN134" i="22"/>
  <c r="AM134" i="22"/>
  <c r="AL134" i="22"/>
  <c r="AK134" i="22"/>
  <c r="AO130" i="22"/>
  <c r="AN130" i="22"/>
  <c r="AM130" i="22"/>
  <c r="AL130" i="22"/>
  <c r="AK130" i="22"/>
  <c r="AO126" i="22"/>
  <c r="AN126" i="22"/>
  <c r="AM126" i="22"/>
  <c r="AL126" i="22"/>
  <c r="AK126" i="22"/>
  <c r="AO120" i="22"/>
  <c r="AN120" i="22"/>
  <c r="AM120" i="22"/>
  <c r="AL120" i="22"/>
  <c r="AK120" i="22"/>
  <c r="AO116" i="22"/>
  <c r="AN116" i="22"/>
  <c r="AM116" i="22"/>
  <c r="AL116" i="22"/>
  <c r="AK116" i="22"/>
  <c r="AO112" i="22"/>
  <c r="AN112" i="22"/>
  <c r="AM112" i="22"/>
  <c r="AL112" i="22"/>
  <c r="AK112" i="22"/>
  <c r="AO108" i="22"/>
  <c r="AN108" i="22"/>
  <c r="AM108" i="22"/>
  <c r="AL108" i="22"/>
  <c r="AK108" i="22"/>
  <c r="AO104" i="22"/>
  <c r="AN104" i="22"/>
  <c r="AM104" i="22"/>
  <c r="AL104" i="22"/>
  <c r="AK104" i="22"/>
  <c r="AO100" i="22"/>
  <c r="AN100" i="22"/>
  <c r="AM100" i="22"/>
  <c r="AL100" i="22"/>
  <c r="AK100" i="22"/>
  <c r="AO96" i="22"/>
  <c r="AN96" i="22"/>
  <c r="AM96" i="22"/>
  <c r="AL96" i="22"/>
  <c r="AK96" i="22"/>
  <c r="AO92" i="22"/>
  <c r="AN92" i="22"/>
  <c r="AM92" i="22"/>
  <c r="AL92" i="22"/>
  <c r="AK92" i="22"/>
  <c r="AO88" i="22"/>
  <c r="AN88" i="22"/>
  <c r="AM88" i="22"/>
  <c r="AL88" i="22"/>
  <c r="AK88" i="22"/>
  <c r="AO84" i="22"/>
  <c r="AN84" i="22"/>
  <c r="AM84" i="22"/>
  <c r="AL84" i="22"/>
  <c r="AK84" i="22"/>
  <c r="AO80" i="22"/>
  <c r="AN80" i="22"/>
  <c r="AM80" i="22"/>
  <c r="AL80" i="22"/>
  <c r="AK80" i="22"/>
  <c r="AO76" i="22"/>
  <c r="AN76" i="22"/>
  <c r="AM76" i="22"/>
  <c r="AL76" i="22"/>
  <c r="AK76" i="22"/>
  <c r="AO72" i="22"/>
  <c r="AN72" i="22"/>
  <c r="AM72" i="22"/>
  <c r="AL72" i="22"/>
  <c r="AK72" i="22"/>
  <c r="AO68" i="22"/>
  <c r="AN68" i="22"/>
  <c r="AM68" i="22"/>
  <c r="AL68" i="22"/>
  <c r="AK68" i="22"/>
  <c r="AO64" i="22"/>
  <c r="AN64" i="22"/>
  <c r="AM64" i="22"/>
  <c r="AL64" i="22"/>
  <c r="AK64" i="22"/>
  <c r="AO62" i="22"/>
  <c r="AN62" i="22"/>
  <c r="AL62" i="22"/>
  <c r="AM62" i="22"/>
  <c r="AK62" i="22"/>
  <c r="AO58" i="22"/>
  <c r="AN58" i="22"/>
  <c r="AM58" i="22"/>
  <c r="AL58" i="22"/>
  <c r="AK58" i="22"/>
  <c r="AO54" i="22"/>
  <c r="AN54" i="22"/>
  <c r="AM54" i="22"/>
  <c r="AL54" i="22"/>
  <c r="AK54" i="22"/>
  <c r="AO50" i="22"/>
  <c r="AN50" i="22"/>
  <c r="AM50" i="22"/>
  <c r="AL50" i="22"/>
  <c r="AK50" i="22"/>
  <c r="AO46" i="22"/>
  <c r="AN46" i="22"/>
  <c r="AL46" i="22"/>
  <c r="AM46" i="22"/>
  <c r="AK46" i="22"/>
  <c r="AO42" i="22"/>
  <c r="AN42" i="22"/>
  <c r="AM42" i="22"/>
  <c r="AL42" i="22"/>
  <c r="AK42" i="22"/>
  <c r="AO38" i="22"/>
  <c r="AN38" i="22"/>
  <c r="AM38" i="22"/>
  <c r="AL38" i="22"/>
  <c r="AK38" i="22"/>
  <c r="AO34" i="22"/>
  <c r="AN34" i="22"/>
  <c r="AM34" i="22"/>
  <c r="AL34" i="22"/>
  <c r="AK34" i="22"/>
  <c r="AO30" i="22"/>
  <c r="AN30" i="22"/>
  <c r="AL30" i="22"/>
  <c r="AM30" i="22"/>
  <c r="AK30" i="22"/>
  <c r="AO26" i="22"/>
  <c r="AN26" i="22"/>
  <c r="AM26" i="22"/>
  <c r="AL26" i="22"/>
  <c r="AK26" i="22"/>
  <c r="AO22" i="22"/>
  <c r="AN22" i="22"/>
  <c r="AM22" i="22"/>
  <c r="AL22" i="22"/>
  <c r="AK22" i="22"/>
  <c r="AO18" i="22"/>
  <c r="AN18" i="22"/>
  <c r="AM18" i="22"/>
  <c r="AL18" i="22"/>
  <c r="AK18" i="22"/>
  <c r="AO14" i="22"/>
  <c r="AN14" i="22"/>
  <c r="AL14" i="22"/>
  <c r="AM14" i="22"/>
  <c r="AK14" i="22"/>
  <c r="AO10" i="22"/>
  <c r="AN10" i="22"/>
  <c r="AM10" i="22"/>
  <c r="AL10" i="22"/>
  <c r="AK10" i="22"/>
  <c r="AO495" i="22"/>
  <c r="AN495" i="22"/>
  <c r="AM495" i="22"/>
  <c r="AL495" i="22"/>
  <c r="AK495" i="22"/>
  <c r="AO487" i="22"/>
  <c r="AN487" i="22"/>
  <c r="AM487" i="22"/>
  <c r="AL487" i="22"/>
  <c r="AK487" i="22"/>
  <c r="AO479" i="22"/>
  <c r="AN479" i="22"/>
  <c r="AM479" i="22"/>
  <c r="AL479" i="22"/>
  <c r="AK479" i="22"/>
  <c r="AO471" i="22"/>
  <c r="AN471" i="22"/>
  <c r="AM471" i="22"/>
  <c r="AL471" i="22"/>
  <c r="AK471" i="22"/>
  <c r="AO467" i="22"/>
  <c r="AN467" i="22"/>
  <c r="AM467" i="22"/>
  <c r="AL467" i="22"/>
  <c r="AK467" i="22"/>
  <c r="AO459" i="22"/>
  <c r="AN459" i="22"/>
  <c r="AM459" i="22"/>
  <c r="AL459" i="22"/>
  <c r="AK459" i="22"/>
  <c r="AO451" i="22"/>
  <c r="AN451" i="22"/>
  <c r="AM451" i="22"/>
  <c r="AL451" i="22"/>
  <c r="AK451" i="22"/>
  <c r="AO439" i="22"/>
  <c r="AN439" i="22"/>
  <c r="AM439" i="22"/>
  <c r="AL439" i="22"/>
  <c r="AK439" i="22"/>
  <c r="AO431" i="22"/>
  <c r="AN431" i="22"/>
  <c r="AM431" i="22"/>
  <c r="AL431" i="22"/>
  <c r="AK431" i="22"/>
  <c r="AO423" i="22"/>
  <c r="AN423" i="22"/>
  <c r="AM423" i="22"/>
  <c r="AL423" i="22"/>
  <c r="AK423" i="22"/>
  <c r="AO415" i="22"/>
  <c r="AN415" i="22"/>
  <c r="AM415" i="22"/>
  <c r="AL415" i="22"/>
  <c r="AK415" i="22"/>
  <c r="AO407" i="22"/>
  <c r="AN407" i="22"/>
  <c r="AM407" i="22"/>
  <c r="AL407" i="22"/>
  <c r="AK407" i="22"/>
  <c r="AO399" i="22"/>
  <c r="AN399" i="22"/>
  <c r="AM399" i="22"/>
  <c r="AL399" i="22"/>
  <c r="AK399" i="22"/>
  <c r="AO391" i="22"/>
  <c r="AN391" i="22"/>
  <c r="AM391" i="22"/>
  <c r="AL391" i="22"/>
  <c r="AK391" i="22"/>
  <c r="AO383" i="22"/>
  <c r="AN383" i="22"/>
  <c r="AM383" i="22"/>
  <c r="AL383" i="22"/>
  <c r="AK383" i="22"/>
  <c r="AO375" i="22"/>
  <c r="AN375" i="22"/>
  <c r="AM375" i="22"/>
  <c r="AL375" i="22"/>
  <c r="AK375" i="22"/>
  <c r="AO367" i="22"/>
  <c r="AN367" i="22"/>
  <c r="AM367" i="22"/>
  <c r="AL367" i="22"/>
  <c r="AK367" i="22"/>
  <c r="AO359" i="22"/>
  <c r="AN359" i="22"/>
  <c r="AM359" i="22"/>
  <c r="AL359" i="22"/>
  <c r="AK359" i="22"/>
  <c r="AO351" i="22"/>
  <c r="AN351" i="22"/>
  <c r="AM351" i="22"/>
  <c r="AL351" i="22"/>
  <c r="AK351" i="22"/>
  <c r="AO343" i="22"/>
  <c r="AN343" i="22"/>
  <c r="AM343" i="22"/>
  <c r="AL343" i="22"/>
  <c r="AK343" i="22"/>
  <c r="AO335" i="22"/>
  <c r="AN335" i="22"/>
  <c r="AM335" i="22"/>
  <c r="AL335" i="22"/>
  <c r="AK335" i="22"/>
  <c r="AO327" i="22"/>
  <c r="AN327" i="22"/>
  <c r="AM327" i="22"/>
  <c r="AL327" i="22"/>
  <c r="AK327" i="22"/>
  <c r="AO315" i="22"/>
  <c r="AN315" i="22"/>
  <c r="AM315" i="22"/>
  <c r="AL315" i="22"/>
  <c r="AK315" i="22"/>
  <c r="AO311" i="22"/>
  <c r="AN311" i="22"/>
  <c r="AM311" i="22"/>
  <c r="AL311" i="22"/>
  <c r="AK311" i="22"/>
  <c r="AO303" i="22"/>
  <c r="AN303" i="22"/>
  <c r="AM303" i="22"/>
  <c r="AL303" i="22"/>
  <c r="AK303" i="22"/>
  <c r="AO295" i="22"/>
  <c r="AN295" i="22"/>
  <c r="AM295" i="22"/>
  <c r="AL295" i="22"/>
  <c r="AK295" i="22"/>
  <c r="AO287" i="22"/>
  <c r="AN287" i="22"/>
  <c r="AM287" i="22"/>
  <c r="AL287" i="22"/>
  <c r="AK287" i="22"/>
  <c r="AO279" i="22"/>
  <c r="AN279" i="22"/>
  <c r="AM279" i="22"/>
  <c r="AL279" i="22"/>
  <c r="AK279" i="22"/>
  <c r="AO271" i="22"/>
  <c r="AN271" i="22"/>
  <c r="AM271" i="22"/>
  <c r="AL271" i="22"/>
  <c r="AK271" i="22"/>
  <c r="AO263" i="22"/>
  <c r="AN263" i="22"/>
  <c r="AM263" i="22"/>
  <c r="AL263" i="22"/>
  <c r="AK263" i="22"/>
  <c r="AO255" i="22"/>
  <c r="AN255" i="22"/>
  <c r="AM255" i="22"/>
  <c r="AL255" i="22"/>
  <c r="AK255" i="22"/>
  <c r="AO251" i="22"/>
  <c r="AN251" i="22"/>
  <c r="AM251" i="22"/>
  <c r="AL251" i="22"/>
  <c r="AK251" i="22"/>
  <c r="AO249" i="22"/>
  <c r="AN249" i="22"/>
  <c r="AM249" i="22"/>
  <c r="AL249" i="22"/>
  <c r="AK249" i="22"/>
  <c r="AO247" i="22"/>
  <c r="AN247" i="22"/>
  <c r="AM247" i="22"/>
  <c r="AL247" i="22"/>
  <c r="AK247" i="22"/>
  <c r="AO245" i="22"/>
  <c r="AN245" i="22"/>
  <c r="AM245" i="22"/>
  <c r="AL245" i="22"/>
  <c r="AK245" i="22"/>
  <c r="AO243" i="22"/>
  <c r="AN243" i="22"/>
  <c r="AM243" i="22"/>
  <c r="AL243" i="22"/>
  <c r="AK243" i="22"/>
  <c r="AO241" i="22"/>
  <c r="AN241" i="22"/>
  <c r="AM241" i="22"/>
  <c r="AL241" i="22"/>
  <c r="AK241" i="22"/>
  <c r="AO239" i="22"/>
  <c r="AN239" i="22"/>
  <c r="AM239" i="22"/>
  <c r="AL239" i="22"/>
  <c r="AK239" i="22"/>
  <c r="AO237" i="22"/>
  <c r="AN237" i="22"/>
  <c r="AM237" i="22"/>
  <c r="AL237" i="22"/>
  <c r="AK237" i="22"/>
  <c r="AO235" i="22"/>
  <c r="AN235" i="22"/>
  <c r="AM235" i="22"/>
  <c r="AL235" i="22"/>
  <c r="AK235" i="22"/>
  <c r="AO233" i="22"/>
  <c r="AN233" i="22"/>
  <c r="AM233" i="22"/>
  <c r="AL233" i="22"/>
  <c r="AK233" i="22"/>
  <c r="AO231" i="22"/>
  <c r="AN231" i="22"/>
  <c r="AM231" i="22"/>
  <c r="AL231" i="22"/>
  <c r="AK231" i="22"/>
  <c r="AO229" i="22"/>
  <c r="AN229" i="22"/>
  <c r="AM229" i="22"/>
  <c r="AL229" i="22"/>
  <c r="AK229" i="22"/>
  <c r="AO227" i="22"/>
  <c r="AN227" i="22"/>
  <c r="AM227" i="22"/>
  <c r="AL227" i="22"/>
  <c r="AK227" i="22"/>
  <c r="AO225" i="22"/>
  <c r="AN225" i="22"/>
  <c r="AM225" i="22"/>
  <c r="AL225" i="22"/>
  <c r="AK225" i="22"/>
  <c r="AO223" i="22"/>
  <c r="AN223" i="22"/>
  <c r="AM223" i="22"/>
  <c r="AL223" i="22"/>
  <c r="AK223" i="22"/>
  <c r="AO221" i="22"/>
  <c r="AN221" i="22"/>
  <c r="AM221" i="22"/>
  <c r="AL221" i="22"/>
  <c r="AK221" i="22"/>
  <c r="AO219" i="22"/>
  <c r="AN219" i="22"/>
  <c r="AM219" i="22"/>
  <c r="AL219" i="22"/>
  <c r="AK219" i="22"/>
  <c r="AO217" i="22"/>
  <c r="AN217" i="22"/>
  <c r="AM217" i="22"/>
  <c r="AL217" i="22"/>
  <c r="AK217" i="22"/>
  <c r="AO215" i="22"/>
  <c r="AN215" i="22"/>
  <c r="AM215" i="22"/>
  <c r="AL215" i="22"/>
  <c r="AK215" i="22"/>
  <c r="AO213" i="22"/>
  <c r="AN213" i="22"/>
  <c r="AM213" i="22"/>
  <c r="AL213" i="22"/>
  <c r="AK213" i="22"/>
  <c r="AO211" i="22"/>
  <c r="AN211" i="22"/>
  <c r="AM211" i="22"/>
  <c r="AL211" i="22"/>
  <c r="AK211" i="22"/>
  <c r="AO209" i="22"/>
  <c r="AN209" i="22"/>
  <c r="AM209" i="22"/>
  <c r="AL209" i="22"/>
  <c r="AK209" i="22"/>
  <c r="AO207" i="22"/>
  <c r="AN207" i="22"/>
  <c r="AM207" i="22"/>
  <c r="AL207" i="22"/>
  <c r="AK207" i="22"/>
  <c r="AO205" i="22"/>
  <c r="AN205" i="22"/>
  <c r="AM205" i="22"/>
  <c r="AL205" i="22"/>
  <c r="AK205" i="22"/>
  <c r="AO203" i="22"/>
  <c r="AN203" i="22"/>
  <c r="AM203" i="22"/>
  <c r="AL203" i="22"/>
  <c r="AK203" i="22"/>
  <c r="AO201" i="22"/>
  <c r="AN201" i="22"/>
  <c r="AM201" i="22"/>
  <c r="AL201" i="22"/>
  <c r="AK201" i="22"/>
  <c r="AO199" i="22"/>
  <c r="AN199" i="22"/>
  <c r="AM199" i="22"/>
  <c r="AL199" i="22"/>
  <c r="AK199" i="22"/>
  <c r="AO197" i="22"/>
  <c r="AN197" i="22"/>
  <c r="AM197" i="22"/>
  <c r="AL197" i="22"/>
  <c r="AK197" i="22"/>
  <c r="AO195" i="22"/>
  <c r="AN195" i="22"/>
  <c r="AM195" i="22"/>
  <c r="AL195" i="22"/>
  <c r="AK195" i="22"/>
  <c r="AO193" i="22"/>
  <c r="AN193" i="22"/>
  <c r="AM193" i="22"/>
  <c r="AL193" i="22"/>
  <c r="AK193" i="22"/>
  <c r="AO191" i="22"/>
  <c r="AN191" i="22"/>
  <c r="AM191" i="22"/>
  <c r="AL191" i="22"/>
  <c r="AK191" i="22"/>
  <c r="AO498" i="22"/>
  <c r="AN498" i="22"/>
  <c r="AM498" i="22"/>
  <c r="AK498" i="22"/>
  <c r="AL498" i="22"/>
  <c r="AO494" i="22"/>
  <c r="AN494" i="22"/>
  <c r="AM494" i="22"/>
  <c r="AK494" i="22"/>
  <c r="AL494" i="22"/>
  <c r="AO490" i="22"/>
  <c r="AN490" i="22"/>
  <c r="AM490" i="22"/>
  <c r="AK490" i="22"/>
  <c r="AL490" i="22"/>
  <c r="AO486" i="22"/>
  <c r="AN486" i="22"/>
  <c r="AM486" i="22"/>
  <c r="AK486" i="22"/>
  <c r="AL486" i="22"/>
  <c r="AO482" i="22"/>
  <c r="AN482" i="22"/>
  <c r="AM482" i="22"/>
  <c r="AK482" i="22"/>
  <c r="AL482" i="22"/>
  <c r="AO478" i="22"/>
  <c r="AN478" i="22"/>
  <c r="AM478" i="22"/>
  <c r="AK478" i="22"/>
  <c r="AL478" i="22"/>
  <c r="AO474" i="22"/>
  <c r="AN474" i="22"/>
  <c r="AM474" i="22"/>
  <c r="AK474" i="22"/>
  <c r="AL474" i="22"/>
  <c r="AO470" i="22"/>
  <c r="AN470" i="22"/>
  <c r="AM470" i="22"/>
  <c r="AK470" i="22"/>
  <c r="AL470" i="22"/>
  <c r="AO466" i="22"/>
  <c r="AN466" i="22"/>
  <c r="AM466" i="22"/>
  <c r="AK466" i="22"/>
  <c r="AL466" i="22"/>
  <c r="AO462" i="22"/>
  <c r="AN462" i="22"/>
  <c r="AM462" i="22"/>
  <c r="AK462" i="22"/>
  <c r="AL462" i="22"/>
  <c r="AO458" i="22"/>
  <c r="AN458" i="22"/>
  <c r="AM458" i="22"/>
  <c r="AK458" i="22"/>
  <c r="AL458" i="22"/>
  <c r="AO454" i="22"/>
  <c r="AN454" i="22"/>
  <c r="AM454" i="22"/>
  <c r="AK454" i="22"/>
  <c r="AL454" i="22"/>
  <c r="AO450" i="22"/>
  <c r="AN450" i="22"/>
  <c r="AM450" i="22"/>
  <c r="AK450" i="22"/>
  <c r="AL450" i="22"/>
  <c r="AO446" i="22"/>
  <c r="AN446" i="22"/>
  <c r="AM446" i="22"/>
  <c r="AK446" i="22"/>
  <c r="AL446" i="22"/>
  <c r="AO442" i="22"/>
  <c r="AN442" i="22"/>
  <c r="AM442" i="22"/>
  <c r="AK442" i="22"/>
  <c r="AL442" i="22"/>
  <c r="AO438" i="22"/>
  <c r="AN438" i="22"/>
  <c r="AM438" i="22"/>
  <c r="AL438" i="22"/>
  <c r="AK438" i="22"/>
  <c r="AO434" i="22"/>
  <c r="AN434" i="22"/>
  <c r="AM434" i="22"/>
  <c r="AL434" i="22"/>
  <c r="AK434" i="22"/>
  <c r="AO430" i="22"/>
  <c r="AN430" i="22"/>
  <c r="AM430" i="22"/>
  <c r="AL430" i="22"/>
  <c r="AK430" i="22"/>
  <c r="AO426" i="22"/>
  <c r="AN426" i="22"/>
  <c r="AM426" i="22"/>
  <c r="AL426" i="22"/>
  <c r="AK426" i="22"/>
  <c r="AO422" i="22"/>
  <c r="AN422" i="22"/>
  <c r="AM422" i="22"/>
  <c r="AL422" i="22"/>
  <c r="AK422" i="22"/>
  <c r="AO418" i="22"/>
  <c r="AN418" i="22"/>
  <c r="AM418" i="22"/>
  <c r="AL418" i="22"/>
  <c r="AK418" i="22"/>
  <c r="AO414" i="22"/>
  <c r="AN414" i="22"/>
  <c r="AM414" i="22"/>
  <c r="AL414" i="22"/>
  <c r="AK414" i="22"/>
  <c r="AO410" i="22"/>
  <c r="AN410" i="22"/>
  <c r="AM410" i="22"/>
  <c r="AL410" i="22"/>
  <c r="AK410" i="22"/>
  <c r="AO406" i="22"/>
  <c r="AN406" i="22"/>
  <c r="AM406" i="22"/>
  <c r="AL406" i="22"/>
  <c r="AK406" i="22"/>
  <c r="AO402" i="22"/>
  <c r="AN402" i="22"/>
  <c r="AM402" i="22"/>
  <c r="AL402" i="22"/>
  <c r="AK402" i="22"/>
  <c r="AO398" i="22"/>
  <c r="AN398" i="22"/>
  <c r="AM398" i="22"/>
  <c r="AL398" i="22"/>
  <c r="AK398" i="22"/>
  <c r="AO394" i="22"/>
  <c r="AN394" i="22"/>
  <c r="AM394" i="22"/>
  <c r="AL394" i="22"/>
  <c r="AK394" i="22"/>
  <c r="AO390" i="22"/>
  <c r="AN390" i="22"/>
  <c r="AM390" i="22"/>
  <c r="AL390" i="22"/>
  <c r="AK390" i="22"/>
  <c r="AO386" i="22"/>
  <c r="AN386" i="22"/>
  <c r="AM386" i="22"/>
  <c r="AL386" i="22"/>
  <c r="AK386" i="22"/>
  <c r="AO382" i="22"/>
  <c r="AN382" i="22"/>
  <c r="AM382" i="22"/>
  <c r="AL382" i="22"/>
  <c r="AK382" i="22"/>
  <c r="AO378" i="22"/>
  <c r="AN378" i="22"/>
  <c r="AM378" i="22"/>
  <c r="AL378" i="22"/>
  <c r="AK378" i="22"/>
  <c r="AO374" i="22"/>
  <c r="AN374" i="22"/>
  <c r="AM374" i="22"/>
  <c r="AL374" i="22"/>
  <c r="AK374" i="22"/>
  <c r="AO370" i="22"/>
  <c r="AN370" i="22"/>
  <c r="AM370" i="22"/>
  <c r="AL370" i="22"/>
  <c r="AK370" i="22"/>
  <c r="AO366" i="22"/>
  <c r="AN366" i="22"/>
  <c r="AM366" i="22"/>
  <c r="AL366" i="22"/>
  <c r="AK366" i="22"/>
  <c r="AO362" i="22"/>
  <c r="AN362" i="22"/>
  <c r="AM362" i="22"/>
  <c r="AL362" i="22"/>
  <c r="AK362" i="22"/>
  <c r="AO358" i="22"/>
  <c r="AN358" i="22"/>
  <c r="AM358" i="22"/>
  <c r="AL358" i="22"/>
  <c r="AK358" i="22"/>
  <c r="AO354" i="22"/>
  <c r="AN354" i="22"/>
  <c r="AM354" i="22"/>
  <c r="AL354" i="22"/>
  <c r="AK354" i="22"/>
  <c r="AO350" i="22"/>
  <c r="AN350" i="22"/>
  <c r="AM350" i="22"/>
  <c r="AL350" i="22"/>
  <c r="AK350" i="22"/>
  <c r="AO346" i="22"/>
  <c r="AN346" i="22"/>
  <c r="AM346" i="22"/>
  <c r="AL346" i="22"/>
  <c r="AK346" i="22"/>
  <c r="AO342" i="22"/>
  <c r="AN342" i="22"/>
  <c r="AM342" i="22"/>
  <c r="AL342" i="22"/>
  <c r="AK342" i="22"/>
  <c r="AO338" i="22"/>
  <c r="AN338" i="22"/>
  <c r="AM338" i="22"/>
  <c r="AL338" i="22"/>
  <c r="AK338" i="22"/>
  <c r="AO334" i="22"/>
  <c r="AN334" i="22"/>
  <c r="AM334" i="22"/>
  <c r="AL334" i="22"/>
  <c r="AK334" i="22"/>
  <c r="AO330" i="22"/>
  <c r="AN330" i="22"/>
  <c r="AM330" i="22"/>
  <c r="AL330" i="22"/>
  <c r="AK330" i="22"/>
  <c r="AO326" i="22"/>
  <c r="AN326" i="22"/>
  <c r="AM326" i="22"/>
  <c r="AL326" i="22"/>
  <c r="AK326" i="22"/>
  <c r="AO322" i="22"/>
  <c r="AN322" i="22"/>
  <c r="AM322" i="22"/>
  <c r="AL322" i="22"/>
  <c r="AK322" i="22"/>
  <c r="AO318" i="22"/>
  <c r="AN318" i="22"/>
  <c r="AM318" i="22"/>
  <c r="AL318" i="22"/>
  <c r="AK318" i="22"/>
  <c r="AO314" i="22"/>
  <c r="AN314" i="22"/>
  <c r="AM314" i="22"/>
  <c r="AL314" i="22"/>
  <c r="AK314" i="22"/>
  <c r="AO310" i="22"/>
  <c r="AN310" i="22"/>
  <c r="AM310" i="22"/>
  <c r="AL310" i="22"/>
  <c r="AK310" i="22"/>
  <c r="AO306" i="22"/>
  <c r="AN306" i="22"/>
  <c r="AM306" i="22"/>
  <c r="AL306" i="22"/>
  <c r="AK306" i="22"/>
  <c r="AO302" i="22"/>
  <c r="AN302" i="22"/>
  <c r="AM302" i="22"/>
  <c r="AL302" i="22"/>
  <c r="AK302" i="22"/>
  <c r="AO298" i="22"/>
  <c r="AN298" i="22"/>
  <c r="AM298" i="22"/>
  <c r="AL298" i="22"/>
  <c r="AK298" i="22"/>
  <c r="AO294" i="22"/>
  <c r="AN294" i="22"/>
  <c r="AM294" i="22"/>
  <c r="AL294" i="22"/>
  <c r="AK294" i="22"/>
  <c r="AO290" i="22"/>
  <c r="AN290" i="22"/>
  <c r="AM290" i="22"/>
  <c r="AL290" i="22"/>
  <c r="AK290" i="22"/>
  <c r="AO286" i="22"/>
  <c r="AN286" i="22"/>
  <c r="AM286" i="22"/>
  <c r="AL286" i="22"/>
  <c r="AK286" i="22"/>
  <c r="AO282" i="22"/>
  <c r="AN282" i="22"/>
  <c r="AM282" i="22"/>
  <c r="AL282" i="22"/>
  <c r="AK282" i="22"/>
  <c r="AO278" i="22"/>
  <c r="AN278" i="22"/>
  <c r="AM278" i="22"/>
  <c r="AL278" i="22"/>
  <c r="AK278" i="22"/>
  <c r="AO274" i="22"/>
  <c r="AN274" i="22"/>
  <c r="AM274" i="22"/>
  <c r="AL274" i="22"/>
  <c r="AK274" i="22"/>
  <c r="AO270" i="22"/>
  <c r="AN270" i="22"/>
  <c r="AM270" i="22"/>
  <c r="AL270" i="22"/>
  <c r="AK270" i="22"/>
  <c r="AO266" i="22"/>
  <c r="AN266" i="22"/>
  <c r="AM266" i="22"/>
  <c r="AL266" i="22"/>
  <c r="AK266" i="22"/>
  <c r="AO262" i="22"/>
  <c r="AN262" i="22"/>
  <c r="AM262" i="22"/>
  <c r="AL262" i="22"/>
  <c r="AK262" i="22"/>
  <c r="AO258" i="22"/>
  <c r="AN258" i="22"/>
  <c r="AM258" i="22"/>
  <c r="AL258" i="22"/>
  <c r="AK258" i="22"/>
  <c r="AO254" i="22"/>
  <c r="AN254" i="22"/>
  <c r="AM254" i="22"/>
  <c r="AL254" i="22"/>
  <c r="AK254" i="22"/>
  <c r="AI250" i="22"/>
  <c r="AH250" i="22"/>
  <c r="AG250" i="22"/>
  <c r="AF250" i="22"/>
  <c r="AI242" i="22"/>
  <c r="AH242" i="22"/>
  <c r="AG242" i="22"/>
  <c r="AF242" i="22"/>
  <c r="AI232" i="22"/>
  <c r="AH232" i="22"/>
  <c r="AG232" i="22"/>
  <c r="AF232" i="22"/>
  <c r="AI224" i="22"/>
  <c r="AH224" i="22"/>
  <c r="AG224" i="22"/>
  <c r="AF224" i="22"/>
  <c r="AI212" i="22"/>
  <c r="AH212" i="22"/>
  <c r="AG212" i="22"/>
  <c r="AF212" i="22"/>
  <c r="AI204" i="22"/>
  <c r="AH204" i="22"/>
  <c r="AG204" i="22"/>
  <c r="AF204" i="22"/>
  <c r="AI196" i="22"/>
  <c r="AH196" i="22"/>
  <c r="AG196" i="22"/>
  <c r="AF196" i="22"/>
  <c r="AI188" i="22"/>
  <c r="AH188" i="22"/>
  <c r="AG188" i="22"/>
  <c r="AF188" i="22"/>
  <c r="AI180" i="22"/>
  <c r="AH180" i="22"/>
  <c r="AG180" i="22"/>
  <c r="AF180" i="22"/>
  <c r="AI172" i="22"/>
  <c r="AH172" i="22"/>
  <c r="AG172" i="22"/>
  <c r="AF172" i="22"/>
  <c r="AI164" i="22"/>
  <c r="AH164" i="22"/>
  <c r="AG164" i="22"/>
  <c r="AF164" i="22"/>
  <c r="AI156" i="22"/>
  <c r="AH156" i="22"/>
  <c r="AG156" i="22"/>
  <c r="AF156" i="22"/>
  <c r="AI148" i="22"/>
  <c r="AH148" i="22"/>
  <c r="AG148" i="22"/>
  <c r="AF148" i="22"/>
  <c r="AI140" i="22"/>
  <c r="AH140" i="22"/>
  <c r="AG140" i="22"/>
  <c r="AF140" i="22"/>
  <c r="AI132" i="22"/>
  <c r="AH132" i="22"/>
  <c r="AG132" i="22"/>
  <c r="AF132" i="22"/>
  <c r="AI126" i="22"/>
  <c r="AH126" i="22"/>
  <c r="AG126" i="22"/>
  <c r="AF126" i="22"/>
  <c r="AI118" i="22"/>
  <c r="AH118" i="22"/>
  <c r="AF118" i="22"/>
  <c r="AG118" i="22"/>
  <c r="AI110" i="22"/>
  <c r="AH110" i="22"/>
  <c r="AF110" i="22"/>
  <c r="AG110" i="22"/>
  <c r="AI102" i="22"/>
  <c r="AH102" i="22"/>
  <c r="AF102" i="22"/>
  <c r="AG102" i="22"/>
  <c r="AH94" i="22"/>
  <c r="AI94" i="22"/>
  <c r="AF94" i="22"/>
  <c r="AG94" i="22"/>
  <c r="AI86" i="22"/>
  <c r="AH86" i="22"/>
  <c r="AF86" i="22"/>
  <c r="AG86" i="22"/>
  <c r="AI76" i="22"/>
  <c r="AG76" i="22"/>
  <c r="AF76" i="22"/>
  <c r="AH76" i="22"/>
  <c r="AI68" i="22"/>
  <c r="AH68" i="22"/>
  <c r="AG68" i="22"/>
  <c r="AF68" i="22"/>
  <c r="AI56" i="22"/>
  <c r="AH56" i="22"/>
  <c r="AG56" i="22"/>
  <c r="AF56" i="22"/>
  <c r="AI48" i="22"/>
  <c r="AH48" i="22"/>
  <c r="AG48" i="22"/>
  <c r="AF48" i="22"/>
  <c r="AI40" i="22"/>
  <c r="AH40" i="22"/>
  <c r="AG40" i="22"/>
  <c r="AF40" i="22"/>
  <c r="AI32" i="22"/>
  <c r="AH32" i="22"/>
  <c r="AG32" i="22"/>
  <c r="AF32" i="22"/>
  <c r="AI20" i="22"/>
  <c r="AH20" i="22"/>
  <c r="AG20" i="22"/>
  <c r="AF20" i="22"/>
  <c r="AI12" i="22"/>
  <c r="AG12" i="22"/>
  <c r="AF12" i="22"/>
  <c r="AH12" i="22"/>
  <c r="AI499" i="22"/>
  <c r="AH499" i="22"/>
  <c r="AF499" i="22"/>
  <c r="AI495" i="22"/>
  <c r="AH495" i="22"/>
  <c r="AF495" i="22"/>
  <c r="AI491" i="22"/>
  <c r="AH491" i="22"/>
  <c r="AF491" i="22"/>
  <c r="AI487" i="22"/>
  <c r="AH487" i="22"/>
  <c r="AF487" i="22"/>
  <c r="AI483" i="22"/>
  <c r="AH483" i="22"/>
  <c r="AF483" i="22"/>
  <c r="AI479" i="22"/>
  <c r="AH479" i="22"/>
  <c r="AF479" i="22"/>
  <c r="AI475" i="22"/>
  <c r="AH475" i="22"/>
  <c r="AF475" i="22"/>
  <c r="AI471" i="22"/>
  <c r="AH471" i="22"/>
  <c r="AF471" i="22"/>
  <c r="AI467" i="22"/>
  <c r="AH467" i="22"/>
  <c r="AF467" i="22"/>
  <c r="AI463" i="22"/>
  <c r="AH463" i="22"/>
  <c r="AF463" i="22"/>
  <c r="AI459" i="22"/>
  <c r="AH459" i="22"/>
  <c r="AF459" i="22"/>
  <c r="AI455" i="22"/>
  <c r="AH455" i="22"/>
  <c r="AF455" i="22"/>
  <c r="AI451" i="22"/>
  <c r="AH451" i="22"/>
  <c r="AF451" i="22"/>
  <c r="AH447" i="22"/>
  <c r="AI447" i="22"/>
  <c r="AF447" i="22"/>
  <c r="AI443" i="22"/>
  <c r="AH443" i="22"/>
  <c r="AF443" i="22"/>
  <c r="AI439" i="22"/>
  <c r="AH439" i="22"/>
  <c r="AF439" i="22"/>
  <c r="AI435" i="22"/>
  <c r="AH435" i="22"/>
  <c r="AF435" i="22"/>
  <c r="AI431" i="22"/>
  <c r="AH431" i="22"/>
  <c r="AF431" i="22"/>
  <c r="AI427" i="22"/>
  <c r="AH427" i="22"/>
  <c r="AF427" i="22"/>
  <c r="AI423" i="22"/>
  <c r="AH423" i="22"/>
  <c r="AF423" i="22"/>
  <c r="AI419" i="22"/>
  <c r="AH419" i="22"/>
  <c r="AF419" i="22"/>
  <c r="AI415" i="22"/>
  <c r="AH415" i="22"/>
  <c r="AF415" i="22"/>
  <c r="AI411" i="22"/>
  <c r="AH411" i="22"/>
  <c r="AF411" i="22"/>
  <c r="AI407" i="22"/>
  <c r="AH407" i="22"/>
  <c r="AF407" i="22"/>
  <c r="AI403" i="22"/>
  <c r="AH403" i="22"/>
  <c r="AF403" i="22"/>
  <c r="AI399" i="22"/>
  <c r="AH399" i="22"/>
  <c r="AF399" i="22"/>
  <c r="AI395" i="22"/>
  <c r="AH395" i="22"/>
  <c r="AF395" i="22"/>
  <c r="AI391" i="22"/>
  <c r="AH391" i="22"/>
  <c r="AF391" i="22"/>
  <c r="AI387" i="22"/>
  <c r="AH387" i="22"/>
  <c r="AF387" i="22"/>
  <c r="AH383" i="22"/>
  <c r="AI383" i="22"/>
  <c r="AF383" i="22"/>
  <c r="AI379" i="22"/>
  <c r="AH379" i="22"/>
  <c r="AF379" i="22"/>
  <c r="AI375" i="22"/>
  <c r="AH375" i="22"/>
  <c r="AF375" i="22"/>
  <c r="AI371" i="22"/>
  <c r="AH371" i="22"/>
  <c r="AF371" i="22"/>
  <c r="AI367" i="22"/>
  <c r="AH367" i="22"/>
  <c r="AF367" i="22"/>
  <c r="AI363" i="22"/>
  <c r="AH363" i="22"/>
  <c r="AF363" i="22"/>
  <c r="AI359" i="22"/>
  <c r="AH359" i="22"/>
  <c r="AF359" i="22"/>
  <c r="AI355" i="22"/>
  <c r="AH355" i="22"/>
  <c r="AF355" i="22"/>
  <c r="AH351" i="22"/>
  <c r="AI351" i="22"/>
  <c r="AF351" i="22"/>
  <c r="AI347" i="22"/>
  <c r="AH347" i="22"/>
  <c r="AF347" i="22"/>
  <c r="AI343" i="22"/>
  <c r="AH343" i="22"/>
  <c r="AF343" i="22"/>
  <c r="AI339" i="22"/>
  <c r="AH339" i="22"/>
  <c r="AF339" i="22"/>
  <c r="AI335" i="22"/>
  <c r="AH335" i="22"/>
  <c r="AF335" i="22"/>
  <c r="AI331" i="22"/>
  <c r="AF331" i="22"/>
  <c r="AH331" i="22"/>
  <c r="AI327" i="22"/>
  <c r="AH327" i="22"/>
  <c r="AF327" i="22"/>
  <c r="AI323" i="22"/>
  <c r="AH323" i="22"/>
  <c r="AF323" i="22"/>
  <c r="AI319" i="22"/>
  <c r="AH319" i="22"/>
  <c r="AF319" i="22"/>
  <c r="AI315" i="22"/>
  <c r="AF315" i="22"/>
  <c r="AH315" i="22"/>
  <c r="AI311" i="22"/>
  <c r="AH311" i="22"/>
  <c r="AF311" i="22"/>
  <c r="AI307" i="22"/>
  <c r="AH307" i="22"/>
  <c r="AF307" i="22"/>
  <c r="AI303" i="22"/>
  <c r="AH303" i="22"/>
  <c r="AF303" i="22"/>
  <c r="AI299" i="22"/>
  <c r="AH299" i="22"/>
  <c r="AF299" i="22"/>
  <c r="AI295" i="22"/>
  <c r="AH295" i="22"/>
  <c r="AF295" i="22"/>
  <c r="AI291" i="22"/>
  <c r="AH291" i="22"/>
  <c r="AF291" i="22"/>
  <c r="AI287" i="22"/>
  <c r="AH287" i="22"/>
  <c r="AF287" i="22"/>
  <c r="AI283" i="22"/>
  <c r="AH283" i="22"/>
  <c r="AF283" i="22"/>
  <c r="AI279" i="22"/>
  <c r="AH279" i="22"/>
  <c r="AF279" i="22"/>
  <c r="AI275" i="22"/>
  <c r="AH275" i="22"/>
  <c r="AF275" i="22"/>
  <c r="AI271" i="22"/>
  <c r="AH271" i="22"/>
  <c r="AF271" i="22"/>
  <c r="AI267" i="22"/>
  <c r="AH267" i="22"/>
  <c r="AF267" i="22"/>
  <c r="AI263" i="22"/>
  <c r="AH263" i="22"/>
  <c r="AF263" i="22"/>
  <c r="AI259" i="22"/>
  <c r="AH259" i="22"/>
  <c r="AF259" i="22"/>
  <c r="AI255" i="22"/>
  <c r="AH255" i="22"/>
  <c r="AF255" i="22"/>
  <c r="AI240" i="22"/>
  <c r="AH240" i="22"/>
  <c r="AG240" i="22"/>
  <c r="AF240" i="22"/>
  <c r="AI234" i="22"/>
  <c r="AH234" i="22"/>
  <c r="AG234" i="22"/>
  <c r="AF234" i="22"/>
  <c r="AI226" i="22"/>
  <c r="AH226" i="22"/>
  <c r="AG226" i="22"/>
  <c r="AF226" i="22"/>
  <c r="AI218" i="22"/>
  <c r="AH218" i="22"/>
  <c r="AG218" i="22"/>
  <c r="AF218" i="22"/>
  <c r="AI208" i="22"/>
  <c r="AH208" i="22"/>
  <c r="AG208" i="22"/>
  <c r="AF208" i="22"/>
  <c r="AI200" i="22"/>
  <c r="AH200" i="22"/>
  <c r="AG200" i="22"/>
  <c r="AF200" i="22"/>
  <c r="AI190" i="22"/>
  <c r="AH190" i="22"/>
  <c r="AG190" i="22"/>
  <c r="AF190" i="22"/>
  <c r="AI182" i="22"/>
  <c r="AH182" i="22"/>
  <c r="AG182" i="22"/>
  <c r="AF182" i="22"/>
  <c r="AI174" i="22"/>
  <c r="AH174" i="22"/>
  <c r="AG174" i="22"/>
  <c r="AF174" i="22"/>
  <c r="AI166" i="22"/>
  <c r="AH166" i="22"/>
  <c r="AG166" i="22"/>
  <c r="AF166" i="22"/>
  <c r="AI158" i="22"/>
  <c r="AH158" i="22"/>
  <c r="AG158" i="22"/>
  <c r="AF158" i="22"/>
  <c r="AI150" i="22"/>
  <c r="AH150" i="22"/>
  <c r="AG150" i="22"/>
  <c r="AF150" i="22"/>
  <c r="AI142" i="22"/>
  <c r="AH142" i="22"/>
  <c r="AG142" i="22"/>
  <c r="AF142" i="22"/>
  <c r="AI138" i="22"/>
  <c r="AH138" i="22"/>
  <c r="AG138" i="22"/>
  <c r="AF138" i="22"/>
  <c r="AI128" i="22"/>
  <c r="AH128" i="22"/>
  <c r="AG128" i="22"/>
  <c r="AF128" i="22"/>
  <c r="AI122" i="22"/>
  <c r="AH122" i="22"/>
  <c r="AF122" i="22"/>
  <c r="AG122" i="22"/>
  <c r="AI112" i="22"/>
  <c r="AH112" i="22"/>
  <c r="AG112" i="22"/>
  <c r="AF112" i="22"/>
  <c r="AI104" i="22"/>
  <c r="AH104" i="22"/>
  <c r="AG104" i="22"/>
  <c r="AF104" i="22"/>
  <c r="AI96" i="22"/>
  <c r="AH96" i="22"/>
  <c r="AG96" i="22"/>
  <c r="AF96" i="22"/>
  <c r="AI88" i="22"/>
  <c r="AH88" i="22"/>
  <c r="AG88" i="22"/>
  <c r="AF88" i="22"/>
  <c r="AH78" i="22"/>
  <c r="AI78" i="22"/>
  <c r="AF78" i="22"/>
  <c r="AG78" i="22"/>
  <c r="AI70" i="22"/>
  <c r="AH70" i="22"/>
  <c r="AF70" i="22"/>
  <c r="AG70" i="22"/>
  <c r="AI60" i="22"/>
  <c r="AG60" i="22"/>
  <c r="AH60" i="22"/>
  <c r="AF60" i="22"/>
  <c r="AI52" i="22"/>
  <c r="AH52" i="22"/>
  <c r="AG52" i="22"/>
  <c r="AF52" i="22"/>
  <c r="AI42" i="22"/>
  <c r="AH42" i="22"/>
  <c r="AF42" i="22"/>
  <c r="AG42" i="22"/>
  <c r="AH34" i="22"/>
  <c r="AI34" i="22"/>
  <c r="AF34" i="22"/>
  <c r="AG34" i="22"/>
  <c r="AI26" i="22"/>
  <c r="AH26" i="22"/>
  <c r="AF26" i="22"/>
  <c r="AG26" i="22"/>
  <c r="AH18" i="22"/>
  <c r="AI18" i="22"/>
  <c r="AF18" i="22"/>
  <c r="AG18" i="22"/>
  <c r="AI6" i="22"/>
  <c r="AH6" i="22"/>
  <c r="AF6" i="22"/>
  <c r="AG6" i="22"/>
  <c r="AI500" i="22"/>
  <c r="AF500" i="22"/>
  <c r="AH500" i="22"/>
  <c r="AI496" i="22"/>
  <c r="AH496" i="22"/>
  <c r="AF496" i="22"/>
  <c r="AI492" i="22"/>
  <c r="AF492" i="22"/>
  <c r="AH492" i="22"/>
  <c r="AI488" i="22"/>
  <c r="AF488" i="22"/>
  <c r="AH488" i="22"/>
  <c r="AI484" i="22"/>
  <c r="AF484" i="22"/>
  <c r="AH484" i="22"/>
  <c r="AI480" i="22"/>
  <c r="AH480" i="22"/>
  <c r="AF480" i="22"/>
  <c r="AI476" i="22"/>
  <c r="AF476" i="22"/>
  <c r="AH476" i="22"/>
  <c r="AI472" i="22"/>
  <c r="AF472" i="22"/>
  <c r="AH472" i="22"/>
  <c r="AI468" i="22"/>
  <c r="AF468" i="22"/>
  <c r="AH468" i="22"/>
  <c r="AI464" i="22"/>
  <c r="AH464" i="22"/>
  <c r="AF464" i="22"/>
  <c r="AI460" i="22"/>
  <c r="AF460" i="22"/>
  <c r="AH460" i="22"/>
  <c r="AI456" i="22"/>
  <c r="AF456" i="22"/>
  <c r="AH456" i="22"/>
  <c r="AI452" i="22"/>
  <c r="AF452" i="22"/>
  <c r="AH452" i="22"/>
  <c r="AI448" i="22"/>
  <c r="AH448" i="22"/>
  <c r="AF448" i="22"/>
  <c r="AI444" i="22"/>
  <c r="AF444" i="22"/>
  <c r="AH444" i="22"/>
  <c r="AI440" i="22"/>
  <c r="AF440" i="22"/>
  <c r="AH440" i="22"/>
  <c r="AI436" i="22"/>
  <c r="AF436" i="22"/>
  <c r="AH436" i="22"/>
  <c r="AI432" i="22"/>
  <c r="AH432" i="22"/>
  <c r="AF432" i="22"/>
  <c r="AI428" i="22"/>
  <c r="AF428" i="22"/>
  <c r="AH428" i="22"/>
  <c r="AI424" i="22"/>
  <c r="AF424" i="22"/>
  <c r="AH424" i="22"/>
  <c r="AI420" i="22"/>
  <c r="AF420" i="22"/>
  <c r="AH420" i="22"/>
  <c r="AI416" i="22"/>
  <c r="AH416" i="22"/>
  <c r="AF416" i="22"/>
  <c r="AI412" i="22"/>
  <c r="AF412" i="22"/>
  <c r="AH412" i="22"/>
  <c r="AI408" i="22"/>
  <c r="AF408" i="22"/>
  <c r="AH408" i="22"/>
  <c r="AI404" i="22"/>
  <c r="AF404" i="22"/>
  <c r="AH404" i="22"/>
  <c r="AI400" i="22"/>
  <c r="AH400" i="22"/>
  <c r="AF400" i="22"/>
  <c r="AI396" i="22"/>
  <c r="AF396" i="22"/>
  <c r="AH396" i="22"/>
  <c r="AI392" i="22"/>
  <c r="AF392" i="22"/>
  <c r="AH392" i="22"/>
  <c r="AI388" i="22"/>
  <c r="AF388" i="22"/>
  <c r="AH388" i="22"/>
  <c r="AI384" i="22"/>
  <c r="AH384" i="22"/>
  <c r="AF384" i="22"/>
  <c r="AI380" i="22"/>
  <c r="AF380" i="22"/>
  <c r="AH380" i="22"/>
  <c r="AI376" i="22"/>
  <c r="AF376" i="22"/>
  <c r="AH376" i="22"/>
  <c r="AI372" i="22"/>
  <c r="AF372" i="22"/>
  <c r="AH372" i="22"/>
  <c r="AI368" i="22"/>
  <c r="AH368" i="22"/>
  <c r="AF368" i="22"/>
  <c r="AI364" i="22"/>
  <c r="AF364" i="22"/>
  <c r="AH364" i="22"/>
  <c r="AI360" i="22"/>
  <c r="AF360" i="22"/>
  <c r="AH360" i="22"/>
  <c r="AI356" i="22"/>
  <c r="AF356" i="22"/>
  <c r="AH356" i="22"/>
  <c r="AI352" i="22"/>
  <c r="AH352" i="22"/>
  <c r="AF352" i="22"/>
  <c r="AI348" i="22"/>
  <c r="AH348" i="22"/>
  <c r="AF348" i="22"/>
  <c r="AI344" i="22"/>
  <c r="AH344" i="22"/>
  <c r="AF344" i="22"/>
  <c r="AI340" i="22"/>
  <c r="AH340" i="22"/>
  <c r="AF340" i="22"/>
  <c r="AI336" i="22"/>
  <c r="AH336" i="22"/>
  <c r="AF336" i="22"/>
  <c r="AI332" i="22"/>
  <c r="AH332" i="22"/>
  <c r="AF332" i="22"/>
  <c r="AI328" i="22"/>
  <c r="AH328" i="22"/>
  <c r="AF328" i="22"/>
  <c r="AI324" i="22"/>
  <c r="AH324" i="22"/>
  <c r="AF324" i="22"/>
  <c r="AI320" i="22"/>
  <c r="AH320" i="22"/>
  <c r="AF320" i="22"/>
  <c r="AI316" i="22"/>
  <c r="AH316" i="22"/>
  <c r="AF316" i="22"/>
  <c r="AI312" i="22"/>
  <c r="AH312" i="22"/>
  <c r="AF312" i="22"/>
  <c r="AI308" i="22"/>
  <c r="AH308" i="22"/>
  <c r="AF308" i="22"/>
  <c r="AI304" i="22"/>
  <c r="AH304" i="22"/>
  <c r="AF304" i="22"/>
  <c r="AI300" i="22"/>
  <c r="AH300" i="22"/>
  <c r="AF300" i="22"/>
  <c r="AI296" i="22"/>
  <c r="AH296" i="22"/>
  <c r="AF296" i="22"/>
  <c r="AI292" i="22"/>
  <c r="AH292" i="22"/>
  <c r="AF292" i="22"/>
  <c r="AI288" i="22"/>
  <c r="AH288" i="22"/>
  <c r="AF288" i="22"/>
  <c r="AI284" i="22"/>
  <c r="AH284" i="22"/>
  <c r="AF284" i="22"/>
  <c r="AI280" i="22"/>
  <c r="AH280" i="22"/>
  <c r="AF280" i="22"/>
  <c r="AI276" i="22"/>
  <c r="AH276" i="22"/>
  <c r="AF276" i="22"/>
  <c r="AI272" i="22"/>
  <c r="AH272" i="22"/>
  <c r="AF272" i="22"/>
  <c r="AI268" i="22"/>
  <c r="AH268" i="22"/>
  <c r="AF268" i="22"/>
  <c r="AI264" i="22"/>
  <c r="AH264" i="22"/>
  <c r="AF264" i="22"/>
  <c r="AI260" i="22"/>
  <c r="AH260" i="22"/>
  <c r="AF260" i="22"/>
  <c r="AI256" i="22"/>
  <c r="AH256" i="22"/>
  <c r="AF256" i="22"/>
  <c r="AI252" i="22"/>
  <c r="AH252" i="22"/>
  <c r="AF252" i="22"/>
  <c r="AI248" i="22"/>
  <c r="AH248" i="22"/>
  <c r="AG248" i="22"/>
  <c r="AF248" i="22"/>
  <c r="AI244" i="22"/>
  <c r="AH244" i="22"/>
  <c r="AG244" i="22"/>
  <c r="AF244" i="22"/>
  <c r="AI236" i="22"/>
  <c r="AH236" i="22"/>
  <c r="AG236" i="22"/>
  <c r="AF236" i="22"/>
  <c r="AI228" i="22"/>
  <c r="AH228" i="22"/>
  <c r="AG228" i="22"/>
  <c r="AF228" i="22"/>
  <c r="AI220" i="22"/>
  <c r="AH220" i="22"/>
  <c r="AG220" i="22"/>
  <c r="AF220" i="22"/>
  <c r="AI214" i="22"/>
  <c r="AH214" i="22"/>
  <c r="AG214" i="22"/>
  <c r="AF214" i="22"/>
  <c r="AI206" i="22"/>
  <c r="AH206" i="22"/>
  <c r="AG206" i="22"/>
  <c r="AF206" i="22"/>
  <c r="AI198" i="22"/>
  <c r="AH198" i="22"/>
  <c r="AG198" i="22"/>
  <c r="AF198" i="22"/>
  <c r="AI192" i="22"/>
  <c r="AH192" i="22"/>
  <c r="AG192" i="22"/>
  <c r="AF192" i="22"/>
  <c r="AI186" i="22"/>
  <c r="AH186" i="22"/>
  <c r="AG186" i="22"/>
  <c r="AF186" i="22"/>
  <c r="AI176" i="22"/>
  <c r="AH176" i="22"/>
  <c r="AG176" i="22"/>
  <c r="AF176" i="22"/>
  <c r="AI168" i="22"/>
  <c r="AH168" i="22"/>
  <c r="AG168" i="22"/>
  <c r="AF168" i="22"/>
  <c r="AI162" i="22"/>
  <c r="AH162" i="22"/>
  <c r="AG162" i="22"/>
  <c r="AF162" i="22"/>
  <c r="AI154" i="22"/>
  <c r="AH154" i="22"/>
  <c r="AG154" i="22"/>
  <c r="AF154" i="22"/>
  <c r="AI146" i="22"/>
  <c r="AH146" i="22"/>
  <c r="AG146" i="22"/>
  <c r="AF146" i="22"/>
  <c r="AI134" i="22"/>
  <c r="AH134" i="22"/>
  <c r="AG134" i="22"/>
  <c r="AF134" i="22"/>
  <c r="AI120" i="22"/>
  <c r="AH120" i="22"/>
  <c r="AG120" i="22"/>
  <c r="AF120" i="22"/>
  <c r="AI114" i="22"/>
  <c r="AH114" i="22"/>
  <c r="AF114" i="22"/>
  <c r="AG114" i="22"/>
  <c r="AI106" i="22"/>
  <c r="AH106" i="22"/>
  <c r="AF106" i="22"/>
  <c r="AG106" i="22"/>
  <c r="AI100" i="22"/>
  <c r="AH100" i="22"/>
  <c r="AG100" i="22"/>
  <c r="AF100" i="22"/>
  <c r="AI92" i="22"/>
  <c r="AH92" i="22"/>
  <c r="AG92" i="22"/>
  <c r="AF92" i="22"/>
  <c r="AI84" i="22"/>
  <c r="AH84" i="22"/>
  <c r="AG84" i="22"/>
  <c r="AF84" i="22"/>
  <c r="AI80" i="22"/>
  <c r="AH80" i="22"/>
  <c r="AG80" i="22"/>
  <c r="AF80" i="22"/>
  <c r="AI72" i="22"/>
  <c r="AH72" i="22"/>
  <c r="AG72" i="22"/>
  <c r="AF72" i="22"/>
  <c r="AI64" i="22"/>
  <c r="AH64" i="22"/>
  <c r="AG64" i="22"/>
  <c r="AF64" i="22"/>
  <c r="AI58" i="22"/>
  <c r="AH58" i="22"/>
  <c r="AF58" i="22"/>
  <c r="AG58" i="22"/>
  <c r="AH50" i="22"/>
  <c r="AI50" i="22"/>
  <c r="AF50" i="22"/>
  <c r="AG50" i="22"/>
  <c r="AI44" i="22"/>
  <c r="AG44" i="22"/>
  <c r="AH44" i="22"/>
  <c r="AF44" i="22"/>
  <c r="AI36" i="22"/>
  <c r="AH36" i="22"/>
  <c r="AG36" i="22"/>
  <c r="AF36" i="22"/>
  <c r="AI28" i="22"/>
  <c r="AH28" i="22"/>
  <c r="AG28" i="22"/>
  <c r="AF28" i="22"/>
  <c r="AI22" i="22"/>
  <c r="AH22" i="22"/>
  <c r="AF22" i="22"/>
  <c r="AG22" i="22"/>
  <c r="AI16" i="22"/>
  <c r="AH16" i="22"/>
  <c r="AG16" i="22"/>
  <c r="AF16" i="22"/>
  <c r="AI10" i="22"/>
  <c r="AH10" i="22"/>
  <c r="AF10" i="22"/>
  <c r="AG10" i="22"/>
  <c r="AI251" i="22"/>
  <c r="AG251" i="22"/>
  <c r="AF251" i="22"/>
  <c r="AH251" i="22"/>
  <c r="AI247" i="22"/>
  <c r="AH247" i="22"/>
  <c r="AG247" i="22"/>
  <c r="AF247" i="22"/>
  <c r="AI243" i="22"/>
  <c r="AH243" i="22"/>
  <c r="AG243" i="22"/>
  <c r="AF243" i="22"/>
  <c r="AI239" i="22"/>
  <c r="AH239" i="22"/>
  <c r="AG239" i="22"/>
  <c r="AF239" i="22"/>
  <c r="AI235" i="22"/>
  <c r="AG235" i="22"/>
  <c r="AH235" i="22"/>
  <c r="AF235" i="22"/>
  <c r="AI231" i="22"/>
  <c r="AH231" i="22"/>
  <c r="AF231" i="22"/>
  <c r="AG231" i="22"/>
  <c r="AI227" i="22"/>
  <c r="AH227" i="22"/>
  <c r="AF227" i="22"/>
  <c r="AG227" i="22"/>
  <c r="AI223" i="22"/>
  <c r="AH223" i="22"/>
  <c r="AG223" i="22"/>
  <c r="AF223" i="22"/>
  <c r="AI219" i="22"/>
  <c r="AH219" i="22"/>
  <c r="AG219" i="22"/>
  <c r="AF219" i="22"/>
  <c r="AI215" i="22"/>
  <c r="AH215" i="22"/>
  <c r="AG215" i="22"/>
  <c r="AF215" i="22"/>
  <c r="AI211" i="22"/>
  <c r="AH211" i="22"/>
  <c r="AF211" i="22"/>
  <c r="AG211" i="22"/>
  <c r="AI207" i="22"/>
  <c r="AH207" i="22"/>
  <c r="AG207" i="22"/>
  <c r="AF207" i="22"/>
  <c r="AI205" i="22"/>
  <c r="AH205" i="22"/>
  <c r="AG205" i="22"/>
  <c r="AF205" i="22"/>
  <c r="AI201" i="22"/>
  <c r="AH201" i="22"/>
  <c r="AG201" i="22"/>
  <c r="AF201" i="22"/>
  <c r="AI197" i="22"/>
  <c r="AH197" i="22"/>
  <c r="AG197" i="22"/>
  <c r="AF197" i="22"/>
  <c r="AI193" i="22"/>
  <c r="AH193" i="22"/>
  <c r="AG193" i="22"/>
  <c r="AF193" i="22"/>
  <c r="AI189" i="22"/>
  <c r="AH189" i="22"/>
  <c r="AG189" i="22"/>
  <c r="AF189" i="22"/>
  <c r="AI185" i="22"/>
  <c r="AH185" i="22"/>
  <c r="AG185" i="22"/>
  <c r="AF185" i="22"/>
  <c r="AI181" i="22"/>
  <c r="AH181" i="22"/>
  <c r="AG181" i="22"/>
  <c r="AF181" i="22"/>
  <c r="AI177" i="22"/>
  <c r="AH177" i="22"/>
  <c r="AG177" i="22"/>
  <c r="AF177" i="22"/>
  <c r="AI173" i="22"/>
  <c r="AH173" i="22"/>
  <c r="AG173" i="22"/>
  <c r="AF173" i="22"/>
  <c r="AI169" i="22"/>
  <c r="AH169" i="22"/>
  <c r="AG169" i="22"/>
  <c r="AF169" i="22"/>
  <c r="AI165" i="22"/>
  <c r="AH165" i="22"/>
  <c r="AG165" i="22"/>
  <c r="AF165" i="22"/>
  <c r="AI161" i="22"/>
  <c r="AH161" i="22"/>
  <c r="AG161" i="22"/>
  <c r="AF161" i="22"/>
  <c r="AI157" i="22"/>
  <c r="AH157" i="22"/>
  <c r="AG157" i="22"/>
  <c r="AF157" i="22"/>
  <c r="AI153" i="22"/>
  <c r="AH153" i="22"/>
  <c r="AG153" i="22"/>
  <c r="AF153" i="22"/>
  <c r="AI149" i="22"/>
  <c r="AH149" i="22"/>
  <c r="AG149" i="22"/>
  <c r="AF149" i="22"/>
  <c r="AI147" i="22"/>
  <c r="AH147" i="22"/>
  <c r="AF147" i="22"/>
  <c r="AG147" i="22"/>
  <c r="AI145" i="22"/>
  <c r="AH145" i="22"/>
  <c r="AG145" i="22"/>
  <c r="AF145" i="22"/>
  <c r="AI143" i="22"/>
  <c r="AH143" i="22"/>
  <c r="AF143" i="22"/>
  <c r="AG143" i="22"/>
  <c r="AI139" i="22"/>
  <c r="AF139" i="22"/>
  <c r="AG139" i="22"/>
  <c r="AH139" i="22"/>
  <c r="AI137" i="22"/>
  <c r="AH137" i="22"/>
  <c r="AG137" i="22"/>
  <c r="AF137" i="22"/>
  <c r="AI135" i="22"/>
  <c r="AF135" i="22"/>
  <c r="AH135" i="22"/>
  <c r="AG135" i="22"/>
  <c r="AI133" i="22"/>
  <c r="AH133" i="22"/>
  <c r="AG133" i="22"/>
  <c r="AF133" i="22"/>
  <c r="AI131" i="22"/>
  <c r="AH131" i="22"/>
  <c r="AF131" i="22"/>
  <c r="AG131" i="22"/>
  <c r="AI129" i="22"/>
  <c r="AH129" i="22"/>
  <c r="AG129" i="22"/>
  <c r="AF129" i="22"/>
  <c r="AI127" i="22"/>
  <c r="AH127" i="22"/>
  <c r="AF127" i="22"/>
  <c r="AG127" i="22"/>
  <c r="AI125" i="22"/>
  <c r="AH125" i="22"/>
  <c r="AG125" i="22"/>
  <c r="AF125" i="22"/>
  <c r="AI123" i="22"/>
  <c r="AF123" i="22"/>
  <c r="AG123" i="22"/>
  <c r="AH123" i="22"/>
  <c r="AI121" i="22"/>
  <c r="AH121" i="22"/>
  <c r="AG121" i="22"/>
  <c r="AF121" i="22"/>
  <c r="AI119" i="22"/>
  <c r="AF119" i="22"/>
  <c r="AH119" i="22"/>
  <c r="AG119" i="22"/>
  <c r="AI117" i="22"/>
  <c r="AH117" i="22"/>
  <c r="AG117" i="22"/>
  <c r="AF117" i="22"/>
  <c r="AI115" i="22"/>
  <c r="AH115" i="22"/>
  <c r="AF115" i="22"/>
  <c r="AG115" i="22"/>
  <c r="AI113" i="22"/>
  <c r="AH113" i="22"/>
  <c r="AG113" i="22"/>
  <c r="AF113" i="22"/>
  <c r="AI111" i="22"/>
  <c r="AH111" i="22"/>
  <c r="AF111" i="22"/>
  <c r="AG111" i="22"/>
  <c r="AI109" i="22"/>
  <c r="AH109" i="22"/>
  <c r="AG109" i="22"/>
  <c r="AF109" i="22"/>
  <c r="AI107" i="22"/>
  <c r="AF107" i="22"/>
  <c r="AG107" i="22"/>
  <c r="AH107" i="22"/>
  <c r="AI105" i="22"/>
  <c r="AH105" i="22"/>
  <c r="AG105" i="22"/>
  <c r="AF105" i="22"/>
  <c r="AI103" i="22"/>
  <c r="AF103" i="22"/>
  <c r="AH103" i="22"/>
  <c r="AG103" i="22"/>
  <c r="AI101" i="22"/>
  <c r="AH101" i="22"/>
  <c r="AG101" i="22"/>
  <c r="AF101" i="22"/>
  <c r="AI99" i="22"/>
  <c r="AH99" i="22"/>
  <c r="AF99" i="22"/>
  <c r="AG99" i="22"/>
  <c r="AI97" i="22"/>
  <c r="AH97" i="22"/>
  <c r="AG97" i="22"/>
  <c r="AF97" i="22"/>
  <c r="AI95" i="22"/>
  <c r="AH95" i="22"/>
  <c r="AF95" i="22"/>
  <c r="AG95" i="22"/>
  <c r="AI93" i="22"/>
  <c r="AH93" i="22"/>
  <c r="AG93" i="22"/>
  <c r="AF93" i="22"/>
  <c r="AI91" i="22"/>
  <c r="AH91" i="22"/>
  <c r="AF91" i="22"/>
  <c r="AG91" i="22"/>
  <c r="AI89" i="22"/>
  <c r="AH89" i="22"/>
  <c r="AG89" i="22"/>
  <c r="AF89" i="22"/>
  <c r="AI87" i="22"/>
  <c r="AH87" i="22"/>
  <c r="AF87" i="22"/>
  <c r="AG87" i="22"/>
  <c r="AI85" i="22"/>
  <c r="AH85" i="22"/>
  <c r="AG85" i="22"/>
  <c r="AF85" i="22"/>
  <c r="AI83" i="22"/>
  <c r="AH83" i="22"/>
  <c r="AF83" i="22"/>
  <c r="AG83" i="22"/>
  <c r="AI81" i="22"/>
  <c r="AH81" i="22"/>
  <c r="AG81" i="22"/>
  <c r="AF81" i="22"/>
  <c r="AI79" i="22"/>
  <c r="AH79" i="22"/>
  <c r="AF79" i="22"/>
  <c r="AG79" i="22"/>
  <c r="AI77" i="22"/>
  <c r="AH77" i="22"/>
  <c r="AG77" i="22"/>
  <c r="AF77" i="22"/>
  <c r="AI75" i="22"/>
  <c r="AH75" i="22"/>
  <c r="AF75" i="22"/>
  <c r="AG75" i="22"/>
  <c r="AI73" i="22"/>
  <c r="AH73" i="22"/>
  <c r="AG73" i="22"/>
  <c r="AF73" i="22"/>
  <c r="AI71" i="22"/>
  <c r="AH71" i="22"/>
  <c r="AF71" i="22"/>
  <c r="AG71" i="22"/>
  <c r="AI69" i="22"/>
  <c r="AH69" i="22"/>
  <c r="AG69" i="22"/>
  <c r="AF69" i="22"/>
  <c r="AI67" i="22"/>
  <c r="AH67" i="22"/>
  <c r="AF67" i="22"/>
  <c r="AG67" i="22"/>
  <c r="AI65" i="22"/>
  <c r="AH65" i="22"/>
  <c r="AG65" i="22"/>
  <c r="AF65" i="22"/>
  <c r="AI63" i="22"/>
  <c r="AH63" i="22"/>
  <c r="AF63" i="22"/>
  <c r="AG63" i="22"/>
  <c r="AI61" i="22"/>
  <c r="AH61" i="22"/>
  <c r="AG61" i="22"/>
  <c r="AF61" i="22"/>
  <c r="AI59" i="22"/>
  <c r="AH59" i="22"/>
  <c r="AF59" i="22"/>
  <c r="AG59" i="22"/>
  <c r="AI57" i="22"/>
  <c r="AH57" i="22"/>
  <c r="AG57" i="22"/>
  <c r="AF57" i="22"/>
  <c r="AI55" i="22"/>
  <c r="AH55" i="22"/>
  <c r="AF55" i="22"/>
  <c r="AG55" i="22"/>
  <c r="AI53" i="22"/>
  <c r="AH53" i="22"/>
  <c r="AG53" i="22"/>
  <c r="AF53" i="22"/>
  <c r="AI51" i="22"/>
  <c r="AH51" i="22"/>
  <c r="AF51" i="22"/>
  <c r="AG51" i="22"/>
  <c r="AI49" i="22"/>
  <c r="AH49" i="22"/>
  <c r="AG49" i="22"/>
  <c r="AF49" i="22"/>
  <c r="AI47" i="22"/>
  <c r="AH47" i="22"/>
  <c r="AF47" i="22"/>
  <c r="AG47" i="22"/>
  <c r="AI45" i="22"/>
  <c r="AH45" i="22"/>
  <c r="AG45" i="22"/>
  <c r="AF45" i="22"/>
  <c r="AI43" i="22"/>
  <c r="AH43" i="22"/>
  <c r="AF43" i="22"/>
  <c r="AG43" i="22"/>
  <c r="AI41" i="22"/>
  <c r="AH41" i="22"/>
  <c r="AG41" i="22"/>
  <c r="AF41" i="22"/>
  <c r="AI39" i="22"/>
  <c r="AH39" i="22"/>
  <c r="AF39" i="22"/>
  <c r="AG39" i="22"/>
  <c r="AI37" i="22"/>
  <c r="AH37" i="22"/>
  <c r="AG37" i="22"/>
  <c r="AF37" i="22"/>
  <c r="AI35" i="22"/>
  <c r="AH35" i="22"/>
  <c r="AF35" i="22"/>
  <c r="AG35" i="22"/>
  <c r="AI33" i="22"/>
  <c r="AH33" i="22"/>
  <c r="AG33" i="22"/>
  <c r="AF33" i="22"/>
  <c r="AI31" i="22"/>
  <c r="AH31" i="22"/>
  <c r="AF31" i="22"/>
  <c r="AG31" i="22"/>
  <c r="AI29" i="22"/>
  <c r="AH29" i="22"/>
  <c r="AG29" i="22"/>
  <c r="AF29" i="22"/>
  <c r="AI27" i="22"/>
  <c r="AH27" i="22"/>
  <c r="AF27" i="22"/>
  <c r="AG27" i="22"/>
  <c r="AI25" i="22"/>
  <c r="AH25" i="22"/>
  <c r="AG25" i="22"/>
  <c r="AF25" i="22"/>
  <c r="AI23" i="22"/>
  <c r="AH23" i="22"/>
  <c r="AF23" i="22"/>
  <c r="AG23" i="22"/>
  <c r="AI21" i="22"/>
  <c r="AH21" i="22"/>
  <c r="AG21" i="22"/>
  <c r="AF21" i="22"/>
  <c r="AI19" i="22"/>
  <c r="AH19" i="22"/>
  <c r="AF19" i="22"/>
  <c r="AG19" i="22"/>
  <c r="AI17" i="22"/>
  <c r="AH17" i="22"/>
  <c r="AG17" i="22"/>
  <c r="AF17" i="22"/>
  <c r="AI15" i="22"/>
  <c r="AH15" i="22"/>
  <c r="AF15" i="22"/>
  <c r="AG15" i="22"/>
  <c r="AI13" i="22"/>
  <c r="AH13" i="22"/>
  <c r="AG13" i="22"/>
  <c r="AF13" i="22"/>
  <c r="AI11" i="22"/>
  <c r="AH11" i="22"/>
  <c r="AF11" i="22"/>
  <c r="AG11" i="22"/>
  <c r="AI9" i="22"/>
  <c r="AH9" i="22"/>
  <c r="AG9" i="22"/>
  <c r="AF9" i="22"/>
  <c r="AI7" i="22"/>
  <c r="AH7" i="22"/>
  <c r="AF7" i="22"/>
  <c r="AG7" i="22"/>
  <c r="AI5" i="22"/>
  <c r="AH5" i="22"/>
  <c r="AG5" i="22"/>
  <c r="AF5" i="22"/>
  <c r="AI501" i="22"/>
  <c r="AH501" i="22"/>
  <c r="AF501" i="22"/>
  <c r="AI497" i="22"/>
  <c r="AH497" i="22"/>
  <c r="AF497" i="22"/>
  <c r="AI493" i="22"/>
  <c r="AH493" i="22"/>
  <c r="AF493" i="22"/>
  <c r="AI489" i="22"/>
  <c r="AH489" i="22"/>
  <c r="AF489" i="22"/>
  <c r="AI485" i="22"/>
  <c r="AH485" i="22"/>
  <c r="AF485" i="22"/>
  <c r="AI481" i="22"/>
  <c r="AH481" i="22"/>
  <c r="AF481" i="22"/>
  <c r="AI477" i="22"/>
  <c r="AH477" i="22"/>
  <c r="AF477" i="22"/>
  <c r="AI473" i="22"/>
  <c r="AH473" i="22"/>
  <c r="AF473" i="22"/>
  <c r="AI469" i="22"/>
  <c r="AH469" i="22"/>
  <c r="AF469" i="22"/>
  <c r="AI465" i="22"/>
  <c r="AH465" i="22"/>
  <c r="AF465" i="22"/>
  <c r="AI461" i="22"/>
  <c r="AH461" i="22"/>
  <c r="AF461" i="22"/>
  <c r="AI457" i="22"/>
  <c r="AH457" i="22"/>
  <c r="AF457" i="22"/>
  <c r="AI453" i="22"/>
  <c r="AH453" i="22"/>
  <c r="AF453" i="22"/>
  <c r="AI449" i="22"/>
  <c r="AH449" i="22"/>
  <c r="AF449" i="22"/>
  <c r="AI445" i="22"/>
  <c r="AH445" i="22"/>
  <c r="AF445" i="22"/>
  <c r="AI441" i="22"/>
  <c r="AH441" i="22"/>
  <c r="AF441" i="22"/>
  <c r="AI437" i="22"/>
  <c r="AH437" i="22"/>
  <c r="AF437" i="22"/>
  <c r="AI433" i="22"/>
  <c r="AH433" i="22"/>
  <c r="AF433" i="22"/>
  <c r="AI429" i="22"/>
  <c r="AH429" i="22"/>
  <c r="AF429" i="22"/>
  <c r="AI425" i="22"/>
  <c r="AH425" i="22"/>
  <c r="AF425" i="22"/>
  <c r="AI421" i="22"/>
  <c r="AH421" i="22"/>
  <c r="AF421" i="22"/>
  <c r="AI417" i="22"/>
  <c r="AH417" i="22"/>
  <c r="AF417" i="22"/>
  <c r="AI413" i="22"/>
  <c r="AH413" i="22"/>
  <c r="AF413" i="22"/>
  <c r="AI409" i="22"/>
  <c r="AH409" i="22"/>
  <c r="AF409" i="22"/>
  <c r="AI405" i="22"/>
  <c r="AH405" i="22"/>
  <c r="AF405" i="22"/>
  <c r="AI401" i="22"/>
  <c r="AH401" i="22"/>
  <c r="AF401" i="22"/>
  <c r="AI397" i="22"/>
  <c r="AH397" i="22"/>
  <c r="AF397" i="22"/>
  <c r="AI393" i="22"/>
  <c r="AH393" i="22"/>
  <c r="AF393" i="22"/>
  <c r="AI389" i="22"/>
  <c r="AH389" i="22"/>
  <c r="AF389" i="22"/>
  <c r="AI385" i="22"/>
  <c r="AH385" i="22"/>
  <c r="AF385" i="22"/>
  <c r="AI381" i="22"/>
  <c r="AH381" i="22"/>
  <c r="AF381" i="22"/>
  <c r="AI377" i="22"/>
  <c r="AH377" i="22"/>
  <c r="AF377" i="22"/>
  <c r="AI373" i="22"/>
  <c r="AH373" i="22"/>
  <c r="AF373" i="22"/>
  <c r="AI369" i="22"/>
  <c r="AH369" i="22"/>
  <c r="AF369" i="22"/>
  <c r="AI365" i="22"/>
  <c r="AH365" i="22"/>
  <c r="AF365" i="22"/>
  <c r="AI361" i="22"/>
  <c r="AH361" i="22"/>
  <c r="AF361" i="22"/>
  <c r="AI357" i="22"/>
  <c r="AH357" i="22"/>
  <c r="AF357" i="22"/>
  <c r="AI353" i="22"/>
  <c r="AH353" i="22"/>
  <c r="AF353" i="22"/>
  <c r="AI349" i="22"/>
  <c r="AH349" i="22"/>
  <c r="AF349" i="22"/>
  <c r="AI345" i="22"/>
  <c r="AH345" i="22"/>
  <c r="AF345" i="22"/>
  <c r="AI341" i="22"/>
  <c r="AH341" i="22"/>
  <c r="AF341" i="22"/>
  <c r="AI337" i="22"/>
  <c r="AH337" i="22"/>
  <c r="AF337" i="22"/>
  <c r="AI333" i="22"/>
  <c r="AH333" i="22"/>
  <c r="AF333" i="22"/>
  <c r="AI329" i="22"/>
  <c r="AH329" i="22"/>
  <c r="AF329" i="22"/>
  <c r="AI325" i="22"/>
  <c r="AH325" i="22"/>
  <c r="AF325" i="22"/>
  <c r="AI321" i="22"/>
  <c r="AH321" i="22"/>
  <c r="AF321" i="22"/>
  <c r="AI317" i="22"/>
  <c r="AH317" i="22"/>
  <c r="AF317" i="22"/>
  <c r="AI313" i="22"/>
  <c r="AH313" i="22"/>
  <c r="AF313" i="22"/>
  <c r="AI309" i="22"/>
  <c r="AH309" i="22"/>
  <c r="AF309" i="22"/>
  <c r="AI305" i="22"/>
  <c r="AH305" i="22"/>
  <c r="AF305" i="22"/>
  <c r="AI301" i="22"/>
  <c r="AH301" i="22"/>
  <c r="AF301" i="22"/>
  <c r="AI297" i="22"/>
  <c r="AH297" i="22"/>
  <c r="AF297" i="22"/>
  <c r="AI293" i="22"/>
  <c r="AH293" i="22"/>
  <c r="AF293" i="22"/>
  <c r="AI289" i="22"/>
  <c r="AH289" i="22"/>
  <c r="AF289" i="22"/>
  <c r="AI285" i="22"/>
  <c r="AH285" i="22"/>
  <c r="AF285" i="22"/>
  <c r="AI281" i="22"/>
  <c r="AH281" i="22"/>
  <c r="AF281" i="22"/>
  <c r="AI277" i="22"/>
  <c r="AH277" i="22"/>
  <c r="AF277" i="22"/>
  <c r="AI273" i="22"/>
  <c r="AH273" i="22"/>
  <c r="AF273" i="22"/>
  <c r="AI269" i="22"/>
  <c r="AH269" i="22"/>
  <c r="AF269" i="22"/>
  <c r="AI265" i="22"/>
  <c r="AH265" i="22"/>
  <c r="AF265" i="22"/>
  <c r="AI261" i="22"/>
  <c r="AH261" i="22"/>
  <c r="AF261" i="22"/>
  <c r="AI257" i="22"/>
  <c r="AH257" i="22"/>
  <c r="AF257" i="22"/>
  <c r="AI253" i="22"/>
  <c r="AH253" i="22"/>
  <c r="AF253" i="22"/>
  <c r="AI246" i="22"/>
  <c r="AH246" i="22"/>
  <c r="AG246" i="22"/>
  <c r="AF246" i="22"/>
  <c r="AI238" i="22"/>
  <c r="AH238" i="22"/>
  <c r="AG238" i="22"/>
  <c r="AF238" i="22"/>
  <c r="AI230" i="22"/>
  <c r="AH230" i="22"/>
  <c r="AG230" i="22"/>
  <c r="AF230" i="22"/>
  <c r="AI222" i="22"/>
  <c r="AH222" i="22"/>
  <c r="AG222" i="22"/>
  <c r="AF222" i="22"/>
  <c r="AI216" i="22"/>
  <c r="AH216" i="22"/>
  <c r="AG216" i="22"/>
  <c r="AF216" i="22"/>
  <c r="AI210" i="22"/>
  <c r="AH210" i="22"/>
  <c r="AG210" i="22"/>
  <c r="AF210" i="22"/>
  <c r="AI202" i="22"/>
  <c r="AH202" i="22"/>
  <c r="AG202" i="22"/>
  <c r="AF202" i="22"/>
  <c r="AH194" i="22"/>
  <c r="AI194" i="22"/>
  <c r="AG194" i="22"/>
  <c r="AF194" i="22"/>
  <c r="AI184" i="22"/>
  <c r="AH184" i="22"/>
  <c r="AG184" i="22"/>
  <c r="AF184" i="22"/>
  <c r="AI178" i="22"/>
  <c r="AH178" i="22"/>
  <c r="AG178" i="22"/>
  <c r="AF178" i="22"/>
  <c r="AI170" i="22"/>
  <c r="AH170" i="22"/>
  <c r="AG170" i="22"/>
  <c r="AF170" i="22"/>
  <c r="AI160" i="22"/>
  <c r="AH160" i="22"/>
  <c r="AG160" i="22"/>
  <c r="AF160" i="22"/>
  <c r="AI152" i="22"/>
  <c r="AH152" i="22"/>
  <c r="AG152" i="22"/>
  <c r="AF152" i="22"/>
  <c r="AI144" i="22"/>
  <c r="AH144" i="22"/>
  <c r="AG144" i="22"/>
  <c r="AF144" i="22"/>
  <c r="AI136" i="22"/>
  <c r="AH136" i="22"/>
  <c r="AG136" i="22"/>
  <c r="AF136" i="22"/>
  <c r="AH130" i="22"/>
  <c r="AI130" i="22"/>
  <c r="AG130" i="22"/>
  <c r="AF130" i="22"/>
  <c r="AI124" i="22"/>
  <c r="AH124" i="22"/>
  <c r="AG124" i="22"/>
  <c r="AF124" i="22"/>
  <c r="AI116" i="22"/>
  <c r="AH116" i="22"/>
  <c r="AG116" i="22"/>
  <c r="AF116" i="22"/>
  <c r="AI108" i="22"/>
  <c r="AH108" i="22"/>
  <c r="AG108" i="22"/>
  <c r="AF108" i="22"/>
  <c r="AI98" i="22"/>
  <c r="AH98" i="22"/>
  <c r="AF98" i="22"/>
  <c r="AG98" i="22"/>
  <c r="AI90" i="22"/>
  <c r="AH90" i="22"/>
  <c r="AF90" i="22"/>
  <c r="AG90" i="22"/>
  <c r="AH82" i="22"/>
  <c r="AI82" i="22"/>
  <c r="AF82" i="22"/>
  <c r="AG82" i="22"/>
  <c r="AI74" i="22"/>
  <c r="AH74" i="22"/>
  <c r="AF74" i="22"/>
  <c r="AG74" i="22"/>
  <c r="AH66" i="22"/>
  <c r="AI66" i="22"/>
  <c r="AF66" i="22"/>
  <c r="AG66" i="22"/>
  <c r="AH62" i="22"/>
  <c r="AI62" i="22"/>
  <c r="AF62" i="22"/>
  <c r="AG62" i="22"/>
  <c r="AI54" i="22"/>
  <c r="AH54" i="22"/>
  <c r="AF54" i="22"/>
  <c r="AG54" i="22"/>
  <c r="AH46" i="22"/>
  <c r="AI46" i="22"/>
  <c r="AF46" i="22"/>
  <c r="AG46" i="22"/>
  <c r="AI38" i="22"/>
  <c r="AH38" i="22"/>
  <c r="AF38" i="22"/>
  <c r="AG38" i="22"/>
  <c r="AH30" i="22"/>
  <c r="AI30" i="22"/>
  <c r="AF30" i="22"/>
  <c r="AG30" i="22"/>
  <c r="AI24" i="22"/>
  <c r="AH24" i="22"/>
  <c r="AG24" i="22"/>
  <c r="AF24" i="22"/>
  <c r="AH14" i="22"/>
  <c r="AI14" i="22"/>
  <c r="AF14" i="22"/>
  <c r="AG14" i="22"/>
  <c r="AI8" i="22"/>
  <c r="AH8" i="22"/>
  <c r="AG8" i="22"/>
  <c r="AF8" i="22"/>
  <c r="AI249" i="22"/>
  <c r="AH249" i="22"/>
  <c r="AG249" i="22"/>
  <c r="AF249" i="22"/>
  <c r="AI245" i="22"/>
  <c r="AH245" i="22"/>
  <c r="AG245" i="22"/>
  <c r="AF245" i="22"/>
  <c r="AI241" i="22"/>
  <c r="AH241" i="22"/>
  <c r="AG241" i="22"/>
  <c r="AF241" i="22"/>
  <c r="AI237" i="22"/>
  <c r="AH237" i="22"/>
  <c r="AG237" i="22"/>
  <c r="AF237" i="22"/>
  <c r="AI233" i="22"/>
  <c r="AH233" i="22"/>
  <c r="AG233" i="22"/>
  <c r="AF233" i="22"/>
  <c r="AI229" i="22"/>
  <c r="AH229" i="22"/>
  <c r="AG229" i="22"/>
  <c r="AF229" i="22"/>
  <c r="AI225" i="22"/>
  <c r="AH225" i="22"/>
  <c r="AG225" i="22"/>
  <c r="AF225" i="22"/>
  <c r="AI221" i="22"/>
  <c r="AH221" i="22"/>
  <c r="AG221" i="22"/>
  <c r="AF221" i="22"/>
  <c r="AI217" i="22"/>
  <c r="AH217" i="22"/>
  <c r="AG217" i="22"/>
  <c r="AF217" i="22"/>
  <c r="AI213" i="22"/>
  <c r="AH213" i="22"/>
  <c r="AG213" i="22"/>
  <c r="AF213" i="22"/>
  <c r="AI209" i="22"/>
  <c r="AH209" i="22"/>
  <c r="AG209" i="22"/>
  <c r="AF209" i="22"/>
  <c r="AI203" i="22"/>
  <c r="AG203" i="22"/>
  <c r="AH203" i="22"/>
  <c r="AF203" i="22"/>
  <c r="AI199" i="22"/>
  <c r="AH199" i="22"/>
  <c r="AF199" i="22"/>
  <c r="AG199" i="22"/>
  <c r="AI195" i="22"/>
  <c r="AH195" i="22"/>
  <c r="AF195" i="22"/>
  <c r="AG195" i="22"/>
  <c r="AI191" i="22"/>
  <c r="AH191" i="22"/>
  <c r="AG191" i="22"/>
  <c r="AF191" i="22"/>
  <c r="AI187" i="22"/>
  <c r="AF187" i="22"/>
  <c r="AG187" i="22"/>
  <c r="AH187" i="22"/>
  <c r="AI183" i="22"/>
  <c r="AF183" i="22"/>
  <c r="AH183" i="22"/>
  <c r="AG183" i="22"/>
  <c r="AI179" i="22"/>
  <c r="AH179" i="22"/>
  <c r="AF179" i="22"/>
  <c r="AG179" i="22"/>
  <c r="AI175" i="22"/>
  <c r="AH175" i="22"/>
  <c r="AF175" i="22"/>
  <c r="AG175" i="22"/>
  <c r="AI171" i="22"/>
  <c r="AF171" i="22"/>
  <c r="AG171" i="22"/>
  <c r="AH171" i="22"/>
  <c r="AI167" i="22"/>
  <c r="AF167" i="22"/>
  <c r="AH167" i="22"/>
  <c r="AG167" i="22"/>
  <c r="AI163" i="22"/>
  <c r="AH163" i="22"/>
  <c r="AF163" i="22"/>
  <c r="AG163" i="22"/>
  <c r="AI159" i="22"/>
  <c r="AH159" i="22"/>
  <c r="AF159" i="22"/>
  <c r="AG159" i="22"/>
  <c r="AI155" i="22"/>
  <c r="AF155" i="22"/>
  <c r="AH155" i="22"/>
  <c r="AG155" i="22"/>
  <c r="AI151" i="22"/>
  <c r="AF151" i="22"/>
  <c r="AH151" i="22"/>
  <c r="AG151" i="22"/>
  <c r="AI141" i="22"/>
  <c r="AH141" i="22"/>
  <c r="AG141" i="22"/>
  <c r="AF141" i="22"/>
  <c r="AI498" i="22"/>
  <c r="AH498" i="22"/>
  <c r="AF498" i="22"/>
  <c r="AI494" i="22"/>
  <c r="AH494" i="22"/>
  <c r="AF494" i="22"/>
  <c r="AI490" i="22"/>
  <c r="AH490" i="22"/>
  <c r="AF490" i="22"/>
  <c r="AI486" i="22"/>
  <c r="AH486" i="22"/>
  <c r="AF486" i="22"/>
  <c r="AI482" i="22"/>
  <c r="AH482" i="22"/>
  <c r="AF482" i="22"/>
  <c r="AI478" i="22"/>
  <c r="AH478" i="22"/>
  <c r="AF478" i="22"/>
  <c r="AI474" i="22"/>
  <c r="AH474" i="22"/>
  <c r="AF474" i="22"/>
  <c r="AI470" i="22"/>
  <c r="AH470" i="22"/>
  <c r="AF470" i="22"/>
  <c r="AI466" i="22"/>
  <c r="AH466" i="22"/>
  <c r="AF466" i="22"/>
  <c r="AI462" i="22"/>
  <c r="AH462" i="22"/>
  <c r="AF462" i="22"/>
  <c r="AI458" i="22"/>
  <c r="AH458" i="22"/>
  <c r="AF458" i="22"/>
  <c r="AI454" i="22"/>
  <c r="AH454" i="22"/>
  <c r="AF454" i="22"/>
  <c r="AI450" i="22"/>
  <c r="AH450" i="22"/>
  <c r="AF450" i="22"/>
  <c r="AI446" i="22"/>
  <c r="AH446" i="22"/>
  <c r="AF446" i="22"/>
  <c r="AI442" i="22"/>
  <c r="AH442" i="22"/>
  <c r="AF442" i="22"/>
  <c r="AI438" i="22"/>
  <c r="AH438" i="22"/>
  <c r="AF438" i="22"/>
  <c r="AI434" i="22"/>
  <c r="AH434" i="22"/>
  <c r="AF434" i="22"/>
  <c r="AI430" i="22"/>
  <c r="AH430" i="22"/>
  <c r="AF430" i="22"/>
  <c r="AI426" i="22"/>
  <c r="AH426" i="22"/>
  <c r="AF426" i="22"/>
  <c r="AI422" i="22"/>
  <c r="AH422" i="22"/>
  <c r="AF422" i="22"/>
  <c r="AI418" i="22"/>
  <c r="AH418" i="22"/>
  <c r="AF418" i="22"/>
  <c r="AI414" i="22"/>
  <c r="AH414" i="22"/>
  <c r="AF414" i="22"/>
  <c r="AI410" i="22"/>
  <c r="AH410" i="22"/>
  <c r="AF410" i="22"/>
  <c r="AI406" i="22"/>
  <c r="AH406" i="22"/>
  <c r="AF406" i="22"/>
  <c r="AI402" i="22"/>
  <c r="AH402" i="22"/>
  <c r="AF402" i="22"/>
  <c r="AI398" i="22"/>
  <c r="AH398" i="22"/>
  <c r="AF398" i="22"/>
  <c r="AI394" i="22"/>
  <c r="AH394" i="22"/>
  <c r="AF394" i="22"/>
  <c r="AI390" i="22"/>
  <c r="AH390" i="22"/>
  <c r="AF390" i="22"/>
  <c r="AI386" i="22"/>
  <c r="AH386" i="22"/>
  <c r="AF386" i="22"/>
  <c r="AI382" i="22"/>
  <c r="AH382" i="22"/>
  <c r="AF382" i="22"/>
  <c r="AI378" i="22"/>
  <c r="AH378" i="22"/>
  <c r="AF378" i="22"/>
  <c r="AI374" i="22"/>
  <c r="AH374" i="22"/>
  <c r="AF374" i="22"/>
  <c r="AI370" i="22"/>
  <c r="AH370" i="22"/>
  <c r="AF370" i="22"/>
  <c r="AI366" i="22"/>
  <c r="AH366" i="22"/>
  <c r="AF366" i="22"/>
  <c r="AI362" i="22"/>
  <c r="AH362" i="22"/>
  <c r="AF362" i="22"/>
  <c r="AI358" i="22"/>
  <c r="AH358" i="22"/>
  <c r="AF358" i="22"/>
  <c r="AI354" i="22"/>
  <c r="AH354" i="22"/>
  <c r="AF354" i="22"/>
  <c r="AI350" i="22"/>
  <c r="AH350" i="22"/>
  <c r="AF350" i="22"/>
  <c r="AI346" i="22"/>
  <c r="AH346" i="22"/>
  <c r="AF346" i="22"/>
  <c r="AI342" i="22"/>
  <c r="AH342" i="22"/>
  <c r="AF342" i="22"/>
  <c r="AI338" i="22"/>
  <c r="AH338" i="22"/>
  <c r="AF338" i="22"/>
  <c r="AI334" i="22"/>
  <c r="AH334" i="22"/>
  <c r="AF334" i="22"/>
  <c r="AI330" i="22"/>
  <c r="AH330" i="22"/>
  <c r="AF330" i="22"/>
  <c r="AI326" i="22"/>
  <c r="AH326" i="22"/>
  <c r="AF326" i="22"/>
  <c r="AH322" i="22"/>
  <c r="AI322" i="22"/>
  <c r="AF322" i="22"/>
  <c r="AI318" i="22"/>
  <c r="AH318" i="22"/>
  <c r="AF318" i="22"/>
  <c r="AI314" i="22"/>
  <c r="AH314" i="22"/>
  <c r="AF314" i="22"/>
  <c r="AI310" i="22"/>
  <c r="AH310" i="22"/>
  <c r="AF310" i="22"/>
  <c r="AI306" i="22"/>
  <c r="AH306" i="22"/>
  <c r="AF306" i="22"/>
  <c r="AI302" i="22"/>
  <c r="AH302" i="22"/>
  <c r="AF302" i="22"/>
  <c r="AI298" i="22"/>
  <c r="AH298" i="22"/>
  <c r="AF298" i="22"/>
  <c r="AI294" i="22"/>
  <c r="AH294" i="22"/>
  <c r="AF294" i="22"/>
  <c r="AI290" i="22"/>
  <c r="AH290" i="22"/>
  <c r="AF290" i="22"/>
  <c r="AI286" i="22"/>
  <c r="AH286" i="22"/>
  <c r="AF286" i="22"/>
  <c r="AI282" i="22"/>
  <c r="AH282" i="22"/>
  <c r="AF282" i="22"/>
  <c r="AI278" i="22"/>
  <c r="AH278" i="22"/>
  <c r="AF278" i="22"/>
  <c r="AI274" i="22"/>
  <c r="AH274" i="22"/>
  <c r="AF274" i="22"/>
  <c r="AI270" i="22"/>
  <c r="AH270" i="22"/>
  <c r="AF270" i="22"/>
  <c r="AI266" i="22"/>
  <c r="AH266" i="22"/>
  <c r="AF266" i="22"/>
  <c r="AI262" i="22"/>
  <c r="AH262" i="22"/>
  <c r="AF262" i="22"/>
  <c r="AH258" i="22"/>
  <c r="AI258" i="22"/>
  <c r="AF258" i="22"/>
  <c r="AI254" i="22"/>
  <c r="AH254" i="22"/>
  <c r="AF254" i="22"/>
  <c r="AE246" i="22"/>
  <c r="AE240" i="22"/>
  <c r="AE232" i="22"/>
  <c r="AE228" i="22"/>
  <c r="AE220" i="22"/>
  <c r="AE212" i="22"/>
  <c r="AE204" i="22"/>
  <c r="AE198" i="22"/>
  <c r="AE196" i="22"/>
  <c r="AE194" i="22"/>
  <c r="AE188" i="22"/>
  <c r="AE186" i="22"/>
  <c r="AE184" i="22"/>
  <c r="AE182" i="22"/>
  <c r="AE180" i="22"/>
  <c r="AE178" i="22"/>
  <c r="AE176" i="22"/>
  <c r="AE174" i="22"/>
  <c r="AE172" i="22"/>
  <c r="AE170" i="22"/>
  <c r="AE168" i="22"/>
  <c r="AE166" i="22"/>
  <c r="AE164" i="22"/>
  <c r="AE162" i="22"/>
  <c r="AE160" i="22"/>
  <c r="AE158" i="22"/>
  <c r="AE156" i="22"/>
  <c r="AE154" i="22"/>
  <c r="AE152" i="22"/>
  <c r="AE150" i="22"/>
  <c r="AE148" i="22"/>
  <c r="AE146" i="22"/>
  <c r="AE144" i="22"/>
  <c r="AE142" i="22"/>
  <c r="AE140" i="22"/>
  <c r="AE138" i="22"/>
  <c r="AE136" i="22"/>
  <c r="AE134" i="22"/>
  <c r="AE132" i="22"/>
  <c r="AE130" i="22"/>
  <c r="AE128" i="22"/>
  <c r="AE126" i="22"/>
  <c r="AE124" i="22"/>
  <c r="AE122" i="22"/>
  <c r="AE120" i="22"/>
  <c r="AE118" i="22"/>
  <c r="AE116" i="22"/>
  <c r="AE114" i="22"/>
  <c r="AE112" i="22"/>
  <c r="AE110" i="22"/>
  <c r="AE108" i="22"/>
  <c r="AE106" i="22"/>
  <c r="AE104" i="22"/>
  <c r="AE102" i="22"/>
  <c r="AE100" i="22"/>
  <c r="AE98" i="22"/>
  <c r="AE96" i="22"/>
  <c r="AE94" i="22"/>
  <c r="AE92" i="22"/>
  <c r="AE90" i="22"/>
  <c r="AE88" i="22"/>
  <c r="AE86" i="22"/>
  <c r="AE84" i="22"/>
  <c r="AE82" i="22"/>
  <c r="AE80" i="22"/>
  <c r="AE78" i="22"/>
  <c r="AE76" i="22"/>
  <c r="AE74" i="22"/>
  <c r="AE72" i="22"/>
  <c r="AE70" i="22"/>
  <c r="AE68" i="22"/>
  <c r="AE66" i="22"/>
  <c r="AE64" i="22"/>
  <c r="AE62" i="22"/>
  <c r="AE60" i="22"/>
  <c r="AE58" i="22"/>
  <c r="AE56" i="22"/>
  <c r="AE54" i="22"/>
  <c r="AE52" i="22"/>
  <c r="AE50" i="22"/>
  <c r="AE48" i="22"/>
  <c r="AE46" i="22"/>
  <c r="AE44" i="22"/>
  <c r="AE42" i="22"/>
  <c r="AE40" i="22"/>
  <c r="AE38" i="22"/>
  <c r="AE36" i="22"/>
  <c r="AE34" i="22"/>
  <c r="AE32" i="22"/>
  <c r="AE30" i="22"/>
  <c r="AE28" i="22"/>
  <c r="AE26" i="22"/>
  <c r="AE24" i="22"/>
  <c r="AE22" i="22"/>
  <c r="AE20" i="22"/>
  <c r="AE18" i="22"/>
  <c r="AE16" i="22"/>
  <c r="AE14" i="22"/>
  <c r="AE12" i="22"/>
  <c r="AE10" i="22"/>
  <c r="AE8" i="22"/>
  <c r="AE6" i="22"/>
  <c r="AE499" i="22"/>
  <c r="AE495" i="22"/>
  <c r="AE491" i="22"/>
  <c r="AE487" i="22"/>
  <c r="AE483" i="22"/>
  <c r="AE479" i="22"/>
  <c r="AE475" i="22"/>
  <c r="AE471" i="22"/>
  <c r="AE467" i="22"/>
  <c r="AE463" i="22"/>
  <c r="AE459" i="22"/>
  <c r="AE455" i="22"/>
  <c r="AE451" i="22"/>
  <c r="AE447" i="22"/>
  <c r="AE443" i="22"/>
  <c r="AE439" i="22"/>
  <c r="AE435" i="22"/>
  <c r="AE431" i="22"/>
  <c r="AE427" i="22"/>
  <c r="AE423" i="22"/>
  <c r="AE419" i="22"/>
  <c r="AE415" i="22"/>
  <c r="AE411" i="22"/>
  <c r="AE407" i="22"/>
  <c r="AE403" i="22"/>
  <c r="AE399" i="22"/>
  <c r="AE395" i="22"/>
  <c r="AE391" i="22"/>
  <c r="AE387" i="22"/>
  <c r="AE383" i="22"/>
  <c r="AE379" i="22"/>
  <c r="AE375" i="22"/>
  <c r="AE371" i="22"/>
  <c r="AE367" i="22"/>
  <c r="AE363" i="22"/>
  <c r="AE359" i="22"/>
  <c r="AE355" i="22"/>
  <c r="AE351" i="22"/>
  <c r="AE347" i="22"/>
  <c r="AE343" i="22"/>
  <c r="AE339" i="22"/>
  <c r="AE335" i="22"/>
  <c r="AE331" i="22"/>
  <c r="AE327" i="22"/>
  <c r="AE323" i="22"/>
  <c r="AE319" i="22"/>
  <c r="AE315" i="22"/>
  <c r="AE311" i="22"/>
  <c r="AE307" i="22"/>
  <c r="AE303" i="22"/>
  <c r="AE299" i="22"/>
  <c r="AE295" i="22"/>
  <c r="AE291" i="22"/>
  <c r="AE287" i="22"/>
  <c r="AE283" i="22"/>
  <c r="AE279" i="22"/>
  <c r="AE275" i="22"/>
  <c r="AE271" i="22"/>
  <c r="AE267" i="22"/>
  <c r="AE263" i="22"/>
  <c r="AE259" i="22"/>
  <c r="AE255" i="22"/>
  <c r="AE500" i="22"/>
  <c r="AE496" i="22"/>
  <c r="AE492" i="22"/>
  <c r="AE488" i="22"/>
  <c r="AE484" i="22"/>
  <c r="AE480" i="22"/>
  <c r="AE476" i="22"/>
  <c r="AE472" i="22"/>
  <c r="AE468" i="22"/>
  <c r="AE464" i="22"/>
  <c r="AE460" i="22"/>
  <c r="AE456" i="22"/>
  <c r="AE452" i="22"/>
  <c r="AE448" i="22"/>
  <c r="AE444" i="22"/>
  <c r="AE440" i="22"/>
  <c r="AE436" i="22"/>
  <c r="AE432" i="22"/>
  <c r="AE428" i="22"/>
  <c r="AE424" i="22"/>
  <c r="AE420" i="22"/>
  <c r="AE416" i="22"/>
  <c r="AE412" i="22"/>
  <c r="AE408" i="22"/>
  <c r="AE404" i="22"/>
  <c r="AE400" i="22"/>
  <c r="AE396" i="22"/>
  <c r="AE392" i="22"/>
  <c r="AE388" i="22"/>
  <c r="AE384" i="22"/>
  <c r="AE380" i="22"/>
  <c r="AE376" i="22"/>
  <c r="AE372" i="22"/>
  <c r="AE368" i="22"/>
  <c r="AE364" i="22"/>
  <c r="AE360" i="22"/>
  <c r="AE356" i="22"/>
  <c r="AE352" i="22"/>
  <c r="AE348" i="22"/>
  <c r="AE344" i="22"/>
  <c r="AE340" i="22"/>
  <c r="AE336" i="22"/>
  <c r="AE332" i="22"/>
  <c r="AE328" i="22"/>
  <c r="AE324" i="22"/>
  <c r="AE320" i="22"/>
  <c r="AE316" i="22"/>
  <c r="AE312" i="22"/>
  <c r="AE308" i="22"/>
  <c r="AE304" i="22"/>
  <c r="AE300" i="22"/>
  <c r="AE296" i="22"/>
  <c r="AE292" i="22"/>
  <c r="AE288" i="22"/>
  <c r="AE284" i="22"/>
  <c r="AE280" i="22"/>
  <c r="AE276" i="22"/>
  <c r="AE272" i="22"/>
  <c r="AE268" i="22"/>
  <c r="AE264" i="22"/>
  <c r="AE260" i="22"/>
  <c r="AE256" i="22"/>
  <c r="AE252" i="22"/>
  <c r="AE248" i="22"/>
  <c r="AE242" i="22"/>
  <c r="AE236" i="22"/>
  <c r="AE230" i="22"/>
  <c r="AE224" i="22"/>
  <c r="AE218" i="22"/>
  <c r="AE214" i="22"/>
  <c r="AE206" i="22"/>
  <c r="AE200" i="22"/>
  <c r="AE190" i="22"/>
  <c r="AE251" i="22"/>
  <c r="AE247" i="22"/>
  <c r="AE243" i="22"/>
  <c r="AE241" i="22"/>
  <c r="AE237" i="22"/>
  <c r="AE235" i="22"/>
  <c r="AE231" i="22"/>
  <c r="AE227" i="22"/>
  <c r="AE223" i="22"/>
  <c r="AE219" i="22"/>
  <c r="AE215" i="22"/>
  <c r="AE211" i="22"/>
  <c r="AE207" i="22"/>
  <c r="AE203" i="22"/>
  <c r="AE199" i="22"/>
  <c r="AE195" i="22"/>
  <c r="AE191" i="22"/>
  <c r="AE187" i="22"/>
  <c r="AE183" i="22"/>
  <c r="AE179" i="22"/>
  <c r="AE175" i="22"/>
  <c r="AE171" i="22"/>
  <c r="AE167" i="22"/>
  <c r="AE163" i="22"/>
  <c r="AE159" i="22"/>
  <c r="AE155" i="22"/>
  <c r="AE151" i="22"/>
  <c r="AE147" i="22"/>
  <c r="AE143" i="22"/>
  <c r="AE139" i="22"/>
  <c r="AE135" i="22"/>
  <c r="AE133" i="22"/>
  <c r="AE129" i="22"/>
  <c r="AE125" i="22"/>
  <c r="AE121" i="22"/>
  <c r="AE117" i="22"/>
  <c r="AE115" i="22"/>
  <c r="AE113" i="22"/>
  <c r="AE111" i="22"/>
  <c r="AE109" i="22"/>
  <c r="AE105" i="22"/>
  <c r="AE103" i="22"/>
  <c r="AE101" i="22"/>
  <c r="AE99" i="22"/>
  <c r="AE97" i="22"/>
  <c r="AE95" i="22"/>
  <c r="AE93" i="22"/>
  <c r="AE91" i="22"/>
  <c r="AE89" i="22"/>
  <c r="AE87" i="22"/>
  <c r="AE85" i="22"/>
  <c r="AE83" i="22"/>
  <c r="AE81" i="22"/>
  <c r="AE79" i="22"/>
  <c r="AE77" i="22"/>
  <c r="AE75" i="22"/>
  <c r="AE73" i="22"/>
  <c r="AE71" i="22"/>
  <c r="AE69" i="22"/>
  <c r="AE67" i="22"/>
  <c r="AE65" i="22"/>
  <c r="AE63" i="22"/>
  <c r="AE61" i="22"/>
  <c r="AE59" i="22"/>
  <c r="AE57" i="22"/>
  <c r="AE55" i="22"/>
  <c r="AE53" i="22"/>
  <c r="AE51" i="22"/>
  <c r="AE49" i="22"/>
  <c r="AE47" i="22"/>
  <c r="AE45" i="22"/>
  <c r="AE43" i="22"/>
  <c r="AE41" i="22"/>
  <c r="AE39" i="22"/>
  <c r="AE37" i="22"/>
  <c r="AE35" i="22"/>
  <c r="AE33" i="22"/>
  <c r="AE31" i="22"/>
  <c r="AE29" i="22"/>
  <c r="AE27" i="22"/>
  <c r="AE25" i="22"/>
  <c r="AE23" i="22"/>
  <c r="AE21" i="22"/>
  <c r="AE19" i="22"/>
  <c r="AE17" i="22"/>
  <c r="AE15" i="22"/>
  <c r="AE13" i="22"/>
  <c r="AE11" i="22"/>
  <c r="AE9" i="22"/>
  <c r="AE7" i="22"/>
  <c r="AE5" i="22"/>
  <c r="AE501" i="22"/>
  <c r="AE497" i="22"/>
  <c r="AE493" i="22"/>
  <c r="AE489" i="22"/>
  <c r="AE485" i="22"/>
  <c r="AE481" i="22"/>
  <c r="AE477" i="22"/>
  <c r="AE473" i="22"/>
  <c r="AE469" i="22"/>
  <c r="AE465" i="22"/>
  <c r="AE461" i="22"/>
  <c r="AE457" i="22"/>
  <c r="AE453" i="22"/>
  <c r="AE449" i="22"/>
  <c r="AE445" i="22"/>
  <c r="AE441" i="22"/>
  <c r="AE437" i="22"/>
  <c r="AE433" i="22"/>
  <c r="AE429" i="22"/>
  <c r="AE425" i="22"/>
  <c r="AE421" i="22"/>
  <c r="AE417" i="22"/>
  <c r="AE413" i="22"/>
  <c r="AE409" i="22"/>
  <c r="AE405" i="22"/>
  <c r="AE401" i="22"/>
  <c r="AE397" i="22"/>
  <c r="AE393" i="22"/>
  <c r="AE389" i="22"/>
  <c r="AE385" i="22"/>
  <c r="AE381" i="22"/>
  <c r="AE377" i="22"/>
  <c r="AE373" i="22"/>
  <c r="AE369" i="22"/>
  <c r="AE365" i="22"/>
  <c r="AE361" i="22"/>
  <c r="AE357" i="22"/>
  <c r="AE353" i="22"/>
  <c r="AE349" i="22"/>
  <c r="AE345" i="22"/>
  <c r="AE341" i="22"/>
  <c r="AE337" i="22"/>
  <c r="AE333" i="22"/>
  <c r="AE329" i="22"/>
  <c r="AE325" i="22"/>
  <c r="AE321" i="22"/>
  <c r="AE317" i="22"/>
  <c r="AE313" i="22"/>
  <c r="AE309" i="22"/>
  <c r="AE305" i="22"/>
  <c r="AE301" i="22"/>
  <c r="AE297" i="22"/>
  <c r="AE293" i="22"/>
  <c r="AE289" i="22"/>
  <c r="AE285" i="22"/>
  <c r="AE281" i="22"/>
  <c r="AE277" i="22"/>
  <c r="AE273" i="22"/>
  <c r="AE269" i="22"/>
  <c r="AE265" i="22"/>
  <c r="AE261" i="22"/>
  <c r="AE257" i="22"/>
  <c r="AE253" i="22"/>
  <c r="AE250" i="22"/>
  <c r="AE244" i="22"/>
  <c r="AE238" i="22"/>
  <c r="AE234" i="22"/>
  <c r="AE226" i="22"/>
  <c r="AE222" i="22"/>
  <c r="AE216" i="22"/>
  <c r="AE210" i="22"/>
  <c r="AE208" i="22"/>
  <c r="AE202" i="22"/>
  <c r="AE192" i="22"/>
  <c r="AE249" i="22"/>
  <c r="AE245" i="22"/>
  <c r="AE239" i="22"/>
  <c r="AE233" i="22"/>
  <c r="AE229" i="22"/>
  <c r="AE225" i="22"/>
  <c r="AE221" i="22"/>
  <c r="AE217" i="22"/>
  <c r="AE213" i="22"/>
  <c r="AE209" i="22"/>
  <c r="AE205" i="22"/>
  <c r="AE201" i="22"/>
  <c r="AE197" i="22"/>
  <c r="AE193" i="22"/>
  <c r="AE189" i="22"/>
  <c r="AE185" i="22"/>
  <c r="AE181" i="22"/>
  <c r="AE177" i="22"/>
  <c r="AE173" i="22"/>
  <c r="AE169" i="22"/>
  <c r="AE165" i="22"/>
  <c r="AE161" i="22"/>
  <c r="AE157" i="22"/>
  <c r="AE153" i="22"/>
  <c r="AE149" i="22"/>
  <c r="AE145" i="22"/>
  <c r="AE141" i="22"/>
  <c r="AE137" i="22"/>
  <c r="AE131" i="22"/>
  <c r="AE127" i="22"/>
  <c r="AE123" i="22"/>
  <c r="AE119" i="22"/>
  <c r="AE107" i="22"/>
  <c r="AE498" i="22"/>
  <c r="AE494" i="22"/>
  <c r="AE490" i="22"/>
  <c r="AE486" i="22"/>
  <c r="AE482" i="22"/>
  <c r="AE478" i="22"/>
  <c r="AE474" i="22"/>
  <c r="AE470" i="22"/>
  <c r="AE466" i="22"/>
  <c r="AE462" i="22"/>
  <c r="AE458" i="22"/>
  <c r="AE454" i="22"/>
  <c r="AE450" i="22"/>
  <c r="AE446" i="22"/>
  <c r="AE442" i="22"/>
  <c r="AE438" i="22"/>
  <c r="AE434" i="22"/>
  <c r="AE430" i="22"/>
  <c r="AE426" i="22"/>
  <c r="AE422" i="22"/>
  <c r="AE418" i="22"/>
  <c r="AE414" i="22"/>
  <c r="AE410" i="22"/>
  <c r="AE406" i="22"/>
  <c r="AE402" i="22"/>
  <c r="AE398" i="22"/>
  <c r="AE394" i="22"/>
  <c r="AE390" i="22"/>
  <c r="AE386" i="22"/>
  <c r="AE382" i="22"/>
  <c r="AE378" i="22"/>
  <c r="AE374" i="22"/>
  <c r="AE370" i="22"/>
  <c r="AE366" i="22"/>
  <c r="AE362" i="22"/>
  <c r="AE358" i="22"/>
  <c r="AE354" i="22"/>
  <c r="AE350" i="22"/>
  <c r="AE346" i="22"/>
  <c r="AE342" i="22"/>
  <c r="AE338" i="22"/>
  <c r="AE334" i="22"/>
  <c r="AE330" i="22"/>
  <c r="AE326" i="22"/>
  <c r="AE322" i="22"/>
  <c r="AE318" i="22"/>
  <c r="AE314" i="22"/>
  <c r="AE310" i="22"/>
  <c r="AE306" i="22"/>
  <c r="AE302" i="22"/>
  <c r="AE298" i="22"/>
  <c r="AE294" i="22"/>
  <c r="AE290" i="22"/>
  <c r="AE286" i="22"/>
  <c r="AE282" i="22"/>
  <c r="AE278" i="22"/>
  <c r="AE274" i="22"/>
  <c r="AE270" i="22"/>
  <c r="AE266" i="22"/>
  <c r="AE262" i="22"/>
  <c r="AE258" i="22"/>
  <c r="AE254" i="22"/>
  <c r="U3" i="22"/>
  <c r="X3" i="22"/>
  <c r="L3" i="22"/>
  <c r="H3" i="22"/>
  <c r="N3" i="22"/>
  <c r="J3" i="22"/>
  <c r="O3" i="22"/>
  <c r="K3" i="22"/>
  <c r="G3" i="22"/>
  <c r="I3" i="22"/>
  <c r="P3" i="22"/>
  <c r="AC250" i="22"/>
  <c r="AA250" i="22"/>
  <c r="U250" i="22"/>
  <c r="Z250" i="22"/>
  <c r="W250" i="22"/>
  <c r="V250" i="22"/>
  <c r="K250" i="22"/>
  <c r="Q250" i="22"/>
  <c r="X250" i="22"/>
  <c r="J250" i="22"/>
  <c r="I250" i="22"/>
  <c r="G250" i="22"/>
  <c r="H250" i="22"/>
  <c r="L250" i="22"/>
  <c r="P250" i="22"/>
  <c r="N250" i="22"/>
  <c r="O250" i="22"/>
  <c r="Z248" i="22"/>
  <c r="AA248" i="22"/>
  <c r="AC248" i="22"/>
  <c r="U248" i="22"/>
  <c r="W248" i="22"/>
  <c r="Q248" i="22"/>
  <c r="H248" i="22"/>
  <c r="X248" i="22"/>
  <c r="V248" i="22"/>
  <c r="O248" i="22"/>
  <c r="I248" i="22"/>
  <c r="N248" i="22"/>
  <c r="J248" i="22"/>
  <c r="L248" i="22"/>
  <c r="P248" i="22"/>
  <c r="G248" i="22"/>
  <c r="K248" i="22"/>
  <c r="AC246" i="22"/>
  <c r="AA246" i="22"/>
  <c r="U246" i="22"/>
  <c r="Z246" i="22"/>
  <c r="W246" i="22"/>
  <c r="X246" i="22"/>
  <c r="V246" i="22"/>
  <c r="J246" i="22"/>
  <c r="K246" i="22"/>
  <c r="Q246" i="22"/>
  <c r="I246" i="22"/>
  <c r="P246" i="22"/>
  <c r="L246" i="22"/>
  <c r="O246" i="22"/>
  <c r="G246" i="22"/>
  <c r="H246" i="22"/>
  <c r="N246" i="22"/>
  <c r="AA244" i="22"/>
  <c r="W244" i="22"/>
  <c r="Z244" i="22"/>
  <c r="AC244" i="22"/>
  <c r="U244" i="22"/>
  <c r="X244" i="22"/>
  <c r="V244" i="22"/>
  <c r="Q244" i="22"/>
  <c r="G244" i="22"/>
  <c r="O244" i="22"/>
  <c r="I244" i="22"/>
  <c r="J244" i="22"/>
  <c r="P244" i="22"/>
  <c r="K244" i="22"/>
  <c r="H244" i="22"/>
  <c r="N244" i="22"/>
  <c r="L244" i="22"/>
  <c r="AC242" i="22"/>
  <c r="W242" i="22"/>
  <c r="AA242" i="22"/>
  <c r="U242" i="22"/>
  <c r="Z242" i="22"/>
  <c r="Q242" i="22"/>
  <c r="X242" i="22"/>
  <c r="I242" i="22"/>
  <c r="V242" i="22"/>
  <c r="K242" i="22"/>
  <c r="L242" i="22"/>
  <c r="J242" i="22"/>
  <c r="H242" i="22"/>
  <c r="N242" i="22"/>
  <c r="P242" i="22"/>
  <c r="O242" i="22"/>
  <c r="G242" i="22"/>
  <c r="AA240" i="22"/>
  <c r="AC240" i="22"/>
  <c r="W240" i="22"/>
  <c r="Z240" i="22"/>
  <c r="U240" i="22"/>
  <c r="X240" i="22"/>
  <c r="Q240" i="22"/>
  <c r="V240" i="22"/>
  <c r="J240" i="22"/>
  <c r="O240" i="22"/>
  <c r="I240" i="22"/>
  <c r="H240" i="22"/>
  <c r="N240" i="22"/>
  <c r="L240" i="22"/>
  <c r="P240" i="22"/>
  <c r="K240" i="22"/>
  <c r="G240" i="22"/>
  <c r="AC238" i="22"/>
  <c r="U238" i="22"/>
  <c r="Z238" i="22"/>
  <c r="W238" i="22"/>
  <c r="AA238" i="22"/>
  <c r="V238" i="22"/>
  <c r="K238" i="22"/>
  <c r="X238" i="22"/>
  <c r="Q238" i="22"/>
  <c r="J238" i="22"/>
  <c r="O238" i="22"/>
  <c r="N238" i="22"/>
  <c r="I238" i="22"/>
  <c r="P238" i="22"/>
  <c r="L238" i="22"/>
  <c r="G238" i="22"/>
  <c r="H238" i="22"/>
  <c r="W236" i="22"/>
  <c r="AC236" i="22"/>
  <c r="U236" i="22"/>
  <c r="AA236" i="22"/>
  <c r="Z236" i="22"/>
  <c r="V236" i="22"/>
  <c r="Q236" i="22"/>
  <c r="G236" i="22"/>
  <c r="X236" i="22"/>
  <c r="J236" i="22"/>
  <c r="N236" i="22"/>
  <c r="O236" i="22"/>
  <c r="L236" i="22"/>
  <c r="P236" i="22"/>
  <c r="K236" i="22"/>
  <c r="I236" i="22"/>
  <c r="H236" i="22"/>
  <c r="AC234" i="22"/>
  <c r="U234" i="22"/>
  <c r="Z234" i="22"/>
  <c r="W234" i="22"/>
  <c r="AA234" i="22"/>
  <c r="V234" i="22"/>
  <c r="K234" i="22"/>
  <c r="X234" i="22"/>
  <c r="Q234" i="22"/>
  <c r="J234" i="22"/>
  <c r="L234" i="22"/>
  <c r="G234" i="22"/>
  <c r="H234" i="22"/>
  <c r="P234" i="22"/>
  <c r="N234" i="22"/>
  <c r="O234" i="22"/>
  <c r="I234" i="22"/>
  <c r="AA232" i="22"/>
  <c r="AC232" i="22"/>
  <c r="W232" i="22"/>
  <c r="U232" i="22"/>
  <c r="Z232" i="22"/>
  <c r="I232" i="22"/>
  <c r="X232" i="22"/>
  <c r="V232" i="22"/>
  <c r="Q232" i="22"/>
  <c r="H232" i="22"/>
  <c r="L232" i="22"/>
  <c r="P232" i="22"/>
  <c r="K232" i="22"/>
  <c r="O232" i="22"/>
  <c r="G232" i="22"/>
  <c r="N232" i="22"/>
  <c r="J232" i="22"/>
  <c r="AC230" i="22"/>
  <c r="AA230" i="22"/>
  <c r="U230" i="22"/>
  <c r="Z230" i="22"/>
  <c r="W230" i="22"/>
  <c r="X230" i="22"/>
  <c r="V230" i="22"/>
  <c r="Q230" i="22"/>
  <c r="K230" i="22"/>
  <c r="I230" i="22"/>
  <c r="J230" i="22"/>
  <c r="O230" i="22"/>
  <c r="N230" i="22"/>
  <c r="G230" i="22"/>
  <c r="H230" i="22"/>
  <c r="P230" i="22"/>
  <c r="L230" i="22"/>
  <c r="Z228" i="22"/>
  <c r="AC228" i="22"/>
  <c r="W228" i="22"/>
  <c r="AA228" i="22"/>
  <c r="U228" i="22"/>
  <c r="X228" i="22"/>
  <c r="Q228" i="22"/>
  <c r="V228" i="22"/>
  <c r="P228" i="22"/>
  <c r="K228" i="22"/>
  <c r="N228" i="22"/>
  <c r="L228" i="22"/>
  <c r="G228" i="22"/>
  <c r="O228" i="22"/>
  <c r="I228" i="22"/>
  <c r="J228" i="22"/>
  <c r="H228" i="22"/>
  <c r="AC226" i="22"/>
  <c r="W226" i="22"/>
  <c r="AA226" i="22"/>
  <c r="Z226" i="22"/>
  <c r="U226" i="22"/>
  <c r="K226" i="22"/>
  <c r="X226" i="22"/>
  <c r="Q226" i="22"/>
  <c r="V226" i="22"/>
  <c r="N226" i="22"/>
  <c r="I226" i="22"/>
  <c r="L226" i="22"/>
  <c r="O226" i="22"/>
  <c r="J226" i="22"/>
  <c r="H226" i="22"/>
  <c r="P226" i="22"/>
  <c r="G226" i="22"/>
  <c r="AC224" i="22"/>
  <c r="AA224" i="22"/>
  <c r="U224" i="22"/>
  <c r="W224" i="22"/>
  <c r="X224" i="22"/>
  <c r="Q224" i="22"/>
  <c r="Z224" i="22"/>
  <c r="V224" i="22"/>
  <c r="H224" i="22"/>
  <c r="L224" i="22"/>
  <c r="P224" i="22"/>
  <c r="K224" i="22"/>
  <c r="O224" i="22"/>
  <c r="I224" i="22"/>
  <c r="N224" i="22"/>
  <c r="G224" i="22"/>
  <c r="J224" i="22"/>
  <c r="AC222" i="22"/>
  <c r="U222" i="22"/>
  <c r="AA222" i="22"/>
  <c r="W222" i="22"/>
  <c r="Z222" i="22"/>
  <c r="V222" i="22"/>
  <c r="X222" i="22"/>
  <c r="J222" i="22"/>
  <c r="Q222" i="22"/>
  <c r="K222" i="22"/>
  <c r="N222" i="22"/>
  <c r="I222" i="22"/>
  <c r="P222" i="22"/>
  <c r="L222" i="22"/>
  <c r="O222" i="22"/>
  <c r="G222" i="22"/>
  <c r="H222" i="22"/>
  <c r="Z220" i="22"/>
  <c r="U220" i="22"/>
  <c r="AC220" i="22"/>
  <c r="W220" i="22"/>
  <c r="AA220" i="22"/>
  <c r="V220" i="22"/>
  <c r="I220" i="22"/>
  <c r="G220" i="22"/>
  <c r="Q220" i="22"/>
  <c r="J220" i="22"/>
  <c r="K220" i="22"/>
  <c r="P220" i="22"/>
  <c r="N220" i="22"/>
  <c r="X220" i="22"/>
  <c r="H220" i="22"/>
  <c r="L220" i="22"/>
  <c r="O220" i="22"/>
  <c r="AC218" i="22"/>
  <c r="Z218" i="22"/>
  <c r="AA218" i="22"/>
  <c r="U218" i="22"/>
  <c r="W218" i="22"/>
  <c r="V218" i="22"/>
  <c r="Q218" i="22"/>
  <c r="J218" i="22"/>
  <c r="K218" i="22"/>
  <c r="X218" i="22"/>
  <c r="I218" i="22"/>
  <c r="P218" i="22"/>
  <c r="N218" i="22"/>
  <c r="G218" i="22"/>
  <c r="H218" i="22"/>
  <c r="O218" i="22"/>
  <c r="L218" i="22"/>
  <c r="Z216" i="22"/>
  <c r="AC216" i="22"/>
  <c r="U216" i="22"/>
  <c r="AA216" i="22"/>
  <c r="W216" i="22"/>
  <c r="X216" i="22"/>
  <c r="V216" i="22"/>
  <c r="H216" i="22"/>
  <c r="O216" i="22"/>
  <c r="N216" i="22"/>
  <c r="J216" i="22"/>
  <c r="I216" i="22"/>
  <c r="L216" i="22"/>
  <c r="Q216" i="22"/>
  <c r="P216" i="22"/>
  <c r="K216" i="22"/>
  <c r="G216" i="22"/>
  <c r="AC214" i="22"/>
  <c r="AA214" i="22"/>
  <c r="U214" i="22"/>
  <c r="Z214" i="22"/>
  <c r="X214" i="22"/>
  <c r="W214" i="22"/>
  <c r="V214" i="22"/>
  <c r="J214" i="22"/>
  <c r="I214" i="22"/>
  <c r="Q214" i="22"/>
  <c r="K214" i="22"/>
  <c r="N214" i="22"/>
  <c r="G214" i="22"/>
  <c r="H214" i="22"/>
  <c r="P214" i="22"/>
  <c r="L214" i="22"/>
  <c r="O214" i="22"/>
  <c r="W212" i="22"/>
  <c r="Z212" i="22"/>
  <c r="AC212" i="22"/>
  <c r="AA212" i="22"/>
  <c r="U212" i="22"/>
  <c r="Q212" i="22"/>
  <c r="X212" i="22"/>
  <c r="G212" i="22"/>
  <c r="V212" i="22"/>
  <c r="J212" i="22"/>
  <c r="P212" i="22"/>
  <c r="K212" i="22"/>
  <c r="N212" i="22"/>
  <c r="L212" i="22"/>
  <c r="O212" i="22"/>
  <c r="H212" i="22"/>
  <c r="I212" i="22"/>
  <c r="AC210" i="22"/>
  <c r="W210" i="22"/>
  <c r="Z210" i="22"/>
  <c r="U210" i="22"/>
  <c r="AA210" i="22"/>
  <c r="I210" i="22"/>
  <c r="X210" i="22"/>
  <c r="V210" i="22"/>
  <c r="Q210" i="22"/>
  <c r="K210" i="22"/>
  <c r="P210" i="22"/>
  <c r="H210" i="22"/>
  <c r="J210" i="22"/>
  <c r="N210" i="22"/>
  <c r="O210" i="22"/>
  <c r="G210" i="22"/>
  <c r="L210" i="22"/>
  <c r="Z208" i="22"/>
  <c r="AC208" i="22"/>
  <c r="U208" i="22"/>
  <c r="AA208" i="22"/>
  <c r="W208" i="22"/>
  <c r="X208" i="22"/>
  <c r="H208" i="22"/>
  <c r="V208" i="22"/>
  <c r="Q208" i="22"/>
  <c r="J208" i="22"/>
  <c r="O208" i="22"/>
  <c r="I208" i="22"/>
  <c r="N208" i="22"/>
  <c r="L208" i="22"/>
  <c r="K208" i="22"/>
  <c r="P208" i="22"/>
  <c r="G208" i="22"/>
  <c r="AC206" i="22"/>
  <c r="U206" i="22"/>
  <c r="Z206" i="22"/>
  <c r="W206" i="22"/>
  <c r="AA206" i="22"/>
  <c r="V206" i="22"/>
  <c r="X206" i="22"/>
  <c r="J206" i="22"/>
  <c r="Q206" i="22"/>
  <c r="K206" i="22"/>
  <c r="I206" i="22"/>
  <c r="P206" i="22"/>
  <c r="L206" i="22"/>
  <c r="O206" i="22"/>
  <c r="N206" i="22"/>
  <c r="G206" i="22"/>
  <c r="H206" i="22"/>
  <c r="U204" i="22"/>
  <c r="W204" i="22"/>
  <c r="Z204" i="22"/>
  <c r="AC204" i="22"/>
  <c r="V204" i="22"/>
  <c r="G204" i="22"/>
  <c r="J204" i="22"/>
  <c r="L204" i="22"/>
  <c r="X204" i="22"/>
  <c r="AA204" i="22"/>
  <c r="Q204" i="22"/>
  <c r="O204" i="22"/>
  <c r="P204" i="22"/>
  <c r="K204" i="22"/>
  <c r="H204" i="22"/>
  <c r="I204" i="22"/>
  <c r="N204" i="22"/>
  <c r="AC202" i="22"/>
  <c r="Z202" i="22"/>
  <c r="U202" i="22"/>
  <c r="W202" i="22"/>
  <c r="AA202" i="22"/>
  <c r="V202" i="22"/>
  <c r="K202" i="22"/>
  <c r="Q202" i="22"/>
  <c r="J202" i="22"/>
  <c r="X202" i="22"/>
  <c r="I202" i="22"/>
  <c r="O202" i="22"/>
  <c r="G202" i="22"/>
  <c r="H202" i="22"/>
  <c r="L202" i="22"/>
  <c r="P202" i="22"/>
  <c r="N202" i="22"/>
  <c r="Z200" i="22"/>
  <c r="AC200" i="22"/>
  <c r="U200" i="22"/>
  <c r="AA200" i="22"/>
  <c r="W200" i="22"/>
  <c r="Q200" i="22"/>
  <c r="X200" i="22"/>
  <c r="H200" i="22"/>
  <c r="I200" i="22"/>
  <c r="V200" i="22"/>
  <c r="L200" i="22"/>
  <c r="P200" i="22"/>
  <c r="K200" i="22"/>
  <c r="O200" i="22"/>
  <c r="G200" i="22"/>
  <c r="N200" i="22"/>
  <c r="J200" i="22"/>
  <c r="AC198" i="22"/>
  <c r="U198" i="22"/>
  <c r="Z198" i="22"/>
  <c r="W198" i="22"/>
  <c r="AA198" i="22"/>
  <c r="X198" i="22"/>
  <c r="Q198" i="22"/>
  <c r="K198" i="22"/>
  <c r="V198" i="22"/>
  <c r="H198" i="22"/>
  <c r="J198" i="22"/>
  <c r="I198" i="22"/>
  <c r="P198" i="22"/>
  <c r="L198" i="22"/>
  <c r="G198" i="22"/>
  <c r="O198" i="22"/>
  <c r="N198" i="22"/>
  <c r="Z196" i="22"/>
  <c r="W196" i="22"/>
  <c r="AC196" i="22"/>
  <c r="AA196" i="22"/>
  <c r="U196" i="22"/>
  <c r="H196" i="22"/>
  <c r="X196" i="22"/>
  <c r="Q196" i="22"/>
  <c r="V196" i="22"/>
  <c r="N196" i="22"/>
  <c r="L196" i="22"/>
  <c r="G196" i="22"/>
  <c r="O196" i="22"/>
  <c r="I196" i="22"/>
  <c r="J196" i="22"/>
  <c r="P196" i="22"/>
  <c r="K196" i="22"/>
  <c r="AC194" i="22"/>
  <c r="Z194" i="22"/>
  <c r="U194" i="22"/>
  <c r="AA194" i="22"/>
  <c r="W194" i="22"/>
  <c r="K194" i="22"/>
  <c r="H194" i="22"/>
  <c r="Q194" i="22"/>
  <c r="X194" i="22"/>
  <c r="V194" i="22"/>
  <c r="I194" i="22"/>
  <c r="N194" i="22"/>
  <c r="P194" i="22"/>
  <c r="J194" i="22"/>
  <c r="L194" i="22"/>
  <c r="G194" i="22"/>
  <c r="O194" i="22"/>
  <c r="AC192" i="22"/>
  <c r="Z192" i="22"/>
  <c r="W192" i="22"/>
  <c r="U192" i="22"/>
  <c r="AA192" i="22"/>
  <c r="X192" i="22"/>
  <c r="Q192" i="22"/>
  <c r="V192" i="22"/>
  <c r="L192" i="22"/>
  <c r="P192" i="22"/>
  <c r="K192" i="22"/>
  <c r="O192" i="22"/>
  <c r="H192" i="22"/>
  <c r="I192" i="22"/>
  <c r="G192" i="22"/>
  <c r="J192" i="22"/>
  <c r="N192" i="22"/>
  <c r="AC190" i="22"/>
  <c r="W190" i="22"/>
  <c r="AA190" i="22"/>
  <c r="U190" i="22"/>
  <c r="Z190" i="22"/>
  <c r="X190" i="22"/>
  <c r="V190" i="22"/>
  <c r="H190" i="22"/>
  <c r="J190" i="22"/>
  <c r="Q190" i="22"/>
  <c r="K190" i="22"/>
  <c r="P190" i="22"/>
  <c r="L190" i="22"/>
  <c r="I190" i="22"/>
  <c r="O190" i="22"/>
  <c r="N190" i="22"/>
  <c r="G190" i="22"/>
  <c r="Z188" i="22"/>
  <c r="U188" i="22"/>
  <c r="AC188" i="22"/>
  <c r="W188" i="22"/>
  <c r="AA188" i="22"/>
  <c r="V188" i="22"/>
  <c r="G188" i="22"/>
  <c r="Q188" i="22"/>
  <c r="X188" i="22"/>
  <c r="J188" i="22"/>
  <c r="I188" i="22"/>
  <c r="P188" i="22"/>
  <c r="O188" i="22"/>
  <c r="N188" i="22"/>
  <c r="H188" i="22"/>
  <c r="L188" i="22"/>
  <c r="K188" i="22"/>
  <c r="AA186" i="22"/>
  <c r="AC186" i="22"/>
  <c r="U186" i="22"/>
  <c r="W186" i="22"/>
  <c r="Z186" i="22"/>
  <c r="X186" i="22"/>
  <c r="V186" i="22"/>
  <c r="K186" i="22"/>
  <c r="J186" i="22"/>
  <c r="Q186" i="22"/>
  <c r="I186" i="22"/>
  <c r="G186" i="22"/>
  <c r="L186" i="22"/>
  <c r="H186" i="22"/>
  <c r="P186" i="22"/>
  <c r="N186" i="22"/>
  <c r="O186" i="22"/>
  <c r="Z184" i="22"/>
  <c r="AC184" i="22"/>
  <c r="AA184" i="22"/>
  <c r="W184" i="22"/>
  <c r="U184" i="22"/>
  <c r="V184" i="22"/>
  <c r="Q184" i="22"/>
  <c r="X184" i="22"/>
  <c r="P184" i="22"/>
  <c r="K184" i="22"/>
  <c r="O184" i="22"/>
  <c r="N184" i="22"/>
  <c r="J184" i="22"/>
  <c r="I184" i="22"/>
  <c r="L184" i="22"/>
  <c r="G184" i="22"/>
  <c r="H184" i="22"/>
  <c r="AC182" i="22"/>
  <c r="U182" i="22"/>
  <c r="Z182" i="22"/>
  <c r="W182" i="22"/>
  <c r="AA182" i="22"/>
  <c r="H182" i="22"/>
  <c r="I182" i="22"/>
  <c r="Q182" i="22"/>
  <c r="X182" i="22"/>
  <c r="V182" i="22"/>
  <c r="J182" i="22"/>
  <c r="K182" i="22"/>
  <c r="P182" i="22"/>
  <c r="L182" i="22"/>
  <c r="O182" i="22"/>
  <c r="G182" i="22"/>
  <c r="N182" i="22"/>
  <c r="Z180" i="22"/>
  <c r="AC180" i="22"/>
  <c r="U180" i="22"/>
  <c r="W180" i="22"/>
  <c r="AA180" i="22"/>
  <c r="Q180" i="22"/>
  <c r="X180" i="22"/>
  <c r="H180" i="22"/>
  <c r="O180" i="22"/>
  <c r="I180" i="22"/>
  <c r="V180" i="22"/>
  <c r="J180" i="22"/>
  <c r="G180" i="22"/>
  <c r="P180" i="22"/>
  <c r="N180" i="22"/>
  <c r="K180" i="22"/>
  <c r="L180" i="22"/>
  <c r="W178" i="22"/>
  <c r="AC178" i="22"/>
  <c r="AA178" i="22"/>
  <c r="U178" i="22"/>
  <c r="Z178" i="22"/>
  <c r="X178" i="22"/>
  <c r="V178" i="22"/>
  <c r="H178" i="22"/>
  <c r="K178" i="22"/>
  <c r="I178" i="22"/>
  <c r="Q178" i="22"/>
  <c r="J178" i="22"/>
  <c r="N178" i="22"/>
  <c r="G178" i="22"/>
  <c r="L178" i="22"/>
  <c r="O178" i="22"/>
  <c r="P178" i="22"/>
  <c r="Z176" i="22"/>
  <c r="AC176" i="22"/>
  <c r="W176" i="22"/>
  <c r="U176" i="22"/>
  <c r="AA176" i="22"/>
  <c r="Q176" i="22"/>
  <c r="X176" i="22"/>
  <c r="J176" i="22"/>
  <c r="V176" i="22"/>
  <c r="P176" i="22"/>
  <c r="K176" i="22"/>
  <c r="O176" i="22"/>
  <c r="H176" i="22"/>
  <c r="N176" i="22"/>
  <c r="I176" i="22"/>
  <c r="L176" i="22"/>
  <c r="G176" i="22"/>
  <c r="AC174" i="22"/>
  <c r="U174" i="22"/>
  <c r="Z174" i="22"/>
  <c r="W174" i="22"/>
  <c r="AA174" i="22"/>
  <c r="H174" i="22"/>
  <c r="J174" i="22"/>
  <c r="X174" i="22"/>
  <c r="Q174" i="22"/>
  <c r="V174" i="22"/>
  <c r="K174" i="22"/>
  <c r="O174" i="22"/>
  <c r="N174" i="22"/>
  <c r="I174" i="22"/>
  <c r="P174" i="22"/>
  <c r="L174" i="22"/>
  <c r="G174" i="22"/>
  <c r="AC172" i="22"/>
  <c r="Z172" i="22"/>
  <c r="U172" i="22"/>
  <c r="W172" i="22"/>
  <c r="AA172" i="22"/>
  <c r="X172" i="22"/>
  <c r="L172" i="22"/>
  <c r="V172" i="22"/>
  <c r="G172" i="22"/>
  <c r="J172" i="22"/>
  <c r="Q172" i="22"/>
  <c r="N172" i="22"/>
  <c r="H172" i="22"/>
  <c r="O172" i="22"/>
  <c r="P172" i="22"/>
  <c r="K172" i="22"/>
  <c r="I172" i="22"/>
  <c r="AC170" i="22"/>
  <c r="Z170" i="22"/>
  <c r="U170" i="22"/>
  <c r="W170" i="22"/>
  <c r="AA170" i="22"/>
  <c r="X170" i="22"/>
  <c r="V170" i="22"/>
  <c r="K170" i="22"/>
  <c r="J170" i="22"/>
  <c r="Q170" i="22"/>
  <c r="L170" i="22"/>
  <c r="G170" i="22"/>
  <c r="I170" i="22"/>
  <c r="P170" i="22"/>
  <c r="N170" i="22"/>
  <c r="O170" i="22"/>
  <c r="H170" i="22"/>
  <c r="Z168" i="22"/>
  <c r="AC168" i="22"/>
  <c r="AA168" i="22"/>
  <c r="W168" i="22"/>
  <c r="V168" i="22"/>
  <c r="I168" i="22"/>
  <c r="U168" i="22"/>
  <c r="H168" i="22"/>
  <c r="X168" i="22"/>
  <c r="O168" i="22"/>
  <c r="N168" i="22"/>
  <c r="J168" i="22"/>
  <c r="L168" i="22"/>
  <c r="Q168" i="22"/>
  <c r="P168" i="22"/>
  <c r="G168" i="22"/>
  <c r="K168" i="22"/>
  <c r="AC166" i="22"/>
  <c r="Z166" i="22"/>
  <c r="U166" i="22"/>
  <c r="W166" i="22"/>
  <c r="AA166" i="22"/>
  <c r="H166" i="22"/>
  <c r="I166" i="22"/>
  <c r="X166" i="22"/>
  <c r="Q166" i="22"/>
  <c r="V166" i="22"/>
  <c r="K166" i="22"/>
  <c r="J166" i="22"/>
  <c r="O166" i="22"/>
  <c r="N166" i="22"/>
  <c r="G166" i="22"/>
  <c r="P166" i="22"/>
  <c r="L166" i="22"/>
  <c r="Z164" i="22"/>
  <c r="AC164" i="22"/>
  <c r="U164" i="22"/>
  <c r="W164" i="22"/>
  <c r="AA164" i="22"/>
  <c r="H164" i="22"/>
  <c r="X164" i="22"/>
  <c r="Q164" i="22"/>
  <c r="V164" i="22"/>
  <c r="G164" i="22"/>
  <c r="P164" i="22"/>
  <c r="K164" i="22"/>
  <c r="O164" i="22"/>
  <c r="L164" i="22"/>
  <c r="I164" i="22"/>
  <c r="N164" i="22"/>
  <c r="J164" i="22"/>
  <c r="AC162" i="22"/>
  <c r="W162" i="22"/>
  <c r="Z162" i="22"/>
  <c r="U162" i="22"/>
  <c r="X162" i="22"/>
  <c r="V162" i="22"/>
  <c r="AA162" i="22"/>
  <c r="I162" i="22"/>
  <c r="K162" i="22"/>
  <c r="H162" i="22"/>
  <c r="N162" i="22"/>
  <c r="Q162" i="22"/>
  <c r="L162" i="22"/>
  <c r="O162" i="22"/>
  <c r="J162" i="22"/>
  <c r="G162" i="22"/>
  <c r="P162" i="22"/>
  <c r="AC160" i="22"/>
  <c r="Z160" i="22"/>
  <c r="W160" i="22"/>
  <c r="U160" i="22"/>
  <c r="X160" i="22"/>
  <c r="Q160" i="22"/>
  <c r="V160" i="22"/>
  <c r="AA160" i="22"/>
  <c r="O160" i="22"/>
  <c r="H160" i="22"/>
  <c r="N160" i="22"/>
  <c r="I160" i="22"/>
  <c r="L160" i="22"/>
  <c r="G160" i="22"/>
  <c r="P160" i="22"/>
  <c r="K160" i="22"/>
  <c r="J160" i="22"/>
  <c r="AC158" i="22"/>
  <c r="U158" i="22"/>
  <c r="Z158" i="22"/>
  <c r="W158" i="22"/>
  <c r="AA158" i="22"/>
  <c r="K158" i="22"/>
  <c r="X158" i="22"/>
  <c r="H158" i="22"/>
  <c r="V158" i="22"/>
  <c r="J158" i="22"/>
  <c r="Q158" i="22"/>
  <c r="N158" i="22"/>
  <c r="I158" i="22"/>
  <c r="P158" i="22"/>
  <c r="L158" i="22"/>
  <c r="O158" i="22"/>
  <c r="G158" i="22"/>
  <c r="Z156" i="22"/>
  <c r="U156" i="22"/>
  <c r="AC156" i="22"/>
  <c r="W156" i="22"/>
  <c r="AA156" i="22"/>
  <c r="X156" i="22"/>
  <c r="J156" i="22"/>
  <c r="V156" i="22"/>
  <c r="I156" i="22"/>
  <c r="Q156" i="22"/>
  <c r="G156" i="22"/>
  <c r="O156" i="22"/>
  <c r="K156" i="22"/>
  <c r="P156" i="22"/>
  <c r="N156" i="22"/>
  <c r="L156" i="22"/>
  <c r="H156" i="22"/>
  <c r="AC154" i="22"/>
  <c r="AA154" i="22"/>
  <c r="Z154" i="22"/>
  <c r="U154" i="22"/>
  <c r="W154" i="22"/>
  <c r="X154" i="22"/>
  <c r="V154" i="22"/>
  <c r="K154" i="22"/>
  <c r="Q154" i="22"/>
  <c r="J154" i="22"/>
  <c r="I154" i="22"/>
  <c r="P154" i="22"/>
  <c r="N154" i="22"/>
  <c r="G154" i="22"/>
  <c r="O154" i="22"/>
  <c r="L154" i="22"/>
  <c r="H154" i="22"/>
  <c r="Z152" i="22"/>
  <c r="AC152" i="22"/>
  <c r="AA152" i="22"/>
  <c r="W152" i="22"/>
  <c r="U152" i="22"/>
  <c r="X152" i="22"/>
  <c r="V152" i="22"/>
  <c r="Q152" i="22"/>
  <c r="N152" i="22"/>
  <c r="J152" i="22"/>
  <c r="L152" i="22"/>
  <c r="P152" i="22"/>
  <c r="K152" i="22"/>
  <c r="O152" i="22"/>
  <c r="H152" i="22"/>
  <c r="G152" i="22"/>
  <c r="I152" i="22"/>
  <c r="AC150" i="22"/>
  <c r="W150" i="22"/>
  <c r="AA150" i="22"/>
  <c r="U150" i="22"/>
  <c r="Z150" i="22"/>
  <c r="X150" i="22"/>
  <c r="Q150" i="22"/>
  <c r="V150" i="22"/>
  <c r="K150" i="22"/>
  <c r="H150" i="22"/>
  <c r="I150" i="22"/>
  <c r="J150" i="22"/>
  <c r="N150" i="22"/>
  <c r="G150" i="22"/>
  <c r="P150" i="22"/>
  <c r="L150" i="22"/>
  <c r="O150" i="22"/>
  <c r="Z148" i="22"/>
  <c r="AC148" i="22"/>
  <c r="U148" i="22"/>
  <c r="W148" i="22"/>
  <c r="AA148" i="22"/>
  <c r="V148" i="22"/>
  <c r="H148" i="22"/>
  <c r="G148" i="22"/>
  <c r="X148" i="22"/>
  <c r="Q148" i="22"/>
  <c r="O148" i="22"/>
  <c r="I148" i="22"/>
  <c r="P148" i="22"/>
  <c r="L148" i="22"/>
  <c r="N148" i="22"/>
  <c r="J148" i="22"/>
  <c r="K148" i="22"/>
  <c r="AC146" i="22"/>
  <c r="W146" i="22"/>
  <c r="U146" i="22"/>
  <c r="AA146" i="22"/>
  <c r="Z146" i="22"/>
  <c r="X146" i="22"/>
  <c r="Q146" i="22"/>
  <c r="V146" i="22"/>
  <c r="I146" i="22"/>
  <c r="K146" i="22"/>
  <c r="H146" i="22"/>
  <c r="P146" i="22"/>
  <c r="J146" i="22"/>
  <c r="O146" i="22"/>
  <c r="N146" i="22"/>
  <c r="G146" i="22"/>
  <c r="L146" i="22"/>
  <c r="Z144" i="22"/>
  <c r="AC144" i="22"/>
  <c r="W144" i="22"/>
  <c r="U144" i="22"/>
  <c r="AA144" i="22"/>
  <c r="X144" i="22"/>
  <c r="J144" i="22"/>
  <c r="V144" i="22"/>
  <c r="N144" i="22"/>
  <c r="I144" i="22"/>
  <c r="Q144" i="22"/>
  <c r="L144" i="22"/>
  <c r="P144" i="22"/>
  <c r="K144" i="22"/>
  <c r="O144" i="22"/>
  <c r="H144" i="22"/>
  <c r="G144" i="22"/>
  <c r="AC142" i="22"/>
  <c r="U142" i="22"/>
  <c r="Z142" i="22"/>
  <c r="W142" i="22"/>
  <c r="AA142" i="22"/>
  <c r="H142" i="22"/>
  <c r="X142" i="22"/>
  <c r="V142" i="22"/>
  <c r="J142" i="22"/>
  <c r="Q142" i="22"/>
  <c r="K142" i="22"/>
  <c r="P142" i="22"/>
  <c r="L142" i="22"/>
  <c r="O142" i="22"/>
  <c r="N142" i="22"/>
  <c r="G142" i="22"/>
  <c r="I142" i="22"/>
  <c r="Z140" i="22"/>
  <c r="AC140" i="22"/>
  <c r="U140" i="22"/>
  <c r="W140" i="22"/>
  <c r="AA140" i="22"/>
  <c r="J140" i="22"/>
  <c r="X140" i="22"/>
  <c r="Q140" i="22"/>
  <c r="V140" i="22"/>
  <c r="L140" i="22"/>
  <c r="G140" i="22"/>
  <c r="N140" i="22"/>
  <c r="H140" i="22"/>
  <c r="O140" i="22"/>
  <c r="I140" i="22"/>
  <c r="K140" i="22"/>
  <c r="P140" i="22"/>
  <c r="AC138" i="22"/>
  <c r="Z138" i="22"/>
  <c r="U138" i="22"/>
  <c r="W138" i="22"/>
  <c r="X138" i="22"/>
  <c r="K138" i="22"/>
  <c r="AA138" i="22"/>
  <c r="V138" i="22"/>
  <c r="Q138" i="22"/>
  <c r="J138" i="22"/>
  <c r="O138" i="22"/>
  <c r="G138" i="22"/>
  <c r="H138" i="22"/>
  <c r="I138" i="22"/>
  <c r="L138" i="22"/>
  <c r="P138" i="22"/>
  <c r="N138" i="22"/>
  <c r="Z136" i="22"/>
  <c r="AC136" i="22"/>
  <c r="AA136" i="22"/>
  <c r="W136" i="22"/>
  <c r="X136" i="22"/>
  <c r="Q136" i="22"/>
  <c r="U136" i="22"/>
  <c r="V136" i="22"/>
  <c r="H136" i="22"/>
  <c r="L136" i="22"/>
  <c r="P136" i="22"/>
  <c r="K136" i="22"/>
  <c r="I136" i="22"/>
  <c r="O136" i="22"/>
  <c r="N136" i="22"/>
  <c r="G136" i="22"/>
  <c r="J136" i="22"/>
  <c r="AC134" i="22"/>
  <c r="Z134" i="22"/>
  <c r="U134" i="22"/>
  <c r="W134" i="22"/>
  <c r="AA134" i="22"/>
  <c r="X134" i="22"/>
  <c r="V134" i="22"/>
  <c r="Q134" i="22"/>
  <c r="K134" i="22"/>
  <c r="H134" i="22"/>
  <c r="I134" i="22"/>
  <c r="J134" i="22"/>
  <c r="P134" i="22"/>
  <c r="L134" i="22"/>
  <c r="G134" i="22"/>
  <c r="O134" i="22"/>
  <c r="N134" i="22"/>
  <c r="Z132" i="22"/>
  <c r="AC132" i="22"/>
  <c r="U132" i="22"/>
  <c r="W132" i="22"/>
  <c r="AA132" i="22"/>
  <c r="V132" i="22"/>
  <c r="G132" i="22"/>
  <c r="X132" i="22"/>
  <c r="Q132" i="22"/>
  <c r="J132" i="22"/>
  <c r="H132" i="22"/>
  <c r="P132" i="22"/>
  <c r="K132" i="22"/>
  <c r="N132" i="22"/>
  <c r="L132" i="22"/>
  <c r="O132" i="22"/>
  <c r="I132" i="22"/>
  <c r="AC130" i="22"/>
  <c r="Z130" i="22"/>
  <c r="U130" i="22"/>
  <c r="AA130" i="22"/>
  <c r="W130" i="22"/>
  <c r="X130" i="22"/>
  <c r="Q130" i="22"/>
  <c r="H130" i="22"/>
  <c r="V130" i="22"/>
  <c r="N130" i="22"/>
  <c r="I130" i="22"/>
  <c r="K130" i="22"/>
  <c r="L130" i="22"/>
  <c r="G130" i="22"/>
  <c r="P130" i="22"/>
  <c r="O130" i="22"/>
  <c r="J130" i="22"/>
  <c r="AC128" i="22"/>
  <c r="Z128" i="22"/>
  <c r="W128" i="22"/>
  <c r="U128" i="22"/>
  <c r="Q128" i="22"/>
  <c r="AA128" i="22"/>
  <c r="X128" i="22"/>
  <c r="V128" i="22"/>
  <c r="L128" i="22"/>
  <c r="O128" i="22"/>
  <c r="I128" i="22"/>
  <c r="J128" i="22"/>
  <c r="N128" i="22"/>
  <c r="G128" i="22"/>
  <c r="K128" i="22"/>
  <c r="P128" i="22"/>
  <c r="H128" i="22"/>
  <c r="AC126" i="22"/>
  <c r="AA126" i="22"/>
  <c r="U126" i="22"/>
  <c r="Z126" i="22"/>
  <c r="W126" i="22"/>
  <c r="X126" i="22"/>
  <c r="V126" i="22"/>
  <c r="K126" i="22"/>
  <c r="Q126" i="22"/>
  <c r="H126" i="22"/>
  <c r="J126" i="22"/>
  <c r="P126" i="22"/>
  <c r="L126" i="22"/>
  <c r="I126" i="22"/>
  <c r="O126" i="22"/>
  <c r="N126" i="22"/>
  <c r="G126" i="22"/>
  <c r="Z124" i="22"/>
  <c r="U124" i="22"/>
  <c r="AC124" i="22"/>
  <c r="W124" i="22"/>
  <c r="AA124" i="22"/>
  <c r="J124" i="22"/>
  <c r="X124" i="22"/>
  <c r="I124" i="22"/>
  <c r="V124" i="22"/>
  <c r="Q124" i="22"/>
  <c r="K124" i="22"/>
  <c r="P124" i="22"/>
  <c r="O124" i="22"/>
  <c r="G124" i="22"/>
  <c r="N124" i="22"/>
  <c r="H124" i="22"/>
  <c r="L124" i="22"/>
  <c r="AC122" i="22"/>
  <c r="W122" i="22"/>
  <c r="Z122" i="22"/>
  <c r="U122" i="22"/>
  <c r="AA122" i="22"/>
  <c r="X122" i="22"/>
  <c r="V122" i="22"/>
  <c r="K122" i="22"/>
  <c r="Q122" i="22"/>
  <c r="J122" i="22"/>
  <c r="I122" i="22"/>
  <c r="G122" i="22"/>
  <c r="L122" i="22"/>
  <c r="H122" i="22"/>
  <c r="P122" i="22"/>
  <c r="N122" i="22"/>
  <c r="O122" i="22"/>
  <c r="Z120" i="22"/>
  <c r="AC120" i="22"/>
  <c r="AA120" i="22"/>
  <c r="W120" i="22"/>
  <c r="U120" i="22"/>
  <c r="X120" i="22"/>
  <c r="Q120" i="22"/>
  <c r="V120" i="22"/>
  <c r="I120" i="22"/>
  <c r="P120" i="22"/>
  <c r="K120" i="22"/>
  <c r="O120" i="22"/>
  <c r="J120" i="22"/>
  <c r="H120" i="22"/>
  <c r="N120" i="22"/>
  <c r="G120" i="22"/>
  <c r="L120" i="22"/>
  <c r="AC118" i="22"/>
  <c r="W118" i="22"/>
  <c r="AA118" i="22"/>
  <c r="U118" i="22"/>
  <c r="Z118" i="22"/>
  <c r="V118" i="22"/>
  <c r="H118" i="22"/>
  <c r="I118" i="22"/>
  <c r="Q118" i="22"/>
  <c r="K118" i="22"/>
  <c r="J118" i="22"/>
  <c r="X118" i="22"/>
  <c r="P118" i="22"/>
  <c r="L118" i="22"/>
  <c r="O118" i="22"/>
  <c r="G118" i="22"/>
  <c r="N118" i="22"/>
  <c r="Z116" i="22"/>
  <c r="AC116" i="22"/>
  <c r="U116" i="22"/>
  <c r="W116" i="22"/>
  <c r="X116" i="22"/>
  <c r="H116" i="22"/>
  <c r="G116" i="22"/>
  <c r="V116" i="22"/>
  <c r="AA116" i="22"/>
  <c r="Q116" i="22"/>
  <c r="P116" i="22"/>
  <c r="K116" i="22"/>
  <c r="N116" i="22"/>
  <c r="L116" i="22"/>
  <c r="O116" i="22"/>
  <c r="I116" i="22"/>
  <c r="J116" i="22"/>
  <c r="AC114" i="22"/>
  <c r="Z114" i="22"/>
  <c r="W114" i="22"/>
  <c r="AA114" i="22"/>
  <c r="U114" i="22"/>
  <c r="X114" i="22"/>
  <c r="V114" i="22"/>
  <c r="K114" i="22"/>
  <c r="H114" i="22"/>
  <c r="Q114" i="22"/>
  <c r="I114" i="22"/>
  <c r="J114" i="22"/>
  <c r="G114" i="22"/>
  <c r="L114" i="22"/>
  <c r="N114" i="22"/>
  <c r="O114" i="22"/>
  <c r="P114" i="22"/>
  <c r="Z112" i="22"/>
  <c r="AC112" i="22"/>
  <c r="W112" i="22"/>
  <c r="U112" i="22"/>
  <c r="AA112" i="22"/>
  <c r="V112" i="22"/>
  <c r="Q112" i="22"/>
  <c r="X112" i="22"/>
  <c r="J112" i="22"/>
  <c r="O112" i="22"/>
  <c r="H112" i="22"/>
  <c r="N112" i="22"/>
  <c r="I112" i="22"/>
  <c r="L112" i="22"/>
  <c r="P112" i="22"/>
  <c r="K112" i="22"/>
  <c r="G112" i="22"/>
  <c r="AC110" i="22"/>
  <c r="U110" i="22"/>
  <c r="Z110" i="22"/>
  <c r="W110" i="22"/>
  <c r="AA110" i="22"/>
  <c r="V110" i="22"/>
  <c r="X110" i="22"/>
  <c r="K110" i="22"/>
  <c r="H110" i="22"/>
  <c r="J110" i="22"/>
  <c r="Q110" i="22"/>
  <c r="O110" i="22"/>
  <c r="N110" i="22"/>
  <c r="I110" i="22"/>
  <c r="P110" i="22"/>
  <c r="L110" i="22"/>
  <c r="G110" i="22"/>
  <c r="Z108" i="22"/>
  <c r="AC108" i="22"/>
  <c r="U108" i="22"/>
  <c r="W108" i="22"/>
  <c r="AA108" i="22"/>
  <c r="L108" i="22"/>
  <c r="V108" i="22"/>
  <c r="G108" i="22"/>
  <c r="X108" i="22"/>
  <c r="Q108" i="22"/>
  <c r="J108" i="22"/>
  <c r="P108" i="22"/>
  <c r="K108" i="22"/>
  <c r="N108" i="22"/>
  <c r="H108" i="22"/>
  <c r="O108" i="22"/>
  <c r="I108" i="22"/>
  <c r="AC106" i="22"/>
  <c r="W106" i="22"/>
  <c r="Z106" i="22"/>
  <c r="AA106" i="22"/>
  <c r="U106" i="22"/>
  <c r="V106" i="22"/>
  <c r="K106" i="22"/>
  <c r="J106" i="22"/>
  <c r="X106" i="22"/>
  <c r="Q106" i="22"/>
  <c r="L106" i="22"/>
  <c r="G106" i="22"/>
  <c r="P106" i="22"/>
  <c r="N106" i="22"/>
  <c r="H106" i="22"/>
  <c r="O106" i="22"/>
  <c r="I106" i="22"/>
  <c r="Z104" i="22"/>
  <c r="AC104" i="22"/>
  <c r="AA104" i="22"/>
  <c r="W104" i="22"/>
  <c r="U104" i="22"/>
  <c r="H104" i="22"/>
  <c r="V104" i="22"/>
  <c r="Q104" i="22"/>
  <c r="X104" i="22"/>
  <c r="I104" i="22"/>
  <c r="N104" i="22"/>
  <c r="J104" i="22"/>
  <c r="G104" i="22"/>
  <c r="L104" i="22"/>
  <c r="P104" i="22"/>
  <c r="K104" i="22"/>
  <c r="O104" i="22"/>
  <c r="AC102" i="22"/>
  <c r="AA102" i="22"/>
  <c r="Z102" i="22"/>
  <c r="U102" i="22"/>
  <c r="W102" i="22"/>
  <c r="X102" i="22"/>
  <c r="H102" i="22"/>
  <c r="V102" i="22"/>
  <c r="Q102" i="22"/>
  <c r="I102" i="22"/>
  <c r="K102" i="22"/>
  <c r="J102" i="22"/>
  <c r="O102" i="22"/>
  <c r="N102" i="22"/>
  <c r="G102" i="22"/>
  <c r="P102" i="22"/>
  <c r="L102" i="22"/>
  <c r="Z100" i="22"/>
  <c r="AC100" i="22"/>
  <c r="U100" i="22"/>
  <c r="W100" i="22"/>
  <c r="AA100" i="22"/>
  <c r="H100" i="22"/>
  <c r="X100" i="22"/>
  <c r="G100" i="22"/>
  <c r="Q100" i="22"/>
  <c r="V100" i="22"/>
  <c r="O100" i="22"/>
  <c r="I100" i="22"/>
  <c r="J100" i="22"/>
  <c r="P100" i="22"/>
  <c r="K100" i="22"/>
  <c r="N100" i="22"/>
  <c r="L100" i="22"/>
  <c r="AC98" i="22"/>
  <c r="Z98" i="22"/>
  <c r="U98" i="22"/>
  <c r="AA98" i="22"/>
  <c r="W98" i="22"/>
  <c r="X98" i="22"/>
  <c r="K98" i="22"/>
  <c r="I98" i="22"/>
  <c r="V98" i="22"/>
  <c r="Q98" i="22"/>
  <c r="H98" i="22"/>
  <c r="N98" i="22"/>
  <c r="L98" i="22"/>
  <c r="O98" i="22"/>
  <c r="J98" i="22"/>
  <c r="P98" i="22"/>
  <c r="G98" i="22"/>
  <c r="AC96" i="22"/>
  <c r="Z96" i="22"/>
  <c r="W96" i="22"/>
  <c r="U96" i="22"/>
  <c r="AA96" i="22"/>
  <c r="X96" i="22"/>
  <c r="V96" i="22"/>
  <c r="Q96" i="22"/>
  <c r="O96" i="22"/>
  <c r="H96" i="22"/>
  <c r="N96" i="22"/>
  <c r="I96" i="22"/>
  <c r="L96" i="22"/>
  <c r="P96" i="22"/>
  <c r="G96" i="22"/>
  <c r="J96" i="22"/>
  <c r="K96" i="22"/>
  <c r="AC94" i="22"/>
  <c r="U94" i="22"/>
  <c r="Z94" i="22"/>
  <c r="W94" i="22"/>
  <c r="AA94" i="22"/>
  <c r="X94" i="22"/>
  <c r="Q94" i="22"/>
  <c r="K94" i="22"/>
  <c r="H94" i="22"/>
  <c r="V94" i="22"/>
  <c r="J94" i="22"/>
  <c r="N94" i="22"/>
  <c r="I94" i="22"/>
  <c r="O94" i="22"/>
  <c r="L94" i="22"/>
  <c r="P94" i="22"/>
  <c r="G94" i="22"/>
  <c r="Z92" i="22"/>
  <c r="U92" i="22"/>
  <c r="AC92" i="22"/>
  <c r="W92" i="22"/>
  <c r="AA92" i="22"/>
  <c r="I92" i="22"/>
  <c r="X92" i="22"/>
  <c r="G92" i="22"/>
  <c r="O92" i="22"/>
  <c r="V92" i="22"/>
  <c r="Q92" i="22"/>
  <c r="N92" i="22"/>
  <c r="H92" i="22"/>
  <c r="K92" i="22"/>
  <c r="P92" i="22"/>
  <c r="J92" i="22"/>
  <c r="L92" i="22"/>
  <c r="AC90" i="22"/>
  <c r="AA90" i="22"/>
  <c r="Z90" i="22"/>
  <c r="U90" i="22"/>
  <c r="W90" i="22"/>
  <c r="X90" i="22"/>
  <c r="J90" i="22"/>
  <c r="V90" i="22"/>
  <c r="K90" i="22"/>
  <c r="Q90" i="22"/>
  <c r="I90" i="22"/>
  <c r="P90" i="22"/>
  <c r="N90" i="22"/>
  <c r="G90" i="22"/>
  <c r="O90" i="22"/>
  <c r="L90" i="22"/>
  <c r="H90" i="22"/>
  <c r="Z88" i="22"/>
  <c r="AC88" i="22"/>
  <c r="AA88" i="22"/>
  <c r="W88" i="22"/>
  <c r="U88" i="22"/>
  <c r="Q88" i="22"/>
  <c r="X88" i="22"/>
  <c r="V88" i="22"/>
  <c r="N88" i="22"/>
  <c r="I88" i="22"/>
  <c r="L88" i="22"/>
  <c r="P88" i="22"/>
  <c r="K88" i="22"/>
  <c r="J88" i="22"/>
  <c r="G88" i="22"/>
  <c r="H88" i="22"/>
  <c r="O88" i="22"/>
  <c r="AC86" i="22"/>
  <c r="U86" i="22"/>
  <c r="Z86" i="22"/>
  <c r="W86" i="22"/>
  <c r="X86" i="22"/>
  <c r="V86" i="22"/>
  <c r="J86" i="22"/>
  <c r="AA86" i="22"/>
  <c r="K86" i="22"/>
  <c r="I86" i="22"/>
  <c r="Q86" i="22"/>
  <c r="H86" i="22"/>
  <c r="N86" i="22"/>
  <c r="G86" i="22"/>
  <c r="P86" i="22"/>
  <c r="L86" i="22"/>
  <c r="O86" i="22"/>
  <c r="AC84" i="22"/>
  <c r="Z84" i="22"/>
  <c r="U84" i="22"/>
  <c r="W84" i="22"/>
  <c r="Q84" i="22"/>
  <c r="X84" i="22"/>
  <c r="G84" i="22"/>
  <c r="AA84" i="22"/>
  <c r="V84" i="22"/>
  <c r="H84" i="22"/>
  <c r="I84" i="22"/>
  <c r="P84" i="22"/>
  <c r="K84" i="22"/>
  <c r="O84" i="22"/>
  <c r="J84" i="22"/>
  <c r="N84" i="22"/>
  <c r="L84" i="22"/>
  <c r="AC82" i="22"/>
  <c r="Z82" i="22"/>
  <c r="W82" i="22"/>
  <c r="U82" i="22"/>
  <c r="AA82" i="22"/>
  <c r="X82" i="22"/>
  <c r="V82" i="22"/>
  <c r="K82" i="22"/>
  <c r="Q82" i="22"/>
  <c r="I82" i="22"/>
  <c r="H82" i="22"/>
  <c r="J82" i="22"/>
  <c r="O82" i="22"/>
  <c r="P82" i="22"/>
  <c r="G82" i="22"/>
  <c r="L82" i="22"/>
  <c r="N82" i="22"/>
  <c r="Z80" i="22"/>
  <c r="AC80" i="22"/>
  <c r="W80" i="22"/>
  <c r="U80" i="22"/>
  <c r="AA80" i="22"/>
  <c r="Q80" i="22"/>
  <c r="X80" i="22"/>
  <c r="V80" i="22"/>
  <c r="O80" i="22"/>
  <c r="H80" i="22"/>
  <c r="L80" i="22"/>
  <c r="I80" i="22"/>
  <c r="P80" i="22"/>
  <c r="K80" i="22"/>
  <c r="N80" i="22"/>
  <c r="J80" i="22"/>
  <c r="G80" i="22"/>
  <c r="AC78" i="22"/>
  <c r="AA78" i="22"/>
  <c r="U78" i="22"/>
  <c r="Z78" i="22"/>
  <c r="W78" i="22"/>
  <c r="H78" i="22"/>
  <c r="X78" i="22"/>
  <c r="V78" i="22"/>
  <c r="Q78" i="22"/>
  <c r="K78" i="22"/>
  <c r="J78" i="22"/>
  <c r="O78" i="22"/>
  <c r="L78" i="22"/>
  <c r="P78" i="22"/>
  <c r="N78" i="22"/>
  <c r="G78" i="22"/>
  <c r="I78" i="22"/>
  <c r="U76" i="22"/>
  <c r="AC76" i="22"/>
  <c r="Z76" i="22"/>
  <c r="W76" i="22"/>
  <c r="AA76" i="22"/>
  <c r="X76" i="22"/>
  <c r="L76" i="22"/>
  <c r="V76" i="22"/>
  <c r="G76" i="22"/>
  <c r="Q76" i="22"/>
  <c r="N76" i="22"/>
  <c r="H76" i="22"/>
  <c r="P76" i="22"/>
  <c r="K76" i="22"/>
  <c r="J76" i="22"/>
  <c r="I76" i="22"/>
  <c r="O76" i="22"/>
  <c r="AC74" i="22"/>
  <c r="W74" i="22"/>
  <c r="Z74" i="22"/>
  <c r="U74" i="22"/>
  <c r="AA74" i="22"/>
  <c r="X74" i="22"/>
  <c r="J74" i="22"/>
  <c r="V74" i="22"/>
  <c r="Q74" i="22"/>
  <c r="K74" i="22"/>
  <c r="I74" i="22"/>
  <c r="O74" i="22"/>
  <c r="G74" i="22"/>
  <c r="H74" i="22"/>
  <c r="N74" i="22"/>
  <c r="P74" i="22"/>
  <c r="L74" i="22"/>
  <c r="Z72" i="22"/>
  <c r="AC72" i="22"/>
  <c r="AA72" i="22"/>
  <c r="W72" i="22"/>
  <c r="X72" i="22"/>
  <c r="V72" i="22"/>
  <c r="I72" i="22"/>
  <c r="Q72" i="22"/>
  <c r="H72" i="22"/>
  <c r="U72" i="22"/>
  <c r="N72" i="22"/>
  <c r="G72" i="22"/>
  <c r="L72" i="22"/>
  <c r="P72" i="22"/>
  <c r="K72" i="22"/>
  <c r="O72" i="22"/>
  <c r="J72" i="22"/>
  <c r="AC70" i="22"/>
  <c r="AA70" i="22"/>
  <c r="Z70" i="22"/>
  <c r="U70" i="22"/>
  <c r="W70" i="22"/>
  <c r="I70" i="22"/>
  <c r="X70" i="22"/>
  <c r="V70" i="22"/>
  <c r="J70" i="22"/>
  <c r="Q70" i="22"/>
  <c r="K70" i="22"/>
  <c r="H70" i="22"/>
  <c r="P70" i="22"/>
  <c r="L70" i="22"/>
  <c r="G70" i="22"/>
  <c r="O70" i="22"/>
  <c r="N70" i="22"/>
  <c r="Z68" i="22"/>
  <c r="AC68" i="22"/>
  <c r="U68" i="22"/>
  <c r="W68" i="22"/>
  <c r="AA68" i="22"/>
  <c r="X68" i="22"/>
  <c r="G68" i="22"/>
  <c r="V68" i="22"/>
  <c r="Q68" i="22"/>
  <c r="I68" i="22"/>
  <c r="P68" i="22"/>
  <c r="K68" i="22"/>
  <c r="H68" i="22"/>
  <c r="O68" i="22"/>
  <c r="J68" i="22"/>
  <c r="N68" i="22"/>
  <c r="L68" i="22"/>
  <c r="AC66" i="22"/>
  <c r="U66" i="22"/>
  <c r="AA66" i="22"/>
  <c r="W66" i="22"/>
  <c r="Z66" i="22"/>
  <c r="X66" i="22"/>
  <c r="K66" i="22"/>
  <c r="V66" i="22"/>
  <c r="Q66" i="22"/>
  <c r="H66" i="22"/>
  <c r="I66" i="22"/>
  <c r="J66" i="22"/>
  <c r="N66" i="22"/>
  <c r="G66" i="22"/>
  <c r="P66" i="22"/>
  <c r="O66" i="22"/>
  <c r="L66" i="22"/>
  <c r="Z64" i="22"/>
  <c r="AC64" i="22"/>
  <c r="W64" i="22"/>
  <c r="U64" i="22"/>
  <c r="AA64" i="22"/>
  <c r="V64" i="22"/>
  <c r="Q64" i="22"/>
  <c r="X64" i="22"/>
  <c r="N64" i="22"/>
  <c r="H64" i="22"/>
  <c r="L64" i="22"/>
  <c r="I64" i="22"/>
  <c r="G64" i="22"/>
  <c r="P64" i="22"/>
  <c r="K64" i="22"/>
  <c r="O64" i="22"/>
  <c r="J64" i="22"/>
  <c r="AC62" i="22"/>
  <c r="U62" i="22"/>
  <c r="Z62" i="22"/>
  <c r="W62" i="22"/>
  <c r="AA62" i="22"/>
  <c r="X62" i="22"/>
  <c r="Q62" i="22"/>
  <c r="K62" i="22"/>
  <c r="V62" i="22"/>
  <c r="J62" i="22"/>
  <c r="H62" i="22"/>
  <c r="I62" i="22"/>
  <c r="O62" i="22"/>
  <c r="L62" i="22"/>
  <c r="P62" i="22"/>
  <c r="N62" i="22"/>
  <c r="G62" i="22"/>
  <c r="Z60" i="22"/>
  <c r="U60" i="22"/>
  <c r="AC60" i="22"/>
  <c r="W60" i="22"/>
  <c r="AA60" i="22"/>
  <c r="V60" i="22"/>
  <c r="Q60" i="22"/>
  <c r="X60" i="22"/>
  <c r="G60" i="22"/>
  <c r="I60" i="22"/>
  <c r="O60" i="22"/>
  <c r="H60" i="22"/>
  <c r="L60" i="22"/>
  <c r="P60" i="22"/>
  <c r="K60" i="22"/>
  <c r="N60" i="22"/>
  <c r="J60" i="22"/>
  <c r="AC58" i="22"/>
  <c r="AA58" i="22"/>
  <c r="W58" i="22"/>
  <c r="Z58" i="22"/>
  <c r="U58" i="22"/>
  <c r="X58" i="22"/>
  <c r="J58" i="22"/>
  <c r="V58" i="22"/>
  <c r="K58" i="22"/>
  <c r="Q58" i="22"/>
  <c r="I58" i="22"/>
  <c r="O58" i="22"/>
  <c r="G58" i="22"/>
  <c r="N58" i="22"/>
  <c r="H58" i="22"/>
  <c r="P58" i="22"/>
  <c r="L58" i="22"/>
  <c r="AC56" i="22"/>
  <c r="Z56" i="22"/>
  <c r="AA56" i="22"/>
  <c r="W56" i="22"/>
  <c r="U56" i="22"/>
  <c r="V56" i="22"/>
  <c r="Q56" i="22"/>
  <c r="X56" i="22"/>
  <c r="N56" i="22"/>
  <c r="L56" i="22"/>
  <c r="I56" i="22"/>
  <c r="P56" i="22"/>
  <c r="K56" i="22"/>
  <c r="J56" i="22"/>
  <c r="G56" i="22"/>
  <c r="O56" i="22"/>
  <c r="H56" i="22"/>
  <c r="AC54" i="22"/>
  <c r="AA54" i="22"/>
  <c r="U54" i="22"/>
  <c r="Z54" i="22"/>
  <c r="W54" i="22"/>
  <c r="X54" i="22"/>
  <c r="V54" i="22"/>
  <c r="I54" i="22"/>
  <c r="J54" i="22"/>
  <c r="K54" i="22"/>
  <c r="Q54" i="22"/>
  <c r="H54" i="22"/>
  <c r="P54" i="22"/>
  <c r="L54" i="22"/>
  <c r="G54" i="22"/>
  <c r="O54" i="22"/>
  <c r="N54" i="22"/>
  <c r="AC52" i="22"/>
  <c r="Z52" i="22"/>
  <c r="U52" i="22"/>
  <c r="W52" i="22"/>
  <c r="V52" i="22"/>
  <c r="AA52" i="22"/>
  <c r="H52" i="22"/>
  <c r="Q52" i="22"/>
  <c r="X52" i="22"/>
  <c r="G52" i="22"/>
  <c r="N52" i="22"/>
  <c r="I52" i="22"/>
  <c r="P52" i="22"/>
  <c r="K52" i="22"/>
  <c r="O52" i="22"/>
  <c r="J52" i="22"/>
  <c r="L52" i="22"/>
  <c r="AC50" i="22"/>
  <c r="Z50" i="22"/>
  <c r="AA50" i="22"/>
  <c r="W50" i="22"/>
  <c r="U50" i="22"/>
  <c r="I50" i="22"/>
  <c r="K50" i="22"/>
  <c r="X50" i="22"/>
  <c r="Q50" i="22"/>
  <c r="V50" i="22"/>
  <c r="J50" i="22"/>
  <c r="H50" i="22"/>
  <c r="N50" i="22"/>
  <c r="P50" i="22"/>
  <c r="G50" i="22"/>
  <c r="O50" i="22"/>
  <c r="L50" i="22"/>
  <c r="AC48" i="22"/>
  <c r="Z48" i="22"/>
  <c r="W48" i="22"/>
  <c r="U48" i="22"/>
  <c r="AA48" i="22"/>
  <c r="V48" i="22"/>
  <c r="Q48" i="22"/>
  <c r="X48" i="22"/>
  <c r="L48" i="22"/>
  <c r="H48" i="22"/>
  <c r="K48" i="22"/>
  <c r="I48" i="22"/>
  <c r="P48" i="22"/>
  <c r="J48" i="22"/>
  <c r="N48" i="22"/>
  <c r="O48" i="22"/>
  <c r="G48" i="22"/>
  <c r="AC46" i="22"/>
  <c r="W46" i="22"/>
  <c r="AA46" i="22"/>
  <c r="U46" i="22"/>
  <c r="Z46" i="22"/>
  <c r="Q46" i="22"/>
  <c r="H46" i="22"/>
  <c r="X46" i="22"/>
  <c r="K46" i="22"/>
  <c r="V46" i="22"/>
  <c r="J46" i="22"/>
  <c r="O46" i="22"/>
  <c r="L46" i="22"/>
  <c r="I46" i="22"/>
  <c r="P46" i="22"/>
  <c r="N46" i="22"/>
  <c r="G46" i="22"/>
  <c r="Z44" i="22"/>
  <c r="U44" i="22"/>
  <c r="AC44" i="22"/>
  <c r="W44" i="22"/>
  <c r="AA44" i="22"/>
  <c r="L44" i="22"/>
  <c r="V44" i="22"/>
  <c r="G44" i="22"/>
  <c r="X44" i="22"/>
  <c r="Q44" i="22"/>
  <c r="N44" i="22"/>
  <c r="H44" i="22"/>
  <c r="P44" i="22"/>
  <c r="K44" i="22"/>
  <c r="O44" i="22"/>
  <c r="J44" i="22"/>
  <c r="I44" i="22"/>
  <c r="AC42" i="22"/>
  <c r="U42" i="22"/>
  <c r="W42" i="22"/>
  <c r="Z42" i="22"/>
  <c r="AA42" i="22"/>
  <c r="X42" i="22"/>
  <c r="V42" i="22"/>
  <c r="J42" i="22"/>
  <c r="Q42" i="22"/>
  <c r="K42" i="22"/>
  <c r="O42" i="22"/>
  <c r="G42" i="22"/>
  <c r="H42" i="22"/>
  <c r="I42" i="22"/>
  <c r="N42" i="22"/>
  <c r="P42" i="22"/>
  <c r="L42" i="22"/>
  <c r="Z40" i="22"/>
  <c r="AC40" i="22"/>
  <c r="AA40" i="22"/>
  <c r="W40" i="22"/>
  <c r="V40" i="22"/>
  <c r="I40" i="22"/>
  <c r="U40" i="22"/>
  <c r="Q40" i="22"/>
  <c r="X40" i="22"/>
  <c r="H40" i="22"/>
  <c r="L40" i="22"/>
  <c r="G40" i="22"/>
  <c r="K40" i="22"/>
  <c r="P40" i="22"/>
  <c r="J40" i="22"/>
  <c r="O40" i="22"/>
  <c r="N40" i="22"/>
  <c r="AC38" i="22"/>
  <c r="U38" i="22"/>
  <c r="W38" i="22"/>
  <c r="AA38" i="22"/>
  <c r="X38" i="22"/>
  <c r="Z38" i="22"/>
  <c r="V38" i="22"/>
  <c r="J38" i="22"/>
  <c r="I38" i="22"/>
  <c r="Q38" i="22"/>
  <c r="K38" i="22"/>
  <c r="H38" i="22"/>
  <c r="P38" i="22"/>
  <c r="L38" i="22"/>
  <c r="G38" i="22"/>
  <c r="O38" i="22"/>
  <c r="N38" i="22"/>
  <c r="Z36" i="22"/>
  <c r="AC36" i="22"/>
  <c r="U36" i="22"/>
  <c r="W36" i="22"/>
  <c r="AA36" i="22"/>
  <c r="H36" i="22"/>
  <c r="G36" i="22"/>
  <c r="X36" i="22"/>
  <c r="Q36" i="22"/>
  <c r="V36" i="22"/>
  <c r="N36" i="22"/>
  <c r="L36" i="22"/>
  <c r="I36" i="22"/>
  <c r="P36" i="22"/>
  <c r="K36" i="22"/>
  <c r="O36" i="22"/>
  <c r="J36" i="22"/>
  <c r="AC34" i="22"/>
  <c r="Z34" i="22"/>
  <c r="U34" i="22"/>
  <c r="AA34" i="22"/>
  <c r="W34" i="22"/>
  <c r="H34" i="22"/>
  <c r="K34" i="22"/>
  <c r="X34" i="22"/>
  <c r="Q34" i="22"/>
  <c r="I34" i="22"/>
  <c r="V34" i="22"/>
  <c r="J34" i="22"/>
  <c r="N34" i="22"/>
  <c r="G34" i="22"/>
  <c r="P34" i="22"/>
  <c r="O34" i="22"/>
  <c r="L34" i="22"/>
  <c r="Z32" i="22"/>
  <c r="AC32" i="22"/>
  <c r="W32" i="22"/>
  <c r="U32" i="22"/>
  <c r="X32" i="22"/>
  <c r="Q32" i="22"/>
  <c r="AA32" i="22"/>
  <c r="V32" i="22"/>
  <c r="O32" i="22"/>
  <c r="J32" i="22"/>
  <c r="N32" i="22"/>
  <c r="H32" i="22"/>
  <c r="G32" i="22"/>
  <c r="L32" i="22"/>
  <c r="I32" i="22"/>
  <c r="P32" i="22"/>
  <c r="K32" i="22"/>
  <c r="AC30" i="22"/>
  <c r="AA30" i="22"/>
  <c r="U30" i="22"/>
  <c r="Z30" i="22"/>
  <c r="W30" i="22"/>
  <c r="X30" i="22"/>
  <c r="V30" i="22"/>
  <c r="Q30" i="22"/>
  <c r="H30" i="22"/>
  <c r="K30" i="22"/>
  <c r="J30" i="22"/>
  <c r="I30" i="22"/>
  <c r="O30" i="22"/>
  <c r="L30" i="22"/>
  <c r="P30" i="22"/>
  <c r="N30" i="22"/>
  <c r="G30" i="22"/>
  <c r="Z28" i="22"/>
  <c r="U28" i="22"/>
  <c r="AC28" i="22"/>
  <c r="W28" i="22"/>
  <c r="AA28" i="22"/>
  <c r="Q28" i="22"/>
  <c r="X28" i="22"/>
  <c r="V28" i="22"/>
  <c r="I28" i="22"/>
  <c r="G28" i="22"/>
  <c r="O28" i="22"/>
  <c r="P28" i="22"/>
  <c r="K28" i="22"/>
  <c r="N28" i="22"/>
  <c r="J28" i="22"/>
  <c r="H28" i="22"/>
  <c r="L28" i="22"/>
  <c r="AC26" i="22"/>
  <c r="W26" i="22"/>
  <c r="AA26" i="22"/>
  <c r="Z26" i="22"/>
  <c r="U26" i="22"/>
  <c r="J26" i="22"/>
  <c r="X26" i="22"/>
  <c r="V26" i="22"/>
  <c r="K26" i="22"/>
  <c r="Q26" i="22"/>
  <c r="I26" i="22"/>
  <c r="O26" i="22"/>
  <c r="G26" i="22"/>
  <c r="N26" i="22"/>
  <c r="P26" i="22"/>
  <c r="L26" i="22"/>
  <c r="H26" i="22"/>
  <c r="AC24" i="22"/>
  <c r="AA24" i="22"/>
  <c r="Z24" i="22"/>
  <c r="W24" i="22"/>
  <c r="U24" i="22"/>
  <c r="X24" i="22"/>
  <c r="V24" i="22"/>
  <c r="I24" i="22"/>
  <c r="Q24" i="22"/>
  <c r="O24" i="22"/>
  <c r="J24" i="22"/>
  <c r="H24" i="22"/>
  <c r="N24" i="22"/>
  <c r="L24" i="22"/>
  <c r="G24" i="22"/>
  <c r="P24" i="22"/>
  <c r="K24" i="22"/>
  <c r="AC22" i="22"/>
  <c r="W22" i="22"/>
  <c r="AA22" i="22"/>
  <c r="Z22" i="22"/>
  <c r="X22" i="22"/>
  <c r="V22" i="22"/>
  <c r="J22" i="22"/>
  <c r="I22" i="22"/>
  <c r="U22" i="22"/>
  <c r="K22" i="22"/>
  <c r="Q22" i="22"/>
  <c r="P22" i="22"/>
  <c r="L22" i="22"/>
  <c r="G22" i="22"/>
  <c r="H22" i="22"/>
  <c r="O22" i="22"/>
  <c r="N22" i="22"/>
  <c r="Z20" i="22"/>
  <c r="AC20" i="22"/>
  <c r="U20" i="22"/>
  <c r="W20" i="22"/>
  <c r="AA20" i="22"/>
  <c r="X20" i="22"/>
  <c r="N20" i="22"/>
  <c r="V20" i="22"/>
  <c r="G20" i="22"/>
  <c r="Q20" i="22"/>
  <c r="H20" i="22"/>
  <c r="P20" i="22"/>
  <c r="J20" i="22"/>
  <c r="O20" i="22"/>
  <c r="L20" i="22"/>
  <c r="I20" i="22"/>
  <c r="K20" i="22"/>
  <c r="AC18" i="22"/>
  <c r="U18" i="22"/>
  <c r="AA18" i="22"/>
  <c r="Z18" i="22"/>
  <c r="W18" i="22"/>
  <c r="K18" i="22"/>
  <c r="I18" i="22"/>
  <c r="H18" i="22"/>
  <c r="X18" i="22"/>
  <c r="Q18" i="22"/>
  <c r="V18" i="22"/>
  <c r="J18" i="22"/>
  <c r="P18" i="22"/>
  <c r="N18" i="22"/>
  <c r="G18" i="22"/>
  <c r="O18" i="22"/>
  <c r="L18" i="22"/>
  <c r="AC16" i="22"/>
  <c r="Z16" i="22"/>
  <c r="W16" i="22"/>
  <c r="U16" i="22"/>
  <c r="AA16" i="22"/>
  <c r="V16" i="22"/>
  <c r="X16" i="22"/>
  <c r="Q16" i="22"/>
  <c r="N16" i="22"/>
  <c r="J16" i="22"/>
  <c r="O16" i="22"/>
  <c r="H16" i="22"/>
  <c r="L16" i="22"/>
  <c r="I16" i="22"/>
  <c r="P16" i="22"/>
  <c r="K16" i="22"/>
  <c r="G16" i="22"/>
  <c r="AC14" i="22"/>
  <c r="U14" i="22"/>
  <c r="Z14" i="22"/>
  <c r="W14" i="22"/>
  <c r="AA14" i="22"/>
  <c r="H14" i="22"/>
  <c r="X14" i="22"/>
  <c r="V14" i="22"/>
  <c r="Q14" i="22"/>
  <c r="K14" i="22"/>
  <c r="J14" i="22"/>
  <c r="O14" i="22"/>
  <c r="L14" i="22"/>
  <c r="P14" i="22"/>
  <c r="N14" i="22"/>
  <c r="G14" i="22"/>
  <c r="I14" i="22"/>
  <c r="Z12" i="22"/>
  <c r="U12" i="22"/>
  <c r="AC12" i="22"/>
  <c r="W12" i="22"/>
  <c r="AA12" i="22"/>
  <c r="V12" i="22"/>
  <c r="Q12" i="22"/>
  <c r="G12" i="22"/>
  <c r="L12" i="22"/>
  <c r="X12" i="22"/>
  <c r="O12" i="22"/>
  <c r="J12" i="22"/>
  <c r="I12" i="22"/>
  <c r="N12" i="22"/>
  <c r="H12" i="22"/>
  <c r="P12" i="22"/>
  <c r="K12" i="22"/>
  <c r="AC10" i="22"/>
  <c r="Z10" i="22"/>
  <c r="U10" i="22"/>
  <c r="W10" i="22"/>
  <c r="AA10" i="22"/>
  <c r="J10" i="22"/>
  <c r="X10" i="22"/>
  <c r="V10" i="22"/>
  <c r="Q10" i="22"/>
  <c r="K10" i="22"/>
  <c r="O10" i="22"/>
  <c r="G10" i="22"/>
  <c r="H10" i="22"/>
  <c r="N10" i="22"/>
  <c r="I10" i="22"/>
  <c r="P10" i="22"/>
  <c r="L10" i="22"/>
  <c r="Z8" i="22"/>
  <c r="AC8" i="22"/>
  <c r="AA8" i="22"/>
  <c r="W8" i="22"/>
  <c r="V8" i="22"/>
  <c r="U8" i="22"/>
  <c r="H8" i="22"/>
  <c r="Q8" i="22"/>
  <c r="X8" i="22"/>
  <c r="I8" i="22"/>
  <c r="P8" i="22"/>
  <c r="K8" i="22"/>
  <c r="O8" i="22"/>
  <c r="J8" i="22"/>
  <c r="N8" i="22"/>
  <c r="G8" i="22"/>
  <c r="L8" i="22"/>
  <c r="AC6" i="22"/>
  <c r="Z6" i="22"/>
  <c r="U6" i="22"/>
  <c r="W6" i="22"/>
  <c r="AA6" i="22"/>
  <c r="I6" i="22"/>
  <c r="X6" i="22"/>
  <c r="V6" i="22"/>
  <c r="J6" i="22"/>
  <c r="Q6" i="22"/>
  <c r="K6" i="22"/>
  <c r="H6" i="22"/>
  <c r="P6" i="22"/>
  <c r="L6" i="22"/>
  <c r="G6" i="22"/>
  <c r="O6" i="22"/>
  <c r="N6" i="22"/>
  <c r="AC501" i="22"/>
  <c r="AA501" i="22"/>
  <c r="X501" i="22"/>
  <c r="G501" i="22"/>
  <c r="Q501" i="22"/>
  <c r="P501" i="22"/>
  <c r="I501" i="22"/>
  <c r="N501" i="22"/>
  <c r="O501" i="22"/>
  <c r="K501" i="22"/>
  <c r="J501" i="22"/>
  <c r="H501" i="22"/>
  <c r="L501" i="22"/>
  <c r="AC497" i="22"/>
  <c r="AA497" i="22"/>
  <c r="X497" i="22"/>
  <c r="I497" i="22"/>
  <c r="P497" i="22"/>
  <c r="G497" i="22"/>
  <c r="J497" i="22"/>
  <c r="N497" i="22"/>
  <c r="Q497" i="22"/>
  <c r="O497" i="22"/>
  <c r="K497" i="22"/>
  <c r="H497" i="22"/>
  <c r="L497" i="22"/>
  <c r="AC493" i="22"/>
  <c r="AA493" i="22"/>
  <c r="Q493" i="22"/>
  <c r="X493" i="22"/>
  <c r="P493" i="22"/>
  <c r="J493" i="22"/>
  <c r="H493" i="22"/>
  <c r="O493" i="22"/>
  <c r="K493" i="22"/>
  <c r="G493" i="22"/>
  <c r="N493" i="22"/>
  <c r="L493" i="22"/>
  <c r="I493" i="22"/>
  <c r="AC489" i="22"/>
  <c r="AA489" i="22"/>
  <c r="X489" i="22"/>
  <c r="O489" i="22"/>
  <c r="G489" i="22"/>
  <c r="N489" i="22"/>
  <c r="J489" i="22"/>
  <c r="P489" i="22"/>
  <c r="L489" i="22"/>
  <c r="H489" i="22"/>
  <c r="K489" i="22"/>
  <c r="Q489" i="22"/>
  <c r="I489" i="22"/>
  <c r="AC485" i="22"/>
  <c r="AA485" i="22"/>
  <c r="G485" i="22"/>
  <c r="Q485" i="22"/>
  <c r="X485" i="22"/>
  <c r="L485" i="22"/>
  <c r="N485" i="22"/>
  <c r="O485" i="22"/>
  <c r="I485" i="22"/>
  <c r="H485" i="22"/>
  <c r="K485" i="22"/>
  <c r="J485" i="22"/>
  <c r="P485" i="22"/>
  <c r="AC481" i="22"/>
  <c r="AA481" i="22"/>
  <c r="X481" i="22"/>
  <c r="K481" i="22"/>
  <c r="L481" i="22"/>
  <c r="P481" i="22"/>
  <c r="I481" i="22"/>
  <c r="J481" i="22"/>
  <c r="O481" i="22"/>
  <c r="N481" i="22"/>
  <c r="Q481" i="22"/>
  <c r="G481" i="22"/>
  <c r="H481" i="22"/>
  <c r="AC477" i="22"/>
  <c r="AA477" i="22"/>
  <c r="Q477" i="22"/>
  <c r="I477" i="22"/>
  <c r="X477" i="22"/>
  <c r="P477" i="22"/>
  <c r="K477" i="22"/>
  <c r="N477" i="22"/>
  <c r="L477" i="22"/>
  <c r="O477" i="22"/>
  <c r="G477" i="22"/>
  <c r="J477" i="22"/>
  <c r="H477" i="22"/>
  <c r="AC473" i="22"/>
  <c r="AA473" i="22"/>
  <c r="X473" i="22"/>
  <c r="K473" i="22"/>
  <c r="O473" i="22"/>
  <c r="I473" i="22"/>
  <c r="L473" i="22"/>
  <c r="J473" i="22"/>
  <c r="H473" i="22"/>
  <c r="P473" i="22"/>
  <c r="G473" i="22"/>
  <c r="Q473" i="22"/>
  <c r="N473" i="22"/>
  <c r="AC469" i="22"/>
  <c r="AA469" i="22"/>
  <c r="X469" i="22"/>
  <c r="G469" i="22"/>
  <c r="N469" i="22"/>
  <c r="L469" i="22"/>
  <c r="P469" i="22"/>
  <c r="I469" i="22"/>
  <c r="H469" i="22"/>
  <c r="Q469" i="22"/>
  <c r="O469" i="22"/>
  <c r="K469" i="22"/>
  <c r="J469" i="22"/>
  <c r="AC465" i="22"/>
  <c r="AA465" i="22"/>
  <c r="X465" i="22"/>
  <c r="I465" i="22"/>
  <c r="O465" i="22"/>
  <c r="G465" i="22"/>
  <c r="N465" i="22"/>
  <c r="L465" i="22"/>
  <c r="Q465" i="22"/>
  <c r="P465" i="22"/>
  <c r="J465" i="22"/>
  <c r="H465" i="22"/>
  <c r="K465" i="22"/>
  <c r="AC461" i="22"/>
  <c r="AA461" i="22"/>
  <c r="X461" i="22"/>
  <c r="Q461" i="22"/>
  <c r="N461" i="22"/>
  <c r="L461" i="22"/>
  <c r="I461" i="22"/>
  <c r="P461" i="22"/>
  <c r="J461" i="22"/>
  <c r="H461" i="22"/>
  <c r="K461" i="22"/>
  <c r="O461" i="22"/>
  <c r="G461" i="22"/>
  <c r="AC457" i="22"/>
  <c r="AA457" i="22"/>
  <c r="X457" i="22"/>
  <c r="N457" i="22"/>
  <c r="J457" i="22"/>
  <c r="H457" i="22"/>
  <c r="K457" i="22"/>
  <c r="Q457" i="22"/>
  <c r="P457" i="22"/>
  <c r="L457" i="22"/>
  <c r="O457" i="22"/>
  <c r="G457" i="22"/>
  <c r="I457" i="22"/>
  <c r="AC453" i="22"/>
  <c r="AA453" i="22"/>
  <c r="X453" i="22"/>
  <c r="Q453" i="22"/>
  <c r="G453" i="22"/>
  <c r="P453" i="22"/>
  <c r="I453" i="22"/>
  <c r="H453" i="22"/>
  <c r="O453" i="22"/>
  <c r="K453" i="22"/>
  <c r="J453" i="22"/>
  <c r="L453" i="22"/>
  <c r="N453" i="22"/>
  <c r="AC449" i="22"/>
  <c r="AA449" i="22"/>
  <c r="X449" i="22"/>
  <c r="P449" i="22"/>
  <c r="I449" i="22"/>
  <c r="O449" i="22"/>
  <c r="G449" i="22"/>
  <c r="K449" i="22"/>
  <c r="J449" i="22"/>
  <c r="L449" i="22"/>
  <c r="N449" i="22"/>
  <c r="Q449" i="22"/>
  <c r="H449" i="22"/>
  <c r="AC445" i="22"/>
  <c r="AA445" i="22"/>
  <c r="X445" i="22"/>
  <c r="I445" i="22"/>
  <c r="Q445" i="22"/>
  <c r="L445" i="22"/>
  <c r="N445" i="22"/>
  <c r="G445" i="22"/>
  <c r="J445" i="22"/>
  <c r="H445" i="22"/>
  <c r="P445" i="22"/>
  <c r="K445" i="22"/>
  <c r="O445" i="22"/>
  <c r="AA436" i="22"/>
  <c r="AC436" i="22"/>
  <c r="X436" i="22"/>
  <c r="N436" i="22"/>
  <c r="Q436" i="22"/>
  <c r="G436" i="22"/>
  <c r="J436" i="22"/>
  <c r="L436" i="22"/>
  <c r="P436" i="22"/>
  <c r="K436" i="22"/>
  <c r="O436" i="22"/>
  <c r="H436" i="22"/>
  <c r="I436" i="22"/>
  <c r="AC432" i="22"/>
  <c r="AA432" i="22"/>
  <c r="Q432" i="22"/>
  <c r="J432" i="22"/>
  <c r="X432" i="22"/>
  <c r="H432" i="22"/>
  <c r="L432" i="22"/>
  <c r="O432" i="22"/>
  <c r="K432" i="22"/>
  <c r="P432" i="22"/>
  <c r="I432" i="22"/>
  <c r="N432" i="22"/>
  <c r="G432" i="22"/>
  <c r="AC428" i="22"/>
  <c r="AA428" i="22"/>
  <c r="X428" i="22"/>
  <c r="Q428" i="22"/>
  <c r="G428" i="22"/>
  <c r="J428" i="22"/>
  <c r="L428" i="22"/>
  <c r="P428" i="22"/>
  <c r="K428" i="22"/>
  <c r="N428" i="22"/>
  <c r="H428" i="22"/>
  <c r="O428" i="22"/>
  <c r="I428" i="22"/>
  <c r="AC424" i="22"/>
  <c r="AA424" i="22"/>
  <c r="I424" i="22"/>
  <c r="X424" i="22"/>
  <c r="Q424" i="22"/>
  <c r="H424" i="22"/>
  <c r="O424" i="22"/>
  <c r="N424" i="22"/>
  <c r="J424" i="22"/>
  <c r="L424" i="22"/>
  <c r="P424" i="22"/>
  <c r="G424" i="22"/>
  <c r="K424" i="22"/>
  <c r="AC420" i="22"/>
  <c r="AA420" i="22"/>
  <c r="X420" i="22"/>
  <c r="Q420" i="22"/>
  <c r="P420" i="22"/>
  <c r="K420" i="22"/>
  <c r="G420" i="22"/>
  <c r="O420" i="22"/>
  <c r="I420" i="22"/>
  <c r="J420" i="22"/>
  <c r="N420" i="22"/>
  <c r="L420" i="22"/>
  <c r="H420" i="22"/>
  <c r="AC416" i="22"/>
  <c r="AA416" i="22"/>
  <c r="Q416" i="22"/>
  <c r="H416" i="22"/>
  <c r="X416" i="22"/>
  <c r="N416" i="22"/>
  <c r="L416" i="22"/>
  <c r="K416" i="22"/>
  <c r="P416" i="22"/>
  <c r="G416" i="22"/>
  <c r="O416" i="22"/>
  <c r="I416" i="22"/>
  <c r="J416" i="22"/>
  <c r="AA412" i="22"/>
  <c r="AC412" i="22"/>
  <c r="X412" i="22"/>
  <c r="J412" i="22"/>
  <c r="I412" i="22"/>
  <c r="O412" i="22"/>
  <c r="Q412" i="22"/>
  <c r="P412" i="22"/>
  <c r="L412" i="22"/>
  <c r="G412" i="22"/>
  <c r="K412" i="22"/>
  <c r="H412" i="22"/>
  <c r="N412" i="22"/>
  <c r="AC408" i="22"/>
  <c r="AA408" i="22"/>
  <c r="H408" i="22"/>
  <c r="X408" i="22"/>
  <c r="Q408" i="22"/>
  <c r="P408" i="22"/>
  <c r="I408" i="22"/>
  <c r="O408" i="22"/>
  <c r="J408" i="22"/>
  <c r="L408" i="22"/>
  <c r="N408" i="22"/>
  <c r="K408" i="22"/>
  <c r="G408" i="22"/>
  <c r="AC404" i="22"/>
  <c r="AA404" i="22"/>
  <c r="X404" i="22"/>
  <c r="N404" i="22"/>
  <c r="Q404" i="22"/>
  <c r="G404" i="22"/>
  <c r="L404" i="22"/>
  <c r="P404" i="22"/>
  <c r="K404" i="22"/>
  <c r="O404" i="22"/>
  <c r="I404" i="22"/>
  <c r="J404" i="22"/>
  <c r="H404" i="22"/>
  <c r="AC400" i="22"/>
  <c r="AA400" i="22"/>
  <c r="Q400" i="22"/>
  <c r="J400" i="22"/>
  <c r="X400" i="22"/>
  <c r="P400" i="22"/>
  <c r="I400" i="22"/>
  <c r="N400" i="22"/>
  <c r="L400" i="22"/>
  <c r="H400" i="22"/>
  <c r="O400" i="22"/>
  <c r="K400" i="22"/>
  <c r="G400" i="22"/>
  <c r="AC396" i="22"/>
  <c r="AA396" i="22"/>
  <c r="X396" i="22"/>
  <c r="Q396" i="22"/>
  <c r="G396" i="22"/>
  <c r="J396" i="22"/>
  <c r="K396" i="22"/>
  <c r="P396" i="22"/>
  <c r="N396" i="22"/>
  <c r="L396" i="22"/>
  <c r="O396" i="22"/>
  <c r="I396" i="22"/>
  <c r="H396" i="22"/>
  <c r="AC392" i="22"/>
  <c r="AA392" i="22"/>
  <c r="I392" i="22"/>
  <c r="X392" i="22"/>
  <c r="Q392" i="22"/>
  <c r="H392" i="22"/>
  <c r="N392" i="22"/>
  <c r="P392" i="22"/>
  <c r="K392" i="22"/>
  <c r="O392" i="22"/>
  <c r="J392" i="22"/>
  <c r="G392" i="22"/>
  <c r="L392" i="22"/>
  <c r="AA388" i="22"/>
  <c r="AC388" i="22"/>
  <c r="X388" i="22"/>
  <c r="Q388" i="22"/>
  <c r="G388" i="22"/>
  <c r="N388" i="22"/>
  <c r="I388" i="22"/>
  <c r="J388" i="22"/>
  <c r="P388" i="22"/>
  <c r="K388" i="22"/>
  <c r="L388" i="22"/>
  <c r="O388" i="22"/>
  <c r="H388" i="22"/>
  <c r="AC384" i="22"/>
  <c r="AA384" i="22"/>
  <c r="Q384" i="22"/>
  <c r="H384" i="22"/>
  <c r="X384" i="22"/>
  <c r="L384" i="22"/>
  <c r="O384" i="22"/>
  <c r="K384" i="22"/>
  <c r="N384" i="22"/>
  <c r="I384" i="22"/>
  <c r="J384" i="22"/>
  <c r="P384" i="22"/>
  <c r="G384" i="22"/>
  <c r="AC380" i="22"/>
  <c r="AA380" i="22"/>
  <c r="X380" i="22"/>
  <c r="I380" i="22"/>
  <c r="G380" i="22"/>
  <c r="Q380" i="22"/>
  <c r="J380" i="22"/>
  <c r="N380" i="22"/>
  <c r="K380" i="22"/>
  <c r="H380" i="22"/>
  <c r="P380" i="22"/>
  <c r="O380" i="22"/>
  <c r="L380" i="22"/>
  <c r="AA376" i="22"/>
  <c r="AC376" i="22"/>
  <c r="X376" i="22"/>
  <c r="H376" i="22"/>
  <c r="O376" i="22"/>
  <c r="Q376" i="22"/>
  <c r="N376" i="22"/>
  <c r="J376" i="22"/>
  <c r="I376" i="22"/>
  <c r="L376" i="22"/>
  <c r="P376" i="22"/>
  <c r="G376" i="22"/>
  <c r="K376" i="22"/>
  <c r="AA372" i="22"/>
  <c r="AC372" i="22"/>
  <c r="X372" i="22"/>
  <c r="Q372" i="22"/>
  <c r="G372" i="22"/>
  <c r="P372" i="22"/>
  <c r="K372" i="22"/>
  <c r="N372" i="22"/>
  <c r="L372" i="22"/>
  <c r="O372" i="22"/>
  <c r="I372" i="22"/>
  <c r="J372" i="22"/>
  <c r="H372" i="22"/>
  <c r="AC368" i="22"/>
  <c r="AA368" i="22"/>
  <c r="H368" i="22"/>
  <c r="X368" i="22"/>
  <c r="Q368" i="22"/>
  <c r="J368" i="22"/>
  <c r="N368" i="22"/>
  <c r="I368" i="22"/>
  <c r="P368" i="22"/>
  <c r="L368" i="22"/>
  <c r="O368" i="22"/>
  <c r="K368" i="22"/>
  <c r="G368" i="22"/>
  <c r="AC364" i="22"/>
  <c r="AA364" i="22"/>
  <c r="X364" i="22"/>
  <c r="J364" i="22"/>
  <c r="G364" i="22"/>
  <c r="P364" i="22"/>
  <c r="K364" i="22"/>
  <c r="Q364" i="22"/>
  <c r="N364" i="22"/>
  <c r="O364" i="22"/>
  <c r="I364" i="22"/>
  <c r="L364" i="22"/>
  <c r="H364" i="22"/>
  <c r="AA360" i="22"/>
  <c r="AC360" i="22"/>
  <c r="Q360" i="22"/>
  <c r="H360" i="22"/>
  <c r="X360" i="22"/>
  <c r="I360" i="22"/>
  <c r="L360" i="22"/>
  <c r="P360" i="22"/>
  <c r="K360" i="22"/>
  <c r="O360" i="22"/>
  <c r="G360" i="22"/>
  <c r="N360" i="22"/>
  <c r="J360" i="22"/>
  <c r="AA356" i="22"/>
  <c r="AC356" i="22"/>
  <c r="X356" i="22"/>
  <c r="G356" i="22"/>
  <c r="Q356" i="22"/>
  <c r="O356" i="22"/>
  <c r="I356" i="22"/>
  <c r="J356" i="22"/>
  <c r="P356" i="22"/>
  <c r="K356" i="22"/>
  <c r="N356" i="22"/>
  <c r="L356" i="22"/>
  <c r="H356" i="22"/>
  <c r="AC352" i="22"/>
  <c r="AA352" i="22"/>
  <c r="X352" i="22"/>
  <c r="H352" i="22"/>
  <c r="K352" i="22"/>
  <c r="O352" i="22"/>
  <c r="P352" i="22"/>
  <c r="N352" i="22"/>
  <c r="I352" i="22"/>
  <c r="Q352" i="22"/>
  <c r="L352" i="22"/>
  <c r="G352" i="22"/>
  <c r="J352" i="22"/>
  <c r="AA348" i="22"/>
  <c r="AC348" i="22"/>
  <c r="X348" i="22"/>
  <c r="Q348" i="22"/>
  <c r="J348" i="22"/>
  <c r="I348" i="22"/>
  <c r="G348" i="22"/>
  <c r="N348" i="22"/>
  <c r="K348" i="22"/>
  <c r="P348" i="22"/>
  <c r="H348" i="22"/>
  <c r="O348" i="22"/>
  <c r="L348" i="22"/>
  <c r="AA344" i="22"/>
  <c r="AC344" i="22"/>
  <c r="I344" i="22"/>
  <c r="Q344" i="22"/>
  <c r="X344" i="22"/>
  <c r="H344" i="22"/>
  <c r="O344" i="22"/>
  <c r="N344" i="22"/>
  <c r="J344" i="22"/>
  <c r="L344" i="22"/>
  <c r="P344" i="22"/>
  <c r="K344" i="22"/>
  <c r="G344" i="22"/>
  <c r="AC340" i="22"/>
  <c r="AA340" i="22"/>
  <c r="X340" i="22"/>
  <c r="G340" i="22"/>
  <c r="Q340" i="22"/>
  <c r="N340" i="22"/>
  <c r="L340" i="22"/>
  <c r="O340" i="22"/>
  <c r="I340" i="22"/>
  <c r="J340" i="22"/>
  <c r="P340" i="22"/>
  <c r="H340" i="22"/>
  <c r="K340" i="22"/>
  <c r="AA336" i="22"/>
  <c r="AC336" i="22"/>
  <c r="Q336" i="22"/>
  <c r="X336" i="22"/>
  <c r="J336" i="22"/>
  <c r="H336" i="22"/>
  <c r="O336" i="22"/>
  <c r="I336" i="22"/>
  <c r="N336" i="22"/>
  <c r="L336" i="22"/>
  <c r="K336" i="22"/>
  <c r="P336" i="22"/>
  <c r="G336" i="22"/>
  <c r="AA332" i="22"/>
  <c r="AC332" i="22"/>
  <c r="X332" i="22"/>
  <c r="L332" i="22"/>
  <c r="Q332" i="22"/>
  <c r="P332" i="22"/>
  <c r="K332" i="22"/>
  <c r="G332" i="22"/>
  <c r="N332" i="22"/>
  <c r="O332" i="22"/>
  <c r="J332" i="22"/>
  <c r="H332" i="22"/>
  <c r="I332" i="22"/>
  <c r="AA328" i="22"/>
  <c r="AC328" i="22"/>
  <c r="H328" i="22"/>
  <c r="I328" i="22"/>
  <c r="X328" i="22"/>
  <c r="Q328" i="22"/>
  <c r="L328" i="22"/>
  <c r="P328" i="22"/>
  <c r="K328" i="22"/>
  <c r="O328" i="22"/>
  <c r="G328" i="22"/>
  <c r="N328" i="22"/>
  <c r="J328" i="22"/>
  <c r="AC324" i="22"/>
  <c r="AA324" i="22"/>
  <c r="X324" i="22"/>
  <c r="Q324" i="22"/>
  <c r="G324" i="22"/>
  <c r="J324" i="22"/>
  <c r="P324" i="22"/>
  <c r="K324" i="22"/>
  <c r="N324" i="22"/>
  <c r="L324" i="22"/>
  <c r="O324" i="22"/>
  <c r="I324" i="22"/>
  <c r="H324" i="22"/>
  <c r="AA320" i="22"/>
  <c r="AC320" i="22"/>
  <c r="Q320" i="22"/>
  <c r="X320" i="22"/>
  <c r="L320" i="22"/>
  <c r="P320" i="22"/>
  <c r="K320" i="22"/>
  <c r="H320" i="22"/>
  <c r="O320" i="22"/>
  <c r="I320" i="22"/>
  <c r="G320" i="22"/>
  <c r="J320" i="22"/>
  <c r="N320" i="22"/>
  <c r="AC316" i="22"/>
  <c r="AA316" i="22"/>
  <c r="X316" i="22"/>
  <c r="J316" i="22"/>
  <c r="I316" i="22"/>
  <c r="Q316" i="22"/>
  <c r="G316" i="22"/>
  <c r="K316" i="22"/>
  <c r="P316" i="22"/>
  <c r="O316" i="22"/>
  <c r="H316" i="22"/>
  <c r="L316" i="22"/>
  <c r="N316" i="22"/>
  <c r="AA312" i="22"/>
  <c r="AC312" i="22"/>
  <c r="H312" i="22"/>
  <c r="X312" i="22"/>
  <c r="Q312" i="22"/>
  <c r="O312" i="22"/>
  <c r="N312" i="22"/>
  <c r="J312" i="22"/>
  <c r="L312" i="22"/>
  <c r="I312" i="22"/>
  <c r="P312" i="22"/>
  <c r="K312" i="22"/>
  <c r="G312" i="22"/>
  <c r="AA308" i="22"/>
  <c r="AC308" i="22"/>
  <c r="X308" i="22"/>
  <c r="Q308" i="22"/>
  <c r="N308" i="22"/>
  <c r="L308" i="22"/>
  <c r="O308" i="22"/>
  <c r="I308" i="22"/>
  <c r="J308" i="22"/>
  <c r="G308" i="22"/>
  <c r="P308" i="22"/>
  <c r="K308" i="22"/>
  <c r="H308" i="22"/>
  <c r="AA304" i="22"/>
  <c r="AC304" i="22"/>
  <c r="J304" i="22"/>
  <c r="H304" i="22"/>
  <c r="X304" i="22"/>
  <c r="Q304" i="22"/>
  <c r="O304" i="22"/>
  <c r="I304" i="22"/>
  <c r="N304" i="22"/>
  <c r="L304" i="22"/>
  <c r="P304" i="22"/>
  <c r="K304" i="22"/>
  <c r="G304" i="22"/>
  <c r="AC300" i="22"/>
  <c r="AA300" i="22"/>
  <c r="X300" i="22"/>
  <c r="G300" i="22"/>
  <c r="J300" i="22"/>
  <c r="Q300" i="22"/>
  <c r="L300" i="22"/>
  <c r="P300" i="22"/>
  <c r="K300" i="22"/>
  <c r="N300" i="22"/>
  <c r="O300" i="22"/>
  <c r="H300" i="22"/>
  <c r="I300" i="22"/>
  <c r="AA296" i="22"/>
  <c r="AC296" i="22"/>
  <c r="Q296" i="22"/>
  <c r="X296" i="22"/>
  <c r="I296" i="22"/>
  <c r="H296" i="22"/>
  <c r="L296" i="22"/>
  <c r="P296" i="22"/>
  <c r="K296" i="22"/>
  <c r="O296" i="22"/>
  <c r="N296" i="22"/>
  <c r="G296" i="22"/>
  <c r="J296" i="22"/>
  <c r="AC292" i="22"/>
  <c r="AA292" i="22"/>
  <c r="X292" i="22"/>
  <c r="Q292" i="22"/>
  <c r="G292" i="22"/>
  <c r="J292" i="22"/>
  <c r="P292" i="22"/>
  <c r="K292" i="22"/>
  <c r="N292" i="22"/>
  <c r="L292" i="22"/>
  <c r="O292" i="22"/>
  <c r="I292" i="22"/>
  <c r="H292" i="22"/>
  <c r="AA288" i="22"/>
  <c r="AC288" i="22"/>
  <c r="H288" i="22"/>
  <c r="X288" i="22"/>
  <c r="Q288" i="22"/>
  <c r="L288" i="22"/>
  <c r="P288" i="22"/>
  <c r="K288" i="22"/>
  <c r="O288" i="22"/>
  <c r="I288" i="22"/>
  <c r="G288" i="22"/>
  <c r="N288" i="22"/>
  <c r="J288" i="22"/>
  <c r="AC284" i="22"/>
  <c r="AA284" i="22"/>
  <c r="X284" i="22"/>
  <c r="I284" i="22"/>
  <c r="O284" i="22"/>
  <c r="G284" i="22"/>
  <c r="J284" i="22"/>
  <c r="Q284" i="22"/>
  <c r="K284" i="22"/>
  <c r="P284" i="22"/>
  <c r="H284" i="22"/>
  <c r="L284" i="22"/>
  <c r="N284" i="22"/>
  <c r="AA280" i="22"/>
  <c r="AC280" i="22"/>
  <c r="X280" i="22"/>
  <c r="Q280" i="22"/>
  <c r="H280" i="22"/>
  <c r="O280" i="22"/>
  <c r="N280" i="22"/>
  <c r="J280" i="22"/>
  <c r="L280" i="22"/>
  <c r="K280" i="22"/>
  <c r="I280" i="22"/>
  <c r="G280" i="22"/>
  <c r="P280" i="22"/>
  <c r="AA276" i="22"/>
  <c r="AC276" i="22"/>
  <c r="X276" i="22"/>
  <c r="Q276" i="22"/>
  <c r="G276" i="22"/>
  <c r="O276" i="22"/>
  <c r="I276" i="22"/>
  <c r="J276" i="22"/>
  <c r="P276" i="22"/>
  <c r="K276" i="22"/>
  <c r="L276" i="22"/>
  <c r="H276" i="22"/>
  <c r="N276" i="22"/>
  <c r="AA272" i="22"/>
  <c r="AC272" i="22"/>
  <c r="H272" i="22"/>
  <c r="X272" i="22"/>
  <c r="J272" i="22"/>
  <c r="O272" i="22"/>
  <c r="I272" i="22"/>
  <c r="N272" i="22"/>
  <c r="Q272" i="22"/>
  <c r="L272" i="22"/>
  <c r="P272" i="22"/>
  <c r="K272" i="22"/>
  <c r="G272" i="22"/>
  <c r="AC268" i="22"/>
  <c r="AA268" i="22"/>
  <c r="X268" i="22"/>
  <c r="J268" i="22"/>
  <c r="Q268" i="22"/>
  <c r="G268" i="22"/>
  <c r="N268" i="22"/>
  <c r="L268" i="22"/>
  <c r="O268" i="22"/>
  <c r="I268" i="22"/>
  <c r="P268" i="22"/>
  <c r="K268" i="22"/>
  <c r="H268" i="22"/>
  <c r="AA264" i="22"/>
  <c r="AC264" i="22"/>
  <c r="Q264" i="22"/>
  <c r="H264" i="22"/>
  <c r="X264" i="22"/>
  <c r="L264" i="22"/>
  <c r="P264" i="22"/>
  <c r="K264" i="22"/>
  <c r="O264" i="22"/>
  <c r="I264" i="22"/>
  <c r="J264" i="22"/>
  <c r="G264" i="22"/>
  <c r="N264" i="22"/>
  <c r="AC260" i="22"/>
  <c r="AA260" i="22"/>
  <c r="X260" i="22"/>
  <c r="G260" i="22"/>
  <c r="Q260" i="22"/>
  <c r="P260" i="22"/>
  <c r="K260" i="22"/>
  <c r="N260" i="22"/>
  <c r="L260" i="22"/>
  <c r="O260" i="22"/>
  <c r="I260" i="22"/>
  <c r="J260" i="22"/>
  <c r="H260" i="22"/>
  <c r="AA256" i="22"/>
  <c r="AC256" i="22"/>
  <c r="X256" i="22"/>
  <c r="Q256" i="22"/>
  <c r="H256" i="22"/>
  <c r="L256" i="22"/>
  <c r="P256" i="22"/>
  <c r="K256" i="22"/>
  <c r="O256" i="22"/>
  <c r="I256" i="22"/>
  <c r="J256" i="22"/>
  <c r="N256" i="22"/>
  <c r="G256" i="22"/>
  <c r="AC252" i="22"/>
  <c r="AA252" i="22"/>
  <c r="X252" i="22"/>
  <c r="Q252" i="22"/>
  <c r="J252" i="22"/>
  <c r="G252" i="22"/>
  <c r="I252" i="22"/>
  <c r="K252" i="22"/>
  <c r="P252" i="22"/>
  <c r="O252" i="22"/>
  <c r="N252" i="22"/>
  <c r="H252" i="22"/>
  <c r="L252" i="22"/>
  <c r="T519" i="6"/>
  <c r="U523" i="6"/>
  <c r="T527" i="6"/>
  <c r="U531" i="6"/>
  <c r="T535" i="6"/>
  <c r="U539" i="6"/>
  <c r="T543" i="6"/>
  <c r="U547" i="6"/>
  <c r="U551" i="6"/>
  <c r="T555" i="6"/>
  <c r="T559" i="6"/>
  <c r="U563" i="6"/>
  <c r="T567" i="6"/>
  <c r="U571" i="6"/>
  <c r="T575" i="6"/>
  <c r="U579" i="6"/>
  <c r="U583" i="6"/>
  <c r="U587" i="6"/>
  <c r="T591" i="6"/>
  <c r="U595" i="6"/>
  <c r="U599" i="6"/>
  <c r="T603" i="6"/>
  <c r="U607" i="6"/>
  <c r="U611" i="6"/>
  <c r="U615" i="6"/>
  <c r="T619" i="6"/>
  <c r="U623" i="6"/>
  <c r="U627" i="6"/>
  <c r="T631" i="6"/>
  <c r="T635" i="6"/>
  <c r="U639" i="6"/>
  <c r="T643" i="6"/>
  <c r="U647" i="6"/>
  <c r="T651" i="6"/>
  <c r="U655" i="6"/>
  <c r="U659" i="6"/>
  <c r="U663" i="6"/>
  <c r="T667" i="6"/>
  <c r="U671" i="6"/>
  <c r="U675" i="6"/>
  <c r="U679" i="6"/>
  <c r="T683" i="6"/>
  <c r="T687" i="6"/>
  <c r="U691" i="6"/>
  <c r="U695" i="6"/>
  <c r="U699" i="6"/>
  <c r="T703" i="6"/>
  <c r="U707" i="6"/>
  <c r="U711" i="6"/>
  <c r="T715" i="6"/>
  <c r="T719" i="6"/>
  <c r="T723" i="6"/>
  <c r="T727" i="6"/>
  <c r="T731" i="6"/>
  <c r="T735" i="6"/>
  <c r="T739" i="6"/>
  <c r="T743" i="6"/>
  <c r="T747" i="6"/>
  <c r="T751" i="6"/>
  <c r="T755" i="6"/>
  <c r="T759" i="6"/>
  <c r="T763" i="6"/>
  <c r="T767" i="6"/>
  <c r="T771" i="6"/>
  <c r="T775" i="6"/>
  <c r="T779" i="6"/>
  <c r="T783" i="6"/>
  <c r="T787" i="6"/>
  <c r="T791" i="6"/>
  <c r="T795" i="6"/>
  <c r="T799" i="6"/>
  <c r="T803" i="6"/>
  <c r="T807" i="6"/>
  <c r="T811" i="6"/>
  <c r="T815" i="6"/>
  <c r="T819" i="6"/>
  <c r="T823" i="6"/>
  <c r="T827" i="6"/>
  <c r="T831" i="6"/>
  <c r="T835" i="6"/>
  <c r="T839" i="6"/>
  <c r="T843" i="6"/>
  <c r="T847" i="6"/>
  <c r="T851" i="6"/>
  <c r="T855" i="6"/>
  <c r="T859" i="6"/>
  <c r="T863" i="6"/>
  <c r="T867" i="6"/>
  <c r="T871" i="6"/>
  <c r="Y875" i="6"/>
  <c r="T879" i="6"/>
  <c r="Y883" i="6"/>
  <c r="T887" i="6"/>
  <c r="Y891" i="6"/>
  <c r="Y895" i="6"/>
  <c r="Y899" i="6"/>
  <c r="T903" i="6"/>
  <c r="Y907" i="6"/>
  <c r="Y911" i="6"/>
  <c r="Y915" i="6"/>
  <c r="Y919" i="6"/>
  <c r="Y923" i="6"/>
  <c r="Y927" i="6"/>
  <c r="T931" i="6"/>
  <c r="Y935" i="6"/>
  <c r="Y939" i="6"/>
  <c r="Y943" i="6"/>
  <c r="T947" i="6"/>
  <c r="Y951" i="6"/>
  <c r="Y955" i="6"/>
  <c r="Y959" i="6"/>
  <c r="T963" i="6"/>
  <c r="Y967" i="6"/>
  <c r="Y971" i="6"/>
  <c r="Y975" i="6"/>
  <c r="T979" i="6"/>
  <c r="Y983" i="6"/>
  <c r="Y987" i="6"/>
  <c r="Y991" i="6"/>
  <c r="T995" i="6"/>
  <c r="Y999" i="6"/>
  <c r="Y1003" i="6"/>
  <c r="Y1007" i="6"/>
  <c r="T1011" i="6"/>
  <c r="AC498" i="22"/>
  <c r="X498" i="22"/>
  <c r="AA498" i="22"/>
  <c r="L498" i="22"/>
  <c r="I498" i="22"/>
  <c r="Q498" i="22"/>
  <c r="K498" i="22"/>
  <c r="O498" i="22"/>
  <c r="P498" i="22"/>
  <c r="J498" i="22"/>
  <c r="H498" i="22"/>
  <c r="N498" i="22"/>
  <c r="G498" i="22"/>
  <c r="AC494" i="22"/>
  <c r="AA494" i="22"/>
  <c r="X494" i="22"/>
  <c r="K494" i="22"/>
  <c r="L494" i="22"/>
  <c r="Q494" i="22"/>
  <c r="N494" i="22"/>
  <c r="J494" i="22"/>
  <c r="P494" i="22"/>
  <c r="I494" i="22"/>
  <c r="O494" i="22"/>
  <c r="G494" i="22"/>
  <c r="H494" i="22"/>
  <c r="AC490" i="22"/>
  <c r="X490" i="22"/>
  <c r="AA490" i="22"/>
  <c r="J490" i="22"/>
  <c r="K490" i="22"/>
  <c r="L490" i="22"/>
  <c r="Q490" i="22"/>
  <c r="O490" i="22"/>
  <c r="G490" i="22"/>
  <c r="H490" i="22"/>
  <c r="P490" i="22"/>
  <c r="N490" i="22"/>
  <c r="I490" i="22"/>
  <c r="AC486" i="22"/>
  <c r="X486" i="22"/>
  <c r="AA486" i="22"/>
  <c r="J486" i="22"/>
  <c r="L486" i="22"/>
  <c r="I486" i="22"/>
  <c r="Q486" i="22"/>
  <c r="K486" i="22"/>
  <c r="P486" i="22"/>
  <c r="N486" i="22"/>
  <c r="O486" i="22"/>
  <c r="G486" i="22"/>
  <c r="H486" i="22"/>
  <c r="AC482" i="22"/>
  <c r="X482" i="22"/>
  <c r="AA482" i="22"/>
  <c r="L482" i="22"/>
  <c r="I482" i="22"/>
  <c r="Q482" i="22"/>
  <c r="K482" i="22"/>
  <c r="O482" i="22"/>
  <c r="J482" i="22"/>
  <c r="H482" i="22"/>
  <c r="P482" i="22"/>
  <c r="G482" i="22"/>
  <c r="N482" i="22"/>
  <c r="AC478" i="22"/>
  <c r="X478" i="22"/>
  <c r="AA478" i="22"/>
  <c r="K478" i="22"/>
  <c r="L478" i="22"/>
  <c r="Q478" i="22"/>
  <c r="N478" i="22"/>
  <c r="P478" i="22"/>
  <c r="O478" i="22"/>
  <c r="I478" i="22"/>
  <c r="J478" i="22"/>
  <c r="G478" i="22"/>
  <c r="H478" i="22"/>
  <c r="AC474" i="22"/>
  <c r="AA474" i="22"/>
  <c r="X474" i="22"/>
  <c r="J474" i="22"/>
  <c r="K474" i="22"/>
  <c r="L474" i="22"/>
  <c r="Q474" i="22"/>
  <c r="I474" i="22"/>
  <c r="O474" i="22"/>
  <c r="N474" i="22"/>
  <c r="G474" i="22"/>
  <c r="H474" i="22"/>
  <c r="P474" i="22"/>
  <c r="AC470" i="22"/>
  <c r="X470" i="22"/>
  <c r="AA470" i="22"/>
  <c r="J470" i="22"/>
  <c r="L470" i="22"/>
  <c r="I470" i="22"/>
  <c r="Q470" i="22"/>
  <c r="K470" i="22"/>
  <c r="P470" i="22"/>
  <c r="N470" i="22"/>
  <c r="G470" i="22"/>
  <c r="H470" i="22"/>
  <c r="O470" i="22"/>
  <c r="AC466" i="22"/>
  <c r="X466" i="22"/>
  <c r="AA466" i="22"/>
  <c r="L466" i="22"/>
  <c r="I466" i="22"/>
  <c r="Q466" i="22"/>
  <c r="K466" i="22"/>
  <c r="O466" i="22"/>
  <c r="P466" i="22"/>
  <c r="H466" i="22"/>
  <c r="N466" i="22"/>
  <c r="J466" i="22"/>
  <c r="G466" i="22"/>
  <c r="AC462" i="22"/>
  <c r="AA462" i="22"/>
  <c r="X462" i="22"/>
  <c r="K462" i="22"/>
  <c r="L462" i="22"/>
  <c r="Q462" i="22"/>
  <c r="J462" i="22"/>
  <c r="N462" i="22"/>
  <c r="P462" i="22"/>
  <c r="O462" i="22"/>
  <c r="G462" i="22"/>
  <c r="H462" i="22"/>
  <c r="I462" i="22"/>
  <c r="AC458" i="22"/>
  <c r="X458" i="22"/>
  <c r="AA458" i="22"/>
  <c r="J458" i="22"/>
  <c r="K458" i="22"/>
  <c r="L458" i="22"/>
  <c r="Q458" i="22"/>
  <c r="O458" i="22"/>
  <c r="I458" i="22"/>
  <c r="G458" i="22"/>
  <c r="H458" i="22"/>
  <c r="P458" i="22"/>
  <c r="N458" i="22"/>
  <c r="AC454" i="22"/>
  <c r="X454" i="22"/>
  <c r="AA454" i="22"/>
  <c r="J454" i="22"/>
  <c r="L454" i="22"/>
  <c r="I454" i="22"/>
  <c r="Q454" i="22"/>
  <c r="K454" i="22"/>
  <c r="P454" i="22"/>
  <c r="N454" i="22"/>
  <c r="O454" i="22"/>
  <c r="G454" i="22"/>
  <c r="H454" i="22"/>
  <c r="AC450" i="22"/>
  <c r="X450" i="22"/>
  <c r="AA450" i="22"/>
  <c r="L450" i="22"/>
  <c r="I450" i="22"/>
  <c r="Q450" i="22"/>
  <c r="K450" i="22"/>
  <c r="O450" i="22"/>
  <c r="H450" i="22"/>
  <c r="P450" i="22"/>
  <c r="G450" i="22"/>
  <c r="N450" i="22"/>
  <c r="J450" i="22"/>
  <c r="AC446" i="22"/>
  <c r="X446" i="22"/>
  <c r="AA446" i="22"/>
  <c r="K446" i="22"/>
  <c r="L446" i="22"/>
  <c r="Q446" i="22"/>
  <c r="N446" i="22"/>
  <c r="P446" i="22"/>
  <c r="J446" i="22"/>
  <c r="I446" i="22"/>
  <c r="O446" i="22"/>
  <c r="G446" i="22"/>
  <c r="H446" i="22"/>
  <c r="AC442" i="22"/>
  <c r="AA442" i="22"/>
  <c r="J442" i="22"/>
  <c r="X442" i="22"/>
  <c r="K442" i="22"/>
  <c r="L442" i="22"/>
  <c r="Q442" i="22"/>
  <c r="O442" i="22"/>
  <c r="I442" i="22"/>
  <c r="N442" i="22"/>
  <c r="G442" i="22"/>
  <c r="H442" i="22"/>
  <c r="P442" i="22"/>
  <c r="AC441" i="22"/>
  <c r="AA441" i="22"/>
  <c r="X441" i="22"/>
  <c r="O441" i="22"/>
  <c r="I441" i="22"/>
  <c r="L441" i="22"/>
  <c r="H441" i="22"/>
  <c r="P441" i="22"/>
  <c r="G441" i="22"/>
  <c r="K441" i="22"/>
  <c r="Q441" i="22"/>
  <c r="J441" i="22"/>
  <c r="N441" i="22"/>
  <c r="AC440" i="22"/>
  <c r="AA440" i="22"/>
  <c r="H440" i="22"/>
  <c r="X440" i="22"/>
  <c r="Q440" i="22"/>
  <c r="L440" i="22"/>
  <c r="P440" i="22"/>
  <c r="K440" i="22"/>
  <c r="O440" i="22"/>
  <c r="N440" i="22"/>
  <c r="I440" i="22"/>
  <c r="J440" i="22"/>
  <c r="G440" i="22"/>
  <c r="AC439" i="22"/>
  <c r="AA439" i="22"/>
  <c r="Q439" i="22"/>
  <c r="X439" i="22"/>
  <c r="I439" i="22"/>
  <c r="P439" i="22"/>
  <c r="L439" i="22"/>
  <c r="G439" i="22"/>
  <c r="O439" i="22"/>
  <c r="K439" i="22"/>
  <c r="N439" i="22"/>
  <c r="J439" i="22"/>
  <c r="H439" i="22"/>
  <c r="AC438" i="22"/>
  <c r="X438" i="22"/>
  <c r="AA438" i="22"/>
  <c r="I438" i="22"/>
  <c r="L438" i="22"/>
  <c r="J438" i="22"/>
  <c r="Q438" i="22"/>
  <c r="K438" i="22"/>
  <c r="P438" i="22"/>
  <c r="N438" i="22"/>
  <c r="G438" i="22"/>
  <c r="H438" i="22"/>
  <c r="O438" i="22"/>
  <c r="AC437" i="22"/>
  <c r="AA437" i="22"/>
  <c r="X437" i="22"/>
  <c r="Q437" i="22"/>
  <c r="N437" i="22"/>
  <c r="O437" i="22"/>
  <c r="K437" i="22"/>
  <c r="J437" i="22"/>
  <c r="G437" i="22"/>
  <c r="L437" i="22"/>
  <c r="P437" i="22"/>
  <c r="I437" i="22"/>
  <c r="H437" i="22"/>
  <c r="AC433" i="22"/>
  <c r="AA433" i="22"/>
  <c r="X433" i="22"/>
  <c r="N433" i="22"/>
  <c r="L433" i="22"/>
  <c r="J433" i="22"/>
  <c r="K433" i="22"/>
  <c r="I433" i="22"/>
  <c r="O433" i="22"/>
  <c r="G433" i="22"/>
  <c r="Q433" i="22"/>
  <c r="H433" i="22"/>
  <c r="P433" i="22"/>
  <c r="AC429" i="22"/>
  <c r="AA429" i="22"/>
  <c r="Q429" i="22"/>
  <c r="X429" i="22"/>
  <c r="P429" i="22"/>
  <c r="J429" i="22"/>
  <c r="H429" i="22"/>
  <c r="O429" i="22"/>
  <c r="K429" i="22"/>
  <c r="G429" i="22"/>
  <c r="N429" i="22"/>
  <c r="L429" i="22"/>
  <c r="I429" i="22"/>
  <c r="AC425" i="22"/>
  <c r="AA425" i="22"/>
  <c r="H425" i="22"/>
  <c r="K425" i="22"/>
  <c r="Q425" i="22"/>
  <c r="P425" i="22"/>
  <c r="I425" i="22"/>
  <c r="L425" i="22"/>
  <c r="X425" i="22"/>
  <c r="N425" i="22"/>
  <c r="J425" i="22"/>
  <c r="O425" i="22"/>
  <c r="G425" i="22"/>
  <c r="AC421" i="22"/>
  <c r="AA421" i="22"/>
  <c r="X421" i="22"/>
  <c r="G421" i="22"/>
  <c r="Q421" i="22"/>
  <c r="L421" i="22"/>
  <c r="N421" i="22"/>
  <c r="P421" i="22"/>
  <c r="I421" i="22"/>
  <c r="H421" i="22"/>
  <c r="J421" i="22"/>
  <c r="O421" i="22"/>
  <c r="K421" i="22"/>
  <c r="AC417" i="22"/>
  <c r="AA417" i="22"/>
  <c r="X417" i="22"/>
  <c r="O417" i="22"/>
  <c r="G417" i="22"/>
  <c r="N417" i="22"/>
  <c r="J417" i="22"/>
  <c r="P417" i="22"/>
  <c r="K417" i="22"/>
  <c r="Q417" i="22"/>
  <c r="I417" i="22"/>
  <c r="H417" i="22"/>
  <c r="L417" i="22"/>
  <c r="AC413" i="22"/>
  <c r="AA413" i="22"/>
  <c r="X413" i="22"/>
  <c r="O413" i="22"/>
  <c r="Q413" i="22"/>
  <c r="P413" i="22"/>
  <c r="N413" i="22"/>
  <c r="I413" i="22"/>
  <c r="L413" i="22"/>
  <c r="J413" i="22"/>
  <c r="H413" i="22"/>
  <c r="G413" i="22"/>
  <c r="K413" i="22"/>
  <c r="AC409" i="22"/>
  <c r="AA409" i="22"/>
  <c r="X409" i="22"/>
  <c r="Q409" i="22"/>
  <c r="O409" i="22"/>
  <c r="I409" i="22"/>
  <c r="G409" i="22"/>
  <c r="L409" i="22"/>
  <c r="H409" i="22"/>
  <c r="P409" i="22"/>
  <c r="N409" i="22"/>
  <c r="K409" i="22"/>
  <c r="J409" i="22"/>
  <c r="AC405" i="22"/>
  <c r="AA405" i="22"/>
  <c r="X405" i="22"/>
  <c r="N405" i="22"/>
  <c r="G405" i="22"/>
  <c r="Q405" i="22"/>
  <c r="P405" i="22"/>
  <c r="I405" i="22"/>
  <c r="H405" i="22"/>
  <c r="O405" i="22"/>
  <c r="K405" i="22"/>
  <c r="J405" i="22"/>
  <c r="L405" i="22"/>
  <c r="AC401" i="22"/>
  <c r="AA401" i="22"/>
  <c r="X401" i="22"/>
  <c r="J401" i="22"/>
  <c r="L401" i="22"/>
  <c r="I401" i="22"/>
  <c r="P401" i="22"/>
  <c r="K401" i="22"/>
  <c r="O401" i="22"/>
  <c r="Q401" i="22"/>
  <c r="N401" i="22"/>
  <c r="G401" i="22"/>
  <c r="H401" i="22"/>
  <c r="AC397" i="22"/>
  <c r="AA397" i="22"/>
  <c r="X397" i="22"/>
  <c r="L397" i="22"/>
  <c r="J397" i="22"/>
  <c r="H397" i="22"/>
  <c r="P397" i="22"/>
  <c r="K397" i="22"/>
  <c r="Q397" i="22"/>
  <c r="O397" i="22"/>
  <c r="N397" i="22"/>
  <c r="G397" i="22"/>
  <c r="I397" i="22"/>
  <c r="AC393" i="22"/>
  <c r="AA393" i="22"/>
  <c r="X393" i="22"/>
  <c r="H393" i="22"/>
  <c r="P393" i="22"/>
  <c r="K393" i="22"/>
  <c r="Q393" i="22"/>
  <c r="O393" i="22"/>
  <c r="I393" i="22"/>
  <c r="G393" i="22"/>
  <c r="J393" i="22"/>
  <c r="N393" i="22"/>
  <c r="L393" i="22"/>
  <c r="AC389" i="22"/>
  <c r="AA389" i="22"/>
  <c r="X389" i="22"/>
  <c r="G389" i="22"/>
  <c r="Q389" i="22"/>
  <c r="O389" i="22"/>
  <c r="K389" i="22"/>
  <c r="P389" i="22"/>
  <c r="L389" i="22"/>
  <c r="H389" i="22"/>
  <c r="I389" i="22"/>
  <c r="J389" i="22"/>
  <c r="N389" i="22"/>
  <c r="AC385" i="22"/>
  <c r="AA385" i="22"/>
  <c r="Q385" i="22"/>
  <c r="N385" i="22"/>
  <c r="G385" i="22"/>
  <c r="X385" i="22"/>
  <c r="L385" i="22"/>
  <c r="J385" i="22"/>
  <c r="I385" i="22"/>
  <c r="P385" i="22"/>
  <c r="O385" i="22"/>
  <c r="K385" i="22"/>
  <c r="H385" i="22"/>
  <c r="AC381" i="22"/>
  <c r="AA381" i="22"/>
  <c r="Q381" i="22"/>
  <c r="L381" i="22"/>
  <c r="I381" i="22"/>
  <c r="J381" i="22"/>
  <c r="H381" i="22"/>
  <c r="X381" i="22"/>
  <c r="O381" i="22"/>
  <c r="P381" i="22"/>
  <c r="K381" i="22"/>
  <c r="N381" i="22"/>
  <c r="G381" i="22"/>
  <c r="AC377" i="22"/>
  <c r="AA377" i="22"/>
  <c r="X377" i="22"/>
  <c r="Q377" i="22"/>
  <c r="P377" i="22"/>
  <c r="K377" i="22"/>
  <c r="O377" i="22"/>
  <c r="I377" i="22"/>
  <c r="G377" i="22"/>
  <c r="N377" i="22"/>
  <c r="H377" i="22"/>
  <c r="L377" i="22"/>
  <c r="J377" i="22"/>
  <c r="AC373" i="22"/>
  <c r="AA373" i="22"/>
  <c r="X373" i="22"/>
  <c r="G373" i="22"/>
  <c r="N373" i="22"/>
  <c r="I373" i="22"/>
  <c r="H373" i="22"/>
  <c r="Q373" i="22"/>
  <c r="O373" i="22"/>
  <c r="K373" i="22"/>
  <c r="L373" i="22"/>
  <c r="J373" i="22"/>
  <c r="P373" i="22"/>
  <c r="AC369" i="22"/>
  <c r="AA369" i="22"/>
  <c r="I369" i="22"/>
  <c r="X369" i="22"/>
  <c r="Q369" i="22"/>
  <c r="N369" i="22"/>
  <c r="H369" i="22"/>
  <c r="J369" i="22"/>
  <c r="L369" i="22"/>
  <c r="P369" i="22"/>
  <c r="K369" i="22"/>
  <c r="O369" i="22"/>
  <c r="G369" i="22"/>
  <c r="AC365" i="22"/>
  <c r="AA365" i="22"/>
  <c r="H365" i="22"/>
  <c r="L365" i="22"/>
  <c r="P365" i="22"/>
  <c r="J365" i="22"/>
  <c r="K365" i="22"/>
  <c r="X365" i="22"/>
  <c r="O365" i="22"/>
  <c r="I365" i="22"/>
  <c r="Q365" i="22"/>
  <c r="N365" i="22"/>
  <c r="G365" i="22"/>
  <c r="AC361" i="22"/>
  <c r="AA361" i="22"/>
  <c r="Q361" i="22"/>
  <c r="H361" i="22"/>
  <c r="X361" i="22"/>
  <c r="L361" i="22"/>
  <c r="J361" i="22"/>
  <c r="P361" i="22"/>
  <c r="K361" i="22"/>
  <c r="O361" i="22"/>
  <c r="I361" i="22"/>
  <c r="G361" i="22"/>
  <c r="N361" i="22"/>
  <c r="AC357" i="22"/>
  <c r="AA357" i="22"/>
  <c r="X357" i="22"/>
  <c r="O357" i="22"/>
  <c r="K357" i="22"/>
  <c r="G357" i="22"/>
  <c r="N357" i="22"/>
  <c r="J357" i="22"/>
  <c r="Q357" i="22"/>
  <c r="L357" i="22"/>
  <c r="I357" i="22"/>
  <c r="P357" i="22"/>
  <c r="H357" i="22"/>
  <c r="AC353" i="22"/>
  <c r="AA353" i="22"/>
  <c r="Q353" i="22"/>
  <c r="X353" i="22"/>
  <c r="O353" i="22"/>
  <c r="I353" i="22"/>
  <c r="N353" i="22"/>
  <c r="J353" i="22"/>
  <c r="H353" i="22"/>
  <c r="L353" i="22"/>
  <c r="G353" i="22"/>
  <c r="P353" i="22"/>
  <c r="K353" i="22"/>
  <c r="AC349" i="22"/>
  <c r="AA349" i="22"/>
  <c r="P349" i="22"/>
  <c r="K349" i="22"/>
  <c r="Q349" i="22"/>
  <c r="N349" i="22"/>
  <c r="O349" i="22"/>
  <c r="X349" i="22"/>
  <c r="H349" i="22"/>
  <c r="J349" i="22"/>
  <c r="L349" i="22"/>
  <c r="I349" i="22"/>
  <c r="G349" i="22"/>
  <c r="AC345" i="22"/>
  <c r="AA345" i="22"/>
  <c r="Q345" i="22"/>
  <c r="H345" i="22"/>
  <c r="X345" i="22"/>
  <c r="O345" i="22"/>
  <c r="I345" i="22"/>
  <c r="G345" i="22"/>
  <c r="N345" i="22"/>
  <c r="L345" i="22"/>
  <c r="J345" i="22"/>
  <c r="P345" i="22"/>
  <c r="K345" i="22"/>
  <c r="AC341" i="22"/>
  <c r="AA341" i="22"/>
  <c r="X341" i="22"/>
  <c r="J341" i="22"/>
  <c r="G341" i="22"/>
  <c r="P341" i="22"/>
  <c r="L341" i="22"/>
  <c r="K341" i="22"/>
  <c r="Q341" i="22"/>
  <c r="N341" i="22"/>
  <c r="H341" i="22"/>
  <c r="O341" i="22"/>
  <c r="I341" i="22"/>
  <c r="AC337" i="22"/>
  <c r="AA337" i="22"/>
  <c r="Q337" i="22"/>
  <c r="X337" i="22"/>
  <c r="I337" i="22"/>
  <c r="J337" i="22"/>
  <c r="L337" i="22"/>
  <c r="P337" i="22"/>
  <c r="K337" i="22"/>
  <c r="O337" i="22"/>
  <c r="G337" i="22"/>
  <c r="H337" i="22"/>
  <c r="N337" i="22"/>
  <c r="AC333" i="22"/>
  <c r="AA333" i="22"/>
  <c r="X333" i="22"/>
  <c r="N333" i="22"/>
  <c r="O333" i="22"/>
  <c r="I333" i="22"/>
  <c r="Q333" i="22"/>
  <c r="J333" i="22"/>
  <c r="H333" i="22"/>
  <c r="P333" i="22"/>
  <c r="K333" i="22"/>
  <c r="L333" i="22"/>
  <c r="G333" i="22"/>
  <c r="AC329" i="22"/>
  <c r="AA329" i="22"/>
  <c r="X329" i="22"/>
  <c r="Q329" i="22"/>
  <c r="P329" i="22"/>
  <c r="K329" i="22"/>
  <c r="O329" i="22"/>
  <c r="I329" i="22"/>
  <c r="G329" i="22"/>
  <c r="H329" i="22"/>
  <c r="N329" i="22"/>
  <c r="J329" i="22"/>
  <c r="L329" i="22"/>
  <c r="AC325" i="22"/>
  <c r="AA325" i="22"/>
  <c r="X325" i="22"/>
  <c r="G325" i="22"/>
  <c r="P325" i="22"/>
  <c r="L325" i="22"/>
  <c r="H325" i="22"/>
  <c r="Q325" i="22"/>
  <c r="N325" i="22"/>
  <c r="I325" i="22"/>
  <c r="J325" i="22"/>
  <c r="K325" i="22"/>
  <c r="O325" i="22"/>
  <c r="AC321" i="22"/>
  <c r="AA321" i="22"/>
  <c r="X321" i="22"/>
  <c r="Q321" i="22"/>
  <c r="N321" i="22"/>
  <c r="J321" i="22"/>
  <c r="L321" i="22"/>
  <c r="G321" i="22"/>
  <c r="P321" i="22"/>
  <c r="K321" i="22"/>
  <c r="O321" i="22"/>
  <c r="H321" i="22"/>
  <c r="I321" i="22"/>
  <c r="AC317" i="22"/>
  <c r="AA317" i="22"/>
  <c r="X317" i="22"/>
  <c r="Q317" i="22"/>
  <c r="L317" i="22"/>
  <c r="I317" i="22"/>
  <c r="J317" i="22"/>
  <c r="H317" i="22"/>
  <c r="N317" i="22"/>
  <c r="O317" i="22"/>
  <c r="P317" i="22"/>
  <c r="G317" i="22"/>
  <c r="K317" i="22"/>
  <c r="AC313" i="22"/>
  <c r="AA313" i="22"/>
  <c r="X313" i="22"/>
  <c r="Q313" i="22"/>
  <c r="N313" i="22"/>
  <c r="L313" i="22"/>
  <c r="J313" i="22"/>
  <c r="P313" i="22"/>
  <c r="K313" i="22"/>
  <c r="H313" i="22"/>
  <c r="I313" i="22"/>
  <c r="G313" i="22"/>
  <c r="O313" i="22"/>
  <c r="AC309" i="22"/>
  <c r="AA309" i="22"/>
  <c r="X309" i="22"/>
  <c r="G309" i="22"/>
  <c r="Q309" i="22"/>
  <c r="P309" i="22"/>
  <c r="L309" i="22"/>
  <c r="N309" i="22"/>
  <c r="I309" i="22"/>
  <c r="H309" i="22"/>
  <c r="O309" i="22"/>
  <c r="K309" i="22"/>
  <c r="J309" i="22"/>
  <c r="AC305" i="22"/>
  <c r="AA305" i="22"/>
  <c r="X305" i="22"/>
  <c r="I305" i="22"/>
  <c r="O305" i="22"/>
  <c r="G305" i="22"/>
  <c r="N305" i="22"/>
  <c r="P305" i="22"/>
  <c r="J305" i="22"/>
  <c r="L305" i="22"/>
  <c r="Q305" i="22"/>
  <c r="K305" i="22"/>
  <c r="H305" i="22"/>
  <c r="AC301" i="22"/>
  <c r="AA301" i="22"/>
  <c r="Q301" i="22"/>
  <c r="X301" i="22"/>
  <c r="O301" i="22"/>
  <c r="I301" i="22"/>
  <c r="H301" i="22"/>
  <c r="G301" i="22"/>
  <c r="P301" i="22"/>
  <c r="J301" i="22"/>
  <c r="K301" i="22"/>
  <c r="N301" i="22"/>
  <c r="L301" i="22"/>
  <c r="AC297" i="22"/>
  <c r="AA297" i="22"/>
  <c r="X297" i="22"/>
  <c r="N297" i="22"/>
  <c r="H297" i="22"/>
  <c r="L297" i="22"/>
  <c r="J297" i="22"/>
  <c r="O297" i="22"/>
  <c r="G297" i="22"/>
  <c r="K297" i="22"/>
  <c r="I297" i="22"/>
  <c r="Q297" i="22"/>
  <c r="P297" i="22"/>
  <c r="AC293" i="22"/>
  <c r="AA293" i="22"/>
  <c r="Q293" i="22"/>
  <c r="X293" i="22"/>
  <c r="G293" i="22"/>
  <c r="N293" i="22"/>
  <c r="I293" i="22"/>
  <c r="J293" i="22"/>
  <c r="O293" i="22"/>
  <c r="K293" i="22"/>
  <c r="H293" i="22"/>
  <c r="P293" i="22"/>
  <c r="L293" i="22"/>
  <c r="AC289" i="22"/>
  <c r="AA289" i="22"/>
  <c r="X289" i="22"/>
  <c r="P289" i="22"/>
  <c r="K289" i="22"/>
  <c r="O289" i="22"/>
  <c r="I289" i="22"/>
  <c r="Q289" i="22"/>
  <c r="J289" i="22"/>
  <c r="N289" i="22"/>
  <c r="L289" i="22"/>
  <c r="G289" i="22"/>
  <c r="H289" i="22"/>
  <c r="AC285" i="22"/>
  <c r="AA285" i="22"/>
  <c r="X285" i="22"/>
  <c r="Q285" i="22"/>
  <c r="I285" i="22"/>
  <c r="J285" i="22"/>
  <c r="K285" i="22"/>
  <c r="P285" i="22"/>
  <c r="O285" i="22"/>
  <c r="N285" i="22"/>
  <c r="L285" i="22"/>
  <c r="G285" i="22"/>
  <c r="H285" i="22"/>
  <c r="AC281" i="22"/>
  <c r="AA281" i="22"/>
  <c r="X281" i="22"/>
  <c r="Q281" i="22"/>
  <c r="P281" i="22"/>
  <c r="K281" i="22"/>
  <c r="O281" i="22"/>
  <c r="I281" i="22"/>
  <c r="G281" i="22"/>
  <c r="J281" i="22"/>
  <c r="N281" i="22"/>
  <c r="H281" i="22"/>
  <c r="L281" i="22"/>
  <c r="AC277" i="22"/>
  <c r="AA277" i="22"/>
  <c r="X277" i="22"/>
  <c r="G277" i="22"/>
  <c r="J277" i="22"/>
  <c r="Q277" i="22"/>
  <c r="P277" i="22"/>
  <c r="L277" i="22"/>
  <c r="N277" i="22"/>
  <c r="I277" i="22"/>
  <c r="H277" i="22"/>
  <c r="K277" i="22"/>
  <c r="O277" i="22"/>
  <c r="AC273" i="22"/>
  <c r="AA273" i="22"/>
  <c r="X273" i="22"/>
  <c r="J273" i="22"/>
  <c r="N273" i="22"/>
  <c r="G273" i="22"/>
  <c r="I273" i="22"/>
  <c r="L273" i="22"/>
  <c r="Q273" i="22"/>
  <c r="P273" i="22"/>
  <c r="O273" i="22"/>
  <c r="K273" i="22"/>
  <c r="H273" i="22"/>
  <c r="AC269" i="22"/>
  <c r="AA269" i="22"/>
  <c r="X269" i="22"/>
  <c r="Q269" i="22"/>
  <c r="L269" i="22"/>
  <c r="N269" i="22"/>
  <c r="O269" i="22"/>
  <c r="I269" i="22"/>
  <c r="H269" i="22"/>
  <c r="P269" i="22"/>
  <c r="J269" i="22"/>
  <c r="G269" i="22"/>
  <c r="K269" i="22"/>
  <c r="AC265" i="22"/>
  <c r="AA265" i="22"/>
  <c r="X265" i="22"/>
  <c r="H265" i="22"/>
  <c r="L265" i="22"/>
  <c r="J265" i="22"/>
  <c r="Q265" i="22"/>
  <c r="P265" i="22"/>
  <c r="K265" i="22"/>
  <c r="O265" i="22"/>
  <c r="G265" i="22"/>
  <c r="N265" i="22"/>
  <c r="I265" i="22"/>
  <c r="AC261" i="22"/>
  <c r="AA261" i="22"/>
  <c r="X261" i="22"/>
  <c r="Q261" i="22"/>
  <c r="P261" i="22"/>
  <c r="L261" i="22"/>
  <c r="H261" i="22"/>
  <c r="N261" i="22"/>
  <c r="I261" i="22"/>
  <c r="J261" i="22"/>
  <c r="G261" i="22"/>
  <c r="O261" i="22"/>
  <c r="K261" i="22"/>
  <c r="AC257" i="22"/>
  <c r="AA257" i="22"/>
  <c r="Q257" i="22"/>
  <c r="O257" i="22"/>
  <c r="I257" i="22"/>
  <c r="N257" i="22"/>
  <c r="J257" i="22"/>
  <c r="X257" i="22"/>
  <c r="K257" i="22"/>
  <c r="G257" i="22"/>
  <c r="P257" i="22"/>
  <c r="L257" i="22"/>
  <c r="H257" i="22"/>
  <c r="AC253" i="22"/>
  <c r="AA253" i="22"/>
  <c r="X253" i="22"/>
  <c r="Q253" i="22"/>
  <c r="I253" i="22"/>
  <c r="L253" i="22"/>
  <c r="G253" i="22"/>
  <c r="J253" i="22"/>
  <c r="H253" i="22"/>
  <c r="P253" i="22"/>
  <c r="K253" i="22"/>
  <c r="N253" i="22"/>
  <c r="O253" i="22"/>
  <c r="U2" i="22"/>
  <c r="K2" i="22"/>
  <c r="AC251" i="22"/>
  <c r="W251" i="22"/>
  <c r="AA251" i="22"/>
  <c r="U251" i="22"/>
  <c r="Z251" i="22"/>
  <c r="V251" i="22"/>
  <c r="Q251" i="22"/>
  <c r="X251" i="22"/>
  <c r="P251" i="22"/>
  <c r="K251" i="22"/>
  <c r="O251" i="22"/>
  <c r="J251" i="22"/>
  <c r="H251" i="22"/>
  <c r="I251" i="22"/>
  <c r="L251" i="22"/>
  <c r="N251" i="22"/>
  <c r="G251" i="22"/>
  <c r="AC249" i="22"/>
  <c r="Z249" i="22"/>
  <c r="W249" i="22"/>
  <c r="U249" i="22"/>
  <c r="AA249" i="22"/>
  <c r="V249" i="22"/>
  <c r="O249" i="22"/>
  <c r="I249" i="22"/>
  <c r="G249" i="22"/>
  <c r="X249" i="22"/>
  <c r="N249" i="22"/>
  <c r="K249" i="22"/>
  <c r="H249" i="22"/>
  <c r="J249" i="22"/>
  <c r="Q249" i="22"/>
  <c r="P249" i="22"/>
  <c r="L249" i="22"/>
  <c r="AC247" i="22"/>
  <c r="AA247" i="22"/>
  <c r="U247" i="22"/>
  <c r="Z247" i="22"/>
  <c r="W247" i="22"/>
  <c r="Q247" i="22"/>
  <c r="X247" i="22"/>
  <c r="V247" i="22"/>
  <c r="P247" i="22"/>
  <c r="L247" i="22"/>
  <c r="O247" i="22"/>
  <c r="K247" i="22"/>
  <c r="G247" i="22"/>
  <c r="N247" i="22"/>
  <c r="J247" i="22"/>
  <c r="I247" i="22"/>
  <c r="H247" i="22"/>
  <c r="AC245" i="22"/>
  <c r="W245" i="22"/>
  <c r="AA245" i="22"/>
  <c r="U245" i="22"/>
  <c r="X245" i="22"/>
  <c r="Z245" i="22"/>
  <c r="G245" i="22"/>
  <c r="Q245" i="22"/>
  <c r="V245" i="22"/>
  <c r="N245" i="22"/>
  <c r="I245" i="22"/>
  <c r="H245" i="22"/>
  <c r="O245" i="22"/>
  <c r="K245" i="22"/>
  <c r="J245" i="22"/>
  <c r="P245" i="22"/>
  <c r="L245" i="22"/>
  <c r="AC243" i="22"/>
  <c r="W243" i="22"/>
  <c r="AA243" i="22"/>
  <c r="Z243" i="22"/>
  <c r="U243" i="22"/>
  <c r="Q243" i="22"/>
  <c r="X243" i="22"/>
  <c r="V243" i="22"/>
  <c r="P243" i="22"/>
  <c r="K243" i="22"/>
  <c r="O243" i="22"/>
  <c r="J243" i="22"/>
  <c r="N243" i="22"/>
  <c r="L243" i="22"/>
  <c r="H243" i="22"/>
  <c r="G243" i="22"/>
  <c r="I243" i="22"/>
  <c r="AC241" i="22"/>
  <c r="AA241" i="22"/>
  <c r="Z241" i="22"/>
  <c r="W241" i="22"/>
  <c r="V241" i="22"/>
  <c r="U241" i="22"/>
  <c r="X241" i="22"/>
  <c r="L241" i="22"/>
  <c r="P241" i="22"/>
  <c r="K241" i="22"/>
  <c r="I241" i="22"/>
  <c r="N241" i="22"/>
  <c r="G241" i="22"/>
  <c r="H241" i="22"/>
  <c r="J241" i="22"/>
  <c r="O241" i="22"/>
  <c r="Q241" i="22"/>
  <c r="AC239" i="22"/>
  <c r="AA239" i="22"/>
  <c r="Z239" i="22"/>
  <c r="U239" i="22"/>
  <c r="W239" i="22"/>
  <c r="X239" i="22"/>
  <c r="V239" i="22"/>
  <c r="Q239" i="22"/>
  <c r="O239" i="22"/>
  <c r="K239" i="22"/>
  <c r="N239" i="22"/>
  <c r="J239" i="22"/>
  <c r="P239" i="22"/>
  <c r="L239" i="22"/>
  <c r="G239" i="22"/>
  <c r="I239" i="22"/>
  <c r="H239" i="22"/>
  <c r="AC237" i="22"/>
  <c r="U237" i="22"/>
  <c r="Z237" i="22"/>
  <c r="W237" i="22"/>
  <c r="AA237" i="22"/>
  <c r="X237" i="22"/>
  <c r="L237" i="22"/>
  <c r="Q237" i="22"/>
  <c r="V237" i="22"/>
  <c r="N237" i="22"/>
  <c r="O237" i="22"/>
  <c r="I237" i="22"/>
  <c r="H237" i="22"/>
  <c r="J237" i="22"/>
  <c r="K237" i="22"/>
  <c r="G237" i="22"/>
  <c r="P237" i="22"/>
  <c r="AC235" i="22"/>
  <c r="W235" i="22"/>
  <c r="AA235" i="22"/>
  <c r="Z235" i="22"/>
  <c r="U235" i="22"/>
  <c r="X235" i="22"/>
  <c r="V235" i="22"/>
  <c r="Q235" i="22"/>
  <c r="O235" i="22"/>
  <c r="J235" i="22"/>
  <c r="I235" i="22"/>
  <c r="H235" i="22"/>
  <c r="P235" i="22"/>
  <c r="K235" i="22"/>
  <c r="L235" i="22"/>
  <c r="N235" i="22"/>
  <c r="G235" i="22"/>
  <c r="AC233" i="22"/>
  <c r="U233" i="22"/>
  <c r="Z233" i="22"/>
  <c r="W233" i="22"/>
  <c r="X233" i="22"/>
  <c r="V233" i="22"/>
  <c r="AA233" i="22"/>
  <c r="H233" i="22"/>
  <c r="Q233" i="22"/>
  <c r="L233" i="22"/>
  <c r="J233" i="22"/>
  <c r="P233" i="22"/>
  <c r="K233" i="22"/>
  <c r="O233" i="22"/>
  <c r="I233" i="22"/>
  <c r="G233" i="22"/>
  <c r="N233" i="22"/>
  <c r="AC231" i="22"/>
  <c r="W231" i="22"/>
  <c r="AA231" i="22"/>
  <c r="Z231" i="22"/>
  <c r="U231" i="22"/>
  <c r="V231" i="22"/>
  <c r="Q231" i="22"/>
  <c r="X231" i="22"/>
  <c r="O231" i="22"/>
  <c r="K231" i="22"/>
  <c r="N231" i="22"/>
  <c r="J231" i="22"/>
  <c r="G231" i="22"/>
  <c r="P231" i="22"/>
  <c r="L231" i="22"/>
  <c r="H231" i="22"/>
  <c r="I231" i="22"/>
  <c r="AC229" i="22"/>
  <c r="AA229" i="22"/>
  <c r="U229" i="22"/>
  <c r="Z229" i="22"/>
  <c r="W229" i="22"/>
  <c r="V229" i="22"/>
  <c r="G229" i="22"/>
  <c r="Q229" i="22"/>
  <c r="N229" i="22"/>
  <c r="I229" i="22"/>
  <c r="J229" i="22"/>
  <c r="O229" i="22"/>
  <c r="K229" i="22"/>
  <c r="X229" i="22"/>
  <c r="P229" i="22"/>
  <c r="L229" i="22"/>
  <c r="H229" i="22"/>
  <c r="AC227" i="22"/>
  <c r="U227" i="22"/>
  <c r="Z227" i="22"/>
  <c r="AA227" i="22"/>
  <c r="W227" i="22"/>
  <c r="X227" i="22"/>
  <c r="N227" i="22"/>
  <c r="V227" i="22"/>
  <c r="Q227" i="22"/>
  <c r="O227" i="22"/>
  <c r="J227" i="22"/>
  <c r="I227" i="22"/>
  <c r="P227" i="22"/>
  <c r="K227" i="22"/>
  <c r="H227" i="22"/>
  <c r="L227" i="22"/>
  <c r="G227" i="22"/>
  <c r="AC225" i="22"/>
  <c r="W225" i="22"/>
  <c r="AA225" i="22"/>
  <c r="U225" i="22"/>
  <c r="Z225" i="22"/>
  <c r="X225" i="22"/>
  <c r="V225" i="22"/>
  <c r="P225" i="22"/>
  <c r="K225" i="22"/>
  <c r="O225" i="22"/>
  <c r="I225" i="22"/>
  <c r="N225" i="22"/>
  <c r="J225" i="22"/>
  <c r="Q225" i="22"/>
  <c r="H225" i="22"/>
  <c r="L225" i="22"/>
  <c r="G225" i="22"/>
  <c r="AC223" i="22"/>
  <c r="AA223" i="22"/>
  <c r="W223" i="22"/>
  <c r="U223" i="22"/>
  <c r="Z223" i="22"/>
  <c r="Q223" i="22"/>
  <c r="X223" i="22"/>
  <c r="V223" i="22"/>
  <c r="N223" i="22"/>
  <c r="J223" i="22"/>
  <c r="I223" i="22"/>
  <c r="O223" i="22"/>
  <c r="K223" i="22"/>
  <c r="G223" i="22"/>
  <c r="P223" i="22"/>
  <c r="H223" i="22"/>
  <c r="L223" i="22"/>
  <c r="AC221" i="22"/>
  <c r="U221" i="22"/>
  <c r="AA221" i="22"/>
  <c r="W221" i="22"/>
  <c r="Z221" i="22"/>
  <c r="Q221" i="22"/>
  <c r="X221" i="22"/>
  <c r="I221" i="22"/>
  <c r="V221" i="22"/>
  <c r="P221" i="22"/>
  <c r="K221" i="22"/>
  <c r="N221" i="22"/>
  <c r="O221" i="22"/>
  <c r="L221" i="22"/>
  <c r="J221" i="22"/>
  <c r="H221" i="22"/>
  <c r="G221" i="22"/>
  <c r="AC219" i="22"/>
  <c r="AA219" i="22"/>
  <c r="Z219" i="22"/>
  <c r="U219" i="22"/>
  <c r="W219" i="22"/>
  <c r="X219" i="22"/>
  <c r="V219" i="22"/>
  <c r="Q219" i="22"/>
  <c r="I219" i="22"/>
  <c r="L219" i="22"/>
  <c r="N219" i="22"/>
  <c r="H219" i="22"/>
  <c r="O219" i="22"/>
  <c r="J219" i="22"/>
  <c r="K219" i="22"/>
  <c r="P219" i="22"/>
  <c r="G219" i="22"/>
  <c r="AC217" i="22"/>
  <c r="AA217" i="22"/>
  <c r="Z217" i="22"/>
  <c r="U217" i="22"/>
  <c r="W217" i="22"/>
  <c r="X217" i="22"/>
  <c r="V217" i="22"/>
  <c r="H217" i="22"/>
  <c r="Q217" i="22"/>
  <c r="L217" i="22"/>
  <c r="J217" i="22"/>
  <c r="P217" i="22"/>
  <c r="K217" i="22"/>
  <c r="O217" i="22"/>
  <c r="I217" i="22"/>
  <c r="G217" i="22"/>
  <c r="N217" i="22"/>
  <c r="AC215" i="22"/>
  <c r="Z215" i="22"/>
  <c r="U215" i="22"/>
  <c r="AA215" i="22"/>
  <c r="W215" i="22"/>
  <c r="V215" i="22"/>
  <c r="Q215" i="22"/>
  <c r="X215" i="22"/>
  <c r="N215" i="22"/>
  <c r="J215" i="22"/>
  <c r="I215" i="22"/>
  <c r="G215" i="22"/>
  <c r="O215" i="22"/>
  <c r="K215" i="22"/>
  <c r="P215" i="22"/>
  <c r="L215" i="22"/>
  <c r="H215" i="22"/>
  <c r="AC213" i="22"/>
  <c r="U213" i="22"/>
  <c r="Z213" i="22"/>
  <c r="W213" i="22"/>
  <c r="AA213" i="22"/>
  <c r="V213" i="22"/>
  <c r="G213" i="22"/>
  <c r="Q213" i="22"/>
  <c r="J213" i="22"/>
  <c r="P213" i="22"/>
  <c r="L213" i="22"/>
  <c r="X213" i="22"/>
  <c r="N213" i="22"/>
  <c r="I213" i="22"/>
  <c r="H213" i="22"/>
  <c r="O213" i="22"/>
  <c r="K213" i="22"/>
  <c r="AC211" i="22"/>
  <c r="W211" i="22"/>
  <c r="AA211" i="22"/>
  <c r="U211" i="22"/>
  <c r="Z211" i="22"/>
  <c r="Q211" i="22"/>
  <c r="V211" i="22"/>
  <c r="X211" i="22"/>
  <c r="I211" i="22"/>
  <c r="L211" i="22"/>
  <c r="O211" i="22"/>
  <c r="J211" i="22"/>
  <c r="H211" i="22"/>
  <c r="K211" i="22"/>
  <c r="G211" i="22"/>
  <c r="N211" i="22"/>
  <c r="P211" i="22"/>
  <c r="AC209" i="22"/>
  <c r="Z209" i="22"/>
  <c r="AA209" i="22"/>
  <c r="U209" i="22"/>
  <c r="W209" i="22"/>
  <c r="X209" i="22"/>
  <c r="I209" i="22"/>
  <c r="O209" i="22"/>
  <c r="N209" i="22"/>
  <c r="G209" i="22"/>
  <c r="L209" i="22"/>
  <c r="P209" i="22"/>
  <c r="Q209" i="22"/>
  <c r="K209" i="22"/>
  <c r="H209" i="22"/>
  <c r="V209" i="22"/>
  <c r="J209" i="22"/>
  <c r="AC207" i="22"/>
  <c r="AA207" i="22"/>
  <c r="W207" i="22"/>
  <c r="U207" i="22"/>
  <c r="Z207" i="22"/>
  <c r="Q207" i="22"/>
  <c r="X207" i="22"/>
  <c r="V207" i="22"/>
  <c r="I207" i="22"/>
  <c r="P207" i="22"/>
  <c r="L207" i="22"/>
  <c r="N207" i="22"/>
  <c r="J207" i="22"/>
  <c r="G207" i="22"/>
  <c r="O207" i="22"/>
  <c r="K207" i="22"/>
  <c r="H207" i="22"/>
  <c r="AC205" i="22"/>
  <c r="AA205" i="22"/>
  <c r="U205" i="22"/>
  <c r="Z205" i="22"/>
  <c r="W205" i="22"/>
  <c r="Q205" i="22"/>
  <c r="X205" i="22"/>
  <c r="V205" i="22"/>
  <c r="O205" i="22"/>
  <c r="I205" i="22"/>
  <c r="H205" i="22"/>
  <c r="P205" i="22"/>
  <c r="J205" i="22"/>
  <c r="K205" i="22"/>
  <c r="L205" i="22"/>
  <c r="N205" i="22"/>
  <c r="G205" i="22"/>
  <c r="AC203" i="22"/>
  <c r="W203" i="22"/>
  <c r="Z203" i="22"/>
  <c r="U203" i="22"/>
  <c r="AA203" i="22"/>
  <c r="Q203" i="22"/>
  <c r="X203" i="22"/>
  <c r="V203" i="22"/>
  <c r="L203" i="22"/>
  <c r="N203" i="22"/>
  <c r="P203" i="22"/>
  <c r="K203" i="22"/>
  <c r="H203" i="22"/>
  <c r="I203" i="22"/>
  <c r="J203" i="22"/>
  <c r="G203" i="22"/>
  <c r="O203" i="22"/>
  <c r="AC201" i="22"/>
  <c r="AA201" i="22"/>
  <c r="W201" i="22"/>
  <c r="Z201" i="22"/>
  <c r="U201" i="22"/>
  <c r="H201" i="22"/>
  <c r="X201" i="22"/>
  <c r="Q201" i="22"/>
  <c r="V201" i="22"/>
  <c r="O201" i="22"/>
  <c r="I201" i="22"/>
  <c r="G201" i="22"/>
  <c r="N201" i="22"/>
  <c r="L201" i="22"/>
  <c r="J201" i="22"/>
  <c r="P201" i="22"/>
  <c r="K201" i="22"/>
  <c r="AC199" i="22"/>
  <c r="U199" i="22"/>
  <c r="AA199" i="22"/>
  <c r="W199" i="22"/>
  <c r="Z199" i="22"/>
  <c r="X199" i="22"/>
  <c r="V199" i="22"/>
  <c r="Q199" i="22"/>
  <c r="I199" i="22"/>
  <c r="P199" i="22"/>
  <c r="L199" i="22"/>
  <c r="H199" i="22"/>
  <c r="G199" i="22"/>
  <c r="N199" i="22"/>
  <c r="J199" i="22"/>
  <c r="O199" i="22"/>
  <c r="K199" i="22"/>
  <c r="AC197" i="22"/>
  <c r="W197" i="22"/>
  <c r="AA197" i="22"/>
  <c r="U197" i="22"/>
  <c r="Z197" i="22"/>
  <c r="X197" i="22"/>
  <c r="V197" i="22"/>
  <c r="G197" i="22"/>
  <c r="Q197" i="22"/>
  <c r="N197" i="22"/>
  <c r="L197" i="22"/>
  <c r="J197" i="22"/>
  <c r="O197" i="22"/>
  <c r="I197" i="22"/>
  <c r="K197" i="22"/>
  <c r="P197" i="22"/>
  <c r="H197" i="22"/>
  <c r="AC195" i="22"/>
  <c r="W195" i="22"/>
  <c r="AA195" i="22"/>
  <c r="Z195" i="22"/>
  <c r="U195" i="22"/>
  <c r="X195" i="22"/>
  <c r="V195" i="22"/>
  <c r="Q195" i="22"/>
  <c r="N195" i="22"/>
  <c r="I195" i="22"/>
  <c r="L195" i="22"/>
  <c r="H195" i="22"/>
  <c r="O195" i="22"/>
  <c r="J195" i="22"/>
  <c r="K195" i="22"/>
  <c r="G195" i="22"/>
  <c r="P195" i="22"/>
  <c r="AC193" i="22"/>
  <c r="W193" i="22"/>
  <c r="AA193" i="22"/>
  <c r="Z193" i="22"/>
  <c r="V193" i="22"/>
  <c r="Q193" i="22"/>
  <c r="U193" i="22"/>
  <c r="X193" i="22"/>
  <c r="L193" i="22"/>
  <c r="J193" i="22"/>
  <c r="P193" i="22"/>
  <c r="K193" i="22"/>
  <c r="G193" i="22"/>
  <c r="O193" i="22"/>
  <c r="H193" i="22"/>
  <c r="I193" i="22"/>
  <c r="N193" i="22"/>
  <c r="AC191" i="22"/>
  <c r="U191" i="22"/>
  <c r="AA191" i="22"/>
  <c r="W191" i="22"/>
  <c r="Z191" i="22"/>
  <c r="V191" i="22"/>
  <c r="Q191" i="22"/>
  <c r="X191" i="22"/>
  <c r="N191" i="22"/>
  <c r="J191" i="22"/>
  <c r="I191" i="22"/>
  <c r="O191" i="22"/>
  <c r="K191" i="22"/>
  <c r="G191" i="22"/>
  <c r="P191" i="22"/>
  <c r="L191" i="22"/>
  <c r="H191" i="22"/>
  <c r="AC189" i="22"/>
  <c r="W189" i="22"/>
  <c r="AA189" i="22"/>
  <c r="U189" i="22"/>
  <c r="I189" i="22"/>
  <c r="X189" i="22"/>
  <c r="V189" i="22"/>
  <c r="Q189" i="22"/>
  <c r="L189" i="22"/>
  <c r="J189" i="22"/>
  <c r="K189" i="22"/>
  <c r="Z189" i="22"/>
  <c r="P189" i="22"/>
  <c r="G189" i="22"/>
  <c r="N189" i="22"/>
  <c r="H189" i="22"/>
  <c r="O189" i="22"/>
  <c r="AC187" i="22"/>
  <c r="W187" i="22"/>
  <c r="Z187" i="22"/>
  <c r="AA187" i="22"/>
  <c r="U187" i="22"/>
  <c r="Q187" i="22"/>
  <c r="X187" i="22"/>
  <c r="V187" i="22"/>
  <c r="O187" i="22"/>
  <c r="J187" i="22"/>
  <c r="I187" i="22"/>
  <c r="P187" i="22"/>
  <c r="K187" i="22"/>
  <c r="N187" i="22"/>
  <c r="L187" i="22"/>
  <c r="H187" i="22"/>
  <c r="G187" i="22"/>
  <c r="AC185" i="22"/>
  <c r="AA185" i="22"/>
  <c r="U185" i="22"/>
  <c r="W185" i="22"/>
  <c r="Z185" i="22"/>
  <c r="Q185" i="22"/>
  <c r="X185" i="22"/>
  <c r="N185" i="22"/>
  <c r="G185" i="22"/>
  <c r="V185" i="22"/>
  <c r="L185" i="22"/>
  <c r="J185" i="22"/>
  <c r="P185" i="22"/>
  <c r="K185" i="22"/>
  <c r="I185" i="22"/>
  <c r="H185" i="22"/>
  <c r="O185" i="22"/>
  <c r="AC183" i="22"/>
  <c r="AA183" i="22"/>
  <c r="W183" i="22"/>
  <c r="U183" i="22"/>
  <c r="Z183" i="22"/>
  <c r="V183" i="22"/>
  <c r="Q183" i="22"/>
  <c r="X183" i="22"/>
  <c r="P183" i="22"/>
  <c r="L183" i="22"/>
  <c r="H183" i="22"/>
  <c r="O183" i="22"/>
  <c r="K183" i="22"/>
  <c r="G183" i="22"/>
  <c r="I183" i="22"/>
  <c r="N183" i="22"/>
  <c r="J183" i="22"/>
  <c r="AC181" i="22"/>
  <c r="U181" i="22"/>
  <c r="Z181" i="22"/>
  <c r="W181" i="22"/>
  <c r="AA181" i="22"/>
  <c r="G181" i="22"/>
  <c r="X181" i="22"/>
  <c r="K181" i="22"/>
  <c r="Q181" i="22"/>
  <c r="P181" i="22"/>
  <c r="H181" i="22"/>
  <c r="J181" i="22"/>
  <c r="V181" i="22"/>
  <c r="N181" i="22"/>
  <c r="L181" i="22"/>
  <c r="O181" i="22"/>
  <c r="I181" i="22"/>
  <c r="AC179" i="22"/>
  <c r="W179" i="22"/>
  <c r="Z179" i="22"/>
  <c r="U179" i="22"/>
  <c r="AA179" i="22"/>
  <c r="Q179" i="22"/>
  <c r="V179" i="22"/>
  <c r="X179" i="22"/>
  <c r="L179" i="22"/>
  <c r="H179" i="22"/>
  <c r="P179" i="22"/>
  <c r="K179" i="22"/>
  <c r="I179" i="22"/>
  <c r="N179" i="22"/>
  <c r="O179" i="22"/>
  <c r="G179" i="22"/>
  <c r="J179" i="22"/>
  <c r="AC177" i="22"/>
  <c r="W177" i="22"/>
  <c r="U177" i="22"/>
  <c r="AA177" i="22"/>
  <c r="Z177" i="22"/>
  <c r="Q177" i="22"/>
  <c r="I177" i="22"/>
  <c r="X177" i="22"/>
  <c r="O177" i="22"/>
  <c r="H177" i="22"/>
  <c r="N177" i="22"/>
  <c r="J177" i="22"/>
  <c r="L177" i="22"/>
  <c r="G177" i="22"/>
  <c r="P177" i="22"/>
  <c r="V177" i="22"/>
  <c r="K177" i="22"/>
  <c r="U175" i="22"/>
  <c r="AC175" i="22"/>
  <c r="AA175" i="22"/>
  <c r="W175" i="22"/>
  <c r="Z175" i="22"/>
  <c r="X175" i="22"/>
  <c r="V175" i="22"/>
  <c r="Q175" i="22"/>
  <c r="I175" i="22"/>
  <c r="P175" i="22"/>
  <c r="L175" i="22"/>
  <c r="H175" i="22"/>
  <c r="N175" i="22"/>
  <c r="J175" i="22"/>
  <c r="G175" i="22"/>
  <c r="O175" i="22"/>
  <c r="K175" i="22"/>
  <c r="AC173" i="22"/>
  <c r="U173" i="22"/>
  <c r="W173" i="22"/>
  <c r="AA173" i="22"/>
  <c r="Z173" i="22"/>
  <c r="X173" i="22"/>
  <c r="V173" i="22"/>
  <c r="L173" i="22"/>
  <c r="N173" i="22"/>
  <c r="O173" i="22"/>
  <c r="H173" i="22"/>
  <c r="I173" i="22"/>
  <c r="K173" i="22"/>
  <c r="G173" i="22"/>
  <c r="P173" i="22"/>
  <c r="Q173" i="22"/>
  <c r="J173" i="22"/>
  <c r="AC171" i="22"/>
  <c r="AA171" i="22"/>
  <c r="W171" i="22"/>
  <c r="Z171" i="22"/>
  <c r="U171" i="22"/>
  <c r="V171" i="22"/>
  <c r="Q171" i="22"/>
  <c r="X171" i="22"/>
  <c r="I171" i="22"/>
  <c r="L171" i="22"/>
  <c r="H171" i="22"/>
  <c r="O171" i="22"/>
  <c r="J171" i="22"/>
  <c r="P171" i="22"/>
  <c r="K171" i="22"/>
  <c r="G171" i="22"/>
  <c r="N171" i="22"/>
  <c r="AC169" i="22"/>
  <c r="AA169" i="22"/>
  <c r="Z169" i="22"/>
  <c r="U169" i="22"/>
  <c r="W169" i="22"/>
  <c r="H169" i="22"/>
  <c r="Q169" i="22"/>
  <c r="X169" i="22"/>
  <c r="P169" i="22"/>
  <c r="K169" i="22"/>
  <c r="V169" i="22"/>
  <c r="O169" i="22"/>
  <c r="I169" i="22"/>
  <c r="G169" i="22"/>
  <c r="N169" i="22"/>
  <c r="L169" i="22"/>
  <c r="J169" i="22"/>
  <c r="AC167" i="22"/>
  <c r="AA167" i="22"/>
  <c r="Z167" i="22"/>
  <c r="U167" i="22"/>
  <c r="W167" i="22"/>
  <c r="V167" i="22"/>
  <c r="Q167" i="22"/>
  <c r="X167" i="22"/>
  <c r="O167" i="22"/>
  <c r="K167" i="22"/>
  <c r="N167" i="22"/>
  <c r="J167" i="22"/>
  <c r="G167" i="22"/>
  <c r="P167" i="22"/>
  <c r="L167" i="22"/>
  <c r="H167" i="22"/>
  <c r="I167" i="22"/>
  <c r="AC165" i="22"/>
  <c r="U165" i="22"/>
  <c r="Z165" i="22"/>
  <c r="W165" i="22"/>
  <c r="AA165" i="22"/>
  <c r="X165" i="22"/>
  <c r="O165" i="22"/>
  <c r="I165" i="22"/>
  <c r="G165" i="22"/>
  <c r="K165" i="22"/>
  <c r="V165" i="22"/>
  <c r="Q165" i="22"/>
  <c r="P165" i="22"/>
  <c r="H165" i="22"/>
  <c r="L165" i="22"/>
  <c r="J165" i="22"/>
  <c r="N165" i="22"/>
  <c r="AC163" i="22"/>
  <c r="U163" i="22"/>
  <c r="W163" i="22"/>
  <c r="AA163" i="22"/>
  <c r="Z163" i="22"/>
  <c r="X163" i="22"/>
  <c r="N163" i="22"/>
  <c r="Q163" i="22"/>
  <c r="V163" i="22"/>
  <c r="P163" i="22"/>
  <c r="K163" i="22"/>
  <c r="O163" i="22"/>
  <c r="J163" i="22"/>
  <c r="L163" i="22"/>
  <c r="H163" i="22"/>
  <c r="I163" i="22"/>
  <c r="G163" i="22"/>
  <c r="AC161" i="22"/>
  <c r="Z161" i="22"/>
  <c r="U161" i="22"/>
  <c r="W161" i="22"/>
  <c r="AA161" i="22"/>
  <c r="V161" i="22"/>
  <c r="Q161" i="22"/>
  <c r="P161" i="22"/>
  <c r="K161" i="22"/>
  <c r="G161" i="22"/>
  <c r="O161" i="22"/>
  <c r="H161" i="22"/>
  <c r="N161" i="22"/>
  <c r="I161" i="22"/>
  <c r="X161" i="22"/>
  <c r="L161" i="22"/>
  <c r="J161" i="22"/>
  <c r="AC159" i="22"/>
  <c r="Z159" i="22"/>
  <c r="U159" i="22"/>
  <c r="AA159" i="22"/>
  <c r="W159" i="22"/>
  <c r="X159" i="22"/>
  <c r="V159" i="22"/>
  <c r="Q159" i="22"/>
  <c r="P159" i="22"/>
  <c r="L159" i="22"/>
  <c r="H159" i="22"/>
  <c r="O159" i="22"/>
  <c r="K159" i="22"/>
  <c r="I159" i="22"/>
  <c r="G159" i="22"/>
  <c r="J159" i="22"/>
  <c r="N159" i="22"/>
  <c r="AC157" i="22"/>
  <c r="W157" i="22"/>
  <c r="Z157" i="22"/>
  <c r="U157" i="22"/>
  <c r="V157" i="22"/>
  <c r="H157" i="22"/>
  <c r="Q157" i="22"/>
  <c r="X157" i="22"/>
  <c r="I157" i="22"/>
  <c r="J157" i="22"/>
  <c r="P157" i="22"/>
  <c r="N157" i="22"/>
  <c r="L157" i="22"/>
  <c r="O157" i="22"/>
  <c r="AA157" i="22"/>
  <c r="K157" i="22"/>
  <c r="G157" i="22"/>
  <c r="AC155" i="22"/>
  <c r="W155" i="22"/>
  <c r="AA155" i="22"/>
  <c r="U155" i="22"/>
  <c r="Z155" i="22"/>
  <c r="V155" i="22"/>
  <c r="Q155" i="22"/>
  <c r="X155" i="22"/>
  <c r="L155" i="22"/>
  <c r="H155" i="22"/>
  <c r="P155" i="22"/>
  <c r="K155" i="22"/>
  <c r="N155" i="22"/>
  <c r="I155" i="22"/>
  <c r="O155" i="22"/>
  <c r="J155" i="22"/>
  <c r="G155" i="22"/>
  <c r="AC153" i="22"/>
  <c r="AA153" i="22"/>
  <c r="Z153" i="22"/>
  <c r="U153" i="22"/>
  <c r="W153" i="22"/>
  <c r="X153" i="22"/>
  <c r="V153" i="22"/>
  <c r="P153" i="22"/>
  <c r="K153" i="22"/>
  <c r="Q153" i="22"/>
  <c r="O153" i="22"/>
  <c r="I153" i="22"/>
  <c r="H153" i="22"/>
  <c r="N153" i="22"/>
  <c r="G153" i="22"/>
  <c r="L153" i="22"/>
  <c r="J153" i="22"/>
  <c r="AC151" i="22"/>
  <c r="U151" i="22"/>
  <c r="AA151" i="22"/>
  <c r="W151" i="22"/>
  <c r="Z151" i="22"/>
  <c r="V151" i="22"/>
  <c r="Q151" i="22"/>
  <c r="X151" i="22"/>
  <c r="N151" i="22"/>
  <c r="J151" i="22"/>
  <c r="I151" i="22"/>
  <c r="G151" i="22"/>
  <c r="O151" i="22"/>
  <c r="K151" i="22"/>
  <c r="L151" i="22"/>
  <c r="H151" i="22"/>
  <c r="P151" i="22"/>
  <c r="AC149" i="22"/>
  <c r="AA149" i="22"/>
  <c r="Z149" i="22"/>
  <c r="U149" i="22"/>
  <c r="W149" i="22"/>
  <c r="X149" i="22"/>
  <c r="G149" i="22"/>
  <c r="V149" i="22"/>
  <c r="Q149" i="22"/>
  <c r="N149" i="22"/>
  <c r="L149" i="22"/>
  <c r="O149" i="22"/>
  <c r="I149" i="22"/>
  <c r="K149" i="22"/>
  <c r="P149" i="22"/>
  <c r="H149" i="22"/>
  <c r="J149" i="22"/>
  <c r="AC147" i="22"/>
  <c r="U147" i="22"/>
  <c r="Z147" i="22"/>
  <c r="W147" i="22"/>
  <c r="AA147" i="22"/>
  <c r="Q147" i="22"/>
  <c r="V147" i="22"/>
  <c r="X147" i="22"/>
  <c r="O147" i="22"/>
  <c r="J147" i="22"/>
  <c r="I147" i="22"/>
  <c r="P147" i="22"/>
  <c r="K147" i="22"/>
  <c r="G147" i="22"/>
  <c r="N147" i="22"/>
  <c r="L147" i="22"/>
  <c r="H147" i="22"/>
  <c r="AC145" i="22"/>
  <c r="AA145" i="22"/>
  <c r="Z145" i="22"/>
  <c r="W145" i="22"/>
  <c r="U145" i="22"/>
  <c r="X145" i="22"/>
  <c r="I145" i="22"/>
  <c r="V145" i="22"/>
  <c r="L145" i="22"/>
  <c r="G145" i="22"/>
  <c r="Q145" i="22"/>
  <c r="P145" i="22"/>
  <c r="K145" i="22"/>
  <c r="J145" i="22"/>
  <c r="O145" i="22"/>
  <c r="H145" i="22"/>
  <c r="N145" i="22"/>
  <c r="AC143" i="22"/>
  <c r="AA143" i="22"/>
  <c r="W143" i="22"/>
  <c r="Z143" i="22"/>
  <c r="U143" i="22"/>
  <c r="Q143" i="22"/>
  <c r="X143" i="22"/>
  <c r="V143" i="22"/>
  <c r="O143" i="22"/>
  <c r="K143" i="22"/>
  <c r="N143" i="22"/>
  <c r="J143" i="22"/>
  <c r="P143" i="22"/>
  <c r="L143" i="22"/>
  <c r="H143" i="22"/>
  <c r="G143" i="22"/>
  <c r="I143" i="22"/>
  <c r="AC141" i="22"/>
  <c r="Z141" i="22"/>
  <c r="W141" i="22"/>
  <c r="U141" i="22"/>
  <c r="Q141" i="22"/>
  <c r="AA141" i="22"/>
  <c r="X141" i="22"/>
  <c r="V141" i="22"/>
  <c r="I141" i="22"/>
  <c r="P141" i="22"/>
  <c r="J141" i="22"/>
  <c r="K141" i="22"/>
  <c r="N141" i="22"/>
  <c r="O141" i="22"/>
  <c r="H141" i="22"/>
  <c r="L141" i="22"/>
  <c r="G141" i="22"/>
  <c r="AC139" i="22"/>
  <c r="U139" i="22"/>
  <c r="AA139" i="22"/>
  <c r="W139" i="22"/>
  <c r="Z139" i="22"/>
  <c r="V139" i="22"/>
  <c r="Q139" i="22"/>
  <c r="X139" i="22"/>
  <c r="P139" i="22"/>
  <c r="K139" i="22"/>
  <c r="N139" i="22"/>
  <c r="O139" i="22"/>
  <c r="J139" i="22"/>
  <c r="L139" i="22"/>
  <c r="H139" i="22"/>
  <c r="G139" i="22"/>
  <c r="I139" i="22"/>
  <c r="AC137" i="22"/>
  <c r="AA137" i="22"/>
  <c r="W137" i="22"/>
  <c r="U137" i="22"/>
  <c r="Z137" i="22"/>
  <c r="X137" i="22"/>
  <c r="H137" i="22"/>
  <c r="V137" i="22"/>
  <c r="N137" i="22"/>
  <c r="L137" i="22"/>
  <c r="J137" i="22"/>
  <c r="P137" i="22"/>
  <c r="K137" i="22"/>
  <c r="I137" i="22"/>
  <c r="Q137" i="22"/>
  <c r="G137" i="22"/>
  <c r="O137" i="22"/>
  <c r="AC135" i="22"/>
  <c r="U135" i="22"/>
  <c r="W135" i="22"/>
  <c r="AA135" i="22"/>
  <c r="Z135" i="22"/>
  <c r="X135" i="22"/>
  <c r="V135" i="22"/>
  <c r="Q135" i="22"/>
  <c r="I135" i="22"/>
  <c r="P135" i="22"/>
  <c r="L135" i="22"/>
  <c r="H135" i="22"/>
  <c r="G135" i="22"/>
  <c r="N135" i="22"/>
  <c r="J135" i="22"/>
  <c r="O135" i="22"/>
  <c r="K135" i="22"/>
  <c r="AC133" i="22"/>
  <c r="W133" i="22"/>
  <c r="AA133" i="22"/>
  <c r="Z133" i="22"/>
  <c r="Q133" i="22"/>
  <c r="X133" i="22"/>
  <c r="U133" i="22"/>
  <c r="V133" i="22"/>
  <c r="G133" i="22"/>
  <c r="P133" i="22"/>
  <c r="H133" i="22"/>
  <c r="N133" i="22"/>
  <c r="L133" i="22"/>
  <c r="J133" i="22"/>
  <c r="O133" i="22"/>
  <c r="I133" i="22"/>
  <c r="K133" i="22"/>
  <c r="AC131" i="22"/>
  <c r="AA131" i="22"/>
  <c r="U131" i="22"/>
  <c r="Z131" i="22"/>
  <c r="X131" i="22"/>
  <c r="W131" i="22"/>
  <c r="V131" i="22"/>
  <c r="Q131" i="22"/>
  <c r="N131" i="22"/>
  <c r="I131" i="22"/>
  <c r="L131" i="22"/>
  <c r="H131" i="22"/>
  <c r="O131" i="22"/>
  <c r="J131" i="22"/>
  <c r="P131" i="22"/>
  <c r="G131" i="22"/>
  <c r="K131" i="22"/>
  <c r="AC129" i="22"/>
  <c r="U129" i="22"/>
  <c r="W129" i="22"/>
  <c r="AA129" i="22"/>
  <c r="Q129" i="22"/>
  <c r="X129" i="22"/>
  <c r="Z129" i="22"/>
  <c r="V129" i="22"/>
  <c r="N129" i="22"/>
  <c r="I129" i="22"/>
  <c r="L129" i="22"/>
  <c r="J129" i="22"/>
  <c r="P129" i="22"/>
  <c r="K129" i="22"/>
  <c r="G129" i="22"/>
  <c r="O129" i="22"/>
  <c r="H129" i="22"/>
  <c r="AC127" i="22"/>
  <c r="Z127" i="22"/>
  <c r="U127" i="22"/>
  <c r="AA127" i="22"/>
  <c r="W127" i="22"/>
  <c r="V127" i="22"/>
  <c r="Q127" i="22"/>
  <c r="X127" i="22"/>
  <c r="N127" i="22"/>
  <c r="J127" i="22"/>
  <c r="I127" i="22"/>
  <c r="O127" i="22"/>
  <c r="K127" i="22"/>
  <c r="G127" i="22"/>
  <c r="P127" i="22"/>
  <c r="L127" i="22"/>
  <c r="H127" i="22"/>
  <c r="AC125" i="22"/>
  <c r="U125" i="22"/>
  <c r="AA125" i="22"/>
  <c r="Z125" i="22"/>
  <c r="W125" i="22"/>
  <c r="H125" i="22"/>
  <c r="X125" i="22"/>
  <c r="N125" i="22"/>
  <c r="O125" i="22"/>
  <c r="V125" i="22"/>
  <c r="Q125" i="22"/>
  <c r="L125" i="22"/>
  <c r="I125" i="22"/>
  <c r="J125" i="22"/>
  <c r="K125" i="22"/>
  <c r="G125" i="22"/>
  <c r="P125" i="22"/>
  <c r="AC123" i="22"/>
  <c r="W123" i="22"/>
  <c r="Z123" i="22"/>
  <c r="AA123" i="22"/>
  <c r="U123" i="22"/>
  <c r="V123" i="22"/>
  <c r="Q123" i="22"/>
  <c r="X123" i="22"/>
  <c r="O123" i="22"/>
  <c r="J123" i="22"/>
  <c r="I123" i="22"/>
  <c r="P123" i="22"/>
  <c r="K123" i="22"/>
  <c r="N123" i="22"/>
  <c r="H123" i="22"/>
  <c r="L123" i="22"/>
  <c r="G123" i="22"/>
  <c r="AC121" i="22"/>
  <c r="AA121" i="22"/>
  <c r="U121" i="22"/>
  <c r="W121" i="22"/>
  <c r="Z121" i="22"/>
  <c r="V121" i="22"/>
  <c r="Q121" i="22"/>
  <c r="O121" i="22"/>
  <c r="I121" i="22"/>
  <c r="H121" i="22"/>
  <c r="N121" i="22"/>
  <c r="G121" i="22"/>
  <c r="X121" i="22"/>
  <c r="L121" i="22"/>
  <c r="J121" i="22"/>
  <c r="P121" i="22"/>
  <c r="K121" i="22"/>
  <c r="AC119" i="22"/>
  <c r="U119" i="22"/>
  <c r="AA119" i="22"/>
  <c r="W119" i="22"/>
  <c r="Z119" i="22"/>
  <c r="V119" i="22"/>
  <c r="Q119" i="22"/>
  <c r="X119" i="22"/>
  <c r="P119" i="22"/>
  <c r="L119" i="22"/>
  <c r="H119" i="22"/>
  <c r="O119" i="22"/>
  <c r="K119" i="22"/>
  <c r="G119" i="22"/>
  <c r="I119" i="22"/>
  <c r="N119" i="22"/>
  <c r="J119" i="22"/>
  <c r="AC117" i="22"/>
  <c r="U117" i="22"/>
  <c r="Z117" i="22"/>
  <c r="W117" i="22"/>
  <c r="AA117" i="22"/>
  <c r="V117" i="22"/>
  <c r="Q117" i="22"/>
  <c r="O117" i="22"/>
  <c r="I117" i="22"/>
  <c r="K117" i="22"/>
  <c r="P117" i="22"/>
  <c r="H117" i="22"/>
  <c r="J117" i="22"/>
  <c r="L117" i="22"/>
  <c r="X117" i="22"/>
  <c r="G117" i="22"/>
  <c r="N117" i="22"/>
  <c r="AC115" i="22"/>
  <c r="W115" i="22"/>
  <c r="Z115" i="22"/>
  <c r="AA115" i="22"/>
  <c r="U115" i="22"/>
  <c r="Q115" i="22"/>
  <c r="X115" i="22"/>
  <c r="V115" i="22"/>
  <c r="L115" i="22"/>
  <c r="H115" i="22"/>
  <c r="P115" i="22"/>
  <c r="K115" i="22"/>
  <c r="N115" i="22"/>
  <c r="I115" i="22"/>
  <c r="J115" i="22"/>
  <c r="G115" i="22"/>
  <c r="O115" i="22"/>
  <c r="AC113" i="22"/>
  <c r="W113" i="22"/>
  <c r="U113" i="22"/>
  <c r="AA113" i="22"/>
  <c r="X113" i="22"/>
  <c r="Z113" i="22"/>
  <c r="V113" i="22"/>
  <c r="I113" i="22"/>
  <c r="Q113" i="22"/>
  <c r="P113" i="22"/>
  <c r="K113" i="22"/>
  <c r="O113" i="22"/>
  <c r="H113" i="22"/>
  <c r="N113" i="22"/>
  <c r="L113" i="22"/>
  <c r="J113" i="22"/>
  <c r="G113" i="22"/>
  <c r="AC111" i="22"/>
  <c r="W111" i="22"/>
  <c r="Z111" i="22"/>
  <c r="U111" i="22"/>
  <c r="AA111" i="22"/>
  <c r="X111" i="22"/>
  <c r="V111" i="22"/>
  <c r="Q111" i="22"/>
  <c r="I111" i="22"/>
  <c r="P111" i="22"/>
  <c r="L111" i="22"/>
  <c r="H111" i="22"/>
  <c r="N111" i="22"/>
  <c r="J111" i="22"/>
  <c r="G111" i="22"/>
  <c r="O111" i="22"/>
  <c r="K111" i="22"/>
  <c r="AC109" i="22"/>
  <c r="U109" i="22"/>
  <c r="W109" i="22"/>
  <c r="AA109" i="22"/>
  <c r="Z109" i="22"/>
  <c r="X109" i="22"/>
  <c r="Q109" i="22"/>
  <c r="L109" i="22"/>
  <c r="P109" i="22"/>
  <c r="J109" i="22"/>
  <c r="K109" i="22"/>
  <c r="N109" i="22"/>
  <c r="V109" i="22"/>
  <c r="O109" i="22"/>
  <c r="H109" i="22"/>
  <c r="I109" i="22"/>
  <c r="G109" i="22"/>
  <c r="AC107" i="22"/>
  <c r="U107" i="22"/>
  <c r="AA107" i="22"/>
  <c r="W107" i="22"/>
  <c r="Z107" i="22"/>
  <c r="X107" i="22"/>
  <c r="V107" i="22"/>
  <c r="Q107" i="22"/>
  <c r="I107" i="22"/>
  <c r="L107" i="22"/>
  <c r="H107" i="22"/>
  <c r="O107" i="22"/>
  <c r="J107" i="22"/>
  <c r="K107" i="22"/>
  <c r="N107" i="22"/>
  <c r="G107" i="22"/>
  <c r="P107" i="22"/>
  <c r="AC105" i="22"/>
  <c r="AA105" i="22"/>
  <c r="Z105" i="22"/>
  <c r="U105" i="22"/>
  <c r="W105" i="22"/>
  <c r="X105" i="22"/>
  <c r="V105" i="22"/>
  <c r="L105" i="22"/>
  <c r="J105" i="22"/>
  <c r="H105" i="22"/>
  <c r="P105" i="22"/>
  <c r="K105" i="22"/>
  <c r="Q105" i="22"/>
  <c r="O105" i="22"/>
  <c r="I105" i="22"/>
  <c r="G105" i="22"/>
  <c r="N105" i="22"/>
  <c r="AC103" i="22"/>
  <c r="W103" i="22"/>
  <c r="U103" i="22"/>
  <c r="AA103" i="22"/>
  <c r="Z103" i="22"/>
  <c r="Q103" i="22"/>
  <c r="X103" i="22"/>
  <c r="V103" i="22"/>
  <c r="O103" i="22"/>
  <c r="K103" i="22"/>
  <c r="N103" i="22"/>
  <c r="J103" i="22"/>
  <c r="G103" i="22"/>
  <c r="P103" i="22"/>
  <c r="L103" i="22"/>
  <c r="H103" i="22"/>
  <c r="I103" i="22"/>
  <c r="AC101" i="22"/>
  <c r="U101" i="22"/>
  <c r="Z101" i="22"/>
  <c r="W101" i="22"/>
  <c r="AA101" i="22"/>
  <c r="X101" i="22"/>
  <c r="G101" i="22"/>
  <c r="V101" i="22"/>
  <c r="Q101" i="22"/>
  <c r="N101" i="22"/>
  <c r="L101" i="22"/>
  <c r="J101" i="22"/>
  <c r="O101" i="22"/>
  <c r="I101" i="22"/>
  <c r="K101" i="22"/>
  <c r="P101" i="22"/>
  <c r="H101" i="22"/>
  <c r="AC99" i="22"/>
  <c r="W99" i="22"/>
  <c r="Z99" i="22"/>
  <c r="AA99" i="22"/>
  <c r="U99" i="22"/>
  <c r="X99" i="22"/>
  <c r="N99" i="22"/>
  <c r="V99" i="22"/>
  <c r="Q99" i="22"/>
  <c r="P99" i="22"/>
  <c r="O99" i="22"/>
  <c r="J99" i="22"/>
  <c r="L99" i="22"/>
  <c r="H99" i="22"/>
  <c r="K99" i="22"/>
  <c r="I99" i="22"/>
  <c r="G99" i="22"/>
  <c r="AC97" i="22"/>
  <c r="Z97" i="22"/>
  <c r="U97" i="22"/>
  <c r="V97" i="22"/>
  <c r="X97" i="22"/>
  <c r="AA97" i="22"/>
  <c r="Q97" i="22"/>
  <c r="L97" i="22"/>
  <c r="J97" i="22"/>
  <c r="W97" i="22"/>
  <c r="P97" i="22"/>
  <c r="K97" i="22"/>
  <c r="G97" i="22"/>
  <c r="O97" i="22"/>
  <c r="H97" i="22"/>
  <c r="I97" i="22"/>
  <c r="N97" i="22"/>
  <c r="AC95" i="22"/>
  <c r="AA95" i="22"/>
  <c r="W95" i="22"/>
  <c r="Z95" i="22"/>
  <c r="U95" i="22"/>
  <c r="Q95" i="22"/>
  <c r="X95" i="22"/>
  <c r="V95" i="22"/>
  <c r="O95" i="22"/>
  <c r="K95" i="22"/>
  <c r="I95" i="22"/>
  <c r="G95" i="22"/>
  <c r="N95" i="22"/>
  <c r="L95" i="22"/>
  <c r="J95" i="22"/>
  <c r="P95" i="22"/>
  <c r="H95" i="22"/>
  <c r="AC93" i="22"/>
  <c r="W93" i="22"/>
  <c r="Z93" i="22"/>
  <c r="U93" i="22"/>
  <c r="AA93" i="22"/>
  <c r="X93" i="22"/>
  <c r="H93" i="22"/>
  <c r="V93" i="22"/>
  <c r="Q93" i="22"/>
  <c r="N93" i="22"/>
  <c r="L93" i="22"/>
  <c r="K93" i="22"/>
  <c r="I93" i="22"/>
  <c r="P93" i="22"/>
  <c r="O93" i="22"/>
  <c r="G93" i="22"/>
  <c r="J93" i="22"/>
  <c r="AC91" i="22"/>
  <c r="W91" i="22"/>
  <c r="Z91" i="22"/>
  <c r="AA91" i="22"/>
  <c r="U91" i="22"/>
  <c r="V91" i="22"/>
  <c r="Q91" i="22"/>
  <c r="X91" i="22"/>
  <c r="O91" i="22"/>
  <c r="P91" i="22"/>
  <c r="J91" i="22"/>
  <c r="L91" i="22"/>
  <c r="H91" i="22"/>
  <c r="K91" i="22"/>
  <c r="I91" i="22"/>
  <c r="N91" i="22"/>
  <c r="G91" i="22"/>
  <c r="AC89" i="22"/>
  <c r="AA89" i="22"/>
  <c r="Z89" i="22"/>
  <c r="U89" i="22"/>
  <c r="W89" i="22"/>
  <c r="Q89" i="22"/>
  <c r="X89" i="22"/>
  <c r="V89" i="22"/>
  <c r="N89" i="22"/>
  <c r="J89" i="22"/>
  <c r="L89" i="22"/>
  <c r="I89" i="22"/>
  <c r="P89" i="22"/>
  <c r="H89" i="22"/>
  <c r="O89" i="22"/>
  <c r="G89" i="22"/>
  <c r="K89" i="22"/>
  <c r="AC87" i="22"/>
  <c r="Z87" i="22"/>
  <c r="U87" i="22"/>
  <c r="AA87" i="22"/>
  <c r="W87" i="22"/>
  <c r="X87" i="22"/>
  <c r="V87" i="22"/>
  <c r="Q87" i="22"/>
  <c r="P87" i="22"/>
  <c r="L87" i="22"/>
  <c r="H87" i="22"/>
  <c r="G87" i="22"/>
  <c r="N87" i="22"/>
  <c r="J87" i="22"/>
  <c r="O87" i="22"/>
  <c r="K87" i="22"/>
  <c r="I87" i="22"/>
  <c r="AC85" i="22"/>
  <c r="AA85" i="22"/>
  <c r="U85" i="22"/>
  <c r="W85" i="22"/>
  <c r="Z85" i="22"/>
  <c r="X85" i="22"/>
  <c r="V85" i="22"/>
  <c r="I85" i="22"/>
  <c r="G85" i="22"/>
  <c r="P85" i="22"/>
  <c r="J85" i="22"/>
  <c r="K85" i="22"/>
  <c r="Q85" i="22"/>
  <c r="N85" i="22"/>
  <c r="H85" i="22"/>
  <c r="L85" i="22"/>
  <c r="O85" i="22"/>
  <c r="AC83" i="22"/>
  <c r="W83" i="22"/>
  <c r="U83" i="22"/>
  <c r="Z83" i="22"/>
  <c r="AA83" i="22"/>
  <c r="Q83" i="22"/>
  <c r="X83" i="22"/>
  <c r="V83" i="22"/>
  <c r="L83" i="22"/>
  <c r="H83" i="22"/>
  <c r="O83" i="22"/>
  <c r="J83" i="22"/>
  <c r="P83" i="22"/>
  <c r="G83" i="22"/>
  <c r="K83" i="22"/>
  <c r="N83" i="22"/>
  <c r="I83" i="22"/>
  <c r="AC81" i="22"/>
  <c r="AA81" i="22"/>
  <c r="Z81" i="22"/>
  <c r="W81" i="22"/>
  <c r="U81" i="22"/>
  <c r="Q81" i="22"/>
  <c r="X81" i="22"/>
  <c r="N81" i="22"/>
  <c r="H81" i="22"/>
  <c r="I81" i="22"/>
  <c r="V81" i="22"/>
  <c r="O81" i="22"/>
  <c r="J81" i="22"/>
  <c r="P81" i="22"/>
  <c r="G81" i="22"/>
  <c r="L81" i="22"/>
  <c r="K81" i="22"/>
  <c r="AC79" i="22"/>
  <c r="U79" i="22"/>
  <c r="AA79" i="22"/>
  <c r="W79" i="22"/>
  <c r="Z79" i="22"/>
  <c r="V79" i="22"/>
  <c r="Q79" i="22"/>
  <c r="X79" i="22"/>
  <c r="I79" i="22"/>
  <c r="O79" i="22"/>
  <c r="K79" i="22"/>
  <c r="G79" i="22"/>
  <c r="P79" i="22"/>
  <c r="H79" i="22"/>
  <c r="N79" i="22"/>
  <c r="L79" i="22"/>
  <c r="J79" i="22"/>
  <c r="AC77" i="22"/>
  <c r="Z77" i="22"/>
  <c r="U77" i="22"/>
  <c r="AA77" i="22"/>
  <c r="W77" i="22"/>
  <c r="V77" i="22"/>
  <c r="Q77" i="22"/>
  <c r="I77" i="22"/>
  <c r="P77" i="22"/>
  <c r="J77" i="22"/>
  <c r="K77" i="22"/>
  <c r="X77" i="22"/>
  <c r="H77" i="22"/>
  <c r="O77" i="22"/>
  <c r="N77" i="22"/>
  <c r="L77" i="22"/>
  <c r="G77" i="22"/>
  <c r="AC75" i="22"/>
  <c r="W75" i="22"/>
  <c r="AA75" i="22"/>
  <c r="U75" i="22"/>
  <c r="Z75" i="22"/>
  <c r="Q75" i="22"/>
  <c r="X75" i="22"/>
  <c r="V75" i="22"/>
  <c r="N75" i="22"/>
  <c r="J75" i="22"/>
  <c r="P75" i="22"/>
  <c r="L75" i="22"/>
  <c r="H75" i="22"/>
  <c r="I75" i="22"/>
  <c r="O75" i="22"/>
  <c r="G75" i="22"/>
  <c r="K75" i="22"/>
  <c r="AC73" i="22"/>
  <c r="AA73" i="22"/>
  <c r="W73" i="22"/>
  <c r="Z73" i="22"/>
  <c r="V73" i="22"/>
  <c r="H73" i="22"/>
  <c r="Q73" i="22"/>
  <c r="U73" i="22"/>
  <c r="N73" i="22"/>
  <c r="L73" i="22"/>
  <c r="X73" i="22"/>
  <c r="I73" i="22"/>
  <c r="P73" i="22"/>
  <c r="G73" i="22"/>
  <c r="O73" i="22"/>
  <c r="J73" i="22"/>
  <c r="K73" i="22"/>
  <c r="AC71" i="22"/>
  <c r="Z71" i="22"/>
  <c r="U71" i="22"/>
  <c r="AA71" i="22"/>
  <c r="W71" i="22"/>
  <c r="Q71" i="22"/>
  <c r="X71" i="22"/>
  <c r="V71" i="22"/>
  <c r="N71" i="22"/>
  <c r="J71" i="22"/>
  <c r="G71" i="22"/>
  <c r="L71" i="22"/>
  <c r="H71" i="22"/>
  <c r="I71" i="22"/>
  <c r="P71" i="22"/>
  <c r="O71" i="22"/>
  <c r="K71" i="22"/>
  <c r="AC69" i="22"/>
  <c r="W69" i="22"/>
  <c r="AA69" i="22"/>
  <c r="U69" i="22"/>
  <c r="V69" i="22"/>
  <c r="X69" i="22"/>
  <c r="Q69" i="22"/>
  <c r="P69" i="22"/>
  <c r="J69" i="22"/>
  <c r="K69" i="22"/>
  <c r="N69" i="22"/>
  <c r="H69" i="22"/>
  <c r="Z69" i="22"/>
  <c r="L69" i="22"/>
  <c r="I69" i="22"/>
  <c r="G69" i="22"/>
  <c r="O69" i="22"/>
  <c r="AC67" i="22"/>
  <c r="W67" i="22"/>
  <c r="Z67" i="22"/>
  <c r="AA67" i="22"/>
  <c r="U67" i="22"/>
  <c r="X67" i="22"/>
  <c r="V67" i="22"/>
  <c r="Q67" i="22"/>
  <c r="P67" i="22"/>
  <c r="L67" i="22"/>
  <c r="H67" i="22"/>
  <c r="N67" i="22"/>
  <c r="J67" i="22"/>
  <c r="K67" i="22"/>
  <c r="I67" i="22"/>
  <c r="O67" i="22"/>
  <c r="G67" i="22"/>
  <c r="AC65" i="22"/>
  <c r="U65" i="22"/>
  <c r="W65" i="22"/>
  <c r="AA65" i="22"/>
  <c r="Z65" i="22"/>
  <c r="V65" i="22"/>
  <c r="X65" i="22"/>
  <c r="N65" i="22"/>
  <c r="J65" i="22"/>
  <c r="Q65" i="22"/>
  <c r="L65" i="22"/>
  <c r="I65" i="22"/>
  <c r="O65" i="22"/>
  <c r="K65" i="22"/>
  <c r="H65" i="22"/>
  <c r="P65" i="22"/>
  <c r="G65" i="22"/>
  <c r="AC63" i="22"/>
  <c r="Z63" i="22"/>
  <c r="U63" i="22"/>
  <c r="AA63" i="22"/>
  <c r="W63" i="22"/>
  <c r="V63" i="22"/>
  <c r="N63" i="22"/>
  <c r="X63" i="22"/>
  <c r="Q63" i="22"/>
  <c r="L63" i="22"/>
  <c r="H63" i="22"/>
  <c r="O63" i="22"/>
  <c r="J63" i="22"/>
  <c r="G63" i="22"/>
  <c r="K63" i="22"/>
  <c r="I63" i="22"/>
  <c r="P63" i="22"/>
  <c r="AC61" i="22"/>
  <c r="U61" i="22"/>
  <c r="AA61" i="22"/>
  <c r="Z61" i="22"/>
  <c r="X61" i="22"/>
  <c r="H61" i="22"/>
  <c r="V61" i="22"/>
  <c r="Q61" i="22"/>
  <c r="O61" i="22"/>
  <c r="N61" i="22"/>
  <c r="W61" i="22"/>
  <c r="L61" i="22"/>
  <c r="P61" i="22"/>
  <c r="G61" i="22"/>
  <c r="J61" i="22"/>
  <c r="K61" i="22"/>
  <c r="I61" i="22"/>
  <c r="AC59" i="22"/>
  <c r="U59" i="22"/>
  <c r="W59" i="22"/>
  <c r="Z59" i="22"/>
  <c r="AA59" i="22"/>
  <c r="V59" i="22"/>
  <c r="Q59" i="22"/>
  <c r="X59" i="22"/>
  <c r="I59" i="22"/>
  <c r="N59" i="22"/>
  <c r="K59" i="22"/>
  <c r="L59" i="22"/>
  <c r="J59" i="22"/>
  <c r="P59" i="22"/>
  <c r="H59" i="22"/>
  <c r="O59" i="22"/>
  <c r="G59" i="22"/>
  <c r="AC57" i="22"/>
  <c r="AA57" i="22"/>
  <c r="U57" i="22"/>
  <c r="W57" i="22"/>
  <c r="Z57" i="22"/>
  <c r="Q57" i="22"/>
  <c r="X57" i="22"/>
  <c r="V57" i="22"/>
  <c r="O57" i="22"/>
  <c r="I57" i="22"/>
  <c r="G57" i="22"/>
  <c r="N57" i="22"/>
  <c r="J57" i="22"/>
  <c r="P57" i="22"/>
  <c r="H57" i="22"/>
  <c r="L57" i="22"/>
  <c r="K57" i="22"/>
  <c r="AC55" i="22"/>
  <c r="U55" i="22"/>
  <c r="AA55" i="22"/>
  <c r="W55" i="22"/>
  <c r="Z55" i="22"/>
  <c r="Q55" i="22"/>
  <c r="X55" i="22"/>
  <c r="V55" i="22"/>
  <c r="N55" i="22"/>
  <c r="J55" i="22"/>
  <c r="G55" i="22"/>
  <c r="P55" i="22"/>
  <c r="L55" i="22"/>
  <c r="H55" i="22"/>
  <c r="K55" i="22"/>
  <c r="I55" i="22"/>
  <c r="O55" i="22"/>
  <c r="AC53" i="22"/>
  <c r="U53" i="22"/>
  <c r="Z53" i="22"/>
  <c r="W53" i="22"/>
  <c r="AA53" i="22"/>
  <c r="X53" i="22"/>
  <c r="V53" i="22"/>
  <c r="N53" i="22"/>
  <c r="L53" i="22"/>
  <c r="G53" i="22"/>
  <c r="I53" i="22"/>
  <c r="Q53" i="22"/>
  <c r="H53" i="22"/>
  <c r="P53" i="22"/>
  <c r="K53" i="22"/>
  <c r="O53" i="22"/>
  <c r="J53" i="22"/>
  <c r="AC51" i="22"/>
  <c r="W51" i="22"/>
  <c r="Z51" i="22"/>
  <c r="AA51" i="22"/>
  <c r="U51" i="22"/>
  <c r="Q51" i="22"/>
  <c r="X51" i="22"/>
  <c r="V51" i="22"/>
  <c r="O51" i="22"/>
  <c r="K51" i="22"/>
  <c r="L51" i="22"/>
  <c r="I51" i="22"/>
  <c r="G51" i="22"/>
  <c r="N51" i="22"/>
  <c r="J51" i="22"/>
  <c r="P51" i="22"/>
  <c r="H51" i="22"/>
  <c r="AC49" i="22"/>
  <c r="W49" i="22"/>
  <c r="U49" i="22"/>
  <c r="AA49" i="22"/>
  <c r="Z49" i="22"/>
  <c r="Q49" i="22"/>
  <c r="V49" i="22"/>
  <c r="P49" i="22"/>
  <c r="O49" i="22"/>
  <c r="G49" i="22"/>
  <c r="N49" i="22"/>
  <c r="H49" i="22"/>
  <c r="I49" i="22"/>
  <c r="X49" i="22"/>
  <c r="K49" i="22"/>
  <c r="J49" i="22"/>
  <c r="L49" i="22"/>
  <c r="AC47" i="22"/>
  <c r="W47" i="22"/>
  <c r="Z47" i="22"/>
  <c r="U47" i="22"/>
  <c r="AA47" i="22"/>
  <c r="X47" i="22"/>
  <c r="V47" i="22"/>
  <c r="Q47" i="22"/>
  <c r="P47" i="22"/>
  <c r="L47" i="22"/>
  <c r="H47" i="22"/>
  <c r="N47" i="22"/>
  <c r="J47" i="22"/>
  <c r="G47" i="22"/>
  <c r="O47" i="22"/>
  <c r="K47" i="22"/>
  <c r="I47" i="22"/>
  <c r="AC45" i="22"/>
  <c r="U45" i="22"/>
  <c r="W45" i="22"/>
  <c r="AA45" i="22"/>
  <c r="Q45" i="22"/>
  <c r="L45" i="22"/>
  <c r="Z45" i="22"/>
  <c r="X45" i="22"/>
  <c r="N45" i="22"/>
  <c r="H45" i="22"/>
  <c r="I45" i="22"/>
  <c r="O45" i="22"/>
  <c r="J45" i="22"/>
  <c r="G45" i="22"/>
  <c r="V45" i="22"/>
  <c r="P45" i="22"/>
  <c r="K45" i="22"/>
  <c r="AC43" i="22"/>
  <c r="W43" i="22"/>
  <c r="AA43" i="22"/>
  <c r="U43" i="22"/>
  <c r="Z43" i="22"/>
  <c r="X43" i="22"/>
  <c r="V43" i="22"/>
  <c r="Q43" i="22"/>
  <c r="I43" i="22"/>
  <c r="O43" i="22"/>
  <c r="K43" i="22"/>
  <c r="P43" i="22"/>
  <c r="H43" i="22"/>
  <c r="N43" i="22"/>
  <c r="G43" i="22"/>
  <c r="L43" i="22"/>
  <c r="J43" i="22"/>
  <c r="AC41" i="22"/>
  <c r="AA41" i="22"/>
  <c r="Z41" i="22"/>
  <c r="U41" i="22"/>
  <c r="W41" i="22"/>
  <c r="X41" i="22"/>
  <c r="V41" i="22"/>
  <c r="Q41" i="22"/>
  <c r="O41" i="22"/>
  <c r="N41" i="22"/>
  <c r="J41" i="22"/>
  <c r="L41" i="22"/>
  <c r="H41" i="22"/>
  <c r="P41" i="22"/>
  <c r="G41" i="22"/>
  <c r="K41" i="22"/>
  <c r="I41" i="22"/>
  <c r="AC39" i="22"/>
  <c r="U39" i="22"/>
  <c r="AA39" i="22"/>
  <c r="Z39" i="22"/>
  <c r="W39" i="22"/>
  <c r="V39" i="22"/>
  <c r="Q39" i="22"/>
  <c r="X39" i="22"/>
  <c r="O39" i="22"/>
  <c r="J39" i="22"/>
  <c r="G39" i="22"/>
  <c r="P39" i="22"/>
  <c r="L39" i="22"/>
  <c r="H39" i="22"/>
  <c r="I39" i="22"/>
  <c r="N39" i="22"/>
  <c r="K39" i="22"/>
  <c r="AC37" i="22"/>
  <c r="U37" i="22"/>
  <c r="Z37" i="22"/>
  <c r="W37" i="22"/>
  <c r="G37" i="22"/>
  <c r="Q37" i="22"/>
  <c r="X37" i="22"/>
  <c r="I37" i="22"/>
  <c r="V37" i="22"/>
  <c r="P37" i="22"/>
  <c r="J37" i="22"/>
  <c r="K37" i="22"/>
  <c r="L37" i="22"/>
  <c r="N37" i="22"/>
  <c r="AA37" i="22"/>
  <c r="O37" i="22"/>
  <c r="H37" i="22"/>
  <c r="AC35" i="22"/>
  <c r="W35" i="22"/>
  <c r="Z35" i="22"/>
  <c r="AA35" i="22"/>
  <c r="U35" i="22"/>
  <c r="V35" i="22"/>
  <c r="Q35" i="22"/>
  <c r="X35" i="22"/>
  <c r="O35" i="22"/>
  <c r="K35" i="22"/>
  <c r="I35" i="22"/>
  <c r="J35" i="22"/>
  <c r="P35" i="22"/>
  <c r="H35" i="22"/>
  <c r="N35" i="22"/>
  <c r="G35" i="22"/>
  <c r="L35" i="22"/>
  <c r="AC33" i="22"/>
  <c r="Z33" i="22"/>
  <c r="U33" i="22"/>
  <c r="W33" i="22"/>
  <c r="AA33" i="22"/>
  <c r="V33" i="22"/>
  <c r="O33" i="22"/>
  <c r="H33" i="22"/>
  <c r="N33" i="22"/>
  <c r="J33" i="22"/>
  <c r="X33" i="22"/>
  <c r="Q33" i="22"/>
  <c r="K33" i="22"/>
  <c r="I33" i="22"/>
  <c r="P33" i="22"/>
  <c r="G33" i="22"/>
  <c r="L33" i="22"/>
  <c r="AC31" i="22"/>
  <c r="W31" i="22"/>
  <c r="Z31" i="22"/>
  <c r="U31" i="22"/>
  <c r="AA31" i="22"/>
  <c r="Q31" i="22"/>
  <c r="X31" i="22"/>
  <c r="V31" i="22"/>
  <c r="P31" i="22"/>
  <c r="K31" i="22"/>
  <c r="N31" i="22"/>
  <c r="I31" i="22"/>
  <c r="G31" i="22"/>
  <c r="J31" i="22"/>
  <c r="H31" i="22"/>
  <c r="O31" i="22"/>
  <c r="L31" i="22"/>
  <c r="AC29" i="22"/>
  <c r="W29" i="22"/>
  <c r="Z29" i="22"/>
  <c r="U29" i="22"/>
  <c r="AA29" i="22"/>
  <c r="H29" i="22"/>
  <c r="Q29" i="22"/>
  <c r="X29" i="22"/>
  <c r="P29" i="22"/>
  <c r="O29" i="22"/>
  <c r="K29" i="22"/>
  <c r="J29" i="22"/>
  <c r="I29" i="22"/>
  <c r="G29" i="22"/>
  <c r="V29" i="22"/>
  <c r="L29" i="22"/>
  <c r="N29" i="22"/>
  <c r="AC27" i="22"/>
  <c r="U27" i="22"/>
  <c r="W27" i="22"/>
  <c r="Z27" i="22"/>
  <c r="AA27" i="22"/>
  <c r="Q27" i="22"/>
  <c r="X27" i="22"/>
  <c r="V27" i="22"/>
  <c r="L27" i="22"/>
  <c r="I27" i="22"/>
  <c r="N27" i="22"/>
  <c r="K27" i="22"/>
  <c r="O27" i="22"/>
  <c r="J27" i="22"/>
  <c r="P27" i="22"/>
  <c r="H27" i="22"/>
  <c r="G27" i="22"/>
  <c r="AC25" i="22"/>
  <c r="AA25" i="22"/>
  <c r="Z25" i="22"/>
  <c r="U25" i="22"/>
  <c r="W25" i="22"/>
  <c r="V25" i="22"/>
  <c r="Q25" i="22"/>
  <c r="X25" i="22"/>
  <c r="L25" i="22"/>
  <c r="P25" i="22"/>
  <c r="K25" i="22"/>
  <c r="H25" i="22"/>
  <c r="O25" i="22"/>
  <c r="I25" i="22"/>
  <c r="G25" i="22"/>
  <c r="N25" i="22"/>
  <c r="J25" i="22"/>
  <c r="AC23" i="22"/>
  <c r="U23" i="22"/>
  <c r="AA23" i="22"/>
  <c r="W23" i="22"/>
  <c r="Z23" i="22"/>
  <c r="Q23" i="22"/>
  <c r="X23" i="22"/>
  <c r="V23" i="22"/>
  <c r="N23" i="22"/>
  <c r="J23" i="22"/>
  <c r="G23" i="22"/>
  <c r="P23" i="22"/>
  <c r="L23" i="22"/>
  <c r="H23" i="22"/>
  <c r="K23" i="22"/>
  <c r="I23" i="22"/>
  <c r="O23" i="22"/>
  <c r="AC21" i="22"/>
  <c r="AA21" i="22"/>
  <c r="Z21" i="22"/>
  <c r="U21" i="22"/>
  <c r="V21" i="22"/>
  <c r="W21" i="22"/>
  <c r="Q21" i="22"/>
  <c r="X21" i="22"/>
  <c r="P21" i="22"/>
  <c r="J21" i="22"/>
  <c r="K21" i="22"/>
  <c r="G21" i="22"/>
  <c r="O21" i="22"/>
  <c r="H21" i="22"/>
  <c r="N21" i="22"/>
  <c r="L21" i="22"/>
  <c r="I21" i="22"/>
  <c r="AC19" i="22"/>
  <c r="W19" i="22"/>
  <c r="Z19" i="22"/>
  <c r="AA19" i="22"/>
  <c r="U19" i="22"/>
  <c r="V19" i="22"/>
  <c r="X19" i="22"/>
  <c r="Q19" i="22"/>
  <c r="N19" i="22"/>
  <c r="O19" i="22"/>
  <c r="J19" i="22"/>
  <c r="L19" i="22"/>
  <c r="H19" i="22"/>
  <c r="G19" i="22"/>
  <c r="K19" i="22"/>
  <c r="I19" i="22"/>
  <c r="P19" i="22"/>
  <c r="AC17" i="22"/>
  <c r="AA17" i="22"/>
  <c r="Z17" i="22"/>
  <c r="U17" i="22"/>
  <c r="X17" i="22"/>
  <c r="V17" i="22"/>
  <c r="W17" i="22"/>
  <c r="Q17" i="22"/>
  <c r="O17" i="22"/>
  <c r="J17" i="22"/>
  <c r="L17" i="22"/>
  <c r="P17" i="22"/>
  <c r="K17" i="22"/>
  <c r="G17" i="22"/>
  <c r="I17" i="22"/>
  <c r="N17" i="22"/>
  <c r="H17" i="22"/>
  <c r="AC15" i="22"/>
  <c r="W15" i="22"/>
  <c r="Z15" i="22"/>
  <c r="U15" i="22"/>
  <c r="AA15" i="22"/>
  <c r="X15" i="22"/>
  <c r="V15" i="22"/>
  <c r="Q15" i="22"/>
  <c r="O15" i="22"/>
  <c r="K15" i="22"/>
  <c r="I15" i="22"/>
  <c r="G15" i="22"/>
  <c r="N15" i="22"/>
  <c r="L15" i="22"/>
  <c r="J15" i="22"/>
  <c r="P15" i="22"/>
  <c r="H15" i="22"/>
  <c r="AC13" i="22"/>
  <c r="Z13" i="22"/>
  <c r="W13" i="22"/>
  <c r="U13" i="22"/>
  <c r="Q13" i="22"/>
  <c r="X13" i="22"/>
  <c r="AA13" i="22"/>
  <c r="V13" i="22"/>
  <c r="P13" i="22"/>
  <c r="J13" i="22"/>
  <c r="K13" i="22"/>
  <c r="L13" i="22"/>
  <c r="O13" i="22"/>
  <c r="N13" i="22"/>
  <c r="H13" i="22"/>
  <c r="I13" i="22"/>
  <c r="G13" i="22"/>
  <c r="AC11" i="22"/>
  <c r="W11" i="22"/>
  <c r="AA11" i="22"/>
  <c r="U11" i="22"/>
  <c r="Z11" i="22"/>
  <c r="V11" i="22"/>
  <c r="Q11" i="22"/>
  <c r="X11" i="22"/>
  <c r="P11" i="22"/>
  <c r="L11" i="22"/>
  <c r="H11" i="22"/>
  <c r="N11" i="22"/>
  <c r="J11" i="22"/>
  <c r="O11" i="22"/>
  <c r="G11" i="22"/>
  <c r="K11" i="22"/>
  <c r="I11" i="22"/>
  <c r="AC9" i="22"/>
  <c r="AA9" i="22"/>
  <c r="W9" i="22"/>
  <c r="U9" i="22"/>
  <c r="Z9" i="22"/>
  <c r="H9" i="22"/>
  <c r="X9" i="22"/>
  <c r="Q9" i="22"/>
  <c r="V9" i="22"/>
  <c r="L9" i="22"/>
  <c r="P9" i="22"/>
  <c r="K9" i="22"/>
  <c r="G9" i="22"/>
  <c r="O9" i="22"/>
  <c r="I9" i="22"/>
  <c r="J9" i="22"/>
  <c r="N9" i="22"/>
  <c r="AC7" i="22"/>
  <c r="U7" i="22"/>
  <c r="W7" i="22"/>
  <c r="AA7" i="22"/>
  <c r="Z7" i="22"/>
  <c r="X7" i="22"/>
  <c r="V7" i="22"/>
  <c r="O7" i="22"/>
  <c r="Q7" i="22"/>
  <c r="L7" i="22"/>
  <c r="H7" i="22"/>
  <c r="G7" i="22"/>
  <c r="N7" i="22"/>
  <c r="J7" i="22"/>
  <c r="P7" i="22"/>
  <c r="K7" i="22"/>
  <c r="I7" i="22"/>
  <c r="AC5" i="22"/>
  <c r="W5" i="22"/>
  <c r="AA5" i="22"/>
  <c r="Z5" i="22"/>
  <c r="X5" i="22"/>
  <c r="V5" i="22"/>
  <c r="U5" i="22"/>
  <c r="G5" i="22"/>
  <c r="Q5" i="22"/>
  <c r="N5" i="22"/>
  <c r="L5" i="22"/>
  <c r="O5" i="22"/>
  <c r="I5" i="22"/>
  <c r="J5" i="22"/>
  <c r="K5" i="22"/>
  <c r="P5" i="22"/>
  <c r="H5" i="22"/>
  <c r="AC499" i="22"/>
  <c r="AA499" i="22"/>
  <c r="Q499" i="22"/>
  <c r="X499" i="22"/>
  <c r="L499" i="22"/>
  <c r="P499" i="22"/>
  <c r="K499" i="22"/>
  <c r="N499" i="22"/>
  <c r="J499" i="22"/>
  <c r="I499" i="22"/>
  <c r="H499" i="22"/>
  <c r="O499" i="22"/>
  <c r="G499" i="22"/>
  <c r="AC495" i="22"/>
  <c r="AA495" i="22"/>
  <c r="Q495" i="22"/>
  <c r="X495" i="22"/>
  <c r="O495" i="22"/>
  <c r="L495" i="22"/>
  <c r="P495" i="22"/>
  <c r="K495" i="22"/>
  <c r="N495" i="22"/>
  <c r="J495" i="22"/>
  <c r="I495" i="22"/>
  <c r="G495" i="22"/>
  <c r="H495" i="22"/>
  <c r="AC491" i="22"/>
  <c r="AA491" i="22"/>
  <c r="X491" i="22"/>
  <c r="Q491" i="22"/>
  <c r="P491" i="22"/>
  <c r="L491" i="22"/>
  <c r="O491" i="22"/>
  <c r="K491" i="22"/>
  <c r="N491" i="22"/>
  <c r="J491" i="22"/>
  <c r="I491" i="22"/>
  <c r="H491" i="22"/>
  <c r="G491" i="22"/>
  <c r="AC487" i="22"/>
  <c r="AA487" i="22"/>
  <c r="Q487" i="22"/>
  <c r="X487" i="22"/>
  <c r="J487" i="22"/>
  <c r="O487" i="22"/>
  <c r="I487" i="22"/>
  <c r="G487" i="22"/>
  <c r="P487" i="22"/>
  <c r="L487" i="22"/>
  <c r="N487" i="22"/>
  <c r="K487" i="22"/>
  <c r="H487" i="22"/>
  <c r="AC483" i="22"/>
  <c r="AA483" i="22"/>
  <c r="Q483" i="22"/>
  <c r="X483" i="22"/>
  <c r="N483" i="22"/>
  <c r="J483" i="22"/>
  <c r="I483" i="22"/>
  <c r="P483" i="22"/>
  <c r="L483" i="22"/>
  <c r="O483" i="22"/>
  <c r="K483" i="22"/>
  <c r="H483" i="22"/>
  <c r="G483" i="22"/>
  <c r="AA479" i="22"/>
  <c r="AC479" i="22"/>
  <c r="X479" i="22"/>
  <c r="Q479" i="22"/>
  <c r="N479" i="22"/>
  <c r="J479" i="22"/>
  <c r="I479" i="22"/>
  <c r="P479" i="22"/>
  <c r="L479" i="22"/>
  <c r="O479" i="22"/>
  <c r="K479" i="22"/>
  <c r="G479" i="22"/>
  <c r="H479" i="22"/>
  <c r="AC475" i="22"/>
  <c r="AA475" i="22"/>
  <c r="Q475" i="22"/>
  <c r="X475" i="22"/>
  <c r="N475" i="22"/>
  <c r="J475" i="22"/>
  <c r="I475" i="22"/>
  <c r="H475" i="22"/>
  <c r="O475" i="22"/>
  <c r="L475" i="22"/>
  <c r="P475" i="22"/>
  <c r="K475" i="22"/>
  <c r="G475" i="22"/>
  <c r="AC471" i="22"/>
  <c r="AA471" i="22"/>
  <c r="Q471" i="22"/>
  <c r="X471" i="22"/>
  <c r="N471" i="22"/>
  <c r="J471" i="22"/>
  <c r="I471" i="22"/>
  <c r="G471" i="22"/>
  <c r="P471" i="22"/>
  <c r="L471" i="22"/>
  <c r="O471" i="22"/>
  <c r="K471" i="22"/>
  <c r="H471" i="22"/>
  <c r="AC467" i="22"/>
  <c r="AA467" i="22"/>
  <c r="Q467" i="22"/>
  <c r="X467" i="22"/>
  <c r="N467" i="22"/>
  <c r="J467" i="22"/>
  <c r="I467" i="22"/>
  <c r="P467" i="22"/>
  <c r="L467" i="22"/>
  <c r="O467" i="22"/>
  <c r="K467" i="22"/>
  <c r="H467" i="22"/>
  <c r="G467" i="22"/>
  <c r="AC463" i="22"/>
  <c r="AA463" i="22"/>
  <c r="Q463" i="22"/>
  <c r="X463" i="22"/>
  <c r="I463" i="22"/>
  <c r="L463" i="22"/>
  <c r="O463" i="22"/>
  <c r="K463" i="22"/>
  <c r="N463" i="22"/>
  <c r="J463" i="22"/>
  <c r="G463" i="22"/>
  <c r="P463" i="22"/>
  <c r="H463" i="22"/>
  <c r="AC459" i="22"/>
  <c r="AA459" i="22"/>
  <c r="X459" i="22"/>
  <c r="Q459" i="22"/>
  <c r="I459" i="22"/>
  <c r="O459" i="22"/>
  <c r="L459" i="22"/>
  <c r="H459" i="22"/>
  <c r="P459" i="22"/>
  <c r="K459" i="22"/>
  <c r="N459" i="22"/>
  <c r="J459" i="22"/>
  <c r="G459" i="22"/>
  <c r="AC455" i="22"/>
  <c r="AA455" i="22"/>
  <c r="X455" i="22"/>
  <c r="Q455" i="22"/>
  <c r="I455" i="22"/>
  <c r="P455" i="22"/>
  <c r="L455" i="22"/>
  <c r="G455" i="22"/>
  <c r="O455" i="22"/>
  <c r="K455" i="22"/>
  <c r="N455" i="22"/>
  <c r="J455" i="22"/>
  <c r="H455" i="22"/>
  <c r="AC451" i="22"/>
  <c r="AA451" i="22"/>
  <c r="Q451" i="22"/>
  <c r="X451" i="22"/>
  <c r="I451" i="22"/>
  <c r="P451" i="22"/>
  <c r="L451" i="22"/>
  <c r="O451" i="22"/>
  <c r="K451" i="22"/>
  <c r="N451" i="22"/>
  <c r="J451" i="22"/>
  <c r="H451" i="22"/>
  <c r="G451" i="22"/>
  <c r="AC447" i="22"/>
  <c r="AA447" i="22"/>
  <c r="Q447" i="22"/>
  <c r="X447" i="22"/>
  <c r="I447" i="22"/>
  <c r="O447" i="22"/>
  <c r="L447" i="22"/>
  <c r="P447" i="22"/>
  <c r="K447" i="22"/>
  <c r="N447" i="22"/>
  <c r="J447" i="22"/>
  <c r="G447" i="22"/>
  <c r="H447" i="22"/>
  <c r="AC443" i="22"/>
  <c r="AA443" i="22"/>
  <c r="Q443" i="22"/>
  <c r="X443" i="22"/>
  <c r="L443" i="22"/>
  <c r="P443" i="22"/>
  <c r="O443" i="22"/>
  <c r="K443" i="22"/>
  <c r="H443" i="22"/>
  <c r="N443" i="22"/>
  <c r="J443" i="22"/>
  <c r="I443" i="22"/>
  <c r="G443" i="22"/>
  <c r="AC434" i="22"/>
  <c r="AA434" i="22"/>
  <c r="X434" i="22"/>
  <c r="L434" i="22"/>
  <c r="I434" i="22"/>
  <c r="Q434" i="22"/>
  <c r="K434" i="22"/>
  <c r="O434" i="22"/>
  <c r="P434" i="22"/>
  <c r="J434" i="22"/>
  <c r="H434" i="22"/>
  <c r="N434" i="22"/>
  <c r="G434" i="22"/>
  <c r="AC430" i="22"/>
  <c r="X430" i="22"/>
  <c r="AA430" i="22"/>
  <c r="K430" i="22"/>
  <c r="L430" i="22"/>
  <c r="Q430" i="22"/>
  <c r="N430" i="22"/>
  <c r="J430" i="22"/>
  <c r="P430" i="22"/>
  <c r="I430" i="22"/>
  <c r="O430" i="22"/>
  <c r="G430" i="22"/>
  <c r="H430" i="22"/>
  <c r="AC426" i="22"/>
  <c r="X426" i="22"/>
  <c r="AA426" i="22"/>
  <c r="J426" i="22"/>
  <c r="K426" i="22"/>
  <c r="L426" i="22"/>
  <c r="Q426" i="22"/>
  <c r="O426" i="22"/>
  <c r="G426" i="22"/>
  <c r="H426" i="22"/>
  <c r="I426" i="22"/>
  <c r="P426" i="22"/>
  <c r="N426" i="22"/>
  <c r="AC422" i="22"/>
  <c r="X422" i="22"/>
  <c r="AA422" i="22"/>
  <c r="J422" i="22"/>
  <c r="L422" i="22"/>
  <c r="I422" i="22"/>
  <c r="Q422" i="22"/>
  <c r="K422" i="22"/>
  <c r="P422" i="22"/>
  <c r="N422" i="22"/>
  <c r="O422" i="22"/>
  <c r="G422" i="22"/>
  <c r="H422" i="22"/>
  <c r="AC418" i="22"/>
  <c r="X418" i="22"/>
  <c r="AA418" i="22"/>
  <c r="L418" i="22"/>
  <c r="I418" i="22"/>
  <c r="Q418" i="22"/>
  <c r="K418" i="22"/>
  <c r="O418" i="22"/>
  <c r="J418" i="22"/>
  <c r="H418" i="22"/>
  <c r="P418" i="22"/>
  <c r="G418" i="22"/>
  <c r="N418" i="22"/>
  <c r="AC414" i="22"/>
  <c r="AA414" i="22"/>
  <c r="X414" i="22"/>
  <c r="K414" i="22"/>
  <c r="J414" i="22"/>
  <c r="Q414" i="22"/>
  <c r="N414" i="22"/>
  <c r="P414" i="22"/>
  <c r="L414" i="22"/>
  <c r="I414" i="22"/>
  <c r="O414" i="22"/>
  <c r="G414" i="22"/>
  <c r="H414" i="22"/>
  <c r="AC410" i="22"/>
  <c r="X410" i="22"/>
  <c r="AA410" i="22"/>
  <c r="K410" i="22"/>
  <c r="J410" i="22"/>
  <c r="Q410" i="22"/>
  <c r="I410" i="22"/>
  <c r="P410" i="22"/>
  <c r="O410" i="22"/>
  <c r="G410" i="22"/>
  <c r="H410" i="22"/>
  <c r="N410" i="22"/>
  <c r="L410" i="22"/>
  <c r="AC406" i="22"/>
  <c r="X406" i="22"/>
  <c r="AA406" i="22"/>
  <c r="Q406" i="22"/>
  <c r="K406" i="22"/>
  <c r="J406" i="22"/>
  <c r="I406" i="22"/>
  <c r="P406" i="22"/>
  <c r="L406" i="22"/>
  <c r="G406" i="22"/>
  <c r="H406" i="22"/>
  <c r="O406" i="22"/>
  <c r="N406" i="22"/>
  <c r="AC402" i="22"/>
  <c r="X402" i="22"/>
  <c r="AA402" i="22"/>
  <c r="K402" i="22"/>
  <c r="Q402" i="22"/>
  <c r="I402" i="22"/>
  <c r="O402" i="22"/>
  <c r="H402" i="22"/>
  <c r="J402" i="22"/>
  <c r="N402" i="22"/>
  <c r="G402" i="22"/>
  <c r="P402" i="22"/>
  <c r="L402" i="22"/>
  <c r="AC398" i="22"/>
  <c r="AA398" i="22"/>
  <c r="X398" i="22"/>
  <c r="Q398" i="22"/>
  <c r="K398" i="22"/>
  <c r="J398" i="22"/>
  <c r="P398" i="22"/>
  <c r="L398" i="22"/>
  <c r="O398" i="22"/>
  <c r="N398" i="22"/>
  <c r="G398" i="22"/>
  <c r="H398" i="22"/>
  <c r="I398" i="22"/>
  <c r="AC394" i="22"/>
  <c r="X394" i="22"/>
  <c r="AA394" i="22"/>
  <c r="J394" i="22"/>
  <c r="K394" i="22"/>
  <c r="Q394" i="22"/>
  <c r="O394" i="22"/>
  <c r="G394" i="22"/>
  <c r="H394" i="22"/>
  <c r="N394" i="22"/>
  <c r="I394" i="22"/>
  <c r="P394" i="22"/>
  <c r="L394" i="22"/>
  <c r="AC390" i="22"/>
  <c r="X390" i="22"/>
  <c r="AA390" i="22"/>
  <c r="I390" i="22"/>
  <c r="Q390" i="22"/>
  <c r="J390" i="22"/>
  <c r="K390" i="22"/>
  <c r="L390" i="22"/>
  <c r="P390" i="22"/>
  <c r="N390" i="22"/>
  <c r="G390" i="22"/>
  <c r="H390" i="22"/>
  <c r="O390" i="22"/>
  <c r="AC386" i="22"/>
  <c r="X386" i="22"/>
  <c r="AA386" i="22"/>
  <c r="I386" i="22"/>
  <c r="K386" i="22"/>
  <c r="Q386" i="22"/>
  <c r="N386" i="22"/>
  <c r="O386" i="22"/>
  <c r="H386" i="22"/>
  <c r="L386" i="22"/>
  <c r="G386" i="22"/>
  <c r="P386" i="22"/>
  <c r="J386" i="22"/>
  <c r="AC382" i="22"/>
  <c r="AA382" i="22"/>
  <c r="X382" i="22"/>
  <c r="J382" i="22"/>
  <c r="K382" i="22"/>
  <c r="Q382" i="22"/>
  <c r="P382" i="22"/>
  <c r="L382" i="22"/>
  <c r="I382" i="22"/>
  <c r="O382" i="22"/>
  <c r="N382" i="22"/>
  <c r="G382" i="22"/>
  <c r="H382" i="22"/>
  <c r="AC378" i="22"/>
  <c r="X378" i="22"/>
  <c r="AA378" i="22"/>
  <c r="K378" i="22"/>
  <c r="Q378" i="22"/>
  <c r="J378" i="22"/>
  <c r="I378" i="22"/>
  <c r="G378" i="22"/>
  <c r="H378" i="22"/>
  <c r="L378" i="22"/>
  <c r="P378" i="22"/>
  <c r="N378" i="22"/>
  <c r="O378" i="22"/>
  <c r="AC374" i="22"/>
  <c r="X374" i="22"/>
  <c r="AA374" i="22"/>
  <c r="K374" i="22"/>
  <c r="J374" i="22"/>
  <c r="Q374" i="22"/>
  <c r="I374" i="22"/>
  <c r="P374" i="22"/>
  <c r="L374" i="22"/>
  <c r="O374" i="22"/>
  <c r="G374" i="22"/>
  <c r="H374" i="22"/>
  <c r="N374" i="22"/>
  <c r="AC370" i="22"/>
  <c r="X370" i="22"/>
  <c r="AA370" i="22"/>
  <c r="Q370" i="22"/>
  <c r="I370" i="22"/>
  <c r="K370" i="22"/>
  <c r="J370" i="22"/>
  <c r="L370" i="22"/>
  <c r="N370" i="22"/>
  <c r="P370" i="22"/>
  <c r="G370" i="22"/>
  <c r="H370" i="22"/>
  <c r="O370" i="22"/>
  <c r="AC366" i="22"/>
  <c r="AA366" i="22"/>
  <c r="X366" i="22"/>
  <c r="K366" i="22"/>
  <c r="J366" i="22"/>
  <c r="Q366" i="22"/>
  <c r="O366" i="22"/>
  <c r="N366" i="22"/>
  <c r="I366" i="22"/>
  <c r="P366" i="22"/>
  <c r="L366" i="22"/>
  <c r="G366" i="22"/>
  <c r="H366" i="22"/>
  <c r="AC362" i="22"/>
  <c r="X362" i="22"/>
  <c r="AA362" i="22"/>
  <c r="K362" i="22"/>
  <c r="J362" i="22"/>
  <c r="Q362" i="22"/>
  <c r="L362" i="22"/>
  <c r="G362" i="22"/>
  <c r="H362" i="22"/>
  <c r="P362" i="22"/>
  <c r="N362" i="22"/>
  <c r="O362" i="22"/>
  <c r="I362" i="22"/>
  <c r="AC358" i="22"/>
  <c r="X358" i="22"/>
  <c r="AA358" i="22"/>
  <c r="Q358" i="22"/>
  <c r="K358" i="22"/>
  <c r="I358" i="22"/>
  <c r="J358" i="22"/>
  <c r="O358" i="22"/>
  <c r="N358" i="22"/>
  <c r="G358" i="22"/>
  <c r="H358" i="22"/>
  <c r="P358" i="22"/>
  <c r="L358" i="22"/>
  <c r="AC354" i="22"/>
  <c r="X354" i="22"/>
  <c r="AA354" i="22"/>
  <c r="K354" i="22"/>
  <c r="Q354" i="22"/>
  <c r="I354" i="22"/>
  <c r="N354" i="22"/>
  <c r="L354" i="22"/>
  <c r="H354" i="22"/>
  <c r="P354" i="22"/>
  <c r="J354" i="22"/>
  <c r="G354" i="22"/>
  <c r="O354" i="22"/>
  <c r="AC350" i="22"/>
  <c r="AA350" i="22"/>
  <c r="X350" i="22"/>
  <c r="J350" i="22"/>
  <c r="Q350" i="22"/>
  <c r="K350" i="22"/>
  <c r="N350" i="22"/>
  <c r="I350" i="22"/>
  <c r="P350" i="22"/>
  <c r="L350" i="22"/>
  <c r="O350" i="22"/>
  <c r="G350" i="22"/>
  <c r="H350" i="22"/>
  <c r="AC346" i="22"/>
  <c r="X346" i="22"/>
  <c r="AA346" i="22"/>
  <c r="Q346" i="22"/>
  <c r="J346" i="22"/>
  <c r="K346" i="22"/>
  <c r="I346" i="22"/>
  <c r="P346" i="22"/>
  <c r="N346" i="22"/>
  <c r="G346" i="22"/>
  <c r="H346" i="22"/>
  <c r="O346" i="22"/>
  <c r="L346" i="22"/>
  <c r="AC342" i="22"/>
  <c r="X342" i="22"/>
  <c r="AA342" i="22"/>
  <c r="J342" i="22"/>
  <c r="I342" i="22"/>
  <c r="K342" i="22"/>
  <c r="Q342" i="22"/>
  <c r="N342" i="22"/>
  <c r="G342" i="22"/>
  <c r="H342" i="22"/>
  <c r="P342" i="22"/>
  <c r="L342" i="22"/>
  <c r="O342" i="22"/>
  <c r="AC338" i="22"/>
  <c r="X338" i="22"/>
  <c r="AA338" i="22"/>
  <c r="I338" i="22"/>
  <c r="K338" i="22"/>
  <c r="Q338" i="22"/>
  <c r="P338" i="22"/>
  <c r="G338" i="22"/>
  <c r="O338" i="22"/>
  <c r="H338" i="22"/>
  <c r="N338" i="22"/>
  <c r="J338" i="22"/>
  <c r="L338" i="22"/>
  <c r="AC334" i="22"/>
  <c r="AA334" i="22"/>
  <c r="X334" i="22"/>
  <c r="J334" i="22"/>
  <c r="K334" i="22"/>
  <c r="Q334" i="22"/>
  <c r="L334" i="22"/>
  <c r="O334" i="22"/>
  <c r="P334" i="22"/>
  <c r="N334" i="22"/>
  <c r="G334" i="22"/>
  <c r="H334" i="22"/>
  <c r="I334" i="22"/>
  <c r="AC330" i="22"/>
  <c r="X330" i="22"/>
  <c r="AA330" i="22"/>
  <c r="K330" i="22"/>
  <c r="Q330" i="22"/>
  <c r="J330" i="22"/>
  <c r="I330" i="22"/>
  <c r="O330" i="22"/>
  <c r="G330" i="22"/>
  <c r="H330" i="22"/>
  <c r="L330" i="22"/>
  <c r="P330" i="22"/>
  <c r="N330" i="22"/>
  <c r="AC326" i="22"/>
  <c r="X326" i="22"/>
  <c r="AA326" i="22"/>
  <c r="K326" i="22"/>
  <c r="J326" i="22"/>
  <c r="Q326" i="22"/>
  <c r="I326" i="22"/>
  <c r="P326" i="22"/>
  <c r="L326" i="22"/>
  <c r="G326" i="22"/>
  <c r="H326" i="22"/>
  <c r="O326" i="22"/>
  <c r="N326" i="22"/>
  <c r="AC322" i="22"/>
  <c r="X322" i="22"/>
  <c r="AA322" i="22"/>
  <c r="Q322" i="22"/>
  <c r="N322" i="22"/>
  <c r="K322" i="22"/>
  <c r="I322" i="22"/>
  <c r="P322" i="22"/>
  <c r="H322" i="22"/>
  <c r="L322" i="22"/>
  <c r="G322" i="22"/>
  <c r="O322" i="22"/>
  <c r="J322" i="22"/>
  <c r="AC318" i="22"/>
  <c r="X318" i="22"/>
  <c r="AA318" i="22"/>
  <c r="Q318" i="22"/>
  <c r="K318" i="22"/>
  <c r="J318" i="22"/>
  <c r="O318" i="22"/>
  <c r="L318" i="22"/>
  <c r="I318" i="22"/>
  <c r="P318" i="22"/>
  <c r="N318" i="22"/>
  <c r="G318" i="22"/>
  <c r="H318" i="22"/>
  <c r="AC314" i="22"/>
  <c r="AA314" i="22"/>
  <c r="X314" i="22"/>
  <c r="J314" i="22"/>
  <c r="Q314" i="22"/>
  <c r="K314" i="22"/>
  <c r="I314" i="22"/>
  <c r="G314" i="22"/>
  <c r="H314" i="22"/>
  <c r="L314" i="22"/>
  <c r="P314" i="22"/>
  <c r="N314" i="22"/>
  <c r="O314" i="22"/>
  <c r="AC310" i="22"/>
  <c r="X310" i="22"/>
  <c r="AA310" i="22"/>
  <c r="I310" i="22"/>
  <c r="Q310" i="22"/>
  <c r="K310" i="22"/>
  <c r="J310" i="22"/>
  <c r="P310" i="22"/>
  <c r="L310" i="22"/>
  <c r="O310" i="22"/>
  <c r="G310" i="22"/>
  <c r="H310" i="22"/>
  <c r="N310" i="22"/>
  <c r="AC306" i="22"/>
  <c r="X306" i="22"/>
  <c r="AA306" i="22"/>
  <c r="K306" i="22"/>
  <c r="I306" i="22"/>
  <c r="Q306" i="22"/>
  <c r="J306" i="22"/>
  <c r="N306" i="22"/>
  <c r="L306" i="22"/>
  <c r="H306" i="22"/>
  <c r="P306" i="22"/>
  <c r="G306" i="22"/>
  <c r="O306" i="22"/>
  <c r="AC302" i="22"/>
  <c r="X302" i="22"/>
  <c r="AA302" i="22"/>
  <c r="J302" i="22"/>
  <c r="Q302" i="22"/>
  <c r="K302" i="22"/>
  <c r="P302" i="22"/>
  <c r="N302" i="22"/>
  <c r="I302" i="22"/>
  <c r="O302" i="22"/>
  <c r="L302" i="22"/>
  <c r="G302" i="22"/>
  <c r="H302" i="22"/>
  <c r="AC298" i="22"/>
  <c r="AA298" i="22"/>
  <c r="X298" i="22"/>
  <c r="Q298" i="22"/>
  <c r="J298" i="22"/>
  <c r="K298" i="22"/>
  <c r="L298" i="22"/>
  <c r="G298" i="22"/>
  <c r="H298" i="22"/>
  <c r="I298" i="22"/>
  <c r="P298" i="22"/>
  <c r="N298" i="22"/>
  <c r="O298" i="22"/>
  <c r="AC294" i="22"/>
  <c r="X294" i="22"/>
  <c r="AA294" i="22"/>
  <c r="J294" i="22"/>
  <c r="I294" i="22"/>
  <c r="K294" i="22"/>
  <c r="Q294" i="22"/>
  <c r="O294" i="22"/>
  <c r="N294" i="22"/>
  <c r="G294" i="22"/>
  <c r="H294" i="22"/>
  <c r="P294" i="22"/>
  <c r="L294" i="22"/>
  <c r="AC290" i="22"/>
  <c r="X290" i="22"/>
  <c r="AA290" i="22"/>
  <c r="N290" i="22"/>
  <c r="I290" i="22"/>
  <c r="K290" i="22"/>
  <c r="Q290" i="22"/>
  <c r="L290" i="22"/>
  <c r="O290" i="22"/>
  <c r="J290" i="22"/>
  <c r="H290" i="22"/>
  <c r="P290" i="22"/>
  <c r="G290" i="22"/>
  <c r="AC286" i="22"/>
  <c r="X286" i="22"/>
  <c r="AA286" i="22"/>
  <c r="K286" i="22"/>
  <c r="Q286" i="22"/>
  <c r="J286" i="22"/>
  <c r="N286" i="22"/>
  <c r="I286" i="22"/>
  <c r="O286" i="22"/>
  <c r="L286" i="22"/>
  <c r="P286" i="22"/>
  <c r="G286" i="22"/>
  <c r="H286" i="22"/>
  <c r="AC282" i="22"/>
  <c r="AA282" i="22"/>
  <c r="X282" i="22"/>
  <c r="K282" i="22"/>
  <c r="Q282" i="22"/>
  <c r="J282" i="22"/>
  <c r="I282" i="22"/>
  <c r="P282" i="22"/>
  <c r="N282" i="22"/>
  <c r="G282" i="22"/>
  <c r="H282" i="22"/>
  <c r="O282" i="22"/>
  <c r="L282" i="22"/>
  <c r="AC278" i="22"/>
  <c r="X278" i="22"/>
  <c r="AA278" i="22"/>
  <c r="Q278" i="22"/>
  <c r="J278" i="22"/>
  <c r="I278" i="22"/>
  <c r="K278" i="22"/>
  <c r="N278" i="22"/>
  <c r="G278" i="22"/>
  <c r="H278" i="22"/>
  <c r="P278" i="22"/>
  <c r="L278" i="22"/>
  <c r="O278" i="22"/>
  <c r="AC274" i="22"/>
  <c r="X274" i="22"/>
  <c r="AA274" i="22"/>
  <c r="K274" i="22"/>
  <c r="Q274" i="22"/>
  <c r="I274" i="22"/>
  <c r="P274" i="22"/>
  <c r="H274" i="22"/>
  <c r="O274" i="22"/>
  <c r="N274" i="22"/>
  <c r="J274" i="22"/>
  <c r="G274" i="22"/>
  <c r="L274" i="22"/>
  <c r="AC270" i="22"/>
  <c r="X270" i="22"/>
  <c r="AA270" i="22"/>
  <c r="Q270" i="22"/>
  <c r="K270" i="22"/>
  <c r="J270" i="22"/>
  <c r="P270" i="22"/>
  <c r="L270" i="22"/>
  <c r="I270" i="22"/>
  <c r="O270" i="22"/>
  <c r="N270" i="22"/>
  <c r="G270" i="22"/>
  <c r="H270" i="22"/>
  <c r="AC266" i="22"/>
  <c r="X266" i="22"/>
  <c r="AA266" i="22"/>
  <c r="J266" i="22"/>
  <c r="Q266" i="22"/>
  <c r="K266" i="22"/>
  <c r="O266" i="22"/>
  <c r="G266" i="22"/>
  <c r="H266" i="22"/>
  <c r="I266" i="22"/>
  <c r="L266" i="22"/>
  <c r="P266" i="22"/>
  <c r="N266" i="22"/>
  <c r="AC262" i="22"/>
  <c r="AA262" i="22"/>
  <c r="X262" i="22"/>
  <c r="I262" i="22"/>
  <c r="Q262" i="22"/>
  <c r="K262" i="22"/>
  <c r="J262" i="22"/>
  <c r="P262" i="22"/>
  <c r="L262" i="22"/>
  <c r="G262" i="22"/>
  <c r="H262" i="22"/>
  <c r="O262" i="22"/>
  <c r="N262" i="22"/>
  <c r="AC258" i="22"/>
  <c r="AA258" i="22"/>
  <c r="I258" i="22"/>
  <c r="K258" i="22"/>
  <c r="X258" i="22"/>
  <c r="N258" i="22"/>
  <c r="Q258" i="22"/>
  <c r="L258" i="22"/>
  <c r="H258" i="22"/>
  <c r="J258" i="22"/>
  <c r="P258" i="22"/>
  <c r="G258" i="22"/>
  <c r="O258" i="22"/>
  <c r="AC254" i="22"/>
  <c r="X254" i="22"/>
  <c r="AA254" i="22"/>
  <c r="J254" i="22"/>
  <c r="Q254" i="22"/>
  <c r="K254" i="22"/>
  <c r="P254" i="22"/>
  <c r="L254" i="22"/>
  <c r="I254" i="22"/>
  <c r="O254" i="22"/>
  <c r="N254" i="22"/>
  <c r="G254" i="22"/>
  <c r="H254" i="22"/>
  <c r="Y603" i="6"/>
  <c r="Y607" i="6"/>
  <c r="Y611" i="6"/>
  <c r="Y615" i="6"/>
  <c r="Y619" i="6"/>
  <c r="Y623" i="6"/>
  <c r="Y627" i="6"/>
  <c r="Y631" i="6"/>
  <c r="Y635" i="6"/>
  <c r="Y639" i="6"/>
  <c r="Y643" i="6"/>
  <c r="Y647" i="6"/>
  <c r="Y651" i="6"/>
  <c r="Y655" i="6"/>
  <c r="Y659" i="6"/>
  <c r="Y663" i="6"/>
  <c r="Y667" i="6"/>
  <c r="Y671" i="6"/>
  <c r="Y675" i="6"/>
  <c r="Y679" i="6"/>
  <c r="Y683" i="6"/>
  <c r="Y687" i="6"/>
  <c r="Y691" i="6"/>
  <c r="Y695" i="6"/>
  <c r="Y699" i="6"/>
  <c r="Y703" i="6"/>
  <c r="Y707" i="6"/>
  <c r="Y711" i="6"/>
  <c r="U715" i="6"/>
  <c r="U719" i="6"/>
  <c r="U723" i="6"/>
  <c r="U727" i="6"/>
  <c r="U731" i="6"/>
  <c r="U735" i="6"/>
  <c r="U739" i="6"/>
  <c r="U743" i="6"/>
  <c r="U747" i="6"/>
  <c r="U751" i="6"/>
  <c r="U755" i="6"/>
  <c r="U759" i="6"/>
  <c r="U763" i="6"/>
  <c r="U767" i="6"/>
  <c r="U771" i="6"/>
  <c r="U775" i="6"/>
  <c r="U779" i="6"/>
  <c r="U783" i="6"/>
  <c r="U787" i="6"/>
  <c r="U791" i="6"/>
  <c r="U795" i="6"/>
  <c r="U799" i="6"/>
  <c r="U803" i="6"/>
  <c r="U807" i="6"/>
  <c r="U811" i="6"/>
  <c r="U815" i="6"/>
  <c r="U819" i="6"/>
  <c r="U823" i="6"/>
  <c r="U827" i="6"/>
  <c r="U831" i="6"/>
  <c r="U835" i="6"/>
  <c r="U839" i="6"/>
  <c r="U843" i="6"/>
  <c r="U847" i="6"/>
  <c r="U851" i="6"/>
  <c r="U855" i="6"/>
  <c r="U859" i="6"/>
  <c r="U863" i="6"/>
  <c r="U867" i="6"/>
  <c r="U871" i="6"/>
  <c r="U875" i="6"/>
  <c r="U879" i="6"/>
  <c r="U883" i="6"/>
  <c r="U887" i="6"/>
  <c r="U891" i="6"/>
  <c r="U895" i="6"/>
  <c r="U899" i="6"/>
  <c r="U903" i="6"/>
  <c r="U907" i="6"/>
  <c r="U911" i="6"/>
  <c r="U915" i="6"/>
  <c r="U919" i="6"/>
  <c r="U923" i="6"/>
  <c r="U927" i="6"/>
  <c r="U931" i="6"/>
  <c r="U935" i="6"/>
  <c r="U939" i="6"/>
  <c r="U943" i="6"/>
  <c r="U947" i="6"/>
  <c r="U951" i="6"/>
  <c r="U955" i="6"/>
  <c r="U959" i="6"/>
  <c r="U963" i="6"/>
  <c r="U967" i="6"/>
  <c r="U971" i="6"/>
  <c r="U975" i="6"/>
  <c r="U979" i="6"/>
  <c r="U983" i="6"/>
  <c r="U987" i="6"/>
  <c r="U991" i="6"/>
  <c r="U995" i="6"/>
  <c r="U999" i="6"/>
  <c r="U1003" i="6"/>
  <c r="U1007" i="6"/>
  <c r="U1011" i="6"/>
  <c r="AA500" i="22"/>
  <c r="AC500" i="22"/>
  <c r="X500" i="22"/>
  <c r="N500" i="22"/>
  <c r="Q500" i="22"/>
  <c r="O500" i="22"/>
  <c r="I500" i="22"/>
  <c r="J500" i="22"/>
  <c r="G500" i="22"/>
  <c r="L500" i="22"/>
  <c r="K500" i="22"/>
  <c r="H500" i="22"/>
  <c r="P500" i="22"/>
  <c r="AC496" i="22"/>
  <c r="AA496" i="22"/>
  <c r="Q496" i="22"/>
  <c r="H496" i="22"/>
  <c r="X496" i="22"/>
  <c r="J496" i="22"/>
  <c r="N496" i="22"/>
  <c r="L496" i="22"/>
  <c r="O496" i="22"/>
  <c r="K496" i="22"/>
  <c r="P496" i="22"/>
  <c r="I496" i="22"/>
  <c r="G496" i="22"/>
  <c r="AC492" i="22"/>
  <c r="AA492" i="22"/>
  <c r="X492" i="22"/>
  <c r="Q492" i="22"/>
  <c r="G492" i="22"/>
  <c r="L492" i="22"/>
  <c r="P492" i="22"/>
  <c r="K492" i="22"/>
  <c r="J492" i="22"/>
  <c r="O492" i="22"/>
  <c r="I492" i="22"/>
  <c r="N492" i="22"/>
  <c r="H492" i="22"/>
  <c r="AC488" i="22"/>
  <c r="AA488" i="22"/>
  <c r="Q488" i="22"/>
  <c r="H488" i="22"/>
  <c r="X488" i="22"/>
  <c r="P488" i="22"/>
  <c r="K488" i="22"/>
  <c r="N488" i="22"/>
  <c r="O488" i="22"/>
  <c r="J488" i="22"/>
  <c r="I488" i="22"/>
  <c r="G488" i="22"/>
  <c r="L488" i="22"/>
  <c r="AA484" i="22"/>
  <c r="AC484" i="22"/>
  <c r="X484" i="22"/>
  <c r="G484" i="22"/>
  <c r="Q484" i="22"/>
  <c r="O484" i="22"/>
  <c r="K484" i="22"/>
  <c r="P484" i="22"/>
  <c r="I484" i="22"/>
  <c r="J484" i="22"/>
  <c r="N484" i="22"/>
  <c r="L484" i="22"/>
  <c r="H484" i="22"/>
  <c r="AC480" i="22"/>
  <c r="AA480" i="22"/>
  <c r="X480" i="22"/>
  <c r="Q480" i="22"/>
  <c r="H480" i="22"/>
  <c r="P480" i="22"/>
  <c r="K480" i="22"/>
  <c r="O480" i="22"/>
  <c r="I480" i="22"/>
  <c r="N480" i="22"/>
  <c r="L480" i="22"/>
  <c r="G480" i="22"/>
  <c r="J480" i="22"/>
  <c r="AA476" i="22"/>
  <c r="AC476" i="22"/>
  <c r="X476" i="22"/>
  <c r="Q476" i="22"/>
  <c r="J476" i="22"/>
  <c r="G476" i="22"/>
  <c r="I476" i="22"/>
  <c r="P476" i="22"/>
  <c r="N476" i="22"/>
  <c r="L476" i="22"/>
  <c r="H476" i="22"/>
  <c r="K476" i="22"/>
  <c r="O476" i="22"/>
  <c r="AC472" i="22"/>
  <c r="AA472" i="22"/>
  <c r="Q472" i="22"/>
  <c r="H472" i="22"/>
  <c r="X472" i="22"/>
  <c r="L472" i="22"/>
  <c r="P472" i="22"/>
  <c r="K472" i="22"/>
  <c r="O472" i="22"/>
  <c r="I472" i="22"/>
  <c r="N472" i="22"/>
  <c r="G472" i="22"/>
  <c r="J472" i="22"/>
  <c r="AA468" i="22"/>
  <c r="AC468" i="22"/>
  <c r="X468" i="22"/>
  <c r="G468" i="22"/>
  <c r="N468" i="22"/>
  <c r="Q468" i="22"/>
  <c r="J468" i="22"/>
  <c r="L468" i="22"/>
  <c r="P468" i="22"/>
  <c r="K468" i="22"/>
  <c r="H468" i="22"/>
  <c r="O468" i="22"/>
  <c r="I468" i="22"/>
  <c r="AC464" i="22"/>
  <c r="AA464" i="22"/>
  <c r="Q464" i="22"/>
  <c r="X464" i="22"/>
  <c r="H464" i="22"/>
  <c r="K464" i="22"/>
  <c r="J464" i="22"/>
  <c r="O464" i="22"/>
  <c r="P464" i="22"/>
  <c r="N464" i="22"/>
  <c r="I464" i="22"/>
  <c r="L464" i="22"/>
  <c r="G464" i="22"/>
  <c r="AC460" i="22"/>
  <c r="AA460" i="22"/>
  <c r="X460" i="22"/>
  <c r="J460" i="22"/>
  <c r="Q460" i="22"/>
  <c r="G460" i="22"/>
  <c r="L460" i="22"/>
  <c r="P460" i="22"/>
  <c r="K460" i="22"/>
  <c r="O460" i="22"/>
  <c r="N460" i="22"/>
  <c r="H460" i="22"/>
  <c r="I460" i="22"/>
  <c r="AC456" i="22"/>
  <c r="AA456" i="22"/>
  <c r="H456" i="22"/>
  <c r="I456" i="22"/>
  <c r="X456" i="22"/>
  <c r="Q456" i="22"/>
  <c r="O456" i="22"/>
  <c r="N456" i="22"/>
  <c r="J456" i="22"/>
  <c r="L456" i="22"/>
  <c r="G456" i="22"/>
  <c r="P456" i="22"/>
  <c r="K456" i="22"/>
  <c r="AA452" i="22"/>
  <c r="AC452" i="22"/>
  <c r="X452" i="22"/>
  <c r="G452" i="22"/>
  <c r="P452" i="22"/>
  <c r="K452" i="22"/>
  <c r="O452" i="22"/>
  <c r="I452" i="22"/>
  <c r="Q452" i="22"/>
  <c r="J452" i="22"/>
  <c r="L452" i="22"/>
  <c r="H452" i="22"/>
  <c r="N452" i="22"/>
  <c r="AC448" i="22"/>
  <c r="AA448" i="22"/>
  <c r="Q448" i="22"/>
  <c r="X448" i="22"/>
  <c r="H448" i="22"/>
  <c r="P448" i="22"/>
  <c r="I448" i="22"/>
  <c r="N448" i="22"/>
  <c r="L448" i="22"/>
  <c r="K448" i="22"/>
  <c r="G448" i="22"/>
  <c r="J448" i="22"/>
  <c r="O448" i="22"/>
  <c r="AA444" i="22"/>
  <c r="AC444" i="22"/>
  <c r="X444" i="22"/>
  <c r="J444" i="22"/>
  <c r="I444" i="22"/>
  <c r="Q444" i="22"/>
  <c r="P444" i="22"/>
  <c r="O444" i="22"/>
  <c r="N444" i="22"/>
  <c r="L444" i="22"/>
  <c r="G444" i="22"/>
  <c r="K444" i="22"/>
  <c r="H444" i="22"/>
  <c r="AC435" i="22"/>
  <c r="AA435" i="22"/>
  <c r="X435" i="22"/>
  <c r="Q435" i="22"/>
  <c r="I435" i="22"/>
  <c r="P435" i="22"/>
  <c r="L435" i="22"/>
  <c r="O435" i="22"/>
  <c r="K435" i="22"/>
  <c r="N435" i="22"/>
  <c r="J435" i="22"/>
  <c r="H435" i="22"/>
  <c r="G435" i="22"/>
  <c r="AC431" i="22"/>
  <c r="AA431" i="22"/>
  <c r="X431" i="22"/>
  <c r="Q431" i="22"/>
  <c r="I431" i="22"/>
  <c r="O431" i="22"/>
  <c r="L431" i="22"/>
  <c r="P431" i="22"/>
  <c r="K431" i="22"/>
  <c r="N431" i="22"/>
  <c r="J431" i="22"/>
  <c r="G431" i="22"/>
  <c r="H431" i="22"/>
  <c r="AC427" i="22"/>
  <c r="AA427" i="22"/>
  <c r="Q427" i="22"/>
  <c r="X427" i="22"/>
  <c r="I427" i="22"/>
  <c r="O427" i="22"/>
  <c r="L427" i="22"/>
  <c r="H427" i="22"/>
  <c r="P427" i="22"/>
  <c r="K427" i="22"/>
  <c r="N427" i="22"/>
  <c r="J427" i="22"/>
  <c r="G427" i="22"/>
  <c r="AC423" i="22"/>
  <c r="AA423" i="22"/>
  <c r="Q423" i="22"/>
  <c r="X423" i="22"/>
  <c r="I423" i="22"/>
  <c r="P423" i="22"/>
  <c r="L423" i="22"/>
  <c r="G423" i="22"/>
  <c r="O423" i="22"/>
  <c r="K423" i="22"/>
  <c r="N423" i="22"/>
  <c r="J423" i="22"/>
  <c r="H423" i="22"/>
  <c r="AC419" i="22"/>
  <c r="AA419" i="22"/>
  <c r="X419" i="22"/>
  <c r="Q419" i="22"/>
  <c r="P419" i="22"/>
  <c r="L419" i="22"/>
  <c r="O419" i="22"/>
  <c r="K419" i="22"/>
  <c r="N419" i="22"/>
  <c r="J419" i="22"/>
  <c r="I419" i="22"/>
  <c r="H419" i="22"/>
  <c r="G419" i="22"/>
  <c r="AC415" i="22"/>
  <c r="AA415" i="22"/>
  <c r="Q415" i="22"/>
  <c r="X415" i="22"/>
  <c r="P415" i="22"/>
  <c r="L415" i="22"/>
  <c r="O415" i="22"/>
  <c r="K415" i="22"/>
  <c r="N415" i="22"/>
  <c r="J415" i="22"/>
  <c r="I415" i="22"/>
  <c r="G415" i="22"/>
  <c r="H415" i="22"/>
  <c r="AC411" i="22"/>
  <c r="AA411" i="22"/>
  <c r="Q411" i="22"/>
  <c r="X411" i="22"/>
  <c r="O411" i="22"/>
  <c r="K411" i="22"/>
  <c r="P411" i="22"/>
  <c r="J411" i="22"/>
  <c r="H411" i="22"/>
  <c r="N411" i="22"/>
  <c r="I411" i="22"/>
  <c r="L411" i="22"/>
  <c r="G411" i="22"/>
  <c r="AC407" i="22"/>
  <c r="AA407" i="22"/>
  <c r="Q407" i="22"/>
  <c r="X407" i="22"/>
  <c r="L407" i="22"/>
  <c r="P407" i="22"/>
  <c r="K407" i="22"/>
  <c r="O407" i="22"/>
  <c r="J407" i="22"/>
  <c r="G407" i="22"/>
  <c r="N407" i="22"/>
  <c r="I407" i="22"/>
  <c r="H407" i="22"/>
  <c r="AC403" i="22"/>
  <c r="AA403" i="22"/>
  <c r="Q403" i="22"/>
  <c r="X403" i="22"/>
  <c r="P403" i="22"/>
  <c r="J403" i="22"/>
  <c r="N403" i="22"/>
  <c r="I403" i="22"/>
  <c r="O403" i="22"/>
  <c r="K403" i="22"/>
  <c r="H403" i="22"/>
  <c r="G403" i="22"/>
  <c r="L403" i="22"/>
  <c r="AC399" i="22"/>
  <c r="AA399" i="22"/>
  <c r="X399" i="22"/>
  <c r="Q399" i="22"/>
  <c r="N399" i="22"/>
  <c r="J399" i="22"/>
  <c r="I399" i="22"/>
  <c r="P399" i="22"/>
  <c r="L399" i="22"/>
  <c r="O399" i="22"/>
  <c r="K399" i="22"/>
  <c r="G399" i="22"/>
  <c r="H399" i="22"/>
  <c r="AC395" i="22"/>
  <c r="AA395" i="22"/>
  <c r="Q395" i="22"/>
  <c r="X395" i="22"/>
  <c r="N395" i="22"/>
  <c r="J395" i="22"/>
  <c r="I395" i="22"/>
  <c r="H395" i="22"/>
  <c r="O395" i="22"/>
  <c r="L395" i="22"/>
  <c r="P395" i="22"/>
  <c r="K395" i="22"/>
  <c r="G395" i="22"/>
  <c r="AC391" i="22"/>
  <c r="AA391" i="22"/>
  <c r="Q391" i="22"/>
  <c r="X391" i="22"/>
  <c r="J391" i="22"/>
  <c r="L391" i="22"/>
  <c r="I391" i="22"/>
  <c r="G391" i="22"/>
  <c r="P391" i="22"/>
  <c r="N391" i="22"/>
  <c r="O391" i="22"/>
  <c r="K391" i="22"/>
  <c r="H391" i="22"/>
  <c r="AC387" i="22"/>
  <c r="AA387" i="22"/>
  <c r="X387" i="22"/>
  <c r="Q387" i="22"/>
  <c r="N387" i="22"/>
  <c r="L387" i="22"/>
  <c r="P387" i="22"/>
  <c r="K387" i="22"/>
  <c r="O387" i="22"/>
  <c r="J387" i="22"/>
  <c r="I387" i="22"/>
  <c r="H387" i="22"/>
  <c r="G387" i="22"/>
  <c r="AC383" i="22"/>
  <c r="AA383" i="22"/>
  <c r="Q383" i="22"/>
  <c r="X383" i="22"/>
  <c r="I383" i="22"/>
  <c r="P383" i="22"/>
  <c r="L383" i="22"/>
  <c r="O383" i="22"/>
  <c r="K383" i="22"/>
  <c r="N383" i="22"/>
  <c r="J383" i="22"/>
  <c r="G383" i="22"/>
  <c r="H383" i="22"/>
  <c r="AC379" i="22"/>
  <c r="AA379" i="22"/>
  <c r="Q379" i="22"/>
  <c r="X379" i="22"/>
  <c r="L379" i="22"/>
  <c r="N379" i="22"/>
  <c r="O379" i="22"/>
  <c r="K379" i="22"/>
  <c r="H379" i="22"/>
  <c r="P379" i="22"/>
  <c r="J379" i="22"/>
  <c r="I379" i="22"/>
  <c r="G379" i="22"/>
  <c r="AC375" i="22"/>
  <c r="AA375" i="22"/>
  <c r="Q375" i="22"/>
  <c r="X375" i="22"/>
  <c r="I375" i="22"/>
  <c r="P375" i="22"/>
  <c r="L375" i="22"/>
  <c r="G375" i="22"/>
  <c r="O375" i="22"/>
  <c r="K375" i="22"/>
  <c r="N375" i="22"/>
  <c r="J375" i="22"/>
  <c r="H375" i="22"/>
  <c r="AC371" i="22"/>
  <c r="AA371" i="22"/>
  <c r="Q371" i="22"/>
  <c r="X371" i="22"/>
  <c r="L371" i="22"/>
  <c r="O371" i="22"/>
  <c r="K371" i="22"/>
  <c r="N371" i="22"/>
  <c r="P371" i="22"/>
  <c r="J371" i="22"/>
  <c r="I371" i="22"/>
  <c r="H371" i="22"/>
  <c r="G371" i="22"/>
  <c r="AC367" i="22"/>
  <c r="AA367" i="22"/>
  <c r="X367" i="22"/>
  <c r="Q367" i="22"/>
  <c r="P367" i="22"/>
  <c r="L367" i="22"/>
  <c r="O367" i="22"/>
  <c r="K367" i="22"/>
  <c r="N367" i="22"/>
  <c r="J367" i="22"/>
  <c r="I367" i="22"/>
  <c r="G367" i="22"/>
  <c r="H367" i="22"/>
  <c r="AC363" i="22"/>
  <c r="AA363" i="22"/>
  <c r="Q363" i="22"/>
  <c r="X363" i="22"/>
  <c r="O363" i="22"/>
  <c r="K363" i="22"/>
  <c r="P363" i="22"/>
  <c r="J363" i="22"/>
  <c r="H363" i="22"/>
  <c r="I363" i="22"/>
  <c r="L363" i="22"/>
  <c r="N363" i="22"/>
  <c r="G363" i="22"/>
  <c r="AC359" i="22"/>
  <c r="AA359" i="22"/>
  <c r="Q359" i="22"/>
  <c r="X359" i="22"/>
  <c r="P359" i="22"/>
  <c r="L359" i="22"/>
  <c r="O359" i="22"/>
  <c r="K359" i="22"/>
  <c r="G359" i="22"/>
  <c r="N359" i="22"/>
  <c r="J359" i="22"/>
  <c r="I359" i="22"/>
  <c r="H359" i="22"/>
  <c r="AC355" i="22"/>
  <c r="AA355" i="22"/>
  <c r="X355" i="22"/>
  <c r="N355" i="22"/>
  <c r="Q355" i="22"/>
  <c r="O355" i="22"/>
  <c r="J355" i="22"/>
  <c r="I355" i="22"/>
  <c r="L355" i="22"/>
  <c r="K355" i="22"/>
  <c r="H355" i="22"/>
  <c r="G355" i="22"/>
  <c r="P355" i="22"/>
  <c r="AC351" i="22"/>
  <c r="AA351" i="22"/>
  <c r="Q351" i="22"/>
  <c r="X351" i="22"/>
  <c r="N351" i="22"/>
  <c r="J351" i="22"/>
  <c r="I351" i="22"/>
  <c r="P351" i="22"/>
  <c r="L351" i="22"/>
  <c r="O351" i="22"/>
  <c r="K351" i="22"/>
  <c r="G351" i="22"/>
  <c r="H351" i="22"/>
  <c r="AC347" i="22"/>
  <c r="AA347" i="22"/>
  <c r="Q347" i="22"/>
  <c r="X347" i="22"/>
  <c r="I347" i="22"/>
  <c r="L347" i="22"/>
  <c r="N347" i="22"/>
  <c r="H347" i="22"/>
  <c r="O347" i="22"/>
  <c r="K347" i="22"/>
  <c r="P347" i="22"/>
  <c r="J347" i="22"/>
  <c r="G347" i="22"/>
  <c r="AC343" i="22"/>
  <c r="AA343" i="22"/>
  <c r="X343" i="22"/>
  <c r="Q343" i="22"/>
  <c r="N343" i="22"/>
  <c r="J343" i="22"/>
  <c r="I343" i="22"/>
  <c r="G343" i="22"/>
  <c r="P343" i="22"/>
  <c r="L343" i="22"/>
  <c r="O343" i="22"/>
  <c r="K343" i="22"/>
  <c r="H343" i="22"/>
  <c r="AC339" i="22"/>
  <c r="AA339" i="22"/>
  <c r="X339" i="22"/>
  <c r="Q339" i="22"/>
  <c r="I339" i="22"/>
  <c r="L339" i="22"/>
  <c r="P339" i="22"/>
  <c r="K339" i="22"/>
  <c r="O339" i="22"/>
  <c r="J339" i="22"/>
  <c r="H339" i="22"/>
  <c r="G339" i="22"/>
  <c r="N339" i="22"/>
  <c r="AC335" i="22"/>
  <c r="AA335" i="22"/>
  <c r="Q335" i="22"/>
  <c r="X335" i="22"/>
  <c r="I335" i="22"/>
  <c r="P335" i="22"/>
  <c r="L335" i="22"/>
  <c r="O335" i="22"/>
  <c r="K335" i="22"/>
  <c r="N335" i="22"/>
  <c r="J335" i="22"/>
  <c r="G335" i="22"/>
  <c r="H335" i="22"/>
  <c r="AC331" i="22"/>
  <c r="AA331" i="22"/>
  <c r="Q331" i="22"/>
  <c r="X331" i="22"/>
  <c r="L331" i="22"/>
  <c r="N331" i="22"/>
  <c r="P331" i="22"/>
  <c r="K331" i="22"/>
  <c r="H331" i="22"/>
  <c r="O331" i="22"/>
  <c r="J331" i="22"/>
  <c r="I331" i="22"/>
  <c r="G331" i="22"/>
  <c r="AC327" i="22"/>
  <c r="AA327" i="22"/>
  <c r="X327" i="22"/>
  <c r="Q327" i="22"/>
  <c r="I327" i="22"/>
  <c r="P327" i="22"/>
  <c r="L327" i="22"/>
  <c r="G327" i="22"/>
  <c r="O327" i="22"/>
  <c r="K327" i="22"/>
  <c r="N327" i="22"/>
  <c r="J327" i="22"/>
  <c r="H327" i="22"/>
  <c r="AC323" i="22"/>
  <c r="AA323" i="22"/>
  <c r="X323" i="22"/>
  <c r="Q323" i="22"/>
  <c r="N323" i="22"/>
  <c r="L323" i="22"/>
  <c r="P323" i="22"/>
  <c r="K323" i="22"/>
  <c r="O323" i="22"/>
  <c r="J323" i="22"/>
  <c r="I323" i="22"/>
  <c r="H323" i="22"/>
  <c r="G323" i="22"/>
  <c r="AC319" i="22"/>
  <c r="AA319" i="22"/>
  <c r="Q319" i="22"/>
  <c r="X319" i="22"/>
  <c r="P319" i="22"/>
  <c r="L319" i="22"/>
  <c r="O319" i="22"/>
  <c r="K319" i="22"/>
  <c r="N319" i="22"/>
  <c r="J319" i="22"/>
  <c r="I319" i="22"/>
  <c r="G319" i="22"/>
  <c r="H319" i="22"/>
  <c r="AC315" i="22"/>
  <c r="AA315" i="22"/>
  <c r="Q315" i="22"/>
  <c r="X315" i="22"/>
  <c r="P315" i="22"/>
  <c r="K315" i="22"/>
  <c r="O315" i="22"/>
  <c r="J315" i="22"/>
  <c r="H315" i="22"/>
  <c r="I315" i="22"/>
  <c r="L315" i="22"/>
  <c r="N315" i="22"/>
  <c r="G315" i="22"/>
  <c r="AC311" i="22"/>
  <c r="AA311" i="22"/>
  <c r="Q311" i="22"/>
  <c r="X311" i="22"/>
  <c r="P311" i="22"/>
  <c r="L311" i="22"/>
  <c r="O311" i="22"/>
  <c r="K311" i="22"/>
  <c r="G311" i="22"/>
  <c r="N311" i="22"/>
  <c r="J311" i="22"/>
  <c r="I311" i="22"/>
  <c r="H311" i="22"/>
  <c r="AC307" i="22"/>
  <c r="AA307" i="22"/>
  <c r="Q307" i="22"/>
  <c r="X307" i="22"/>
  <c r="P307" i="22"/>
  <c r="K307" i="22"/>
  <c r="O307" i="22"/>
  <c r="J307" i="22"/>
  <c r="I307" i="22"/>
  <c r="L307" i="22"/>
  <c r="H307" i="22"/>
  <c r="N307" i="22"/>
  <c r="G307" i="22"/>
  <c r="AC303" i="22"/>
  <c r="AA303" i="22"/>
  <c r="Q303" i="22"/>
  <c r="X303" i="22"/>
  <c r="O303" i="22"/>
  <c r="K303" i="22"/>
  <c r="N303" i="22"/>
  <c r="J303" i="22"/>
  <c r="I303" i="22"/>
  <c r="P303" i="22"/>
  <c r="L303" i="22"/>
  <c r="G303" i="22"/>
  <c r="H303" i="22"/>
  <c r="AC299" i="22"/>
  <c r="AA299" i="22"/>
  <c r="Q299" i="22"/>
  <c r="X299" i="22"/>
  <c r="O299" i="22"/>
  <c r="J299" i="22"/>
  <c r="I299" i="22"/>
  <c r="H299" i="22"/>
  <c r="L299" i="22"/>
  <c r="N299" i="22"/>
  <c r="P299" i="22"/>
  <c r="K299" i="22"/>
  <c r="G299" i="22"/>
  <c r="AC295" i="22"/>
  <c r="AA295" i="22"/>
  <c r="Q295" i="22"/>
  <c r="X295" i="22"/>
  <c r="O295" i="22"/>
  <c r="K295" i="22"/>
  <c r="N295" i="22"/>
  <c r="J295" i="22"/>
  <c r="G295" i="22"/>
  <c r="I295" i="22"/>
  <c r="P295" i="22"/>
  <c r="L295" i="22"/>
  <c r="H295" i="22"/>
  <c r="AC291" i="22"/>
  <c r="AA291" i="22"/>
  <c r="X291" i="22"/>
  <c r="N291" i="22"/>
  <c r="Q291" i="22"/>
  <c r="O291" i="22"/>
  <c r="J291" i="22"/>
  <c r="I291" i="22"/>
  <c r="L291" i="22"/>
  <c r="P291" i="22"/>
  <c r="K291" i="22"/>
  <c r="H291" i="22"/>
  <c r="G291" i="22"/>
  <c r="AC287" i="22"/>
  <c r="AA287" i="22"/>
  <c r="Q287" i="22"/>
  <c r="X287" i="22"/>
  <c r="N287" i="22"/>
  <c r="J287" i="22"/>
  <c r="I287" i="22"/>
  <c r="P287" i="22"/>
  <c r="L287" i="22"/>
  <c r="O287" i="22"/>
  <c r="K287" i="22"/>
  <c r="G287" i="22"/>
  <c r="H287" i="22"/>
  <c r="AC283" i="22"/>
  <c r="AA283" i="22"/>
  <c r="X283" i="22"/>
  <c r="Q283" i="22"/>
  <c r="I283" i="22"/>
  <c r="L283" i="22"/>
  <c r="N283" i="22"/>
  <c r="H283" i="22"/>
  <c r="P283" i="22"/>
  <c r="K283" i="22"/>
  <c r="O283" i="22"/>
  <c r="J283" i="22"/>
  <c r="G283" i="22"/>
  <c r="AC279" i="22"/>
  <c r="AA279" i="22"/>
  <c r="Q279" i="22"/>
  <c r="X279" i="22"/>
  <c r="N279" i="22"/>
  <c r="J279" i="22"/>
  <c r="I279" i="22"/>
  <c r="G279" i="22"/>
  <c r="P279" i="22"/>
  <c r="L279" i="22"/>
  <c r="O279" i="22"/>
  <c r="K279" i="22"/>
  <c r="H279" i="22"/>
  <c r="AC275" i="22"/>
  <c r="AA275" i="22"/>
  <c r="Q275" i="22"/>
  <c r="X275" i="22"/>
  <c r="I275" i="22"/>
  <c r="L275" i="22"/>
  <c r="P275" i="22"/>
  <c r="K275" i="22"/>
  <c r="O275" i="22"/>
  <c r="J275" i="22"/>
  <c r="H275" i="22"/>
  <c r="G275" i="22"/>
  <c r="N275" i="22"/>
  <c r="AC271" i="22"/>
  <c r="AA271" i="22"/>
  <c r="X271" i="22"/>
  <c r="Q271" i="22"/>
  <c r="I271" i="22"/>
  <c r="P271" i="22"/>
  <c r="L271" i="22"/>
  <c r="O271" i="22"/>
  <c r="K271" i="22"/>
  <c r="N271" i="22"/>
  <c r="J271" i="22"/>
  <c r="G271" i="22"/>
  <c r="H271" i="22"/>
  <c r="AC267" i="22"/>
  <c r="AA267" i="22"/>
  <c r="Q267" i="22"/>
  <c r="X267" i="22"/>
  <c r="L267" i="22"/>
  <c r="N267" i="22"/>
  <c r="P267" i="22"/>
  <c r="K267" i="22"/>
  <c r="H267" i="22"/>
  <c r="O267" i="22"/>
  <c r="J267" i="22"/>
  <c r="I267" i="22"/>
  <c r="G267" i="22"/>
  <c r="AC263" i="22"/>
  <c r="AA263" i="22"/>
  <c r="Q263" i="22"/>
  <c r="X263" i="22"/>
  <c r="I263" i="22"/>
  <c r="P263" i="22"/>
  <c r="L263" i="22"/>
  <c r="G263" i="22"/>
  <c r="O263" i="22"/>
  <c r="K263" i="22"/>
  <c r="N263" i="22"/>
  <c r="J263" i="22"/>
  <c r="H263" i="22"/>
  <c r="AC259" i="22"/>
  <c r="AA259" i="22"/>
  <c r="X259" i="22"/>
  <c r="Q259" i="22"/>
  <c r="N259" i="22"/>
  <c r="L259" i="22"/>
  <c r="P259" i="22"/>
  <c r="K259" i="22"/>
  <c r="O259" i="22"/>
  <c r="J259" i="22"/>
  <c r="I259" i="22"/>
  <c r="H259" i="22"/>
  <c r="G259" i="22"/>
  <c r="AC255" i="22"/>
  <c r="AA255" i="22"/>
  <c r="Q255" i="22"/>
  <c r="X255" i="22"/>
  <c r="P255" i="22"/>
  <c r="L255" i="22"/>
  <c r="O255" i="22"/>
  <c r="K255" i="22"/>
  <c r="N255" i="22"/>
  <c r="J255" i="22"/>
  <c r="I255" i="22"/>
  <c r="G255" i="22"/>
  <c r="H255" i="22"/>
  <c r="U4" i="22"/>
  <c r="X4" i="22"/>
  <c r="G4" i="22"/>
  <c r="O4" i="22"/>
  <c r="J4" i="22"/>
  <c r="K4" i="22"/>
  <c r="N4" i="22"/>
  <c r="L4" i="22"/>
  <c r="H4" i="22"/>
  <c r="P4" i="22"/>
  <c r="I4" i="22"/>
  <c r="H28" i="5"/>
  <c r="H29" i="5"/>
  <c r="Y834" i="6"/>
  <c r="T838" i="6"/>
  <c r="Z842" i="6"/>
  <c r="Y850" i="6"/>
  <c r="T854" i="6"/>
  <c r="Z858" i="6"/>
  <c r="Y866" i="6"/>
  <c r="T870" i="6"/>
  <c r="Z874" i="6"/>
  <c r="Y882" i="6"/>
  <c r="T886" i="6"/>
  <c r="Z890" i="6"/>
  <c r="Y898" i="6"/>
  <c r="T902" i="6"/>
  <c r="Z906" i="6"/>
  <c r="Y914" i="6"/>
  <c r="T918" i="6"/>
  <c r="Z922" i="6"/>
  <c r="Y930" i="6"/>
  <c r="T934" i="6"/>
  <c r="Z938" i="6"/>
  <c r="Y946" i="6"/>
  <c r="T950" i="6"/>
  <c r="Z954" i="6"/>
  <c r="Y962" i="6"/>
  <c r="T966" i="6"/>
  <c r="Z970" i="6"/>
  <c r="Y978" i="6"/>
  <c r="T982" i="6"/>
  <c r="Z986" i="6"/>
  <c r="T994" i="6"/>
  <c r="T1002" i="6"/>
  <c r="Y1010" i="6"/>
  <c r="Z416" i="6"/>
  <c r="Z900" i="6"/>
  <c r="T830" i="6"/>
  <c r="Z834" i="6"/>
  <c r="Y842" i="6"/>
  <c r="T846" i="6"/>
  <c r="Z850" i="6"/>
  <c r="Y858" i="6"/>
  <c r="T862" i="6"/>
  <c r="Z866" i="6"/>
  <c r="U874" i="6"/>
  <c r="T878" i="6"/>
  <c r="Z882" i="6"/>
  <c r="Y890" i="6"/>
  <c r="T894" i="6"/>
  <c r="Z898" i="6"/>
  <c r="Y906" i="6"/>
  <c r="T910" i="6"/>
  <c r="Z914" i="6"/>
  <c r="U922" i="6"/>
  <c r="T926" i="6"/>
  <c r="Z930" i="6"/>
  <c r="U938" i="6"/>
  <c r="T942" i="6"/>
  <c r="Z946" i="6"/>
  <c r="U954" i="6"/>
  <c r="T958" i="6"/>
  <c r="Z962" i="6"/>
  <c r="U970" i="6"/>
  <c r="T974" i="6"/>
  <c r="Z978" i="6"/>
  <c r="U986" i="6"/>
  <c r="Z990" i="6"/>
  <c r="T998" i="6"/>
  <c r="Y1006" i="6"/>
  <c r="Y376" i="6"/>
  <c r="T464" i="6"/>
  <c r="Y788" i="6"/>
  <c r="Y510" i="6"/>
  <c r="T506" i="6"/>
  <c r="Y502" i="6"/>
  <c r="Y498" i="6"/>
  <c r="T494" i="6"/>
  <c r="Z490" i="6"/>
  <c r="Y486" i="6"/>
  <c r="Z482" i="6"/>
  <c r="Y478" i="6"/>
  <c r="T474" i="6"/>
  <c r="Y470" i="6"/>
  <c r="T466" i="6"/>
  <c r="Y462" i="6"/>
  <c r="T458" i="6"/>
  <c r="Z454" i="6"/>
  <c r="T450" i="6"/>
  <c r="Y446" i="6"/>
  <c r="T442" i="6"/>
  <c r="Z438" i="6"/>
  <c r="Y434" i="6"/>
  <c r="T430" i="6"/>
  <c r="Z426" i="6"/>
  <c r="Y422" i="6"/>
  <c r="T418" i="6"/>
  <c r="T414" i="6"/>
  <c r="Z410" i="6"/>
  <c r="Y406" i="6"/>
  <c r="Y402" i="6"/>
  <c r="T398" i="6"/>
  <c r="T394" i="6"/>
  <c r="Z390" i="6"/>
  <c r="Y386" i="6"/>
  <c r="Y382" i="6"/>
  <c r="T378" i="6"/>
  <c r="Y374" i="6"/>
  <c r="Y370" i="6"/>
  <c r="T366" i="6"/>
  <c r="Z362" i="6"/>
  <c r="BD82" i="9"/>
  <c r="BD78" i="9"/>
  <c r="BD74" i="9"/>
  <c r="BD70" i="9"/>
  <c r="BD66" i="9"/>
  <c r="BD62" i="9"/>
  <c r="BD58" i="9"/>
  <c r="BD54" i="9"/>
  <c r="BD50" i="9"/>
  <c r="BD46" i="9"/>
  <c r="BD42" i="9"/>
  <c r="BD38" i="9"/>
  <c r="BD34" i="9"/>
  <c r="BD30" i="9"/>
  <c r="BD26" i="9"/>
  <c r="BD22" i="9"/>
  <c r="BD18" i="9"/>
  <c r="BD14" i="9"/>
  <c r="BD10" i="9"/>
  <c r="BD81" i="9"/>
  <c r="BD77" i="9"/>
  <c r="BD73" i="9"/>
  <c r="BD69" i="9"/>
  <c r="BD65" i="9"/>
  <c r="BD61" i="9"/>
  <c r="BD57" i="9"/>
  <c r="BD53" i="9"/>
  <c r="BD49" i="9"/>
  <c r="BD45" i="9"/>
  <c r="BD41" i="9"/>
  <c r="BD37" i="9"/>
  <c r="BD33" i="9"/>
  <c r="BD29" i="9"/>
  <c r="BD25" i="9"/>
  <c r="BD21" i="9"/>
  <c r="BD17" i="9"/>
  <c r="BD13" i="9"/>
  <c r="BD80" i="9"/>
  <c r="BD76" i="9"/>
  <c r="BD72" i="9"/>
  <c r="BD68" i="9"/>
  <c r="BD64" i="9"/>
  <c r="BD60" i="9"/>
  <c r="BD56" i="9"/>
  <c r="BD52" i="9"/>
  <c r="BD48" i="9"/>
  <c r="BD44" i="9"/>
  <c r="BD40" i="9"/>
  <c r="BD36" i="9"/>
  <c r="BD32" i="9"/>
  <c r="BD28" i="9"/>
  <c r="BD24" i="9"/>
  <c r="BD20" i="9"/>
  <c r="BD16" i="9"/>
  <c r="BD12" i="9"/>
  <c r="BD79" i="9"/>
  <c r="BD75" i="9"/>
  <c r="BD71" i="9"/>
  <c r="BD67" i="9"/>
  <c r="BD63" i="9"/>
  <c r="BD59" i="9"/>
  <c r="BD55" i="9"/>
  <c r="BD51" i="9"/>
  <c r="BD47" i="9"/>
  <c r="BD43" i="9"/>
  <c r="BD39" i="9"/>
  <c r="BD35" i="9"/>
  <c r="BD31" i="9"/>
  <c r="BD27" i="9"/>
  <c r="BD23" i="9"/>
  <c r="BD19" i="9"/>
  <c r="BD15" i="9"/>
  <c r="BD11" i="9"/>
  <c r="AJ19" i="5"/>
  <c r="J27" i="9"/>
  <c r="F27" i="9"/>
  <c r="J26" i="9"/>
  <c r="F26" i="9"/>
  <c r="I27" i="9"/>
  <c r="E27" i="9"/>
  <c r="I26" i="9"/>
  <c r="E26" i="9"/>
  <c r="G27" i="9"/>
  <c r="C27" i="9"/>
  <c r="G26" i="9"/>
  <c r="C26" i="9"/>
  <c r="H27" i="9"/>
  <c r="D26" i="9"/>
  <c r="D27" i="9"/>
  <c r="H26" i="9"/>
  <c r="H9" i="8"/>
  <c r="C103" i="9"/>
  <c r="C104" i="9"/>
  <c r="C102" i="9"/>
  <c r="C105" i="9"/>
  <c r="C101" i="9"/>
  <c r="Z929" i="6"/>
  <c r="Y937" i="6"/>
  <c r="T941" i="6"/>
  <c r="Z945" i="6"/>
  <c r="Y953" i="6"/>
  <c r="T957" i="6"/>
  <c r="Z961" i="6"/>
  <c r="Y969" i="6"/>
  <c r="T973" i="6"/>
  <c r="Z977" i="6"/>
  <c r="Y985" i="6"/>
  <c r="T989" i="6"/>
  <c r="Z993" i="6"/>
  <c r="Y1001" i="6"/>
  <c r="T1005" i="6"/>
  <c r="Z1009" i="6"/>
  <c r="AG55" i="5"/>
  <c r="AJ18" i="5"/>
  <c r="Y913" i="6"/>
  <c r="U917" i="6"/>
  <c r="Z921" i="6"/>
  <c r="U929" i="6"/>
  <c r="U933" i="6"/>
  <c r="Z937" i="6"/>
  <c r="U945" i="6"/>
  <c r="U949" i="6"/>
  <c r="Z953" i="6"/>
  <c r="U961" i="6"/>
  <c r="U965" i="6"/>
  <c r="Z969" i="6"/>
  <c r="U977" i="6"/>
  <c r="U981" i="6"/>
  <c r="Z985" i="6"/>
  <c r="U993" i="6"/>
  <c r="U997" i="6"/>
  <c r="Z1001" i="6"/>
  <c r="U1009" i="6"/>
  <c r="AE74" i="5"/>
  <c r="AE73" i="5"/>
  <c r="AD67" i="5"/>
  <c r="AE47" i="5"/>
  <c r="AV23" i="5"/>
  <c r="Z1012" i="6"/>
  <c r="Y1012" i="6"/>
  <c r="T1008" i="6"/>
  <c r="U1008" i="6"/>
  <c r="Z1008" i="6"/>
  <c r="Y1008" i="6"/>
  <c r="Y1004" i="6"/>
  <c r="T1004" i="6"/>
  <c r="U1000" i="6"/>
  <c r="Z1000" i="6"/>
  <c r="Z984" i="6"/>
  <c r="U984" i="6"/>
  <c r="Z980" i="6"/>
  <c r="Y980" i="6"/>
  <c r="T976" i="6"/>
  <c r="Z976" i="6"/>
  <c r="Y976" i="6"/>
  <c r="U976" i="6"/>
  <c r="T972" i="6"/>
  <c r="Y972" i="6"/>
  <c r="Z968" i="6"/>
  <c r="U968" i="6"/>
  <c r="Y964" i="6"/>
  <c r="Z964" i="6"/>
  <c r="T960" i="6"/>
  <c r="Z960" i="6"/>
  <c r="Y960" i="6"/>
  <c r="Y956" i="6"/>
  <c r="T956" i="6"/>
  <c r="Z952" i="6"/>
  <c r="U952" i="6"/>
  <c r="Z948" i="6"/>
  <c r="Y948" i="6"/>
  <c r="T944" i="6"/>
  <c r="U944" i="6"/>
  <c r="Z944" i="6"/>
  <c r="Y944" i="6"/>
  <c r="Y940" i="6"/>
  <c r="T940" i="6"/>
  <c r="U936" i="6"/>
  <c r="Z936" i="6"/>
  <c r="Z932" i="6"/>
  <c r="Y932" i="6"/>
  <c r="T928" i="6"/>
  <c r="Y928" i="6"/>
  <c r="U928" i="6"/>
  <c r="Y924" i="6"/>
  <c r="T924" i="6"/>
  <c r="Z920" i="6"/>
  <c r="U920" i="6"/>
  <c r="Z916" i="6"/>
  <c r="Y916" i="6"/>
  <c r="U912" i="6"/>
  <c r="Z912" i="6"/>
  <c r="Y912" i="6"/>
  <c r="T912" i="6"/>
  <c r="U908" i="6"/>
  <c r="Y908" i="6"/>
  <c r="Z904" i="6"/>
  <c r="U904" i="6"/>
  <c r="U896" i="6"/>
  <c r="Z896" i="6"/>
  <c r="Y896" i="6"/>
  <c r="T896" i="6"/>
  <c r="Y892" i="6"/>
  <c r="U892" i="6"/>
  <c r="Z888" i="6"/>
  <c r="U888" i="6"/>
  <c r="Z884" i="6"/>
  <c r="Y884" i="6"/>
  <c r="U880" i="6"/>
  <c r="T880" i="6"/>
  <c r="Z880" i="6"/>
  <c r="Y880" i="6"/>
  <c r="Y876" i="6"/>
  <c r="U876" i="6"/>
  <c r="Z868" i="6"/>
  <c r="Y868" i="6"/>
  <c r="T864" i="6"/>
  <c r="Y864" i="6"/>
  <c r="U864" i="6"/>
  <c r="Z864" i="6"/>
  <c r="Y860" i="6"/>
  <c r="U860" i="6"/>
  <c r="Z856" i="6"/>
  <c r="U856" i="6"/>
  <c r="Z852" i="6"/>
  <c r="Y852" i="6"/>
  <c r="T848" i="6"/>
  <c r="Z848" i="6"/>
  <c r="Y848" i="6"/>
  <c r="U848" i="6"/>
  <c r="Z840" i="6"/>
  <c r="U840" i="6"/>
  <c r="Y836" i="6"/>
  <c r="Z836" i="6"/>
  <c r="T832" i="6"/>
  <c r="Z832" i="6"/>
  <c r="Y832" i="6"/>
  <c r="U832" i="6"/>
  <c r="Y828" i="6"/>
  <c r="U828" i="6"/>
  <c r="Z824" i="6"/>
  <c r="U824" i="6"/>
  <c r="Z820" i="6"/>
  <c r="Y820" i="6"/>
  <c r="T816" i="6"/>
  <c r="U816" i="6"/>
  <c r="Z816" i="6"/>
  <c r="Y812" i="6"/>
  <c r="U812" i="6"/>
  <c r="U808" i="6"/>
  <c r="Z808" i="6"/>
  <c r="Z804" i="6"/>
  <c r="Y804" i="6"/>
  <c r="T800" i="6"/>
  <c r="Y800" i="6"/>
  <c r="U800" i="6"/>
  <c r="Z800" i="6"/>
  <c r="Y796" i="6"/>
  <c r="U796" i="6"/>
  <c r="Z792" i="6"/>
  <c r="U792" i="6"/>
  <c r="T784" i="6"/>
  <c r="Z784" i="6"/>
  <c r="Y784" i="6"/>
  <c r="U784" i="6"/>
  <c r="U780" i="6"/>
  <c r="Y780" i="6"/>
  <c r="Z776" i="6"/>
  <c r="U776" i="6"/>
  <c r="Y772" i="6"/>
  <c r="Z772" i="6"/>
  <c r="T768" i="6"/>
  <c r="Z768" i="6"/>
  <c r="Y768" i="6"/>
  <c r="U768" i="6"/>
  <c r="Y764" i="6"/>
  <c r="U764" i="6"/>
  <c r="Z756" i="6"/>
  <c r="Y756" i="6"/>
  <c r="T752" i="6"/>
  <c r="U752" i="6"/>
  <c r="Z752" i="6"/>
  <c r="Y752" i="6"/>
  <c r="Y748" i="6"/>
  <c r="U748" i="6"/>
  <c r="U744" i="6"/>
  <c r="Z744" i="6"/>
  <c r="Z740" i="6"/>
  <c r="Y740" i="6"/>
  <c r="T736" i="6"/>
  <c r="Y736" i="6"/>
  <c r="U736" i="6"/>
  <c r="Z736" i="6"/>
  <c r="Z728" i="6"/>
  <c r="U728" i="6"/>
  <c r="Z724" i="6"/>
  <c r="Y724" i="6"/>
  <c r="T720" i="6"/>
  <c r="Z720" i="6"/>
  <c r="Y720" i="6"/>
  <c r="U720" i="6"/>
  <c r="U716" i="6"/>
  <c r="Y716" i="6"/>
  <c r="Z712" i="6"/>
  <c r="T712" i="6"/>
  <c r="Y708" i="6"/>
  <c r="Z708" i="6"/>
  <c r="U704" i="6"/>
  <c r="Z704" i="6"/>
  <c r="T704" i="6"/>
  <c r="T700" i="6"/>
  <c r="Y700" i="6"/>
  <c r="Z696" i="6"/>
  <c r="T696" i="6"/>
  <c r="Z692" i="6"/>
  <c r="Y692" i="6"/>
  <c r="U688" i="6"/>
  <c r="Y688" i="6"/>
  <c r="Z688" i="6"/>
  <c r="T688" i="6"/>
  <c r="T684" i="6"/>
  <c r="Y684" i="6"/>
  <c r="Y680" i="6"/>
  <c r="Z680" i="6"/>
  <c r="Z676" i="6"/>
  <c r="U676" i="6"/>
  <c r="T672" i="6"/>
  <c r="Y672" i="6"/>
  <c r="U672" i="6"/>
  <c r="T668" i="6"/>
  <c r="Y668" i="6"/>
  <c r="Z664" i="6"/>
  <c r="U664" i="6"/>
  <c r="Z660" i="6"/>
  <c r="U660" i="6"/>
  <c r="T656" i="6"/>
  <c r="Z656" i="6"/>
  <c r="Y656" i="6"/>
  <c r="U656" i="6"/>
  <c r="U652" i="6"/>
  <c r="Y652" i="6"/>
  <c r="Z648" i="6"/>
  <c r="Y648" i="6"/>
  <c r="T640" i="6"/>
  <c r="Y640" i="6"/>
  <c r="Z640" i="6"/>
  <c r="U640" i="6"/>
  <c r="U636" i="6"/>
  <c r="T636" i="6"/>
  <c r="Z632" i="6"/>
  <c r="Y632" i="6"/>
  <c r="Z628" i="6"/>
  <c r="U628" i="6"/>
  <c r="U624" i="6"/>
  <c r="T624" i="6"/>
  <c r="Z624" i="6"/>
  <c r="Y620" i="6"/>
  <c r="T620" i="6"/>
  <c r="Y616" i="6"/>
  <c r="Z616" i="6"/>
  <c r="U612" i="6"/>
  <c r="Z612" i="6"/>
  <c r="T608" i="6"/>
  <c r="Y608" i="6"/>
  <c r="U608" i="6"/>
  <c r="T604" i="6"/>
  <c r="Y604" i="6"/>
  <c r="Z600" i="6"/>
  <c r="U600" i="6"/>
  <c r="Y592" i="6"/>
  <c r="Z592" i="6"/>
  <c r="T592" i="6"/>
  <c r="U592" i="6"/>
  <c r="U588" i="6"/>
  <c r="T588" i="6"/>
  <c r="Y584" i="6"/>
  <c r="Z584" i="6"/>
  <c r="U576" i="6"/>
  <c r="Y576" i="6"/>
  <c r="Z576" i="6"/>
  <c r="T576" i="6"/>
  <c r="T572" i="6"/>
  <c r="Y572" i="6"/>
  <c r="Z564" i="6"/>
  <c r="Y564" i="6"/>
  <c r="Y560" i="6"/>
  <c r="T560" i="6"/>
  <c r="Z560" i="6"/>
  <c r="U560" i="6"/>
  <c r="U556" i="6"/>
  <c r="T556" i="6"/>
  <c r="Z556" i="6"/>
  <c r="T552" i="6"/>
  <c r="U552" i="6"/>
  <c r="Y552" i="6"/>
  <c r="Z552" i="6"/>
  <c r="U548" i="6"/>
  <c r="Y548" i="6"/>
  <c r="Z548" i="6"/>
  <c r="T548" i="6"/>
  <c r="Y544" i="6"/>
  <c r="U544" i="6"/>
  <c r="Z544" i="6"/>
  <c r="U540" i="6"/>
  <c r="Z540" i="6"/>
  <c r="T540" i="6"/>
  <c r="Y540" i="6"/>
  <c r="Y536" i="6"/>
  <c r="Z536" i="6"/>
  <c r="T536" i="6"/>
  <c r="U536" i="6"/>
  <c r="T532" i="6"/>
  <c r="Y532" i="6"/>
  <c r="U532" i="6"/>
  <c r="T528" i="6"/>
  <c r="U528" i="6"/>
  <c r="Z528" i="6"/>
  <c r="Y528" i="6"/>
  <c r="Y524" i="6"/>
  <c r="Z524" i="6"/>
  <c r="T524" i="6"/>
  <c r="T520" i="6"/>
  <c r="Z520" i="6"/>
  <c r="Y520" i="6"/>
  <c r="U520" i="6"/>
  <c r="U516" i="6"/>
  <c r="Y516" i="6"/>
  <c r="Z516" i="6"/>
  <c r="T516" i="6"/>
  <c r="T512" i="6"/>
  <c r="U512" i="6"/>
  <c r="Z512" i="6"/>
  <c r="U508" i="6"/>
  <c r="T508" i="6"/>
  <c r="Z508" i="6"/>
  <c r="Y508" i="6"/>
  <c r="T504" i="6"/>
  <c r="U504" i="6"/>
  <c r="Y504" i="6"/>
  <c r="Z504" i="6"/>
  <c r="U500" i="6"/>
  <c r="Y500" i="6"/>
  <c r="T500" i="6"/>
  <c r="T496" i="6"/>
  <c r="Y496" i="6"/>
  <c r="Z496" i="6"/>
  <c r="U496" i="6"/>
  <c r="U492" i="6"/>
  <c r="T492" i="6"/>
  <c r="Z492" i="6"/>
  <c r="T488" i="6"/>
  <c r="Z488" i="6"/>
  <c r="Y488" i="6"/>
  <c r="U488" i="6"/>
  <c r="U484" i="6"/>
  <c r="Y484" i="6"/>
  <c r="Z484" i="6"/>
  <c r="T484" i="6"/>
  <c r="U480" i="6"/>
  <c r="Y480" i="6"/>
  <c r="Z480" i="6"/>
  <c r="U476" i="6"/>
  <c r="Z476" i="6"/>
  <c r="T476" i="6"/>
  <c r="Y476" i="6"/>
  <c r="Y472" i="6"/>
  <c r="T472" i="6"/>
  <c r="Z472" i="6"/>
  <c r="T468" i="6"/>
  <c r="Z468" i="6"/>
  <c r="Y468" i="6"/>
  <c r="U468" i="6"/>
  <c r="U464" i="6"/>
  <c r="Z464" i="6"/>
  <c r="Y464" i="6"/>
  <c r="Y460" i="6"/>
  <c r="T460" i="6"/>
  <c r="Z460" i="6"/>
  <c r="U460" i="6"/>
  <c r="T456" i="6"/>
  <c r="Y456" i="6"/>
  <c r="U456" i="6"/>
  <c r="T452" i="6"/>
  <c r="Z452" i="6"/>
  <c r="Y452" i="6"/>
  <c r="T448" i="6"/>
  <c r="Z448" i="6"/>
  <c r="Y448" i="6"/>
  <c r="U448" i="6"/>
  <c r="U444" i="6"/>
  <c r="Y444" i="6"/>
  <c r="Z444" i="6"/>
  <c r="Y440" i="6"/>
  <c r="U440" i="6"/>
  <c r="Z440" i="6"/>
  <c r="T436" i="6"/>
  <c r="Z436" i="6"/>
  <c r="Y436" i="6"/>
  <c r="U436" i="6"/>
  <c r="T432" i="6"/>
  <c r="U432" i="6"/>
  <c r="Y432" i="6"/>
  <c r="U428" i="6"/>
  <c r="Y428" i="6"/>
  <c r="Z428" i="6"/>
  <c r="Y424" i="6"/>
  <c r="U424" i="6"/>
  <c r="Z424" i="6"/>
  <c r="U420" i="6"/>
  <c r="Z420" i="6"/>
  <c r="Y420" i="6"/>
  <c r="T420" i="6"/>
  <c r="U416" i="6"/>
  <c r="T416" i="6"/>
  <c r="Y416" i="6"/>
  <c r="U412" i="6"/>
  <c r="Y412" i="6"/>
  <c r="T412" i="6"/>
  <c r="Y408" i="6"/>
  <c r="Z408" i="6"/>
  <c r="U408" i="6"/>
  <c r="T404" i="6"/>
  <c r="Z404" i="6"/>
  <c r="Y404" i="6"/>
  <c r="U404" i="6"/>
  <c r="U400" i="6"/>
  <c r="T400" i="6"/>
  <c r="Y400" i="6"/>
  <c r="Y396" i="6"/>
  <c r="U396" i="6"/>
  <c r="T396" i="6"/>
  <c r="T392" i="6"/>
  <c r="Z392" i="6"/>
  <c r="U392" i="6"/>
  <c r="T388" i="6"/>
  <c r="Z388" i="6"/>
  <c r="Y388" i="6"/>
  <c r="U388" i="6"/>
  <c r="T384" i="6"/>
  <c r="Z384" i="6"/>
  <c r="U384" i="6"/>
  <c r="U380" i="6"/>
  <c r="Y380" i="6"/>
  <c r="Z380" i="6"/>
  <c r="T376" i="6"/>
  <c r="U376" i="6"/>
  <c r="Z376" i="6"/>
  <c r="T372" i="6"/>
  <c r="Z372" i="6"/>
  <c r="Y372" i="6"/>
  <c r="U372" i="6"/>
  <c r="T368" i="6"/>
  <c r="U368" i="6"/>
  <c r="Y368" i="6"/>
  <c r="Y364" i="6"/>
  <c r="U364" i="6"/>
  <c r="Z364" i="6"/>
  <c r="T360" i="6"/>
  <c r="Z360" i="6"/>
  <c r="U360" i="6"/>
  <c r="T992" i="6"/>
  <c r="Y992" i="6"/>
  <c r="U992" i="6"/>
  <c r="Z992" i="6"/>
  <c r="AG67" i="5"/>
  <c r="AT16" i="5"/>
  <c r="AD56" i="5"/>
  <c r="AV17" i="5"/>
  <c r="Y360" i="6"/>
  <c r="T380" i="6"/>
  <c r="Z400" i="6"/>
  <c r="T424" i="6"/>
  <c r="T444" i="6"/>
  <c r="U472" i="6"/>
  <c r="Y512" i="6"/>
  <c r="Y556" i="6"/>
  <c r="Z608" i="6"/>
  <c r="Y704" i="6"/>
  <c r="Y816" i="6"/>
  <c r="Z928" i="6"/>
  <c r="AE49" i="5"/>
  <c r="AL21" i="5"/>
  <c r="J46" i="5"/>
  <c r="AJ22" i="5"/>
  <c r="T364" i="6"/>
  <c r="Y384" i="6"/>
  <c r="T408" i="6"/>
  <c r="T428" i="6"/>
  <c r="U452" i="6"/>
  <c r="T480" i="6"/>
  <c r="U524" i="6"/>
  <c r="Y568" i="6"/>
  <c r="Y624" i="6"/>
  <c r="U732" i="6"/>
  <c r="Y844" i="6"/>
  <c r="U960" i="6"/>
  <c r="AC42" i="5"/>
  <c r="P28" i="5" s="1"/>
  <c r="Z996" i="6"/>
  <c r="Y996" i="6"/>
  <c r="AG43" i="5"/>
  <c r="AL19" i="5"/>
  <c r="AF70" i="5"/>
  <c r="AN16" i="5"/>
  <c r="J42" i="5"/>
  <c r="AJ23" i="5"/>
  <c r="Z368" i="6"/>
  <c r="Y392" i="6"/>
  <c r="Z412" i="6"/>
  <c r="Z432" i="6"/>
  <c r="Z456" i="6"/>
  <c r="Y492" i="6"/>
  <c r="Z532" i="6"/>
  <c r="Z580" i="6"/>
  <c r="Z644" i="6"/>
  <c r="U760" i="6"/>
  <c r="Z872" i="6"/>
  <c r="T988" i="6"/>
  <c r="AC57" i="5"/>
  <c r="AD57" i="5"/>
  <c r="AT21" i="5"/>
  <c r="AC71" i="5"/>
  <c r="AE43" i="5"/>
  <c r="AC43" i="5"/>
  <c r="AF43" i="5"/>
  <c r="AD43" i="5"/>
  <c r="AC46" i="5"/>
  <c r="AJ20" i="5"/>
  <c r="AE46" i="5"/>
  <c r="AD46" i="5"/>
  <c r="AF46" i="5"/>
  <c r="AF47" i="5"/>
  <c r="AJ21" i="5"/>
  <c r="AD47" i="5"/>
  <c r="AE45" i="5"/>
  <c r="AF45" i="5"/>
  <c r="AD45" i="5"/>
  <c r="AC45" i="5"/>
  <c r="AN20" i="5"/>
  <c r="AC58" i="5"/>
  <c r="AE61" i="5"/>
  <c r="AC61" i="5"/>
  <c r="AR19" i="5"/>
  <c r="AD63" i="5"/>
  <c r="AE65" i="5"/>
  <c r="AD65" i="5"/>
  <c r="AJ17" i="5"/>
  <c r="AC44" i="5"/>
  <c r="AN23" i="5"/>
  <c r="J45" i="5"/>
  <c r="AG61" i="5"/>
  <c r="AN19" i="5"/>
  <c r="AC59" i="5"/>
  <c r="AT17" i="5"/>
  <c r="AV18" i="5"/>
  <c r="AD44" i="5"/>
  <c r="AF44" i="5"/>
  <c r="AR20" i="5"/>
  <c r="AN18" i="5"/>
  <c r="AE58" i="5"/>
  <c r="AN22" i="5"/>
  <c r="AR17" i="5"/>
  <c r="AR23" i="5"/>
  <c r="AD68" i="5"/>
  <c r="AD70" i="5"/>
  <c r="AF73" i="5"/>
  <c r="AC75" i="5"/>
  <c r="AE77" i="5"/>
  <c r="AN17" i="5"/>
  <c r="T990" i="6"/>
  <c r="Z994" i="6"/>
  <c r="U1002" i="6"/>
  <c r="T1006" i="6"/>
  <c r="Z1010" i="6"/>
  <c r="T1012" i="6"/>
  <c r="U1012" i="6"/>
  <c r="U1004" i="6"/>
  <c r="Z1004" i="6"/>
  <c r="T1000" i="6"/>
  <c r="Y1000" i="6"/>
  <c r="T996" i="6"/>
  <c r="U996" i="6"/>
  <c r="U988" i="6"/>
  <c r="Z988" i="6"/>
  <c r="T984" i="6"/>
  <c r="Y984" i="6"/>
  <c r="T980" i="6"/>
  <c r="U980" i="6"/>
  <c r="U972" i="6"/>
  <c r="Z972" i="6"/>
  <c r="T968" i="6"/>
  <c r="Y968" i="6"/>
  <c r="T964" i="6"/>
  <c r="U964" i="6"/>
  <c r="U956" i="6"/>
  <c r="Z956" i="6"/>
  <c r="T952" i="6"/>
  <c r="Y952" i="6"/>
  <c r="T948" i="6"/>
  <c r="U948" i="6"/>
  <c r="U940" i="6"/>
  <c r="Z940" i="6"/>
  <c r="T936" i="6"/>
  <c r="Y936" i="6"/>
  <c r="T932" i="6"/>
  <c r="U932" i="6"/>
  <c r="U924" i="6"/>
  <c r="Z924" i="6"/>
  <c r="T920" i="6"/>
  <c r="Y920" i="6"/>
  <c r="T916" i="6"/>
  <c r="U916" i="6"/>
  <c r="T908" i="6"/>
  <c r="Z908" i="6"/>
  <c r="T904" i="6"/>
  <c r="Y904" i="6"/>
  <c r="T900" i="6"/>
  <c r="U900" i="6"/>
  <c r="T892" i="6"/>
  <c r="Z892" i="6"/>
  <c r="T888" i="6"/>
  <c r="Y888" i="6"/>
  <c r="T884" i="6"/>
  <c r="U884" i="6"/>
  <c r="T876" i="6"/>
  <c r="Z876" i="6"/>
  <c r="U872" i="6"/>
  <c r="Y872" i="6"/>
  <c r="T868" i="6"/>
  <c r="U868" i="6"/>
  <c r="T860" i="6"/>
  <c r="Z860" i="6"/>
  <c r="T856" i="6"/>
  <c r="Y856" i="6"/>
  <c r="T852" i="6"/>
  <c r="U852" i="6"/>
  <c r="T844" i="6"/>
  <c r="Z844" i="6"/>
  <c r="T840" i="6"/>
  <c r="Y840" i="6"/>
  <c r="T836" i="6"/>
  <c r="U836" i="6"/>
  <c r="T828" i="6"/>
  <c r="Z828" i="6"/>
  <c r="T824" i="6"/>
  <c r="Y824" i="6"/>
  <c r="T820" i="6"/>
  <c r="U820" i="6"/>
  <c r="T812" i="6"/>
  <c r="Z812" i="6"/>
  <c r="T808" i="6"/>
  <c r="Y808" i="6"/>
  <c r="T804" i="6"/>
  <c r="U804" i="6"/>
  <c r="T796" i="6"/>
  <c r="Z796" i="6"/>
  <c r="T792" i="6"/>
  <c r="Y792" i="6"/>
  <c r="T788" i="6"/>
  <c r="U788" i="6"/>
  <c r="T780" i="6"/>
  <c r="Z780" i="6"/>
  <c r="T776" i="6"/>
  <c r="Y776" i="6"/>
  <c r="T772" i="6"/>
  <c r="U772" i="6"/>
  <c r="T764" i="6"/>
  <c r="Z764" i="6"/>
  <c r="T760" i="6"/>
  <c r="Y760" i="6"/>
  <c r="T756" i="6"/>
  <c r="U756" i="6"/>
  <c r="T748" i="6"/>
  <c r="Z748" i="6"/>
  <c r="T744" i="6"/>
  <c r="Y744" i="6"/>
  <c r="T740" i="6"/>
  <c r="U740" i="6"/>
  <c r="T732" i="6"/>
  <c r="Z732" i="6"/>
  <c r="T728" i="6"/>
  <c r="Y728" i="6"/>
  <c r="T724" i="6"/>
  <c r="U724" i="6"/>
  <c r="T716" i="6"/>
  <c r="Z716" i="6"/>
  <c r="Y712" i="6"/>
  <c r="U712" i="6"/>
  <c r="T708" i="6"/>
  <c r="U708" i="6"/>
  <c r="U700" i="6"/>
  <c r="Z700" i="6"/>
  <c r="Y696" i="6"/>
  <c r="U696" i="6"/>
  <c r="T692" i="6"/>
  <c r="U692" i="6"/>
  <c r="U684" i="6"/>
  <c r="Z684" i="6"/>
  <c r="U680" i="6"/>
  <c r="T680" i="6"/>
  <c r="Y676" i="6"/>
  <c r="T676" i="6"/>
  <c r="U668" i="6"/>
  <c r="Z668" i="6"/>
  <c r="Y664" i="6"/>
  <c r="T664" i="6"/>
  <c r="T660" i="6"/>
  <c r="Y660" i="6"/>
  <c r="T652" i="6"/>
  <c r="Z652" i="6"/>
  <c r="U648" i="6"/>
  <c r="T648" i="6"/>
  <c r="T644" i="6"/>
  <c r="Y644" i="6"/>
  <c r="Y636" i="6"/>
  <c r="Z636" i="6"/>
  <c r="U632" i="6"/>
  <c r="T632" i="6"/>
  <c r="T628" i="6"/>
  <c r="Y628" i="6"/>
  <c r="U620" i="6"/>
  <c r="Z620" i="6"/>
  <c r="U616" i="6"/>
  <c r="T616" i="6"/>
  <c r="Y612" i="6"/>
  <c r="T612" i="6"/>
  <c r="U604" i="6"/>
  <c r="Z604" i="6"/>
  <c r="Y600" i="6"/>
  <c r="T600" i="6"/>
  <c r="T596" i="6"/>
  <c r="U596" i="6"/>
  <c r="Y588" i="6"/>
  <c r="Z588" i="6"/>
  <c r="T584" i="6"/>
  <c r="U584" i="6"/>
  <c r="T580" i="6"/>
  <c r="U580" i="6"/>
  <c r="U572" i="6"/>
  <c r="Z572" i="6"/>
  <c r="T568" i="6"/>
  <c r="Z568" i="6"/>
  <c r="T564" i="6"/>
  <c r="U564" i="6"/>
  <c r="G3" i="16"/>
  <c r="D3" i="16"/>
  <c r="W370" i="6"/>
  <c r="H11" i="8"/>
  <c r="W841" i="6"/>
  <c r="AL23" i="5"/>
  <c r="AL22" i="5"/>
  <c r="AE53" i="5"/>
  <c r="AD50" i="5"/>
  <c r="AD52" i="5"/>
  <c r="AD49" i="5"/>
  <c r="AC51" i="5"/>
  <c r="AF53" i="5"/>
  <c r="AE51" i="5"/>
  <c r="V582" i="6"/>
  <c r="W627" i="6"/>
  <c r="W604" i="6"/>
  <c r="V954" i="6"/>
  <c r="W925" i="6"/>
  <c r="W562" i="6"/>
  <c r="V941" i="6"/>
  <c r="V829" i="6"/>
  <c r="W615" i="6"/>
  <c r="V1007" i="6"/>
  <c r="W990" i="6"/>
  <c r="V939" i="6"/>
  <c r="V824" i="6"/>
  <c r="W899" i="6"/>
  <c r="V454" i="6"/>
  <c r="V883" i="6"/>
  <c r="V404" i="6"/>
  <c r="W843" i="6"/>
  <c r="W796" i="6"/>
  <c r="V973" i="6"/>
  <c r="W740" i="6"/>
  <c r="W958" i="6"/>
  <c r="W751" i="6"/>
  <c r="V795" i="6"/>
  <c r="V924" i="6"/>
  <c r="V720" i="6"/>
  <c r="N8" i="9"/>
  <c r="W13" i="6" s="1"/>
  <c r="V991" i="6"/>
  <c r="W923" i="6"/>
  <c r="W800" i="6"/>
  <c r="V557" i="6"/>
  <c r="W974" i="6"/>
  <c r="V904" i="6"/>
  <c r="W794" i="6"/>
  <c r="V556" i="6"/>
  <c r="V886" i="6"/>
  <c r="V906" i="6"/>
  <c r="W983" i="6"/>
  <c r="W890" i="6"/>
  <c r="W601" i="6"/>
  <c r="V957" i="6"/>
  <c r="V878" i="6"/>
  <c r="W644" i="6"/>
  <c r="W1006" i="6"/>
  <c r="W942" i="6"/>
  <c r="V861" i="6"/>
  <c r="W691" i="6"/>
  <c r="V979" i="6"/>
  <c r="V998" i="6"/>
  <c r="W736" i="6"/>
  <c r="V843" i="6"/>
  <c r="W622" i="6"/>
  <c r="V401" i="6"/>
  <c r="C12" i="6"/>
  <c r="J11" i="6"/>
  <c r="V128" i="6"/>
  <c r="V985" i="6"/>
  <c r="V953" i="6"/>
  <c r="V894" i="6"/>
  <c r="W833" i="6"/>
  <c r="W636" i="6"/>
  <c r="V406" i="6"/>
  <c r="W968" i="6"/>
  <c r="W936" i="6"/>
  <c r="V896" i="6"/>
  <c r="V817" i="6"/>
  <c r="V963" i="6"/>
  <c r="V1011" i="6"/>
  <c r="V995" i="6"/>
  <c r="V977" i="6"/>
  <c r="V961" i="6"/>
  <c r="V945" i="6"/>
  <c r="V929" i="6"/>
  <c r="V905" i="6"/>
  <c r="W883" i="6"/>
  <c r="W861" i="6"/>
  <c r="W809" i="6"/>
  <c r="W752" i="6"/>
  <c r="W676" i="6"/>
  <c r="W612" i="6"/>
  <c r="V568" i="6"/>
  <c r="V470" i="6"/>
  <c r="W1008" i="6"/>
  <c r="W992" i="6"/>
  <c r="W976" i="6"/>
  <c r="W960" i="6"/>
  <c r="W944" i="6"/>
  <c r="V928" i="6"/>
  <c r="V907" i="6"/>
  <c r="W885" i="6"/>
  <c r="V864" i="6"/>
  <c r="V833" i="6"/>
  <c r="W799" i="6"/>
  <c r="V757" i="6"/>
  <c r="W699" i="6"/>
  <c r="W635" i="6"/>
  <c r="W566" i="6"/>
  <c r="V420" i="6"/>
  <c r="V987" i="6"/>
  <c r="V943" i="6"/>
  <c r="W891" i="6"/>
  <c r="W805" i="6"/>
  <c r="V1000" i="6"/>
  <c r="V958" i="6"/>
  <c r="V909" i="6"/>
  <c r="W847" i="6"/>
  <c r="W749" i="6"/>
  <c r="V573" i="6"/>
  <c r="W987" i="6"/>
  <c r="W931" i="6"/>
  <c r="V847" i="6"/>
  <c r="W623" i="6"/>
  <c r="W896" i="6"/>
  <c r="V799" i="6"/>
  <c r="W630" i="6"/>
  <c r="V836" i="6"/>
  <c r="W621" i="6"/>
  <c r="V736" i="6"/>
  <c r="V469" i="6"/>
  <c r="W392" i="6"/>
  <c r="V921" i="6"/>
  <c r="V865" i="6"/>
  <c r="W700" i="6"/>
  <c r="V978" i="6"/>
  <c r="V936" i="6"/>
  <c r="V882" i="6"/>
  <c r="V803" i="6"/>
  <c r="W664" i="6"/>
  <c r="V382" i="6"/>
  <c r="W957" i="6"/>
  <c r="V892" i="6"/>
  <c r="W770" i="6"/>
  <c r="V396" i="6"/>
  <c r="W854" i="6"/>
  <c r="W734" i="6"/>
  <c r="V482" i="6"/>
  <c r="W755" i="6"/>
  <c r="V416" i="6"/>
  <c r="V640" i="6"/>
  <c r="W498" i="6"/>
  <c r="V423" i="6"/>
  <c r="V605" i="6"/>
  <c r="V727" i="6"/>
  <c r="V513" i="6"/>
  <c r="V608" i="6"/>
  <c r="V660" i="6"/>
  <c r="V696" i="6"/>
  <c r="V738" i="6"/>
  <c r="V792" i="6"/>
  <c r="V456" i="6"/>
  <c r="V564" i="6"/>
  <c r="W641" i="6"/>
  <c r="W705" i="6"/>
  <c r="V761" i="6"/>
  <c r="V812" i="6"/>
  <c r="V842" i="6"/>
  <c r="V402" i="6"/>
  <c r="V522" i="6"/>
  <c r="W590" i="6"/>
  <c r="W634" i="6"/>
  <c r="W694" i="6"/>
  <c r="W742" i="6"/>
  <c r="W777" i="6"/>
  <c r="W810" i="6"/>
  <c r="W832" i="6"/>
  <c r="W858" i="6"/>
  <c r="W882" i="6"/>
  <c r="W902" i="6"/>
  <c r="W918" i="6"/>
  <c r="V428" i="6"/>
  <c r="V572" i="6"/>
  <c r="W647" i="6"/>
  <c r="W735" i="6"/>
  <c r="V781" i="6"/>
  <c r="V823" i="6"/>
  <c r="V859" i="6"/>
  <c r="V879" i="6"/>
  <c r="V895" i="6"/>
  <c r="V916" i="6"/>
  <c r="W933" i="6"/>
  <c r="W947" i="6"/>
  <c r="W963" i="6"/>
  <c r="W975" i="6"/>
  <c r="W989" i="6"/>
  <c r="W1005" i="6"/>
  <c r="V414" i="6"/>
  <c r="V510" i="6"/>
  <c r="W592" i="6"/>
  <c r="W632" i="6"/>
  <c r="W672" i="6"/>
  <c r="W720" i="6"/>
  <c r="V755" i="6"/>
  <c r="W781" i="6"/>
  <c r="W811" i="6"/>
  <c r="W831" i="6"/>
  <c r="W851" i="6"/>
  <c r="W871" i="6"/>
  <c r="V885" i="6"/>
  <c r="V898" i="6"/>
  <c r="V914" i="6"/>
  <c r="W927" i="6"/>
  <c r="V938" i="6"/>
  <c r="V950" i="6"/>
  <c r="V960" i="6"/>
  <c r="V970" i="6"/>
  <c r="V982" i="6"/>
  <c r="V992" i="6"/>
  <c r="V1002" i="6"/>
  <c r="V374" i="6"/>
  <c r="W716" i="6"/>
  <c r="V779" i="6"/>
  <c r="W813" i="6"/>
  <c r="W845" i="6"/>
  <c r="W387" i="6"/>
  <c r="V455" i="6"/>
  <c r="V669" i="6"/>
  <c r="V385" i="6"/>
  <c r="V529" i="6"/>
  <c r="V620" i="6"/>
  <c r="V664" i="6"/>
  <c r="V706" i="6"/>
  <c r="V760" i="6"/>
  <c r="V794" i="6"/>
  <c r="V464" i="6"/>
  <c r="W593" i="6"/>
  <c r="W657" i="6"/>
  <c r="W717" i="6"/>
  <c r="V777" i="6"/>
  <c r="V816" i="6"/>
  <c r="V852" i="6"/>
  <c r="V450" i="6"/>
  <c r="V538" i="6"/>
  <c r="W602" i="6"/>
  <c r="W654" i="6"/>
  <c r="W710" i="6"/>
  <c r="W748" i="6"/>
  <c r="W785" i="6"/>
  <c r="W816" i="6"/>
  <c r="W840" i="6"/>
  <c r="W870" i="6"/>
  <c r="W886" i="6"/>
  <c r="W904" i="6"/>
  <c r="W926" i="6"/>
  <c r="V476" i="6"/>
  <c r="W582" i="6"/>
  <c r="W671" i="6"/>
  <c r="W743" i="6"/>
  <c r="W791" i="6"/>
  <c r="V839" i="6"/>
  <c r="V863" i="6"/>
  <c r="W881" i="6"/>
  <c r="V903" i="6"/>
  <c r="W921" i="6"/>
  <c r="W935" i="6"/>
  <c r="W951" i="6"/>
  <c r="W965" i="6"/>
  <c r="W979" i="6"/>
  <c r="W995" i="6"/>
  <c r="W1007" i="6"/>
  <c r="V430" i="6"/>
  <c r="V552" i="6"/>
  <c r="W600" i="6"/>
  <c r="W640" i="6"/>
  <c r="W688" i="6"/>
  <c r="W728" i="6"/>
  <c r="W760" i="6"/>
  <c r="W792" i="6"/>
  <c r="W815" i="6"/>
  <c r="W835" i="6"/>
  <c r="W859" i="6"/>
  <c r="V874" i="6"/>
  <c r="W887" i="6"/>
  <c r="W903" i="6"/>
  <c r="V917" i="6"/>
  <c r="V930" i="6"/>
  <c r="V942" i="6"/>
  <c r="V952" i="6"/>
  <c r="V962" i="6"/>
  <c r="V974" i="6"/>
  <c r="V984" i="6"/>
  <c r="V994" i="6"/>
  <c r="V1006" i="6"/>
  <c r="W652" i="6"/>
  <c r="W732" i="6"/>
  <c r="W789" i="6"/>
  <c r="W821" i="6"/>
  <c r="W853" i="6"/>
  <c r="W875" i="6"/>
  <c r="V897" i="6"/>
  <c r="W915" i="6"/>
  <c r="V935" i="6"/>
  <c r="V951" i="6"/>
  <c r="V967" i="6"/>
  <c r="V983" i="6"/>
  <c r="V997" i="6"/>
  <c r="V372" i="6"/>
  <c r="V436" i="6"/>
  <c r="V500" i="6"/>
  <c r="W451" i="6"/>
  <c r="V679" i="6"/>
  <c r="V586" i="6"/>
  <c r="V666" i="6"/>
  <c r="V762" i="6"/>
  <c r="V528" i="6"/>
  <c r="W673" i="6"/>
  <c r="W790" i="6"/>
  <c r="V858" i="6"/>
  <c r="V560" i="6"/>
  <c r="W666" i="6"/>
  <c r="W764" i="6"/>
  <c r="W818" i="6"/>
  <c r="W872" i="6"/>
  <c r="W912" i="6"/>
  <c r="V492" i="6"/>
  <c r="W687" i="6"/>
  <c r="V807" i="6"/>
  <c r="V868" i="6"/>
  <c r="W905" i="6"/>
  <c r="W941" i="6"/>
  <c r="W967" i="6"/>
  <c r="W997" i="6"/>
  <c r="V478" i="6"/>
  <c r="W608" i="6"/>
  <c r="W696" i="6"/>
  <c r="V771" i="6"/>
  <c r="W819" i="6"/>
  <c r="W863" i="6"/>
  <c r="V893" i="6"/>
  <c r="W919" i="6"/>
  <c r="V944" i="6"/>
  <c r="V966" i="6"/>
  <c r="V986" i="6"/>
  <c r="V1008" i="6"/>
  <c r="W757" i="6"/>
  <c r="W829" i="6"/>
  <c r="V870" i="6"/>
  <c r="V902" i="6"/>
  <c r="V926" i="6"/>
  <c r="V947" i="6"/>
  <c r="V971" i="6"/>
  <c r="V989" i="6"/>
  <c r="V1009" i="6"/>
  <c r="V452" i="6"/>
  <c r="V532" i="6"/>
  <c r="V577" i="6"/>
  <c r="W611" i="6"/>
  <c r="W643" i="6"/>
  <c r="W675" i="6"/>
  <c r="W707" i="6"/>
  <c r="W739" i="6"/>
  <c r="W762" i="6"/>
  <c r="W783" i="6"/>
  <c r="V805" i="6"/>
  <c r="V821" i="6"/>
  <c r="V837" i="6"/>
  <c r="V853" i="6"/>
  <c r="V867" i="6"/>
  <c r="W877" i="6"/>
  <c r="V888" i="6"/>
  <c r="V899" i="6"/>
  <c r="W909" i="6"/>
  <c r="V920" i="6"/>
  <c r="W930" i="6"/>
  <c r="W938" i="6"/>
  <c r="W946" i="6"/>
  <c r="W954" i="6"/>
  <c r="W962" i="6"/>
  <c r="W970" i="6"/>
  <c r="W978" i="6"/>
  <c r="W986" i="6"/>
  <c r="W994" i="6"/>
  <c r="W1002" i="6"/>
  <c r="W1010" i="6"/>
  <c r="V422" i="6"/>
  <c r="V486" i="6"/>
  <c r="W546" i="6"/>
  <c r="W588" i="6"/>
  <c r="W620" i="6"/>
  <c r="W660" i="6"/>
  <c r="W724" i="6"/>
  <c r="W773" i="6"/>
  <c r="W817" i="6"/>
  <c r="W849" i="6"/>
  <c r="W537" i="6"/>
  <c r="V707" i="6"/>
  <c r="V592" i="6"/>
  <c r="V688" i="6"/>
  <c r="V772" i="6"/>
  <c r="V548" i="6"/>
  <c r="W701" i="6"/>
  <c r="W798" i="6"/>
  <c r="V378" i="6"/>
  <c r="V581" i="6"/>
  <c r="W678" i="6"/>
  <c r="V767" i="6"/>
  <c r="W830" i="6"/>
  <c r="W874" i="6"/>
  <c r="W914" i="6"/>
  <c r="W550" i="6"/>
  <c r="W703" i="6"/>
  <c r="V819" i="6"/>
  <c r="W873" i="6"/>
  <c r="V911" i="6"/>
  <c r="W943" i="6"/>
  <c r="W973" i="6"/>
  <c r="W999" i="6"/>
  <c r="V494" i="6"/>
  <c r="W624" i="6"/>
  <c r="W704" i="6"/>
  <c r="W776" i="6"/>
  <c r="W827" i="6"/>
  <c r="V866" i="6"/>
  <c r="W895" i="6"/>
  <c r="V925" i="6"/>
  <c r="V946" i="6"/>
  <c r="V968" i="6"/>
  <c r="V990" i="6"/>
  <c r="V1010" i="6"/>
  <c r="W768" i="6"/>
  <c r="W837" i="6"/>
  <c r="V881" i="6"/>
  <c r="W907" i="6"/>
  <c r="V931" i="6"/>
  <c r="V955" i="6"/>
  <c r="V975" i="6"/>
  <c r="V993" i="6"/>
  <c r="V388" i="6"/>
  <c r="V468" i="6"/>
  <c r="V545" i="6"/>
  <c r="W587" i="6"/>
  <c r="W619" i="6"/>
  <c r="W651" i="6"/>
  <c r="W683" i="6"/>
  <c r="W715" i="6"/>
  <c r="W746" i="6"/>
  <c r="W767" i="6"/>
  <c r="V789" i="6"/>
  <c r="V809" i="6"/>
  <c r="V825" i="6"/>
  <c r="V841" i="6"/>
  <c r="V857" i="6"/>
  <c r="W869" i="6"/>
  <c r="V880" i="6"/>
  <c r="V891" i="6"/>
  <c r="W901" i="6"/>
  <c r="V912" i="6"/>
  <c r="V923" i="6"/>
  <c r="W932" i="6"/>
  <c r="W940" i="6"/>
  <c r="W948" i="6"/>
  <c r="W956" i="6"/>
  <c r="W964" i="6"/>
  <c r="W972" i="6"/>
  <c r="W980" i="6"/>
  <c r="W988" i="6"/>
  <c r="W996" i="6"/>
  <c r="W1004" i="6"/>
  <c r="W1012" i="6"/>
  <c r="V438" i="6"/>
  <c r="V502" i="6"/>
  <c r="W71" i="6"/>
  <c r="V1003" i="6"/>
  <c r="V969" i="6"/>
  <c r="V937" i="6"/>
  <c r="V918" i="6"/>
  <c r="V873" i="6"/>
  <c r="W784" i="6"/>
  <c r="W708" i="6"/>
  <c r="W596" i="6"/>
  <c r="V534" i="6"/>
  <c r="W1000" i="6"/>
  <c r="W984" i="6"/>
  <c r="W952" i="6"/>
  <c r="W917" i="6"/>
  <c r="V875" i="6"/>
  <c r="V849" i="6"/>
  <c r="W778" i="6"/>
  <c r="W731" i="6"/>
  <c r="W667" i="6"/>
  <c r="W603" i="6"/>
  <c r="V516" i="6"/>
  <c r="V1005" i="6"/>
  <c r="T20" i="9"/>
  <c r="T40" i="9" s="1"/>
  <c r="V999" i="6"/>
  <c r="V981" i="6"/>
  <c r="V965" i="6"/>
  <c r="V949" i="6"/>
  <c r="V933" i="6"/>
  <c r="V913" i="6"/>
  <c r="V889" i="6"/>
  <c r="W867" i="6"/>
  <c r="W825" i="6"/>
  <c r="V763" i="6"/>
  <c r="W692" i="6"/>
  <c r="W628" i="6"/>
  <c r="W578" i="6"/>
  <c r="V518" i="6"/>
  <c r="V390" i="6"/>
  <c r="W998" i="6"/>
  <c r="W982" i="6"/>
  <c r="W966" i="6"/>
  <c r="W950" i="6"/>
  <c r="W934" i="6"/>
  <c r="V915" i="6"/>
  <c r="W893" i="6"/>
  <c r="V872" i="6"/>
  <c r="V845" i="6"/>
  <c r="V813" i="6"/>
  <c r="V773" i="6"/>
  <c r="W723" i="6"/>
  <c r="W659" i="6"/>
  <c r="W595" i="6"/>
  <c r="V484" i="6"/>
  <c r="V1001" i="6"/>
  <c r="V959" i="6"/>
  <c r="V910" i="6"/>
  <c r="W857" i="6"/>
  <c r="W668" i="6"/>
  <c r="V976" i="6"/>
  <c r="V934" i="6"/>
  <c r="V877" i="6"/>
  <c r="W797" i="6"/>
  <c r="W656" i="6"/>
  <c r="W1011" i="6"/>
  <c r="W955" i="6"/>
  <c r="W889" i="6"/>
  <c r="V749" i="6"/>
  <c r="W928" i="6"/>
  <c r="W848" i="6"/>
  <c r="W714" i="6"/>
  <c r="V474" i="6"/>
  <c r="V745" i="6"/>
  <c r="V368" i="6"/>
  <c r="V632" i="6"/>
  <c r="V555" i="6"/>
  <c r="V13" i="6"/>
  <c r="AG2" i="22" s="1"/>
  <c r="W456" i="6"/>
  <c r="W409" i="6"/>
  <c r="W557" i="6"/>
  <c r="V539" i="6"/>
  <c r="V627" i="6"/>
  <c r="V685" i="6"/>
  <c r="V743" i="6"/>
  <c r="V461" i="6"/>
  <c r="V551" i="6"/>
  <c r="V602" i="6"/>
  <c r="V624" i="6"/>
  <c r="V650" i="6"/>
  <c r="V676" i="6"/>
  <c r="V704" i="6"/>
  <c r="V724" i="6"/>
  <c r="V752" i="6"/>
  <c r="V778" i="6"/>
  <c r="V802" i="6"/>
  <c r="V448" i="6"/>
  <c r="V512" i="6"/>
  <c r="V569" i="6"/>
  <c r="W617" i="6"/>
  <c r="W653" i="6"/>
  <c r="W685" i="6"/>
  <c r="W729" i="6"/>
  <c r="W758" i="6"/>
  <c r="W782" i="6"/>
  <c r="V810" i="6"/>
  <c r="V826" i="6"/>
  <c r="V844" i="6"/>
  <c r="V370" i="6"/>
  <c r="V442" i="6"/>
  <c r="V490" i="6"/>
  <c r="V549" i="6"/>
  <c r="W586" i="6"/>
  <c r="W614" i="6"/>
  <c r="W646" i="6"/>
  <c r="W670" i="6"/>
  <c r="W698" i="6"/>
  <c r="W730" i="6"/>
  <c r="W753" i="6"/>
  <c r="W769" i="6"/>
  <c r="V791" i="6"/>
  <c r="W808" i="6"/>
  <c r="W822" i="6"/>
  <c r="W838" i="6"/>
  <c r="W850" i="6"/>
  <c r="W864" i="6"/>
  <c r="W878" i="6"/>
  <c r="W888" i="6"/>
  <c r="W898" i="6"/>
  <c r="W910" i="6"/>
  <c r="W920" i="6"/>
  <c r="V364" i="6"/>
  <c r="V460" i="6"/>
  <c r="V540" i="6"/>
  <c r="W591" i="6"/>
  <c r="W639" i="6"/>
  <c r="W679" i="6"/>
  <c r="W719" i="6"/>
  <c r="W759" i="6"/>
  <c r="W786" i="6"/>
  <c r="V811" i="6"/>
  <c r="V835" i="6"/>
  <c r="V851" i="6"/>
  <c r="W865" i="6"/>
  <c r="V876" i="6"/>
  <c r="V887" i="6"/>
  <c r="W897" i="6"/>
  <c r="V908" i="6"/>
  <c r="V919" i="6"/>
  <c r="W929" i="6"/>
  <c r="W937" i="6"/>
  <c r="W945" i="6"/>
  <c r="W953" i="6"/>
  <c r="W961" i="6"/>
  <c r="W969" i="6"/>
  <c r="W977" i="6"/>
  <c r="W985" i="6"/>
  <c r="W993" i="6"/>
  <c r="W1001" i="6"/>
  <c r="W1009" i="6"/>
  <c r="V398" i="6"/>
  <c r="V462" i="6"/>
  <c r="V526" i="6"/>
  <c r="V747" i="6"/>
  <c r="W684" i="6"/>
  <c r="V1012" i="6"/>
  <c r="V1004" i="6"/>
  <c r="V996" i="6"/>
  <c r="V988" i="6"/>
  <c r="V980" i="6"/>
  <c r="V972" i="6"/>
  <c r="V964" i="6"/>
  <c r="V956" i="6"/>
  <c r="V948" i="6"/>
  <c r="V940" i="6"/>
  <c r="V932" i="6"/>
  <c r="V922" i="6"/>
  <c r="W911" i="6"/>
  <c r="V901" i="6"/>
  <c r="V890" i="6"/>
  <c r="W879" i="6"/>
  <c r="V869" i="6"/>
  <c r="W855" i="6"/>
  <c r="W839" i="6"/>
  <c r="W823" i="6"/>
  <c r="W807" i="6"/>
  <c r="V787" i="6"/>
  <c r="W765" i="6"/>
  <c r="W744" i="6"/>
  <c r="W712" i="6"/>
  <c r="W680" i="6"/>
  <c r="W648" i="6"/>
  <c r="W616" i="6"/>
  <c r="V584" i="6"/>
  <c r="V541" i="6"/>
  <c r="V446" i="6"/>
  <c r="V366" i="6"/>
  <c r="W1003" i="6"/>
  <c r="W991" i="6"/>
  <c r="W981" i="6"/>
  <c r="W971" i="6"/>
  <c r="W959" i="6"/>
  <c r="W949" i="6"/>
  <c r="W939" i="6"/>
  <c r="V927" i="6"/>
  <c r="W913" i="6"/>
  <c r="V900" i="6"/>
  <c r="V884" i="6"/>
  <c r="V871" i="6"/>
  <c r="V855" i="6"/>
  <c r="V827" i="6"/>
  <c r="W802" i="6"/>
  <c r="V765" i="6"/>
  <c r="W711" i="6"/>
  <c r="W655" i="6"/>
  <c r="W607" i="6"/>
  <c r="V524" i="6"/>
  <c r="V412" i="6"/>
  <c r="W922" i="6"/>
  <c r="W906" i="6"/>
  <c r="W894" i="6"/>
  <c r="W880" i="6"/>
  <c r="W862" i="6"/>
  <c r="W842" i="6"/>
  <c r="W826" i="6"/>
  <c r="W806" i="6"/>
  <c r="W780" i="6"/>
  <c r="W756" i="6"/>
  <c r="W718" i="6"/>
  <c r="W686" i="6"/>
  <c r="W650" i="6"/>
  <c r="W606" i="6"/>
  <c r="V565" i="6"/>
  <c r="V514" i="6"/>
  <c r="V426" i="6"/>
  <c r="V856" i="6"/>
  <c r="V832" i="6"/>
  <c r="V801" i="6"/>
  <c r="W771" i="6"/>
  <c r="W737" i="6"/>
  <c r="W681" i="6"/>
  <c r="W633" i="6"/>
  <c r="W589" i="6"/>
  <c r="V496" i="6"/>
  <c r="V392" i="6"/>
  <c r="V780" i="6"/>
  <c r="V746" i="6"/>
  <c r="V716" i="6"/>
  <c r="V682" i="6"/>
  <c r="V644" i="6"/>
  <c r="V610" i="6"/>
  <c r="W572" i="6"/>
  <c r="V445" i="6"/>
  <c r="V715" i="6"/>
  <c r="V637" i="6"/>
  <c r="V475" i="6"/>
  <c r="W493" i="6"/>
  <c r="W478" i="6"/>
  <c r="D27" i="8"/>
  <c r="B10" i="7"/>
  <c r="B9" i="7"/>
  <c r="W434" i="6"/>
  <c r="W520" i="6"/>
  <c r="W429" i="6"/>
  <c r="W515" i="6"/>
  <c r="V379" i="6"/>
  <c r="V499" i="6"/>
  <c r="W568" i="6"/>
  <c r="V615" i="6"/>
  <c r="V659" i="6"/>
  <c r="V693" i="6"/>
  <c r="V723" i="6"/>
  <c r="V373" i="6"/>
  <c r="V429" i="6"/>
  <c r="V485" i="6"/>
  <c r="V543" i="6"/>
  <c r="V578" i="6"/>
  <c r="V600" i="6"/>
  <c r="V612" i="6"/>
  <c r="V628" i="6"/>
  <c r="V642" i="6"/>
  <c r="V656" i="6"/>
  <c r="V672" i="6"/>
  <c r="V684" i="6"/>
  <c r="V698" i="6"/>
  <c r="V714" i="6"/>
  <c r="V728" i="6"/>
  <c r="V740" i="6"/>
  <c r="V756" i="6"/>
  <c r="V770" i="6"/>
  <c r="V784" i="6"/>
  <c r="V800" i="6"/>
  <c r="V384" i="6"/>
  <c r="V432" i="6"/>
  <c r="V480" i="6"/>
  <c r="V520" i="6"/>
  <c r="V553" i="6"/>
  <c r="V585" i="6"/>
  <c r="W605" i="6"/>
  <c r="W625" i="6"/>
  <c r="W649" i="6"/>
  <c r="W669" i="6"/>
  <c r="W689" i="6"/>
  <c r="W713" i="6"/>
  <c r="W733" i="6"/>
  <c r="W750" i="6"/>
  <c r="W766" i="6"/>
  <c r="W779" i="6"/>
  <c r="V793" i="6"/>
  <c r="V808" i="6"/>
  <c r="V818" i="6"/>
  <c r="V828" i="6"/>
  <c r="V840" i="6"/>
  <c r="V850" i="6"/>
  <c r="V860" i="6"/>
  <c r="V394" i="6"/>
  <c r="V434" i="6"/>
  <c r="V466" i="6"/>
  <c r="V498" i="6"/>
  <c r="V530" i="6"/>
  <c r="W554" i="6"/>
  <c r="V576" i="6"/>
  <c r="W594" i="6"/>
  <c r="W610" i="6"/>
  <c r="W626" i="6"/>
  <c r="W642" i="6"/>
  <c r="W658" i="6"/>
  <c r="W674" i="6"/>
  <c r="W690" i="6"/>
  <c r="W706" i="6"/>
  <c r="W722" i="6"/>
  <c r="W738" i="6"/>
  <c r="V751" i="6"/>
  <c r="W761" i="6"/>
  <c r="W772" i="6"/>
  <c r="V783" i="6"/>
  <c r="W793" i="6"/>
  <c r="W804" i="6"/>
  <c r="W812" i="6"/>
  <c r="W820" i="6"/>
  <c r="W828" i="6"/>
  <c r="W836" i="6"/>
  <c r="W844" i="6"/>
  <c r="W852" i="6"/>
  <c r="W860" i="6"/>
  <c r="W868" i="6"/>
  <c r="W414" i="6"/>
  <c r="W365" i="6"/>
  <c r="W473" i="6"/>
  <c r="W579" i="6"/>
  <c r="V519" i="6"/>
  <c r="V595" i="6"/>
  <c r="V647" i="6"/>
  <c r="V701" i="6"/>
  <c r="V735" i="6"/>
  <c r="V417" i="6"/>
  <c r="V501" i="6"/>
  <c r="V562" i="6"/>
  <c r="V596" i="6"/>
  <c r="V618" i="6"/>
  <c r="V634" i="6"/>
  <c r="V652" i="6"/>
  <c r="V674" i="6"/>
  <c r="V692" i="6"/>
  <c r="V708" i="6"/>
  <c r="V730" i="6"/>
  <c r="V748" i="6"/>
  <c r="V768" i="6"/>
  <c r="V788" i="6"/>
  <c r="V804" i="6"/>
  <c r="V424" i="6"/>
  <c r="V488" i="6"/>
  <c r="W542" i="6"/>
  <c r="W574" i="6"/>
  <c r="W609" i="6"/>
  <c r="W637" i="6"/>
  <c r="W665" i="6"/>
  <c r="W697" i="6"/>
  <c r="W721" i="6"/>
  <c r="W747" i="6"/>
  <c r="V769" i="6"/>
  <c r="W787" i="6"/>
  <c r="W803" i="6"/>
  <c r="V820" i="6"/>
  <c r="V834" i="6"/>
  <c r="V848" i="6"/>
  <c r="V362" i="6"/>
  <c r="V410" i="6"/>
  <c r="V458" i="6"/>
  <c r="V506" i="6"/>
  <c r="V544" i="6"/>
  <c r="W570" i="6"/>
  <c r="W598" i="6"/>
  <c r="W618" i="6"/>
  <c r="W638" i="6"/>
  <c r="W662" i="6"/>
  <c r="W682" i="6"/>
  <c r="W702" i="6"/>
  <c r="W726" i="6"/>
  <c r="W745" i="6"/>
  <c r="V759" i="6"/>
  <c r="V775" i="6"/>
  <c r="W788" i="6"/>
  <c r="W801" i="6"/>
  <c r="W814" i="6"/>
  <c r="W824" i="6"/>
  <c r="W834" i="6"/>
  <c r="W846" i="6"/>
  <c r="W856" i="6"/>
  <c r="W866" i="6"/>
  <c r="W876" i="6"/>
  <c r="W884" i="6"/>
  <c r="W892" i="6"/>
  <c r="W900" i="6"/>
  <c r="W908" i="6"/>
  <c r="W916" i="6"/>
  <c r="W924" i="6"/>
  <c r="V380" i="6"/>
  <c r="V444" i="6"/>
  <c r="V508" i="6"/>
  <c r="V561" i="6"/>
  <c r="W599" i="6"/>
  <c r="W631" i="6"/>
  <c r="W663" i="6"/>
  <c r="W695" i="6"/>
  <c r="W727" i="6"/>
  <c r="W754" i="6"/>
  <c r="W775" i="6"/>
  <c r="V797" i="6"/>
  <c r="V815" i="6"/>
  <c r="V831" i="6"/>
  <c r="W17" i="6"/>
  <c r="O37" i="5"/>
  <c r="C37" i="9"/>
  <c r="AT22" i="5"/>
  <c r="AR22" i="5"/>
  <c r="W402" i="6"/>
  <c r="W446" i="6"/>
  <c r="W488" i="6"/>
  <c r="W530" i="6"/>
  <c r="W397" i="6"/>
  <c r="W441" i="6"/>
  <c r="W483" i="6"/>
  <c r="W525" i="6"/>
  <c r="W569" i="6"/>
  <c r="V403" i="6"/>
  <c r="V467" i="6"/>
  <c r="V507" i="6"/>
  <c r="V547" i="6"/>
  <c r="W576" i="6"/>
  <c r="V599" i="6"/>
  <c r="V621" i="6"/>
  <c r="V643" i="6"/>
  <c r="V663" i="6"/>
  <c r="V683" i="6"/>
  <c r="V695" i="6"/>
  <c r="V711" i="6"/>
  <c r="V725" i="6"/>
  <c r="V739" i="6"/>
  <c r="V381" i="6"/>
  <c r="V405" i="6"/>
  <c r="V437" i="6"/>
  <c r="V465" i="6"/>
  <c r="V493" i="6"/>
  <c r="V525" i="6"/>
  <c r="V546" i="6"/>
  <c r="W564" i="6"/>
  <c r="V583" i="6"/>
  <c r="V594" i="6"/>
  <c r="V604" i="6"/>
  <c r="V616" i="6"/>
  <c r="V626" i="6"/>
  <c r="V636" i="6"/>
  <c r="V648" i="6"/>
  <c r="V658" i="6"/>
  <c r="V668" i="6"/>
  <c r="V680" i="6"/>
  <c r="V690" i="6"/>
  <c r="V700" i="6"/>
  <c r="V712" i="6"/>
  <c r="V722" i="6"/>
  <c r="V732" i="6"/>
  <c r="V744" i="6"/>
  <c r="V754" i="6"/>
  <c r="V764" i="6"/>
  <c r="V776" i="6"/>
  <c r="V786" i="6"/>
  <c r="V796" i="6"/>
  <c r="V360" i="6"/>
  <c r="V400" i="6"/>
  <c r="V440" i="6"/>
  <c r="V472" i="6"/>
  <c r="V504" i="6"/>
  <c r="V536" i="6"/>
  <c r="W558" i="6"/>
  <c r="V580" i="6"/>
  <c r="W597" i="6"/>
  <c r="W613" i="6"/>
  <c r="W629" i="6"/>
  <c r="W645" i="6"/>
  <c r="W661" i="6"/>
  <c r="W677" i="6"/>
  <c r="W693" i="6"/>
  <c r="W709" i="6"/>
  <c r="W725" i="6"/>
  <c r="W741" i="6"/>
  <c r="V753" i="6"/>
  <c r="W763" i="6"/>
  <c r="W774" i="6"/>
  <c r="V785" i="6"/>
  <c r="W795" i="6"/>
  <c r="V806" i="6"/>
  <c r="V814" i="6"/>
  <c r="V822" i="6"/>
  <c r="V830" i="6"/>
  <c r="V838" i="6"/>
  <c r="V846" i="6"/>
  <c r="V854" i="6"/>
  <c r="V862" i="6"/>
  <c r="V386" i="6"/>
  <c r="V418" i="6"/>
  <c r="W382" i="6"/>
  <c r="W424" i="6"/>
  <c r="W466" i="6"/>
  <c r="W510" i="6"/>
  <c r="W377" i="6"/>
  <c r="W419" i="6"/>
  <c r="W461" i="6"/>
  <c r="W505" i="6"/>
  <c r="W547" i="6"/>
  <c r="V359" i="6"/>
  <c r="V443" i="6"/>
  <c r="V487" i="6"/>
  <c r="V531" i="6"/>
  <c r="W560" i="6"/>
  <c r="V589" i="6"/>
  <c r="V611" i="6"/>
  <c r="V631" i="6"/>
  <c r="V653" i="6"/>
  <c r="V675" i="6"/>
  <c r="V691" i="6"/>
  <c r="V703" i="6"/>
  <c r="V717" i="6"/>
  <c r="V733" i="6"/>
  <c r="V365" i="6"/>
  <c r="V397" i="6"/>
  <c r="V421" i="6"/>
  <c r="V449" i="6"/>
  <c r="V481" i="6"/>
  <c r="V509" i="6"/>
  <c r="V533" i="6"/>
  <c r="W556" i="6"/>
  <c r="V575" i="6"/>
  <c r="V588" i="6"/>
  <c r="J43" i="5"/>
  <c r="AF58" i="5"/>
  <c r="AD73" i="5"/>
  <c r="AL17" i="5"/>
  <c r="AD53" i="5"/>
  <c r="AD51" i="5"/>
  <c r="AT18" i="5"/>
  <c r="AT20" i="5"/>
  <c r="AV19" i="5"/>
  <c r="AV21" i="5"/>
  <c r="AD77" i="5"/>
  <c r="AF56" i="5"/>
  <c r="AD75" i="5"/>
  <c r="AC77" i="5"/>
  <c r="AC49" i="5"/>
  <c r="AC52" i="5"/>
  <c r="AC50" i="5"/>
  <c r="AR18" i="5"/>
  <c r="AC53" i="5"/>
  <c r="AF50" i="5"/>
  <c r="AF52" i="5"/>
  <c r="AC55" i="5"/>
  <c r="AF67" i="5"/>
  <c r="AF69" i="5"/>
  <c r="AD71" i="5"/>
  <c r="AF74" i="5"/>
  <c r="AV20" i="5"/>
  <c r="AV22" i="5"/>
  <c r="AE70" i="5"/>
  <c r="AC56" i="5"/>
  <c r="AG73" i="5"/>
  <c r="AF68" i="5"/>
  <c r="AE68" i="5"/>
  <c r="AG49" i="5"/>
  <c r="AE56" i="5"/>
  <c r="AF75" i="5"/>
  <c r="AC70" i="5"/>
  <c r="AC63" i="5"/>
  <c r="AF51" i="5"/>
  <c r="V358" i="6"/>
  <c r="W269" i="6"/>
  <c r="W338" i="6"/>
  <c r="W218" i="6"/>
  <c r="W285" i="6"/>
  <c r="V348" i="6"/>
  <c r="W186" i="6"/>
  <c r="V336" i="6"/>
  <c r="W293" i="6"/>
  <c r="W210" i="6"/>
  <c r="V312" i="6"/>
  <c r="W202" i="6"/>
  <c r="W334" i="6"/>
  <c r="W297" i="6"/>
  <c r="W206" i="6"/>
  <c r="W337" i="6"/>
  <c r="W284" i="6"/>
  <c r="W41" i="6"/>
  <c r="V256" i="6"/>
  <c r="V29" i="6"/>
  <c r="V153" i="6"/>
  <c r="V213" i="6"/>
  <c r="D11" i="8"/>
  <c r="W341" i="6"/>
  <c r="W226" i="6"/>
  <c r="W317" i="6"/>
  <c r="W125" i="6"/>
  <c r="V350" i="6"/>
  <c r="W248" i="6"/>
  <c r="V328" i="6"/>
  <c r="W61" i="6"/>
  <c r="W325" i="6"/>
  <c r="W277" i="6"/>
  <c r="W173" i="6"/>
  <c r="V352" i="6"/>
  <c r="W289" i="6"/>
  <c r="W157" i="6"/>
  <c r="V357" i="6"/>
  <c r="W329" i="6"/>
  <c r="V267" i="6"/>
  <c r="W190" i="6"/>
  <c r="W305" i="6"/>
  <c r="W345" i="6"/>
  <c r="W236" i="6"/>
  <c r="W352" i="6"/>
  <c r="V323" i="6"/>
  <c r="V232" i="6"/>
  <c r="V272" i="6"/>
  <c r="V57" i="6"/>
  <c r="V75" i="6"/>
  <c r="V320" i="6"/>
  <c r="W141" i="6"/>
  <c r="V296" i="6"/>
  <c r="W330" i="6"/>
  <c r="W194" i="6"/>
  <c r="W306" i="6"/>
  <c r="V354" i="6"/>
  <c r="W314" i="6"/>
  <c r="V259" i="6"/>
  <c r="W109" i="6"/>
  <c r="W333" i="6"/>
  <c r="W273" i="6"/>
  <c r="W93" i="6"/>
  <c r="V353" i="6"/>
  <c r="W313" i="6"/>
  <c r="W256" i="6"/>
  <c r="W101" i="6"/>
  <c r="W214" i="6"/>
  <c r="V330" i="6"/>
  <c r="W192" i="6"/>
  <c r="W299" i="6"/>
  <c r="V305" i="6"/>
  <c r="V186" i="6"/>
  <c r="V244" i="6"/>
  <c r="W211" i="6"/>
  <c r="W86" i="6"/>
  <c r="W298" i="6"/>
  <c r="V356" i="6"/>
  <c r="W264" i="6"/>
  <c r="W309" i="6"/>
  <c r="W77" i="6"/>
  <c r="W281" i="6"/>
  <c r="V346" i="6"/>
  <c r="V304" i="6"/>
  <c r="V238" i="6"/>
  <c r="W45" i="6"/>
  <c r="W322" i="6"/>
  <c r="V254" i="6"/>
  <c r="V340" i="6"/>
  <c r="V308" i="6"/>
  <c r="W222" i="6"/>
  <c r="W69" i="6"/>
  <c r="W53" i="6"/>
  <c r="W316" i="6"/>
  <c r="W121" i="6"/>
  <c r="W196" i="6"/>
  <c r="V281" i="6"/>
  <c r="V101" i="6"/>
  <c r="V216" i="6"/>
  <c r="B16" i="7"/>
  <c r="B19" i="7"/>
  <c r="D49" i="10" s="1"/>
  <c r="B14" i="7"/>
  <c r="D44" i="10" s="1"/>
  <c r="D29" i="8"/>
  <c r="W355" i="6"/>
  <c r="W331" i="6"/>
  <c r="W303" i="6"/>
  <c r="W283" i="6"/>
  <c r="W271" i="6"/>
  <c r="V263" i="6"/>
  <c r="W255" i="6"/>
  <c r="V255" i="6"/>
  <c r="V243" i="6"/>
  <c r="W155" i="6"/>
  <c r="AF71" i="5"/>
  <c r="AE57" i="5"/>
  <c r="AC74" i="5"/>
  <c r="AC69" i="5"/>
  <c r="AF57" i="5"/>
  <c r="AE67" i="5"/>
  <c r="AE52" i="5"/>
  <c r="AD64" i="5"/>
  <c r="AF64" i="5"/>
  <c r="AE50" i="5"/>
  <c r="AC62" i="5"/>
  <c r="AC64" i="5"/>
  <c r="AT19" i="5"/>
  <c r="AN21" i="5"/>
  <c r="AL20" i="5"/>
  <c r="AR21" i="5"/>
  <c r="AD76" i="5"/>
  <c r="AE71" i="5"/>
  <c r="AV16" i="5"/>
  <c r="AD69" i="5"/>
  <c r="AC76" i="5"/>
  <c r="AF65" i="5"/>
  <c r="AL18" i="5"/>
  <c r="AF49" i="5"/>
  <c r="AF59" i="5"/>
  <c r="AE59" i="5"/>
  <c r="AF55" i="5"/>
  <c r="AD55" i="5"/>
  <c r="AF76" i="5"/>
  <c r="AE55" i="5"/>
  <c r="AE76" i="5"/>
  <c r="AF62" i="5"/>
  <c r="V18" i="6"/>
  <c r="V26" i="6"/>
  <c r="V34" i="6"/>
  <c r="V42" i="6"/>
  <c r="V50" i="6"/>
  <c r="V58" i="6"/>
  <c r="V66" i="6"/>
  <c r="V74" i="6"/>
  <c r="V82" i="6"/>
  <c r="V90" i="6"/>
  <c r="V98" i="6"/>
  <c r="V106" i="6"/>
  <c r="V114" i="6"/>
  <c r="V122" i="6"/>
  <c r="V130" i="6"/>
  <c r="V138" i="6"/>
  <c r="V146" i="6"/>
  <c r="V154" i="6"/>
  <c r="V162" i="6"/>
  <c r="V170" i="6"/>
  <c r="V178" i="6"/>
  <c r="W16" i="6"/>
  <c r="W24" i="6"/>
  <c r="W32" i="6"/>
  <c r="W40" i="6"/>
  <c r="W48" i="6"/>
  <c r="W56" i="6"/>
  <c r="W64" i="6"/>
  <c r="W72" i="6"/>
  <c r="W80" i="6"/>
  <c r="W88" i="6"/>
  <c r="W96" i="6"/>
  <c r="W104" i="6"/>
  <c r="W112" i="6"/>
  <c r="W120" i="6"/>
  <c r="W128" i="6"/>
  <c r="W136" i="6"/>
  <c r="W144" i="6"/>
  <c r="W152" i="6"/>
  <c r="W160" i="6"/>
  <c r="W168" i="6"/>
  <c r="W176" i="6"/>
  <c r="V15" i="6"/>
  <c r="AG4" i="22" s="1"/>
  <c r="V31" i="6"/>
  <c r="V47" i="6"/>
  <c r="V63" i="6"/>
  <c r="V79" i="6"/>
  <c r="V95" i="6"/>
  <c r="V111" i="6"/>
  <c r="V127" i="6"/>
  <c r="V143" i="6"/>
  <c r="V159" i="6"/>
  <c r="V175" i="6"/>
  <c r="V187" i="6"/>
  <c r="V20" i="6"/>
  <c r="V28" i="6"/>
  <c r="V36" i="6"/>
  <c r="V44" i="6"/>
  <c r="V52" i="6"/>
  <c r="V60" i="6"/>
  <c r="V68" i="6"/>
  <c r="V76" i="6"/>
  <c r="V84" i="6"/>
  <c r="V92" i="6"/>
  <c r="V100" i="6"/>
  <c r="V108" i="6"/>
  <c r="V116" i="6"/>
  <c r="V124" i="6"/>
  <c r="V132" i="6"/>
  <c r="V140" i="6"/>
  <c r="V148" i="6"/>
  <c r="V156" i="6"/>
  <c r="V164" i="6"/>
  <c r="V172" i="6"/>
  <c r="V180" i="6"/>
  <c r="W18" i="6"/>
  <c r="W26" i="6"/>
  <c r="W34" i="6"/>
  <c r="W42" i="6"/>
  <c r="W50" i="6"/>
  <c r="W58" i="6"/>
  <c r="W66" i="6"/>
  <c r="W74" i="6"/>
  <c r="W82" i="6"/>
  <c r="W90" i="6"/>
  <c r="W98" i="6"/>
  <c r="W106" i="6"/>
  <c r="W114" i="6"/>
  <c r="W122" i="6"/>
  <c r="W130" i="6"/>
  <c r="W138" i="6"/>
  <c r="W146" i="6"/>
  <c r="W154" i="6"/>
  <c r="W162" i="6"/>
  <c r="W170" i="6"/>
  <c r="W178" i="6"/>
  <c r="V19" i="6"/>
  <c r="V35" i="6"/>
  <c r="V51" i="6"/>
  <c r="V67" i="6"/>
  <c r="V83" i="6"/>
  <c r="V99" i="6"/>
  <c r="V115" i="6"/>
  <c r="V131" i="6"/>
  <c r="V147" i="6"/>
  <c r="V163" i="6"/>
  <c r="V179" i="6"/>
  <c r="V189" i="6"/>
  <c r="T24" i="9"/>
  <c r="V14" i="6"/>
  <c r="AG3" i="22" s="1"/>
  <c r="V22" i="6"/>
  <c r="V30" i="6"/>
  <c r="V38" i="6"/>
  <c r="V46" i="6"/>
  <c r="V54" i="6"/>
  <c r="V62" i="6"/>
  <c r="V70" i="6"/>
  <c r="V78" i="6"/>
  <c r="V86" i="6"/>
  <c r="V94" i="6"/>
  <c r="V102" i="6"/>
  <c r="V110" i="6"/>
  <c r="V118" i="6"/>
  <c r="V126" i="6"/>
  <c r="V134" i="6"/>
  <c r="V142" i="6"/>
  <c r="V150" i="6"/>
  <c r="V158" i="6"/>
  <c r="V166" i="6"/>
  <c r="V174" i="6"/>
  <c r="V182" i="6"/>
  <c r="W20" i="6"/>
  <c r="W28" i="6"/>
  <c r="W36" i="6"/>
  <c r="W44" i="6"/>
  <c r="W52" i="6"/>
  <c r="W60" i="6"/>
  <c r="W68" i="6"/>
  <c r="W76" i="6"/>
  <c r="W84" i="6"/>
  <c r="W92" i="6"/>
  <c r="W100" i="6"/>
  <c r="W108" i="6"/>
  <c r="W116" i="6"/>
  <c r="W124" i="6"/>
  <c r="W132" i="6"/>
  <c r="W140" i="6"/>
  <c r="W148" i="6"/>
  <c r="W156" i="6"/>
  <c r="W164" i="6"/>
  <c r="W172" i="6"/>
  <c r="W180" i="6"/>
  <c r="V23" i="6"/>
  <c r="V39" i="6"/>
  <c r="V55" i="6"/>
  <c r="V71" i="6"/>
  <c r="V87" i="6"/>
  <c r="V103" i="6"/>
  <c r="V119" i="6"/>
  <c r="V135" i="6"/>
  <c r="V151" i="6"/>
  <c r="V167" i="6"/>
  <c r="V183" i="6"/>
  <c r="V191" i="6"/>
  <c r="V199" i="6"/>
  <c r="V207" i="6"/>
  <c r="V215" i="6"/>
  <c r="V223" i="6"/>
  <c r="W19" i="6"/>
  <c r="W35" i="6"/>
  <c r="W51" i="6"/>
  <c r="W67" i="6"/>
  <c r="W83" i="6"/>
  <c r="W99" i="6"/>
  <c r="W115" i="6"/>
  <c r="W131" i="6"/>
  <c r="W147" i="6"/>
  <c r="W163" i="6"/>
  <c r="W179" i="6"/>
  <c r="W189" i="6"/>
  <c r="W197" i="6"/>
  <c r="W205" i="6"/>
  <c r="W213" i="6"/>
  <c r="W221" i="6"/>
  <c r="W229" i="6"/>
  <c r="W237" i="6"/>
  <c r="W245" i="6"/>
  <c r="W253" i="6"/>
  <c r="W261" i="6"/>
  <c r="V17" i="6"/>
  <c r="V49" i="6"/>
  <c r="V81" i="6"/>
  <c r="V16" i="6"/>
  <c r="V48" i="6"/>
  <c r="V80" i="6"/>
  <c r="V112" i="6"/>
  <c r="V144" i="6"/>
  <c r="V176" i="6"/>
  <c r="W38" i="6"/>
  <c r="W70" i="6"/>
  <c r="W102" i="6"/>
  <c r="W134" i="6"/>
  <c r="W166" i="6"/>
  <c r="V43" i="6"/>
  <c r="V107" i="6"/>
  <c r="V171" i="6"/>
  <c r="V197" i="6"/>
  <c r="V209" i="6"/>
  <c r="V219" i="6"/>
  <c r="W15" i="6"/>
  <c r="AF4" i="22" s="1"/>
  <c r="W39" i="6"/>
  <c r="W59" i="6"/>
  <c r="W79" i="6"/>
  <c r="W103" i="6"/>
  <c r="W123" i="6"/>
  <c r="W143" i="6"/>
  <c r="W167" i="6"/>
  <c r="W185" i="6"/>
  <c r="W195" i="6"/>
  <c r="W207" i="6"/>
  <c r="W217" i="6"/>
  <c r="W227" i="6"/>
  <c r="W239" i="6"/>
  <c r="W249" i="6"/>
  <c r="W259" i="6"/>
  <c r="V25" i="6"/>
  <c r="V65" i="6"/>
  <c r="V105" i="6"/>
  <c r="V137" i="6"/>
  <c r="V169" i="6"/>
  <c r="V192" i="6"/>
  <c r="V208" i="6"/>
  <c r="V224" i="6"/>
  <c r="V236" i="6"/>
  <c r="W246" i="6"/>
  <c r="V257" i="6"/>
  <c r="V268" i="6"/>
  <c r="V276" i="6"/>
  <c r="V284" i="6"/>
  <c r="V292" i="6"/>
  <c r="V45" i="6"/>
  <c r="V77" i="6"/>
  <c r="V109" i="6"/>
  <c r="V141" i="6"/>
  <c r="V173" i="6"/>
  <c r="V194" i="6"/>
  <c r="V210" i="6"/>
  <c r="V226" i="6"/>
  <c r="V237" i="6"/>
  <c r="V248" i="6"/>
  <c r="W258" i="6"/>
  <c r="V269" i="6"/>
  <c r="V277" i="6"/>
  <c r="V285" i="6"/>
  <c r="V293" i="6"/>
  <c r="V301" i="6"/>
  <c r="V309" i="6"/>
  <c r="V317" i="6"/>
  <c r="V325" i="6"/>
  <c r="V333" i="6"/>
  <c r="V341" i="6"/>
  <c r="W49" i="6"/>
  <c r="W113" i="6"/>
  <c r="W177" i="6"/>
  <c r="W212" i="6"/>
  <c r="V239" i="6"/>
  <c r="W260" i="6"/>
  <c r="W278" i="6"/>
  <c r="V294" i="6"/>
  <c r="W304" i="6"/>
  <c r="W315" i="6"/>
  <c r="V326" i="6"/>
  <c r="W336" i="6"/>
  <c r="W346" i="6"/>
  <c r="W354" i="6"/>
  <c r="W362" i="6"/>
  <c r="V24" i="6"/>
  <c r="V56" i="6"/>
  <c r="V88" i="6"/>
  <c r="V120" i="6"/>
  <c r="V152" i="6"/>
  <c r="W46" i="6"/>
  <c r="W78" i="6"/>
  <c r="W110" i="6"/>
  <c r="W142" i="6"/>
  <c r="W174" i="6"/>
  <c r="V59" i="6"/>
  <c r="V123" i="6"/>
  <c r="V185" i="6"/>
  <c r="V201" i="6"/>
  <c r="V211" i="6"/>
  <c r="V221" i="6"/>
  <c r="W23" i="6"/>
  <c r="W43" i="6"/>
  <c r="W63" i="6"/>
  <c r="W87" i="6"/>
  <c r="W107" i="6"/>
  <c r="W127" i="6"/>
  <c r="W151" i="6"/>
  <c r="W171" i="6"/>
  <c r="W187" i="6"/>
  <c r="W199" i="6"/>
  <c r="W209" i="6"/>
  <c r="W219" i="6"/>
  <c r="W231" i="6"/>
  <c r="W241" i="6"/>
  <c r="W251" i="6"/>
  <c r="W263" i="6"/>
  <c r="V33" i="6"/>
  <c r="V73" i="6"/>
  <c r="V113" i="6"/>
  <c r="V145" i="6"/>
  <c r="V177" i="6"/>
  <c r="V196" i="6"/>
  <c r="V212" i="6"/>
  <c r="V228" i="6"/>
  <c r="W238" i="6"/>
  <c r="V249" i="6"/>
  <c r="V260" i="6"/>
  <c r="V270" i="6"/>
  <c r="V278" i="6"/>
  <c r="V286" i="6"/>
  <c r="V21" i="6"/>
  <c r="V53" i="6"/>
  <c r="V85" i="6"/>
  <c r="V117" i="6"/>
  <c r="V149" i="6"/>
  <c r="V181" i="6"/>
  <c r="V198" i="6"/>
  <c r="V214" i="6"/>
  <c r="V229" i="6"/>
  <c r="V240" i="6"/>
  <c r="W250" i="6"/>
  <c r="V261" i="6"/>
  <c r="V271" i="6"/>
  <c r="V279" i="6"/>
  <c r="V287" i="6"/>
  <c r="V295" i="6"/>
  <c r="V303" i="6"/>
  <c r="V311" i="6"/>
  <c r="V319" i="6"/>
  <c r="V327" i="6"/>
  <c r="V335" i="6"/>
  <c r="V343" i="6"/>
  <c r="W65" i="6"/>
  <c r="W129" i="6"/>
  <c r="W188" i="6"/>
  <c r="W220" i="6"/>
  <c r="W244" i="6"/>
  <c r="V266" i="6"/>
  <c r="W282" i="6"/>
  <c r="W296" i="6"/>
  <c r="W307" i="6"/>
  <c r="V318" i="6"/>
  <c r="W328" i="6"/>
  <c r="W339" i="6"/>
  <c r="W348" i="6"/>
  <c r="W356" i="6"/>
  <c r="W364" i="6"/>
  <c r="V40" i="6"/>
  <c r="V104" i="6"/>
  <c r="V168" i="6"/>
  <c r="W62" i="6"/>
  <c r="W126" i="6"/>
  <c r="V27" i="6"/>
  <c r="V155" i="6"/>
  <c r="V205" i="6"/>
  <c r="V227" i="6"/>
  <c r="W55" i="6"/>
  <c r="W95" i="6"/>
  <c r="W139" i="6"/>
  <c r="W183" i="6"/>
  <c r="W203" i="6"/>
  <c r="W225" i="6"/>
  <c r="W247" i="6"/>
  <c r="W267" i="6"/>
  <c r="V97" i="6"/>
  <c r="V161" i="6"/>
  <c r="V204" i="6"/>
  <c r="V233" i="6"/>
  <c r="W254" i="6"/>
  <c r="V274" i="6"/>
  <c r="V290" i="6"/>
  <c r="V69" i="6"/>
  <c r="V133" i="6"/>
  <c r="V190" i="6"/>
  <c r="V222" i="6"/>
  <c r="V245" i="6"/>
  <c r="W266" i="6"/>
  <c r="V283" i="6"/>
  <c r="V299" i="6"/>
  <c r="V315" i="6"/>
  <c r="V331" i="6"/>
  <c r="W33" i="6"/>
  <c r="W161" i="6"/>
  <c r="V234" i="6"/>
  <c r="W274" i="6"/>
  <c r="V302" i="6"/>
  <c r="W323" i="6"/>
  <c r="W344" i="6"/>
  <c r="W360" i="6"/>
  <c r="W372" i="6"/>
  <c r="W380" i="6"/>
  <c r="W388" i="6"/>
  <c r="W396" i="6"/>
  <c r="W404" i="6"/>
  <c r="W412" i="6"/>
  <c r="W420" i="6"/>
  <c r="W428" i="6"/>
  <c r="W436" i="6"/>
  <c r="W444" i="6"/>
  <c r="W452" i="6"/>
  <c r="W460" i="6"/>
  <c r="W468" i="6"/>
  <c r="W476" i="6"/>
  <c r="W484" i="6"/>
  <c r="W492" i="6"/>
  <c r="W500" i="6"/>
  <c r="W508" i="6"/>
  <c r="W516" i="6"/>
  <c r="W524" i="6"/>
  <c r="W532" i="6"/>
  <c r="W25" i="6"/>
  <c r="W89" i="6"/>
  <c r="W153" i="6"/>
  <c r="W200" i="6"/>
  <c r="V231" i="6"/>
  <c r="W252" i="6"/>
  <c r="W272" i="6"/>
  <c r="W288" i="6"/>
  <c r="W300" i="6"/>
  <c r="W311" i="6"/>
  <c r="V322" i="6"/>
  <c r="W332" i="6"/>
  <c r="W343" i="6"/>
  <c r="W351" i="6"/>
  <c r="W359" i="6"/>
  <c r="W367" i="6"/>
  <c r="W375" i="6"/>
  <c r="W383" i="6"/>
  <c r="W391" i="6"/>
  <c r="W399" i="6"/>
  <c r="W407" i="6"/>
  <c r="W415" i="6"/>
  <c r="W423" i="6"/>
  <c r="W431" i="6"/>
  <c r="W439" i="6"/>
  <c r="W447" i="6"/>
  <c r="W455" i="6"/>
  <c r="W463" i="6"/>
  <c r="W471" i="6"/>
  <c r="W479" i="6"/>
  <c r="W487" i="6"/>
  <c r="W495" i="6"/>
  <c r="W503" i="6"/>
  <c r="W511" i="6"/>
  <c r="W519" i="6"/>
  <c r="W527" i="6"/>
  <c r="W535" i="6"/>
  <c r="W543" i="6"/>
  <c r="W551" i="6"/>
  <c r="W559" i="6"/>
  <c r="W567" i="6"/>
  <c r="W575" i="6"/>
  <c r="W583" i="6"/>
  <c r="W85" i="6"/>
  <c r="W198" i="6"/>
  <c r="V251" i="6"/>
  <c r="W287" i="6"/>
  <c r="W310" i="6"/>
  <c r="V332" i="6"/>
  <c r="V351" i="6"/>
  <c r="V367" i="6"/>
  <c r="V383" i="6"/>
  <c r="V399" i="6"/>
  <c r="V415" i="6"/>
  <c r="V431" i="6"/>
  <c r="V447" i="6"/>
  <c r="V463" i="6"/>
  <c r="V479" i="6"/>
  <c r="V495" i="6"/>
  <c r="V511" i="6"/>
  <c r="V527" i="6"/>
  <c r="V542" i="6"/>
  <c r="W552" i="6"/>
  <c r="V563" i="6"/>
  <c r="V574" i="6"/>
  <c r="W584" i="6"/>
  <c r="V593" i="6"/>
  <c r="V601" i="6"/>
  <c r="V609" i="6"/>
  <c r="V617" i="6"/>
  <c r="V625" i="6"/>
  <c r="V633" i="6"/>
  <c r="V641" i="6"/>
  <c r="V649" i="6"/>
  <c r="V657" i="6"/>
  <c r="V665" i="6"/>
  <c r="V673" i="6"/>
  <c r="V681" i="6"/>
  <c r="V689" i="6"/>
  <c r="V697" i="6"/>
  <c r="V705" i="6"/>
  <c r="V713" i="6"/>
  <c r="V721" i="6"/>
  <c r="V729" i="6"/>
  <c r="V737" i="6"/>
  <c r="W37" i="6"/>
  <c r="W165" i="6"/>
  <c r="V235" i="6"/>
  <c r="W275" i="6"/>
  <c r="W302" i="6"/>
  <c r="V324" i="6"/>
  <c r="V345" i="6"/>
  <c r="V361" i="6"/>
  <c r="V377" i="6"/>
  <c r="V393" i="6"/>
  <c r="V409" i="6"/>
  <c r="V425" i="6"/>
  <c r="V441" i="6"/>
  <c r="V457" i="6"/>
  <c r="V473" i="6"/>
  <c r="V489" i="6"/>
  <c r="V505" i="6"/>
  <c r="V521" i="6"/>
  <c r="V537" i="6"/>
  <c r="W548" i="6"/>
  <c r="V559" i="6"/>
  <c r="V570" i="6"/>
  <c r="V32" i="6"/>
  <c r="V96" i="6"/>
  <c r="V160" i="6"/>
  <c r="W54" i="6"/>
  <c r="W118" i="6"/>
  <c r="W182" i="6"/>
  <c r="V139" i="6"/>
  <c r="V203" i="6"/>
  <c r="V225" i="6"/>
  <c r="W47" i="6"/>
  <c r="W91" i="6"/>
  <c r="W135" i="6"/>
  <c r="W175" i="6"/>
  <c r="W201" i="6"/>
  <c r="W223" i="6"/>
  <c r="W243" i="6"/>
  <c r="V72" i="6"/>
  <c r="W30" i="6"/>
  <c r="W158" i="6"/>
  <c r="V195" i="6"/>
  <c r="W31" i="6"/>
  <c r="W119" i="6"/>
  <c r="W193" i="6"/>
  <c r="W235" i="6"/>
  <c r="V41" i="6"/>
  <c r="V129" i="6"/>
  <c r="V200" i="6"/>
  <c r="V241" i="6"/>
  <c r="V265" i="6"/>
  <c r="V288" i="6"/>
  <c r="V93" i="6"/>
  <c r="V165" i="6"/>
  <c r="V218" i="6"/>
  <c r="V253" i="6"/>
  <c r="V275" i="6"/>
  <c r="V297" i="6"/>
  <c r="V321" i="6"/>
  <c r="V339" i="6"/>
  <c r="W145" i="6"/>
  <c r="V250" i="6"/>
  <c r="W290" i="6"/>
  <c r="W320" i="6"/>
  <c r="W350" i="6"/>
  <c r="W368" i="6"/>
  <c r="W378" i="6"/>
  <c r="W390" i="6"/>
  <c r="W400" i="6"/>
  <c r="W410" i="6"/>
  <c r="W422" i="6"/>
  <c r="W432" i="6"/>
  <c r="W442" i="6"/>
  <c r="W454" i="6"/>
  <c r="W464" i="6"/>
  <c r="W474" i="6"/>
  <c r="W486" i="6"/>
  <c r="W496" i="6"/>
  <c r="W506" i="6"/>
  <c r="W518" i="6"/>
  <c r="W528" i="6"/>
  <c r="W538" i="6"/>
  <c r="W105" i="6"/>
  <c r="W184" i="6"/>
  <c r="W224" i="6"/>
  <c r="V258" i="6"/>
  <c r="W280" i="6"/>
  <c r="V298" i="6"/>
  <c r="V314" i="6"/>
  <c r="W327" i="6"/>
  <c r="W340" i="6"/>
  <c r="W353" i="6"/>
  <c r="W363" i="6"/>
  <c r="W373" i="6"/>
  <c r="W385" i="6"/>
  <c r="W395" i="6"/>
  <c r="W405" i="6"/>
  <c r="W417" i="6"/>
  <c r="W427" i="6"/>
  <c r="W437" i="6"/>
  <c r="W449" i="6"/>
  <c r="W459" i="6"/>
  <c r="W469" i="6"/>
  <c r="W481" i="6"/>
  <c r="W491" i="6"/>
  <c r="W501" i="6"/>
  <c r="W513" i="6"/>
  <c r="W523" i="6"/>
  <c r="W533" i="6"/>
  <c r="W545" i="6"/>
  <c r="W555" i="6"/>
  <c r="W565" i="6"/>
  <c r="W577" i="6"/>
  <c r="W21" i="6"/>
  <c r="W181" i="6"/>
  <c r="V262" i="6"/>
  <c r="V300" i="6"/>
  <c r="W326" i="6"/>
  <c r="V355" i="6"/>
  <c r="V375" i="6"/>
  <c r="V395" i="6"/>
  <c r="V419" i="6"/>
  <c r="V439" i="6"/>
  <c r="V459" i="6"/>
  <c r="V483" i="6"/>
  <c r="V503" i="6"/>
  <c r="V523" i="6"/>
  <c r="W544" i="6"/>
  <c r="V558" i="6"/>
  <c r="V571" i="6"/>
  <c r="V587" i="6"/>
  <c r="V597" i="6"/>
  <c r="V607" i="6"/>
  <c r="V619" i="6"/>
  <c r="V629" i="6"/>
  <c r="V639" i="6"/>
  <c r="V651" i="6"/>
  <c r="V661" i="6"/>
  <c r="V671" i="6"/>
  <c r="V136" i="6"/>
  <c r="W94" i="6"/>
  <c r="V91" i="6"/>
  <c r="V217" i="6"/>
  <c r="W75" i="6"/>
  <c r="W159" i="6"/>
  <c r="W215" i="6"/>
  <c r="W257" i="6"/>
  <c r="V89" i="6"/>
  <c r="V184" i="6"/>
  <c r="V220" i="6"/>
  <c r="V252" i="6"/>
  <c r="V280" i="6"/>
  <c r="V37" i="6"/>
  <c r="V125" i="6"/>
  <c r="V202" i="6"/>
  <c r="W234" i="6"/>
  <c r="V264" i="6"/>
  <c r="V289" i="6"/>
  <c r="V307" i="6"/>
  <c r="V329" i="6"/>
  <c r="W81" i="6"/>
  <c r="W204" i="6"/>
  <c r="W270" i="6"/>
  <c r="V310" i="6"/>
  <c r="V334" i="6"/>
  <c r="W358" i="6"/>
  <c r="W374" i="6"/>
  <c r="W384" i="6"/>
  <c r="W394" i="6"/>
  <c r="W406" i="6"/>
  <c r="W416" i="6"/>
  <c r="W426" i="6"/>
  <c r="W438" i="6"/>
  <c r="W448" i="6"/>
  <c r="W458" i="6"/>
  <c r="W470" i="6"/>
  <c r="W480" i="6"/>
  <c r="W490" i="6"/>
  <c r="W502" i="6"/>
  <c r="W512" i="6"/>
  <c r="W522" i="6"/>
  <c r="W534" i="6"/>
  <c r="W57" i="6"/>
  <c r="W137" i="6"/>
  <c r="W208" i="6"/>
  <c r="V242" i="6"/>
  <c r="W268" i="6"/>
  <c r="W292" i="6"/>
  <c r="V306" i="6"/>
  <c r="W319" i="6"/>
  <c r="W335" i="6"/>
  <c r="W347" i="6"/>
  <c r="W357" i="6"/>
  <c r="W369" i="6"/>
  <c r="W379" i="6"/>
  <c r="W389" i="6"/>
  <c r="W401" i="6"/>
  <c r="W411" i="6"/>
  <c r="W421" i="6"/>
  <c r="W433" i="6"/>
  <c r="W443" i="6"/>
  <c r="W453" i="6"/>
  <c r="W465" i="6"/>
  <c r="W475" i="6"/>
  <c r="W485" i="6"/>
  <c r="W497" i="6"/>
  <c r="W507" i="6"/>
  <c r="W517" i="6"/>
  <c r="W529" i="6"/>
  <c r="W539" i="6"/>
  <c r="W549" i="6"/>
  <c r="W561" i="6"/>
  <c r="W571" i="6"/>
  <c r="W581" i="6"/>
  <c r="W117" i="6"/>
  <c r="V230" i="6"/>
  <c r="W279" i="6"/>
  <c r="V316" i="6"/>
  <c r="W342" i="6"/>
  <c r="V363" i="6"/>
  <c r="V387" i="6"/>
  <c r="V407" i="6"/>
  <c r="V427" i="6"/>
  <c r="V451" i="6"/>
  <c r="V471" i="6"/>
  <c r="V491" i="6"/>
  <c r="V515" i="6"/>
  <c r="V535" i="6"/>
  <c r="V550" i="6"/>
  <c r="V566" i="6"/>
  <c r="V579" i="6"/>
  <c r="V591" i="6"/>
  <c r="V603" i="6"/>
  <c r="V613" i="6"/>
  <c r="V623" i="6"/>
  <c r="V635" i="6"/>
  <c r="V645" i="6"/>
  <c r="V655" i="6"/>
  <c r="V667" i="6"/>
  <c r="V677" i="6"/>
  <c r="V687" i="6"/>
  <c r="V699" i="6"/>
  <c r="V709" i="6"/>
  <c r="V719" i="6"/>
  <c r="V731" i="6"/>
  <c r="V741" i="6"/>
  <c r="W133" i="6"/>
  <c r="V246" i="6"/>
  <c r="W291" i="6"/>
  <c r="W318" i="6"/>
  <c r="V349" i="6"/>
  <c r="V369" i="6"/>
  <c r="V389" i="6"/>
  <c r="V413" i="6"/>
  <c r="V433" i="6"/>
  <c r="V453" i="6"/>
  <c r="V477" i="6"/>
  <c r="V497" i="6"/>
  <c r="V517" i="6"/>
  <c r="W540" i="6"/>
  <c r="V554" i="6"/>
  <c r="V567" i="6"/>
  <c r="W580" i="6"/>
  <c r="V590" i="6"/>
  <c r="V598" i="6"/>
  <c r="V606" i="6"/>
  <c r="V614" i="6"/>
  <c r="V622" i="6"/>
  <c r="V630" i="6"/>
  <c r="V638" i="6"/>
  <c r="V646" i="6"/>
  <c r="V654" i="6"/>
  <c r="V662" i="6"/>
  <c r="V670" i="6"/>
  <c r="V678" i="6"/>
  <c r="V686" i="6"/>
  <c r="V694" i="6"/>
  <c r="V702" i="6"/>
  <c r="V710" i="6"/>
  <c r="V718" i="6"/>
  <c r="V726" i="6"/>
  <c r="V734" i="6"/>
  <c r="V742" i="6"/>
  <c r="V750" i="6"/>
  <c r="V758" i="6"/>
  <c r="V766" i="6"/>
  <c r="V774" i="6"/>
  <c r="V782" i="6"/>
  <c r="V790" i="6"/>
  <c r="V798" i="6"/>
  <c r="W29" i="6"/>
  <c r="W232" i="6"/>
  <c r="W301" i="6"/>
  <c r="V344" i="6"/>
  <c r="V376" i="6"/>
  <c r="V408" i="6"/>
  <c r="V64" i="6"/>
  <c r="W22" i="6"/>
  <c r="W150" i="6"/>
  <c r="V193" i="6"/>
  <c r="W27" i="6"/>
  <c r="W111" i="6"/>
  <c r="W191" i="6"/>
  <c r="W233" i="6"/>
  <c r="W265" i="6"/>
  <c r="V121" i="6"/>
  <c r="V188" i="6"/>
  <c r="W230" i="6"/>
  <c r="W262" i="6"/>
  <c r="V282" i="6"/>
  <c r="V61" i="6"/>
  <c r="V157" i="6"/>
  <c r="V206" i="6"/>
  <c r="W242" i="6"/>
  <c r="V273" i="6"/>
  <c r="V291" i="6"/>
  <c r="V313" i="6"/>
  <c r="V337" i="6"/>
  <c r="W97" i="6"/>
  <c r="W228" i="6"/>
  <c r="W286" i="6"/>
  <c r="W312" i="6"/>
  <c r="V342" i="6"/>
  <c r="W366" i="6"/>
  <c r="W376" i="6"/>
  <c r="W386" i="6"/>
  <c r="W398" i="6"/>
  <c r="W408" i="6"/>
  <c r="W418" i="6"/>
  <c r="W430" i="6"/>
  <c r="W440" i="6"/>
  <c r="W450" i="6"/>
  <c r="W462" i="6"/>
  <c r="W472" i="6"/>
  <c r="W482" i="6"/>
  <c r="W494" i="6"/>
  <c r="W504" i="6"/>
  <c r="W514" i="6"/>
  <c r="W526" i="6"/>
  <c r="W536" i="6"/>
  <c r="W73" i="6"/>
  <c r="W169" i="6"/>
  <c r="W216" i="6"/>
  <c r="V247" i="6"/>
  <c r="W276" i="6"/>
  <c r="W295" i="6"/>
  <c r="W308" i="6"/>
  <c r="W324" i="6"/>
  <c r="V338" i="6"/>
  <c r="W349" i="6"/>
  <c r="W361" i="6"/>
  <c r="W371" i="6"/>
  <c r="W381" i="6"/>
  <c r="W393" i="6"/>
  <c r="W403" i="6"/>
  <c r="W413" i="6"/>
  <c r="W425" i="6"/>
  <c r="W435" i="6"/>
  <c r="W445" i="6"/>
  <c r="W457" i="6"/>
  <c r="W467" i="6"/>
  <c r="W477" i="6"/>
  <c r="W489" i="6"/>
  <c r="W499" i="6"/>
  <c r="W509" i="6"/>
  <c r="W521" i="6"/>
  <c r="W531" i="6"/>
  <c r="W541" i="6"/>
  <c r="W553" i="6"/>
  <c r="W563" i="6"/>
  <c r="W573" i="6"/>
  <c r="W585" i="6"/>
  <c r="W149" i="6"/>
  <c r="W240" i="6"/>
  <c r="W294" i="6"/>
  <c r="W321" i="6"/>
  <c r="V347" i="6"/>
  <c r="V371" i="6"/>
  <c r="V391" i="6"/>
  <c r="V411" i="6"/>
  <c r="V435" i="6"/>
  <c r="O40" i="5"/>
  <c r="L11" i="6"/>
  <c r="K11" i="6"/>
  <c r="D40" i="5"/>
  <c r="H8" i="8"/>
  <c r="Q40" i="5"/>
  <c r="B12" i="7"/>
  <c r="D42" i="10" s="1"/>
  <c r="H16" i="7"/>
  <c r="H12" i="7"/>
  <c r="B28" i="7"/>
  <c r="D58" i="10" s="1"/>
  <c r="B20" i="7"/>
  <c r="D50" i="10" s="1"/>
  <c r="B17" i="7"/>
  <c r="D47" i="10" s="1"/>
  <c r="B24" i="7"/>
  <c r="D54" i="10" s="1"/>
  <c r="B13" i="7"/>
  <c r="D43" i="10" s="1"/>
  <c r="B25" i="7"/>
  <c r="D55" i="10" s="1"/>
  <c r="B21" i="7"/>
  <c r="D51" i="10" s="1"/>
  <c r="B27" i="7"/>
  <c r="D57" i="10" s="1"/>
  <c r="B23" i="7"/>
  <c r="D53" i="10" s="1"/>
  <c r="B15" i="7"/>
  <c r="D45" i="10" s="1"/>
  <c r="B11" i="7"/>
  <c r="D41" i="10" s="1"/>
  <c r="B18" i="7"/>
  <c r="D48" i="10" s="1"/>
  <c r="B22" i="7"/>
  <c r="D52" i="10" s="1"/>
  <c r="B26" i="7"/>
  <c r="D56" i="10" s="1"/>
  <c r="J993" i="6"/>
  <c r="J963" i="6"/>
  <c r="J933" i="6"/>
  <c r="J909" i="6"/>
  <c r="J885" i="6"/>
  <c r="J861" i="6"/>
  <c r="J831" i="6"/>
  <c r="J813" i="6"/>
  <c r="J789" i="6"/>
  <c r="J765" i="6"/>
  <c r="J753" i="6"/>
  <c r="J723" i="6"/>
  <c r="J693" i="6"/>
  <c r="J663" i="6"/>
  <c r="J627" i="6"/>
  <c r="J603" i="6"/>
  <c r="J579" i="6"/>
  <c r="J537" i="6"/>
  <c r="J465" i="6"/>
  <c r="J211" i="6"/>
  <c r="J436" i="6"/>
  <c r="J1001" i="6"/>
  <c r="J989" i="6"/>
  <c r="J983" i="6"/>
  <c r="J971" i="6"/>
  <c r="J959" i="6"/>
  <c r="J953" i="6"/>
  <c r="J941" i="6"/>
  <c r="J929" i="6"/>
  <c r="J917" i="6"/>
  <c r="J911" i="6"/>
  <c r="J899" i="6"/>
  <c r="J887" i="6"/>
  <c r="J881" i="6"/>
  <c r="J869" i="6"/>
  <c r="J863" i="6"/>
  <c r="J851" i="6"/>
  <c r="J845" i="6"/>
  <c r="J839" i="6"/>
  <c r="J833" i="6"/>
  <c r="J821" i="6"/>
  <c r="J809" i="6"/>
  <c r="J797" i="6"/>
  <c r="J785" i="6"/>
  <c r="J779" i="6"/>
  <c r="J767" i="6"/>
  <c r="J761" i="6"/>
  <c r="J749" i="6"/>
  <c r="J737" i="6"/>
  <c r="J719" i="6"/>
  <c r="J635" i="6"/>
  <c r="J1012" i="6"/>
  <c r="J1006" i="6"/>
  <c r="J1000" i="6"/>
  <c r="J994" i="6"/>
  <c r="J988" i="6"/>
  <c r="J982" i="6"/>
  <c r="J976" i="6"/>
  <c r="J970" i="6"/>
  <c r="J964" i="6"/>
  <c r="J958" i="6"/>
  <c r="J952" i="6"/>
  <c r="J946" i="6"/>
  <c r="J940" i="6"/>
  <c r="J934" i="6"/>
  <c r="J928" i="6"/>
  <c r="J922" i="6"/>
  <c r="J916" i="6"/>
  <c r="J910" i="6"/>
  <c r="J904" i="6"/>
  <c r="J898" i="6"/>
  <c r="J892" i="6"/>
  <c r="J886" i="6"/>
  <c r="J880" i="6"/>
  <c r="J874" i="6"/>
  <c r="J868" i="6"/>
  <c r="J862" i="6"/>
  <c r="J856" i="6"/>
  <c r="J850" i="6"/>
  <c r="J844" i="6"/>
  <c r="J838" i="6"/>
  <c r="J832" i="6"/>
  <c r="J826" i="6"/>
  <c r="J820" i="6"/>
  <c r="J814" i="6"/>
  <c r="J808" i="6"/>
  <c r="J802" i="6"/>
  <c r="J796" i="6"/>
  <c r="J790" i="6"/>
  <c r="J784" i="6"/>
  <c r="J778" i="6"/>
  <c r="J17" i="6"/>
  <c r="J999" i="6"/>
  <c r="J969" i="6"/>
  <c r="J945" i="6"/>
  <c r="J915" i="6"/>
  <c r="J879" i="6"/>
  <c r="J843" i="6"/>
  <c r="J807" i="6"/>
  <c r="J777" i="6"/>
  <c r="J747" i="6"/>
  <c r="J717" i="6"/>
  <c r="J699" i="6"/>
  <c r="J669" i="6"/>
  <c r="J645" i="6"/>
  <c r="J609" i="6"/>
  <c r="J573" i="6"/>
  <c r="J543" i="6"/>
  <c r="J513" i="6"/>
  <c r="J489" i="6"/>
  <c r="J459" i="6"/>
  <c r="J428" i="6"/>
  <c r="J392" i="6"/>
  <c r="J374" i="6"/>
  <c r="J356" i="6"/>
  <c r="J331" i="6"/>
  <c r="J307" i="6"/>
  <c r="J289" i="6"/>
  <c r="J271" i="6"/>
  <c r="J253" i="6"/>
  <c r="J235" i="6"/>
  <c r="J205" i="6"/>
  <c r="J187" i="6"/>
  <c r="J163" i="6"/>
  <c r="J138" i="6"/>
  <c r="J120" i="6"/>
  <c r="J102" i="6"/>
  <c r="J77" i="6"/>
  <c r="J59" i="6"/>
  <c r="J29" i="6"/>
  <c r="J99" i="6"/>
  <c r="J1010" i="6"/>
  <c r="J1004" i="6"/>
  <c r="J998" i="6"/>
  <c r="J992" i="6"/>
  <c r="J986" i="6"/>
  <c r="J980" i="6"/>
  <c r="J974" i="6"/>
  <c r="J968" i="6"/>
  <c r="J962" i="6"/>
  <c r="J956" i="6"/>
  <c r="J950" i="6"/>
  <c r="J944" i="6"/>
  <c r="J938" i="6"/>
  <c r="J932" i="6"/>
  <c r="J926" i="6"/>
  <c r="J920" i="6"/>
  <c r="J914" i="6"/>
  <c r="J908" i="6"/>
  <c r="J902" i="6"/>
  <c r="J896" i="6"/>
  <c r="J890" i="6"/>
  <c r="J884" i="6"/>
  <c r="J878" i="6"/>
  <c r="J872" i="6"/>
  <c r="J866" i="6"/>
  <c r="J860" i="6"/>
  <c r="J854" i="6"/>
  <c r="J848" i="6"/>
  <c r="J842" i="6"/>
  <c r="J836" i="6"/>
  <c r="J830" i="6"/>
  <c r="J824" i="6"/>
  <c r="J818" i="6"/>
  <c r="J812" i="6"/>
  <c r="J806" i="6"/>
  <c r="J800" i="6"/>
  <c r="J794" i="6"/>
  <c r="J788" i="6"/>
  <c r="J782" i="6"/>
  <c r="J1005" i="6"/>
  <c r="J975" i="6"/>
  <c r="J951" i="6"/>
  <c r="J921" i="6"/>
  <c r="J891" i="6"/>
  <c r="J855" i="6"/>
  <c r="J819" i="6"/>
  <c r="J783" i="6"/>
  <c r="J741" i="6"/>
  <c r="J711" i="6"/>
  <c r="J681" i="6"/>
  <c r="J651" i="6"/>
  <c r="J621" i="6"/>
  <c r="J585" i="6"/>
  <c r="J555" i="6"/>
  <c r="J519" i="6"/>
  <c r="J495" i="6"/>
  <c r="J471" i="6"/>
  <c r="J447" i="6"/>
  <c r="J434" i="6"/>
  <c r="J416" i="6"/>
  <c r="J398" i="6"/>
  <c r="J380" i="6"/>
  <c r="J362" i="6"/>
  <c r="J343" i="6"/>
  <c r="J325" i="6"/>
  <c r="J313" i="6"/>
  <c r="J295" i="6"/>
  <c r="J277" i="6"/>
  <c r="J259" i="6"/>
  <c r="J241" i="6"/>
  <c r="J223" i="6"/>
  <c r="J199" i="6"/>
  <c r="J181" i="6"/>
  <c r="J169" i="6"/>
  <c r="J150" i="6"/>
  <c r="J132" i="6"/>
  <c r="J114" i="6"/>
  <c r="J95" i="6"/>
  <c r="J83" i="6"/>
  <c r="J65" i="6"/>
  <c r="J53" i="6"/>
  <c r="J47" i="6"/>
  <c r="J41" i="6"/>
  <c r="J23" i="6"/>
  <c r="J155" i="6"/>
  <c r="J1009" i="6"/>
  <c r="J1003" i="6"/>
  <c r="J997" i="6"/>
  <c r="J991" i="6"/>
  <c r="J985" i="6"/>
  <c r="J979" i="6"/>
  <c r="J973" i="6"/>
  <c r="J967" i="6"/>
  <c r="J961" i="6"/>
  <c r="J955" i="6"/>
  <c r="J949" i="6"/>
  <c r="J943" i="6"/>
  <c r="J937" i="6"/>
  <c r="J931" i="6"/>
  <c r="J925" i="6"/>
  <c r="J919" i="6"/>
  <c r="J913" i="6"/>
  <c r="J907" i="6"/>
  <c r="J901" i="6"/>
  <c r="J895" i="6"/>
  <c r="J889" i="6"/>
  <c r="J883" i="6"/>
  <c r="J877" i="6"/>
  <c r="J871" i="6"/>
  <c r="J865" i="6"/>
  <c r="J859" i="6"/>
  <c r="J853" i="6"/>
  <c r="J847" i="6"/>
  <c r="J841" i="6"/>
  <c r="J835" i="6"/>
  <c r="J829" i="6"/>
  <c r="J823" i="6"/>
  <c r="J817" i="6"/>
  <c r="J811" i="6"/>
  <c r="J805" i="6"/>
  <c r="J799" i="6"/>
  <c r="J793" i="6"/>
  <c r="J787" i="6"/>
  <c r="J781" i="6"/>
  <c r="J981" i="6"/>
  <c r="J939" i="6"/>
  <c r="J903" i="6"/>
  <c r="J867" i="6"/>
  <c r="J837" i="6"/>
  <c r="J801" i="6"/>
  <c r="J771" i="6"/>
  <c r="J729" i="6"/>
  <c r="J687" i="6"/>
  <c r="J633" i="6"/>
  <c r="J597" i="6"/>
  <c r="J567" i="6"/>
  <c r="J531" i="6"/>
  <c r="J507" i="6"/>
  <c r="J483" i="6"/>
  <c r="J453" i="6"/>
  <c r="J422" i="6"/>
  <c r="J404" i="6"/>
  <c r="J386" i="6"/>
  <c r="J368" i="6"/>
  <c r="J350" i="6"/>
  <c r="J337" i="6"/>
  <c r="J319" i="6"/>
  <c r="J301" i="6"/>
  <c r="J283" i="6"/>
  <c r="J265" i="6"/>
  <c r="J247" i="6"/>
  <c r="J229" i="6"/>
  <c r="J193" i="6"/>
  <c r="J175" i="6"/>
  <c r="J157" i="6"/>
  <c r="J144" i="6"/>
  <c r="J126" i="6"/>
  <c r="J108" i="6"/>
  <c r="J89" i="6"/>
  <c r="J71" i="6"/>
  <c r="J35" i="6"/>
  <c r="J345" i="6"/>
  <c r="J1008" i="6"/>
  <c r="J1002" i="6"/>
  <c r="J996" i="6"/>
  <c r="J990" i="6"/>
  <c r="J984" i="6"/>
  <c r="J978" i="6"/>
  <c r="J972" i="6"/>
  <c r="J966" i="6"/>
  <c r="J960" i="6"/>
  <c r="J954" i="6"/>
  <c r="J948" i="6"/>
  <c r="J942" i="6"/>
  <c r="J936" i="6"/>
  <c r="J930" i="6"/>
  <c r="J924" i="6"/>
  <c r="J918" i="6"/>
  <c r="J912" i="6"/>
  <c r="J906" i="6"/>
  <c r="J900" i="6"/>
  <c r="J894" i="6"/>
  <c r="J888" i="6"/>
  <c r="J882" i="6"/>
  <c r="J876" i="6"/>
  <c r="J870" i="6"/>
  <c r="J864" i="6"/>
  <c r="J858" i="6"/>
  <c r="J852" i="6"/>
  <c r="J846" i="6"/>
  <c r="J840" i="6"/>
  <c r="J834" i="6"/>
  <c r="J828" i="6"/>
  <c r="J822" i="6"/>
  <c r="J816" i="6"/>
  <c r="J810" i="6"/>
  <c r="J804" i="6"/>
  <c r="J798" i="6"/>
  <c r="J792" i="6"/>
  <c r="J786" i="6"/>
  <c r="J780" i="6"/>
  <c r="J1011" i="6"/>
  <c r="J987" i="6"/>
  <c r="J957" i="6"/>
  <c r="J927" i="6"/>
  <c r="J897" i="6"/>
  <c r="J873" i="6"/>
  <c r="J849" i="6"/>
  <c r="J825" i="6"/>
  <c r="J795" i="6"/>
  <c r="J759" i="6"/>
  <c r="J735" i="6"/>
  <c r="J705" i="6"/>
  <c r="J675" i="6"/>
  <c r="J657" i="6"/>
  <c r="J639" i="6"/>
  <c r="J615" i="6"/>
  <c r="J591" i="6"/>
  <c r="J561" i="6"/>
  <c r="J549" i="6"/>
  <c r="J525" i="6"/>
  <c r="J501" i="6"/>
  <c r="J477" i="6"/>
  <c r="J441" i="6"/>
  <c r="J410" i="6"/>
  <c r="J217" i="6"/>
  <c r="J1007" i="6"/>
  <c r="J995" i="6"/>
  <c r="J977" i="6"/>
  <c r="J965" i="6"/>
  <c r="J947" i="6"/>
  <c r="J935" i="6"/>
  <c r="J923" i="6"/>
  <c r="J905" i="6"/>
  <c r="J893" i="6"/>
  <c r="J875" i="6"/>
  <c r="J857" i="6"/>
  <c r="J827" i="6"/>
  <c r="J815" i="6"/>
  <c r="J803" i="6"/>
  <c r="J791" i="6"/>
  <c r="J773" i="6"/>
  <c r="J755" i="6"/>
  <c r="J743" i="6"/>
  <c r="J731" i="6"/>
  <c r="J725" i="6"/>
  <c r="J713" i="6"/>
  <c r="J707" i="6"/>
  <c r="J701" i="6"/>
  <c r="J695" i="6"/>
  <c r="J689" i="6"/>
  <c r="J683" i="6"/>
  <c r="J677" i="6"/>
  <c r="J671" i="6"/>
  <c r="J665" i="6"/>
  <c r="J659" i="6"/>
  <c r="J653" i="6"/>
  <c r="J647" i="6"/>
  <c r="J641" i="6"/>
  <c r="J629" i="6"/>
  <c r="J623" i="6"/>
  <c r="J617" i="6"/>
  <c r="J611" i="6"/>
  <c r="J605" i="6"/>
  <c r="J599" i="6"/>
  <c r="J593" i="6"/>
  <c r="J587" i="6"/>
  <c r="J581" i="6"/>
  <c r="J575" i="6"/>
  <c r="J569" i="6"/>
  <c r="J563" i="6"/>
  <c r="J557" i="6"/>
  <c r="J551" i="6"/>
  <c r="J545" i="6"/>
  <c r="J539" i="6"/>
  <c r="J533" i="6"/>
  <c r="J527" i="6"/>
  <c r="J521" i="6"/>
  <c r="J515" i="6"/>
  <c r="J509" i="6"/>
  <c r="J503" i="6"/>
  <c r="J497" i="6"/>
  <c r="J491" i="6"/>
  <c r="J485" i="6"/>
  <c r="J479" i="6"/>
  <c r="J473" i="6"/>
  <c r="J467" i="6"/>
  <c r="J461" i="6"/>
  <c r="J455" i="6"/>
  <c r="J449" i="6"/>
  <c r="J443" i="6"/>
  <c r="J437" i="6"/>
  <c r="J430" i="6"/>
  <c r="J424" i="6"/>
  <c r="J418" i="6"/>
  <c r="J412" i="6"/>
  <c r="J406" i="6"/>
  <c r="J400" i="6"/>
  <c r="J394" i="6"/>
  <c r="J388" i="6"/>
  <c r="J382" i="6"/>
  <c r="J376" i="6"/>
  <c r="J370" i="6"/>
  <c r="J364" i="6"/>
  <c r="J358" i="6"/>
  <c r="J352" i="6"/>
  <c r="J346" i="6"/>
  <c r="J339" i="6"/>
  <c r="J333" i="6"/>
  <c r="J327" i="6"/>
  <c r="J321" i="6"/>
  <c r="J315" i="6"/>
  <c r="J309" i="6"/>
  <c r="J303" i="6"/>
  <c r="J297" i="6"/>
  <c r="J291" i="6"/>
  <c r="J285" i="6"/>
  <c r="J279" i="6"/>
  <c r="J273" i="6"/>
  <c r="J772" i="6"/>
  <c r="J766" i="6"/>
  <c r="J760" i="6"/>
  <c r="J754" i="6"/>
  <c r="J748" i="6"/>
  <c r="J742" i="6"/>
  <c r="J736" i="6"/>
  <c r="J730" i="6"/>
  <c r="J724" i="6"/>
  <c r="J718" i="6"/>
  <c r="J712" i="6"/>
  <c r="J706" i="6"/>
  <c r="J700" i="6"/>
  <c r="J694" i="6"/>
  <c r="J688" i="6"/>
  <c r="J682" i="6"/>
  <c r="J676" i="6"/>
  <c r="J670" i="6"/>
  <c r="J664" i="6"/>
  <c r="J658" i="6"/>
  <c r="J652" i="6"/>
  <c r="J646" i="6"/>
  <c r="J640" i="6"/>
  <c r="J634" i="6"/>
  <c r="J628" i="6"/>
  <c r="J622" i="6"/>
  <c r="J616" i="6"/>
  <c r="J610" i="6"/>
  <c r="J604" i="6"/>
  <c r="J598" i="6"/>
  <c r="J592" i="6"/>
  <c r="J586" i="6"/>
  <c r="J580" i="6"/>
  <c r="J574" i="6"/>
  <c r="J568" i="6"/>
  <c r="J562" i="6"/>
  <c r="J556" i="6"/>
  <c r="J550" i="6"/>
  <c r="J544" i="6"/>
  <c r="J538" i="6"/>
  <c r="J532" i="6"/>
  <c r="J526" i="6"/>
  <c r="J520" i="6"/>
  <c r="J514" i="6"/>
  <c r="J508" i="6"/>
  <c r="J502" i="6"/>
  <c r="J496" i="6"/>
  <c r="J490" i="6"/>
  <c r="J484" i="6"/>
  <c r="J478" i="6"/>
  <c r="J472" i="6"/>
  <c r="J466" i="6"/>
  <c r="J460" i="6"/>
  <c r="J454" i="6"/>
  <c r="J448" i="6"/>
  <c r="J442" i="6"/>
  <c r="J435" i="6"/>
  <c r="J429" i="6"/>
  <c r="J423" i="6"/>
  <c r="J417" i="6"/>
  <c r="J411" i="6"/>
  <c r="J405" i="6"/>
  <c r="J399" i="6"/>
  <c r="J393" i="6"/>
  <c r="J387" i="6"/>
  <c r="J381" i="6"/>
  <c r="J375" i="6"/>
  <c r="J369" i="6"/>
  <c r="J363" i="6"/>
  <c r="J357" i="6"/>
  <c r="J351" i="6"/>
  <c r="J344" i="6"/>
  <c r="J338" i="6"/>
  <c r="J332" i="6"/>
  <c r="J326" i="6"/>
  <c r="J320" i="6"/>
  <c r="J314" i="6"/>
  <c r="J308" i="6"/>
  <c r="J302" i="6"/>
  <c r="J296" i="6"/>
  <c r="J290" i="6"/>
  <c r="J284" i="6"/>
  <c r="J278" i="6"/>
  <c r="J272" i="6"/>
  <c r="J266" i="6"/>
  <c r="J260" i="6"/>
  <c r="J254" i="6"/>
  <c r="J248" i="6"/>
  <c r="J242" i="6"/>
  <c r="J236" i="6"/>
  <c r="J230" i="6"/>
  <c r="J224" i="6"/>
  <c r="J218" i="6"/>
  <c r="J212" i="6"/>
  <c r="J206" i="6"/>
  <c r="J200" i="6"/>
  <c r="J194" i="6"/>
  <c r="J188" i="6"/>
  <c r="J182" i="6"/>
  <c r="J176" i="6"/>
  <c r="J170" i="6"/>
  <c r="J164" i="6"/>
  <c r="J158" i="6"/>
  <c r="J151" i="6"/>
  <c r="J145" i="6"/>
  <c r="J139" i="6"/>
  <c r="J133" i="6"/>
  <c r="J127" i="6"/>
  <c r="J121" i="6"/>
  <c r="J115" i="6"/>
  <c r="J109" i="6"/>
  <c r="J103" i="6"/>
  <c r="J96" i="6"/>
  <c r="J90" i="6"/>
  <c r="J84" i="6"/>
  <c r="J78" i="6"/>
  <c r="J72" i="6"/>
  <c r="J66" i="6"/>
  <c r="J60" i="6"/>
  <c r="J54" i="6"/>
  <c r="J48" i="6"/>
  <c r="J42" i="6"/>
  <c r="J36" i="6"/>
  <c r="J30" i="6"/>
  <c r="J24" i="6"/>
  <c r="J18" i="6"/>
  <c r="J776" i="6"/>
  <c r="J770" i="6"/>
  <c r="J764" i="6"/>
  <c r="J758" i="6"/>
  <c r="J752" i="6"/>
  <c r="J746" i="6"/>
  <c r="J740" i="6"/>
  <c r="J734" i="6"/>
  <c r="J728" i="6"/>
  <c r="J722" i="6"/>
  <c r="J716" i="6"/>
  <c r="J710" i="6"/>
  <c r="J704" i="6"/>
  <c r="J698" i="6"/>
  <c r="J692" i="6"/>
  <c r="J686" i="6"/>
  <c r="J680" i="6"/>
  <c r="J674" i="6"/>
  <c r="J668" i="6"/>
  <c r="J662" i="6"/>
  <c r="J656" i="6"/>
  <c r="J650" i="6"/>
  <c r="J644" i="6"/>
  <c r="J638" i="6"/>
  <c r="J632" i="6"/>
  <c r="J626" i="6"/>
  <c r="J620" i="6"/>
  <c r="J614" i="6"/>
  <c r="J608" i="6"/>
  <c r="J602" i="6"/>
  <c r="J596" i="6"/>
  <c r="J590" i="6"/>
  <c r="J584" i="6"/>
  <c r="J578" i="6"/>
  <c r="J572" i="6"/>
  <c r="J566" i="6"/>
  <c r="J560" i="6"/>
  <c r="J554" i="6"/>
  <c r="J548" i="6"/>
  <c r="J542" i="6"/>
  <c r="J536" i="6"/>
  <c r="J530" i="6"/>
  <c r="J524" i="6"/>
  <c r="J518" i="6"/>
  <c r="J512" i="6"/>
  <c r="J506" i="6"/>
  <c r="J500" i="6"/>
  <c r="J494" i="6"/>
  <c r="J488" i="6"/>
  <c r="J482" i="6"/>
  <c r="J476" i="6"/>
  <c r="J470" i="6"/>
  <c r="J464" i="6"/>
  <c r="J458" i="6"/>
  <c r="J452" i="6"/>
  <c r="J446" i="6"/>
  <c r="J440" i="6"/>
  <c r="J433" i="6"/>
  <c r="J427" i="6"/>
  <c r="J421" i="6"/>
  <c r="J415" i="6"/>
  <c r="J409" i="6"/>
  <c r="J403" i="6"/>
  <c r="J397" i="6"/>
  <c r="J391" i="6"/>
  <c r="J385" i="6"/>
  <c r="J379" i="6"/>
  <c r="J373" i="6"/>
  <c r="J367" i="6"/>
  <c r="J361" i="6"/>
  <c r="J355" i="6"/>
  <c r="J349" i="6"/>
  <c r="J342" i="6"/>
  <c r="J336" i="6"/>
  <c r="J330" i="6"/>
  <c r="J324" i="6"/>
  <c r="J318" i="6"/>
  <c r="J312" i="6"/>
  <c r="J306" i="6"/>
  <c r="J300" i="6"/>
  <c r="J294" i="6"/>
  <c r="J288" i="6"/>
  <c r="J282" i="6"/>
  <c r="J276" i="6"/>
  <c r="J270" i="6"/>
  <c r="J264" i="6"/>
  <c r="J258" i="6"/>
  <c r="J252" i="6"/>
  <c r="J246" i="6"/>
  <c r="J240" i="6"/>
  <c r="J234" i="6"/>
  <c r="J228" i="6"/>
  <c r="J222" i="6"/>
  <c r="J216" i="6"/>
  <c r="J210" i="6"/>
  <c r="J204" i="6"/>
  <c r="J198" i="6"/>
  <c r="J192" i="6"/>
  <c r="J186" i="6"/>
  <c r="J180" i="6"/>
  <c r="J174" i="6"/>
  <c r="J168" i="6"/>
  <c r="J162" i="6"/>
  <c r="J156" i="6"/>
  <c r="J149" i="6"/>
  <c r="J143" i="6"/>
  <c r="J137" i="6"/>
  <c r="J131" i="6"/>
  <c r="J125" i="6"/>
  <c r="J119" i="6"/>
  <c r="J113" i="6"/>
  <c r="J107" i="6"/>
  <c r="J101" i="6"/>
  <c r="J94" i="6"/>
  <c r="J88" i="6"/>
  <c r="J82" i="6"/>
  <c r="J76" i="6"/>
  <c r="J70" i="6"/>
  <c r="J64" i="6"/>
  <c r="J58" i="6"/>
  <c r="J52" i="6"/>
  <c r="J46" i="6"/>
  <c r="J40" i="6"/>
  <c r="J34" i="6"/>
  <c r="J28" i="6"/>
  <c r="J22" i="6"/>
  <c r="J16" i="6"/>
  <c r="J775" i="6"/>
  <c r="J769" i="6"/>
  <c r="J763" i="6"/>
  <c r="J757" i="6"/>
  <c r="J751" i="6"/>
  <c r="J745" i="6"/>
  <c r="J739" i="6"/>
  <c r="J733" i="6"/>
  <c r="J727" i="6"/>
  <c r="J721" i="6"/>
  <c r="J715" i="6"/>
  <c r="J709" i="6"/>
  <c r="J703" i="6"/>
  <c r="J697" i="6"/>
  <c r="J691" i="6"/>
  <c r="J685" i="6"/>
  <c r="J679" i="6"/>
  <c r="J673" i="6"/>
  <c r="J667" i="6"/>
  <c r="J661" i="6"/>
  <c r="J655" i="6"/>
  <c r="J649" i="6"/>
  <c r="J643" i="6"/>
  <c r="J637" i="6"/>
  <c r="J631" i="6"/>
  <c r="J625" i="6"/>
  <c r="J619" i="6"/>
  <c r="J613" i="6"/>
  <c r="J607" i="6"/>
  <c r="J601" i="6"/>
  <c r="J595" i="6"/>
  <c r="J589" i="6"/>
  <c r="J583" i="6"/>
  <c r="J577" i="6"/>
  <c r="J571" i="6"/>
  <c r="J565" i="6"/>
  <c r="J559" i="6"/>
  <c r="J553" i="6"/>
  <c r="J547" i="6"/>
  <c r="J541" i="6"/>
  <c r="J535" i="6"/>
  <c r="J529" i="6"/>
  <c r="J523" i="6"/>
  <c r="J517" i="6"/>
  <c r="J511" i="6"/>
  <c r="J505" i="6"/>
  <c r="J499" i="6"/>
  <c r="J493" i="6"/>
  <c r="J487" i="6"/>
  <c r="J481" i="6"/>
  <c r="J475" i="6"/>
  <c r="J469" i="6"/>
  <c r="J463" i="6"/>
  <c r="J457" i="6"/>
  <c r="J451" i="6"/>
  <c r="J445" i="6"/>
  <c r="J439" i="6"/>
  <c r="J432" i="6"/>
  <c r="J426" i="6"/>
  <c r="J420" i="6"/>
  <c r="J414" i="6"/>
  <c r="J408" i="6"/>
  <c r="J402" i="6"/>
  <c r="J396" i="6"/>
  <c r="J390" i="6"/>
  <c r="J384" i="6"/>
  <c r="J378" i="6"/>
  <c r="J372" i="6"/>
  <c r="J366" i="6"/>
  <c r="J360" i="6"/>
  <c r="J354" i="6"/>
  <c r="J348" i="6"/>
  <c r="J341" i="6"/>
  <c r="J335" i="6"/>
  <c r="J329" i="6"/>
  <c r="J323" i="6"/>
  <c r="J317" i="6"/>
  <c r="J311" i="6"/>
  <c r="J305" i="6"/>
  <c r="J299" i="6"/>
  <c r="J293" i="6"/>
  <c r="J287" i="6"/>
  <c r="J281" i="6"/>
  <c r="J275" i="6"/>
  <c r="J269" i="6"/>
  <c r="J263" i="6"/>
  <c r="J257" i="6"/>
  <c r="J251" i="6"/>
  <c r="J245" i="6"/>
  <c r="J239" i="6"/>
  <c r="J233" i="6"/>
  <c r="J227" i="6"/>
  <c r="J221" i="6"/>
  <c r="J215" i="6"/>
  <c r="J209" i="6"/>
  <c r="J203" i="6"/>
  <c r="J197" i="6"/>
  <c r="J191" i="6"/>
  <c r="J185" i="6"/>
  <c r="J179" i="6"/>
  <c r="J173" i="6"/>
  <c r="J167" i="6"/>
  <c r="J161" i="6"/>
  <c r="J154" i="6"/>
  <c r="J148" i="6"/>
  <c r="J142" i="6"/>
  <c r="J136" i="6"/>
  <c r="J130" i="6"/>
  <c r="J124" i="6"/>
  <c r="J118" i="6"/>
  <c r="J112" i="6"/>
  <c r="J106" i="6"/>
  <c r="J100" i="6"/>
  <c r="J93" i="6"/>
  <c r="J87" i="6"/>
  <c r="J81" i="6"/>
  <c r="J75" i="6"/>
  <c r="J69" i="6"/>
  <c r="J63" i="6"/>
  <c r="J57" i="6"/>
  <c r="J51" i="6"/>
  <c r="J45" i="6"/>
  <c r="J39" i="6"/>
  <c r="J33" i="6"/>
  <c r="J27" i="6"/>
  <c r="J21" i="6"/>
  <c r="J15" i="6"/>
  <c r="J774" i="6"/>
  <c r="J768" i="6"/>
  <c r="J762" i="6"/>
  <c r="J756" i="6"/>
  <c r="J750" i="6"/>
  <c r="J744" i="6"/>
  <c r="J738" i="6"/>
  <c r="J732" i="6"/>
  <c r="J726" i="6"/>
  <c r="J720" i="6"/>
  <c r="J714" i="6"/>
  <c r="J708" i="6"/>
  <c r="J702" i="6"/>
  <c r="J696" i="6"/>
  <c r="J690" i="6"/>
  <c r="J684" i="6"/>
  <c r="J678" i="6"/>
  <c r="J672" i="6"/>
  <c r="J666" i="6"/>
  <c r="J660" i="6"/>
  <c r="J654" i="6"/>
  <c r="J648" i="6"/>
  <c r="J642" i="6"/>
  <c r="J636" i="6"/>
  <c r="J630" i="6"/>
  <c r="J624" i="6"/>
  <c r="J618" i="6"/>
  <c r="J612" i="6"/>
  <c r="J606" i="6"/>
  <c r="J600" i="6"/>
  <c r="J594" i="6"/>
  <c r="J588" i="6"/>
  <c r="J582" i="6"/>
  <c r="J576" i="6"/>
  <c r="J570" i="6"/>
  <c r="J564" i="6"/>
  <c r="J558" i="6"/>
  <c r="J552" i="6"/>
  <c r="J546" i="6"/>
  <c r="J540" i="6"/>
  <c r="J534" i="6"/>
  <c r="J528" i="6"/>
  <c r="J522" i="6"/>
  <c r="J516" i="6"/>
  <c r="J510" i="6"/>
  <c r="J504" i="6"/>
  <c r="J498" i="6"/>
  <c r="J492" i="6"/>
  <c r="J486" i="6"/>
  <c r="J480" i="6"/>
  <c r="J474" i="6"/>
  <c r="J468" i="6"/>
  <c r="J462" i="6"/>
  <c r="J456" i="6"/>
  <c r="J450" i="6"/>
  <c r="J444" i="6"/>
  <c r="J438" i="6"/>
  <c r="J431" i="6"/>
  <c r="J425" i="6"/>
  <c r="J419" i="6"/>
  <c r="J413" i="6"/>
  <c r="J407" i="6"/>
  <c r="J401" i="6"/>
  <c r="J395" i="6"/>
  <c r="J389" i="6"/>
  <c r="J383" i="6"/>
  <c r="J377" i="6"/>
  <c r="J371" i="6"/>
  <c r="J365" i="6"/>
  <c r="J359" i="6"/>
  <c r="J353" i="6"/>
  <c r="J347" i="6"/>
  <c r="J340" i="6"/>
  <c r="J334" i="6"/>
  <c r="J328" i="6"/>
  <c r="J322" i="6"/>
  <c r="J316" i="6"/>
  <c r="J310" i="6"/>
  <c r="J304" i="6"/>
  <c r="J298" i="6"/>
  <c r="J292" i="6"/>
  <c r="J286" i="6"/>
  <c r="J280" i="6"/>
  <c r="J274" i="6"/>
  <c r="J268" i="6"/>
  <c r="J262" i="6"/>
  <c r="J256" i="6"/>
  <c r="J250" i="6"/>
  <c r="J244" i="6"/>
  <c r="J238" i="6"/>
  <c r="J232" i="6"/>
  <c r="J226" i="6"/>
  <c r="J220" i="6"/>
  <c r="J214" i="6"/>
  <c r="J208" i="6"/>
  <c r="J202" i="6"/>
  <c r="J196" i="6"/>
  <c r="J190" i="6"/>
  <c r="J184" i="6"/>
  <c r="J178" i="6"/>
  <c r="J172" i="6"/>
  <c r="J166" i="6"/>
  <c r="J160" i="6"/>
  <c r="J153" i="6"/>
  <c r="J147" i="6"/>
  <c r="J141" i="6"/>
  <c r="J135" i="6"/>
  <c r="J129" i="6"/>
  <c r="J123" i="6"/>
  <c r="J117" i="6"/>
  <c r="J111" i="6"/>
  <c r="J105" i="6"/>
  <c r="J98" i="6"/>
  <c r="J92" i="6"/>
  <c r="J86" i="6"/>
  <c r="J80" i="6"/>
  <c r="J74" i="6"/>
  <c r="J68" i="6"/>
  <c r="J62" i="6"/>
  <c r="J56" i="6"/>
  <c r="J50" i="6"/>
  <c r="J44" i="6"/>
  <c r="J38" i="6"/>
  <c r="J32" i="6"/>
  <c r="J26" i="6"/>
  <c r="J20" i="6"/>
  <c r="J14" i="6"/>
  <c r="J267" i="6"/>
  <c r="J261" i="6"/>
  <c r="J255" i="6"/>
  <c r="J249" i="6"/>
  <c r="J243" i="6"/>
  <c r="J237" i="6"/>
  <c r="J231" i="6"/>
  <c r="J225" i="6"/>
  <c r="J219" i="6"/>
  <c r="J213" i="6"/>
  <c r="J207" i="6"/>
  <c r="J201" i="6"/>
  <c r="J195" i="6"/>
  <c r="J189" i="6"/>
  <c r="J183" i="6"/>
  <c r="J177" i="6"/>
  <c r="J171" i="6"/>
  <c r="J165" i="6"/>
  <c r="J159" i="6"/>
  <c r="J152" i="6"/>
  <c r="J146" i="6"/>
  <c r="J140" i="6"/>
  <c r="J134" i="6"/>
  <c r="J128" i="6"/>
  <c r="J122" i="6"/>
  <c r="J116" i="6"/>
  <c r="J110" i="6"/>
  <c r="J104" i="6"/>
  <c r="J97" i="6"/>
  <c r="J91" i="6"/>
  <c r="J85" i="6"/>
  <c r="J79" i="6"/>
  <c r="J73" i="6"/>
  <c r="J67" i="6"/>
  <c r="J61" i="6"/>
  <c r="J55" i="6"/>
  <c r="J49" i="6"/>
  <c r="J43" i="6"/>
  <c r="J37" i="6"/>
  <c r="J31" i="6"/>
  <c r="J25" i="6"/>
  <c r="J19" i="6"/>
  <c r="AF2" i="22" l="1"/>
  <c r="O2" i="22"/>
  <c r="X2" i="22"/>
  <c r="G2" i="22"/>
  <c r="T2" i="22"/>
  <c r="P2" i="22"/>
  <c r="I2" i="22"/>
  <c r="H2" i="22"/>
  <c r="L2" i="22"/>
  <c r="J2" i="22"/>
  <c r="N2" i="22"/>
  <c r="D39" i="10"/>
  <c r="J13" i="6"/>
  <c r="M2" i="22"/>
  <c r="F2" i="22"/>
  <c r="W14" i="6"/>
  <c r="AF3" i="22" s="1"/>
  <c r="T41" i="9"/>
  <c r="A38" i="9"/>
  <c r="V27" i="5"/>
  <c r="M7" i="16"/>
  <c r="Y27" i="5"/>
  <c r="AC48" i="5"/>
  <c r="AB27" i="5"/>
  <c r="M11" i="16" s="1"/>
  <c r="L16" i="7"/>
  <c r="E16" i="7" s="1"/>
  <c r="D46" i="10"/>
  <c r="N12" i="11"/>
  <c r="D40" i="10"/>
  <c r="T27" i="5"/>
  <c r="L28" i="7"/>
  <c r="E28" i="7" s="1"/>
  <c r="L27" i="7"/>
  <c r="E27" i="7" s="1"/>
  <c r="L14" i="7"/>
  <c r="E14" i="7" s="1"/>
  <c r="AC54" i="5"/>
  <c r="AD27" i="5"/>
  <c r="M12" i="16" s="1"/>
  <c r="L19" i="7"/>
  <c r="E19" i="7" s="1"/>
  <c r="E7" i="10"/>
  <c r="AC60" i="5"/>
  <c r="V28" i="5" s="1"/>
  <c r="AC66" i="5"/>
  <c r="M8" i="16"/>
  <c r="M9" i="16"/>
  <c r="AC72" i="5"/>
  <c r="Y28" i="5"/>
  <c r="M10" i="16"/>
  <c r="AC78" i="5"/>
  <c r="L23" i="7"/>
  <c r="E23" i="7" s="1"/>
  <c r="L17" i="7"/>
  <c r="E17" i="7" s="1"/>
  <c r="L11" i="7"/>
  <c r="E11" i="7" s="1"/>
  <c r="N10" i="11"/>
  <c r="L18" i="7"/>
  <c r="E18" i="7" s="1"/>
  <c r="L25" i="7"/>
  <c r="E25" i="7" s="1"/>
  <c r="L13" i="7"/>
  <c r="E13" i="7" s="1"/>
  <c r="N14" i="11"/>
  <c r="L24" i="7"/>
  <c r="E24" i="7" s="1"/>
  <c r="L20" i="7"/>
  <c r="E20" i="7" s="1"/>
  <c r="L26" i="7"/>
  <c r="E26" i="7" s="1"/>
  <c r="L12" i="7"/>
  <c r="E12" i="7" s="1"/>
  <c r="N13" i="11"/>
  <c r="F7" i="10"/>
  <c r="L22" i="7"/>
  <c r="E22" i="7" s="1"/>
  <c r="L15" i="7"/>
  <c r="E15" i="7" s="1"/>
  <c r="L21" i="7"/>
  <c r="E21" i="7" s="1"/>
  <c r="N11" i="11"/>
  <c r="L9" i="7"/>
  <c r="E9" i="7" s="1"/>
  <c r="L10" i="7"/>
  <c r="E10" i="7" s="1"/>
  <c r="AI14" i="6"/>
  <c r="P12" i="6"/>
  <c r="R12" i="6" s="1"/>
  <c r="F14" i="6"/>
  <c r="F12" i="6"/>
  <c r="N12" i="6"/>
  <c r="F13" i="6"/>
  <c r="AI13" i="6"/>
  <c r="A39" i="9"/>
  <c r="B38" i="9"/>
  <c r="Q3" i="22" l="1"/>
  <c r="Q2" i="22"/>
  <c r="AI16" i="6"/>
  <c r="D38" i="9"/>
  <c r="AB28" i="5"/>
  <c r="AD28" i="5"/>
  <c r="T28" i="5"/>
  <c r="H12" i="6"/>
  <c r="F17" i="6"/>
  <c r="H17" i="6" s="1"/>
  <c r="F16" i="6"/>
  <c r="AI17" i="6"/>
  <c r="M14" i="6"/>
  <c r="AO14" i="6" s="1"/>
  <c r="M15" i="6"/>
  <c r="AO15" i="6" s="1"/>
  <c r="M13" i="6"/>
  <c r="H14" i="6"/>
  <c r="H13" i="6"/>
  <c r="AE12" i="6"/>
  <c r="AD12" i="6"/>
  <c r="A14" i="6"/>
  <c r="A13" i="6"/>
  <c r="K17" i="6"/>
  <c r="A17" i="6"/>
  <c r="K14" i="6"/>
  <c r="V3" i="22" s="1"/>
  <c r="K13" i="6"/>
  <c r="B39" i="9"/>
  <c r="A40" i="9"/>
  <c r="AO13" i="6" l="1"/>
  <c r="V2" i="22"/>
  <c r="R2" i="22"/>
  <c r="S2" i="22"/>
  <c r="AP14" i="6"/>
  <c r="AP13" i="6"/>
  <c r="AP12" i="6"/>
  <c r="D39" i="9"/>
  <c r="L13" i="6"/>
  <c r="Y13" i="6"/>
  <c r="A16" i="6"/>
  <c r="F15" i="6"/>
  <c r="AI15" i="6"/>
  <c r="K16" i="6"/>
  <c r="L16" i="6" s="1"/>
  <c r="AK16" i="6" s="1"/>
  <c r="H16" i="6"/>
  <c r="F20" i="6"/>
  <c r="L17" i="6"/>
  <c r="AK17" i="6" s="1"/>
  <c r="M20" i="6"/>
  <c r="AO20" i="6" s="1"/>
  <c r="L14" i="6"/>
  <c r="M17" i="6"/>
  <c r="AO17" i="6" s="1"/>
  <c r="M18" i="6"/>
  <c r="AO18" i="6" s="1"/>
  <c r="M21" i="6"/>
  <c r="AO21" i="6" s="1"/>
  <c r="M16" i="6"/>
  <c r="AO16" i="6" s="1"/>
  <c r="M19" i="6"/>
  <c r="AO19" i="6" s="1"/>
  <c r="AI19" i="6"/>
  <c r="F19" i="6"/>
  <c r="H18" i="6"/>
  <c r="AJ13" i="6"/>
  <c r="P13" i="6"/>
  <c r="Z2" i="22" s="1"/>
  <c r="N13" i="6"/>
  <c r="U13" i="6" s="1"/>
  <c r="AE2" i="22" s="1"/>
  <c r="Z13" i="6"/>
  <c r="AJ15" i="6"/>
  <c r="N15" i="6"/>
  <c r="Z15" i="6"/>
  <c r="Y15" i="6"/>
  <c r="U15" i="6"/>
  <c r="AE4" i="22" s="1"/>
  <c r="P15" i="6"/>
  <c r="Z4" i="22" s="1"/>
  <c r="Y14" i="6"/>
  <c r="N14" i="6"/>
  <c r="AJ14" i="6"/>
  <c r="Z14" i="6"/>
  <c r="P14" i="6"/>
  <c r="Z3" i="22" s="1"/>
  <c r="B40" i="9"/>
  <c r="A41" i="9"/>
  <c r="T13" i="6" l="1"/>
  <c r="AC2" i="22" s="1"/>
  <c r="AP16" i="6"/>
  <c r="AP19" i="6"/>
  <c r="AP17" i="6"/>
  <c r="AP18" i="6"/>
  <c r="AP15" i="6"/>
  <c r="AP20" i="6"/>
  <c r="D40" i="9"/>
  <c r="AI2" i="22"/>
  <c r="AH3" i="22"/>
  <c r="AI3" i="22"/>
  <c r="AH4" i="22"/>
  <c r="AI4" i="22"/>
  <c r="AH2" i="22"/>
  <c r="H15" i="6"/>
  <c r="AK14" i="6"/>
  <c r="W3" i="22"/>
  <c r="W2" i="22"/>
  <c r="Q4" i="22"/>
  <c r="AK13" i="6"/>
  <c r="AL13" i="6" s="1"/>
  <c r="T14" i="6"/>
  <c r="AC3" i="22" s="1"/>
  <c r="U14" i="6"/>
  <c r="AE3" i="22" s="1"/>
  <c r="T15" i="6"/>
  <c r="A15" i="6"/>
  <c r="AI18" i="6"/>
  <c r="F18" i="6"/>
  <c r="AI20" i="6"/>
  <c r="AJ19" i="6"/>
  <c r="Y19" i="6"/>
  <c r="T19" i="6"/>
  <c r="Z19" i="6"/>
  <c r="U19" i="6"/>
  <c r="P19" i="6"/>
  <c r="R19" i="6" s="1"/>
  <c r="AH19" i="6" s="1"/>
  <c r="N19" i="6"/>
  <c r="T21" i="6"/>
  <c r="Z21" i="6"/>
  <c r="U21" i="6"/>
  <c r="AJ21" i="6"/>
  <c r="Y21" i="6"/>
  <c r="N21" i="6"/>
  <c r="P21" i="6"/>
  <c r="R21" i="6" s="1"/>
  <c r="AH21" i="6" s="1"/>
  <c r="Z17" i="6"/>
  <c r="AJ17" i="6"/>
  <c r="Y17" i="6"/>
  <c r="N17" i="6"/>
  <c r="T17" i="6" s="1"/>
  <c r="P17" i="6"/>
  <c r="R17" i="6" s="1"/>
  <c r="AH17" i="6" s="1"/>
  <c r="AJ16" i="6"/>
  <c r="Z16" i="6"/>
  <c r="Y16" i="6"/>
  <c r="P16" i="6"/>
  <c r="R16" i="6" s="1"/>
  <c r="AH16" i="6" s="1"/>
  <c r="N16" i="6"/>
  <c r="Z18" i="6"/>
  <c r="P18" i="6"/>
  <c r="R18" i="6" s="1"/>
  <c r="AH18" i="6" s="1"/>
  <c r="U18" i="6"/>
  <c r="Y18" i="6"/>
  <c r="T18" i="6"/>
  <c r="AJ18" i="6"/>
  <c r="N18" i="6"/>
  <c r="Y20" i="6"/>
  <c r="T20" i="6"/>
  <c r="AJ20" i="6"/>
  <c r="U20" i="6"/>
  <c r="Z20" i="6"/>
  <c r="P20" i="6"/>
  <c r="R20" i="6" s="1"/>
  <c r="AH20" i="6" s="1"/>
  <c r="N20" i="6"/>
  <c r="H20" i="6"/>
  <c r="K19" i="6"/>
  <c r="A19" i="6"/>
  <c r="H19" i="6"/>
  <c r="R13" i="6"/>
  <c r="AA2" i="22" s="1"/>
  <c r="R14" i="6"/>
  <c r="R15" i="6"/>
  <c r="K15" i="6"/>
  <c r="B41" i="9"/>
  <c r="A42" i="9"/>
  <c r="D41" i="9" l="1"/>
  <c r="V4" i="22"/>
  <c r="AC4" i="22"/>
  <c r="AH14" i="6"/>
  <c r="AA3" i="22"/>
  <c r="AH15" i="6"/>
  <c r="AA4" i="22"/>
  <c r="AM14" i="6"/>
  <c r="AM13" i="6"/>
  <c r="T16" i="6"/>
  <c r="U16" i="6"/>
  <c r="U17" i="6"/>
  <c r="L15" i="6"/>
  <c r="W4" i="22" s="1"/>
  <c r="AL14" i="6"/>
  <c r="A20" i="6"/>
  <c r="F21" i="6"/>
  <c r="AI21" i="6"/>
  <c r="K18" i="6"/>
  <c r="L18" i="6" s="1"/>
  <c r="A18" i="6"/>
  <c r="K20" i="6"/>
  <c r="L20" i="6" s="1"/>
  <c r="AM17" i="6"/>
  <c r="AA16" i="6"/>
  <c r="AD19" i="6"/>
  <c r="AE19" i="6"/>
  <c r="M24" i="6"/>
  <c r="AO24" i="6" s="1"/>
  <c r="L19" i="6"/>
  <c r="M22" i="6"/>
  <c r="AO22" i="6" s="1"/>
  <c r="M23" i="6"/>
  <c r="AO23" i="6" s="1"/>
  <c r="AE20" i="6"/>
  <c r="AD20" i="6"/>
  <c r="AD18" i="6"/>
  <c r="AE18" i="6"/>
  <c r="AE17" i="6"/>
  <c r="AA17" i="6"/>
  <c r="AE21" i="6"/>
  <c r="AD21" i="6"/>
  <c r="AI23" i="6"/>
  <c r="F23" i="6"/>
  <c r="AI22" i="6"/>
  <c r="F22" i="6"/>
  <c r="H21" i="6"/>
  <c r="AD15" i="6"/>
  <c r="AE15" i="6"/>
  <c r="AH13" i="6"/>
  <c r="AD13" i="6"/>
  <c r="AE13" i="6"/>
  <c r="AM2" i="22" s="1"/>
  <c r="AA13" i="6"/>
  <c r="AD14" i="6"/>
  <c r="AE14" i="6"/>
  <c r="AM3" i="22" s="1"/>
  <c r="AA14" i="6"/>
  <c r="A43" i="9"/>
  <c r="B42" i="9"/>
  <c r="AP22" i="6" l="1"/>
  <c r="AP23" i="6"/>
  <c r="AP21" i="6"/>
  <c r="AK20" i="6"/>
  <c r="AM20" i="6" s="1"/>
  <c r="D42" i="9"/>
  <c r="AL2" i="22"/>
  <c r="AL4" i="22"/>
  <c r="AL3" i="22"/>
  <c r="AM4" i="22"/>
  <c r="AL17" i="6"/>
  <c r="AK15" i="6"/>
  <c r="AM15" i="6" s="1"/>
  <c r="AE16" i="6"/>
  <c r="AD17" i="6"/>
  <c r="AM16" i="6"/>
  <c r="AD16" i="6"/>
  <c r="AL16" i="6"/>
  <c r="AA15" i="6"/>
  <c r="AC15" i="6" s="1"/>
  <c r="K23" i="6"/>
  <c r="L23" i="6" s="1"/>
  <c r="AK23" i="6" s="1"/>
  <c r="K21" i="6"/>
  <c r="L21" i="6" s="1"/>
  <c r="K22" i="6"/>
  <c r="L22" i="6" s="1"/>
  <c r="AK18" i="6"/>
  <c r="AA18" i="6"/>
  <c r="AC18" i="6" s="1"/>
  <c r="AK19" i="6"/>
  <c r="AM19" i="6" s="1"/>
  <c r="A21" i="6"/>
  <c r="AA19" i="6"/>
  <c r="AA20" i="6"/>
  <c r="M26" i="6"/>
  <c r="AO26" i="6" s="1"/>
  <c r="Y24" i="6"/>
  <c r="T24" i="6"/>
  <c r="AJ24" i="6"/>
  <c r="U24" i="6"/>
  <c r="Z24" i="6"/>
  <c r="P24" i="6"/>
  <c r="R24" i="6" s="1"/>
  <c r="AH24" i="6" s="1"/>
  <c r="N24" i="6"/>
  <c r="AC16" i="6"/>
  <c r="AB16" i="6"/>
  <c r="Z23" i="6"/>
  <c r="P23" i="6"/>
  <c r="R23" i="6" s="1"/>
  <c r="AH23" i="6" s="1"/>
  <c r="T23" i="6"/>
  <c r="AJ23" i="6"/>
  <c r="N23" i="6"/>
  <c r="U23" i="6"/>
  <c r="Y23" i="6"/>
  <c r="AJ22" i="6"/>
  <c r="U22" i="6"/>
  <c r="Z22" i="6"/>
  <c r="Y22" i="6"/>
  <c r="T22" i="6"/>
  <c r="P22" i="6"/>
  <c r="R22" i="6" s="1"/>
  <c r="AH22" i="6" s="1"/>
  <c r="N22" i="6"/>
  <c r="M25" i="6"/>
  <c r="AO25" i="6" s="1"/>
  <c r="AB17" i="6"/>
  <c r="AC17" i="6"/>
  <c r="A23" i="6"/>
  <c r="AI24" i="6"/>
  <c r="F24" i="6"/>
  <c r="H22" i="6"/>
  <c r="A22" i="6"/>
  <c r="H23" i="6"/>
  <c r="AC13" i="6"/>
  <c r="AB13" i="6"/>
  <c r="AC14" i="6"/>
  <c r="AB14" i="6"/>
  <c r="A44" i="9"/>
  <c r="B43" i="9"/>
  <c r="AP24" i="6" l="1"/>
  <c r="AP25" i="6"/>
  <c r="D43" i="9"/>
  <c r="C38" i="9"/>
  <c r="AL15" i="6"/>
  <c r="AB15" i="6"/>
  <c r="AL20" i="6"/>
  <c r="AL19" i="6"/>
  <c r="AB18" i="6"/>
  <c r="AF18" i="6" s="1"/>
  <c r="K24" i="6"/>
  <c r="L24" i="6" s="1"/>
  <c r="AK21" i="6"/>
  <c r="AA21" i="6"/>
  <c r="AC21" i="6" s="1"/>
  <c r="AM18" i="6"/>
  <c r="AL18" i="6"/>
  <c r="AB20" i="6"/>
  <c r="AB19" i="6"/>
  <c r="AA22" i="6"/>
  <c r="AB22" i="6" s="1"/>
  <c r="AC20" i="6"/>
  <c r="AC19" i="6"/>
  <c r="AA23" i="6"/>
  <c r="AK22" i="6"/>
  <c r="AM22" i="6" s="1"/>
  <c r="AE24" i="6"/>
  <c r="AD24" i="6"/>
  <c r="M27" i="6"/>
  <c r="AO27" i="6" s="1"/>
  <c r="AD23" i="6"/>
  <c r="AE23" i="6"/>
  <c r="AG16" i="6"/>
  <c r="P13" i="11" s="1"/>
  <c r="AD22" i="6"/>
  <c r="AE22" i="6"/>
  <c r="AG18" i="6"/>
  <c r="P15" i="11" s="1"/>
  <c r="U26" i="6"/>
  <c r="T26" i="6"/>
  <c r="P26" i="6"/>
  <c r="R26" i="6" s="1"/>
  <c r="AH26" i="6" s="1"/>
  <c r="Z26" i="6"/>
  <c r="Y26" i="6"/>
  <c r="AJ26" i="6"/>
  <c r="N26" i="6"/>
  <c r="AG17" i="6"/>
  <c r="P14" i="11" s="1"/>
  <c r="AJ25" i="6"/>
  <c r="P25" i="6"/>
  <c r="R25" i="6" s="1"/>
  <c r="AH25" i="6" s="1"/>
  <c r="Y25" i="6"/>
  <c r="T25" i="6"/>
  <c r="N25" i="6"/>
  <c r="Z25" i="6"/>
  <c r="U25" i="6"/>
  <c r="AF17" i="6"/>
  <c r="AF16" i="6"/>
  <c r="AM23" i="6"/>
  <c r="AL23" i="6"/>
  <c r="A24" i="6"/>
  <c r="AI26" i="6"/>
  <c r="F26" i="6"/>
  <c r="AI25" i="6"/>
  <c r="F25" i="6"/>
  <c r="H24" i="6"/>
  <c r="AF13" i="6"/>
  <c r="AG15" i="6"/>
  <c r="AG13" i="6"/>
  <c r="AG14" i="6"/>
  <c r="AF14" i="6"/>
  <c r="B44" i="9"/>
  <c r="A45" i="9"/>
  <c r="AP26" i="6" l="1"/>
  <c r="AN2" i="22"/>
  <c r="Q10" i="11"/>
  <c r="Q13" i="11"/>
  <c r="R13" i="11" s="1"/>
  <c r="Q14" i="11"/>
  <c r="R14" i="11" s="1"/>
  <c r="AN3" i="22"/>
  <c r="Q11" i="11"/>
  <c r="Q15" i="11"/>
  <c r="R15" i="11" s="1"/>
  <c r="C39" i="9"/>
  <c r="D44" i="9"/>
  <c r="AO3" i="22"/>
  <c r="AK3" i="22"/>
  <c r="AK2" i="22"/>
  <c r="AO2" i="22"/>
  <c r="P12" i="11"/>
  <c r="AO4" i="22"/>
  <c r="AK4" i="22"/>
  <c r="P11" i="11"/>
  <c r="P10" i="11"/>
  <c r="AF15" i="6"/>
  <c r="Q12" i="11" s="1"/>
  <c r="AG20" i="6"/>
  <c r="AG21" i="6"/>
  <c r="P18" i="11" s="1"/>
  <c r="K25" i="6"/>
  <c r="L25" i="6" s="1"/>
  <c r="K26" i="6"/>
  <c r="L26" i="6" s="1"/>
  <c r="AM21" i="6"/>
  <c r="AL21" i="6"/>
  <c r="AA24" i="6"/>
  <c r="AB21" i="6"/>
  <c r="AF21" i="6" s="1"/>
  <c r="AB23" i="6"/>
  <c r="AC23" i="6"/>
  <c r="AK24" i="6"/>
  <c r="AM24" i="6" s="1"/>
  <c r="AL22" i="6"/>
  <c r="AC22" i="6"/>
  <c r="AF20" i="6"/>
  <c r="AF19" i="6"/>
  <c r="AG19" i="6"/>
  <c r="M28" i="6"/>
  <c r="AO28" i="6" s="1"/>
  <c r="AD25" i="6"/>
  <c r="AE25" i="6"/>
  <c r="M29" i="6"/>
  <c r="AO29" i="6" s="1"/>
  <c r="A25" i="6"/>
  <c r="AE26" i="6"/>
  <c r="AD26" i="6"/>
  <c r="U27" i="6"/>
  <c r="Z27" i="6"/>
  <c r="T27" i="6"/>
  <c r="Y27" i="6"/>
  <c r="AJ27" i="6"/>
  <c r="P27" i="6"/>
  <c r="R27" i="6" s="1"/>
  <c r="AH27" i="6" s="1"/>
  <c r="N27" i="6"/>
  <c r="A26" i="6"/>
  <c r="H26" i="6"/>
  <c r="AF22" i="6"/>
  <c r="AI27" i="6"/>
  <c r="F27" i="6"/>
  <c r="H25" i="6"/>
  <c r="B45" i="9"/>
  <c r="A46" i="9"/>
  <c r="R11" i="11" l="1"/>
  <c r="R12" i="11"/>
  <c r="R10" i="11"/>
  <c r="AP27" i="6"/>
  <c r="AP28" i="6"/>
  <c r="Q19" i="11"/>
  <c r="Q16" i="11"/>
  <c r="Q17" i="11"/>
  <c r="Q18" i="11"/>
  <c r="R18" i="11" s="1"/>
  <c r="C40" i="9"/>
  <c r="D45" i="9"/>
  <c r="AN4" i="22"/>
  <c r="AB24" i="6"/>
  <c r="P16" i="11"/>
  <c r="P17" i="11"/>
  <c r="AC24" i="6"/>
  <c r="AG24" i="6" s="1"/>
  <c r="P21" i="11" s="1"/>
  <c r="AL24" i="6"/>
  <c r="K27" i="6"/>
  <c r="L27" i="6" s="1"/>
  <c r="AK26" i="6"/>
  <c r="AM26" i="6" s="1"/>
  <c r="AA25" i="6"/>
  <c r="AB25" i="6" s="1"/>
  <c r="AF23" i="6"/>
  <c r="AG23" i="6"/>
  <c r="AG22" i="6"/>
  <c r="AA26" i="6"/>
  <c r="AC26" i="6" s="1"/>
  <c r="AK25" i="6"/>
  <c r="AL25" i="6" s="1"/>
  <c r="Z29" i="6"/>
  <c r="P29" i="6"/>
  <c r="R29" i="6" s="1"/>
  <c r="AH29" i="6" s="1"/>
  <c r="T29" i="6"/>
  <c r="Y29" i="6"/>
  <c r="AJ29" i="6"/>
  <c r="U29" i="6"/>
  <c r="N29" i="6"/>
  <c r="AD27" i="6"/>
  <c r="AE27" i="6"/>
  <c r="U28" i="6"/>
  <c r="T28" i="6"/>
  <c r="AJ28" i="6"/>
  <c r="Y28" i="6"/>
  <c r="Z28" i="6"/>
  <c r="N28" i="6"/>
  <c r="P28" i="6"/>
  <c r="R28" i="6" s="1"/>
  <c r="AH28" i="6" s="1"/>
  <c r="M30" i="6"/>
  <c r="AO30" i="6" s="1"/>
  <c r="AI28" i="6"/>
  <c r="F28" i="6"/>
  <c r="A27" i="6"/>
  <c r="H27" i="6"/>
  <c r="F29" i="6"/>
  <c r="AI29" i="6"/>
  <c r="A47" i="9"/>
  <c r="B46" i="9"/>
  <c r="R17" i="11" l="1"/>
  <c r="R16" i="11"/>
  <c r="AP29" i="6"/>
  <c r="Q20" i="11"/>
  <c r="C41" i="9"/>
  <c r="D46" i="9"/>
  <c r="AF24" i="6"/>
  <c r="P19" i="11"/>
  <c r="R19" i="11" s="1"/>
  <c r="P20" i="11"/>
  <c r="AC25" i="6"/>
  <c r="K29" i="6"/>
  <c r="L29" i="6" s="1"/>
  <c r="K28" i="6"/>
  <c r="L28" i="6" s="1"/>
  <c r="AL26" i="6"/>
  <c r="AA27" i="6"/>
  <c r="AC27" i="6" s="1"/>
  <c r="AM25" i="6"/>
  <c r="AK27" i="6"/>
  <c r="AM27" i="6" s="1"/>
  <c r="AB26" i="6"/>
  <c r="AF26" i="6" s="1"/>
  <c r="M31" i="6"/>
  <c r="AO31" i="6" s="1"/>
  <c r="AE28" i="6"/>
  <c r="AD28" i="6"/>
  <c r="M32" i="6"/>
  <c r="AO32" i="6" s="1"/>
  <c r="U30" i="6"/>
  <c r="P30" i="6"/>
  <c r="R30" i="6" s="1"/>
  <c r="AH30" i="6" s="1"/>
  <c r="N30" i="6"/>
  <c r="Z30" i="6"/>
  <c r="Y30" i="6"/>
  <c r="T30" i="6"/>
  <c r="AJ30" i="6"/>
  <c r="AD29" i="6"/>
  <c r="AE29" i="6"/>
  <c r="AF25" i="6"/>
  <c r="A28" i="6"/>
  <c r="F30" i="6"/>
  <c r="AI30" i="6"/>
  <c r="AG26" i="6"/>
  <c r="P23" i="11" s="1"/>
  <c r="H28" i="6"/>
  <c r="H29" i="6"/>
  <c r="A29" i="6"/>
  <c r="A48" i="9"/>
  <c r="B47" i="9"/>
  <c r="R20" i="11" l="1"/>
  <c r="AP31" i="6"/>
  <c r="AP30" i="6"/>
  <c r="Q21" i="11"/>
  <c r="R21" i="11" s="1"/>
  <c r="Q22" i="11"/>
  <c r="Q23" i="11"/>
  <c r="R23" i="11" s="1"/>
  <c r="C42" i="9"/>
  <c r="D47" i="9"/>
  <c r="AG25" i="6"/>
  <c r="P22" i="11" s="1"/>
  <c r="AB27" i="6"/>
  <c r="AF27" i="6" s="1"/>
  <c r="AL27" i="6"/>
  <c r="K30" i="6"/>
  <c r="L30" i="6" s="1"/>
  <c r="AA28" i="6"/>
  <c r="AC28" i="6" s="1"/>
  <c r="AK29" i="6"/>
  <c r="AL29" i="6" s="1"/>
  <c r="AK28" i="6"/>
  <c r="AL28" i="6" s="1"/>
  <c r="AA29" i="6"/>
  <c r="AD30" i="6"/>
  <c r="AE30" i="6"/>
  <c r="U32" i="6"/>
  <c r="T32" i="6"/>
  <c r="P32" i="6"/>
  <c r="R32" i="6" s="1"/>
  <c r="AH32" i="6" s="1"/>
  <c r="AJ32" i="6"/>
  <c r="Z32" i="6"/>
  <c r="N32" i="6"/>
  <c r="Y32" i="6"/>
  <c r="M33" i="6"/>
  <c r="AO33" i="6" s="1"/>
  <c r="U31" i="6"/>
  <c r="Z31" i="6"/>
  <c r="Y31" i="6"/>
  <c r="AJ31" i="6"/>
  <c r="N31" i="6"/>
  <c r="T31" i="6"/>
  <c r="P31" i="6"/>
  <c r="R31" i="6" s="1"/>
  <c r="AH31" i="6" s="1"/>
  <c r="AI31" i="6"/>
  <c r="F31" i="6"/>
  <c r="H30" i="6"/>
  <c r="AG27" i="6"/>
  <c r="P24" i="11" s="1"/>
  <c r="AI32" i="6"/>
  <c r="F32" i="6"/>
  <c r="A30" i="6"/>
  <c r="B48" i="9"/>
  <c r="A49" i="9"/>
  <c r="R22" i="11" l="1"/>
  <c r="AP32" i="6"/>
  <c r="Q24" i="11"/>
  <c r="R24" i="11" s="1"/>
  <c r="D48" i="9"/>
  <c r="C43" i="9"/>
  <c r="AM29" i="6"/>
  <c r="AB28" i="6"/>
  <c r="AF28" i="6" s="1"/>
  <c r="K32" i="6"/>
  <c r="L32" i="6" s="1"/>
  <c r="K31" i="6"/>
  <c r="L31" i="6" s="1"/>
  <c r="AK30" i="6"/>
  <c r="AL30" i="6" s="1"/>
  <c r="AA30" i="6"/>
  <c r="AB30" i="6" s="1"/>
  <c r="AM28" i="6"/>
  <c r="AC29" i="6"/>
  <c r="AG29" i="6" s="1"/>
  <c r="P26" i="11" s="1"/>
  <c r="AB29" i="6"/>
  <c r="AD31" i="6"/>
  <c r="AE31" i="6"/>
  <c r="AE32" i="6"/>
  <c r="AD32" i="6"/>
  <c r="M34" i="6"/>
  <c r="AO34" i="6" s="1"/>
  <c r="M35" i="6"/>
  <c r="AO35" i="6" s="1"/>
  <c r="Y33" i="6"/>
  <c r="P33" i="6"/>
  <c r="R33" i="6" s="1"/>
  <c r="AH33" i="6" s="1"/>
  <c r="U33" i="6"/>
  <c r="N33" i="6"/>
  <c r="Z33" i="6"/>
  <c r="T33" i="6"/>
  <c r="AJ33" i="6"/>
  <c r="AI33" i="6"/>
  <c r="F33" i="6"/>
  <c r="H32" i="6"/>
  <c r="A31" i="6"/>
  <c r="AG28" i="6"/>
  <c r="P25" i="11" s="1"/>
  <c r="A32" i="6"/>
  <c r="H31" i="6"/>
  <c r="B49" i="9"/>
  <c r="A50" i="9"/>
  <c r="AP34" i="6" l="1"/>
  <c r="AP33" i="6"/>
  <c r="Q25" i="11"/>
  <c r="R25" i="11" s="1"/>
  <c r="D49" i="9"/>
  <c r="C44" i="9"/>
  <c r="AM30" i="6"/>
  <c r="K33" i="6"/>
  <c r="L33" i="6" s="1"/>
  <c r="AK31" i="6"/>
  <c r="AL31" i="6" s="1"/>
  <c r="AK32" i="6"/>
  <c r="AL32" i="6" s="1"/>
  <c r="AC30" i="6"/>
  <c r="AF29" i="6"/>
  <c r="AA32" i="6"/>
  <c r="AC32" i="6" s="1"/>
  <c r="AA31" i="6"/>
  <c r="AC31" i="6" s="1"/>
  <c r="A33" i="6"/>
  <c r="Z35" i="6"/>
  <c r="Y35" i="6"/>
  <c r="P35" i="6"/>
  <c r="R35" i="6" s="1"/>
  <c r="AH35" i="6" s="1"/>
  <c r="AJ35" i="6"/>
  <c r="N35" i="6"/>
  <c r="U35" i="6"/>
  <c r="T35" i="6"/>
  <c r="AD33" i="6"/>
  <c r="AE33" i="6"/>
  <c r="Z34" i="6"/>
  <c r="AJ34" i="6"/>
  <c r="P34" i="6"/>
  <c r="R34" i="6" s="1"/>
  <c r="AH34" i="6" s="1"/>
  <c r="U34" i="6"/>
  <c r="Y34" i="6"/>
  <c r="T34" i="6"/>
  <c r="N34" i="6"/>
  <c r="M36" i="6"/>
  <c r="AO36" i="6" s="1"/>
  <c r="AI34" i="6"/>
  <c r="F34" i="6"/>
  <c r="H33" i="6"/>
  <c r="AI35" i="6"/>
  <c r="F35" i="6"/>
  <c r="AF30" i="6"/>
  <c r="Q27" i="11" s="1"/>
  <c r="B50" i="9"/>
  <c r="A51" i="9"/>
  <c r="AP35" i="6" l="1"/>
  <c r="Q26" i="11"/>
  <c r="R26" i="11" s="1"/>
  <c r="C45" i="9"/>
  <c r="D50" i="9"/>
  <c r="AG30" i="6"/>
  <c r="AM32" i="6"/>
  <c r="K34" i="6"/>
  <c r="L34" i="6" s="1"/>
  <c r="K35" i="6"/>
  <c r="L35" i="6" s="1"/>
  <c r="AM31" i="6"/>
  <c r="AK33" i="6"/>
  <c r="AL33" i="6" s="1"/>
  <c r="AB32" i="6"/>
  <c r="AF32" i="6" s="1"/>
  <c r="AA33" i="6"/>
  <c r="AC33" i="6" s="1"/>
  <c r="AB31" i="6"/>
  <c r="AF31" i="6" s="1"/>
  <c r="M38" i="6"/>
  <c r="AO38" i="6" s="1"/>
  <c r="N36" i="6"/>
  <c r="T36" i="6"/>
  <c r="Z36" i="6"/>
  <c r="AJ36" i="6"/>
  <c r="P36" i="6"/>
  <c r="R36" i="6" s="1"/>
  <c r="AH36" i="6" s="1"/>
  <c r="Y36" i="6"/>
  <c r="U36" i="6"/>
  <c r="A34" i="6"/>
  <c r="M37" i="6"/>
  <c r="AO37" i="6" s="1"/>
  <c r="AD35" i="6"/>
  <c r="AE35" i="6"/>
  <c r="AD34" i="6"/>
  <c r="AE34" i="6"/>
  <c r="H35" i="6"/>
  <c r="H34" i="6"/>
  <c r="AG31" i="6"/>
  <c r="P28" i="11" s="1"/>
  <c r="AI36" i="6"/>
  <c r="F36" i="6"/>
  <c r="AG32" i="6"/>
  <c r="P29" i="11" s="1"/>
  <c r="A35" i="6"/>
  <c r="B51" i="9"/>
  <c r="A52" i="9"/>
  <c r="AP36" i="6" l="1"/>
  <c r="AP37" i="6"/>
  <c r="Q28" i="11"/>
  <c r="R28" i="11" s="1"/>
  <c r="Q29" i="11"/>
  <c r="R29" i="11" s="1"/>
  <c r="D51" i="9"/>
  <c r="C46" i="9"/>
  <c r="P27" i="11"/>
  <c r="R27" i="11" s="1"/>
  <c r="AM33" i="6"/>
  <c r="K36" i="6"/>
  <c r="L36" i="6" s="1"/>
  <c r="AK35" i="6"/>
  <c r="AL35" i="6" s="1"/>
  <c r="AA34" i="6"/>
  <c r="AB34" i="6" s="1"/>
  <c r="AB33" i="6"/>
  <c r="AK34" i="6"/>
  <c r="AL34" i="6" s="1"/>
  <c r="AA35" i="6"/>
  <c r="M39" i="6"/>
  <c r="AO39" i="6" s="1"/>
  <c r="AE36" i="6"/>
  <c r="AD36" i="6"/>
  <c r="U38" i="6"/>
  <c r="N38" i="6"/>
  <c r="P38" i="6"/>
  <c r="R38" i="6" s="1"/>
  <c r="AH38" i="6" s="1"/>
  <c r="T38" i="6"/>
  <c r="AJ38" i="6"/>
  <c r="Y38" i="6"/>
  <c r="Z38" i="6"/>
  <c r="AJ37" i="6"/>
  <c r="P37" i="6"/>
  <c r="R37" i="6" s="1"/>
  <c r="AH37" i="6" s="1"/>
  <c r="T37" i="6"/>
  <c r="U37" i="6"/>
  <c r="N37" i="6"/>
  <c r="Y37" i="6"/>
  <c r="Z37" i="6"/>
  <c r="H36" i="6"/>
  <c r="AI38" i="6"/>
  <c r="F38" i="6"/>
  <c r="AG33" i="6"/>
  <c r="P30" i="11" s="1"/>
  <c r="F37" i="6"/>
  <c r="AI37" i="6"/>
  <c r="A36" i="6"/>
  <c r="A53" i="9"/>
  <c r="B52" i="9"/>
  <c r="AP38" i="6" l="1"/>
  <c r="C47" i="9"/>
  <c r="D52" i="9"/>
  <c r="AM35" i="6"/>
  <c r="AC34" i="6"/>
  <c r="AG34" i="6" s="1"/>
  <c r="P31" i="11" s="1"/>
  <c r="K38" i="6"/>
  <c r="L38" i="6" s="1"/>
  <c r="K37" i="6"/>
  <c r="L37" i="6" s="1"/>
  <c r="AK36" i="6"/>
  <c r="AM36" i="6" s="1"/>
  <c r="AF33" i="6"/>
  <c r="AA36" i="6"/>
  <c r="AC36" i="6" s="1"/>
  <c r="AC35" i="6"/>
  <c r="AB35" i="6"/>
  <c r="AF35" i="6" s="1"/>
  <c r="AM34" i="6"/>
  <c r="AE38" i="6"/>
  <c r="AD38" i="6"/>
  <c r="M40" i="6"/>
  <c r="AO40" i="6" s="1"/>
  <c r="M41" i="6"/>
  <c r="AO41" i="6" s="1"/>
  <c r="AJ39" i="6"/>
  <c r="N39" i="6"/>
  <c r="Z39" i="6"/>
  <c r="Y39" i="6"/>
  <c r="T39" i="6"/>
  <c r="U39" i="6"/>
  <c r="P39" i="6"/>
  <c r="R39" i="6" s="1"/>
  <c r="AH39" i="6" s="1"/>
  <c r="AE37" i="6"/>
  <c r="AD37" i="6"/>
  <c r="H38" i="6"/>
  <c r="H37" i="6"/>
  <c r="A37" i="6"/>
  <c r="AF34" i="6"/>
  <c r="A38" i="6"/>
  <c r="AI39" i="6"/>
  <c r="F39" i="6"/>
  <c r="B53" i="9"/>
  <c r="A54" i="9"/>
  <c r="AP39" i="6" l="1"/>
  <c r="AP40" i="6"/>
  <c r="Q30" i="11"/>
  <c r="R30" i="11" s="1"/>
  <c r="Q31" i="11"/>
  <c r="R31" i="11" s="1"/>
  <c r="Q32" i="11"/>
  <c r="C48" i="9"/>
  <c r="D53" i="9"/>
  <c r="AL36" i="6"/>
  <c r="K39" i="6"/>
  <c r="L39" i="6" s="1"/>
  <c r="AK38" i="6"/>
  <c r="AM38" i="6" s="1"/>
  <c r="AK37" i="6"/>
  <c r="AM37" i="6" s="1"/>
  <c r="AB36" i="6"/>
  <c r="AA37" i="6"/>
  <c r="AG35" i="6"/>
  <c r="AA38" i="6"/>
  <c r="M42" i="6"/>
  <c r="AO42" i="6" s="1"/>
  <c r="Y40" i="6"/>
  <c r="P40" i="6"/>
  <c r="R40" i="6" s="1"/>
  <c r="AH40" i="6" s="1"/>
  <c r="T40" i="6"/>
  <c r="Z40" i="6"/>
  <c r="AJ40" i="6"/>
  <c r="U40" i="6"/>
  <c r="N40" i="6"/>
  <c r="AE39" i="6"/>
  <c r="AD39" i="6"/>
  <c r="U41" i="6"/>
  <c r="AJ41" i="6"/>
  <c r="Z41" i="6"/>
  <c r="Y41" i="6"/>
  <c r="T41" i="6"/>
  <c r="N41" i="6"/>
  <c r="P41" i="6"/>
  <c r="R41" i="6" s="1"/>
  <c r="AH41" i="6" s="1"/>
  <c r="H39" i="6"/>
  <c r="AG36" i="6"/>
  <c r="P33" i="11" s="1"/>
  <c r="A39" i="6"/>
  <c r="AI40" i="6"/>
  <c r="F40" i="6"/>
  <c r="AI41" i="6"/>
  <c r="F41" i="6"/>
  <c r="A55" i="9"/>
  <c r="B54" i="9"/>
  <c r="AP41" i="6" l="1"/>
  <c r="D54" i="9"/>
  <c r="C49" i="9"/>
  <c r="P32" i="11"/>
  <c r="R32" i="11" s="1"/>
  <c r="AL38" i="6"/>
  <c r="AL37" i="6"/>
  <c r="K40" i="6"/>
  <c r="L40" i="6" s="1"/>
  <c r="K41" i="6"/>
  <c r="L41" i="6" s="1"/>
  <c r="AK39" i="6"/>
  <c r="AM39" i="6" s="1"/>
  <c r="AF36" i="6"/>
  <c r="AA39" i="6"/>
  <c r="AB39" i="6" s="1"/>
  <c r="AB38" i="6"/>
  <c r="AF38" i="6" s="1"/>
  <c r="AC37" i="6"/>
  <c r="AB37" i="6"/>
  <c r="AF37" i="6" s="1"/>
  <c r="AC38" i="6"/>
  <c r="AD40" i="6"/>
  <c r="AE40" i="6"/>
  <c r="M43" i="6"/>
  <c r="AO43" i="6" s="1"/>
  <c r="AE41" i="6"/>
  <c r="AD41" i="6"/>
  <c r="AJ42" i="6"/>
  <c r="U42" i="6"/>
  <c r="N42" i="6"/>
  <c r="Z42" i="6"/>
  <c r="T42" i="6"/>
  <c r="Y42" i="6"/>
  <c r="P42" i="6"/>
  <c r="R42" i="6" s="1"/>
  <c r="AH42" i="6" s="1"/>
  <c r="M44" i="6"/>
  <c r="AO44" i="6" s="1"/>
  <c r="H41" i="6"/>
  <c r="H40" i="6"/>
  <c r="A41" i="6"/>
  <c r="A40" i="6"/>
  <c r="AI42" i="6"/>
  <c r="F42" i="6"/>
  <c r="B55" i="9"/>
  <c r="A56" i="9"/>
  <c r="AP43" i="6" l="1"/>
  <c r="AP42" i="6"/>
  <c r="Q33" i="11"/>
  <c r="R33" i="11" s="1"/>
  <c r="Q35" i="11"/>
  <c r="Q34" i="11"/>
  <c r="D55" i="9"/>
  <c r="C50" i="9"/>
  <c r="AL39" i="6"/>
  <c r="K42" i="6"/>
  <c r="L42" i="6" s="1"/>
  <c r="AK41" i="6"/>
  <c r="AM41" i="6" s="1"/>
  <c r="AK40" i="6"/>
  <c r="AM40" i="6" s="1"/>
  <c r="AC39" i="6"/>
  <c r="AG39" i="6" s="1"/>
  <c r="P36" i="11" s="1"/>
  <c r="AG37" i="6"/>
  <c r="P34" i="11" s="1"/>
  <c r="AG38" i="6"/>
  <c r="AA40" i="6"/>
  <c r="U44" i="6"/>
  <c r="AJ44" i="6"/>
  <c r="T44" i="6"/>
  <c r="Y44" i="6"/>
  <c r="Z44" i="6"/>
  <c r="P44" i="6"/>
  <c r="R44" i="6" s="1"/>
  <c r="AH44" i="6" s="1"/>
  <c r="N44" i="6"/>
  <c r="Y43" i="6"/>
  <c r="P43" i="6"/>
  <c r="R43" i="6" s="1"/>
  <c r="AH43" i="6" s="1"/>
  <c r="T43" i="6"/>
  <c r="AJ43" i="6"/>
  <c r="Z43" i="6"/>
  <c r="U43" i="6"/>
  <c r="N43" i="6"/>
  <c r="A42" i="6"/>
  <c r="M45" i="6"/>
  <c r="AO45" i="6" s="1"/>
  <c r="AA41" i="6"/>
  <c r="AC41" i="6" s="1"/>
  <c r="AE42" i="6"/>
  <c r="AD42" i="6"/>
  <c r="AI43" i="6"/>
  <c r="F43" i="6"/>
  <c r="AI44" i="6"/>
  <c r="F44" i="6"/>
  <c r="AF39" i="6"/>
  <c r="H42" i="6"/>
  <c r="B56" i="9"/>
  <c r="A57" i="9"/>
  <c r="R34" i="11" l="1"/>
  <c r="AP44" i="6"/>
  <c r="Q36" i="11"/>
  <c r="R36" i="11" s="1"/>
  <c r="D56" i="9"/>
  <c r="C51" i="9"/>
  <c r="P35" i="11"/>
  <c r="R35" i="11" s="1"/>
  <c r="AL41" i="6"/>
  <c r="AL40" i="6"/>
  <c r="K44" i="6"/>
  <c r="L44" i="6" s="1"/>
  <c r="K43" i="6"/>
  <c r="L43" i="6" s="1"/>
  <c r="AA42" i="6"/>
  <c r="AB42" i="6" s="1"/>
  <c r="AK42" i="6"/>
  <c r="AM42" i="6" s="1"/>
  <c r="AB40" i="6"/>
  <c r="AF40" i="6" s="1"/>
  <c r="AC40" i="6"/>
  <c r="AB41" i="6"/>
  <c r="AF41" i="6" s="1"/>
  <c r="A44" i="6"/>
  <c r="P45" i="6"/>
  <c r="R45" i="6" s="1"/>
  <c r="AH45" i="6" s="1"/>
  <c r="Z45" i="6"/>
  <c r="T45" i="6"/>
  <c r="AJ45" i="6"/>
  <c r="U45" i="6"/>
  <c r="N45" i="6"/>
  <c r="Y45" i="6"/>
  <c r="M47" i="6"/>
  <c r="AO47" i="6" s="1"/>
  <c r="AE43" i="6"/>
  <c r="AD43" i="6"/>
  <c r="AD44" i="6"/>
  <c r="AE44" i="6"/>
  <c r="M46" i="6"/>
  <c r="AO46" i="6" s="1"/>
  <c r="H43" i="6"/>
  <c r="AI45" i="6"/>
  <c r="F45" i="6"/>
  <c r="H44" i="6"/>
  <c r="AG41" i="6"/>
  <c r="P38" i="11" s="1"/>
  <c r="A43" i="6"/>
  <c r="A58" i="9"/>
  <c r="B57" i="9"/>
  <c r="AP46" i="6" l="1"/>
  <c r="AP45" i="6"/>
  <c r="Q38" i="11"/>
  <c r="R38" i="11" s="1"/>
  <c r="Q37" i="11"/>
  <c r="D57" i="9"/>
  <c r="C52" i="9"/>
  <c r="AC42" i="6"/>
  <c r="K45" i="6"/>
  <c r="L45" i="6" s="1"/>
  <c r="AK44" i="6"/>
  <c r="AM44" i="6" s="1"/>
  <c r="AK43" i="6"/>
  <c r="AL43" i="6" s="1"/>
  <c r="AL42" i="6"/>
  <c r="AG40" i="6"/>
  <c r="AA43" i="6"/>
  <c r="AB43" i="6" s="1"/>
  <c r="AA44" i="6"/>
  <c r="AC44" i="6" s="1"/>
  <c r="M48" i="6"/>
  <c r="AO48" i="6" s="1"/>
  <c r="AJ47" i="6"/>
  <c r="Y47" i="6"/>
  <c r="Z47" i="6"/>
  <c r="P47" i="6"/>
  <c r="R47" i="6" s="1"/>
  <c r="AH47" i="6" s="1"/>
  <c r="U47" i="6"/>
  <c r="T47" i="6"/>
  <c r="N47" i="6"/>
  <c r="AE45" i="6"/>
  <c r="AD45" i="6"/>
  <c r="T46" i="6"/>
  <c r="U46" i="6"/>
  <c r="AJ46" i="6"/>
  <c r="N46" i="6"/>
  <c r="P46" i="6"/>
  <c r="R46" i="6" s="1"/>
  <c r="AH46" i="6" s="1"/>
  <c r="Z46" i="6"/>
  <c r="Y46" i="6"/>
  <c r="F47" i="6"/>
  <c r="AI47" i="6"/>
  <c r="F46" i="6"/>
  <c r="AI46" i="6"/>
  <c r="A45" i="6"/>
  <c r="AF42" i="6"/>
  <c r="H45" i="6"/>
  <c r="B58" i="9"/>
  <c r="A59" i="9"/>
  <c r="AP47" i="6" l="1"/>
  <c r="Q39" i="11"/>
  <c r="C53" i="9"/>
  <c r="D58" i="9"/>
  <c r="AG42" i="6"/>
  <c r="P39" i="11" s="1"/>
  <c r="AL44" i="6"/>
  <c r="P37" i="11"/>
  <c r="R37" i="11" s="1"/>
  <c r="K47" i="6"/>
  <c r="L47" i="6" s="1"/>
  <c r="K46" i="6"/>
  <c r="L46" i="6" s="1"/>
  <c r="AK45" i="6"/>
  <c r="AL45" i="6" s="1"/>
  <c r="AM43" i="6"/>
  <c r="AA45" i="6"/>
  <c r="AC45" i="6" s="1"/>
  <c r="AC43" i="6"/>
  <c r="AB44" i="6"/>
  <c r="AF44" i="6" s="1"/>
  <c r="M49" i="6"/>
  <c r="AO49" i="6" s="1"/>
  <c r="AD46" i="6"/>
  <c r="AE46" i="6"/>
  <c r="M50" i="6"/>
  <c r="AO50" i="6" s="1"/>
  <c r="AE47" i="6"/>
  <c r="AD47" i="6"/>
  <c r="U48" i="6"/>
  <c r="Y48" i="6"/>
  <c r="AJ48" i="6"/>
  <c r="Z48" i="6"/>
  <c r="T48" i="6"/>
  <c r="N48" i="6"/>
  <c r="P48" i="6"/>
  <c r="R48" i="6" s="1"/>
  <c r="AH48" i="6" s="1"/>
  <c r="AI48" i="6"/>
  <c r="F48" i="6"/>
  <c r="AF43" i="6"/>
  <c r="H47" i="6"/>
  <c r="AG44" i="6"/>
  <c r="P41" i="11" s="1"/>
  <c r="H46" i="6"/>
  <c r="A46" i="6"/>
  <c r="A47" i="6"/>
  <c r="B59" i="9"/>
  <c r="A60" i="9"/>
  <c r="R39" i="11" l="1"/>
  <c r="AP48" i="6"/>
  <c r="AP49" i="6"/>
  <c r="Q41" i="11"/>
  <c r="R41" i="11" s="1"/>
  <c r="Q40" i="11"/>
  <c r="D59" i="9"/>
  <c r="C54" i="9"/>
  <c r="AM45" i="6"/>
  <c r="K48" i="6"/>
  <c r="L48" i="6" s="1"/>
  <c r="AK46" i="6"/>
  <c r="AL46" i="6" s="1"/>
  <c r="AK47" i="6"/>
  <c r="AL47" i="6" s="1"/>
  <c r="AG43" i="6"/>
  <c r="P40" i="11" s="1"/>
  <c r="AB45" i="6"/>
  <c r="AA46" i="6"/>
  <c r="AC46" i="6" s="1"/>
  <c r="AA47" i="6"/>
  <c r="AC47" i="6" s="1"/>
  <c r="AD48" i="6"/>
  <c r="AE48" i="6"/>
  <c r="T49" i="6"/>
  <c r="Z49" i="6"/>
  <c r="AJ49" i="6"/>
  <c r="U49" i="6"/>
  <c r="Y49" i="6"/>
  <c r="P49" i="6"/>
  <c r="R49" i="6" s="1"/>
  <c r="AH49" i="6" s="1"/>
  <c r="N49" i="6"/>
  <c r="M51" i="6"/>
  <c r="AO51" i="6" s="1"/>
  <c r="Y50" i="6"/>
  <c r="Z50" i="6"/>
  <c r="T50" i="6"/>
  <c r="U50" i="6"/>
  <c r="AJ50" i="6"/>
  <c r="N50" i="6"/>
  <c r="P50" i="6"/>
  <c r="R50" i="6" s="1"/>
  <c r="AH50" i="6" s="1"/>
  <c r="AG45" i="6"/>
  <c r="P42" i="11" s="1"/>
  <c r="AI50" i="6"/>
  <c r="F50" i="6"/>
  <c r="A48" i="6"/>
  <c r="AI49" i="6"/>
  <c r="F49" i="6"/>
  <c r="H48" i="6"/>
  <c r="A61" i="9"/>
  <c r="B60" i="9"/>
  <c r="R40" i="11" l="1"/>
  <c r="AP50" i="6"/>
  <c r="C55" i="9"/>
  <c r="D60" i="9"/>
  <c r="AM46" i="6"/>
  <c r="K49" i="6"/>
  <c r="L49" i="6" s="1"/>
  <c r="K50" i="6"/>
  <c r="L50" i="6" s="1"/>
  <c r="AA48" i="6"/>
  <c r="AC48" i="6" s="1"/>
  <c r="AM47" i="6"/>
  <c r="AF45" i="6"/>
  <c r="AK48" i="6"/>
  <c r="AM48" i="6" s="1"/>
  <c r="AB46" i="6"/>
  <c r="AF46" i="6" s="1"/>
  <c r="AB47" i="6"/>
  <c r="AF47" i="6" s="1"/>
  <c r="M52" i="6"/>
  <c r="AO52" i="6" s="1"/>
  <c r="M53" i="6"/>
  <c r="AO53" i="6" s="1"/>
  <c r="Z51" i="6"/>
  <c r="T51" i="6"/>
  <c r="U51" i="6"/>
  <c r="Y51" i="6"/>
  <c r="N51" i="6"/>
  <c r="P51" i="6"/>
  <c r="R51" i="6" s="1"/>
  <c r="AH51" i="6" s="1"/>
  <c r="AJ51" i="6"/>
  <c r="AD49" i="6"/>
  <c r="AE49" i="6"/>
  <c r="AD50" i="6"/>
  <c r="AE50" i="6"/>
  <c r="AI51" i="6"/>
  <c r="F51" i="6"/>
  <c r="AG47" i="6"/>
  <c r="P44" i="11" s="1"/>
  <c r="A49" i="6"/>
  <c r="A50" i="6"/>
  <c r="H50" i="6"/>
  <c r="H49" i="6"/>
  <c r="AG46" i="6"/>
  <c r="P43" i="11" s="1"/>
  <c r="A62" i="9"/>
  <c r="B61" i="9"/>
  <c r="AP52" i="6" l="1"/>
  <c r="AP51" i="6"/>
  <c r="Q43" i="11"/>
  <c r="R43" i="11" s="1"/>
  <c r="Q42" i="11"/>
  <c r="R42" i="11" s="1"/>
  <c r="Q44" i="11"/>
  <c r="R44" i="11" s="1"/>
  <c r="C56" i="9"/>
  <c r="D61" i="9"/>
  <c r="AB48" i="6"/>
  <c r="K51" i="6"/>
  <c r="L51" i="6" s="1"/>
  <c r="AA50" i="6"/>
  <c r="AC50" i="6" s="1"/>
  <c r="AK49" i="6"/>
  <c r="AM49" i="6" s="1"/>
  <c r="AL48" i="6"/>
  <c r="AK50" i="6"/>
  <c r="AM50" i="6" s="1"/>
  <c r="AA49" i="6"/>
  <c r="AC49" i="6" s="1"/>
  <c r="Z53" i="6"/>
  <c r="N53" i="6"/>
  <c r="Y53" i="6"/>
  <c r="T53" i="6"/>
  <c r="P53" i="6"/>
  <c r="R53" i="6" s="1"/>
  <c r="AH53" i="6" s="1"/>
  <c r="U53" i="6"/>
  <c r="AJ53" i="6"/>
  <c r="M54" i="6"/>
  <c r="AO54" i="6" s="1"/>
  <c r="AD51" i="6"/>
  <c r="AE51" i="6"/>
  <c r="Y52" i="6"/>
  <c r="U52" i="6"/>
  <c r="T52" i="6"/>
  <c r="AJ52" i="6"/>
  <c r="P52" i="6"/>
  <c r="R52" i="6" s="1"/>
  <c r="AH52" i="6" s="1"/>
  <c r="N52" i="6"/>
  <c r="Z52" i="6"/>
  <c r="F52" i="6"/>
  <c r="AI52" i="6"/>
  <c r="A51" i="6"/>
  <c r="AI53" i="6"/>
  <c r="F53" i="6"/>
  <c r="H51" i="6"/>
  <c r="AG48" i="6"/>
  <c r="P45" i="11" s="1"/>
  <c r="A63" i="9"/>
  <c r="B62" i="9"/>
  <c r="AP53" i="6" l="1"/>
  <c r="D62" i="9"/>
  <c r="C57" i="9"/>
  <c r="AF48" i="6"/>
  <c r="AL49" i="6"/>
  <c r="K52" i="6"/>
  <c r="L52" i="6" s="1"/>
  <c r="K53" i="6"/>
  <c r="L53" i="6" s="1"/>
  <c r="AB50" i="6"/>
  <c r="AK51" i="6"/>
  <c r="AM51" i="6" s="1"/>
  <c r="AL50" i="6"/>
  <c r="AB49" i="6"/>
  <c r="AF49" i="6" s="1"/>
  <c r="AA51" i="6"/>
  <c r="A53" i="6"/>
  <c r="M55" i="6"/>
  <c r="AO55" i="6" s="1"/>
  <c r="AJ54" i="6"/>
  <c r="N54" i="6"/>
  <c r="Y54" i="6"/>
  <c r="Z54" i="6"/>
  <c r="T54" i="6"/>
  <c r="U54" i="6"/>
  <c r="P54" i="6"/>
  <c r="R54" i="6" s="1"/>
  <c r="AE52" i="6"/>
  <c r="AD52" i="6"/>
  <c r="M56" i="6"/>
  <c r="AO56" i="6" s="1"/>
  <c r="AD53" i="6"/>
  <c r="AE53" i="6"/>
  <c r="H53" i="6"/>
  <c r="H52" i="6"/>
  <c r="AG49" i="6"/>
  <c r="P46" i="11" s="1"/>
  <c r="A52" i="6"/>
  <c r="AI54" i="6"/>
  <c r="F54" i="6"/>
  <c r="AG50" i="6"/>
  <c r="P47" i="11" s="1"/>
  <c r="B63" i="9"/>
  <c r="A64" i="9"/>
  <c r="AP54" i="6" l="1"/>
  <c r="AP55" i="6"/>
  <c r="Q46" i="11"/>
  <c r="R46" i="11" s="1"/>
  <c r="Q45" i="11"/>
  <c r="R45" i="11" s="1"/>
  <c r="C58" i="9"/>
  <c r="D63" i="9"/>
  <c r="AL51" i="6"/>
  <c r="AF50" i="6"/>
  <c r="K54" i="6"/>
  <c r="L54" i="6" s="1"/>
  <c r="AA53" i="6"/>
  <c r="AA52" i="6"/>
  <c r="AC52" i="6" s="1"/>
  <c r="AC51" i="6"/>
  <c r="AG51" i="6" s="1"/>
  <c r="P48" i="11" s="1"/>
  <c r="AB51" i="6"/>
  <c r="AF51" i="6" s="1"/>
  <c r="AK53" i="6"/>
  <c r="AM53" i="6" s="1"/>
  <c r="AK52" i="6"/>
  <c r="AM52" i="6" s="1"/>
  <c r="P56" i="6"/>
  <c r="R56" i="6" s="1"/>
  <c r="T56" i="6"/>
  <c r="N56" i="6"/>
  <c r="AJ56" i="6"/>
  <c r="Y56" i="6"/>
  <c r="Z56" i="6"/>
  <c r="U56" i="6"/>
  <c r="U55" i="6"/>
  <c r="T55" i="6"/>
  <c r="Z55" i="6"/>
  <c r="P55" i="6"/>
  <c r="R55" i="6" s="1"/>
  <c r="Y55" i="6"/>
  <c r="N55" i="6"/>
  <c r="AJ55" i="6"/>
  <c r="M57" i="6"/>
  <c r="AO57" i="6" s="1"/>
  <c r="AD54" i="6"/>
  <c r="AE54" i="6"/>
  <c r="AH54" i="6"/>
  <c r="H54" i="6"/>
  <c r="A54" i="6"/>
  <c r="AI55" i="6"/>
  <c r="F55" i="6"/>
  <c r="AI56" i="6"/>
  <c r="F56" i="6"/>
  <c r="A65" i="9"/>
  <c r="B64" i="9"/>
  <c r="AP56" i="6" l="1"/>
  <c r="Q48" i="11"/>
  <c r="R48" i="11" s="1"/>
  <c r="Q47" i="11"/>
  <c r="R47" i="11" s="1"/>
  <c r="D64" i="9"/>
  <c r="C59" i="9"/>
  <c r="AB53" i="6"/>
  <c r="AF53" i="6" s="1"/>
  <c r="AB52" i="6"/>
  <c r="AF52" i="6" s="1"/>
  <c r="K56" i="6"/>
  <c r="L56" i="6" s="1"/>
  <c r="K55" i="6"/>
  <c r="L55" i="6" s="1"/>
  <c r="AA54" i="6"/>
  <c r="AB54" i="6" s="1"/>
  <c r="AC53" i="6"/>
  <c r="AG53" i="6" s="1"/>
  <c r="P50" i="11" s="1"/>
  <c r="AL53" i="6"/>
  <c r="AL52" i="6"/>
  <c r="A55" i="6"/>
  <c r="AK54" i="6"/>
  <c r="AM54" i="6" s="1"/>
  <c r="AJ57" i="6"/>
  <c r="N57" i="6"/>
  <c r="Z57" i="6"/>
  <c r="T57" i="6"/>
  <c r="Y57" i="6"/>
  <c r="U57" i="6"/>
  <c r="P57" i="6"/>
  <c r="R57" i="6" s="1"/>
  <c r="AH55" i="6"/>
  <c r="AE55" i="6"/>
  <c r="AD55" i="6"/>
  <c r="M58" i="6"/>
  <c r="AO58" i="6" s="1"/>
  <c r="M59" i="6"/>
  <c r="AO59" i="6" s="1"/>
  <c r="AH56" i="6"/>
  <c r="AD56" i="6"/>
  <c r="AE56" i="6"/>
  <c r="H55" i="6"/>
  <c r="AI57" i="6"/>
  <c r="F57" i="6"/>
  <c r="H56" i="6"/>
  <c r="A56" i="6"/>
  <c r="AG52" i="6"/>
  <c r="P49" i="11" s="1"/>
  <c r="A66" i="9"/>
  <c r="B65" i="9"/>
  <c r="AP57" i="6" l="1"/>
  <c r="AP58" i="6"/>
  <c r="Q49" i="11"/>
  <c r="R49" i="11" s="1"/>
  <c r="Q50" i="11"/>
  <c r="R50" i="11" s="1"/>
  <c r="D65" i="9"/>
  <c r="C60" i="9"/>
  <c r="AC54" i="6"/>
  <c r="AG54" i="6" s="1"/>
  <c r="P51" i="11" s="1"/>
  <c r="K57" i="6"/>
  <c r="L57" i="6" s="1"/>
  <c r="AK55" i="6"/>
  <c r="AM55" i="6" s="1"/>
  <c r="AK56" i="6"/>
  <c r="AM56" i="6" s="1"/>
  <c r="AL54" i="6"/>
  <c r="AA56" i="6"/>
  <c r="AB56" i="6" s="1"/>
  <c r="A57" i="6"/>
  <c r="AA55" i="6"/>
  <c r="U58" i="6"/>
  <c r="N58" i="6"/>
  <c r="Z58" i="6"/>
  <c r="Y58" i="6"/>
  <c r="P58" i="6"/>
  <c r="R58" i="6" s="1"/>
  <c r="T58" i="6"/>
  <c r="AJ58" i="6"/>
  <c r="M60" i="6"/>
  <c r="AO60" i="6" s="1"/>
  <c r="Y59" i="6"/>
  <c r="U59" i="6"/>
  <c r="N59" i="6"/>
  <c r="Z59" i="6"/>
  <c r="AJ59" i="6"/>
  <c r="T59" i="6"/>
  <c r="P59" i="6"/>
  <c r="R59" i="6" s="1"/>
  <c r="AH57" i="6"/>
  <c r="AE57" i="6"/>
  <c r="AD57" i="6"/>
  <c r="AI59" i="6"/>
  <c r="F59" i="6"/>
  <c r="AF54" i="6"/>
  <c r="H57" i="6"/>
  <c r="AI58" i="6"/>
  <c r="F58" i="6"/>
  <c r="B66" i="9"/>
  <c r="A67" i="9"/>
  <c r="AP59" i="6" l="1"/>
  <c r="Q51" i="11"/>
  <c r="R51" i="11" s="1"/>
  <c r="C61" i="9"/>
  <c r="D66" i="9"/>
  <c r="AL56" i="6"/>
  <c r="K58" i="6"/>
  <c r="L58" i="6" s="1"/>
  <c r="K59" i="6"/>
  <c r="L59" i="6" s="1"/>
  <c r="AK57" i="6"/>
  <c r="AL57" i="6" s="1"/>
  <c r="AL55" i="6"/>
  <c r="AC56" i="6"/>
  <c r="AA57" i="6"/>
  <c r="AC57" i="6" s="1"/>
  <c r="AB55" i="6"/>
  <c r="AF55" i="6" s="1"/>
  <c r="AC55" i="6"/>
  <c r="AG55" i="6" s="1"/>
  <c r="P52" i="11" s="1"/>
  <c r="M61" i="6"/>
  <c r="AO61" i="6" s="1"/>
  <c r="A59" i="6"/>
  <c r="AE59" i="6"/>
  <c r="AD59" i="6"/>
  <c r="AH59" i="6"/>
  <c r="AH58" i="6"/>
  <c r="AD58" i="6"/>
  <c r="AE58" i="6"/>
  <c r="M62" i="6"/>
  <c r="AO62" i="6" s="1"/>
  <c r="Y60" i="6"/>
  <c r="Z60" i="6"/>
  <c r="AJ60" i="6"/>
  <c r="U60" i="6"/>
  <c r="P60" i="6"/>
  <c r="R60" i="6" s="1"/>
  <c r="T60" i="6"/>
  <c r="N60" i="6"/>
  <c r="AI60" i="6"/>
  <c r="F60" i="6"/>
  <c r="AF56" i="6"/>
  <c r="A58" i="6"/>
  <c r="H59" i="6"/>
  <c r="H58" i="6"/>
  <c r="A68" i="9"/>
  <c r="B67" i="9"/>
  <c r="AP61" i="6" l="1"/>
  <c r="AP60" i="6"/>
  <c r="Q53" i="11"/>
  <c r="Q52" i="11"/>
  <c r="R52" i="11" s="1"/>
  <c r="D67" i="9"/>
  <c r="C62" i="9"/>
  <c r="AM57" i="6"/>
  <c r="AG56" i="6"/>
  <c r="K60" i="6"/>
  <c r="L60" i="6" s="1"/>
  <c r="AK58" i="6"/>
  <c r="AM58" i="6" s="1"/>
  <c r="AK59" i="6"/>
  <c r="AL59" i="6" s="1"/>
  <c r="AA58" i="6"/>
  <c r="AC58" i="6" s="1"/>
  <c r="AB57" i="6"/>
  <c r="AF57" i="6" s="1"/>
  <c r="AA59" i="6"/>
  <c r="AB59" i="6" s="1"/>
  <c r="A60" i="6"/>
  <c r="M63" i="6"/>
  <c r="AO63" i="6" s="1"/>
  <c r="T61" i="6"/>
  <c r="Z61" i="6"/>
  <c r="U61" i="6"/>
  <c r="AJ61" i="6"/>
  <c r="Y61" i="6"/>
  <c r="P61" i="6"/>
  <c r="R61" i="6" s="1"/>
  <c r="N61" i="6"/>
  <c r="AD60" i="6"/>
  <c r="AE60" i="6"/>
  <c r="AH60" i="6"/>
  <c r="T62" i="6"/>
  <c r="P62" i="6"/>
  <c r="R62" i="6" s="1"/>
  <c r="U62" i="6"/>
  <c r="AJ62" i="6"/>
  <c r="Y62" i="6"/>
  <c r="Z62" i="6"/>
  <c r="N62" i="6"/>
  <c r="H60" i="6"/>
  <c r="AG57" i="6"/>
  <c r="P54" i="11" s="1"/>
  <c r="AI62" i="6"/>
  <c r="F62" i="6"/>
  <c r="AI61" i="6"/>
  <c r="F61" i="6"/>
  <c r="B68" i="9"/>
  <c r="A69" i="9"/>
  <c r="AP62" i="6" l="1"/>
  <c r="Q54" i="11"/>
  <c r="R54" i="11" s="1"/>
  <c r="C63" i="9"/>
  <c r="D68" i="9"/>
  <c r="P53" i="11"/>
  <c r="R53" i="11" s="1"/>
  <c r="AL58" i="6"/>
  <c r="AM59" i="6"/>
  <c r="K62" i="6"/>
  <c r="L62" i="6" s="1"/>
  <c r="K61" i="6"/>
  <c r="L61" i="6" s="1"/>
  <c r="AK60" i="6"/>
  <c r="AM60" i="6" s="1"/>
  <c r="AB58" i="6"/>
  <c r="AA60" i="6"/>
  <c r="AB60" i="6" s="1"/>
  <c r="AC59" i="6"/>
  <c r="M64" i="6"/>
  <c r="AO64" i="6" s="1"/>
  <c r="A62" i="6"/>
  <c r="M65" i="6"/>
  <c r="AO65" i="6" s="1"/>
  <c r="AH61" i="6"/>
  <c r="AE61" i="6"/>
  <c r="AD61" i="6"/>
  <c r="Y63" i="6"/>
  <c r="AJ63" i="6"/>
  <c r="N63" i="6"/>
  <c r="U63" i="6"/>
  <c r="T63" i="6"/>
  <c r="P63" i="6"/>
  <c r="R63" i="6" s="1"/>
  <c r="Z63" i="6"/>
  <c r="AH62" i="6"/>
  <c r="AE62" i="6"/>
  <c r="AD62" i="6"/>
  <c r="AG58" i="6"/>
  <c r="P55" i="11" s="1"/>
  <c r="AF59" i="6"/>
  <c r="AI63" i="6"/>
  <c r="F63" i="6"/>
  <c r="H61" i="6"/>
  <c r="A61" i="6"/>
  <c r="H62" i="6"/>
  <c r="A70" i="9"/>
  <c r="B69" i="9"/>
  <c r="AP64" i="6" l="1"/>
  <c r="AP63" i="6"/>
  <c r="Q56" i="11"/>
  <c r="C64" i="9"/>
  <c r="D69" i="9"/>
  <c r="AG59" i="6"/>
  <c r="P56" i="11" s="1"/>
  <c r="AL60" i="6"/>
  <c r="K63" i="6"/>
  <c r="L63" i="6" s="1"/>
  <c r="AK62" i="6"/>
  <c r="AL62" i="6" s="1"/>
  <c r="AK61" i="6"/>
  <c r="AM61" i="6" s="1"/>
  <c r="AC60" i="6"/>
  <c r="AF58" i="6"/>
  <c r="AA61" i="6"/>
  <c r="AC61" i="6" s="1"/>
  <c r="AA62" i="6"/>
  <c r="AC62" i="6" s="1"/>
  <c r="M66" i="6"/>
  <c r="AO66" i="6" s="1"/>
  <c r="AH63" i="6"/>
  <c r="AD63" i="6"/>
  <c r="AE63" i="6"/>
  <c r="N64" i="6"/>
  <c r="Y64" i="6"/>
  <c r="AJ64" i="6"/>
  <c r="Z64" i="6"/>
  <c r="P64" i="6"/>
  <c r="R64" i="6" s="1"/>
  <c r="T64" i="6"/>
  <c r="U64" i="6"/>
  <c r="U65" i="6"/>
  <c r="Z65" i="6"/>
  <c r="T65" i="6"/>
  <c r="AJ65" i="6"/>
  <c r="P65" i="6"/>
  <c r="R65" i="6" s="1"/>
  <c r="Y65" i="6"/>
  <c r="N65" i="6"/>
  <c r="AI64" i="6"/>
  <c r="F64" i="6"/>
  <c r="AF60" i="6"/>
  <c r="AI65" i="6"/>
  <c r="F65" i="6"/>
  <c r="A63" i="6"/>
  <c r="H63" i="6"/>
  <c r="A71" i="9"/>
  <c r="B70" i="9"/>
  <c r="R56" i="11" l="1"/>
  <c r="AP65" i="6"/>
  <c r="Q57" i="11"/>
  <c r="Q55" i="11"/>
  <c r="R55" i="11" s="1"/>
  <c r="D70" i="9"/>
  <c r="C65" i="9"/>
  <c r="AL61" i="6"/>
  <c r="K65" i="6"/>
  <c r="L65" i="6" s="1"/>
  <c r="K64" i="6"/>
  <c r="L64" i="6" s="1"/>
  <c r="AK63" i="6"/>
  <c r="AL63" i="6" s="1"/>
  <c r="AM62" i="6"/>
  <c r="AG60" i="6"/>
  <c r="AA63" i="6"/>
  <c r="AC63" i="6" s="1"/>
  <c r="AB62" i="6"/>
  <c r="AB61" i="6"/>
  <c r="M67" i="6"/>
  <c r="AO67" i="6" s="1"/>
  <c r="M68" i="6"/>
  <c r="AO68" i="6" s="1"/>
  <c r="AD65" i="6"/>
  <c r="AE65" i="6"/>
  <c r="AH65" i="6"/>
  <c r="AH64" i="6"/>
  <c r="AE64" i="6"/>
  <c r="AD64" i="6"/>
  <c r="Y66" i="6"/>
  <c r="U66" i="6"/>
  <c r="N66" i="6"/>
  <c r="Z66" i="6"/>
  <c r="T66" i="6"/>
  <c r="P66" i="6"/>
  <c r="R66" i="6" s="1"/>
  <c r="AJ66" i="6"/>
  <c r="AG62" i="6"/>
  <c r="P59" i="11" s="1"/>
  <c r="A65" i="6"/>
  <c r="H64" i="6"/>
  <c r="F66" i="6"/>
  <c r="AI66" i="6"/>
  <c r="AG61" i="6"/>
  <c r="P58" i="11" s="1"/>
  <c r="H65" i="6"/>
  <c r="A64" i="6"/>
  <c r="A72" i="9"/>
  <c r="B71" i="9"/>
  <c r="AP67" i="6" l="1"/>
  <c r="AP66" i="6"/>
  <c r="C66" i="9"/>
  <c r="D71" i="9"/>
  <c r="P57" i="11"/>
  <c r="R57" i="11" s="1"/>
  <c r="AM63" i="6"/>
  <c r="K66" i="6"/>
  <c r="L66" i="6" s="1"/>
  <c r="AA64" i="6"/>
  <c r="AK65" i="6"/>
  <c r="AM65" i="6" s="1"/>
  <c r="AB63" i="6"/>
  <c r="AF63" i="6" s="1"/>
  <c r="AF62" i="6"/>
  <c r="AF61" i="6"/>
  <c r="AK64" i="6"/>
  <c r="AM64" i="6" s="1"/>
  <c r="AA65" i="6"/>
  <c r="AC65" i="6" s="1"/>
  <c r="Z67" i="6"/>
  <c r="N67" i="6"/>
  <c r="T67" i="6"/>
  <c r="Y67" i="6"/>
  <c r="AJ67" i="6"/>
  <c r="U67" i="6"/>
  <c r="P67" i="6"/>
  <c r="R67" i="6" s="1"/>
  <c r="M69" i="6"/>
  <c r="AO69" i="6" s="1"/>
  <c r="AD66" i="6"/>
  <c r="AE66" i="6"/>
  <c r="AH66" i="6"/>
  <c r="Z68" i="6"/>
  <c r="P68" i="6"/>
  <c r="R68" i="6" s="1"/>
  <c r="T68" i="6"/>
  <c r="AJ68" i="6"/>
  <c r="U68" i="6"/>
  <c r="Y68" i="6"/>
  <c r="N68" i="6"/>
  <c r="AI67" i="6"/>
  <c r="F67" i="6"/>
  <c r="H66" i="6"/>
  <c r="A66" i="6"/>
  <c r="AI68" i="6"/>
  <c r="F68" i="6"/>
  <c r="AG63" i="6"/>
  <c r="P60" i="11" s="1"/>
  <c r="B72" i="9"/>
  <c r="A73" i="9"/>
  <c r="AP68" i="6" l="1"/>
  <c r="Q60" i="11"/>
  <c r="R60" i="11" s="1"/>
  <c r="Q58" i="11"/>
  <c r="R58" i="11" s="1"/>
  <c r="Q59" i="11"/>
  <c r="R59" i="11" s="1"/>
  <c r="D72" i="9"/>
  <c r="C67" i="9"/>
  <c r="AC64" i="6"/>
  <c r="AG64" i="6" s="1"/>
  <c r="P61" i="11" s="1"/>
  <c r="AB64" i="6"/>
  <c r="AF64" i="6" s="1"/>
  <c r="K68" i="6"/>
  <c r="L68" i="6" s="1"/>
  <c r="K67" i="6"/>
  <c r="L67" i="6" s="1"/>
  <c r="AA66" i="6"/>
  <c r="AL65" i="6"/>
  <c r="AB65" i="6"/>
  <c r="AL64" i="6"/>
  <c r="AK66" i="6"/>
  <c r="AM66" i="6" s="1"/>
  <c r="AH68" i="6"/>
  <c r="AD68" i="6"/>
  <c r="AE68" i="6"/>
  <c r="M70" i="6"/>
  <c r="AO70" i="6" s="1"/>
  <c r="AH67" i="6"/>
  <c r="AE67" i="6"/>
  <c r="AD67" i="6"/>
  <c r="M71" i="6"/>
  <c r="AO71" i="6" s="1"/>
  <c r="Y69" i="6"/>
  <c r="N69" i="6"/>
  <c r="Z69" i="6"/>
  <c r="P69" i="6"/>
  <c r="R69" i="6" s="1"/>
  <c r="T69" i="6"/>
  <c r="AJ69" i="6"/>
  <c r="U69" i="6"/>
  <c r="H68" i="6"/>
  <c r="AG65" i="6"/>
  <c r="P62" i="11" s="1"/>
  <c r="AI69" i="6"/>
  <c r="F69" i="6"/>
  <c r="A67" i="6"/>
  <c r="A68" i="6"/>
  <c r="H67" i="6"/>
  <c r="A74" i="9"/>
  <c r="B73" i="9"/>
  <c r="AP69" i="6" l="1"/>
  <c r="AP70" i="6"/>
  <c r="Q61" i="11"/>
  <c r="R61" i="11" s="1"/>
  <c r="D73" i="9"/>
  <c r="C68" i="9"/>
  <c r="AB66" i="6"/>
  <c r="AC66" i="6"/>
  <c r="K69" i="6"/>
  <c r="L69" i="6" s="1"/>
  <c r="AK68" i="6"/>
  <c r="AM68" i="6" s="1"/>
  <c r="AA67" i="6"/>
  <c r="AF65" i="6"/>
  <c r="AL66" i="6"/>
  <c r="AK67" i="6"/>
  <c r="AM67" i="6" s="1"/>
  <c r="AA68" i="6"/>
  <c r="AB68" i="6" s="1"/>
  <c r="AH69" i="6"/>
  <c r="AE69" i="6"/>
  <c r="AD69" i="6"/>
  <c r="T70" i="6"/>
  <c r="Y70" i="6"/>
  <c r="AJ70" i="6"/>
  <c r="Z70" i="6"/>
  <c r="U70" i="6"/>
  <c r="P70" i="6"/>
  <c r="R70" i="6" s="1"/>
  <c r="N70" i="6"/>
  <c r="M72" i="6"/>
  <c r="AO72" i="6" s="1"/>
  <c r="Y71" i="6"/>
  <c r="AJ71" i="6"/>
  <c r="Z71" i="6"/>
  <c r="N71" i="6"/>
  <c r="P71" i="6"/>
  <c r="R71" i="6" s="1"/>
  <c r="U71" i="6"/>
  <c r="T71" i="6"/>
  <c r="A69" i="6"/>
  <c r="AI71" i="6"/>
  <c r="F71" i="6"/>
  <c r="AI70" i="6"/>
  <c r="F70" i="6"/>
  <c r="H69" i="6"/>
  <c r="B74" i="9"/>
  <c r="A75" i="9"/>
  <c r="AP71" i="6" l="1"/>
  <c r="Q62" i="11"/>
  <c r="R62" i="11" s="1"/>
  <c r="C69" i="9"/>
  <c r="D74" i="9"/>
  <c r="AF66" i="6"/>
  <c r="AG66" i="6"/>
  <c r="P63" i="11" s="1"/>
  <c r="AB67" i="6"/>
  <c r="AL68" i="6"/>
  <c r="AC67" i="6"/>
  <c r="K70" i="6"/>
  <c r="L70" i="6" s="1"/>
  <c r="K71" i="6"/>
  <c r="L71" i="6" s="1"/>
  <c r="AA69" i="6"/>
  <c r="AK69" i="6"/>
  <c r="AM69" i="6" s="1"/>
  <c r="AL67" i="6"/>
  <c r="AC68" i="6"/>
  <c r="AG68" i="6" s="1"/>
  <c r="P65" i="11" s="1"/>
  <c r="M73" i="6"/>
  <c r="AO73" i="6" s="1"/>
  <c r="U72" i="6"/>
  <c r="T72" i="6"/>
  <c r="Z72" i="6"/>
  <c r="Y72" i="6"/>
  <c r="P72" i="6"/>
  <c r="R72" i="6" s="1"/>
  <c r="N72" i="6"/>
  <c r="AJ72" i="6"/>
  <c r="AH70" i="6"/>
  <c r="AE70" i="6"/>
  <c r="AD70" i="6"/>
  <c r="AH71" i="6"/>
  <c r="AD71" i="6"/>
  <c r="AE71" i="6"/>
  <c r="M74" i="6"/>
  <c r="AO74" i="6" s="1"/>
  <c r="H70" i="6"/>
  <c r="A70" i="6"/>
  <c r="AF68" i="6"/>
  <c r="AI72" i="6"/>
  <c r="F72" i="6"/>
  <c r="A71" i="6"/>
  <c r="H71" i="6"/>
  <c r="A76" i="9"/>
  <c r="B75" i="9"/>
  <c r="AP73" i="6" l="1"/>
  <c r="AP72" i="6"/>
  <c r="Q63" i="11"/>
  <c r="R63" i="11" s="1"/>
  <c r="Q65" i="11"/>
  <c r="R65" i="11" s="1"/>
  <c r="D75" i="9"/>
  <c r="C70" i="9"/>
  <c r="AF67" i="6"/>
  <c r="AG67" i="6"/>
  <c r="P64" i="11" s="1"/>
  <c r="AB69" i="6"/>
  <c r="AC69" i="6"/>
  <c r="K72" i="6"/>
  <c r="L72" i="6" s="1"/>
  <c r="AK71" i="6"/>
  <c r="AM71" i="6" s="1"/>
  <c r="AL69" i="6"/>
  <c r="AK70" i="6"/>
  <c r="AM70" i="6" s="1"/>
  <c r="AA70" i="6"/>
  <c r="AB70" i="6" s="1"/>
  <c r="AA71" i="6"/>
  <c r="AB71" i="6" s="1"/>
  <c r="P73" i="6"/>
  <c r="R73" i="6" s="1"/>
  <c r="U73" i="6"/>
  <c r="T73" i="6"/>
  <c r="AJ73" i="6"/>
  <c r="Y73" i="6"/>
  <c r="N73" i="6"/>
  <c r="Z73" i="6"/>
  <c r="T74" i="6"/>
  <c r="P74" i="6"/>
  <c r="R74" i="6" s="1"/>
  <c r="Z74" i="6"/>
  <c r="N74" i="6"/>
  <c r="Y74" i="6"/>
  <c r="U74" i="6"/>
  <c r="AJ74" i="6"/>
  <c r="AH72" i="6"/>
  <c r="AE72" i="6"/>
  <c r="AD72" i="6"/>
  <c r="M75" i="6"/>
  <c r="AO75" i="6" s="1"/>
  <c r="H72" i="6"/>
  <c r="AI74" i="6"/>
  <c r="F74" i="6"/>
  <c r="A72" i="6"/>
  <c r="AI73" i="6"/>
  <c r="F73" i="6"/>
  <c r="B76" i="9"/>
  <c r="A77" i="9"/>
  <c r="AP74" i="6" l="1"/>
  <c r="Q64" i="11"/>
  <c r="R64" i="11" s="1"/>
  <c r="C71" i="9"/>
  <c r="D76" i="9"/>
  <c r="AF69" i="6"/>
  <c r="AG69" i="6"/>
  <c r="P66" i="11" s="1"/>
  <c r="AL71" i="6"/>
  <c r="K74" i="6"/>
  <c r="L74" i="6" s="1"/>
  <c r="K73" i="6"/>
  <c r="L73" i="6" s="1"/>
  <c r="AK72" i="6"/>
  <c r="AL72" i="6" s="1"/>
  <c r="AL70" i="6"/>
  <c r="AC70" i="6"/>
  <c r="AG70" i="6" s="1"/>
  <c r="P67" i="11" s="1"/>
  <c r="AC71" i="6"/>
  <c r="M76" i="6"/>
  <c r="AO76" i="6" s="1"/>
  <c r="AA72" i="6"/>
  <c r="AB72" i="6" s="1"/>
  <c r="Y75" i="6"/>
  <c r="N75" i="6"/>
  <c r="U75" i="6"/>
  <c r="AJ75" i="6"/>
  <c r="Z75" i="6"/>
  <c r="T75" i="6"/>
  <c r="P75" i="6"/>
  <c r="R75" i="6" s="1"/>
  <c r="AH75" i="6" s="1"/>
  <c r="M77" i="6"/>
  <c r="AO77" i="6" s="1"/>
  <c r="AH74" i="6"/>
  <c r="AD74" i="6"/>
  <c r="AE74" i="6"/>
  <c r="AD73" i="6"/>
  <c r="AE73" i="6"/>
  <c r="AH73" i="6"/>
  <c r="A73" i="6"/>
  <c r="A74" i="6"/>
  <c r="AF71" i="6"/>
  <c r="AF70" i="6"/>
  <c r="AI75" i="6"/>
  <c r="F75" i="6"/>
  <c r="H73" i="6"/>
  <c r="H74" i="6"/>
  <c r="A78" i="9"/>
  <c r="B77" i="9"/>
  <c r="AP76" i="6" l="1"/>
  <c r="AP75" i="6"/>
  <c r="Q66" i="11"/>
  <c r="R66" i="11" s="1"/>
  <c r="Q68" i="11"/>
  <c r="Q67" i="11"/>
  <c r="R67" i="11" s="1"/>
  <c r="C72" i="9"/>
  <c r="D77" i="9"/>
  <c r="AM72" i="6"/>
  <c r="K75" i="6"/>
  <c r="L75" i="6" s="1"/>
  <c r="AK73" i="6"/>
  <c r="AM73" i="6" s="1"/>
  <c r="AK74" i="6"/>
  <c r="AL74" i="6" s="1"/>
  <c r="AC72" i="6"/>
  <c r="AG71" i="6"/>
  <c r="P68" i="11" s="1"/>
  <c r="AA73" i="6"/>
  <c r="AC73" i="6" s="1"/>
  <c r="AA74" i="6"/>
  <c r="AB74" i="6" s="1"/>
  <c r="M78" i="6"/>
  <c r="AO78" i="6" s="1"/>
  <c r="Y76" i="6"/>
  <c r="P76" i="6"/>
  <c r="R76" i="6" s="1"/>
  <c r="U76" i="6"/>
  <c r="AJ76" i="6"/>
  <c r="Z76" i="6"/>
  <c r="T76" i="6"/>
  <c r="N76" i="6"/>
  <c r="Y77" i="6"/>
  <c r="Z77" i="6"/>
  <c r="U77" i="6"/>
  <c r="AJ77" i="6"/>
  <c r="P77" i="6"/>
  <c r="R77" i="6" s="1"/>
  <c r="T77" i="6"/>
  <c r="N77" i="6"/>
  <c r="AD75" i="6"/>
  <c r="AE75" i="6"/>
  <c r="H75" i="6"/>
  <c r="AF72" i="6"/>
  <c r="AI76" i="6"/>
  <c r="F76" i="6"/>
  <c r="AI77" i="6"/>
  <c r="F77" i="6"/>
  <c r="A75" i="6"/>
  <c r="B78" i="9"/>
  <c r="A79" i="9"/>
  <c r="R68" i="11" l="1"/>
  <c r="AP77" i="6"/>
  <c r="Q69" i="11"/>
  <c r="C73" i="9"/>
  <c r="D78" i="9"/>
  <c r="AL73" i="6"/>
  <c r="AM74" i="6"/>
  <c r="K76" i="6"/>
  <c r="L76" i="6" s="1"/>
  <c r="K77" i="6"/>
  <c r="L77" i="6" s="1"/>
  <c r="AA75" i="6"/>
  <c r="AG72" i="6"/>
  <c r="AB73" i="6"/>
  <c r="AK75" i="6"/>
  <c r="AM75" i="6" s="1"/>
  <c r="AC74" i="6"/>
  <c r="AH76" i="6"/>
  <c r="AE76" i="6"/>
  <c r="AD76" i="6"/>
  <c r="M80" i="6"/>
  <c r="AO80" i="6" s="1"/>
  <c r="AD77" i="6"/>
  <c r="AH77" i="6"/>
  <c r="AE77" i="6"/>
  <c r="Z78" i="6"/>
  <c r="T78" i="6"/>
  <c r="AJ78" i="6"/>
  <c r="N78" i="6"/>
  <c r="U78" i="6"/>
  <c r="Y78" i="6"/>
  <c r="P78" i="6"/>
  <c r="R78" i="6" s="1"/>
  <c r="M79" i="6"/>
  <c r="AO79" i="6" s="1"/>
  <c r="A77" i="6"/>
  <c r="AG73" i="6"/>
  <c r="P70" i="11" s="1"/>
  <c r="A76" i="6"/>
  <c r="H76" i="6"/>
  <c r="AF74" i="6"/>
  <c r="H77" i="6"/>
  <c r="AI78" i="6"/>
  <c r="F78" i="6"/>
  <c r="B79" i="9"/>
  <c r="A80" i="9"/>
  <c r="AP79" i="6" l="1"/>
  <c r="AP78" i="6"/>
  <c r="Q71" i="11"/>
  <c r="C74" i="9"/>
  <c r="D79" i="9"/>
  <c r="P69" i="11"/>
  <c r="R69" i="11" s="1"/>
  <c r="AC75" i="6"/>
  <c r="AB75" i="6"/>
  <c r="K78" i="6"/>
  <c r="L78" i="6" s="1"/>
  <c r="AK76" i="6"/>
  <c r="AL76" i="6" s="1"/>
  <c r="AK77" i="6"/>
  <c r="AM77" i="6" s="1"/>
  <c r="AF73" i="6"/>
  <c r="AL75" i="6"/>
  <c r="AA76" i="6"/>
  <c r="AG74" i="6"/>
  <c r="AA77" i="6"/>
  <c r="AC77" i="6" s="1"/>
  <c r="AE78" i="6"/>
  <c r="AD78" i="6"/>
  <c r="AH78" i="6"/>
  <c r="M81" i="6"/>
  <c r="AO81" i="6" s="1"/>
  <c r="Z79" i="6"/>
  <c r="Y79" i="6"/>
  <c r="T79" i="6"/>
  <c r="AJ79" i="6"/>
  <c r="N79" i="6"/>
  <c r="P79" i="6"/>
  <c r="R79" i="6" s="1"/>
  <c r="U79" i="6"/>
  <c r="T80" i="6"/>
  <c r="Z80" i="6"/>
  <c r="P80" i="6"/>
  <c r="R80" i="6" s="1"/>
  <c r="Y80" i="6"/>
  <c r="AJ80" i="6"/>
  <c r="U80" i="6"/>
  <c r="N80" i="6"/>
  <c r="H78" i="6"/>
  <c r="A78" i="6"/>
  <c r="AI80" i="6"/>
  <c r="F80" i="6"/>
  <c r="AI79" i="6"/>
  <c r="F79" i="6"/>
  <c r="B80" i="9"/>
  <c r="A81" i="9"/>
  <c r="AP80" i="6" l="1"/>
  <c r="Q70" i="11"/>
  <c r="R70" i="11" s="1"/>
  <c r="D80" i="9"/>
  <c r="C75" i="9"/>
  <c r="AG75" i="6"/>
  <c r="P72" i="11" s="1"/>
  <c r="P71" i="11"/>
  <c r="R71" i="11" s="1"/>
  <c r="AL77" i="6"/>
  <c r="AF75" i="6"/>
  <c r="AM76" i="6"/>
  <c r="K79" i="6"/>
  <c r="L79" i="6" s="1"/>
  <c r="K80" i="6"/>
  <c r="L80" i="6" s="1"/>
  <c r="AK78" i="6"/>
  <c r="AL78" i="6" s="1"/>
  <c r="AC76" i="6"/>
  <c r="AG76" i="6" s="1"/>
  <c r="P73" i="11" s="1"/>
  <c r="AB76" i="6"/>
  <c r="AF76" i="6" s="1"/>
  <c r="AB77" i="6"/>
  <c r="AF77" i="6" s="1"/>
  <c r="AA78" i="6"/>
  <c r="AC78" i="6" s="1"/>
  <c r="M83" i="6"/>
  <c r="AO83" i="6" s="1"/>
  <c r="AE79" i="6"/>
  <c r="AD79" i="6"/>
  <c r="AH79" i="6"/>
  <c r="M82" i="6"/>
  <c r="AO82" i="6" s="1"/>
  <c r="AH80" i="6"/>
  <c r="AE80" i="6"/>
  <c r="AD80" i="6"/>
  <c r="Y81" i="6"/>
  <c r="N81" i="6"/>
  <c r="AJ81" i="6"/>
  <c r="T81" i="6"/>
  <c r="U81" i="6"/>
  <c r="P81" i="6"/>
  <c r="R81" i="6" s="1"/>
  <c r="Z81" i="6"/>
  <c r="AI81" i="6"/>
  <c r="F81" i="6"/>
  <c r="A79" i="6"/>
  <c r="H79" i="6"/>
  <c r="A80" i="6"/>
  <c r="H80" i="6"/>
  <c r="AG77" i="6"/>
  <c r="P74" i="11" s="1"/>
  <c r="B81" i="9"/>
  <c r="A82" i="9"/>
  <c r="AP82" i="6" l="1"/>
  <c r="AP81" i="6"/>
  <c r="Q74" i="11"/>
  <c r="R74" i="11" s="1"/>
  <c r="Q72" i="11"/>
  <c r="R72" i="11" s="1"/>
  <c r="Q73" i="11"/>
  <c r="R73" i="11" s="1"/>
  <c r="D81" i="9"/>
  <c r="C76" i="9"/>
  <c r="AM78" i="6"/>
  <c r="K81" i="6"/>
  <c r="L81" i="6" s="1"/>
  <c r="AK79" i="6"/>
  <c r="AM79" i="6" s="1"/>
  <c r="AA80" i="6"/>
  <c r="AB78" i="6"/>
  <c r="AA79" i="6"/>
  <c r="AC79" i="6" s="1"/>
  <c r="AK80" i="6"/>
  <c r="AL80" i="6" s="1"/>
  <c r="Y83" i="6"/>
  <c r="Z83" i="6"/>
  <c r="U83" i="6"/>
  <c r="AJ83" i="6"/>
  <c r="T83" i="6"/>
  <c r="P83" i="6"/>
  <c r="R83" i="6" s="1"/>
  <c r="AH83" i="6" s="1"/>
  <c r="N83" i="6"/>
  <c r="M84" i="6"/>
  <c r="AO84" i="6" s="1"/>
  <c r="AH81" i="6"/>
  <c r="AE81" i="6"/>
  <c r="AD81" i="6"/>
  <c r="P82" i="6"/>
  <c r="R82" i="6" s="1"/>
  <c r="AH82" i="6" s="1"/>
  <c r="AJ82" i="6"/>
  <c r="Z82" i="6"/>
  <c r="U82" i="6"/>
  <c r="Y82" i="6"/>
  <c r="N82" i="6"/>
  <c r="T82" i="6"/>
  <c r="AI82" i="6"/>
  <c r="D30" i="8" s="1"/>
  <c r="F82" i="6"/>
  <c r="A81" i="6"/>
  <c r="AG78" i="6"/>
  <c r="P75" i="11" s="1"/>
  <c r="H81" i="6"/>
  <c r="AI83" i="6"/>
  <c r="F83" i="6"/>
  <c r="B82" i="9"/>
  <c r="A83" i="9"/>
  <c r="AP83" i="6" l="1"/>
  <c r="C77" i="9"/>
  <c r="D82" i="9"/>
  <c r="A83" i="6"/>
  <c r="A82" i="6"/>
  <c r="AC80" i="6"/>
  <c r="AG80" i="6" s="1"/>
  <c r="P77" i="11" s="1"/>
  <c r="AL79" i="6"/>
  <c r="AB80" i="6"/>
  <c r="AF80" i="6" s="1"/>
  <c r="K83" i="6"/>
  <c r="L83" i="6" s="1"/>
  <c r="K82" i="6"/>
  <c r="L82" i="6" s="1"/>
  <c r="AK81" i="6"/>
  <c r="AL81" i="6" s="1"/>
  <c r="AF78" i="6"/>
  <c r="AM80" i="6"/>
  <c r="AB79" i="6"/>
  <c r="AF79" i="6" s="1"/>
  <c r="H28" i="8"/>
  <c r="AA81" i="6"/>
  <c r="AC81" i="6" s="1"/>
  <c r="M86" i="6"/>
  <c r="AO86" i="6" s="1"/>
  <c r="AD82" i="6"/>
  <c r="AE82" i="6"/>
  <c r="M85" i="6"/>
  <c r="AO85" i="6" s="1"/>
  <c r="Z84" i="6"/>
  <c r="T84" i="6"/>
  <c r="U84" i="6"/>
  <c r="Y84" i="6"/>
  <c r="AJ84" i="6"/>
  <c r="N84" i="6"/>
  <c r="P84" i="6"/>
  <c r="R84" i="6" s="1"/>
  <c r="AH84" i="6" s="1"/>
  <c r="AD83" i="6"/>
  <c r="AE83" i="6"/>
  <c r="F84" i="6"/>
  <c r="AI84" i="6"/>
  <c r="H83" i="6"/>
  <c r="H82" i="6"/>
  <c r="AG79" i="6"/>
  <c r="P76" i="11" s="1"/>
  <c r="B83" i="9"/>
  <c r="A84" i="9"/>
  <c r="AP84" i="6" l="1"/>
  <c r="AP85" i="6"/>
  <c r="Q76" i="11"/>
  <c r="R76" i="11" s="1"/>
  <c r="Q75" i="11"/>
  <c r="R75" i="11" s="1"/>
  <c r="Q77" i="11"/>
  <c r="R77" i="11" s="1"/>
  <c r="D83" i="9"/>
  <c r="C78" i="9"/>
  <c r="A84" i="6"/>
  <c r="AM81" i="6"/>
  <c r="K84" i="6"/>
  <c r="L84" i="6" s="1"/>
  <c r="AK82" i="6"/>
  <c r="AM82" i="6" s="1"/>
  <c r="AA83" i="6"/>
  <c r="AB83" i="6" s="1"/>
  <c r="AK83" i="6"/>
  <c r="AM83" i="6" s="1"/>
  <c r="AB81" i="6"/>
  <c r="AA82" i="6"/>
  <c r="AB82" i="6" s="1"/>
  <c r="AE84" i="6"/>
  <c r="AD84" i="6"/>
  <c r="M87" i="6"/>
  <c r="AO87" i="6" s="1"/>
  <c r="U86" i="6"/>
  <c r="Y86" i="6"/>
  <c r="AJ86" i="6"/>
  <c r="Z86" i="6"/>
  <c r="T86" i="6"/>
  <c r="P86" i="6"/>
  <c r="R86" i="6" s="1"/>
  <c r="AH86" i="6" s="1"/>
  <c r="N86" i="6"/>
  <c r="Z85" i="6"/>
  <c r="AJ85" i="6"/>
  <c r="P85" i="6"/>
  <c r="R85" i="6" s="1"/>
  <c r="AH85" i="6" s="1"/>
  <c r="U85" i="6"/>
  <c r="N85" i="6"/>
  <c r="Y85" i="6"/>
  <c r="T85" i="6"/>
  <c r="AI85" i="6"/>
  <c r="F85" i="6"/>
  <c r="AG81" i="6"/>
  <c r="P78" i="11" s="1"/>
  <c r="AI86" i="6"/>
  <c r="F86" i="6"/>
  <c r="H84" i="6"/>
  <c r="B84" i="9"/>
  <c r="A85" i="9"/>
  <c r="AP86" i="6" l="1"/>
  <c r="C79" i="9"/>
  <c r="D84" i="9"/>
  <c r="A85" i="6"/>
  <c r="A86" i="6"/>
  <c r="D28" i="8"/>
  <c r="AC83" i="6"/>
  <c r="AG83" i="6" s="1"/>
  <c r="P80" i="11" s="1"/>
  <c r="K85" i="6"/>
  <c r="L85" i="6" s="1"/>
  <c r="K86" i="6"/>
  <c r="L86" i="6" s="1"/>
  <c r="AK84" i="6"/>
  <c r="AL84" i="6" s="1"/>
  <c r="AL82" i="6"/>
  <c r="AL83" i="6"/>
  <c r="AA84" i="6"/>
  <c r="AF81" i="6"/>
  <c r="AC82" i="6"/>
  <c r="AG82" i="6" s="1"/>
  <c r="P79" i="11" s="1"/>
  <c r="M88" i="6"/>
  <c r="AO88" i="6" s="1"/>
  <c r="AD85" i="6"/>
  <c r="AE85" i="6"/>
  <c r="AE86" i="6"/>
  <c r="AD86" i="6"/>
  <c r="M89" i="6"/>
  <c r="AO89" i="6" s="1"/>
  <c r="U87" i="6"/>
  <c r="AJ87" i="6"/>
  <c r="Y87" i="6"/>
  <c r="Z87" i="6"/>
  <c r="P87" i="6"/>
  <c r="R87" i="6" s="1"/>
  <c r="AH87" i="6" s="1"/>
  <c r="T87" i="6"/>
  <c r="N87" i="6"/>
  <c r="H85" i="6"/>
  <c r="AI87" i="6"/>
  <c r="F87" i="6"/>
  <c r="AF83" i="6"/>
  <c r="H86" i="6"/>
  <c r="AF82" i="6"/>
  <c r="B85" i="9"/>
  <c r="A86" i="9"/>
  <c r="AP88" i="6" l="1"/>
  <c r="AP87" i="6"/>
  <c r="Q79" i="11"/>
  <c r="R79" i="11" s="1"/>
  <c r="Q80" i="11"/>
  <c r="R80" i="11" s="1"/>
  <c r="Q78" i="11"/>
  <c r="R78" i="11" s="1"/>
  <c r="C80" i="9"/>
  <c r="D85" i="9"/>
  <c r="A87" i="6"/>
  <c r="AM84" i="6"/>
  <c r="K87" i="6"/>
  <c r="L87" i="6" s="1"/>
  <c r="AA85" i="6"/>
  <c r="AB85" i="6" s="1"/>
  <c r="AK85" i="6"/>
  <c r="AM85" i="6" s="1"/>
  <c r="AA86" i="6"/>
  <c r="AC84" i="6"/>
  <c r="AG84" i="6" s="1"/>
  <c r="P81" i="11" s="1"/>
  <c r="AB84" i="6"/>
  <c r="AF84" i="6" s="1"/>
  <c r="AK86" i="6"/>
  <c r="AL86" i="6" s="1"/>
  <c r="AD87" i="6"/>
  <c r="AE87" i="6"/>
  <c r="Y89" i="6"/>
  <c r="U89" i="6"/>
  <c r="Z89" i="6"/>
  <c r="T89" i="6"/>
  <c r="AJ89" i="6"/>
  <c r="P89" i="6"/>
  <c r="R89" i="6" s="1"/>
  <c r="AH89" i="6" s="1"/>
  <c r="N89" i="6"/>
  <c r="T88" i="6"/>
  <c r="Y88" i="6"/>
  <c r="AJ88" i="6"/>
  <c r="U88" i="6"/>
  <c r="Z88" i="6"/>
  <c r="P88" i="6"/>
  <c r="R88" i="6" s="1"/>
  <c r="AH88" i="6" s="1"/>
  <c r="N88" i="6"/>
  <c r="M90" i="6"/>
  <c r="AO90" i="6" s="1"/>
  <c r="AI89" i="6"/>
  <c r="F89" i="6"/>
  <c r="H87" i="6"/>
  <c r="AI88" i="6"/>
  <c r="F88" i="6"/>
  <c r="B86" i="9"/>
  <c r="A87" i="9"/>
  <c r="AP89" i="6" l="1"/>
  <c r="Q81" i="11"/>
  <c r="R81" i="11" s="1"/>
  <c r="D86" i="9"/>
  <c r="C81" i="9"/>
  <c r="A89" i="6"/>
  <c r="A88" i="6"/>
  <c r="AC85" i="6"/>
  <c r="AC86" i="6"/>
  <c r="AL85" i="6"/>
  <c r="AB86" i="6"/>
  <c r="K88" i="6"/>
  <c r="L88" i="6" s="1"/>
  <c r="K89" i="6"/>
  <c r="L89" i="6" s="1"/>
  <c r="AK87" i="6"/>
  <c r="AM87" i="6" s="1"/>
  <c r="AM86" i="6"/>
  <c r="AA87" i="6"/>
  <c r="AC87" i="6" s="1"/>
  <c r="AE89" i="6"/>
  <c r="AD89" i="6"/>
  <c r="M92" i="6"/>
  <c r="AO92" i="6" s="1"/>
  <c r="M91" i="6"/>
  <c r="AO91" i="6" s="1"/>
  <c r="N90" i="6"/>
  <c r="T90" i="6"/>
  <c r="U90" i="6"/>
  <c r="Z90" i="6"/>
  <c r="P90" i="6"/>
  <c r="R90" i="6" s="1"/>
  <c r="AH90" i="6" s="1"/>
  <c r="AJ90" i="6"/>
  <c r="Y90" i="6"/>
  <c r="AD88" i="6"/>
  <c r="AE88" i="6"/>
  <c r="AI90" i="6"/>
  <c r="F90" i="6"/>
  <c r="H89" i="6"/>
  <c r="H88" i="6"/>
  <c r="AF85" i="6"/>
  <c r="A88" i="9"/>
  <c r="B87" i="9"/>
  <c r="AP91" i="6" l="1"/>
  <c r="AP90" i="6"/>
  <c r="Q82" i="11"/>
  <c r="D87" i="9"/>
  <c r="C82" i="9"/>
  <c r="A90" i="6"/>
  <c r="AG86" i="6"/>
  <c r="AL87" i="6"/>
  <c r="AG85" i="6"/>
  <c r="P82" i="11" s="1"/>
  <c r="AF86" i="6"/>
  <c r="K90" i="6"/>
  <c r="L90" i="6" s="1"/>
  <c r="AK89" i="6"/>
  <c r="AL89" i="6" s="1"/>
  <c r="AA88" i="6"/>
  <c r="AB87" i="6"/>
  <c r="AK88" i="6"/>
  <c r="AM88" i="6" s="1"/>
  <c r="AA89" i="6"/>
  <c r="AC89" i="6" s="1"/>
  <c r="AJ91" i="6"/>
  <c r="U91" i="6"/>
  <c r="Y91" i="6"/>
  <c r="Z91" i="6"/>
  <c r="T91" i="6"/>
  <c r="P91" i="6"/>
  <c r="R91" i="6" s="1"/>
  <c r="AH91" i="6" s="1"/>
  <c r="N91" i="6"/>
  <c r="M93" i="6"/>
  <c r="AO93" i="6" s="1"/>
  <c r="AD90" i="6"/>
  <c r="AE90" i="6"/>
  <c r="N92" i="6"/>
  <c r="Z92" i="6"/>
  <c r="T92" i="6"/>
  <c r="P92" i="6"/>
  <c r="R92" i="6" s="1"/>
  <c r="AH92" i="6" s="1"/>
  <c r="U92" i="6"/>
  <c r="AJ92" i="6"/>
  <c r="Y92" i="6"/>
  <c r="AI92" i="6"/>
  <c r="F92" i="6"/>
  <c r="H90" i="6"/>
  <c r="AI91" i="6"/>
  <c r="F91" i="6"/>
  <c r="AG87" i="6"/>
  <c r="P84" i="11" s="1"/>
  <c r="A89" i="9"/>
  <c r="B88" i="9"/>
  <c r="R82" i="11" l="1"/>
  <c r="AP92" i="6"/>
  <c r="Q83" i="11"/>
  <c r="D88" i="9"/>
  <c r="C83" i="9"/>
  <c r="AB88" i="6"/>
  <c r="A91" i="6"/>
  <c r="A92" i="6"/>
  <c r="P83" i="11"/>
  <c r="AM89" i="6"/>
  <c r="K92" i="6"/>
  <c r="L92" i="6" s="1"/>
  <c r="K91" i="6"/>
  <c r="L91" i="6" s="1"/>
  <c r="AK90" i="6"/>
  <c r="AL90" i="6" s="1"/>
  <c r="AC88" i="6"/>
  <c r="AG88" i="6" s="1"/>
  <c r="P85" i="11" s="1"/>
  <c r="AL88" i="6"/>
  <c r="AF87" i="6"/>
  <c r="AB89" i="6"/>
  <c r="AA90" i="6"/>
  <c r="AC90" i="6" s="1"/>
  <c r="Y93" i="6"/>
  <c r="Z93" i="6"/>
  <c r="P93" i="6"/>
  <c r="R93" i="6" s="1"/>
  <c r="AH93" i="6" s="1"/>
  <c r="U93" i="6"/>
  <c r="N93" i="6"/>
  <c r="AJ93" i="6"/>
  <c r="T93" i="6"/>
  <c r="AD91" i="6"/>
  <c r="AE91" i="6"/>
  <c r="M95" i="6"/>
  <c r="AO95" i="6" s="1"/>
  <c r="AD92" i="6"/>
  <c r="AE92" i="6"/>
  <c r="M94" i="6"/>
  <c r="AO94" i="6" s="1"/>
  <c r="H91" i="6"/>
  <c r="H92" i="6"/>
  <c r="AG89" i="6"/>
  <c r="P86" i="11" s="1"/>
  <c r="AI93" i="6"/>
  <c r="F93" i="6"/>
  <c r="B89" i="9"/>
  <c r="A90" i="9"/>
  <c r="R83" i="11" l="1"/>
  <c r="AP94" i="6"/>
  <c r="AP93" i="6"/>
  <c r="Q84" i="11"/>
  <c r="R84" i="11" s="1"/>
  <c r="D89" i="9"/>
  <c r="C84" i="9"/>
  <c r="AF88" i="6"/>
  <c r="A93" i="6"/>
  <c r="AM90" i="6"/>
  <c r="K93" i="6"/>
  <c r="L93" i="6" s="1"/>
  <c r="AK92" i="6"/>
  <c r="AL92" i="6" s="1"/>
  <c r="AK91" i="6"/>
  <c r="AL91" i="6" s="1"/>
  <c r="AF89" i="6"/>
  <c r="AA91" i="6"/>
  <c r="AA92" i="6"/>
  <c r="AC92" i="6" s="1"/>
  <c r="AB90" i="6"/>
  <c r="AF90" i="6" s="1"/>
  <c r="AE93" i="6"/>
  <c r="AD93" i="6"/>
  <c r="Y94" i="6"/>
  <c r="AJ94" i="6"/>
  <c r="Z94" i="6"/>
  <c r="T94" i="6"/>
  <c r="U94" i="6"/>
  <c r="N94" i="6"/>
  <c r="P94" i="6"/>
  <c r="R94" i="6" s="1"/>
  <c r="AH94" i="6" s="1"/>
  <c r="AJ95" i="6"/>
  <c r="T95" i="6"/>
  <c r="Z95" i="6"/>
  <c r="U95" i="6"/>
  <c r="Y95" i="6"/>
  <c r="N95" i="6"/>
  <c r="P95" i="6"/>
  <c r="R95" i="6" s="1"/>
  <c r="AH95" i="6" s="1"/>
  <c r="M96" i="6"/>
  <c r="AO96" i="6" s="1"/>
  <c r="H93" i="6"/>
  <c r="AI95" i="6"/>
  <c r="F95" i="6"/>
  <c r="AG90" i="6"/>
  <c r="P87" i="11" s="1"/>
  <c r="AI94" i="6"/>
  <c r="F94" i="6"/>
  <c r="B90" i="9"/>
  <c r="A91" i="9"/>
  <c r="AP95" i="6" l="1"/>
  <c r="Q86" i="11"/>
  <c r="R86" i="11" s="1"/>
  <c r="Q87" i="11"/>
  <c r="R87" i="11" s="1"/>
  <c r="Q85" i="11"/>
  <c r="R85" i="11" s="1"/>
  <c r="C85" i="9"/>
  <c r="D90" i="9"/>
  <c r="A95" i="6"/>
  <c r="A94" i="6"/>
  <c r="AM92" i="6"/>
  <c r="K95" i="6"/>
  <c r="L95" i="6" s="1"/>
  <c r="K94" i="6"/>
  <c r="L94" i="6" s="1"/>
  <c r="AA93" i="6"/>
  <c r="AM91" i="6"/>
  <c r="AC91" i="6"/>
  <c r="AB91" i="6"/>
  <c r="AK93" i="6"/>
  <c r="AM93" i="6" s="1"/>
  <c r="AB92" i="6"/>
  <c r="T96" i="6"/>
  <c r="AJ96" i="6"/>
  <c r="Z96" i="6"/>
  <c r="U96" i="6"/>
  <c r="Y96" i="6"/>
  <c r="P96" i="6"/>
  <c r="R96" i="6" s="1"/>
  <c r="AH96" i="6" s="1"/>
  <c r="N96" i="6"/>
  <c r="M98" i="6"/>
  <c r="AO98" i="6" s="1"/>
  <c r="AD95" i="6"/>
  <c r="AE95" i="6"/>
  <c r="M97" i="6"/>
  <c r="AO97" i="6" s="1"/>
  <c r="AD94" i="6"/>
  <c r="AE94" i="6"/>
  <c r="AG92" i="6"/>
  <c r="P89" i="11" s="1"/>
  <c r="H95" i="6"/>
  <c r="AI96" i="6"/>
  <c r="F96" i="6"/>
  <c r="H94" i="6"/>
  <c r="B91" i="9"/>
  <c r="A92" i="9"/>
  <c r="E8" i="21" l="1"/>
  <c r="E9" i="21"/>
  <c r="E6" i="21"/>
  <c r="E5" i="21"/>
  <c r="E4" i="21"/>
  <c r="E7" i="21"/>
  <c r="AP97" i="6"/>
  <c r="AP96" i="6"/>
  <c r="D91" i="9"/>
  <c r="C86" i="9"/>
  <c r="A96" i="6"/>
  <c r="AB93" i="6"/>
  <c r="AC93" i="6"/>
  <c r="AG93" i="6" s="1"/>
  <c r="P90" i="11" s="1"/>
  <c r="K96" i="6"/>
  <c r="L96" i="6" s="1"/>
  <c r="AK94" i="6"/>
  <c r="AL94" i="6" s="1"/>
  <c r="AA95" i="6"/>
  <c r="AG91" i="6"/>
  <c r="AF91" i="6"/>
  <c r="AK95" i="6"/>
  <c r="AL95" i="6" s="1"/>
  <c r="AL93" i="6"/>
  <c r="AF92" i="6"/>
  <c r="AA94" i="6"/>
  <c r="M99" i="6"/>
  <c r="AO99" i="6" s="1"/>
  <c r="U97" i="6"/>
  <c r="Y97" i="6"/>
  <c r="AJ97" i="6"/>
  <c r="T97" i="6"/>
  <c r="N97" i="6"/>
  <c r="P97" i="6"/>
  <c r="R97" i="6" s="1"/>
  <c r="AH97" i="6" s="1"/>
  <c r="Z97" i="6"/>
  <c r="U98" i="6"/>
  <c r="AJ98" i="6"/>
  <c r="Y98" i="6"/>
  <c r="P98" i="6"/>
  <c r="R98" i="6" s="1"/>
  <c r="AH98" i="6" s="1"/>
  <c r="N98" i="6"/>
  <c r="Z98" i="6"/>
  <c r="T98" i="6"/>
  <c r="AE96" i="6"/>
  <c r="AD96" i="6"/>
  <c r="AI97" i="6"/>
  <c r="F97" i="6"/>
  <c r="AI98" i="6"/>
  <c r="F98" i="6"/>
  <c r="H96" i="6"/>
  <c r="B92" i="9"/>
  <c r="A93" i="9"/>
  <c r="AP98" i="6" l="1"/>
  <c r="Q89" i="11"/>
  <c r="R89" i="11" s="1"/>
  <c r="Q88" i="11"/>
  <c r="C87" i="9"/>
  <c r="D92" i="9"/>
  <c r="A97" i="6"/>
  <c r="A98" i="6"/>
  <c r="P88" i="11"/>
  <c r="AB95" i="6"/>
  <c r="AF93" i="6"/>
  <c r="AC95" i="6"/>
  <c r="AG95" i="6" s="1"/>
  <c r="P92" i="11" s="1"/>
  <c r="AM94" i="6"/>
  <c r="K97" i="6"/>
  <c r="L97" i="6" s="1"/>
  <c r="K98" i="6"/>
  <c r="L98" i="6" s="1"/>
  <c r="AK96" i="6"/>
  <c r="AL96" i="6" s="1"/>
  <c r="AM95" i="6"/>
  <c r="AC94" i="6"/>
  <c r="AG94" i="6" s="1"/>
  <c r="P91" i="11" s="1"/>
  <c r="AB94" i="6"/>
  <c r="AF94" i="6" s="1"/>
  <c r="AA96" i="6"/>
  <c r="AB96" i="6" s="1"/>
  <c r="M101" i="6"/>
  <c r="AO101" i="6" s="1"/>
  <c r="M100" i="6"/>
  <c r="AO100" i="6" s="1"/>
  <c r="AE98" i="6"/>
  <c r="AD98" i="6"/>
  <c r="U99" i="6"/>
  <c r="P99" i="6"/>
  <c r="R99" i="6" s="1"/>
  <c r="AH99" i="6" s="1"/>
  <c r="Y99" i="6"/>
  <c r="Z99" i="6"/>
  <c r="AJ99" i="6"/>
  <c r="T99" i="6"/>
  <c r="N99" i="6"/>
  <c r="AD97" i="6"/>
  <c r="AE97" i="6"/>
  <c r="H98" i="6"/>
  <c r="AI99" i="6"/>
  <c r="F99" i="6"/>
  <c r="H97" i="6"/>
  <c r="A94" i="9"/>
  <c r="B93" i="9"/>
  <c r="R88" i="11" l="1"/>
  <c r="AP100" i="6"/>
  <c r="AP99" i="6"/>
  <c r="Q91" i="11"/>
  <c r="R91" i="11" s="1"/>
  <c r="Q90" i="11"/>
  <c r="R90" i="11" s="1"/>
  <c r="C88" i="9"/>
  <c r="D93" i="9"/>
  <c r="A99" i="6"/>
  <c r="AF95" i="6"/>
  <c r="AM96" i="6"/>
  <c r="K99" i="6"/>
  <c r="L99" i="6" s="1"/>
  <c r="AK98" i="6"/>
  <c r="AM98" i="6" s="1"/>
  <c r="AK97" i="6"/>
  <c r="AM97" i="6" s="1"/>
  <c r="AC96" i="6"/>
  <c r="AA97" i="6"/>
  <c r="AC97" i="6" s="1"/>
  <c r="AA98" i="6"/>
  <c r="M102" i="6"/>
  <c r="AO102" i="6" s="1"/>
  <c r="Z100" i="6"/>
  <c r="U100" i="6"/>
  <c r="Y100" i="6"/>
  <c r="T100" i="6"/>
  <c r="AJ100" i="6"/>
  <c r="P100" i="6"/>
  <c r="R100" i="6" s="1"/>
  <c r="AH100" i="6" s="1"/>
  <c r="N100" i="6"/>
  <c r="AE99" i="6"/>
  <c r="AD99" i="6"/>
  <c r="T101" i="6"/>
  <c r="U101" i="6"/>
  <c r="Y101" i="6"/>
  <c r="Z101" i="6"/>
  <c r="N101" i="6"/>
  <c r="AJ101" i="6"/>
  <c r="P101" i="6"/>
  <c r="R101" i="6" s="1"/>
  <c r="AH101" i="6" s="1"/>
  <c r="AF96" i="6"/>
  <c r="AI100" i="6"/>
  <c r="F100" i="6"/>
  <c r="H99" i="6"/>
  <c r="AI101" i="6"/>
  <c r="F101" i="6"/>
  <c r="A95" i="9"/>
  <c r="B94" i="9"/>
  <c r="AP101" i="6" l="1"/>
  <c r="Q93" i="11"/>
  <c r="Q92" i="11"/>
  <c r="R92" i="11" s="1"/>
  <c r="D94" i="9"/>
  <c r="C89" i="9"/>
  <c r="A101" i="6"/>
  <c r="A100" i="6"/>
  <c r="AL98" i="6"/>
  <c r="K101" i="6"/>
  <c r="L101" i="6" s="1"/>
  <c r="K100" i="6"/>
  <c r="L100" i="6" s="1"/>
  <c r="AA99" i="6"/>
  <c r="AL97" i="6"/>
  <c r="AB97" i="6"/>
  <c r="AF97" i="6" s="1"/>
  <c r="AK99" i="6"/>
  <c r="AM99" i="6" s="1"/>
  <c r="AG96" i="6"/>
  <c r="P93" i="11" s="1"/>
  <c r="AC98" i="6"/>
  <c r="AG98" i="6" s="1"/>
  <c r="P95" i="11" s="1"/>
  <c r="AB98" i="6"/>
  <c r="AF98" i="6" s="1"/>
  <c r="M104" i="6"/>
  <c r="AO104" i="6" s="1"/>
  <c r="AD100" i="6"/>
  <c r="AE100" i="6"/>
  <c r="M103" i="6"/>
  <c r="AO103" i="6" s="1"/>
  <c r="T102" i="6"/>
  <c r="Z102" i="6"/>
  <c r="U102" i="6"/>
  <c r="Y102" i="6"/>
  <c r="AJ102" i="6"/>
  <c r="N102" i="6"/>
  <c r="P102" i="6"/>
  <c r="R102" i="6" s="1"/>
  <c r="AH102" i="6" s="1"/>
  <c r="AE101" i="6"/>
  <c r="AD101" i="6"/>
  <c r="AI102" i="6"/>
  <c r="F102" i="6"/>
  <c r="H101" i="6"/>
  <c r="AG97" i="6"/>
  <c r="P94" i="11" s="1"/>
  <c r="H100" i="6"/>
  <c r="A96" i="9"/>
  <c r="B95" i="9"/>
  <c r="R93" i="11" l="1"/>
  <c r="AP103" i="6"/>
  <c r="AP102" i="6"/>
  <c r="Q95" i="11"/>
  <c r="R95" i="11" s="1"/>
  <c r="Q94" i="11"/>
  <c r="R94" i="11" s="1"/>
  <c r="D95" i="9"/>
  <c r="C90" i="9"/>
  <c r="A102" i="6"/>
  <c r="AC99" i="6"/>
  <c r="AB99" i="6"/>
  <c r="AL99" i="6"/>
  <c r="K102" i="6"/>
  <c r="L102" i="6" s="1"/>
  <c r="AA100" i="6"/>
  <c r="AB100" i="6" s="1"/>
  <c r="AK101" i="6"/>
  <c r="AM101" i="6" s="1"/>
  <c r="AK100" i="6"/>
  <c r="AL100" i="6" s="1"/>
  <c r="AA101" i="6"/>
  <c r="AC101" i="6" s="1"/>
  <c r="AE102" i="6"/>
  <c r="AD102" i="6"/>
  <c r="N103" i="6"/>
  <c r="Z103" i="6"/>
  <c r="U103" i="6"/>
  <c r="Y103" i="6"/>
  <c r="T103" i="6"/>
  <c r="P103" i="6"/>
  <c r="R103" i="6" s="1"/>
  <c r="AH103" i="6" s="1"/>
  <c r="AJ103" i="6"/>
  <c r="Y104" i="6"/>
  <c r="P104" i="6"/>
  <c r="R104" i="6" s="1"/>
  <c r="AH104" i="6" s="1"/>
  <c r="Z104" i="6"/>
  <c r="N104" i="6"/>
  <c r="U104" i="6"/>
  <c r="T104" i="6"/>
  <c r="AJ104" i="6"/>
  <c r="M105" i="6"/>
  <c r="AO105" i="6" s="1"/>
  <c r="AI103" i="6"/>
  <c r="F103" i="6"/>
  <c r="H102" i="6"/>
  <c r="AI104" i="6"/>
  <c r="F104" i="6"/>
  <c r="B96" i="9"/>
  <c r="A97" i="9"/>
  <c r="AP104" i="6" l="1"/>
  <c r="D96" i="9"/>
  <c r="C91" i="9"/>
  <c r="A103" i="6"/>
  <c r="A104" i="6"/>
  <c r="AG99" i="6"/>
  <c r="AF99" i="6"/>
  <c r="AL101" i="6"/>
  <c r="K103" i="6"/>
  <c r="L103" i="6" s="1"/>
  <c r="K104" i="6"/>
  <c r="L104" i="6" s="1"/>
  <c r="AK102" i="6"/>
  <c r="AM102" i="6" s="1"/>
  <c r="AC100" i="6"/>
  <c r="AG100" i="6" s="1"/>
  <c r="P97" i="11" s="1"/>
  <c r="AM100" i="6"/>
  <c r="AB101" i="6"/>
  <c r="AA102" i="6"/>
  <c r="M106" i="6"/>
  <c r="AO106" i="6" s="1"/>
  <c r="AE104" i="6"/>
  <c r="AD104" i="6"/>
  <c r="AE103" i="6"/>
  <c r="AD103" i="6"/>
  <c r="M107" i="6"/>
  <c r="AO107" i="6" s="1"/>
  <c r="AJ105" i="6"/>
  <c r="N105" i="6"/>
  <c r="Y105" i="6"/>
  <c r="U105" i="6"/>
  <c r="T105" i="6"/>
  <c r="Z105" i="6"/>
  <c r="P105" i="6"/>
  <c r="R105" i="6" s="1"/>
  <c r="AH105" i="6" s="1"/>
  <c r="AG101" i="6"/>
  <c r="P98" i="11" s="1"/>
  <c r="H103" i="6"/>
  <c r="H104" i="6"/>
  <c r="AI105" i="6"/>
  <c r="F105" i="6"/>
  <c r="AF100" i="6"/>
  <c r="B97" i="9"/>
  <c r="A98" i="9"/>
  <c r="AP105" i="6" l="1"/>
  <c r="AP106" i="6"/>
  <c r="Q96" i="11"/>
  <c r="Q97" i="11"/>
  <c r="R97" i="11" s="1"/>
  <c r="D97" i="9"/>
  <c r="C92" i="9"/>
  <c r="A105" i="6"/>
  <c r="P96" i="11"/>
  <c r="AC102" i="6"/>
  <c r="AG102" i="6" s="1"/>
  <c r="P99" i="11" s="1"/>
  <c r="AL102" i="6"/>
  <c r="K105" i="6"/>
  <c r="L105" i="6" s="1"/>
  <c r="AA104" i="6"/>
  <c r="AB104" i="6" s="1"/>
  <c r="AK103" i="6"/>
  <c r="AM103" i="6" s="1"/>
  <c r="AB102" i="6"/>
  <c r="AK104" i="6"/>
  <c r="AM104" i="6" s="1"/>
  <c r="AF101" i="6"/>
  <c r="AA103" i="6"/>
  <c r="AB103" i="6" s="1"/>
  <c r="U107" i="6"/>
  <c r="P107" i="6"/>
  <c r="R107" i="6" s="1"/>
  <c r="T107" i="6"/>
  <c r="AJ107" i="6"/>
  <c r="Y107" i="6"/>
  <c r="Z107" i="6"/>
  <c r="N107" i="6"/>
  <c r="Y106" i="6"/>
  <c r="U106" i="6"/>
  <c r="Z106" i="6"/>
  <c r="T106" i="6"/>
  <c r="AJ106" i="6"/>
  <c r="N106" i="6"/>
  <c r="P106" i="6"/>
  <c r="R106" i="6" s="1"/>
  <c r="AH106" i="6" s="1"/>
  <c r="M108" i="6"/>
  <c r="AO108" i="6" s="1"/>
  <c r="AD105" i="6"/>
  <c r="AE105" i="6"/>
  <c r="AI107" i="6"/>
  <c r="F107" i="6"/>
  <c r="H105" i="6"/>
  <c r="AI106" i="6"/>
  <c r="F106" i="6"/>
  <c r="A99" i="9"/>
  <c r="B98" i="9"/>
  <c r="R96" i="11" l="1"/>
  <c r="AP107" i="6"/>
  <c r="Q98" i="11"/>
  <c r="R98" i="11" s="1"/>
  <c r="C93" i="9"/>
  <c r="D98" i="9"/>
  <c r="A107" i="6"/>
  <c r="A106" i="6"/>
  <c r="AL103" i="6"/>
  <c r="AC104" i="6"/>
  <c r="AG104" i="6" s="1"/>
  <c r="P101" i="11" s="1"/>
  <c r="K106" i="6"/>
  <c r="L106" i="6" s="1"/>
  <c r="K107" i="6"/>
  <c r="L107" i="6" s="1"/>
  <c r="AK105" i="6"/>
  <c r="AL105" i="6" s="1"/>
  <c r="AF102" i="6"/>
  <c r="AL104" i="6"/>
  <c r="AC103" i="6"/>
  <c r="AG103" i="6" s="1"/>
  <c r="P100" i="11" s="1"/>
  <c r="AA105" i="6"/>
  <c r="AD106" i="6"/>
  <c r="AE106" i="6"/>
  <c r="AD107" i="6"/>
  <c r="AH107" i="6"/>
  <c r="AE107" i="6"/>
  <c r="T108" i="6"/>
  <c r="AJ108" i="6"/>
  <c r="Z108" i="6"/>
  <c r="U108" i="6"/>
  <c r="N108" i="6"/>
  <c r="Y108" i="6"/>
  <c r="P108" i="6"/>
  <c r="R108" i="6" s="1"/>
  <c r="M110" i="6"/>
  <c r="AO110" i="6" s="1"/>
  <c r="M109" i="6"/>
  <c r="AO109" i="6" s="1"/>
  <c r="AI108" i="6"/>
  <c r="F108" i="6"/>
  <c r="H106" i="6"/>
  <c r="AF103" i="6"/>
  <c r="H107" i="6"/>
  <c r="AF104" i="6"/>
  <c r="A100" i="9"/>
  <c r="B99" i="9"/>
  <c r="AP108" i="6" l="1"/>
  <c r="AP109" i="6"/>
  <c r="Q101" i="11"/>
  <c r="R101" i="11" s="1"/>
  <c r="Q100" i="11"/>
  <c r="R100" i="11" s="1"/>
  <c r="Q99" i="11"/>
  <c r="R99" i="11" s="1"/>
  <c r="D99" i="9"/>
  <c r="C94" i="9"/>
  <c r="A108" i="6"/>
  <c r="AM105" i="6"/>
  <c r="K108" i="6"/>
  <c r="L108" i="6" s="1"/>
  <c r="AA106" i="6"/>
  <c r="AB106" i="6" s="1"/>
  <c r="AK107" i="6"/>
  <c r="AL107" i="6" s="1"/>
  <c r="AK106" i="6"/>
  <c r="AM106" i="6" s="1"/>
  <c r="AC105" i="6"/>
  <c r="AB105" i="6"/>
  <c r="M111" i="6"/>
  <c r="AO111" i="6" s="1"/>
  <c r="T109" i="6"/>
  <c r="N109" i="6"/>
  <c r="U109" i="6"/>
  <c r="Y109" i="6"/>
  <c r="P109" i="6"/>
  <c r="R109" i="6" s="1"/>
  <c r="Z109" i="6"/>
  <c r="AJ109" i="6"/>
  <c r="AA107" i="6"/>
  <c r="AC107" i="6" s="1"/>
  <c r="AH108" i="6"/>
  <c r="AE108" i="6"/>
  <c r="AD108" i="6"/>
  <c r="Y110" i="6"/>
  <c r="P110" i="6"/>
  <c r="R110" i="6" s="1"/>
  <c r="AJ110" i="6"/>
  <c r="U110" i="6"/>
  <c r="T110" i="6"/>
  <c r="Z110" i="6"/>
  <c r="N110" i="6"/>
  <c r="AI110" i="6"/>
  <c r="F110" i="6"/>
  <c r="F109" i="6"/>
  <c r="AI109" i="6"/>
  <c r="H108" i="6"/>
  <c r="A101" i="9"/>
  <c r="B100" i="9"/>
  <c r="AP110" i="6" l="1"/>
  <c r="C95" i="9"/>
  <c r="D100" i="9"/>
  <c r="A109" i="6"/>
  <c r="A110" i="6"/>
  <c r="AM107" i="6"/>
  <c r="AC106" i="6"/>
  <c r="K109" i="6"/>
  <c r="L109" i="6" s="1"/>
  <c r="K110" i="6"/>
  <c r="L110" i="6" s="1"/>
  <c r="AK108" i="6"/>
  <c r="AM108" i="6" s="1"/>
  <c r="AB107" i="6"/>
  <c r="AF107" i="6" s="1"/>
  <c r="AA108" i="6"/>
  <c r="AG105" i="6"/>
  <c r="P102" i="11" s="1"/>
  <c r="AF105" i="6"/>
  <c r="AL106" i="6"/>
  <c r="N111" i="6"/>
  <c r="P111" i="6"/>
  <c r="R111" i="6" s="1"/>
  <c r="T111" i="6"/>
  <c r="Y111" i="6"/>
  <c r="U111" i="6"/>
  <c r="AJ111" i="6"/>
  <c r="Z111" i="6"/>
  <c r="M113" i="6"/>
  <c r="AO113" i="6" s="1"/>
  <c r="AH110" i="6"/>
  <c r="AD110" i="6"/>
  <c r="AE110" i="6"/>
  <c r="AH109" i="6"/>
  <c r="AE109" i="6"/>
  <c r="AD109" i="6"/>
  <c r="M112" i="6"/>
  <c r="AO112" i="6" s="1"/>
  <c r="H109" i="6"/>
  <c r="AG107" i="6"/>
  <c r="P104" i="11" s="1"/>
  <c r="H110" i="6"/>
  <c r="AI111" i="6"/>
  <c r="F111" i="6"/>
  <c r="AF106" i="6"/>
  <c r="B101" i="9"/>
  <c r="A102" i="9"/>
  <c r="AP111" i="6" l="1"/>
  <c r="AP112" i="6"/>
  <c r="Q102" i="11"/>
  <c r="R102" i="11" s="1"/>
  <c r="Q103" i="11"/>
  <c r="Q104" i="11"/>
  <c r="R104" i="11" s="1"/>
  <c r="C96" i="9"/>
  <c r="D101" i="9"/>
  <c r="A111" i="6"/>
  <c r="AL108" i="6"/>
  <c r="AG106" i="6"/>
  <c r="P103" i="11" s="1"/>
  <c r="K111" i="6"/>
  <c r="L111" i="6" s="1"/>
  <c r="AA110" i="6"/>
  <c r="AA109" i="6"/>
  <c r="AC109" i="6" s="1"/>
  <c r="AB108" i="6"/>
  <c r="AC108" i="6"/>
  <c r="AG108" i="6" s="1"/>
  <c r="P105" i="11" s="1"/>
  <c r="AK109" i="6"/>
  <c r="AL109" i="6" s="1"/>
  <c r="AK110" i="6"/>
  <c r="AL110" i="6" s="1"/>
  <c r="AE111" i="6"/>
  <c r="AD111" i="6"/>
  <c r="AH111" i="6"/>
  <c r="M114" i="6"/>
  <c r="AO114" i="6" s="1"/>
  <c r="U112" i="6"/>
  <c r="Y112" i="6"/>
  <c r="P112" i="6"/>
  <c r="R112" i="6" s="1"/>
  <c r="N112" i="6"/>
  <c r="T112" i="6"/>
  <c r="AJ112" i="6"/>
  <c r="Z112" i="6"/>
  <c r="Z113" i="6"/>
  <c r="Y113" i="6"/>
  <c r="AJ113" i="6"/>
  <c r="T113" i="6"/>
  <c r="P113" i="6"/>
  <c r="R113" i="6" s="1"/>
  <c r="U113" i="6"/>
  <c r="N113" i="6"/>
  <c r="AI112" i="6"/>
  <c r="F112" i="6"/>
  <c r="H111" i="6"/>
  <c r="F113" i="6"/>
  <c r="AI113" i="6"/>
  <c r="A103" i="9"/>
  <c r="B102" i="9"/>
  <c r="R103" i="11" l="1"/>
  <c r="AP113" i="6"/>
  <c r="D102" i="9"/>
  <c r="C97" i="9"/>
  <c r="A112" i="6"/>
  <c r="A113" i="6"/>
  <c r="AB110" i="6"/>
  <c r="AB109" i="6"/>
  <c r="AF108" i="6"/>
  <c r="K112" i="6"/>
  <c r="L112" i="6" s="1"/>
  <c r="K113" i="6"/>
  <c r="L113" i="6" s="1"/>
  <c r="AK111" i="6"/>
  <c r="AM111" i="6" s="1"/>
  <c r="AC110" i="6"/>
  <c r="AG110" i="6" s="1"/>
  <c r="P107" i="11" s="1"/>
  <c r="AM110" i="6"/>
  <c r="AM109" i="6"/>
  <c r="AA111" i="6"/>
  <c r="AC111" i="6" s="1"/>
  <c r="M115" i="6"/>
  <c r="AO115" i="6" s="1"/>
  <c r="M116" i="6"/>
  <c r="AO116" i="6" s="1"/>
  <c r="AH113" i="6"/>
  <c r="AE113" i="6"/>
  <c r="AD113" i="6"/>
  <c r="AE112" i="6"/>
  <c r="AD112" i="6"/>
  <c r="AH112" i="6"/>
  <c r="Z114" i="6"/>
  <c r="N114" i="6"/>
  <c r="AJ114" i="6"/>
  <c r="P114" i="6"/>
  <c r="R114" i="6" s="1"/>
  <c r="U114" i="6"/>
  <c r="Y114" i="6"/>
  <c r="T114" i="6"/>
  <c r="AG109" i="6"/>
  <c r="P106" i="11" s="1"/>
  <c r="H113" i="6"/>
  <c r="H112" i="6"/>
  <c r="AI114" i="6"/>
  <c r="F114" i="6"/>
  <c r="B103" i="9"/>
  <c r="A104" i="9"/>
  <c r="AP114" i="6" l="1"/>
  <c r="AP115" i="6"/>
  <c r="Q105" i="11"/>
  <c r="R105" i="11" s="1"/>
  <c r="C98" i="9"/>
  <c r="D103" i="9"/>
  <c r="A114" i="6"/>
  <c r="AF110" i="6"/>
  <c r="AL111" i="6"/>
  <c r="AF109" i="6"/>
  <c r="K114" i="6"/>
  <c r="L114" i="6" s="1"/>
  <c r="AK112" i="6"/>
  <c r="AM112" i="6" s="1"/>
  <c r="AK113" i="6"/>
  <c r="AL113" i="6" s="1"/>
  <c r="AB111" i="6"/>
  <c r="AF111" i="6" s="1"/>
  <c r="AA112" i="6"/>
  <c r="AC112" i="6" s="1"/>
  <c r="AA113" i="6"/>
  <c r="AC113" i="6" s="1"/>
  <c r="Z116" i="6"/>
  <c r="N116" i="6"/>
  <c r="P116" i="6"/>
  <c r="R116" i="6" s="1"/>
  <c r="U116" i="6"/>
  <c r="T116" i="6"/>
  <c r="Y116" i="6"/>
  <c r="AJ116" i="6"/>
  <c r="M117" i="6"/>
  <c r="AO117" i="6" s="1"/>
  <c r="Z115" i="6"/>
  <c r="P115" i="6"/>
  <c r="R115" i="6" s="1"/>
  <c r="T115" i="6"/>
  <c r="U115" i="6"/>
  <c r="Y115" i="6"/>
  <c r="AJ115" i="6"/>
  <c r="N115" i="6"/>
  <c r="AH114" i="6"/>
  <c r="AD114" i="6"/>
  <c r="AE114" i="6"/>
  <c r="AG111" i="6"/>
  <c r="P108" i="11" s="1"/>
  <c r="H114" i="6"/>
  <c r="AI116" i="6"/>
  <c r="F116" i="6"/>
  <c r="AI115" i="6"/>
  <c r="F115" i="6"/>
  <c r="A105" i="9"/>
  <c r="B104" i="9"/>
  <c r="AP116" i="6" l="1"/>
  <c r="Q108" i="11"/>
  <c r="R108" i="11" s="1"/>
  <c r="Q107" i="11"/>
  <c r="R107" i="11" s="1"/>
  <c r="Q106" i="11"/>
  <c r="R106" i="11" s="1"/>
  <c r="C99" i="9"/>
  <c r="D104" i="9"/>
  <c r="A115" i="6"/>
  <c r="A116" i="6"/>
  <c r="AL112" i="6"/>
  <c r="AM113" i="6"/>
  <c r="K115" i="6"/>
  <c r="L115" i="6" s="1"/>
  <c r="K116" i="6"/>
  <c r="L116" i="6" s="1"/>
  <c r="AK114" i="6"/>
  <c r="AM114" i="6" s="1"/>
  <c r="AB112" i="6"/>
  <c r="AF112" i="6" s="1"/>
  <c r="AB113" i="6"/>
  <c r="AF113" i="6" s="1"/>
  <c r="AA114" i="6"/>
  <c r="AE115" i="6"/>
  <c r="AH115" i="6"/>
  <c r="AD115" i="6"/>
  <c r="M118" i="6"/>
  <c r="AO118" i="6" s="1"/>
  <c r="Z117" i="6"/>
  <c r="U117" i="6"/>
  <c r="AJ117" i="6"/>
  <c r="N117" i="6"/>
  <c r="T117" i="6"/>
  <c r="P117" i="6"/>
  <c r="R117" i="6" s="1"/>
  <c r="Y117" i="6"/>
  <c r="M119" i="6"/>
  <c r="AO119" i="6" s="1"/>
  <c r="AH116" i="6"/>
  <c r="AD116" i="6"/>
  <c r="AE116" i="6"/>
  <c r="H116" i="6"/>
  <c r="AI117" i="6"/>
  <c r="F117" i="6"/>
  <c r="H115" i="6"/>
  <c r="AG112" i="6"/>
  <c r="P109" i="11" s="1"/>
  <c r="AG113" i="6"/>
  <c r="P110" i="11" s="1"/>
  <c r="B105" i="9"/>
  <c r="AP118" i="6" l="1"/>
  <c r="AP117" i="6"/>
  <c r="Q110" i="11"/>
  <c r="R110" i="11" s="1"/>
  <c r="Q109" i="11"/>
  <c r="R109" i="11" s="1"/>
  <c r="D105" i="9"/>
  <c r="T40" i="5" s="1"/>
  <c r="J12" i="6" s="1"/>
  <c r="K12" i="6" s="1"/>
  <c r="L12" i="6" s="1"/>
  <c r="AA12" i="6" s="1"/>
  <c r="C100" i="9"/>
  <c r="A117" i="6"/>
  <c r="AL114" i="6"/>
  <c r="K117" i="6"/>
  <c r="L117" i="6" s="1"/>
  <c r="AA115" i="6"/>
  <c r="AA116" i="6"/>
  <c r="AB116" i="6" s="1"/>
  <c r="AC114" i="6"/>
  <c r="AG114" i="6" s="1"/>
  <c r="P111" i="11" s="1"/>
  <c r="AB114" i="6"/>
  <c r="AF114" i="6" s="1"/>
  <c r="AK115" i="6"/>
  <c r="AL115" i="6" s="1"/>
  <c r="AK116" i="6"/>
  <c r="AM116" i="6" s="1"/>
  <c r="AJ119" i="6"/>
  <c r="P119" i="6"/>
  <c r="R119" i="6" s="1"/>
  <c r="N119" i="6"/>
  <c r="Z119" i="6"/>
  <c r="Y119" i="6"/>
  <c r="U119" i="6"/>
  <c r="T119" i="6"/>
  <c r="AD117" i="6"/>
  <c r="AE117" i="6"/>
  <c r="AH117" i="6"/>
  <c r="M120" i="6"/>
  <c r="AO120" i="6" s="1"/>
  <c r="AJ118" i="6"/>
  <c r="N118" i="6"/>
  <c r="Z118" i="6"/>
  <c r="T118" i="6"/>
  <c r="P118" i="6"/>
  <c r="R118" i="6" s="1"/>
  <c r="U118" i="6"/>
  <c r="Y118" i="6"/>
  <c r="AI118" i="6"/>
  <c r="F118" i="6"/>
  <c r="H117" i="6"/>
  <c r="AI119" i="6"/>
  <c r="F119" i="6"/>
  <c r="AB12" i="6" l="1"/>
  <c r="AF12" i="6" s="1"/>
  <c r="AC12" i="6"/>
  <c r="AG12" i="6" s="1"/>
  <c r="AP119" i="6"/>
  <c r="Q111" i="11"/>
  <c r="R111" i="11" s="1"/>
  <c r="Q52" i="5"/>
  <c r="T58" i="5"/>
  <c r="T57" i="5"/>
  <c r="Q50" i="5"/>
  <c r="T60" i="5"/>
  <c r="Q46" i="5"/>
  <c r="T53" i="5"/>
  <c r="T56" i="5"/>
  <c r="Q54" i="5"/>
  <c r="Q55" i="5"/>
  <c r="Q60" i="5"/>
  <c r="T46" i="5"/>
  <c r="T44" i="5"/>
  <c r="T52" i="5"/>
  <c r="T48" i="5"/>
  <c r="T51" i="5"/>
  <c r="T49" i="5"/>
  <c r="Q57" i="5"/>
  <c r="Q45" i="5"/>
  <c r="T54" i="5"/>
  <c r="Q59" i="5"/>
  <c r="Q42" i="5"/>
  <c r="Q41" i="5"/>
  <c r="Q44" i="5"/>
  <c r="Q43" i="5"/>
  <c r="T42" i="5"/>
  <c r="Q56" i="5"/>
  <c r="T43" i="5"/>
  <c r="Q48" i="5"/>
  <c r="T47" i="5"/>
  <c r="Q58" i="5"/>
  <c r="T45" i="5"/>
  <c r="Q49" i="5"/>
  <c r="T50" i="5"/>
  <c r="T55" i="5"/>
  <c r="Q53" i="5"/>
  <c r="T59" i="5"/>
  <c r="Q47" i="5"/>
  <c r="Q51" i="5"/>
  <c r="A119" i="6"/>
  <c r="A118" i="6"/>
  <c r="AB115" i="6"/>
  <c r="AC116" i="6"/>
  <c r="AC115" i="6"/>
  <c r="K118" i="6"/>
  <c r="L118" i="6" s="1"/>
  <c r="K119" i="6"/>
  <c r="L119" i="6" s="1"/>
  <c r="AA117" i="6"/>
  <c r="AB117" i="6" s="1"/>
  <c r="AM115" i="6"/>
  <c r="AL116" i="6"/>
  <c r="AK117" i="6"/>
  <c r="AM117" i="6" s="1"/>
  <c r="M122" i="6"/>
  <c r="AO122" i="6" s="1"/>
  <c r="Z120" i="6"/>
  <c r="N120" i="6"/>
  <c r="AJ120" i="6"/>
  <c r="P120" i="6"/>
  <c r="R120" i="6" s="1"/>
  <c r="U120" i="6"/>
  <c r="T120" i="6"/>
  <c r="Y120" i="6"/>
  <c r="AH119" i="6"/>
  <c r="AD119" i="6"/>
  <c r="AE119" i="6"/>
  <c r="M121" i="6"/>
  <c r="AO121" i="6" s="1"/>
  <c r="AH118" i="6"/>
  <c r="AD118" i="6"/>
  <c r="AE118" i="6"/>
  <c r="AI120" i="6"/>
  <c r="F120" i="6"/>
  <c r="AF116" i="6"/>
  <c r="H118" i="6"/>
  <c r="H119" i="6"/>
  <c r="AP120" i="6" l="1"/>
  <c r="AP121" i="6"/>
  <c r="Q113" i="11"/>
  <c r="A120" i="6"/>
  <c r="AG115" i="6"/>
  <c r="P112" i="11" s="1"/>
  <c r="AG116" i="6"/>
  <c r="P113" i="11" s="1"/>
  <c r="AF115" i="6"/>
  <c r="AC117" i="6"/>
  <c r="AG117" i="6" s="1"/>
  <c r="P114" i="11" s="1"/>
  <c r="AL117" i="6"/>
  <c r="K120" i="6"/>
  <c r="L120" i="6" s="1"/>
  <c r="AA119" i="6"/>
  <c r="AB119" i="6" s="1"/>
  <c r="AK118" i="6"/>
  <c r="AL118" i="6" s="1"/>
  <c r="AK119" i="6"/>
  <c r="AL119" i="6" s="1"/>
  <c r="AA118" i="6"/>
  <c r="AC118" i="6" s="1"/>
  <c r="AH120" i="6"/>
  <c r="AE120" i="6"/>
  <c r="AD120" i="6"/>
  <c r="Z121" i="6"/>
  <c r="U121" i="6"/>
  <c r="P121" i="6"/>
  <c r="R121" i="6" s="1"/>
  <c r="AJ121" i="6"/>
  <c r="N121" i="6"/>
  <c r="T121" i="6"/>
  <c r="Y121" i="6"/>
  <c r="T122" i="6"/>
  <c r="U122" i="6"/>
  <c r="AJ122" i="6"/>
  <c r="Y122" i="6"/>
  <c r="P122" i="6"/>
  <c r="R122" i="6" s="1"/>
  <c r="Z122" i="6"/>
  <c r="N122" i="6"/>
  <c r="M123" i="6"/>
  <c r="AO123" i="6" s="1"/>
  <c r="AF117" i="6"/>
  <c r="H120" i="6"/>
  <c r="AI122" i="6"/>
  <c r="F122" i="6"/>
  <c r="AI121" i="6"/>
  <c r="F121" i="6"/>
  <c r="R113" i="11" l="1"/>
  <c r="AP122" i="6"/>
  <c r="Q114" i="11"/>
  <c r="R114" i="11" s="1"/>
  <c r="Q112" i="11"/>
  <c r="R112" i="11" s="1"/>
  <c r="A122" i="6"/>
  <c r="A121" i="6"/>
  <c r="AM118" i="6"/>
  <c r="AC119" i="6"/>
  <c r="AG119" i="6" s="1"/>
  <c r="P116" i="11" s="1"/>
  <c r="K121" i="6"/>
  <c r="L121" i="6" s="1"/>
  <c r="K122" i="6"/>
  <c r="L122" i="6" s="1"/>
  <c r="AA120" i="6"/>
  <c r="AC120" i="6" s="1"/>
  <c r="AM119" i="6"/>
  <c r="AK120" i="6"/>
  <c r="AL120" i="6" s="1"/>
  <c r="AB118" i="6"/>
  <c r="M124" i="6"/>
  <c r="AO124" i="6" s="1"/>
  <c r="M125" i="6"/>
  <c r="AO125" i="6" s="1"/>
  <c r="AD122" i="6"/>
  <c r="AE122" i="6"/>
  <c r="AH122" i="6"/>
  <c r="AH121" i="6"/>
  <c r="AE121" i="6"/>
  <c r="AD121" i="6"/>
  <c r="AJ123" i="6"/>
  <c r="P123" i="6"/>
  <c r="R123" i="6" s="1"/>
  <c r="AH123" i="6" s="1"/>
  <c r="Y123" i="6"/>
  <c r="Z123" i="6"/>
  <c r="U123" i="6"/>
  <c r="T123" i="6"/>
  <c r="N123" i="6"/>
  <c r="AI123" i="6"/>
  <c r="F123" i="6"/>
  <c r="H122" i="6"/>
  <c r="AF119" i="6"/>
  <c r="H121" i="6"/>
  <c r="AG118" i="6"/>
  <c r="P115" i="11" s="1"/>
  <c r="AP123" i="6" l="1"/>
  <c r="AP124" i="6"/>
  <c r="Q116" i="11"/>
  <c r="R116" i="11" s="1"/>
  <c r="A123" i="6"/>
  <c r="AB120" i="6"/>
  <c r="AF120" i="6" s="1"/>
  <c r="K123" i="6"/>
  <c r="L123" i="6" s="1"/>
  <c r="AK122" i="6"/>
  <c r="AL122" i="6" s="1"/>
  <c r="AK121" i="6"/>
  <c r="AL121" i="6" s="1"/>
  <c r="AM120" i="6"/>
  <c r="AF118" i="6"/>
  <c r="AA122" i="6"/>
  <c r="AA121" i="6"/>
  <c r="M126" i="6"/>
  <c r="AO126" i="6" s="1"/>
  <c r="AE123" i="6"/>
  <c r="AD123" i="6"/>
  <c r="AJ124" i="6"/>
  <c r="N124" i="6"/>
  <c r="U124" i="6"/>
  <c r="Z124" i="6"/>
  <c r="Y124" i="6"/>
  <c r="T124" i="6"/>
  <c r="P124" i="6"/>
  <c r="R124" i="6" s="1"/>
  <c r="AJ125" i="6"/>
  <c r="P125" i="6"/>
  <c r="R125" i="6" s="1"/>
  <c r="T125" i="6"/>
  <c r="N125" i="6"/>
  <c r="Y125" i="6"/>
  <c r="U125" i="6"/>
  <c r="Z125" i="6"/>
  <c r="AI125" i="6"/>
  <c r="F125" i="6"/>
  <c r="AI124" i="6"/>
  <c r="F124" i="6"/>
  <c r="AG120" i="6"/>
  <c r="P117" i="11" s="1"/>
  <c r="H123" i="6"/>
  <c r="AP125" i="6" l="1"/>
  <c r="Q117" i="11"/>
  <c r="R117" i="11" s="1"/>
  <c r="Q115" i="11"/>
  <c r="R115" i="11" s="1"/>
  <c r="A125" i="6"/>
  <c r="A124" i="6"/>
  <c r="AM122" i="6"/>
  <c r="AM121" i="6"/>
  <c r="K125" i="6"/>
  <c r="L125" i="6" s="1"/>
  <c r="K124" i="6"/>
  <c r="L124" i="6" s="1"/>
  <c r="AK123" i="6"/>
  <c r="AM123" i="6" s="1"/>
  <c r="AB122" i="6"/>
  <c r="AB121" i="6"/>
  <c r="AC122" i="6"/>
  <c r="AC121" i="6"/>
  <c r="AA123" i="6"/>
  <c r="AC123" i="6" s="1"/>
  <c r="M128" i="6"/>
  <c r="AO128" i="6" s="1"/>
  <c r="T126" i="6"/>
  <c r="AJ126" i="6"/>
  <c r="Y126" i="6"/>
  <c r="P126" i="6"/>
  <c r="R126" i="6" s="1"/>
  <c r="Z126" i="6"/>
  <c r="U126" i="6"/>
  <c r="N126" i="6"/>
  <c r="M127" i="6"/>
  <c r="AO127" i="6" s="1"/>
  <c r="AH125" i="6"/>
  <c r="AD125" i="6"/>
  <c r="AE125" i="6"/>
  <c r="AH124" i="6"/>
  <c r="AD124" i="6"/>
  <c r="AE124" i="6"/>
  <c r="H125" i="6"/>
  <c r="H124" i="6"/>
  <c r="AI126" i="6"/>
  <c r="F126" i="6"/>
  <c r="AP127" i="6" l="1"/>
  <c r="AP126" i="6"/>
  <c r="A126" i="6"/>
  <c r="AL123" i="6"/>
  <c r="K126" i="6"/>
  <c r="L126" i="6" s="1"/>
  <c r="AK125" i="6"/>
  <c r="AL125" i="6" s="1"/>
  <c r="AA124" i="6"/>
  <c r="AC124" i="6" s="1"/>
  <c r="AF121" i="6"/>
  <c r="AF122" i="6"/>
  <c r="AG122" i="6"/>
  <c r="P119" i="11" s="1"/>
  <c r="AB123" i="6"/>
  <c r="AG121" i="6"/>
  <c r="P118" i="11" s="1"/>
  <c r="AK124" i="6"/>
  <c r="AL124" i="6" s="1"/>
  <c r="AA125" i="6"/>
  <c r="AE126" i="6"/>
  <c r="AD126" i="6"/>
  <c r="AH126" i="6"/>
  <c r="M129" i="6"/>
  <c r="AO129" i="6" s="1"/>
  <c r="T128" i="6"/>
  <c r="Z128" i="6"/>
  <c r="Y128" i="6"/>
  <c r="U128" i="6"/>
  <c r="AJ128" i="6"/>
  <c r="P128" i="6"/>
  <c r="R128" i="6" s="1"/>
  <c r="AH128" i="6" s="1"/>
  <c r="N128" i="6"/>
  <c r="P127" i="6"/>
  <c r="R127" i="6" s="1"/>
  <c r="Z127" i="6"/>
  <c r="N127" i="6"/>
  <c r="AJ127" i="6"/>
  <c r="T127" i="6"/>
  <c r="U127" i="6"/>
  <c r="Y127" i="6"/>
  <c r="AI127" i="6"/>
  <c r="F127" i="6"/>
  <c r="AG123" i="6"/>
  <c r="P120" i="11" s="1"/>
  <c r="H126" i="6"/>
  <c r="F128" i="6"/>
  <c r="AI128" i="6"/>
  <c r="AP128" i="6" l="1"/>
  <c r="Q118" i="11"/>
  <c r="R118" i="11" s="1"/>
  <c r="Q119" i="11"/>
  <c r="R119" i="11" s="1"/>
  <c r="A128" i="6"/>
  <c r="A127" i="6"/>
  <c r="AM125" i="6"/>
  <c r="K127" i="6"/>
  <c r="L127" i="6" s="1"/>
  <c r="K128" i="6"/>
  <c r="L128" i="6" s="1"/>
  <c r="AK126" i="6"/>
  <c r="AL126" i="6" s="1"/>
  <c r="AB124" i="6"/>
  <c r="AF124" i="6" s="1"/>
  <c r="AF123" i="6"/>
  <c r="AM124" i="6"/>
  <c r="AC125" i="6"/>
  <c r="AG125" i="6" s="1"/>
  <c r="P122" i="11" s="1"/>
  <c r="AB125" i="6"/>
  <c r="AA126" i="6"/>
  <c r="AC126" i="6" s="1"/>
  <c r="M130" i="6"/>
  <c r="AO130" i="6" s="1"/>
  <c r="AJ129" i="6"/>
  <c r="Y129" i="6"/>
  <c r="P129" i="6"/>
  <c r="R129" i="6" s="1"/>
  <c r="Z129" i="6"/>
  <c r="T129" i="6"/>
  <c r="U129" i="6"/>
  <c r="N129" i="6"/>
  <c r="M131" i="6"/>
  <c r="AO131" i="6" s="1"/>
  <c r="AE127" i="6"/>
  <c r="AD127" i="6"/>
  <c r="AH127" i="6"/>
  <c r="AD128" i="6"/>
  <c r="AE128" i="6"/>
  <c r="H128" i="6"/>
  <c r="H127" i="6"/>
  <c r="AG124" i="6"/>
  <c r="P121" i="11" s="1"/>
  <c r="AI129" i="6"/>
  <c r="F129" i="6"/>
  <c r="AP130" i="6" l="1"/>
  <c r="AP129" i="6"/>
  <c r="Q120" i="11"/>
  <c r="R120" i="11" s="1"/>
  <c r="Q121" i="11"/>
  <c r="R121" i="11" s="1"/>
  <c r="A129" i="6"/>
  <c r="AM126" i="6"/>
  <c r="K129" i="6"/>
  <c r="L129" i="6" s="1"/>
  <c r="AA128" i="6"/>
  <c r="AC128" i="6" s="1"/>
  <c r="AK127" i="6"/>
  <c r="AL127" i="6" s="1"/>
  <c r="AF125" i="6"/>
  <c r="AB126" i="6"/>
  <c r="AF126" i="6" s="1"/>
  <c r="AK128" i="6"/>
  <c r="AL128" i="6" s="1"/>
  <c r="AA127" i="6"/>
  <c r="AB127" i="6" s="1"/>
  <c r="T130" i="6"/>
  <c r="AJ130" i="6"/>
  <c r="Z130" i="6"/>
  <c r="P130" i="6"/>
  <c r="R130" i="6" s="1"/>
  <c r="Y130" i="6"/>
  <c r="U130" i="6"/>
  <c r="N130" i="6"/>
  <c r="Z131" i="6"/>
  <c r="U131" i="6"/>
  <c r="T131" i="6"/>
  <c r="P131" i="6"/>
  <c r="R131" i="6" s="1"/>
  <c r="Y131" i="6"/>
  <c r="N131" i="6"/>
  <c r="AJ131" i="6"/>
  <c r="AH129" i="6"/>
  <c r="AE129" i="6"/>
  <c r="AD129" i="6"/>
  <c r="M132" i="6"/>
  <c r="AO132" i="6" s="1"/>
  <c r="AI130" i="6"/>
  <c r="F130" i="6"/>
  <c r="H129" i="6"/>
  <c r="AG126" i="6"/>
  <c r="P123" i="11" s="1"/>
  <c r="AI131" i="6"/>
  <c r="F131" i="6"/>
  <c r="AP131" i="6" l="1"/>
  <c r="Q122" i="11"/>
  <c r="R122" i="11" s="1"/>
  <c r="Q123" i="11"/>
  <c r="R123" i="11" s="1"/>
  <c r="A131" i="6"/>
  <c r="A130" i="6"/>
  <c r="AM127" i="6"/>
  <c r="AB128" i="6"/>
  <c r="AF128" i="6" s="1"/>
  <c r="K130" i="6"/>
  <c r="L130" i="6" s="1"/>
  <c r="K131" i="6"/>
  <c r="L131" i="6" s="1"/>
  <c r="AA129" i="6"/>
  <c r="AC129" i="6" s="1"/>
  <c r="AM128" i="6"/>
  <c r="AK129" i="6"/>
  <c r="AM129" i="6" s="1"/>
  <c r="AC127" i="6"/>
  <c r="M133" i="6"/>
  <c r="AO133" i="6" s="1"/>
  <c r="U132" i="6"/>
  <c r="P132" i="6"/>
  <c r="R132" i="6" s="1"/>
  <c r="Y132" i="6"/>
  <c r="N132" i="6"/>
  <c r="T132" i="6"/>
  <c r="Z132" i="6"/>
  <c r="AJ132" i="6"/>
  <c r="AH131" i="6"/>
  <c r="AE131" i="6"/>
  <c r="AD131" i="6"/>
  <c r="M134" i="6"/>
  <c r="AO134" i="6" s="1"/>
  <c r="AD130" i="6"/>
  <c r="AE130" i="6"/>
  <c r="AH130" i="6"/>
  <c r="AG128" i="6"/>
  <c r="P125" i="11" s="1"/>
  <c r="AI132" i="6"/>
  <c r="F132" i="6"/>
  <c r="AF127" i="6"/>
  <c r="H131" i="6"/>
  <c r="H130" i="6"/>
  <c r="AP133" i="6" l="1"/>
  <c r="AP132" i="6"/>
  <c r="Q124" i="11"/>
  <c r="Q125" i="11"/>
  <c r="R125" i="11" s="1"/>
  <c r="A132" i="6"/>
  <c r="AB129" i="6"/>
  <c r="K132" i="6"/>
  <c r="L132" i="6" s="1"/>
  <c r="AK130" i="6"/>
  <c r="AL130" i="6" s="1"/>
  <c r="AK131" i="6"/>
  <c r="AL131" i="6" s="1"/>
  <c r="AL129" i="6"/>
  <c r="AG127" i="6"/>
  <c r="AA130" i="6"/>
  <c r="AA131" i="6"/>
  <c r="AB131" i="6" s="1"/>
  <c r="AE132" i="6"/>
  <c r="AH132" i="6"/>
  <c r="AD132" i="6"/>
  <c r="M135" i="6"/>
  <c r="AO135" i="6" s="1"/>
  <c r="Z134" i="6"/>
  <c r="T134" i="6"/>
  <c r="Y134" i="6"/>
  <c r="P134" i="6"/>
  <c r="R134" i="6" s="1"/>
  <c r="AJ134" i="6"/>
  <c r="U134" i="6"/>
  <c r="N134" i="6"/>
  <c r="AJ133" i="6"/>
  <c r="Y133" i="6"/>
  <c r="T133" i="6"/>
  <c r="P133" i="6"/>
  <c r="R133" i="6" s="1"/>
  <c r="N133" i="6"/>
  <c r="U133" i="6"/>
  <c r="Z133" i="6"/>
  <c r="H132" i="6"/>
  <c r="AI133" i="6"/>
  <c r="F133" i="6"/>
  <c r="AG129" i="6"/>
  <c r="P126" i="11" s="1"/>
  <c r="AI134" i="6"/>
  <c r="F134" i="6"/>
  <c r="AP134" i="6" l="1"/>
  <c r="A134" i="6"/>
  <c r="A133" i="6"/>
  <c r="P124" i="11"/>
  <c r="R124" i="11" s="1"/>
  <c r="AM130" i="6"/>
  <c r="AF129" i="6"/>
  <c r="AM131" i="6"/>
  <c r="K134" i="6"/>
  <c r="L134" i="6" s="1"/>
  <c r="K133" i="6"/>
  <c r="L133" i="6" s="1"/>
  <c r="AA132" i="6"/>
  <c r="AK132" i="6"/>
  <c r="AM132" i="6" s="1"/>
  <c r="AC130" i="6"/>
  <c r="AC131" i="6"/>
  <c r="AG131" i="6" s="1"/>
  <c r="P128" i="11" s="1"/>
  <c r="AB130" i="6"/>
  <c r="M136" i="6"/>
  <c r="AO136" i="6" s="1"/>
  <c r="Z135" i="6"/>
  <c r="AJ135" i="6"/>
  <c r="Y135" i="6"/>
  <c r="U135" i="6"/>
  <c r="N135" i="6"/>
  <c r="T135" i="6"/>
  <c r="P135" i="6"/>
  <c r="R135" i="6" s="1"/>
  <c r="AD133" i="6"/>
  <c r="AE133" i="6"/>
  <c r="AH133" i="6"/>
  <c r="M137" i="6"/>
  <c r="AO137" i="6" s="1"/>
  <c r="AH134" i="6"/>
  <c r="AD134" i="6"/>
  <c r="AE134" i="6"/>
  <c r="H134" i="6"/>
  <c r="AF131" i="6"/>
  <c r="H133" i="6"/>
  <c r="AI135" i="6"/>
  <c r="F135" i="6"/>
  <c r="AP135" i="6" l="1"/>
  <c r="AP136" i="6"/>
  <c r="Q126" i="11"/>
  <c r="R126" i="11" s="1"/>
  <c r="Q128" i="11"/>
  <c r="R128" i="11" s="1"/>
  <c r="A135" i="6"/>
  <c r="AB132" i="6"/>
  <c r="AC132" i="6"/>
  <c r="K135" i="6"/>
  <c r="L135" i="6" s="1"/>
  <c r="AK134" i="6"/>
  <c r="AL134" i="6" s="1"/>
  <c r="AK133" i="6"/>
  <c r="AL133" i="6" s="1"/>
  <c r="AL132" i="6"/>
  <c r="AA134" i="6"/>
  <c r="AG130" i="6"/>
  <c r="P127" i="11" s="1"/>
  <c r="AF130" i="6"/>
  <c r="AA133" i="6"/>
  <c r="AC133" i="6" s="1"/>
  <c r="U137" i="6"/>
  <c r="P137" i="6"/>
  <c r="R137" i="6" s="1"/>
  <c r="T137" i="6"/>
  <c r="Z137" i="6"/>
  <c r="Y137" i="6"/>
  <c r="AJ137" i="6"/>
  <c r="N137" i="6"/>
  <c r="M138" i="6"/>
  <c r="AO138" i="6" s="1"/>
  <c r="AE135" i="6"/>
  <c r="AH135" i="6"/>
  <c r="AD135" i="6"/>
  <c r="Z136" i="6"/>
  <c r="T136" i="6"/>
  <c r="Y136" i="6"/>
  <c r="AJ136" i="6"/>
  <c r="U136" i="6"/>
  <c r="N136" i="6"/>
  <c r="P136" i="6"/>
  <c r="R136" i="6" s="1"/>
  <c r="H135" i="6"/>
  <c r="AI136" i="6"/>
  <c r="F136" i="6"/>
  <c r="AI137" i="6"/>
  <c r="F137" i="6"/>
  <c r="AP137" i="6" l="1"/>
  <c r="Q127" i="11"/>
  <c r="R127" i="11" s="1"/>
  <c r="A137" i="6"/>
  <c r="A136" i="6"/>
  <c r="AF132" i="6"/>
  <c r="AG132" i="6"/>
  <c r="AM133" i="6"/>
  <c r="K137" i="6"/>
  <c r="L137" i="6" s="1"/>
  <c r="K136" i="6"/>
  <c r="L136" i="6" s="1"/>
  <c r="AK135" i="6"/>
  <c r="AM135" i="6" s="1"/>
  <c r="AM134" i="6"/>
  <c r="AB134" i="6"/>
  <c r="AC134" i="6"/>
  <c r="AG134" i="6" s="1"/>
  <c r="P131" i="11" s="1"/>
  <c r="AB133" i="6"/>
  <c r="AF133" i="6" s="1"/>
  <c r="AA135" i="6"/>
  <c r="AC135" i="6" s="1"/>
  <c r="M140" i="6"/>
  <c r="AO140" i="6" s="1"/>
  <c r="AH136" i="6"/>
  <c r="AD136" i="6"/>
  <c r="AE136" i="6"/>
  <c r="AH137" i="6"/>
  <c r="AD137" i="6"/>
  <c r="AE137" i="6"/>
  <c r="T138" i="6"/>
  <c r="P138" i="6"/>
  <c r="R138" i="6" s="1"/>
  <c r="Z138" i="6"/>
  <c r="AJ138" i="6"/>
  <c r="Y138" i="6"/>
  <c r="U138" i="6"/>
  <c r="N138" i="6"/>
  <c r="M139" i="6"/>
  <c r="AO139" i="6" s="1"/>
  <c r="H137" i="6"/>
  <c r="H136" i="6"/>
  <c r="AI138" i="6"/>
  <c r="F138" i="6"/>
  <c r="AG133" i="6"/>
  <c r="P130" i="11" s="1"/>
  <c r="AP139" i="6" l="1"/>
  <c r="AP138" i="6"/>
  <c r="Q130" i="11"/>
  <c r="R130" i="11" s="1"/>
  <c r="Q129" i="11"/>
  <c r="A138" i="6"/>
  <c r="P129" i="11"/>
  <c r="AL135" i="6"/>
  <c r="K138" i="6"/>
  <c r="L138" i="6" s="1"/>
  <c r="AK136" i="6"/>
  <c r="AL136" i="6" s="1"/>
  <c r="AA137" i="6"/>
  <c r="AB137" i="6" s="1"/>
  <c r="AF134" i="6"/>
  <c r="AK137" i="6"/>
  <c r="AM137" i="6" s="1"/>
  <c r="AB135" i="6"/>
  <c r="AA136" i="6"/>
  <c r="AC136" i="6" s="1"/>
  <c r="AH138" i="6"/>
  <c r="AD138" i="6"/>
  <c r="AE138" i="6"/>
  <c r="Y139" i="6"/>
  <c r="N139" i="6"/>
  <c r="Z139" i="6"/>
  <c r="P139" i="6"/>
  <c r="R139" i="6" s="1"/>
  <c r="AH139" i="6" s="1"/>
  <c r="T139" i="6"/>
  <c r="AJ139" i="6"/>
  <c r="U139" i="6"/>
  <c r="U140" i="6"/>
  <c r="T140" i="6"/>
  <c r="Y140" i="6"/>
  <c r="Z140" i="6"/>
  <c r="N140" i="6"/>
  <c r="P140" i="6"/>
  <c r="R140" i="6" s="1"/>
  <c r="AH140" i="6" s="1"/>
  <c r="AJ140" i="6"/>
  <c r="M141" i="6"/>
  <c r="AO141" i="6" s="1"/>
  <c r="H138" i="6"/>
  <c r="AI139" i="6"/>
  <c r="F139" i="6"/>
  <c r="AG135" i="6"/>
  <c r="P132" i="11" s="1"/>
  <c r="AI140" i="6"/>
  <c r="F140" i="6"/>
  <c r="R129" i="11" l="1"/>
  <c r="AP140" i="6"/>
  <c r="Q131" i="11"/>
  <c r="R131" i="11" s="1"/>
  <c r="A140" i="6"/>
  <c r="A139" i="6"/>
  <c r="AM136" i="6"/>
  <c r="K140" i="6"/>
  <c r="L140" i="6" s="1"/>
  <c r="K139" i="6"/>
  <c r="L139" i="6" s="1"/>
  <c r="AC137" i="6"/>
  <c r="AA138" i="6"/>
  <c r="AB138" i="6" s="1"/>
  <c r="AF135" i="6"/>
  <c r="AL137" i="6"/>
  <c r="AB136" i="6"/>
  <c r="AF136" i="6" s="1"/>
  <c r="M142" i="6"/>
  <c r="AO142" i="6" s="1"/>
  <c r="AK138" i="6"/>
  <c r="AM138" i="6" s="1"/>
  <c r="U141" i="6"/>
  <c r="Z141" i="6"/>
  <c r="Y141" i="6"/>
  <c r="AJ141" i="6"/>
  <c r="T141" i="6"/>
  <c r="N141" i="6"/>
  <c r="P141" i="6"/>
  <c r="R141" i="6" s="1"/>
  <c r="AH141" i="6" s="1"/>
  <c r="AD140" i="6"/>
  <c r="AE140" i="6"/>
  <c r="AE139" i="6"/>
  <c r="AD139" i="6"/>
  <c r="M143" i="6"/>
  <c r="AO143" i="6" s="1"/>
  <c r="AG136" i="6"/>
  <c r="P133" i="11" s="1"/>
  <c r="AF137" i="6"/>
  <c r="H139" i="6"/>
  <c r="F141" i="6"/>
  <c r="AI141" i="6"/>
  <c r="H140" i="6"/>
  <c r="AP142" i="6" l="1"/>
  <c r="AP141" i="6"/>
  <c r="Q132" i="11"/>
  <c r="R132" i="11" s="1"/>
  <c r="Q134" i="11"/>
  <c r="Q133" i="11"/>
  <c r="R133" i="11" s="1"/>
  <c r="A141" i="6"/>
  <c r="AG137" i="6"/>
  <c r="K141" i="6"/>
  <c r="L141" i="6" s="1"/>
  <c r="AK139" i="6"/>
  <c r="AM139" i="6" s="1"/>
  <c r="AA140" i="6"/>
  <c r="AB140" i="6" s="1"/>
  <c r="AC138" i="6"/>
  <c r="AG138" i="6" s="1"/>
  <c r="P135" i="11" s="1"/>
  <c r="AA139" i="6"/>
  <c r="AC139" i="6" s="1"/>
  <c r="AL138" i="6"/>
  <c r="M144" i="6"/>
  <c r="AO144" i="6" s="1"/>
  <c r="AK140" i="6"/>
  <c r="AL140" i="6" s="1"/>
  <c r="AE141" i="6"/>
  <c r="AD141" i="6"/>
  <c r="Z143" i="6"/>
  <c r="U143" i="6"/>
  <c r="AJ143" i="6"/>
  <c r="T143" i="6"/>
  <c r="Y143" i="6"/>
  <c r="N143" i="6"/>
  <c r="P143" i="6"/>
  <c r="R143" i="6" s="1"/>
  <c r="AH143" i="6" s="1"/>
  <c r="Y142" i="6"/>
  <c r="P142" i="6"/>
  <c r="R142" i="6" s="1"/>
  <c r="AH142" i="6" s="1"/>
  <c r="Z142" i="6"/>
  <c r="U142" i="6"/>
  <c r="AJ142" i="6"/>
  <c r="T142" i="6"/>
  <c r="N142" i="6"/>
  <c r="AF138" i="6"/>
  <c r="H141" i="6"/>
  <c r="AI143" i="6"/>
  <c r="F143" i="6"/>
  <c r="AI142" i="6"/>
  <c r="F142" i="6"/>
  <c r="AP143" i="6" l="1"/>
  <c r="Q135" i="11"/>
  <c r="R135" i="11" s="1"/>
  <c r="A143" i="6"/>
  <c r="A142" i="6"/>
  <c r="P134" i="11"/>
  <c r="R134" i="11" s="1"/>
  <c r="AL139" i="6"/>
  <c r="AC140" i="6"/>
  <c r="AG140" i="6" s="1"/>
  <c r="P137" i="11" s="1"/>
  <c r="K142" i="6"/>
  <c r="L142" i="6" s="1"/>
  <c r="K143" i="6"/>
  <c r="L143" i="6" s="1"/>
  <c r="AK141" i="6"/>
  <c r="AL141" i="6" s="1"/>
  <c r="AA141" i="6"/>
  <c r="AB139" i="6"/>
  <c r="AM140" i="6"/>
  <c r="M146" i="6"/>
  <c r="AO146" i="6" s="1"/>
  <c r="AE142" i="6"/>
  <c r="AD142" i="6"/>
  <c r="AD143" i="6"/>
  <c r="AE143" i="6"/>
  <c r="M145" i="6"/>
  <c r="AO145" i="6" s="1"/>
  <c r="U144" i="6"/>
  <c r="Z144" i="6"/>
  <c r="AJ144" i="6"/>
  <c r="Y144" i="6"/>
  <c r="T144" i="6"/>
  <c r="N144" i="6"/>
  <c r="P144" i="6"/>
  <c r="R144" i="6" s="1"/>
  <c r="AH144" i="6" s="1"/>
  <c r="AI144" i="6"/>
  <c r="F144" i="6"/>
  <c r="AG139" i="6"/>
  <c r="P136" i="11" s="1"/>
  <c r="H142" i="6"/>
  <c r="AF140" i="6"/>
  <c r="H143" i="6"/>
  <c r="AP145" i="6" l="1"/>
  <c r="AP144" i="6"/>
  <c r="Q137" i="11"/>
  <c r="R137" i="11" s="1"/>
  <c r="A144" i="6"/>
  <c r="AM141" i="6"/>
  <c r="AC141" i="6"/>
  <c r="K144" i="6"/>
  <c r="L144" i="6" s="1"/>
  <c r="AK143" i="6"/>
  <c r="AM143" i="6" s="1"/>
  <c r="AK142" i="6"/>
  <c r="AL142" i="6" s="1"/>
  <c r="AF139" i="6"/>
  <c r="AB141" i="6"/>
  <c r="AF141" i="6" s="1"/>
  <c r="AA143" i="6"/>
  <c r="AA142" i="6"/>
  <c r="AB142" i="6" s="1"/>
  <c r="T145" i="6"/>
  <c r="U145" i="6"/>
  <c r="AJ145" i="6"/>
  <c r="Y145" i="6"/>
  <c r="Z145" i="6"/>
  <c r="N145" i="6"/>
  <c r="P145" i="6"/>
  <c r="R145" i="6" s="1"/>
  <c r="AH145" i="6" s="1"/>
  <c r="Z146" i="6"/>
  <c r="Y146" i="6"/>
  <c r="T146" i="6"/>
  <c r="U146" i="6"/>
  <c r="AJ146" i="6"/>
  <c r="N146" i="6"/>
  <c r="P146" i="6"/>
  <c r="R146" i="6" s="1"/>
  <c r="AH146" i="6" s="1"/>
  <c r="M147" i="6"/>
  <c r="AO147" i="6" s="1"/>
  <c r="AD144" i="6"/>
  <c r="AE144" i="6"/>
  <c r="AI146" i="6"/>
  <c r="F146" i="6"/>
  <c r="AI145" i="6"/>
  <c r="F145" i="6"/>
  <c r="H144" i="6"/>
  <c r="AP146" i="6" l="1"/>
  <c r="Q136" i="11"/>
  <c r="R136" i="11" s="1"/>
  <c r="Q138" i="11"/>
  <c r="A146" i="6"/>
  <c r="A145" i="6"/>
  <c r="AG141" i="6"/>
  <c r="P138" i="11" s="1"/>
  <c r="AL143" i="6"/>
  <c r="AM142" i="6"/>
  <c r="K146" i="6"/>
  <c r="L146" i="6" s="1"/>
  <c r="K145" i="6"/>
  <c r="L145" i="6" s="1"/>
  <c r="AA144" i="6"/>
  <c r="AB143" i="6"/>
  <c r="AC142" i="6"/>
  <c r="AG142" i="6" s="1"/>
  <c r="P139" i="11" s="1"/>
  <c r="AC143" i="6"/>
  <c r="AG143" i="6" s="1"/>
  <c r="P140" i="11" s="1"/>
  <c r="AK144" i="6"/>
  <c r="AL144" i="6" s="1"/>
  <c r="AD146" i="6"/>
  <c r="AE146" i="6"/>
  <c r="AE145" i="6"/>
  <c r="AD145" i="6"/>
  <c r="Z147" i="6"/>
  <c r="Y147" i="6"/>
  <c r="U147" i="6"/>
  <c r="T147" i="6"/>
  <c r="AJ147" i="6"/>
  <c r="N147" i="6"/>
  <c r="P147" i="6"/>
  <c r="R147" i="6" s="1"/>
  <c r="AH147" i="6" s="1"/>
  <c r="M149" i="6"/>
  <c r="AO149" i="6" s="1"/>
  <c r="M148" i="6"/>
  <c r="AO148" i="6" s="1"/>
  <c r="H146" i="6"/>
  <c r="H145" i="6"/>
  <c r="AF142" i="6"/>
  <c r="AI147" i="6"/>
  <c r="F147" i="6"/>
  <c r="R138" i="11" l="1"/>
  <c r="AP147" i="6"/>
  <c r="AP148" i="6"/>
  <c r="Q139" i="11"/>
  <c r="R139" i="11" s="1"/>
  <c r="A147" i="6"/>
  <c r="AC144" i="6"/>
  <c r="AG144" i="6" s="1"/>
  <c r="P141" i="11" s="1"/>
  <c r="K147" i="6"/>
  <c r="L147" i="6" s="1"/>
  <c r="AB144" i="6"/>
  <c r="AA146" i="6"/>
  <c r="AB146" i="6" s="1"/>
  <c r="AA145" i="6"/>
  <c r="AF143" i="6"/>
  <c r="AM144" i="6"/>
  <c r="AK146" i="6"/>
  <c r="AL146" i="6" s="1"/>
  <c r="AK145" i="6"/>
  <c r="AM145" i="6" s="1"/>
  <c r="M150" i="6"/>
  <c r="AO150" i="6" s="1"/>
  <c r="U148" i="6"/>
  <c r="N148" i="6"/>
  <c r="P148" i="6"/>
  <c r="R148" i="6" s="1"/>
  <c r="AH148" i="6" s="1"/>
  <c r="Z148" i="6"/>
  <c r="AJ148" i="6"/>
  <c r="Y148" i="6"/>
  <c r="T148" i="6"/>
  <c r="AD147" i="6"/>
  <c r="AE147" i="6"/>
  <c r="U149" i="6"/>
  <c r="Y149" i="6"/>
  <c r="Z149" i="6"/>
  <c r="AJ149" i="6"/>
  <c r="T149" i="6"/>
  <c r="P149" i="6"/>
  <c r="R149" i="6" s="1"/>
  <c r="AH149" i="6" s="1"/>
  <c r="N149" i="6"/>
  <c r="F149" i="6"/>
  <c r="AI149" i="6"/>
  <c r="H147" i="6"/>
  <c r="AI148" i="6"/>
  <c r="F148" i="6"/>
  <c r="AP149" i="6" l="1"/>
  <c r="Q140" i="11"/>
  <c r="R140" i="11" s="1"/>
  <c r="A149" i="6"/>
  <c r="A148" i="6"/>
  <c r="AF144" i="6"/>
  <c r="AC146" i="6"/>
  <c r="AB145" i="6"/>
  <c r="AC145" i="6"/>
  <c r="K149" i="6"/>
  <c r="L149" i="6" s="1"/>
  <c r="K148" i="6"/>
  <c r="L148" i="6" s="1"/>
  <c r="AK147" i="6"/>
  <c r="AM147" i="6" s="1"/>
  <c r="AL145" i="6"/>
  <c r="AM146" i="6"/>
  <c r="AA147" i="6"/>
  <c r="AD149" i="6"/>
  <c r="AE149" i="6"/>
  <c r="AE148" i="6"/>
  <c r="AD148" i="6"/>
  <c r="M151" i="6"/>
  <c r="AO151" i="6" s="1"/>
  <c r="T150" i="6"/>
  <c r="N150" i="6"/>
  <c r="U150" i="6"/>
  <c r="Y150" i="6"/>
  <c r="Z150" i="6"/>
  <c r="AJ150" i="6"/>
  <c r="P150" i="6"/>
  <c r="R150" i="6" s="1"/>
  <c r="AH150" i="6" s="1"/>
  <c r="M152" i="6"/>
  <c r="AO152" i="6" s="1"/>
  <c r="H148" i="6"/>
  <c r="H149" i="6"/>
  <c r="AF146" i="6"/>
  <c r="AI150" i="6"/>
  <c r="F150" i="6"/>
  <c r="AP151" i="6" l="1"/>
  <c r="AP150" i="6"/>
  <c r="Q141" i="11"/>
  <c r="R141" i="11" s="1"/>
  <c r="Q143" i="11"/>
  <c r="A150" i="6"/>
  <c r="AF145" i="6"/>
  <c r="AG145" i="6"/>
  <c r="P142" i="11" s="1"/>
  <c r="AG146" i="6"/>
  <c r="AL147" i="6"/>
  <c r="K150" i="6"/>
  <c r="L150" i="6" s="1"/>
  <c r="AK148" i="6"/>
  <c r="AL148" i="6" s="1"/>
  <c r="AK149" i="6"/>
  <c r="AL149" i="6" s="1"/>
  <c r="AC147" i="6"/>
  <c r="AG147" i="6" s="1"/>
  <c r="P144" i="11" s="1"/>
  <c r="AB147" i="6"/>
  <c r="AA148" i="6"/>
  <c r="AC148" i="6" s="1"/>
  <c r="AA149" i="6"/>
  <c r="AB149" i="6" s="1"/>
  <c r="M153" i="6"/>
  <c r="AO153" i="6" s="1"/>
  <c r="U152" i="6"/>
  <c r="Z152" i="6"/>
  <c r="Y152" i="6"/>
  <c r="N152" i="6"/>
  <c r="AJ152" i="6"/>
  <c r="T152" i="6"/>
  <c r="P152" i="6"/>
  <c r="R152" i="6" s="1"/>
  <c r="AH152" i="6" s="1"/>
  <c r="AD150" i="6"/>
  <c r="AE150" i="6"/>
  <c r="Y151" i="6"/>
  <c r="U151" i="6"/>
  <c r="AJ151" i="6"/>
  <c r="T151" i="6"/>
  <c r="Z151" i="6"/>
  <c r="N151" i="6"/>
  <c r="P151" i="6"/>
  <c r="R151" i="6" s="1"/>
  <c r="AH151" i="6" s="1"/>
  <c r="H150" i="6"/>
  <c r="AI151" i="6"/>
  <c r="F151" i="6"/>
  <c r="AI152" i="6"/>
  <c r="F152" i="6"/>
  <c r="AP152" i="6" l="1"/>
  <c r="Q142" i="11"/>
  <c r="R142" i="11" s="1"/>
  <c r="AK150" i="6"/>
  <c r="AM150" i="6" s="1"/>
  <c r="A151" i="6"/>
  <c r="A152" i="6"/>
  <c r="P143" i="11"/>
  <c r="R143" i="11" s="1"/>
  <c r="AF147" i="6"/>
  <c r="AM148" i="6"/>
  <c r="K152" i="6"/>
  <c r="L152" i="6" s="1"/>
  <c r="K151" i="6"/>
  <c r="L151" i="6" s="1"/>
  <c r="AM149" i="6"/>
  <c r="AA150" i="6"/>
  <c r="AB150" i="6" s="1"/>
  <c r="AB148" i="6"/>
  <c r="AC149" i="6"/>
  <c r="AG149" i="6" s="1"/>
  <c r="P146" i="11" s="1"/>
  <c r="Z153" i="6"/>
  <c r="T153" i="6"/>
  <c r="U153" i="6"/>
  <c r="Y153" i="6"/>
  <c r="P153" i="6"/>
  <c r="R153" i="6" s="1"/>
  <c r="AH153" i="6" s="1"/>
  <c r="AJ153" i="6"/>
  <c r="N153" i="6"/>
  <c r="AE152" i="6"/>
  <c r="AD152" i="6"/>
  <c r="AE151" i="6"/>
  <c r="AD151" i="6"/>
  <c r="M155" i="6"/>
  <c r="AO155" i="6" s="1"/>
  <c r="M154" i="6"/>
  <c r="AO154" i="6" s="1"/>
  <c r="H152" i="6"/>
  <c r="AG148" i="6"/>
  <c r="P145" i="11" s="1"/>
  <c r="AF149" i="6"/>
  <c r="H151" i="6"/>
  <c r="AI153" i="6"/>
  <c r="F153" i="6"/>
  <c r="AP154" i="6" l="1"/>
  <c r="AP153" i="6"/>
  <c r="Q146" i="11"/>
  <c r="R146" i="11" s="1"/>
  <c r="Q144" i="11"/>
  <c r="R144" i="11" s="1"/>
  <c r="AL150" i="6"/>
  <c r="A153" i="6"/>
  <c r="AC150" i="6"/>
  <c r="K153" i="6"/>
  <c r="L153" i="6" s="1"/>
  <c r="AK151" i="6"/>
  <c r="AL151" i="6" s="1"/>
  <c r="AK152" i="6"/>
  <c r="AL152" i="6" s="1"/>
  <c r="AA152" i="6"/>
  <c r="AC152" i="6" s="1"/>
  <c r="AF148" i="6"/>
  <c r="AA151" i="6"/>
  <c r="AB151" i="6" s="1"/>
  <c r="M156" i="6"/>
  <c r="AO156" i="6" s="1"/>
  <c r="T155" i="6"/>
  <c r="AJ155" i="6"/>
  <c r="Z155" i="6"/>
  <c r="Y155" i="6"/>
  <c r="U155" i="6"/>
  <c r="N155" i="6"/>
  <c r="P155" i="6"/>
  <c r="R155" i="6" s="1"/>
  <c r="AH155" i="6" s="1"/>
  <c r="AD153" i="6"/>
  <c r="AE153" i="6"/>
  <c r="Y154" i="6"/>
  <c r="Z154" i="6"/>
  <c r="T154" i="6"/>
  <c r="U154" i="6"/>
  <c r="AJ154" i="6"/>
  <c r="N154" i="6"/>
  <c r="P154" i="6"/>
  <c r="R154" i="6" s="1"/>
  <c r="AH154" i="6" s="1"/>
  <c r="AF150" i="6"/>
  <c r="AI155" i="6"/>
  <c r="F155" i="6"/>
  <c r="H153" i="6"/>
  <c r="AI154" i="6"/>
  <c r="F154" i="6"/>
  <c r="AP155" i="6" l="1"/>
  <c r="Q145" i="11"/>
  <c r="R145" i="11" s="1"/>
  <c r="Q147" i="11"/>
  <c r="A154" i="6"/>
  <c r="A155" i="6"/>
  <c r="AG150" i="6"/>
  <c r="P147" i="11" s="1"/>
  <c r="AM152" i="6"/>
  <c r="AB152" i="6"/>
  <c r="K154" i="6"/>
  <c r="L154" i="6" s="1"/>
  <c r="K155" i="6"/>
  <c r="L155" i="6" s="1"/>
  <c r="AK153" i="6"/>
  <c r="AM153" i="6" s="1"/>
  <c r="AM151" i="6"/>
  <c r="AA153" i="6"/>
  <c r="AB153" i="6" s="1"/>
  <c r="AC151" i="6"/>
  <c r="AE155" i="6"/>
  <c r="AD155" i="6"/>
  <c r="M157" i="6"/>
  <c r="AO157" i="6" s="1"/>
  <c r="M158" i="6"/>
  <c r="AO158" i="6" s="1"/>
  <c r="T156" i="6"/>
  <c r="P156" i="6"/>
  <c r="R156" i="6" s="1"/>
  <c r="AH156" i="6" s="1"/>
  <c r="Z156" i="6"/>
  <c r="U156" i="6"/>
  <c r="Y156" i="6"/>
  <c r="AJ156" i="6"/>
  <c r="N156" i="6"/>
  <c r="AE154" i="6"/>
  <c r="AD154" i="6"/>
  <c r="AF151" i="6"/>
  <c r="H155" i="6"/>
  <c r="AG152" i="6"/>
  <c r="P149" i="11" s="1"/>
  <c r="H154" i="6"/>
  <c r="AI156" i="6"/>
  <c r="F156" i="6"/>
  <c r="R147" i="11" l="1"/>
  <c r="AP157" i="6"/>
  <c r="AP156" i="6"/>
  <c r="Q148" i="11"/>
  <c r="A156" i="6"/>
  <c r="AF152" i="6"/>
  <c r="AL153" i="6"/>
  <c r="K156" i="6"/>
  <c r="L156" i="6" s="1"/>
  <c r="AK155" i="6"/>
  <c r="AL155" i="6" s="1"/>
  <c r="AK154" i="6"/>
  <c r="AM154" i="6" s="1"/>
  <c r="AC153" i="6"/>
  <c r="AG153" i="6" s="1"/>
  <c r="P150" i="11" s="1"/>
  <c r="AG151" i="6"/>
  <c r="AA155" i="6"/>
  <c r="AA154" i="6"/>
  <c r="AE156" i="6"/>
  <c r="AD156" i="6"/>
  <c r="T157" i="6"/>
  <c r="AJ157" i="6"/>
  <c r="U157" i="6"/>
  <c r="Z157" i="6"/>
  <c r="Y157" i="6"/>
  <c r="P157" i="6"/>
  <c r="R157" i="6" s="1"/>
  <c r="N157" i="6"/>
  <c r="M159" i="6"/>
  <c r="AO159" i="6" s="1"/>
  <c r="Z158" i="6"/>
  <c r="P158" i="6"/>
  <c r="R158" i="6" s="1"/>
  <c r="N158" i="6"/>
  <c r="T158" i="6"/>
  <c r="Y158" i="6"/>
  <c r="U158" i="6"/>
  <c r="AJ158" i="6"/>
  <c r="AI157" i="6"/>
  <c r="F157" i="6"/>
  <c r="H156" i="6"/>
  <c r="AI158" i="6"/>
  <c r="F158" i="6"/>
  <c r="AF153" i="6"/>
  <c r="AP158" i="6" l="1"/>
  <c r="Q149" i="11"/>
  <c r="R149" i="11" s="1"/>
  <c r="Q150" i="11"/>
  <c r="R150" i="11" s="1"/>
  <c r="A158" i="6"/>
  <c r="A157" i="6"/>
  <c r="P148" i="11"/>
  <c r="R148" i="11" s="1"/>
  <c r="AL154" i="6"/>
  <c r="K158" i="6"/>
  <c r="L158" i="6" s="1"/>
  <c r="K157" i="6"/>
  <c r="L157" i="6" s="1"/>
  <c r="AA156" i="6"/>
  <c r="AB156" i="6" s="1"/>
  <c r="AM155" i="6"/>
  <c r="AC155" i="6"/>
  <c r="AB155" i="6"/>
  <c r="AF155" i="6" s="1"/>
  <c r="AB154" i="6"/>
  <c r="AF154" i="6" s="1"/>
  <c r="AK156" i="6"/>
  <c r="AL156" i="6" s="1"/>
  <c r="AC154" i="6"/>
  <c r="M161" i="6"/>
  <c r="AO161" i="6" s="1"/>
  <c r="M160" i="6"/>
  <c r="AO160" i="6" s="1"/>
  <c r="AH158" i="6"/>
  <c r="AE158" i="6"/>
  <c r="AD158" i="6"/>
  <c r="Y159" i="6"/>
  <c r="U159" i="6"/>
  <c r="AJ159" i="6"/>
  <c r="T159" i="6"/>
  <c r="Z159" i="6"/>
  <c r="P159" i="6"/>
  <c r="R159" i="6" s="1"/>
  <c r="N159" i="6"/>
  <c r="AH157" i="6"/>
  <c r="AE157" i="6"/>
  <c r="AD157" i="6"/>
  <c r="H158" i="6"/>
  <c r="AI159" i="6"/>
  <c r="F159" i="6"/>
  <c r="H157" i="6"/>
  <c r="AP160" i="6" l="1"/>
  <c r="AP159" i="6"/>
  <c r="Q151" i="11"/>
  <c r="Q152" i="11"/>
  <c r="A159" i="6"/>
  <c r="AC156" i="6"/>
  <c r="AG155" i="6"/>
  <c r="P152" i="11" s="1"/>
  <c r="K159" i="6"/>
  <c r="L159" i="6" s="1"/>
  <c r="AK157" i="6"/>
  <c r="AM157" i="6" s="1"/>
  <c r="AA158" i="6"/>
  <c r="AB158" i="6" s="1"/>
  <c r="AM156" i="6"/>
  <c r="AK158" i="6"/>
  <c r="AL158" i="6" s="1"/>
  <c r="AG154" i="6"/>
  <c r="P151" i="11" s="1"/>
  <c r="AA157" i="6"/>
  <c r="AH159" i="6"/>
  <c r="AD159" i="6"/>
  <c r="AE159" i="6"/>
  <c r="M162" i="6"/>
  <c r="AO162" i="6" s="1"/>
  <c r="Y161" i="6"/>
  <c r="Z161" i="6"/>
  <c r="AJ161" i="6"/>
  <c r="P161" i="6"/>
  <c r="R161" i="6" s="1"/>
  <c r="AH161" i="6" s="1"/>
  <c r="N161" i="6"/>
  <c r="T161" i="6"/>
  <c r="U161" i="6"/>
  <c r="Z160" i="6"/>
  <c r="U160" i="6"/>
  <c r="T160" i="6"/>
  <c r="AJ160" i="6"/>
  <c r="N160" i="6"/>
  <c r="Y160" i="6"/>
  <c r="P160" i="6"/>
  <c r="R160" i="6" s="1"/>
  <c r="AH160" i="6" s="1"/>
  <c r="H159" i="6"/>
  <c r="AI161" i="6"/>
  <c r="F161" i="6"/>
  <c r="AF156" i="6"/>
  <c r="AI160" i="6"/>
  <c r="F160" i="6"/>
  <c r="R151" i="11" l="1"/>
  <c r="R152" i="11"/>
  <c r="AP161" i="6"/>
  <c r="Q153" i="11"/>
  <c r="A160" i="6"/>
  <c r="A161" i="6"/>
  <c r="AC158" i="6"/>
  <c r="AG158" i="6" s="1"/>
  <c r="P155" i="11" s="1"/>
  <c r="AG156" i="6"/>
  <c r="P153" i="11" s="1"/>
  <c r="K160" i="6"/>
  <c r="L160" i="6" s="1"/>
  <c r="K161" i="6"/>
  <c r="L161" i="6" s="1"/>
  <c r="AK159" i="6"/>
  <c r="AM159" i="6" s="1"/>
  <c r="AL157" i="6"/>
  <c r="AM158" i="6"/>
  <c r="AB157" i="6"/>
  <c r="AF157" i="6" s="1"/>
  <c r="AC157" i="6"/>
  <c r="AG157" i="6" s="1"/>
  <c r="P154" i="11" s="1"/>
  <c r="AA159" i="6"/>
  <c r="AE160" i="6"/>
  <c r="AD160" i="6"/>
  <c r="AD161" i="6"/>
  <c r="AE161" i="6"/>
  <c r="M164" i="6"/>
  <c r="AO164" i="6" s="1"/>
  <c r="M163" i="6"/>
  <c r="AO163" i="6" s="1"/>
  <c r="T162" i="6"/>
  <c r="U162" i="6"/>
  <c r="N162" i="6"/>
  <c r="Z162" i="6"/>
  <c r="AJ162" i="6"/>
  <c r="Y162" i="6"/>
  <c r="P162" i="6"/>
  <c r="R162" i="6" s="1"/>
  <c r="AH162" i="6" s="1"/>
  <c r="H161" i="6"/>
  <c r="AI162" i="6"/>
  <c r="F162" i="6"/>
  <c r="H160" i="6"/>
  <c r="AF158" i="6"/>
  <c r="R153" i="11" l="1"/>
  <c r="AP163" i="6"/>
  <c r="AP162" i="6"/>
  <c r="Q155" i="11"/>
  <c r="R155" i="11" s="1"/>
  <c r="Q154" i="11"/>
  <c r="R154" i="11" s="1"/>
  <c r="A162" i="6"/>
  <c r="AL159" i="6"/>
  <c r="K162" i="6"/>
  <c r="L162" i="6" s="1"/>
  <c r="AK161" i="6"/>
  <c r="AM161" i="6" s="1"/>
  <c r="AK160" i="6"/>
  <c r="AL160" i="6" s="1"/>
  <c r="AC159" i="6"/>
  <c r="AG159" i="6" s="1"/>
  <c r="P156" i="11" s="1"/>
  <c r="AB159" i="6"/>
  <c r="AF159" i="6" s="1"/>
  <c r="AA161" i="6"/>
  <c r="AC161" i="6" s="1"/>
  <c r="AA160" i="6"/>
  <c r="AB160" i="6" s="1"/>
  <c r="AJ164" i="6"/>
  <c r="P164" i="6"/>
  <c r="R164" i="6" s="1"/>
  <c r="AH164" i="6" s="1"/>
  <c r="U164" i="6"/>
  <c r="N164" i="6"/>
  <c r="T164" i="6"/>
  <c r="Z164" i="6"/>
  <c r="Y164" i="6"/>
  <c r="M165" i="6"/>
  <c r="AO165" i="6" s="1"/>
  <c r="AE162" i="6"/>
  <c r="AD162" i="6"/>
  <c r="U163" i="6"/>
  <c r="T163" i="6"/>
  <c r="Y163" i="6"/>
  <c r="Z163" i="6"/>
  <c r="AJ163" i="6"/>
  <c r="N163" i="6"/>
  <c r="P163" i="6"/>
  <c r="R163" i="6" s="1"/>
  <c r="AH163" i="6" s="1"/>
  <c r="H162" i="6"/>
  <c r="AI163" i="6"/>
  <c r="F163" i="6"/>
  <c r="AI164" i="6"/>
  <c r="F164" i="6"/>
  <c r="AP164" i="6" l="1"/>
  <c r="Q156" i="11"/>
  <c r="R156" i="11" s="1"/>
  <c r="A164" i="6"/>
  <c r="A163" i="6"/>
  <c r="AM160" i="6"/>
  <c r="AL161" i="6"/>
  <c r="AC160" i="6"/>
  <c r="AG160" i="6" s="1"/>
  <c r="P157" i="11" s="1"/>
  <c r="K163" i="6"/>
  <c r="L163" i="6" s="1"/>
  <c r="K164" i="6"/>
  <c r="L164" i="6" s="1"/>
  <c r="AK162" i="6"/>
  <c r="AM162" i="6" s="1"/>
  <c r="AB161" i="6"/>
  <c r="AA162" i="6"/>
  <c r="AD163" i="6"/>
  <c r="AE163" i="6"/>
  <c r="M167" i="6"/>
  <c r="AO167" i="6" s="1"/>
  <c r="M166" i="6"/>
  <c r="AO166" i="6" s="1"/>
  <c r="Y165" i="6"/>
  <c r="Z165" i="6"/>
  <c r="P165" i="6"/>
  <c r="R165" i="6" s="1"/>
  <c r="AH165" i="6" s="1"/>
  <c r="U165" i="6"/>
  <c r="AJ165" i="6"/>
  <c r="N165" i="6"/>
  <c r="T165" i="6"/>
  <c r="AD164" i="6"/>
  <c r="AE164" i="6"/>
  <c r="AF160" i="6"/>
  <c r="H163" i="6"/>
  <c r="AI165" i="6"/>
  <c r="F165" i="6"/>
  <c r="H164" i="6"/>
  <c r="AG161" i="6"/>
  <c r="P158" i="11" s="1"/>
  <c r="AP165" i="6" l="1"/>
  <c r="AP166" i="6"/>
  <c r="Q157" i="11"/>
  <c r="R157" i="11" s="1"/>
  <c r="A165" i="6"/>
  <c r="AC162" i="6"/>
  <c r="AL162" i="6"/>
  <c r="K165" i="6"/>
  <c r="L165" i="6" s="1"/>
  <c r="AK164" i="6"/>
  <c r="AL164" i="6" s="1"/>
  <c r="AA163" i="6"/>
  <c r="AC163" i="6" s="1"/>
  <c r="AB162" i="6"/>
  <c r="AF161" i="6"/>
  <c r="AK163" i="6"/>
  <c r="AL163" i="6" s="1"/>
  <c r="AA164" i="6"/>
  <c r="AC164" i="6" s="1"/>
  <c r="T167" i="6"/>
  <c r="Z167" i="6"/>
  <c r="AJ167" i="6"/>
  <c r="P167" i="6"/>
  <c r="R167" i="6" s="1"/>
  <c r="AH167" i="6" s="1"/>
  <c r="U167" i="6"/>
  <c r="Y167" i="6"/>
  <c r="N167" i="6"/>
  <c r="AD165" i="6"/>
  <c r="AE165" i="6"/>
  <c r="M168" i="6"/>
  <c r="AO168" i="6" s="1"/>
  <c r="T166" i="6"/>
  <c r="U166" i="6"/>
  <c r="Z166" i="6"/>
  <c r="Y166" i="6"/>
  <c r="P166" i="6"/>
  <c r="R166" i="6" s="1"/>
  <c r="AH166" i="6" s="1"/>
  <c r="AJ166" i="6"/>
  <c r="N166" i="6"/>
  <c r="H165" i="6"/>
  <c r="F167" i="6"/>
  <c r="AI167" i="6"/>
  <c r="AI166" i="6"/>
  <c r="F166" i="6"/>
  <c r="AP167" i="6" l="1"/>
  <c r="Q158" i="11"/>
  <c r="R158" i="11" s="1"/>
  <c r="A167" i="6"/>
  <c r="A166" i="6"/>
  <c r="AG162" i="6"/>
  <c r="P159" i="11" s="1"/>
  <c r="AB163" i="6"/>
  <c r="AF163" i="6" s="1"/>
  <c r="K166" i="6"/>
  <c r="L166" i="6" s="1"/>
  <c r="K167" i="6"/>
  <c r="L167" i="6" s="1"/>
  <c r="AK165" i="6"/>
  <c r="AL165" i="6" s="1"/>
  <c r="AM164" i="6"/>
  <c r="AF162" i="6"/>
  <c r="AM163" i="6"/>
  <c r="AB164" i="6"/>
  <c r="AF164" i="6" s="1"/>
  <c r="AA165" i="6"/>
  <c r="AC165" i="6" s="1"/>
  <c r="M169" i="6"/>
  <c r="AO169" i="6" s="1"/>
  <c r="P168" i="6"/>
  <c r="R168" i="6" s="1"/>
  <c r="AH168" i="6" s="1"/>
  <c r="Z168" i="6"/>
  <c r="T168" i="6"/>
  <c r="Y168" i="6"/>
  <c r="U168" i="6"/>
  <c r="AJ168" i="6"/>
  <c r="N168" i="6"/>
  <c r="AD167" i="6"/>
  <c r="AE167" i="6"/>
  <c r="M170" i="6"/>
  <c r="AO170" i="6" s="1"/>
  <c r="AE166" i="6"/>
  <c r="AD166" i="6"/>
  <c r="H166" i="6"/>
  <c r="AG163" i="6"/>
  <c r="P160" i="11" s="1"/>
  <c r="AG164" i="6"/>
  <c r="P161" i="11" s="1"/>
  <c r="H167" i="6"/>
  <c r="AI168" i="6"/>
  <c r="F168" i="6"/>
  <c r="AP169" i="6" l="1"/>
  <c r="AP168" i="6"/>
  <c r="Q161" i="11"/>
  <c r="R161" i="11" s="1"/>
  <c r="Q160" i="11"/>
  <c r="R160" i="11" s="1"/>
  <c r="Q159" i="11"/>
  <c r="R159" i="11" s="1"/>
  <c r="A168" i="6"/>
  <c r="AM165" i="6"/>
  <c r="K168" i="6"/>
  <c r="L168" i="6" s="1"/>
  <c r="AA167" i="6"/>
  <c r="AB167" i="6" s="1"/>
  <c r="AK166" i="6"/>
  <c r="AL166" i="6" s="1"/>
  <c r="AK167" i="6"/>
  <c r="AL167" i="6" s="1"/>
  <c r="AB165" i="6"/>
  <c r="AA166" i="6"/>
  <c r="AC166" i="6" s="1"/>
  <c r="AE168" i="6"/>
  <c r="AD168" i="6"/>
  <c r="T169" i="6"/>
  <c r="Y169" i="6"/>
  <c r="AJ169" i="6"/>
  <c r="U169" i="6"/>
  <c r="P169" i="6"/>
  <c r="R169" i="6" s="1"/>
  <c r="AH169" i="6" s="1"/>
  <c r="N169" i="6"/>
  <c r="Z169" i="6"/>
  <c r="M171" i="6"/>
  <c r="AO171" i="6" s="1"/>
  <c r="U170" i="6"/>
  <c r="AJ170" i="6"/>
  <c r="T170" i="6"/>
  <c r="P170" i="6"/>
  <c r="R170" i="6" s="1"/>
  <c r="AH170" i="6" s="1"/>
  <c r="Z170" i="6"/>
  <c r="N170" i="6"/>
  <c r="Y170" i="6"/>
  <c r="AI170" i="6"/>
  <c r="F170" i="6"/>
  <c r="AG165" i="6"/>
  <c r="P162" i="11" s="1"/>
  <c r="H168" i="6"/>
  <c r="AI169" i="6"/>
  <c r="F169" i="6"/>
  <c r="AP170" i="6" l="1"/>
  <c r="A169" i="6"/>
  <c r="A170" i="6"/>
  <c r="AC167" i="6"/>
  <c r="AM166" i="6"/>
  <c r="AM167" i="6"/>
  <c r="K169" i="6"/>
  <c r="L169" i="6" s="1"/>
  <c r="K170" i="6"/>
  <c r="L170" i="6" s="1"/>
  <c r="AK168" i="6"/>
  <c r="AL168" i="6" s="1"/>
  <c r="AB166" i="6"/>
  <c r="AA168" i="6"/>
  <c r="AC168" i="6" s="1"/>
  <c r="AF165" i="6"/>
  <c r="M173" i="6"/>
  <c r="AO173" i="6" s="1"/>
  <c r="AD169" i="6"/>
  <c r="AE169" i="6"/>
  <c r="AD170" i="6"/>
  <c r="AE170" i="6"/>
  <c r="M172" i="6"/>
  <c r="AO172" i="6" s="1"/>
  <c r="AJ171" i="6"/>
  <c r="T171" i="6"/>
  <c r="P171" i="6"/>
  <c r="R171" i="6" s="1"/>
  <c r="AH171" i="6" s="1"/>
  <c r="U171" i="6"/>
  <c r="N171" i="6"/>
  <c r="Z171" i="6"/>
  <c r="Y171" i="6"/>
  <c r="AF167" i="6"/>
  <c r="AG166" i="6"/>
  <c r="P163" i="11" s="1"/>
  <c r="H170" i="6"/>
  <c r="H169" i="6"/>
  <c r="F171" i="6"/>
  <c r="AI171" i="6"/>
  <c r="AP172" i="6" l="1"/>
  <c r="AP171" i="6"/>
  <c r="Q164" i="11"/>
  <c r="Q162" i="11"/>
  <c r="R162" i="11" s="1"/>
  <c r="A171" i="6"/>
  <c r="AM168" i="6"/>
  <c r="AG167" i="6"/>
  <c r="P164" i="11" s="1"/>
  <c r="K171" i="6"/>
  <c r="L171" i="6" s="1"/>
  <c r="AK169" i="6"/>
  <c r="AM169" i="6" s="1"/>
  <c r="AA170" i="6"/>
  <c r="AB170" i="6" s="1"/>
  <c r="AF166" i="6"/>
  <c r="AB168" i="6"/>
  <c r="AF168" i="6" s="1"/>
  <c r="AA169" i="6"/>
  <c r="AB169" i="6" s="1"/>
  <c r="AK170" i="6"/>
  <c r="AL170" i="6" s="1"/>
  <c r="M174" i="6"/>
  <c r="AO174" i="6" s="1"/>
  <c r="AD171" i="6"/>
  <c r="AE171" i="6"/>
  <c r="Z172" i="6"/>
  <c r="T172" i="6"/>
  <c r="U172" i="6"/>
  <c r="Y172" i="6"/>
  <c r="AJ172" i="6"/>
  <c r="P172" i="6"/>
  <c r="R172" i="6" s="1"/>
  <c r="AH172" i="6" s="1"/>
  <c r="N172" i="6"/>
  <c r="U173" i="6"/>
  <c r="AJ173" i="6"/>
  <c r="T173" i="6"/>
  <c r="Z173" i="6"/>
  <c r="Y173" i="6"/>
  <c r="P173" i="6"/>
  <c r="R173" i="6" s="1"/>
  <c r="AH173" i="6" s="1"/>
  <c r="N173" i="6"/>
  <c r="AI173" i="6"/>
  <c r="F173" i="6"/>
  <c r="H171" i="6"/>
  <c r="AI172" i="6"/>
  <c r="F172" i="6"/>
  <c r="AG168" i="6"/>
  <c r="P165" i="11" s="1"/>
  <c r="R164" i="11" l="1"/>
  <c r="AP173" i="6"/>
  <c r="Q165" i="11"/>
  <c r="R165" i="11" s="1"/>
  <c r="Q163" i="11"/>
  <c r="R163" i="11" s="1"/>
  <c r="A172" i="6"/>
  <c r="A173" i="6"/>
  <c r="AC170" i="6"/>
  <c r="K173" i="6"/>
  <c r="L173" i="6" s="1"/>
  <c r="K172" i="6"/>
  <c r="L172" i="6" s="1"/>
  <c r="AA171" i="6"/>
  <c r="AC171" i="6" s="1"/>
  <c r="AL169" i="6"/>
  <c r="AC169" i="6"/>
  <c r="AM170" i="6"/>
  <c r="AK171" i="6"/>
  <c r="AL171" i="6" s="1"/>
  <c r="M175" i="6"/>
  <c r="AO175" i="6" s="1"/>
  <c r="AE172" i="6"/>
  <c r="AD172" i="6"/>
  <c r="AD173" i="6"/>
  <c r="AE173" i="6"/>
  <c r="AJ174" i="6"/>
  <c r="Z174" i="6"/>
  <c r="U174" i="6"/>
  <c r="T174" i="6"/>
  <c r="Y174" i="6"/>
  <c r="P174" i="6"/>
  <c r="R174" i="6" s="1"/>
  <c r="AH174" i="6" s="1"/>
  <c r="N174" i="6"/>
  <c r="M176" i="6"/>
  <c r="AO176" i="6" s="1"/>
  <c r="AI174" i="6"/>
  <c r="F174" i="6"/>
  <c r="H173" i="6"/>
  <c r="H172" i="6"/>
  <c r="AF170" i="6"/>
  <c r="AF169" i="6"/>
  <c r="AP175" i="6" l="1"/>
  <c r="AP174" i="6"/>
  <c r="Q166" i="11"/>
  <c r="Q167" i="11"/>
  <c r="A174" i="6"/>
  <c r="AG170" i="6"/>
  <c r="AB171" i="6"/>
  <c r="AF171" i="6" s="1"/>
  <c r="K174" i="6"/>
  <c r="L174" i="6" s="1"/>
  <c r="AK173" i="6"/>
  <c r="AL173" i="6" s="1"/>
  <c r="AK172" i="6"/>
  <c r="AL172" i="6" s="1"/>
  <c r="AG169" i="6"/>
  <c r="AM171" i="6"/>
  <c r="AA173" i="6"/>
  <c r="AA172" i="6"/>
  <c r="AC172" i="6" s="1"/>
  <c r="M177" i="6"/>
  <c r="AO177" i="6" s="1"/>
  <c r="Y176" i="6"/>
  <c r="AJ176" i="6"/>
  <c r="U176" i="6"/>
  <c r="Z176" i="6"/>
  <c r="P176" i="6"/>
  <c r="R176" i="6" s="1"/>
  <c r="AH176" i="6" s="1"/>
  <c r="T176" i="6"/>
  <c r="N176" i="6"/>
  <c r="AD174" i="6"/>
  <c r="AE174" i="6"/>
  <c r="P175" i="6"/>
  <c r="R175" i="6" s="1"/>
  <c r="AH175" i="6" s="1"/>
  <c r="N175" i="6"/>
  <c r="T175" i="6"/>
  <c r="Z175" i="6"/>
  <c r="AJ175" i="6"/>
  <c r="Y175" i="6"/>
  <c r="U175" i="6"/>
  <c r="AG171" i="6"/>
  <c r="P168" i="11" s="1"/>
  <c r="H174" i="6"/>
  <c r="AI175" i="6"/>
  <c r="F175" i="6"/>
  <c r="AI176" i="6"/>
  <c r="F176" i="6"/>
  <c r="AP176" i="6" l="1"/>
  <c r="Q168" i="11"/>
  <c r="R168" i="11" s="1"/>
  <c r="A175" i="6"/>
  <c r="A176" i="6"/>
  <c r="P166" i="11"/>
  <c r="R166" i="11" s="1"/>
  <c r="P167" i="11"/>
  <c r="R167" i="11" s="1"/>
  <c r="AM172" i="6"/>
  <c r="K175" i="6"/>
  <c r="L175" i="6" s="1"/>
  <c r="K176" i="6"/>
  <c r="L176" i="6" s="1"/>
  <c r="AK174" i="6"/>
  <c r="AM174" i="6" s="1"/>
  <c r="AM173" i="6"/>
  <c r="AB173" i="6"/>
  <c r="AF173" i="6" s="1"/>
  <c r="AA174" i="6"/>
  <c r="AC173" i="6"/>
  <c r="AG173" i="6" s="1"/>
  <c r="P170" i="11" s="1"/>
  <c r="AB172" i="6"/>
  <c r="AF172" i="6" s="1"/>
  <c r="AD176" i="6"/>
  <c r="AE176" i="6"/>
  <c r="AD175" i="6"/>
  <c r="AE175" i="6"/>
  <c r="M178" i="6"/>
  <c r="AO178" i="6" s="1"/>
  <c r="T177" i="6"/>
  <c r="Y177" i="6"/>
  <c r="U177" i="6"/>
  <c r="AJ177" i="6"/>
  <c r="Z177" i="6"/>
  <c r="P177" i="6"/>
  <c r="R177" i="6" s="1"/>
  <c r="AH177" i="6" s="1"/>
  <c r="N177" i="6"/>
  <c r="M179" i="6"/>
  <c r="AO179" i="6" s="1"/>
  <c r="H175" i="6"/>
  <c r="AG172" i="6"/>
  <c r="P169" i="11" s="1"/>
  <c r="H176" i="6"/>
  <c r="AI177" i="6"/>
  <c r="F177" i="6"/>
  <c r="AP178" i="6" l="1"/>
  <c r="AP177" i="6"/>
  <c r="Q169" i="11"/>
  <c r="R169" i="11" s="1"/>
  <c r="Q170" i="11"/>
  <c r="R170" i="11" s="1"/>
  <c r="A177" i="6"/>
  <c r="AL174" i="6"/>
  <c r="K177" i="6"/>
  <c r="L177" i="6" s="1"/>
  <c r="AK176" i="6"/>
  <c r="AL176" i="6" s="1"/>
  <c r="AK175" i="6"/>
  <c r="AM175" i="6" s="1"/>
  <c r="AA176" i="6"/>
  <c r="AB176" i="6" s="1"/>
  <c r="AC174" i="6"/>
  <c r="AB174" i="6"/>
  <c r="AF174" i="6" s="1"/>
  <c r="AA175" i="6"/>
  <c r="AB175" i="6" s="1"/>
  <c r="AJ179" i="6"/>
  <c r="N179" i="6"/>
  <c r="Z179" i="6"/>
  <c r="Y179" i="6"/>
  <c r="U179" i="6"/>
  <c r="T179" i="6"/>
  <c r="P179" i="6"/>
  <c r="R179" i="6" s="1"/>
  <c r="AH179" i="6" s="1"/>
  <c r="AE177" i="6"/>
  <c r="AD177" i="6"/>
  <c r="T178" i="6"/>
  <c r="P178" i="6"/>
  <c r="R178" i="6" s="1"/>
  <c r="AH178" i="6" s="1"/>
  <c r="Y178" i="6"/>
  <c r="U178" i="6"/>
  <c r="Z178" i="6"/>
  <c r="N178" i="6"/>
  <c r="AJ178" i="6"/>
  <c r="M180" i="6"/>
  <c r="AO180" i="6" s="1"/>
  <c r="AI179" i="6"/>
  <c r="F179" i="6"/>
  <c r="AI178" i="6"/>
  <c r="F178" i="6"/>
  <c r="H177" i="6"/>
  <c r="AP179" i="6" l="1"/>
  <c r="Q171" i="11"/>
  <c r="A179" i="6"/>
  <c r="A178" i="6"/>
  <c r="AM176" i="6"/>
  <c r="K178" i="6"/>
  <c r="L178" i="6" s="1"/>
  <c r="K179" i="6"/>
  <c r="L179" i="6" s="1"/>
  <c r="AA177" i="6"/>
  <c r="AC177" i="6" s="1"/>
  <c r="AL175" i="6"/>
  <c r="AC176" i="6"/>
  <c r="AG176" i="6" s="1"/>
  <c r="P173" i="11" s="1"/>
  <c r="AG174" i="6"/>
  <c r="P171" i="11" s="1"/>
  <c r="AK177" i="6"/>
  <c r="AL177" i="6" s="1"/>
  <c r="AC175" i="6"/>
  <c r="AG175" i="6" s="1"/>
  <c r="P172" i="11" s="1"/>
  <c r="AE178" i="6"/>
  <c r="AD178" i="6"/>
  <c r="AE179" i="6"/>
  <c r="AD179" i="6"/>
  <c r="M181" i="6"/>
  <c r="AO181" i="6" s="1"/>
  <c r="M182" i="6"/>
  <c r="AO182" i="6" s="1"/>
  <c r="U180" i="6"/>
  <c r="AJ180" i="6"/>
  <c r="Y180" i="6"/>
  <c r="P180" i="6"/>
  <c r="R180" i="6" s="1"/>
  <c r="AH180" i="6" s="1"/>
  <c r="Z180" i="6"/>
  <c r="N180" i="6"/>
  <c r="T180" i="6"/>
  <c r="AI180" i="6"/>
  <c r="F180" i="6"/>
  <c r="H179" i="6"/>
  <c r="AF176" i="6"/>
  <c r="H178" i="6"/>
  <c r="AF175" i="6"/>
  <c r="R171" i="11" l="1"/>
  <c r="AP180" i="6"/>
  <c r="AP181" i="6"/>
  <c r="Q172" i="11"/>
  <c r="R172" i="11" s="1"/>
  <c r="Q173" i="11"/>
  <c r="R173" i="11" s="1"/>
  <c r="A180" i="6"/>
  <c r="AB177" i="6"/>
  <c r="K180" i="6"/>
  <c r="L180" i="6" s="1"/>
  <c r="AK179" i="6"/>
  <c r="AM179" i="6" s="1"/>
  <c r="AM177" i="6"/>
  <c r="AA178" i="6"/>
  <c r="AC178" i="6" s="1"/>
  <c r="AA179" i="6"/>
  <c r="AK178" i="6"/>
  <c r="AL178" i="6" s="1"/>
  <c r="N181" i="6"/>
  <c r="Z181" i="6"/>
  <c r="U181" i="6"/>
  <c r="AJ181" i="6"/>
  <c r="Y181" i="6"/>
  <c r="P181" i="6"/>
  <c r="R181" i="6" s="1"/>
  <c r="AH181" i="6" s="1"/>
  <c r="T181" i="6"/>
  <c r="AD180" i="6"/>
  <c r="AE180" i="6"/>
  <c r="Z182" i="6"/>
  <c r="U182" i="6"/>
  <c r="T182" i="6"/>
  <c r="Y182" i="6"/>
  <c r="AJ182" i="6"/>
  <c r="P182" i="6"/>
  <c r="R182" i="6" s="1"/>
  <c r="AH182" i="6" s="1"/>
  <c r="N182" i="6"/>
  <c r="M183" i="6"/>
  <c r="AO183" i="6" s="1"/>
  <c r="AI182" i="6"/>
  <c r="F182" i="6"/>
  <c r="AG177" i="6"/>
  <c r="P174" i="11" s="1"/>
  <c r="AI181" i="6"/>
  <c r="F181" i="6"/>
  <c r="H180" i="6"/>
  <c r="AP182" i="6" l="1"/>
  <c r="AF177" i="6"/>
  <c r="A181" i="6"/>
  <c r="A182" i="6"/>
  <c r="AL179" i="6"/>
  <c r="AB178" i="6"/>
  <c r="K181" i="6"/>
  <c r="L181" i="6" s="1"/>
  <c r="K182" i="6"/>
  <c r="L182" i="6" s="1"/>
  <c r="AK180" i="6"/>
  <c r="AM180" i="6" s="1"/>
  <c r="AB179" i="6"/>
  <c r="AF179" i="6" s="1"/>
  <c r="AC179" i="6"/>
  <c r="AM178" i="6"/>
  <c r="AA180" i="6"/>
  <c r="AC180" i="6" s="1"/>
  <c r="M184" i="6"/>
  <c r="AO184" i="6" s="1"/>
  <c r="M185" i="6"/>
  <c r="AO185" i="6" s="1"/>
  <c r="U183" i="6"/>
  <c r="AJ183" i="6"/>
  <c r="Z183" i="6"/>
  <c r="N183" i="6"/>
  <c r="Y183" i="6"/>
  <c r="P183" i="6"/>
  <c r="R183" i="6" s="1"/>
  <c r="T183" i="6"/>
  <c r="AE182" i="6"/>
  <c r="AD182" i="6"/>
  <c r="AD181" i="6"/>
  <c r="AE181" i="6"/>
  <c r="AG178" i="6"/>
  <c r="P175" i="11" s="1"/>
  <c r="F183" i="6"/>
  <c r="AI183" i="6"/>
  <c r="H182" i="6"/>
  <c r="H181" i="6"/>
  <c r="AP183" i="6" l="1"/>
  <c r="AP184" i="6"/>
  <c r="Q174" i="11"/>
  <c r="R174" i="11" s="1"/>
  <c r="Q176" i="11"/>
  <c r="A183" i="6"/>
  <c r="AF178" i="6"/>
  <c r="AL180" i="6"/>
  <c r="K183" i="6"/>
  <c r="L183" i="6" s="1"/>
  <c r="AK181" i="6"/>
  <c r="AM181" i="6" s="1"/>
  <c r="AK182" i="6"/>
  <c r="AM182" i="6" s="1"/>
  <c r="AG179" i="6"/>
  <c r="AB180" i="6"/>
  <c r="AA181" i="6"/>
  <c r="AA182" i="6"/>
  <c r="M186" i="6"/>
  <c r="AO186" i="6" s="1"/>
  <c r="Z185" i="6"/>
  <c r="Y185" i="6"/>
  <c r="AJ185" i="6"/>
  <c r="N185" i="6"/>
  <c r="U185" i="6"/>
  <c r="T185" i="6"/>
  <c r="P185" i="6"/>
  <c r="R185" i="6" s="1"/>
  <c r="AH185" i="6" s="1"/>
  <c r="AE183" i="6"/>
  <c r="AH183" i="6"/>
  <c r="AD183" i="6"/>
  <c r="U184" i="6"/>
  <c r="T184" i="6"/>
  <c r="AJ184" i="6"/>
  <c r="Z184" i="6"/>
  <c r="N184" i="6"/>
  <c r="Y184" i="6"/>
  <c r="P184" i="6"/>
  <c r="R184" i="6" s="1"/>
  <c r="AI184" i="6"/>
  <c r="F184" i="6"/>
  <c r="AG180" i="6"/>
  <c r="P177" i="11" s="1"/>
  <c r="AI185" i="6"/>
  <c r="F185" i="6"/>
  <c r="H183" i="6"/>
  <c r="AP185" i="6" l="1"/>
  <c r="Q175" i="11"/>
  <c r="R175" i="11" s="1"/>
  <c r="A184" i="6"/>
  <c r="A185" i="6"/>
  <c r="P176" i="11"/>
  <c r="R176" i="11" s="1"/>
  <c r="AL182" i="6"/>
  <c r="AL181" i="6"/>
  <c r="K185" i="6"/>
  <c r="L185" i="6" s="1"/>
  <c r="K184" i="6"/>
  <c r="L184" i="6" s="1"/>
  <c r="AK183" i="6"/>
  <c r="AL183" i="6" s="1"/>
  <c r="AF180" i="6"/>
  <c r="AC181" i="6"/>
  <c r="AG181" i="6" s="1"/>
  <c r="P178" i="11" s="1"/>
  <c r="AB181" i="6"/>
  <c r="AF181" i="6" s="1"/>
  <c r="AA183" i="6"/>
  <c r="AB182" i="6"/>
  <c r="AC182" i="6"/>
  <c r="M187" i="6"/>
  <c r="AO187" i="6" s="1"/>
  <c r="AH184" i="6"/>
  <c r="AE184" i="6"/>
  <c r="AD184" i="6"/>
  <c r="AD185" i="6"/>
  <c r="AE185" i="6"/>
  <c r="T186" i="6"/>
  <c r="Z186" i="6"/>
  <c r="U186" i="6"/>
  <c r="N186" i="6"/>
  <c r="P186" i="6"/>
  <c r="R186" i="6" s="1"/>
  <c r="AH186" i="6" s="1"/>
  <c r="Y186" i="6"/>
  <c r="AJ186" i="6"/>
  <c r="M188" i="6"/>
  <c r="AO188" i="6" s="1"/>
  <c r="H185" i="6"/>
  <c r="H184" i="6"/>
  <c r="AI186" i="6"/>
  <c r="F186" i="6"/>
  <c r="AP187" i="6" l="1"/>
  <c r="AP186" i="6"/>
  <c r="Q177" i="11"/>
  <c r="R177" i="11" s="1"/>
  <c r="Q178" i="11"/>
  <c r="R178" i="11" s="1"/>
  <c r="A186" i="6"/>
  <c r="AM183" i="6"/>
  <c r="K186" i="6"/>
  <c r="L186" i="6" s="1"/>
  <c r="AK184" i="6"/>
  <c r="AL184" i="6" s="1"/>
  <c r="AA185" i="6"/>
  <c r="AB185" i="6" s="1"/>
  <c r="AC183" i="6"/>
  <c r="AB183" i="6"/>
  <c r="AF183" i="6" s="1"/>
  <c r="AG182" i="6"/>
  <c r="P179" i="11" s="1"/>
  <c r="AF182" i="6"/>
  <c r="AK185" i="6"/>
  <c r="AL185" i="6" s="1"/>
  <c r="AA184" i="6"/>
  <c r="M189" i="6"/>
  <c r="AO189" i="6" s="1"/>
  <c r="P188" i="6"/>
  <c r="R188" i="6" s="1"/>
  <c r="AH188" i="6" s="1"/>
  <c r="U188" i="6"/>
  <c r="N188" i="6"/>
  <c r="AJ188" i="6"/>
  <c r="Z188" i="6"/>
  <c r="T188" i="6"/>
  <c r="Y188" i="6"/>
  <c r="AD186" i="6"/>
  <c r="AE186" i="6"/>
  <c r="U187" i="6"/>
  <c r="Y187" i="6"/>
  <c r="T187" i="6"/>
  <c r="Z187" i="6"/>
  <c r="AJ187" i="6"/>
  <c r="N187" i="6"/>
  <c r="P187" i="6"/>
  <c r="R187" i="6" s="1"/>
  <c r="AH187" i="6" s="1"/>
  <c r="H186" i="6"/>
  <c r="AI187" i="6"/>
  <c r="F187" i="6"/>
  <c r="AI188" i="6"/>
  <c r="F188" i="6"/>
  <c r="AP188" i="6" l="1"/>
  <c r="Q180" i="11"/>
  <c r="Q179" i="11"/>
  <c r="R179" i="11" s="1"/>
  <c r="A188" i="6"/>
  <c r="A187" i="6"/>
  <c r="AM184" i="6"/>
  <c r="AC184" i="6"/>
  <c r="AG184" i="6" s="1"/>
  <c r="P181" i="11" s="1"/>
  <c r="AC185" i="6"/>
  <c r="AG185" i="6" s="1"/>
  <c r="P182" i="11" s="1"/>
  <c r="K187" i="6"/>
  <c r="L187" i="6" s="1"/>
  <c r="K188" i="6"/>
  <c r="L188" i="6" s="1"/>
  <c r="AK186" i="6"/>
  <c r="AL186" i="6" s="1"/>
  <c r="AG183" i="6"/>
  <c r="AB184" i="6"/>
  <c r="AF184" i="6" s="1"/>
  <c r="AM185" i="6"/>
  <c r="AA186" i="6"/>
  <c r="M190" i="6"/>
  <c r="AO190" i="6" s="1"/>
  <c r="AD188" i="6"/>
  <c r="AE188" i="6"/>
  <c r="M191" i="6"/>
  <c r="AO191" i="6" s="1"/>
  <c r="T189" i="6"/>
  <c r="N189" i="6"/>
  <c r="U189" i="6"/>
  <c r="Y189" i="6"/>
  <c r="P189" i="6"/>
  <c r="R189" i="6" s="1"/>
  <c r="AH189" i="6" s="1"/>
  <c r="Z189" i="6"/>
  <c r="AJ189" i="6"/>
  <c r="AD187" i="6"/>
  <c r="AE187" i="6"/>
  <c r="H188" i="6"/>
  <c r="H187" i="6"/>
  <c r="AF185" i="6"/>
  <c r="AI189" i="6"/>
  <c r="F189" i="6"/>
  <c r="AP190" i="6" l="1"/>
  <c r="AP189" i="6"/>
  <c r="Q181" i="11"/>
  <c r="R181" i="11" s="1"/>
  <c r="Q182" i="11"/>
  <c r="R182" i="11" s="1"/>
  <c r="A189" i="6"/>
  <c r="P180" i="11"/>
  <c r="R180" i="11" s="1"/>
  <c r="AM186" i="6"/>
  <c r="K189" i="6"/>
  <c r="L189" i="6" s="1"/>
  <c r="AK188" i="6"/>
  <c r="AM188" i="6" s="1"/>
  <c r="AK187" i="6"/>
  <c r="AL187" i="6" s="1"/>
  <c r="AB186" i="6"/>
  <c r="AC186" i="6"/>
  <c r="AG186" i="6" s="1"/>
  <c r="P183" i="11" s="1"/>
  <c r="AA187" i="6"/>
  <c r="AB187" i="6" s="1"/>
  <c r="AA188" i="6"/>
  <c r="AB188" i="6" s="1"/>
  <c r="AD189" i="6"/>
  <c r="AE189" i="6"/>
  <c r="AJ191" i="6"/>
  <c r="Z191" i="6"/>
  <c r="Y191" i="6"/>
  <c r="U191" i="6"/>
  <c r="T191" i="6"/>
  <c r="N191" i="6"/>
  <c r="P191" i="6"/>
  <c r="R191" i="6" s="1"/>
  <c r="P190" i="6"/>
  <c r="R190" i="6" s="1"/>
  <c r="AJ190" i="6"/>
  <c r="Y190" i="6"/>
  <c r="Z190" i="6"/>
  <c r="N190" i="6"/>
  <c r="T190" i="6"/>
  <c r="U190" i="6"/>
  <c r="M192" i="6"/>
  <c r="AO192" i="6" s="1"/>
  <c r="AI190" i="6"/>
  <c r="F190" i="6"/>
  <c r="H189" i="6"/>
  <c r="AI191" i="6"/>
  <c r="F191" i="6"/>
  <c r="AP191" i="6" l="1"/>
  <c r="AM187" i="6"/>
  <c r="A191" i="6"/>
  <c r="A190" i="6"/>
  <c r="AL188" i="6"/>
  <c r="K191" i="6"/>
  <c r="L191" i="6" s="1"/>
  <c r="K190" i="6"/>
  <c r="L190" i="6" s="1"/>
  <c r="AK189" i="6"/>
  <c r="AM189" i="6" s="1"/>
  <c r="AF186" i="6"/>
  <c r="AC187" i="6"/>
  <c r="AG187" i="6" s="1"/>
  <c r="P184" i="11" s="1"/>
  <c r="AC188" i="6"/>
  <c r="AG188" i="6" s="1"/>
  <c r="P185" i="11" s="1"/>
  <c r="AD190" i="6"/>
  <c r="AE190" i="6"/>
  <c r="AH190" i="6"/>
  <c r="AA189" i="6"/>
  <c r="M194" i="6"/>
  <c r="AO194" i="6" s="1"/>
  <c r="U192" i="6"/>
  <c r="Y192" i="6"/>
  <c r="P192" i="6"/>
  <c r="R192" i="6" s="1"/>
  <c r="Z192" i="6"/>
  <c r="N192" i="6"/>
  <c r="AJ192" i="6"/>
  <c r="T192" i="6"/>
  <c r="M193" i="6"/>
  <c r="AO193" i="6" s="1"/>
  <c r="AD191" i="6"/>
  <c r="AH191" i="6"/>
  <c r="AE191" i="6"/>
  <c r="H190" i="6"/>
  <c r="H191" i="6"/>
  <c r="AF187" i="6"/>
  <c r="AI192" i="6"/>
  <c r="F192" i="6"/>
  <c r="AF188" i="6"/>
  <c r="AP193" i="6" l="1"/>
  <c r="AP192" i="6"/>
  <c r="Q185" i="11"/>
  <c r="R185" i="11" s="1"/>
  <c r="Q184" i="11"/>
  <c r="R184" i="11" s="1"/>
  <c r="Q183" i="11"/>
  <c r="R183" i="11" s="1"/>
  <c r="A192" i="6"/>
  <c r="AL189" i="6"/>
  <c r="K192" i="6"/>
  <c r="L192" i="6" s="1"/>
  <c r="AA190" i="6"/>
  <c r="AB190" i="6" s="1"/>
  <c r="AK191" i="6"/>
  <c r="AM191" i="6" s="1"/>
  <c r="AC189" i="6"/>
  <c r="AG189" i="6" s="1"/>
  <c r="P186" i="11" s="1"/>
  <c r="AB189" i="6"/>
  <c r="AF189" i="6" s="1"/>
  <c r="AA191" i="6"/>
  <c r="AC191" i="6" s="1"/>
  <c r="AK190" i="6"/>
  <c r="AL190" i="6" s="1"/>
  <c r="AH192" i="6"/>
  <c r="AD192" i="6"/>
  <c r="AE192" i="6"/>
  <c r="M195" i="6"/>
  <c r="AO195" i="6" s="1"/>
  <c r="U194" i="6"/>
  <c r="AJ194" i="6"/>
  <c r="T194" i="6"/>
  <c r="N194" i="6"/>
  <c r="P194" i="6"/>
  <c r="R194" i="6" s="1"/>
  <c r="Y194" i="6"/>
  <c r="Z194" i="6"/>
  <c r="AJ193" i="6"/>
  <c r="N193" i="6"/>
  <c r="Y193" i="6"/>
  <c r="P193" i="6"/>
  <c r="R193" i="6" s="1"/>
  <c r="U193" i="6"/>
  <c r="T193" i="6"/>
  <c r="Z193" i="6"/>
  <c r="H192" i="6"/>
  <c r="AI194" i="6"/>
  <c r="F194" i="6"/>
  <c r="F193" i="6"/>
  <c r="AI193" i="6"/>
  <c r="AP194" i="6" l="1"/>
  <c r="Q186" i="11"/>
  <c r="R186" i="11" s="1"/>
  <c r="A194" i="6"/>
  <c r="A193" i="6"/>
  <c r="AL191" i="6"/>
  <c r="AC190" i="6"/>
  <c r="AG190" i="6" s="1"/>
  <c r="P187" i="11" s="1"/>
  <c r="K193" i="6"/>
  <c r="L193" i="6" s="1"/>
  <c r="K194" i="6"/>
  <c r="L194" i="6" s="1"/>
  <c r="AK192" i="6"/>
  <c r="AM192" i="6" s="1"/>
  <c r="AB191" i="6"/>
  <c r="AF191" i="6" s="1"/>
  <c r="AA192" i="6"/>
  <c r="AC192" i="6" s="1"/>
  <c r="AM190" i="6"/>
  <c r="M196" i="6"/>
  <c r="AO196" i="6" s="1"/>
  <c r="M197" i="6"/>
  <c r="AO197" i="6" s="1"/>
  <c r="AE193" i="6"/>
  <c r="AH193" i="6"/>
  <c r="AD193" i="6"/>
  <c r="AD194" i="6"/>
  <c r="AH194" i="6"/>
  <c r="AE194" i="6"/>
  <c r="Z195" i="6"/>
  <c r="P195" i="6"/>
  <c r="R195" i="6" s="1"/>
  <c r="T195" i="6"/>
  <c r="Y195" i="6"/>
  <c r="U195" i="6"/>
  <c r="AJ195" i="6"/>
  <c r="N195" i="6"/>
  <c r="AG191" i="6"/>
  <c r="P188" i="11" s="1"/>
  <c r="H193" i="6"/>
  <c r="AF190" i="6"/>
  <c r="H194" i="6"/>
  <c r="AI195" i="6"/>
  <c r="F195" i="6"/>
  <c r="AP195" i="6" l="1"/>
  <c r="AP196" i="6"/>
  <c r="Q188" i="11"/>
  <c r="R188" i="11" s="1"/>
  <c r="Q187" i="11"/>
  <c r="R187" i="11" s="1"/>
  <c r="A195" i="6"/>
  <c r="K195" i="6"/>
  <c r="L195" i="6" s="1"/>
  <c r="AA194" i="6"/>
  <c r="AB194" i="6" s="1"/>
  <c r="AA193" i="6"/>
  <c r="AC193" i="6" s="1"/>
  <c r="AL192" i="6"/>
  <c r="AB192" i="6"/>
  <c r="AK194" i="6"/>
  <c r="AM194" i="6" s="1"/>
  <c r="AK193" i="6"/>
  <c r="AM193" i="6" s="1"/>
  <c r="Z197" i="6"/>
  <c r="AJ197" i="6"/>
  <c r="P197" i="6"/>
  <c r="R197" i="6" s="1"/>
  <c r="AH197" i="6" s="1"/>
  <c r="Y197" i="6"/>
  <c r="T197" i="6"/>
  <c r="U197" i="6"/>
  <c r="N197" i="6"/>
  <c r="M198" i="6"/>
  <c r="AO198" i="6" s="1"/>
  <c r="AD195" i="6"/>
  <c r="AE195" i="6"/>
  <c r="AH195" i="6"/>
  <c r="AJ196" i="6"/>
  <c r="Y196" i="6"/>
  <c r="T196" i="6"/>
  <c r="U196" i="6"/>
  <c r="Z196" i="6"/>
  <c r="P196" i="6"/>
  <c r="R196" i="6" s="1"/>
  <c r="AH196" i="6" s="1"/>
  <c r="N196" i="6"/>
  <c r="AG192" i="6"/>
  <c r="P189" i="11" s="1"/>
  <c r="AI197" i="6"/>
  <c r="F197" i="6"/>
  <c r="AI196" i="6"/>
  <c r="F196" i="6"/>
  <c r="H195" i="6"/>
  <c r="AP197" i="6" l="1"/>
  <c r="A197" i="6"/>
  <c r="A196" i="6"/>
  <c r="AB193" i="6"/>
  <c r="AC194" i="6"/>
  <c r="AG194" i="6" s="1"/>
  <c r="P191" i="11" s="1"/>
  <c r="K197" i="6"/>
  <c r="L197" i="6" s="1"/>
  <c r="K196" i="6"/>
  <c r="L196" i="6" s="1"/>
  <c r="AA195" i="6"/>
  <c r="AB195" i="6" s="1"/>
  <c r="AF192" i="6"/>
  <c r="AL194" i="6"/>
  <c r="AL193" i="6"/>
  <c r="AK195" i="6"/>
  <c r="AL195" i="6" s="1"/>
  <c r="M199" i="6"/>
  <c r="AO199" i="6" s="1"/>
  <c r="M200" i="6"/>
  <c r="AO200" i="6" s="1"/>
  <c r="AE197" i="6"/>
  <c r="AD197" i="6"/>
  <c r="Y198" i="6"/>
  <c r="U198" i="6"/>
  <c r="T198" i="6"/>
  <c r="Z198" i="6"/>
  <c r="AJ198" i="6"/>
  <c r="N198" i="6"/>
  <c r="P198" i="6"/>
  <c r="R198" i="6" s="1"/>
  <c r="AH198" i="6" s="1"/>
  <c r="AD196" i="6"/>
  <c r="AE196" i="6"/>
  <c r="H197" i="6"/>
  <c r="H196" i="6"/>
  <c r="AG193" i="6"/>
  <c r="P190" i="11" s="1"/>
  <c r="AF194" i="6"/>
  <c r="AI198" i="6"/>
  <c r="F198" i="6"/>
  <c r="AP199" i="6" l="1"/>
  <c r="AP198" i="6"/>
  <c r="Q191" i="11"/>
  <c r="R191" i="11" s="1"/>
  <c r="Q189" i="11"/>
  <c r="R189" i="11" s="1"/>
  <c r="A198" i="6"/>
  <c r="AF193" i="6"/>
  <c r="AC195" i="6"/>
  <c r="AG195" i="6" s="1"/>
  <c r="P192" i="11" s="1"/>
  <c r="AM195" i="6"/>
  <c r="K198" i="6"/>
  <c r="L198" i="6" s="1"/>
  <c r="AA197" i="6"/>
  <c r="AC197" i="6" s="1"/>
  <c r="AA196" i="6"/>
  <c r="AK196" i="6"/>
  <c r="AM196" i="6" s="1"/>
  <c r="AK197" i="6"/>
  <c r="AL197" i="6" s="1"/>
  <c r="U199" i="6"/>
  <c r="Z199" i="6"/>
  <c r="T199" i="6"/>
  <c r="N199" i="6"/>
  <c r="Y199" i="6"/>
  <c r="AJ199" i="6"/>
  <c r="P199" i="6"/>
  <c r="R199" i="6" s="1"/>
  <c r="AH199" i="6" s="1"/>
  <c r="M201" i="6"/>
  <c r="AO201" i="6" s="1"/>
  <c r="AD198" i="6"/>
  <c r="AE198" i="6"/>
  <c r="Z200" i="6"/>
  <c r="U200" i="6"/>
  <c r="T200" i="6"/>
  <c r="Y200" i="6"/>
  <c r="AJ200" i="6"/>
  <c r="P200" i="6"/>
  <c r="R200" i="6" s="1"/>
  <c r="AH200" i="6" s="1"/>
  <c r="N200" i="6"/>
  <c r="AF195" i="6"/>
  <c r="H198" i="6"/>
  <c r="AI200" i="6"/>
  <c r="F200" i="6"/>
  <c r="AI199" i="6"/>
  <c r="F199" i="6"/>
  <c r="AP200" i="6" l="1"/>
  <c r="Q192" i="11"/>
  <c r="R192" i="11" s="1"/>
  <c r="Q190" i="11"/>
  <c r="R190" i="11" s="1"/>
  <c r="A200" i="6"/>
  <c r="A199" i="6"/>
  <c r="AB196" i="6"/>
  <c r="AF196" i="6" s="1"/>
  <c r="AB197" i="6"/>
  <c r="AF197" i="6" s="1"/>
  <c r="AL196" i="6"/>
  <c r="AC196" i="6"/>
  <c r="AG196" i="6" s="1"/>
  <c r="P193" i="11" s="1"/>
  <c r="K199" i="6"/>
  <c r="L199" i="6" s="1"/>
  <c r="K200" i="6"/>
  <c r="L200" i="6" s="1"/>
  <c r="AA198" i="6"/>
  <c r="AM197" i="6"/>
  <c r="AK198" i="6"/>
  <c r="AM198" i="6" s="1"/>
  <c r="Z201" i="6"/>
  <c r="T201" i="6"/>
  <c r="Y201" i="6"/>
  <c r="AJ201" i="6"/>
  <c r="U201" i="6"/>
  <c r="P201" i="6"/>
  <c r="R201" i="6" s="1"/>
  <c r="AH201" i="6" s="1"/>
  <c r="N201" i="6"/>
  <c r="AE200" i="6"/>
  <c r="AD200" i="6"/>
  <c r="M202" i="6"/>
  <c r="AO202" i="6" s="1"/>
  <c r="AE199" i="6"/>
  <c r="AD199" i="6"/>
  <c r="M203" i="6"/>
  <c r="AO203" i="6" s="1"/>
  <c r="H199" i="6"/>
  <c r="H200" i="6"/>
  <c r="AI201" i="6"/>
  <c r="F201" i="6"/>
  <c r="AG197" i="6"/>
  <c r="P194" i="11" s="1"/>
  <c r="AP201" i="6" l="1"/>
  <c r="AP202" i="6"/>
  <c r="Q194" i="11"/>
  <c r="R194" i="11" s="1"/>
  <c r="Q193" i="11"/>
  <c r="R193" i="11" s="1"/>
  <c r="A201" i="6"/>
  <c r="AL198" i="6"/>
  <c r="AC198" i="6"/>
  <c r="K201" i="6"/>
  <c r="L201" i="6" s="1"/>
  <c r="AK200" i="6"/>
  <c r="AL200" i="6" s="1"/>
  <c r="AB198" i="6"/>
  <c r="AK199" i="6"/>
  <c r="AM199" i="6" s="1"/>
  <c r="AA199" i="6"/>
  <c r="AC199" i="6" s="1"/>
  <c r="M204" i="6"/>
  <c r="AO204" i="6" s="1"/>
  <c r="AA200" i="6"/>
  <c r="Y202" i="6"/>
  <c r="P202" i="6"/>
  <c r="R202" i="6" s="1"/>
  <c r="AH202" i="6" s="1"/>
  <c r="T202" i="6"/>
  <c r="N202" i="6"/>
  <c r="Z202" i="6"/>
  <c r="AJ202" i="6"/>
  <c r="U202" i="6"/>
  <c r="Y203" i="6"/>
  <c r="AJ203" i="6"/>
  <c r="P203" i="6"/>
  <c r="R203" i="6" s="1"/>
  <c r="AH203" i="6" s="1"/>
  <c r="N203" i="6"/>
  <c r="T203" i="6"/>
  <c r="Z203" i="6"/>
  <c r="U203" i="6"/>
  <c r="AD201" i="6"/>
  <c r="AE201" i="6"/>
  <c r="AI203" i="6"/>
  <c r="F203" i="6"/>
  <c r="AI202" i="6"/>
  <c r="F202" i="6"/>
  <c r="H201" i="6"/>
  <c r="AP203" i="6" l="1"/>
  <c r="A202" i="6"/>
  <c r="A203" i="6"/>
  <c r="AF198" i="6"/>
  <c r="AG198" i="6"/>
  <c r="P195" i="11" s="1"/>
  <c r="AL199" i="6"/>
  <c r="AM200" i="6"/>
  <c r="K202" i="6"/>
  <c r="L202" i="6" s="1"/>
  <c r="K203" i="6"/>
  <c r="L203" i="6" s="1"/>
  <c r="AA201" i="6"/>
  <c r="AB199" i="6"/>
  <c r="AK201" i="6"/>
  <c r="AM201" i="6" s="1"/>
  <c r="AB200" i="6"/>
  <c r="AF200" i="6" s="1"/>
  <c r="AC200" i="6"/>
  <c r="AD202" i="6"/>
  <c r="AE202" i="6"/>
  <c r="M206" i="6"/>
  <c r="AO206" i="6" s="1"/>
  <c r="M205" i="6"/>
  <c r="AO205" i="6" s="1"/>
  <c r="AD203" i="6"/>
  <c r="AE203" i="6"/>
  <c r="N204" i="6"/>
  <c r="U204" i="6"/>
  <c r="P204" i="6"/>
  <c r="R204" i="6" s="1"/>
  <c r="AH204" i="6" s="1"/>
  <c r="Z204" i="6"/>
  <c r="T204" i="6"/>
  <c r="AJ204" i="6"/>
  <c r="Y204" i="6"/>
  <c r="AG199" i="6"/>
  <c r="P196" i="11" s="1"/>
  <c r="H203" i="6"/>
  <c r="H202" i="6"/>
  <c r="AI204" i="6"/>
  <c r="F204" i="6"/>
  <c r="AP205" i="6" l="1"/>
  <c r="AP204" i="6"/>
  <c r="Q195" i="11"/>
  <c r="R195" i="11" s="1"/>
  <c r="Q197" i="11"/>
  <c r="A204" i="6"/>
  <c r="AC201" i="6"/>
  <c r="K204" i="6"/>
  <c r="L204" i="6" s="1"/>
  <c r="AA202" i="6"/>
  <c r="AK203" i="6"/>
  <c r="AM203" i="6" s="1"/>
  <c r="AB201" i="6"/>
  <c r="AL201" i="6"/>
  <c r="AF199" i="6"/>
  <c r="AG200" i="6"/>
  <c r="P197" i="11" s="1"/>
  <c r="AK202" i="6"/>
  <c r="AL202" i="6" s="1"/>
  <c r="AA203" i="6"/>
  <c r="AC203" i="6" s="1"/>
  <c r="M207" i="6"/>
  <c r="AO207" i="6" s="1"/>
  <c r="AD204" i="6"/>
  <c r="AE204" i="6"/>
  <c r="U205" i="6"/>
  <c r="P205" i="6"/>
  <c r="R205" i="6" s="1"/>
  <c r="AH205" i="6" s="1"/>
  <c r="T205" i="6"/>
  <c r="AJ205" i="6"/>
  <c r="Y205" i="6"/>
  <c r="Z205" i="6"/>
  <c r="N205" i="6"/>
  <c r="Z206" i="6"/>
  <c r="AJ206" i="6"/>
  <c r="U206" i="6"/>
  <c r="T206" i="6"/>
  <c r="Y206" i="6"/>
  <c r="N206" i="6"/>
  <c r="P206" i="6"/>
  <c r="R206" i="6" s="1"/>
  <c r="AI206" i="6"/>
  <c r="F206" i="6"/>
  <c r="AI205" i="6"/>
  <c r="F205" i="6"/>
  <c r="H204" i="6"/>
  <c r="R197" i="11" l="1"/>
  <c r="AP206" i="6"/>
  <c r="Q196" i="11"/>
  <c r="R196" i="11" s="1"/>
  <c r="A206" i="6"/>
  <c r="A205" i="6"/>
  <c r="AG201" i="6"/>
  <c r="AL203" i="6"/>
  <c r="AF201" i="6"/>
  <c r="K205" i="6"/>
  <c r="L205" i="6" s="1"/>
  <c r="K206" i="6"/>
  <c r="L206" i="6" s="1"/>
  <c r="AC202" i="6"/>
  <c r="AG202" i="6" s="1"/>
  <c r="P199" i="11" s="1"/>
  <c r="AB202" i="6"/>
  <c r="AK204" i="6"/>
  <c r="AL204" i="6" s="1"/>
  <c r="AA204" i="6"/>
  <c r="AM202" i="6"/>
  <c r="AB203" i="6"/>
  <c r="M209" i="6"/>
  <c r="AO209" i="6" s="1"/>
  <c r="AH206" i="6"/>
  <c r="AD206" i="6"/>
  <c r="AE206" i="6"/>
  <c r="U207" i="6"/>
  <c r="T207" i="6"/>
  <c r="AJ207" i="6"/>
  <c r="Y207" i="6"/>
  <c r="Z207" i="6"/>
  <c r="N207" i="6"/>
  <c r="P207" i="6"/>
  <c r="R207" i="6" s="1"/>
  <c r="M208" i="6"/>
  <c r="AO208" i="6" s="1"/>
  <c r="AE205" i="6"/>
  <c r="AD205" i="6"/>
  <c r="H206" i="6"/>
  <c r="H205" i="6"/>
  <c r="AI207" i="6"/>
  <c r="F207" i="6"/>
  <c r="AG203" i="6"/>
  <c r="P200" i="11" s="1"/>
  <c r="AP207" i="6" l="1"/>
  <c r="AP208" i="6"/>
  <c r="Q198" i="11"/>
  <c r="A207" i="6"/>
  <c r="P198" i="11"/>
  <c r="AM204" i="6"/>
  <c r="AF202" i="6"/>
  <c r="K207" i="6"/>
  <c r="L207" i="6" s="1"/>
  <c r="AA206" i="6"/>
  <c r="AK206" i="6"/>
  <c r="AL206" i="6" s="1"/>
  <c r="AA205" i="6"/>
  <c r="AC205" i="6" s="1"/>
  <c r="AC204" i="6"/>
  <c r="AG204" i="6" s="1"/>
  <c r="P201" i="11" s="1"/>
  <c r="AB204" i="6"/>
  <c r="AF203" i="6"/>
  <c r="AK205" i="6"/>
  <c r="AL205" i="6" s="1"/>
  <c r="AH207" i="6"/>
  <c r="AD207" i="6"/>
  <c r="AE207" i="6"/>
  <c r="U208" i="6"/>
  <c r="AJ208" i="6"/>
  <c r="P208" i="6"/>
  <c r="R208" i="6" s="1"/>
  <c r="Z208" i="6"/>
  <c r="T208" i="6"/>
  <c r="Y208" i="6"/>
  <c r="N208" i="6"/>
  <c r="T209" i="6"/>
  <c r="Z209" i="6"/>
  <c r="AJ209" i="6"/>
  <c r="U209" i="6"/>
  <c r="Y209" i="6"/>
  <c r="P209" i="6"/>
  <c r="R209" i="6" s="1"/>
  <c r="N209" i="6"/>
  <c r="M210" i="6"/>
  <c r="AO210" i="6" s="1"/>
  <c r="H207" i="6"/>
  <c r="AI208" i="6"/>
  <c r="F208" i="6"/>
  <c r="AI209" i="6"/>
  <c r="F209" i="6"/>
  <c r="R198" i="11" l="1"/>
  <c r="AP209" i="6"/>
  <c r="Q199" i="11"/>
  <c r="R199" i="11" s="1"/>
  <c r="Q200" i="11"/>
  <c r="R200" i="11" s="1"/>
  <c r="A209" i="6"/>
  <c r="A208" i="6"/>
  <c r="AM206" i="6"/>
  <c r="AC206" i="6"/>
  <c r="AB206" i="6"/>
  <c r="AF206" i="6" s="1"/>
  <c r="AB205" i="6"/>
  <c r="AF205" i="6" s="1"/>
  <c r="K208" i="6"/>
  <c r="L208" i="6" s="1"/>
  <c r="K209" i="6"/>
  <c r="L209" i="6" s="1"/>
  <c r="AA207" i="6"/>
  <c r="AF204" i="6"/>
  <c r="AM205" i="6"/>
  <c r="AK207" i="6"/>
  <c r="AL207" i="6" s="1"/>
  <c r="AH208" i="6"/>
  <c r="AE208" i="6"/>
  <c r="AD208" i="6"/>
  <c r="U210" i="6"/>
  <c r="T210" i="6"/>
  <c r="Y210" i="6"/>
  <c r="AJ210" i="6"/>
  <c r="N210" i="6"/>
  <c r="Z210" i="6"/>
  <c r="P210" i="6"/>
  <c r="R210" i="6" s="1"/>
  <c r="AH210" i="6" s="1"/>
  <c r="M212" i="6"/>
  <c r="AO212" i="6" s="1"/>
  <c r="AH209" i="6"/>
  <c r="AD209" i="6"/>
  <c r="AE209" i="6"/>
  <c r="M211" i="6"/>
  <c r="AO211" i="6" s="1"/>
  <c r="AG205" i="6"/>
  <c r="P202" i="11" s="1"/>
  <c r="H209" i="6"/>
  <c r="H208" i="6"/>
  <c r="AI210" i="6"/>
  <c r="F210" i="6"/>
  <c r="AP210" i="6" l="1"/>
  <c r="AP211" i="6"/>
  <c r="Q203" i="11"/>
  <c r="Q201" i="11"/>
  <c r="R201" i="11" s="1"/>
  <c r="Q202" i="11"/>
  <c r="R202" i="11" s="1"/>
  <c r="A210" i="6"/>
  <c r="AG206" i="6"/>
  <c r="P203" i="11" s="1"/>
  <c r="AB207" i="6"/>
  <c r="AC207" i="6"/>
  <c r="AG207" i="6" s="1"/>
  <c r="P204" i="11" s="1"/>
  <c r="AM207" i="6"/>
  <c r="K210" i="6"/>
  <c r="L210" i="6" s="1"/>
  <c r="AK209" i="6"/>
  <c r="AM209" i="6" s="1"/>
  <c r="AK208" i="6"/>
  <c r="AM208" i="6" s="1"/>
  <c r="AA208" i="6"/>
  <c r="AA209" i="6"/>
  <c r="AC209" i="6" s="1"/>
  <c r="AD210" i="6"/>
  <c r="AE210" i="6"/>
  <c r="T211" i="6"/>
  <c r="AJ211" i="6"/>
  <c r="Z211" i="6"/>
  <c r="N211" i="6"/>
  <c r="Y211" i="6"/>
  <c r="U211" i="6"/>
  <c r="P211" i="6"/>
  <c r="R211" i="6" s="1"/>
  <c r="AH211" i="6" s="1"/>
  <c r="Z212" i="6"/>
  <c r="T212" i="6"/>
  <c r="AJ212" i="6"/>
  <c r="N212" i="6"/>
  <c r="U212" i="6"/>
  <c r="Y212" i="6"/>
  <c r="P212" i="6"/>
  <c r="R212" i="6" s="1"/>
  <c r="AH212" i="6" s="1"/>
  <c r="M213" i="6"/>
  <c r="AO213" i="6" s="1"/>
  <c r="H210" i="6"/>
  <c r="AI211" i="6"/>
  <c r="F211" i="6"/>
  <c r="AI212" i="6"/>
  <c r="F212" i="6"/>
  <c r="R203" i="11" l="1"/>
  <c r="AP212" i="6"/>
  <c r="A211" i="6"/>
  <c r="A212" i="6"/>
  <c r="AF207" i="6"/>
  <c r="AL209" i="6"/>
  <c r="AL208" i="6"/>
  <c r="K212" i="6"/>
  <c r="L212" i="6" s="1"/>
  <c r="K211" i="6"/>
  <c r="L211" i="6" s="1"/>
  <c r="AA210" i="6"/>
  <c r="AB208" i="6"/>
  <c r="AC208" i="6"/>
  <c r="AB209" i="6"/>
  <c r="AK210" i="6"/>
  <c r="AL210" i="6" s="1"/>
  <c r="AJ213" i="6"/>
  <c r="U213" i="6"/>
  <c r="Z213" i="6"/>
  <c r="Y213" i="6"/>
  <c r="T213" i="6"/>
  <c r="P213" i="6"/>
  <c r="R213" i="6" s="1"/>
  <c r="AH213" i="6" s="1"/>
  <c r="N213" i="6"/>
  <c r="M214" i="6"/>
  <c r="AO214" i="6" s="1"/>
  <c r="M215" i="6"/>
  <c r="AO215" i="6" s="1"/>
  <c r="AE212" i="6"/>
  <c r="AD212" i="6"/>
  <c r="AD211" i="6"/>
  <c r="AE211" i="6"/>
  <c r="AG209" i="6"/>
  <c r="P206" i="11" s="1"/>
  <c r="H212" i="6"/>
  <c r="H211" i="6"/>
  <c r="AI213" i="6"/>
  <c r="F213" i="6"/>
  <c r="AP213" i="6" l="1"/>
  <c r="AP214" i="6"/>
  <c r="Q204" i="11"/>
  <c r="R204" i="11" s="1"/>
  <c r="A213" i="6"/>
  <c r="AF208" i="6"/>
  <c r="AB210" i="6"/>
  <c r="AF210" i="6" s="1"/>
  <c r="AG208" i="6"/>
  <c r="P205" i="11" s="1"/>
  <c r="AC210" i="6"/>
  <c r="K213" i="6"/>
  <c r="L213" i="6" s="1"/>
  <c r="AK211" i="6"/>
  <c r="AL211" i="6" s="1"/>
  <c r="AA212" i="6"/>
  <c r="AC212" i="6" s="1"/>
  <c r="AF209" i="6"/>
  <c r="AM210" i="6"/>
  <c r="AA211" i="6"/>
  <c r="AB211" i="6" s="1"/>
  <c r="AK212" i="6"/>
  <c r="AL212" i="6" s="1"/>
  <c r="M216" i="6"/>
  <c r="AO216" i="6" s="1"/>
  <c r="Z215" i="6"/>
  <c r="P215" i="6"/>
  <c r="R215" i="6" s="1"/>
  <c r="AH215" i="6" s="1"/>
  <c r="N215" i="6"/>
  <c r="T215" i="6"/>
  <c r="Y215" i="6"/>
  <c r="AJ215" i="6"/>
  <c r="U215" i="6"/>
  <c r="Z214" i="6"/>
  <c r="N214" i="6"/>
  <c r="U214" i="6"/>
  <c r="Y214" i="6"/>
  <c r="P214" i="6"/>
  <c r="R214" i="6" s="1"/>
  <c r="AH214" i="6" s="1"/>
  <c r="AJ214" i="6"/>
  <c r="T214" i="6"/>
  <c r="AD213" i="6"/>
  <c r="AE213" i="6"/>
  <c r="H213" i="6"/>
  <c r="AI215" i="6"/>
  <c r="F215" i="6"/>
  <c r="AI214" i="6"/>
  <c r="F214" i="6"/>
  <c r="AP215" i="6" l="1"/>
  <c r="Q207" i="11"/>
  <c r="Q205" i="11"/>
  <c r="R205" i="11" s="1"/>
  <c r="Q206" i="11"/>
  <c r="R206" i="11" s="1"/>
  <c r="A214" i="6"/>
  <c r="A215" i="6"/>
  <c r="AG210" i="6"/>
  <c r="AM211" i="6"/>
  <c r="K214" i="6"/>
  <c r="L214" i="6" s="1"/>
  <c r="K215" i="6"/>
  <c r="L215" i="6" s="1"/>
  <c r="AK213" i="6"/>
  <c r="AL213" i="6" s="1"/>
  <c r="AB212" i="6"/>
  <c r="AM212" i="6"/>
  <c r="AA213" i="6"/>
  <c r="AC211" i="6"/>
  <c r="AE214" i="6"/>
  <c r="AD214" i="6"/>
  <c r="M217" i="6"/>
  <c r="AO217" i="6" s="1"/>
  <c r="AE215" i="6"/>
  <c r="AD215" i="6"/>
  <c r="U216" i="6"/>
  <c r="Z216" i="6"/>
  <c r="P216" i="6"/>
  <c r="R216" i="6" s="1"/>
  <c r="AH216" i="6" s="1"/>
  <c r="T216" i="6"/>
  <c r="Y216" i="6"/>
  <c r="AJ216" i="6"/>
  <c r="N216" i="6"/>
  <c r="M218" i="6"/>
  <c r="AO218" i="6" s="1"/>
  <c r="AF211" i="6"/>
  <c r="H215" i="6"/>
  <c r="F216" i="6"/>
  <c r="AI216" i="6"/>
  <c r="AG212" i="6"/>
  <c r="P209" i="11" s="1"/>
  <c r="H214" i="6"/>
  <c r="AP217" i="6" l="1"/>
  <c r="AP216" i="6"/>
  <c r="Q208" i="11"/>
  <c r="A216" i="6"/>
  <c r="P207" i="11"/>
  <c r="R207" i="11" s="1"/>
  <c r="AF212" i="6"/>
  <c r="AM213" i="6"/>
  <c r="K216" i="6"/>
  <c r="L216" i="6" s="1"/>
  <c r="AK215" i="6"/>
  <c r="AM215" i="6" s="1"/>
  <c r="AA214" i="6"/>
  <c r="AB213" i="6"/>
  <c r="AC213" i="6"/>
  <c r="AG211" i="6"/>
  <c r="P208" i="11" s="1"/>
  <c r="AK214" i="6"/>
  <c r="AL214" i="6" s="1"/>
  <c r="M219" i="6"/>
  <c r="AO219" i="6" s="1"/>
  <c r="U217" i="6"/>
  <c r="P217" i="6"/>
  <c r="R217" i="6" s="1"/>
  <c r="AH217" i="6" s="1"/>
  <c r="Y217" i="6"/>
  <c r="AJ217" i="6"/>
  <c r="N217" i="6"/>
  <c r="Z217" i="6"/>
  <c r="T217" i="6"/>
  <c r="AA215" i="6"/>
  <c r="AB215" i="6" s="1"/>
  <c r="AD216" i="6"/>
  <c r="AE216" i="6"/>
  <c r="N218" i="6"/>
  <c r="T218" i="6"/>
  <c r="P218" i="6"/>
  <c r="R218" i="6" s="1"/>
  <c r="AH218" i="6" s="1"/>
  <c r="Y218" i="6"/>
  <c r="Z218" i="6"/>
  <c r="AJ218" i="6"/>
  <c r="U218" i="6"/>
  <c r="H216" i="6"/>
  <c r="AI218" i="6"/>
  <c r="F218" i="6"/>
  <c r="AI217" i="6"/>
  <c r="F217" i="6"/>
  <c r="R208" i="11" l="1"/>
  <c r="AP218" i="6"/>
  <c r="Q209" i="11"/>
  <c r="R209" i="11" s="1"/>
  <c r="A217" i="6"/>
  <c r="A218" i="6"/>
  <c r="AF213" i="6"/>
  <c r="AC214" i="6"/>
  <c r="AG214" i="6" s="1"/>
  <c r="P211" i="11" s="1"/>
  <c r="AB214" i="6"/>
  <c r="AF214" i="6" s="1"/>
  <c r="K217" i="6"/>
  <c r="L217" i="6" s="1"/>
  <c r="K218" i="6"/>
  <c r="L218" i="6" s="1"/>
  <c r="AA216" i="6"/>
  <c r="AC216" i="6" s="1"/>
  <c r="AL215" i="6"/>
  <c r="AG213" i="6"/>
  <c r="P210" i="11" s="1"/>
  <c r="AK216" i="6"/>
  <c r="AL216" i="6" s="1"/>
  <c r="AM214" i="6"/>
  <c r="AC215" i="6"/>
  <c r="AG215" i="6" s="1"/>
  <c r="P212" i="11" s="1"/>
  <c r="M220" i="6"/>
  <c r="AO220" i="6" s="1"/>
  <c r="M221" i="6"/>
  <c r="AO221" i="6" s="1"/>
  <c r="T219" i="6"/>
  <c r="Z219" i="6"/>
  <c r="Y219" i="6"/>
  <c r="U219" i="6"/>
  <c r="N219" i="6"/>
  <c r="AJ219" i="6"/>
  <c r="P219" i="6"/>
  <c r="R219" i="6" s="1"/>
  <c r="AH219" i="6" s="1"/>
  <c r="AD218" i="6"/>
  <c r="AE218" i="6"/>
  <c r="AE217" i="6"/>
  <c r="AD217" i="6"/>
  <c r="H218" i="6"/>
  <c r="H217" i="6"/>
  <c r="AI219" i="6"/>
  <c r="F219" i="6"/>
  <c r="AF215" i="6"/>
  <c r="AP219" i="6" l="1"/>
  <c r="AP220" i="6"/>
  <c r="Q212" i="11"/>
  <c r="R212" i="11" s="1"/>
  <c r="Q211" i="11"/>
  <c r="R211" i="11" s="1"/>
  <c r="Q210" i="11"/>
  <c r="R210" i="11" s="1"/>
  <c r="A219" i="6"/>
  <c r="K219" i="6"/>
  <c r="L219" i="6" s="1"/>
  <c r="AA217" i="6"/>
  <c r="AB216" i="6"/>
  <c r="AK218" i="6"/>
  <c r="AM218" i="6" s="1"/>
  <c r="AM216" i="6"/>
  <c r="AK217" i="6"/>
  <c r="AM217" i="6" s="1"/>
  <c r="AA218" i="6"/>
  <c r="AC218" i="6" s="1"/>
  <c r="M222" i="6"/>
  <c r="AO222" i="6" s="1"/>
  <c r="AE219" i="6"/>
  <c r="AD219" i="6"/>
  <c r="Z221" i="6"/>
  <c r="AJ221" i="6"/>
  <c r="T221" i="6"/>
  <c r="U221" i="6"/>
  <c r="Y221" i="6"/>
  <c r="N221" i="6"/>
  <c r="P221" i="6"/>
  <c r="R221" i="6" s="1"/>
  <c r="AH221" i="6" s="1"/>
  <c r="Y220" i="6"/>
  <c r="T220" i="6"/>
  <c r="AJ220" i="6"/>
  <c r="U220" i="6"/>
  <c r="P220" i="6"/>
  <c r="R220" i="6" s="1"/>
  <c r="AH220" i="6" s="1"/>
  <c r="Z220" i="6"/>
  <c r="N220" i="6"/>
  <c r="AG216" i="6"/>
  <c r="P213" i="11" s="1"/>
  <c r="AI220" i="6"/>
  <c r="F220" i="6"/>
  <c r="H219" i="6"/>
  <c r="AI221" i="6"/>
  <c r="F221" i="6"/>
  <c r="AP221" i="6" l="1"/>
  <c r="A221" i="6"/>
  <c r="A220" i="6"/>
  <c r="AF216" i="6"/>
  <c r="AB217" i="6"/>
  <c r="AF217" i="6" s="1"/>
  <c r="AC217" i="6"/>
  <c r="AG217" i="6" s="1"/>
  <c r="P214" i="11" s="1"/>
  <c r="AL218" i="6"/>
  <c r="K221" i="6"/>
  <c r="L221" i="6" s="1"/>
  <c r="K220" i="6"/>
  <c r="L220" i="6" s="1"/>
  <c r="AK219" i="6"/>
  <c r="AL219" i="6" s="1"/>
  <c r="AL217" i="6"/>
  <c r="AB218" i="6"/>
  <c r="AA219" i="6"/>
  <c r="AE220" i="6"/>
  <c r="AD220" i="6"/>
  <c r="M224" i="6"/>
  <c r="AO224" i="6" s="1"/>
  <c r="M223" i="6"/>
  <c r="AO223" i="6" s="1"/>
  <c r="Z222" i="6"/>
  <c r="P222" i="6"/>
  <c r="R222" i="6" s="1"/>
  <c r="AH222" i="6" s="1"/>
  <c r="Y222" i="6"/>
  <c r="AJ222" i="6"/>
  <c r="U222" i="6"/>
  <c r="T222" i="6"/>
  <c r="N222" i="6"/>
  <c r="AD221" i="6"/>
  <c r="AE221" i="6"/>
  <c r="F222" i="6"/>
  <c r="AI222" i="6"/>
  <c r="H221" i="6"/>
  <c r="H220" i="6"/>
  <c r="AG218" i="6"/>
  <c r="P215" i="11" s="1"/>
  <c r="AP222" i="6" l="1"/>
  <c r="AP223" i="6"/>
  <c r="Q214" i="11"/>
  <c r="R214" i="11" s="1"/>
  <c r="Q213" i="11"/>
  <c r="R213" i="11" s="1"/>
  <c r="A222" i="6"/>
  <c r="AM219" i="6"/>
  <c r="K222" i="6"/>
  <c r="L222" i="6" s="1"/>
  <c r="AK220" i="6"/>
  <c r="AM220" i="6" s="1"/>
  <c r="AA221" i="6"/>
  <c r="AC221" i="6" s="1"/>
  <c r="AF218" i="6"/>
  <c r="AB219" i="6"/>
  <c r="AF219" i="6" s="1"/>
  <c r="AC219" i="6"/>
  <c r="AA220" i="6"/>
  <c r="AC220" i="6" s="1"/>
  <c r="AK221" i="6"/>
  <c r="AM221" i="6" s="1"/>
  <c r="Z224" i="6"/>
  <c r="AJ224" i="6"/>
  <c r="T224" i="6"/>
  <c r="P224" i="6"/>
  <c r="R224" i="6" s="1"/>
  <c r="AH224" i="6" s="1"/>
  <c r="U224" i="6"/>
  <c r="N224" i="6"/>
  <c r="Y224" i="6"/>
  <c r="M225" i="6"/>
  <c r="AO225" i="6" s="1"/>
  <c r="Z223" i="6"/>
  <c r="U223" i="6"/>
  <c r="T223" i="6"/>
  <c r="Y223" i="6"/>
  <c r="AJ223" i="6"/>
  <c r="P223" i="6"/>
  <c r="R223" i="6" s="1"/>
  <c r="AH223" i="6" s="1"/>
  <c r="N223" i="6"/>
  <c r="AD222" i="6"/>
  <c r="AE222" i="6"/>
  <c r="AI224" i="6"/>
  <c r="F224" i="6"/>
  <c r="F223" i="6"/>
  <c r="AI223" i="6"/>
  <c r="H222" i="6"/>
  <c r="AP224" i="6" l="1"/>
  <c r="Q216" i="11"/>
  <c r="Q215" i="11"/>
  <c r="R215" i="11" s="1"/>
  <c r="A224" i="6"/>
  <c r="A223" i="6"/>
  <c r="AB221" i="6"/>
  <c r="AG219" i="6"/>
  <c r="P216" i="11" s="1"/>
  <c r="K224" i="6"/>
  <c r="L224" i="6" s="1"/>
  <c r="K223" i="6"/>
  <c r="L223" i="6" s="1"/>
  <c r="AL220" i="6"/>
  <c r="AK222" i="6"/>
  <c r="AM222" i="6" s="1"/>
  <c r="AL221" i="6"/>
  <c r="AB220" i="6"/>
  <c r="AA222" i="6"/>
  <c r="M227" i="6"/>
  <c r="AO227" i="6" s="1"/>
  <c r="AE223" i="6"/>
  <c r="AD223" i="6"/>
  <c r="AD224" i="6"/>
  <c r="AE224" i="6"/>
  <c r="M226" i="6"/>
  <c r="AO226" i="6" s="1"/>
  <c r="AJ225" i="6"/>
  <c r="N225" i="6"/>
  <c r="Z225" i="6"/>
  <c r="U225" i="6"/>
  <c r="Y225" i="6"/>
  <c r="T225" i="6"/>
  <c r="P225" i="6"/>
  <c r="R225" i="6" s="1"/>
  <c r="AH225" i="6" s="1"/>
  <c r="AG221" i="6"/>
  <c r="P218" i="11" s="1"/>
  <c r="AI225" i="6"/>
  <c r="F225" i="6"/>
  <c r="AG220" i="6"/>
  <c r="P217" i="11" s="1"/>
  <c r="H223" i="6"/>
  <c r="H224" i="6"/>
  <c r="R216" i="11" l="1"/>
  <c r="AP225" i="6"/>
  <c r="AP226" i="6"/>
  <c r="A225" i="6"/>
  <c r="AF221" i="6"/>
  <c r="AL222" i="6"/>
  <c r="K225" i="6"/>
  <c r="L225" i="6" s="1"/>
  <c r="AK223" i="6"/>
  <c r="AM223" i="6" s="1"/>
  <c r="AK224" i="6"/>
  <c r="AL224" i="6" s="1"/>
  <c r="AF220" i="6"/>
  <c r="AA224" i="6"/>
  <c r="AC224" i="6" s="1"/>
  <c r="AB222" i="6"/>
  <c r="AC222" i="6"/>
  <c r="AA223" i="6"/>
  <c r="AE225" i="6"/>
  <c r="AD225" i="6"/>
  <c r="Y226" i="6"/>
  <c r="N226" i="6"/>
  <c r="AJ226" i="6"/>
  <c r="U226" i="6"/>
  <c r="P226" i="6"/>
  <c r="R226" i="6" s="1"/>
  <c r="AH226" i="6" s="1"/>
  <c r="T226" i="6"/>
  <c r="Z226" i="6"/>
  <c r="N227" i="6"/>
  <c r="Y227" i="6"/>
  <c r="T227" i="6"/>
  <c r="Z227" i="6"/>
  <c r="U227" i="6"/>
  <c r="AJ227" i="6"/>
  <c r="P227" i="6"/>
  <c r="R227" i="6" s="1"/>
  <c r="AH227" i="6" s="1"/>
  <c r="M228" i="6"/>
  <c r="AO228" i="6" s="1"/>
  <c r="H225" i="6"/>
  <c r="AI227" i="6"/>
  <c r="F227" i="6"/>
  <c r="AI226" i="6"/>
  <c r="F226" i="6"/>
  <c r="AP227" i="6" l="1"/>
  <c r="Q217" i="11"/>
  <c r="R217" i="11" s="1"/>
  <c r="Q218" i="11"/>
  <c r="R218" i="11" s="1"/>
  <c r="A226" i="6"/>
  <c r="A227" i="6"/>
  <c r="AF222" i="6"/>
  <c r="AM224" i="6"/>
  <c r="AL223" i="6"/>
  <c r="K226" i="6"/>
  <c r="L226" i="6" s="1"/>
  <c r="K227" i="6"/>
  <c r="L227" i="6" s="1"/>
  <c r="AK225" i="6"/>
  <c r="AM225" i="6" s="1"/>
  <c r="AG222" i="6"/>
  <c r="P219" i="11" s="1"/>
  <c r="AC223" i="6"/>
  <c r="AG223" i="6" s="1"/>
  <c r="P220" i="11" s="1"/>
  <c r="AB224" i="6"/>
  <c r="AA225" i="6"/>
  <c r="AC225" i="6" s="1"/>
  <c r="AB223" i="6"/>
  <c r="M229" i="6"/>
  <c r="AO229" i="6" s="1"/>
  <c r="M230" i="6"/>
  <c r="AO230" i="6" s="1"/>
  <c r="Y228" i="6"/>
  <c r="AJ228" i="6"/>
  <c r="T228" i="6"/>
  <c r="Z228" i="6"/>
  <c r="U228" i="6"/>
  <c r="N228" i="6"/>
  <c r="P228" i="6"/>
  <c r="R228" i="6" s="1"/>
  <c r="AH228" i="6" s="1"/>
  <c r="AD227" i="6"/>
  <c r="AE227" i="6"/>
  <c r="AD226" i="6"/>
  <c r="AE226" i="6"/>
  <c r="AG224" i="6"/>
  <c r="P221" i="11" s="1"/>
  <c r="H226" i="6"/>
  <c r="H227" i="6"/>
  <c r="F228" i="6"/>
  <c r="AI228" i="6"/>
  <c r="AP228" i="6" l="1"/>
  <c r="AP229" i="6"/>
  <c r="Q219" i="11"/>
  <c r="R219" i="11" s="1"/>
  <c r="A228" i="6"/>
  <c r="AL225" i="6"/>
  <c r="K228" i="6"/>
  <c r="L228" i="6" s="1"/>
  <c r="AK227" i="6"/>
  <c r="AM227" i="6" s="1"/>
  <c r="AK226" i="6"/>
  <c r="AL226" i="6" s="1"/>
  <c r="AB225" i="6"/>
  <c r="AF224" i="6"/>
  <c r="AF223" i="6"/>
  <c r="AA227" i="6"/>
  <c r="AA226" i="6"/>
  <c r="M231" i="6"/>
  <c r="AO231" i="6" s="1"/>
  <c r="N230" i="6"/>
  <c r="P230" i="6"/>
  <c r="R230" i="6" s="1"/>
  <c r="AH230" i="6" s="1"/>
  <c r="Y230" i="6"/>
  <c r="T230" i="6"/>
  <c r="AJ230" i="6"/>
  <c r="Z230" i="6"/>
  <c r="U230" i="6"/>
  <c r="AE228" i="6"/>
  <c r="AD228" i="6"/>
  <c r="U229" i="6"/>
  <c r="AJ229" i="6"/>
  <c r="Z229" i="6"/>
  <c r="T229" i="6"/>
  <c r="Y229" i="6"/>
  <c r="N229" i="6"/>
  <c r="P229" i="6"/>
  <c r="R229" i="6" s="1"/>
  <c r="AH229" i="6" s="1"/>
  <c r="H228" i="6"/>
  <c r="AI229" i="6"/>
  <c r="F229" i="6"/>
  <c r="AG225" i="6"/>
  <c r="P222" i="11" s="1"/>
  <c r="AI230" i="6"/>
  <c r="F230" i="6"/>
  <c r="AP230" i="6" l="1"/>
  <c r="Q220" i="11"/>
  <c r="R220" i="11" s="1"/>
  <c r="Q221" i="11"/>
  <c r="R221" i="11" s="1"/>
  <c r="A230" i="6"/>
  <c r="A229" i="6"/>
  <c r="AM226" i="6"/>
  <c r="AF225" i="6"/>
  <c r="K229" i="6"/>
  <c r="L229" i="6" s="1"/>
  <c r="K230" i="6"/>
  <c r="L230" i="6" s="1"/>
  <c r="AA228" i="6"/>
  <c r="AB228" i="6" s="1"/>
  <c r="AL227" i="6"/>
  <c r="AB227" i="6"/>
  <c r="AC227" i="6"/>
  <c r="AG227" i="6" s="1"/>
  <c r="P224" i="11" s="1"/>
  <c r="AK228" i="6"/>
  <c r="AL228" i="6" s="1"/>
  <c r="AB226" i="6"/>
  <c r="AC226" i="6"/>
  <c r="AG226" i="6" s="1"/>
  <c r="P223" i="11" s="1"/>
  <c r="AE229" i="6"/>
  <c r="AD229" i="6"/>
  <c r="M232" i="6"/>
  <c r="AO232" i="6" s="1"/>
  <c r="M233" i="6"/>
  <c r="AO233" i="6" s="1"/>
  <c r="Z231" i="6"/>
  <c r="T231" i="6"/>
  <c r="N231" i="6"/>
  <c r="Y231" i="6"/>
  <c r="P231" i="6"/>
  <c r="R231" i="6" s="1"/>
  <c r="AH231" i="6" s="1"/>
  <c r="U231" i="6"/>
  <c r="AJ231" i="6"/>
  <c r="AE230" i="6"/>
  <c r="AD230" i="6"/>
  <c r="H230" i="6"/>
  <c r="F231" i="6"/>
  <c r="AI231" i="6"/>
  <c r="H229" i="6"/>
  <c r="AP232" i="6" l="1"/>
  <c r="AP231" i="6"/>
  <c r="Q222" i="11"/>
  <c r="R222" i="11" s="1"/>
  <c r="A231" i="6"/>
  <c r="AC228" i="6"/>
  <c r="AG228" i="6" s="1"/>
  <c r="P225" i="11" s="1"/>
  <c r="K231" i="6"/>
  <c r="L231" i="6" s="1"/>
  <c r="AK230" i="6"/>
  <c r="AM230" i="6" s="1"/>
  <c r="AF227" i="6"/>
  <c r="AK229" i="6"/>
  <c r="AL229" i="6" s="1"/>
  <c r="AM228" i="6"/>
  <c r="AA230" i="6"/>
  <c r="AF226" i="6"/>
  <c r="AA229" i="6"/>
  <c r="M234" i="6"/>
  <c r="AO234" i="6" s="1"/>
  <c r="U233" i="6"/>
  <c r="Y233" i="6"/>
  <c r="P233" i="6"/>
  <c r="R233" i="6" s="1"/>
  <c r="AH233" i="6" s="1"/>
  <c r="Z233" i="6"/>
  <c r="AJ233" i="6"/>
  <c r="N233" i="6"/>
  <c r="T233" i="6"/>
  <c r="T232" i="6"/>
  <c r="Z232" i="6"/>
  <c r="Y232" i="6"/>
  <c r="U232" i="6"/>
  <c r="AJ232" i="6"/>
  <c r="P232" i="6"/>
  <c r="R232" i="6" s="1"/>
  <c r="AH232" i="6" s="1"/>
  <c r="N232" i="6"/>
  <c r="AE231" i="6"/>
  <c r="AD231" i="6"/>
  <c r="H231" i="6"/>
  <c r="AI232" i="6"/>
  <c r="F232" i="6"/>
  <c r="AF228" i="6"/>
  <c r="AI233" i="6"/>
  <c r="F233" i="6"/>
  <c r="AP233" i="6" l="1"/>
  <c r="Q224" i="11"/>
  <c r="R224" i="11" s="1"/>
  <c r="Q225" i="11"/>
  <c r="R225" i="11" s="1"/>
  <c r="Q223" i="11"/>
  <c r="R223" i="11" s="1"/>
  <c r="A232" i="6"/>
  <c r="A233" i="6"/>
  <c r="AL230" i="6"/>
  <c r="AM229" i="6"/>
  <c r="K233" i="6"/>
  <c r="L233" i="6" s="1"/>
  <c r="K232" i="6"/>
  <c r="L232" i="6" s="1"/>
  <c r="AA231" i="6"/>
  <c r="AB231" i="6" s="1"/>
  <c r="AC230" i="6"/>
  <c r="AG230" i="6" s="1"/>
  <c r="P227" i="11" s="1"/>
  <c r="AB230" i="6"/>
  <c r="AF230" i="6" s="1"/>
  <c r="AC229" i="6"/>
  <c r="AB229" i="6"/>
  <c r="AK231" i="6"/>
  <c r="AM231" i="6" s="1"/>
  <c r="M235" i="6"/>
  <c r="AO235" i="6" s="1"/>
  <c r="M236" i="6"/>
  <c r="AO236" i="6" s="1"/>
  <c r="AE232" i="6"/>
  <c r="AD232" i="6"/>
  <c r="AD233" i="6"/>
  <c r="AE233" i="6"/>
  <c r="P234" i="6"/>
  <c r="R234" i="6" s="1"/>
  <c r="AH234" i="6" s="1"/>
  <c r="AJ234" i="6"/>
  <c r="T234" i="6"/>
  <c r="Y234" i="6"/>
  <c r="U234" i="6"/>
  <c r="Z234" i="6"/>
  <c r="N234" i="6"/>
  <c r="H233" i="6"/>
  <c r="H232" i="6"/>
  <c r="AI234" i="6"/>
  <c r="F234" i="6"/>
  <c r="AP235" i="6" l="1"/>
  <c r="AP234" i="6"/>
  <c r="Q227" i="11"/>
  <c r="R227" i="11" s="1"/>
  <c r="A234" i="6"/>
  <c r="AF229" i="6"/>
  <c r="AC231" i="6"/>
  <c r="AG229" i="6"/>
  <c r="P226" i="11" s="1"/>
  <c r="AL231" i="6"/>
  <c r="K234" i="6"/>
  <c r="L234" i="6" s="1"/>
  <c r="AK233" i="6"/>
  <c r="AM233" i="6" s="1"/>
  <c r="AA232" i="6"/>
  <c r="AB232" i="6" s="1"/>
  <c r="AK232" i="6"/>
  <c r="AL232" i="6" s="1"/>
  <c r="AA233" i="6"/>
  <c r="Z236" i="6"/>
  <c r="U236" i="6"/>
  <c r="AJ236" i="6"/>
  <c r="T236" i="6"/>
  <c r="Y236" i="6"/>
  <c r="N236" i="6"/>
  <c r="P236" i="6"/>
  <c r="R236" i="6" s="1"/>
  <c r="AH236" i="6" s="1"/>
  <c r="AD234" i="6"/>
  <c r="AE234" i="6"/>
  <c r="AJ235" i="6"/>
  <c r="U235" i="6"/>
  <c r="N235" i="6"/>
  <c r="Y235" i="6"/>
  <c r="Z235" i="6"/>
  <c r="T235" i="6"/>
  <c r="P235" i="6"/>
  <c r="R235" i="6" s="1"/>
  <c r="AH235" i="6" s="1"/>
  <c r="M237" i="6"/>
  <c r="AO237" i="6" s="1"/>
  <c r="F235" i="6"/>
  <c r="AI235" i="6"/>
  <c r="AF231" i="6"/>
  <c r="AI236" i="6"/>
  <c r="F236" i="6"/>
  <c r="H234" i="6"/>
  <c r="AP236" i="6" l="1"/>
  <c r="Q228" i="11"/>
  <c r="Q226" i="11"/>
  <c r="R226" i="11" s="1"/>
  <c r="A236" i="6"/>
  <c r="A235" i="6"/>
  <c r="AG231" i="6"/>
  <c r="P228" i="11" s="1"/>
  <c r="AL233" i="6"/>
  <c r="K236" i="6"/>
  <c r="L236" i="6" s="1"/>
  <c r="K235" i="6"/>
  <c r="L235" i="6" s="1"/>
  <c r="AC232" i="6"/>
  <c r="AG232" i="6" s="1"/>
  <c r="P229" i="11" s="1"/>
  <c r="AA234" i="6"/>
  <c r="AM232" i="6"/>
  <c r="AB233" i="6"/>
  <c r="AC233" i="6"/>
  <c r="AG233" i="6" s="1"/>
  <c r="P230" i="11" s="1"/>
  <c r="AK234" i="6"/>
  <c r="AL234" i="6" s="1"/>
  <c r="T237" i="6"/>
  <c r="U237" i="6"/>
  <c r="P237" i="6"/>
  <c r="R237" i="6" s="1"/>
  <c r="AH237" i="6" s="1"/>
  <c r="AJ237" i="6"/>
  <c r="N237" i="6"/>
  <c r="Y237" i="6"/>
  <c r="Z237" i="6"/>
  <c r="AE235" i="6"/>
  <c r="AD235" i="6"/>
  <c r="M239" i="6"/>
  <c r="AO239" i="6" s="1"/>
  <c r="M238" i="6"/>
  <c r="AO238" i="6" s="1"/>
  <c r="AD236" i="6"/>
  <c r="AE236" i="6"/>
  <c r="H236" i="6"/>
  <c r="AI237" i="6"/>
  <c r="F237" i="6"/>
  <c r="AF232" i="6"/>
  <c r="H235" i="6"/>
  <c r="R228" i="11" l="1"/>
  <c r="AP237" i="6"/>
  <c r="AP238" i="6"/>
  <c r="Q229" i="11"/>
  <c r="R229" i="11" s="1"/>
  <c r="A237" i="6"/>
  <c r="AF233" i="6"/>
  <c r="AB234" i="6"/>
  <c r="AF234" i="6" s="1"/>
  <c r="K237" i="6"/>
  <c r="L237" i="6" s="1"/>
  <c r="AA235" i="6"/>
  <c r="AC235" i="6" s="1"/>
  <c r="AC234" i="6"/>
  <c r="AG234" i="6" s="1"/>
  <c r="P231" i="11" s="1"/>
  <c r="AK236" i="6"/>
  <c r="AL236" i="6" s="1"/>
  <c r="AM234" i="6"/>
  <c r="AK235" i="6"/>
  <c r="AL235" i="6" s="1"/>
  <c r="AA236" i="6"/>
  <c r="M240" i="6"/>
  <c r="AO240" i="6" s="1"/>
  <c r="AJ238" i="6"/>
  <c r="T238" i="6"/>
  <c r="U238" i="6"/>
  <c r="Z238" i="6"/>
  <c r="Y238" i="6"/>
  <c r="N238" i="6"/>
  <c r="P238" i="6"/>
  <c r="R238" i="6" s="1"/>
  <c r="AH238" i="6" s="1"/>
  <c r="T239" i="6"/>
  <c r="N239" i="6"/>
  <c r="Y239" i="6"/>
  <c r="Z239" i="6"/>
  <c r="P239" i="6"/>
  <c r="R239" i="6" s="1"/>
  <c r="AH239" i="6" s="1"/>
  <c r="U239" i="6"/>
  <c r="AJ239" i="6"/>
  <c r="AD237" i="6"/>
  <c r="AE237" i="6"/>
  <c r="AI238" i="6"/>
  <c r="F238" i="6"/>
  <c r="AI239" i="6"/>
  <c r="F239" i="6"/>
  <c r="H237" i="6"/>
  <c r="AP239" i="6" l="1"/>
  <c r="Q230" i="11"/>
  <c r="R230" i="11" s="1"/>
  <c r="Q231" i="11"/>
  <c r="R231" i="11" s="1"/>
  <c r="A239" i="6"/>
  <c r="A238" i="6"/>
  <c r="AB235" i="6"/>
  <c r="AM236" i="6"/>
  <c r="K239" i="6"/>
  <c r="L239" i="6" s="1"/>
  <c r="K238" i="6"/>
  <c r="L238" i="6" s="1"/>
  <c r="AA237" i="6"/>
  <c r="AB237" i="6" s="1"/>
  <c r="AM235" i="6"/>
  <c r="AC236" i="6"/>
  <c r="AG236" i="6" s="1"/>
  <c r="P233" i="11" s="1"/>
  <c r="AK237" i="6"/>
  <c r="AM237" i="6" s="1"/>
  <c r="AB236" i="6"/>
  <c r="AF236" i="6" s="1"/>
  <c r="M241" i="6"/>
  <c r="AO241" i="6" s="1"/>
  <c r="M242" i="6"/>
  <c r="AO242" i="6" s="1"/>
  <c r="AD239" i="6"/>
  <c r="AE239" i="6"/>
  <c r="AD238" i="6"/>
  <c r="AE238" i="6"/>
  <c r="Z240" i="6"/>
  <c r="T240" i="6"/>
  <c r="Y240" i="6"/>
  <c r="U240" i="6"/>
  <c r="AJ240" i="6"/>
  <c r="N240" i="6"/>
  <c r="P240" i="6"/>
  <c r="R240" i="6" s="1"/>
  <c r="AH240" i="6" s="1"/>
  <c r="H239" i="6"/>
  <c r="AI240" i="6"/>
  <c r="F240" i="6"/>
  <c r="AG235" i="6"/>
  <c r="P232" i="11" s="1"/>
  <c r="H238" i="6"/>
  <c r="AP240" i="6" l="1"/>
  <c r="AP241" i="6"/>
  <c r="Q233" i="11"/>
  <c r="R233" i="11" s="1"/>
  <c r="A240" i="6"/>
  <c r="AF235" i="6"/>
  <c r="K240" i="6"/>
  <c r="L240" i="6" s="1"/>
  <c r="AC237" i="6"/>
  <c r="AG237" i="6" s="1"/>
  <c r="P234" i="11" s="1"/>
  <c r="AA238" i="6"/>
  <c r="AA239" i="6"/>
  <c r="AC239" i="6" s="1"/>
  <c r="AL237" i="6"/>
  <c r="AK238" i="6"/>
  <c r="AM238" i="6" s="1"/>
  <c r="AK239" i="6"/>
  <c r="AL239" i="6" s="1"/>
  <c r="AD240" i="6"/>
  <c r="AE240" i="6"/>
  <c r="U242" i="6"/>
  <c r="N242" i="6"/>
  <c r="Z242" i="6"/>
  <c r="Y242" i="6"/>
  <c r="AJ242" i="6"/>
  <c r="T242" i="6"/>
  <c r="P242" i="6"/>
  <c r="R242" i="6" s="1"/>
  <c r="AH242" i="6" s="1"/>
  <c r="Z241" i="6"/>
  <c r="T241" i="6"/>
  <c r="Y241" i="6"/>
  <c r="U241" i="6"/>
  <c r="AJ241" i="6"/>
  <c r="P241" i="6"/>
  <c r="R241" i="6" s="1"/>
  <c r="AH241" i="6" s="1"/>
  <c r="N241" i="6"/>
  <c r="M243" i="6"/>
  <c r="AO243" i="6" s="1"/>
  <c r="AI241" i="6"/>
  <c r="F241" i="6"/>
  <c r="AF237" i="6"/>
  <c r="H240" i="6"/>
  <c r="AI242" i="6"/>
  <c r="F242" i="6"/>
  <c r="AP242" i="6" l="1"/>
  <c r="Q234" i="11"/>
  <c r="R234" i="11" s="1"/>
  <c r="Q232" i="11"/>
  <c r="R232" i="11" s="1"/>
  <c r="A241" i="6"/>
  <c r="A242" i="6"/>
  <c r="AB238" i="6"/>
  <c r="AC238" i="6"/>
  <c r="AG238" i="6" s="1"/>
  <c r="P235" i="11" s="1"/>
  <c r="AB239" i="6"/>
  <c r="AF239" i="6" s="1"/>
  <c r="K242" i="6"/>
  <c r="L242" i="6" s="1"/>
  <c r="K241" i="6"/>
  <c r="L241" i="6" s="1"/>
  <c r="AK240" i="6"/>
  <c r="AL240" i="6" s="1"/>
  <c r="AM239" i="6"/>
  <c r="AL238" i="6"/>
  <c r="T243" i="6"/>
  <c r="AJ243" i="6"/>
  <c r="Z243" i="6"/>
  <c r="P243" i="6"/>
  <c r="R243" i="6" s="1"/>
  <c r="AH243" i="6" s="1"/>
  <c r="Y243" i="6"/>
  <c r="U243" i="6"/>
  <c r="N243" i="6"/>
  <c r="AD241" i="6"/>
  <c r="AE241" i="6"/>
  <c r="M244" i="6"/>
  <c r="AO244" i="6" s="1"/>
  <c r="AA240" i="6"/>
  <c r="M245" i="6"/>
  <c r="AO245" i="6" s="1"/>
  <c r="AD242" i="6"/>
  <c r="AE242" i="6"/>
  <c r="H242" i="6"/>
  <c r="AI243" i="6"/>
  <c r="F243" i="6"/>
  <c r="H241" i="6"/>
  <c r="AG239" i="6"/>
  <c r="P236" i="11" s="1"/>
  <c r="AP244" i="6" l="1"/>
  <c r="AP243" i="6"/>
  <c r="Q236" i="11"/>
  <c r="R236" i="11" s="1"/>
  <c r="A243" i="6"/>
  <c r="AF238" i="6"/>
  <c r="AM240" i="6"/>
  <c r="K243" i="6"/>
  <c r="L243" i="6" s="1"/>
  <c r="AK241" i="6"/>
  <c r="AL241" i="6" s="1"/>
  <c r="AA242" i="6"/>
  <c r="AC242" i="6" s="1"/>
  <c r="AA241" i="6"/>
  <c r="AK242" i="6"/>
  <c r="AL242" i="6" s="1"/>
  <c r="AB240" i="6"/>
  <c r="Z244" i="6"/>
  <c r="P244" i="6"/>
  <c r="R244" i="6" s="1"/>
  <c r="AH244" i="6" s="1"/>
  <c r="N244" i="6"/>
  <c r="U244" i="6"/>
  <c r="Y244" i="6"/>
  <c r="T244" i="6"/>
  <c r="AJ244" i="6"/>
  <c r="AC240" i="6"/>
  <c r="Z245" i="6"/>
  <c r="Y245" i="6"/>
  <c r="P245" i="6"/>
  <c r="R245" i="6" s="1"/>
  <c r="AH245" i="6" s="1"/>
  <c r="AJ245" i="6"/>
  <c r="N245" i="6"/>
  <c r="T245" i="6"/>
  <c r="U245" i="6"/>
  <c r="AD243" i="6"/>
  <c r="AE243" i="6"/>
  <c r="M246" i="6"/>
  <c r="AO246" i="6" s="1"/>
  <c r="AI244" i="6"/>
  <c r="F244" i="6"/>
  <c r="H243" i="6"/>
  <c r="AI245" i="6"/>
  <c r="F245" i="6"/>
  <c r="AP245" i="6" l="1"/>
  <c r="Q235" i="11"/>
  <c r="R235" i="11" s="1"/>
  <c r="A245" i="6"/>
  <c r="A244" i="6"/>
  <c r="AB241" i="6"/>
  <c r="AF241" i="6" s="1"/>
  <c r="AB242" i="6"/>
  <c r="AF242" i="6" s="1"/>
  <c r="K245" i="6"/>
  <c r="L245" i="6" s="1"/>
  <c r="K244" i="6"/>
  <c r="L244" i="6" s="1"/>
  <c r="AM241" i="6"/>
  <c r="AA243" i="6"/>
  <c r="AB243" i="6" s="1"/>
  <c r="AM242" i="6"/>
  <c r="AF240" i="6"/>
  <c r="AC241" i="6"/>
  <c r="AG241" i="6" s="1"/>
  <c r="P238" i="11" s="1"/>
  <c r="AG240" i="6"/>
  <c r="P237" i="11" s="1"/>
  <c r="AK243" i="6"/>
  <c r="AM243" i="6" s="1"/>
  <c r="M247" i="6"/>
  <c r="AO247" i="6" s="1"/>
  <c r="M248" i="6"/>
  <c r="AO248" i="6" s="1"/>
  <c r="U246" i="6"/>
  <c r="T246" i="6"/>
  <c r="N246" i="6"/>
  <c r="AJ246" i="6"/>
  <c r="P246" i="6"/>
  <c r="R246" i="6" s="1"/>
  <c r="AH246" i="6" s="1"/>
  <c r="Z246" i="6"/>
  <c r="Y246" i="6"/>
  <c r="AE245" i="6"/>
  <c r="AD245" i="6"/>
  <c r="AE244" i="6"/>
  <c r="AD244" i="6"/>
  <c r="H245" i="6"/>
  <c r="AG242" i="6"/>
  <c r="P239" i="11" s="1"/>
  <c r="AI246" i="6"/>
  <c r="F246" i="6"/>
  <c r="H244" i="6"/>
  <c r="AP247" i="6" l="1"/>
  <c r="AP246" i="6"/>
  <c r="Q237" i="11"/>
  <c r="R237" i="11" s="1"/>
  <c r="Q238" i="11"/>
  <c r="R238" i="11" s="1"/>
  <c r="Q239" i="11"/>
  <c r="R239" i="11" s="1"/>
  <c r="A246" i="6"/>
  <c r="AC243" i="6"/>
  <c r="K246" i="6"/>
  <c r="L246" i="6" s="1"/>
  <c r="AK244" i="6"/>
  <c r="AM244" i="6" s="1"/>
  <c r="AK245" i="6"/>
  <c r="AL245" i="6" s="1"/>
  <c r="AA245" i="6"/>
  <c r="AL243" i="6"/>
  <c r="AA244" i="6"/>
  <c r="AB244" i="6" s="1"/>
  <c r="M249" i="6"/>
  <c r="AO249" i="6" s="1"/>
  <c r="Y248" i="6"/>
  <c r="N248" i="6"/>
  <c r="P248" i="6"/>
  <c r="R248" i="6" s="1"/>
  <c r="AH248" i="6" s="1"/>
  <c r="U248" i="6"/>
  <c r="Z248" i="6"/>
  <c r="T248" i="6"/>
  <c r="AJ248" i="6"/>
  <c r="AD246" i="6"/>
  <c r="AE246" i="6"/>
  <c r="U247" i="6"/>
  <c r="Y247" i="6"/>
  <c r="Z247" i="6"/>
  <c r="N247" i="6"/>
  <c r="P247" i="6"/>
  <c r="R247" i="6" s="1"/>
  <c r="AH247" i="6" s="1"/>
  <c r="T247" i="6"/>
  <c r="AJ247" i="6"/>
  <c r="AI247" i="6"/>
  <c r="F247" i="6"/>
  <c r="H246" i="6"/>
  <c r="AF243" i="6"/>
  <c r="AI248" i="6"/>
  <c r="F248" i="6"/>
  <c r="AP248" i="6" l="1"/>
  <c r="Q240" i="11"/>
  <c r="A247" i="6"/>
  <c r="A248" i="6"/>
  <c r="AG243" i="6"/>
  <c r="AL244" i="6"/>
  <c r="K247" i="6"/>
  <c r="L247" i="6" s="1"/>
  <c r="K248" i="6"/>
  <c r="L248" i="6" s="1"/>
  <c r="AA246" i="6"/>
  <c r="AB246" i="6" s="1"/>
  <c r="AM245" i="6"/>
  <c r="AK246" i="6"/>
  <c r="AL246" i="6" s="1"/>
  <c r="AC245" i="6"/>
  <c r="AC244" i="6"/>
  <c r="AG244" i="6" s="1"/>
  <c r="P241" i="11" s="1"/>
  <c r="AB245" i="6"/>
  <c r="AF245" i="6" s="1"/>
  <c r="M251" i="6"/>
  <c r="AO251" i="6" s="1"/>
  <c r="M250" i="6"/>
  <c r="AO250" i="6" s="1"/>
  <c r="Z249" i="6"/>
  <c r="U249" i="6"/>
  <c r="T249" i="6"/>
  <c r="Y249" i="6"/>
  <c r="AJ249" i="6"/>
  <c r="N249" i="6"/>
  <c r="P249" i="6"/>
  <c r="R249" i="6" s="1"/>
  <c r="AH249" i="6" s="1"/>
  <c r="AD247" i="6"/>
  <c r="AE247" i="6"/>
  <c r="AE248" i="6"/>
  <c r="AD248" i="6"/>
  <c r="H248" i="6"/>
  <c r="AF244" i="6"/>
  <c r="F249" i="6"/>
  <c r="AI249" i="6"/>
  <c r="H247" i="6"/>
  <c r="AP249" i="6" l="1"/>
  <c r="AP250" i="6"/>
  <c r="Q241" i="11"/>
  <c r="R241" i="11" s="1"/>
  <c r="Q242" i="11"/>
  <c r="A249" i="6"/>
  <c r="P240" i="11"/>
  <c r="R240" i="11" s="1"/>
  <c r="AC246" i="6"/>
  <c r="AG246" i="6" s="1"/>
  <c r="P243" i="11" s="1"/>
  <c r="AM246" i="6"/>
  <c r="K249" i="6"/>
  <c r="L249" i="6" s="1"/>
  <c r="AA248" i="6"/>
  <c r="AC248" i="6" s="1"/>
  <c r="AA247" i="6"/>
  <c r="AK248" i="6"/>
  <c r="AM248" i="6" s="1"/>
  <c r="AG245" i="6"/>
  <c r="AK247" i="6"/>
  <c r="AL247" i="6" s="1"/>
  <c r="T251" i="6"/>
  <c r="P251" i="6"/>
  <c r="R251" i="6" s="1"/>
  <c r="AH251" i="6" s="1"/>
  <c r="U251" i="6"/>
  <c r="Z251" i="6"/>
  <c r="AJ251" i="6"/>
  <c r="Y251" i="6"/>
  <c r="N251" i="6"/>
  <c r="M252" i="6"/>
  <c r="AO252" i="6" s="1"/>
  <c r="AD249" i="6"/>
  <c r="AE249" i="6"/>
  <c r="P250" i="6"/>
  <c r="R250" i="6" s="1"/>
  <c r="AH250" i="6" s="1"/>
  <c r="U250" i="6"/>
  <c r="AJ250" i="6"/>
  <c r="N250" i="6"/>
  <c r="Y250" i="6"/>
  <c r="Z250" i="6"/>
  <c r="T250" i="6"/>
  <c r="H249" i="6"/>
  <c r="AI250" i="6"/>
  <c r="F250" i="6"/>
  <c r="AF246" i="6"/>
  <c r="AI251" i="6"/>
  <c r="F251" i="6"/>
  <c r="AP251" i="6" l="1"/>
  <c r="Q243" i="11"/>
  <c r="R243" i="11" s="1"/>
  <c r="A251" i="6"/>
  <c r="A250" i="6"/>
  <c r="AB247" i="6"/>
  <c r="AF247" i="6" s="1"/>
  <c r="P242" i="11"/>
  <c r="R242" i="11" s="1"/>
  <c r="AB248" i="6"/>
  <c r="AF248" i="6" s="1"/>
  <c r="K250" i="6"/>
  <c r="L250" i="6" s="1"/>
  <c r="K251" i="6"/>
  <c r="L251" i="6" s="1"/>
  <c r="AC247" i="6"/>
  <c r="AK249" i="6"/>
  <c r="AM249" i="6" s="1"/>
  <c r="AL248" i="6"/>
  <c r="AM247" i="6"/>
  <c r="AA249" i="6"/>
  <c r="M253" i="6"/>
  <c r="AO253" i="6" s="1"/>
  <c r="AE250" i="6"/>
  <c r="AD250" i="6"/>
  <c r="M254" i="6"/>
  <c r="AO254" i="6" s="1"/>
  <c r="AE251" i="6"/>
  <c r="AD251" i="6"/>
  <c r="U252" i="6"/>
  <c r="T252" i="6"/>
  <c r="Y252" i="6"/>
  <c r="Z252" i="6"/>
  <c r="AJ252" i="6"/>
  <c r="P252" i="6"/>
  <c r="R252" i="6" s="1"/>
  <c r="AH252" i="6" s="1"/>
  <c r="N252" i="6"/>
  <c r="AG248" i="6"/>
  <c r="P245" i="11" s="1"/>
  <c r="H250" i="6"/>
  <c r="AI252" i="6"/>
  <c r="F252" i="6"/>
  <c r="H251" i="6"/>
  <c r="AP252" i="6" l="1"/>
  <c r="AP253" i="6"/>
  <c r="Q244" i="11"/>
  <c r="Q245" i="11"/>
  <c r="R245" i="11" s="1"/>
  <c r="A252" i="6"/>
  <c r="AL249" i="6"/>
  <c r="AG247" i="6"/>
  <c r="P244" i="11" s="1"/>
  <c r="K252" i="6"/>
  <c r="L252" i="6" s="1"/>
  <c r="AK251" i="6"/>
  <c r="AM251" i="6" s="1"/>
  <c r="AA250" i="6"/>
  <c r="AC249" i="6"/>
  <c r="AB249" i="6"/>
  <c r="AK250" i="6"/>
  <c r="AL250" i="6" s="1"/>
  <c r="AA251" i="6"/>
  <c r="Z254" i="6"/>
  <c r="AJ254" i="6"/>
  <c r="Y254" i="6"/>
  <c r="N254" i="6"/>
  <c r="U254" i="6"/>
  <c r="T254" i="6"/>
  <c r="P254" i="6"/>
  <c r="R254" i="6" s="1"/>
  <c r="AH254" i="6" s="1"/>
  <c r="AE252" i="6"/>
  <c r="AD252" i="6"/>
  <c r="Z253" i="6"/>
  <c r="N253" i="6"/>
  <c r="U253" i="6"/>
  <c r="T253" i="6"/>
  <c r="Y253" i="6"/>
  <c r="AJ253" i="6"/>
  <c r="P253" i="6"/>
  <c r="R253" i="6" s="1"/>
  <c r="AH253" i="6" s="1"/>
  <c r="M255" i="6"/>
  <c r="AO255" i="6" s="1"/>
  <c r="H252" i="6"/>
  <c r="F253" i="6"/>
  <c r="AI253" i="6"/>
  <c r="AI254" i="6"/>
  <c r="F254" i="6"/>
  <c r="R244" i="11" l="1"/>
  <c r="AP254" i="6"/>
  <c r="AC250" i="6"/>
  <c r="AG250" i="6" s="1"/>
  <c r="P247" i="11" s="1"/>
  <c r="A253" i="6"/>
  <c r="A254" i="6"/>
  <c r="AF249" i="6"/>
  <c r="AB250" i="6"/>
  <c r="AL251" i="6"/>
  <c r="K253" i="6"/>
  <c r="L253" i="6" s="1"/>
  <c r="K254" i="6"/>
  <c r="L254" i="6" s="1"/>
  <c r="AK252" i="6"/>
  <c r="AM252" i="6" s="1"/>
  <c r="AC251" i="6"/>
  <c r="AG251" i="6" s="1"/>
  <c r="P248" i="11" s="1"/>
  <c r="AB251" i="6"/>
  <c r="AF251" i="6" s="1"/>
  <c r="AG249" i="6"/>
  <c r="P246" i="11" s="1"/>
  <c r="AM250" i="6"/>
  <c r="AA252" i="6"/>
  <c r="AC252" i="6" s="1"/>
  <c r="M257" i="6"/>
  <c r="AO257" i="6" s="1"/>
  <c r="Z255" i="6"/>
  <c r="T255" i="6"/>
  <c r="AJ255" i="6"/>
  <c r="Y255" i="6"/>
  <c r="U255" i="6"/>
  <c r="N255" i="6"/>
  <c r="P255" i="6"/>
  <c r="R255" i="6" s="1"/>
  <c r="AH255" i="6" s="1"/>
  <c r="AE253" i="6"/>
  <c r="AD253" i="6"/>
  <c r="M256" i="6"/>
  <c r="AO256" i="6" s="1"/>
  <c r="AD254" i="6"/>
  <c r="AE254" i="6"/>
  <c r="H253" i="6"/>
  <c r="H254" i="6"/>
  <c r="AI255" i="6"/>
  <c r="F255" i="6"/>
  <c r="AP256" i="6" l="1"/>
  <c r="AP255" i="6"/>
  <c r="Q248" i="11"/>
  <c r="R248" i="11" s="1"/>
  <c r="Q246" i="11"/>
  <c r="R246" i="11" s="1"/>
  <c r="A255" i="6"/>
  <c r="AF250" i="6"/>
  <c r="AL252" i="6"/>
  <c r="K255" i="6"/>
  <c r="L255" i="6" s="1"/>
  <c r="AA254" i="6"/>
  <c r="AA253" i="6"/>
  <c r="AB253" i="6" s="1"/>
  <c r="AB252" i="6"/>
  <c r="AF252" i="6" s="1"/>
  <c r="AK253" i="6"/>
  <c r="AM253" i="6" s="1"/>
  <c r="AK254" i="6"/>
  <c r="AL254" i="6" s="1"/>
  <c r="M258" i="6"/>
  <c r="AO258" i="6" s="1"/>
  <c r="N256" i="6"/>
  <c r="P256" i="6"/>
  <c r="R256" i="6" s="1"/>
  <c r="AH256" i="6" s="1"/>
  <c r="Y256" i="6"/>
  <c r="Z256" i="6"/>
  <c r="T256" i="6"/>
  <c r="AJ256" i="6"/>
  <c r="U256" i="6"/>
  <c r="AJ257" i="6"/>
  <c r="T257" i="6"/>
  <c r="Y257" i="6"/>
  <c r="P257" i="6"/>
  <c r="R257" i="6" s="1"/>
  <c r="AH257" i="6" s="1"/>
  <c r="Z257" i="6"/>
  <c r="U257" i="6"/>
  <c r="N257" i="6"/>
  <c r="AD255" i="6"/>
  <c r="AE255" i="6"/>
  <c r="AI257" i="6"/>
  <c r="F257" i="6"/>
  <c r="AI256" i="6"/>
  <c r="F256" i="6"/>
  <c r="H255" i="6"/>
  <c r="AG252" i="6"/>
  <c r="P249" i="11" s="1"/>
  <c r="AP257" i="6" l="1"/>
  <c r="Q249" i="11"/>
  <c r="R249" i="11" s="1"/>
  <c r="Q247" i="11"/>
  <c r="R247" i="11" s="1"/>
  <c r="A257" i="6"/>
  <c r="A256" i="6"/>
  <c r="AC254" i="6"/>
  <c r="AB254" i="6"/>
  <c r="AC253" i="6"/>
  <c r="AG253" i="6" s="1"/>
  <c r="P250" i="11" s="1"/>
  <c r="K256" i="6"/>
  <c r="L256" i="6" s="1"/>
  <c r="K257" i="6"/>
  <c r="L257" i="6" s="1"/>
  <c r="AK255" i="6"/>
  <c r="AL255" i="6" s="1"/>
  <c r="AL253" i="6"/>
  <c r="AM254" i="6"/>
  <c r="AA255" i="6"/>
  <c r="AB255" i="6" s="1"/>
  <c r="M259" i="6"/>
  <c r="AO259" i="6" s="1"/>
  <c r="AE256" i="6"/>
  <c r="AD256" i="6"/>
  <c r="AD257" i="6"/>
  <c r="AE257" i="6"/>
  <c r="T258" i="6"/>
  <c r="N258" i="6"/>
  <c r="P258" i="6"/>
  <c r="R258" i="6" s="1"/>
  <c r="AH258" i="6" s="1"/>
  <c r="AJ258" i="6"/>
  <c r="Z258" i="6"/>
  <c r="U258" i="6"/>
  <c r="Y258" i="6"/>
  <c r="M260" i="6"/>
  <c r="AO260" i="6" s="1"/>
  <c r="H257" i="6"/>
  <c r="H256" i="6"/>
  <c r="AI258" i="6"/>
  <c r="F258" i="6"/>
  <c r="AF253" i="6"/>
  <c r="AP258" i="6" l="1"/>
  <c r="AP259" i="6"/>
  <c r="Q250" i="11"/>
  <c r="R250" i="11" s="1"/>
  <c r="A258" i="6"/>
  <c r="AM255" i="6"/>
  <c r="AG254" i="6"/>
  <c r="P251" i="11" s="1"/>
  <c r="AF254" i="6"/>
  <c r="K258" i="6"/>
  <c r="L258" i="6" s="1"/>
  <c r="AK257" i="6"/>
  <c r="AM257" i="6" s="1"/>
  <c r="AK256" i="6"/>
  <c r="AL256" i="6" s="1"/>
  <c r="AC255" i="6"/>
  <c r="AA256" i="6"/>
  <c r="AC256" i="6" s="1"/>
  <c r="AA257" i="6"/>
  <c r="AC257" i="6" s="1"/>
  <c r="M261" i="6"/>
  <c r="AO261" i="6" s="1"/>
  <c r="U260" i="6"/>
  <c r="AJ260" i="6"/>
  <c r="Y260" i="6"/>
  <c r="P260" i="6"/>
  <c r="R260" i="6" s="1"/>
  <c r="AH260" i="6" s="1"/>
  <c r="Z260" i="6"/>
  <c r="N260" i="6"/>
  <c r="T260" i="6"/>
  <c r="AD258" i="6"/>
  <c r="AE258" i="6"/>
  <c r="U259" i="6"/>
  <c r="Y259" i="6"/>
  <c r="T259" i="6"/>
  <c r="N259" i="6"/>
  <c r="Z259" i="6"/>
  <c r="P259" i="6"/>
  <c r="R259" i="6" s="1"/>
  <c r="AH259" i="6" s="1"/>
  <c r="AJ259" i="6"/>
  <c r="AF255" i="6"/>
  <c r="H258" i="6"/>
  <c r="AI260" i="6"/>
  <c r="F260" i="6"/>
  <c r="AI259" i="6"/>
  <c r="F259" i="6"/>
  <c r="AP260" i="6" l="1"/>
  <c r="Q252" i="11"/>
  <c r="Q251" i="11"/>
  <c r="R251" i="11" s="1"/>
  <c r="A259" i="6"/>
  <c r="A260" i="6"/>
  <c r="AG255" i="6"/>
  <c r="AL257" i="6"/>
  <c r="K259" i="6"/>
  <c r="L259" i="6" s="1"/>
  <c r="K260" i="6"/>
  <c r="L260" i="6" s="1"/>
  <c r="AA258" i="6"/>
  <c r="AB258" i="6" s="1"/>
  <c r="AM256" i="6"/>
  <c r="AB257" i="6"/>
  <c r="AK258" i="6"/>
  <c r="AM258" i="6" s="1"/>
  <c r="AB256" i="6"/>
  <c r="AF256" i="6" s="1"/>
  <c r="M263" i="6"/>
  <c r="AO263" i="6" s="1"/>
  <c r="U261" i="6"/>
  <c r="Z261" i="6"/>
  <c r="T261" i="6"/>
  <c r="N261" i="6"/>
  <c r="Y261" i="6"/>
  <c r="P261" i="6"/>
  <c r="R261" i="6" s="1"/>
  <c r="AH261" i="6" s="1"/>
  <c r="AJ261" i="6"/>
  <c r="M262" i="6"/>
  <c r="AO262" i="6" s="1"/>
  <c r="AD260" i="6"/>
  <c r="AE260" i="6"/>
  <c r="AD259" i="6"/>
  <c r="AE259" i="6"/>
  <c r="H259" i="6"/>
  <c r="AG257" i="6"/>
  <c r="P254" i="11" s="1"/>
  <c r="AG256" i="6"/>
  <c r="P253" i="11" s="1"/>
  <c r="H260" i="6"/>
  <c r="AI261" i="6"/>
  <c r="F261" i="6"/>
  <c r="AP261" i="6" l="1"/>
  <c r="AP262" i="6"/>
  <c r="Q253" i="11"/>
  <c r="R253" i="11" s="1"/>
  <c r="A261" i="6"/>
  <c r="P252" i="11"/>
  <c r="R252" i="11" s="1"/>
  <c r="K261" i="6"/>
  <c r="L261" i="6" s="1"/>
  <c r="AC258" i="6"/>
  <c r="AK259" i="6"/>
  <c r="AL259" i="6" s="1"/>
  <c r="AK260" i="6"/>
  <c r="AL260" i="6" s="1"/>
  <c r="AL258" i="6"/>
  <c r="AF257" i="6"/>
  <c r="AA260" i="6"/>
  <c r="AC260" i="6" s="1"/>
  <c r="AA259" i="6"/>
  <c r="AB259" i="6" s="1"/>
  <c r="AE261" i="6"/>
  <c r="AD261" i="6"/>
  <c r="M264" i="6"/>
  <c r="AO264" i="6" s="1"/>
  <c r="T262" i="6"/>
  <c r="N262" i="6"/>
  <c r="Y262" i="6"/>
  <c r="P262" i="6"/>
  <c r="R262" i="6" s="1"/>
  <c r="AH262" i="6" s="1"/>
  <c r="Z262" i="6"/>
  <c r="U262" i="6"/>
  <c r="AJ262" i="6"/>
  <c r="Y263" i="6"/>
  <c r="T263" i="6"/>
  <c r="U263" i="6"/>
  <c r="Z263" i="6"/>
  <c r="P263" i="6"/>
  <c r="R263" i="6" s="1"/>
  <c r="AH263" i="6" s="1"/>
  <c r="N263" i="6"/>
  <c r="AJ263" i="6"/>
  <c r="AF258" i="6"/>
  <c r="AI263" i="6"/>
  <c r="F263" i="6"/>
  <c r="AI262" i="6"/>
  <c r="F262" i="6"/>
  <c r="H261" i="6"/>
  <c r="AP263" i="6" l="1"/>
  <c r="Q254" i="11"/>
  <c r="R254" i="11" s="1"/>
  <c r="Q255" i="11"/>
  <c r="AM259" i="6"/>
  <c r="A262" i="6"/>
  <c r="A263" i="6"/>
  <c r="AG258" i="6"/>
  <c r="P255" i="11" s="1"/>
  <c r="AM260" i="6"/>
  <c r="K262" i="6"/>
  <c r="L262" i="6" s="1"/>
  <c r="K263" i="6"/>
  <c r="L263" i="6" s="1"/>
  <c r="AK261" i="6"/>
  <c r="AM261" i="6" s="1"/>
  <c r="AB260" i="6"/>
  <c r="AA261" i="6"/>
  <c r="AC259" i="6"/>
  <c r="AG259" i="6" s="1"/>
  <c r="P256" i="11" s="1"/>
  <c r="AE263" i="6"/>
  <c r="AD263" i="6"/>
  <c r="AE262" i="6"/>
  <c r="AD262" i="6"/>
  <c r="M265" i="6"/>
  <c r="AO265" i="6" s="1"/>
  <c r="U264" i="6"/>
  <c r="Z264" i="6"/>
  <c r="T264" i="6"/>
  <c r="P264" i="6"/>
  <c r="R264" i="6" s="1"/>
  <c r="AH264" i="6" s="1"/>
  <c r="AJ264" i="6"/>
  <c r="N264" i="6"/>
  <c r="Y264" i="6"/>
  <c r="M266" i="6"/>
  <c r="AO266" i="6" s="1"/>
  <c r="AI264" i="6"/>
  <c r="F264" i="6"/>
  <c r="AF259" i="6"/>
  <c r="H262" i="6"/>
  <c r="AG260" i="6"/>
  <c r="P257" i="11" s="1"/>
  <c r="H263" i="6"/>
  <c r="R255" i="11" l="1"/>
  <c r="AP264" i="6"/>
  <c r="AP265" i="6"/>
  <c r="Q256" i="11"/>
  <c r="R256" i="11" s="1"/>
  <c r="A264" i="6"/>
  <c r="AL261" i="6"/>
  <c r="K264" i="6"/>
  <c r="L264" i="6" s="1"/>
  <c r="AK263" i="6"/>
  <c r="AL263" i="6" s="1"/>
  <c r="AA262" i="6"/>
  <c r="AB262" i="6" s="1"/>
  <c r="AF260" i="6"/>
  <c r="AC261" i="6"/>
  <c r="AB261" i="6"/>
  <c r="AK262" i="6"/>
  <c r="AM262" i="6" s="1"/>
  <c r="AA263" i="6"/>
  <c r="AC263" i="6" s="1"/>
  <c r="AE264" i="6"/>
  <c r="AD264" i="6"/>
  <c r="P266" i="6"/>
  <c r="R266" i="6" s="1"/>
  <c r="AH266" i="6" s="1"/>
  <c r="N266" i="6"/>
  <c r="Z266" i="6"/>
  <c r="T266" i="6"/>
  <c r="U266" i="6"/>
  <c r="AJ266" i="6"/>
  <c r="Y266" i="6"/>
  <c r="M267" i="6"/>
  <c r="AO267" i="6" s="1"/>
  <c r="U265" i="6"/>
  <c r="Z265" i="6"/>
  <c r="AJ265" i="6"/>
  <c r="Y265" i="6"/>
  <c r="T265" i="6"/>
  <c r="P265" i="6"/>
  <c r="R265" i="6" s="1"/>
  <c r="AH265" i="6" s="1"/>
  <c r="N265" i="6"/>
  <c r="AI266" i="6"/>
  <c r="F266" i="6"/>
  <c r="AI265" i="6"/>
  <c r="F265" i="6"/>
  <c r="H264" i="6"/>
  <c r="AP266" i="6" l="1"/>
  <c r="Q257" i="11"/>
  <c r="R257" i="11" s="1"/>
  <c r="A265" i="6"/>
  <c r="A266" i="6"/>
  <c r="AM263" i="6"/>
  <c r="AG261" i="6"/>
  <c r="AC262" i="6"/>
  <c r="AG262" i="6" s="1"/>
  <c r="P259" i="11" s="1"/>
  <c r="K265" i="6"/>
  <c r="L265" i="6" s="1"/>
  <c r="K266" i="6"/>
  <c r="L266" i="6" s="1"/>
  <c r="AK264" i="6"/>
  <c r="AM264" i="6" s="1"/>
  <c r="AF261" i="6"/>
  <c r="AB263" i="6"/>
  <c r="AL262" i="6"/>
  <c r="AA264" i="6"/>
  <c r="AC264" i="6" s="1"/>
  <c r="M269" i="6"/>
  <c r="AO269" i="6" s="1"/>
  <c r="U267" i="6"/>
  <c r="AJ267" i="6"/>
  <c r="Z267" i="6"/>
  <c r="Y267" i="6"/>
  <c r="T267" i="6"/>
  <c r="P267" i="6"/>
  <c r="R267" i="6" s="1"/>
  <c r="AH267" i="6" s="1"/>
  <c r="N267" i="6"/>
  <c r="AD266" i="6"/>
  <c r="AE266" i="6"/>
  <c r="M268" i="6"/>
  <c r="AO268" i="6" s="1"/>
  <c r="AD265" i="6"/>
  <c r="AE265" i="6"/>
  <c r="H266" i="6"/>
  <c r="AG263" i="6"/>
  <c r="P260" i="11" s="1"/>
  <c r="AF262" i="6"/>
  <c r="AI267" i="6"/>
  <c r="F267" i="6"/>
  <c r="H265" i="6"/>
  <c r="AP267" i="6" l="1"/>
  <c r="AP268" i="6"/>
  <c r="Q258" i="11"/>
  <c r="Q259" i="11"/>
  <c r="R259" i="11" s="1"/>
  <c r="A267" i="6"/>
  <c r="P258" i="11"/>
  <c r="AL264" i="6"/>
  <c r="K267" i="6"/>
  <c r="L267" i="6" s="1"/>
  <c r="AA266" i="6"/>
  <c r="AB266" i="6" s="1"/>
  <c r="AK265" i="6"/>
  <c r="AM265" i="6" s="1"/>
  <c r="AF263" i="6"/>
  <c r="AB264" i="6"/>
  <c r="AK266" i="6"/>
  <c r="AM266" i="6" s="1"/>
  <c r="AA265" i="6"/>
  <c r="M270" i="6"/>
  <c r="AO270" i="6" s="1"/>
  <c r="T268" i="6"/>
  <c r="AJ268" i="6"/>
  <c r="Y268" i="6"/>
  <c r="U268" i="6"/>
  <c r="Z268" i="6"/>
  <c r="P268" i="6"/>
  <c r="R268" i="6" s="1"/>
  <c r="AH268" i="6" s="1"/>
  <c r="N268" i="6"/>
  <c r="U269" i="6"/>
  <c r="AJ269" i="6"/>
  <c r="Y269" i="6"/>
  <c r="T269" i="6"/>
  <c r="Z269" i="6"/>
  <c r="P269" i="6"/>
  <c r="R269" i="6" s="1"/>
  <c r="AH269" i="6" s="1"/>
  <c r="N269" i="6"/>
  <c r="AD267" i="6"/>
  <c r="AE267" i="6"/>
  <c r="AI268" i="6"/>
  <c r="F268" i="6"/>
  <c r="AG264" i="6"/>
  <c r="P261" i="11" s="1"/>
  <c r="H267" i="6"/>
  <c r="F269" i="6"/>
  <c r="AI269" i="6"/>
  <c r="R258" i="11" l="1"/>
  <c r="AP269" i="6"/>
  <c r="Q260" i="11"/>
  <c r="R260" i="11" s="1"/>
  <c r="A268" i="6"/>
  <c r="A269" i="6"/>
  <c r="AL265" i="6"/>
  <c r="AC266" i="6"/>
  <c r="K269" i="6"/>
  <c r="L269" i="6" s="1"/>
  <c r="K268" i="6"/>
  <c r="L268" i="6" s="1"/>
  <c r="AA267" i="6"/>
  <c r="AB267" i="6" s="1"/>
  <c r="AF264" i="6"/>
  <c r="AL266" i="6"/>
  <c r="AK267" i="6"/>
  <c r="AM267" i="6" s="1"/>
  <c r="AC265" i="6"/>
  <c r="AB265" i="6"/>
  <c r="AF265" i="6" s="1"/>
  <c r="M271" i="6"/>
  <c r="AO271" i="6" s="1"/>
  <c r="AD269" i="6"/>
  <c r="AE269" i="6"/>
  <c r="AE268" i="6"/>
  <c r="AD268" i="6"/>
  <c r="U270" i="6"/>
  <c r="T270" i="6"/>
  <c r="Z270" i="6"/>
  <c r="Y270" i="6"/>
  <c r="AJ270" i="6"/>
  <c r="P270" i="6"/>
  <c r="R270" i="6" s="1"/>
  <c r="AH270" i="6" s="1"/>
  <c r="N270" i="6"/>
  <c r="M272" i="6"/>
  <c r="AO272" i="6" s="1"/>
  <c r="AF266" i="6"/>
  <c r="H269" i="6"/>
  <c r="AI270" i="6"/>
  <c r="F270" i="6"/>
  <c r="H268" i="6"/>
  <c r="AP271" i="6" l="1"/>
  <c r="AP270" i="6"/>
  <c r="Q263" i="11"/>
  <c r="Q262" i="11"/>
  <c r="Q261" i="11"/>
  <c r="R261" i="11" s="1"/>
  <c r="A270" i="6"/>
  <c r="AG266" i="6"/>
  <c r="AC267" i="6"/>
  <c r="AG267" i="6" s="1"/>
  <c r="P264" i="11" s="1"/>
  <c r="K270" i="6"/>
  <c r="L270" i="6" s="1"/>
  <c r="AK268" i="6"/>
  <c r="AL268" i="6" s="1"/>
  <c r="AA268" i="6"/>
  <c r="AK269" i="6"/>
  <c r="AL269" i="6" s="1"/>
  <c r="AL267" i="6"/>
  <c r="AG265" i="6"/>
  <c r="AA269" i="6"/>
  <c r="AC269" i="6" s="1"/>
  <c r="M273" i="6"/>
  <c r="AO273" i="6" s="1"/>
  <c r="T272" i="6"/>
  <c r="U272" i="6"/>
  <c r="Z272" i="6"/>
  <c r="Y272" i="6"/>
  <c r="AJ272" i="6"/>
  <c r="N272" i="6"/>
  <c r="P272" i="6"/>
  <c r="R272" i="6" s="1"/>
  <c r="AH272" i="6" s="1"/>
  <c r="AE270" i="6"/>
  <c r="AD270" i="6"/>
  <c r="P271" i="6"/>
  <c r="R271" i="6" s="1"/>
  <c r="AH271" i="6" s="1"/>
  <c r="T271" i="6"/>
  <c r="AJ271" i="6"/>
  <c r="Y271" i="6"/>
  <c r="Z271" i="6"/>
  <c r="U271" i="6"/>
  <c r="N271" i="6"/>
  <c r="AI271" i="6"/>
  <c r="F271" i="6"/>
  <c r="AI272" i="6"/>
  <c r="F272" i="6"/>
  <c r="H270" i="6"/>
  <c r="AF267" i="6"/>
  <c r="AP272" i="6" l="1"/>
  <c r="Q264" i="11"/>
  <c r="R264" i="11" s="1"/>
  <c r="A271" i="6"/>
  <c r="A272" i="6"/>
  <c r="P262" i="11"/>
  <c r="R262" i="11" s="1"/>
  <c r="P263" i="11"/>
  <c r="R263" i="11" s="1"/>
  <c r="AM269" i="6"/>
  <c r="AC268" i="6"/>
  <c r="K271" i="6"/>
  <c r="L271" i="6" s="1"/>
  <c r="K272" i="6"/>
  <c r="L272" i="6" s="1"/>
  <c r="AK270" i="6"/>
  <c r="AL270" i="6" s="1"/>
  <c r="AM268" i="6"/>
  <c r="AB268" i="6"/>
  <c r="AF268" i="6" s="1"/>
  <c r="AA270" i="6"/>
  <c r="AB269" i="6"/>
  <c r="M274" i="6"/>
  <c r="AO274" i="6" s="1"/>
  <c r="M275" i="6"/>
  <c r="AO275" i="6" s="1"/>
  <c r="Z273" i="6"/>
  <c r="P273" i="6"/>
  <c r="R273" i="6" s="1"/>
  <c r="AH273" i="6" s="1"/>
  <c r="U273" i="6"/>
  <c r="T273" i="6"/>
  <c r="Y273" i="6"/>
  <c r="AJ273" i="6"/>
  <c r="N273" i="6"/>
  <c r="AD271" i="6"/>
  <c r="AE271" i="6"/>
  <c r="AD272" i="6"/>
  <c r="AE272" i="6"/>
  <c r="H272" i="6"/>
  <c r="H271" i="6"/>
  <c r="AI273" i="6"/>
  <c r="F273" i="6"/>
  <c r="AG269" i="6"/>
  <c r="P266" i="11" s="1"/>
  <c r="AP274" i="6" l="1"/>
  <c r="AP273" i="6"/>
  <c r="Q265" i="11"/>
  <c r="A273" i="6"/>
  <c r="AG268" i="6"/>
  <c r="P265" i="11" s="1"/>
  <c r="AM270" i="6"/>
  <c r="K273" i="6"/>
  <c r="L273" i="6" s="1"/>
  <c r="AA271" i="6"/>
  <c r="AK272" i="6"/>
  <c r="AL272" i="6" s="1"/>
  <c r="AB270" i="6"/>
  <c r="AC270" i="6"/>
  <c r="AG270" i="6" s="1"/>
  <c r="P267" i="11" s="1"/>
  <c r="AF269" i="6"/>
  <c r="AK271" i="6"/>
  <c r="AL271" i="6" s="1"/>
  <c r="AA272" i="6"/>
  <c r="AB272" i="6" s="1"/>
  <c r="AE273" i="6"/>
  <c r="AD273" i="6"/>
  <c r="U274" i="6"/>
  <c r="N274" i="6"/>
  <c r="T274" i="6"/>
  <c r="AJ274" i="6"/>
  <c r="P274" i="6"/>
  <c r="R274" i="6" s="1"/>
  <c r="AH274" i="6" s="1"/>
  <c r="Y274" i="6"/>
  <c r="Z274" i="6"/>
  <c r="M276" i="6"/>
  <c r="AO276" i="6" s="1"/>
  <c r="U275" i="6"/>
  <c r="T275" i="6"/>
  <c r="AJ275" i="6"/>
  <c r="N275" i="6"/>
  <c r="P275" i="6"/>
  <c r="R275" i="6" s="1"/>
  <c r="AH275" i="6" s="1"/>
  <c r="Y275" i="6"/>
  <c r="Z275" i="6"/>
  <c r="H273" i="6"/>
  <c r="AI275" i="6"/>
  <c r="F275" i="6"/>
  <c r="AI274" i="6"/>
  <c r="F274" i="6"/>
  <c r="R265" i="11" l="1"/>
  <c r="AP275" i="6"/>
  <c r="Q266" i="11"/>
  <c r="R266" i="11" s="1"/>
  <c r="A274" i="6"/>
  <c r="A275" i="6"/>
  <c r="AB271" i="6"/>
  <c r="AF270" i="6"/>
  <c r="AC271" i="6"/>
  <c r="AM272" i="6"/>
  <c r="K275" i="6"/>
  <c r="L275" i="6" s="1"/>
  <c r="K274" i="6"/>
  <c r="L274" i="6" s="1"/>
  <c r="AK273" i="6"/>
  <c r="AL273" i="6" s="1"/>
  <c r="AM271" i="6"/>
  <c r="AC272" i="6"/>
  <c r="AG272" i="6" s="1"/>
  <c r="P269" i="11" s="1"/>
  <c r="AA273" i="6"/>
  <c r="AC273" i="6" s="1"/>
  <c r="M278" i="6"/>
  <c r="AO278" i="6" s="1"/>
  <c r="AD274" i="6"/>
  <c r="AE274" i="6"/>
  <c r="M277" i="6"/>
  <c r="AO277" i="6" s="1"/>
  <c r="AJ276" i="6"/>
  <c r="Y276" i="6"/>
  <c r="Z276" i="6"/>
  <c r="U276" i="6"/>
  <c r="T276" i="6"/>
  <c r="P276" i="6"/>
  <c r="R276" i="6" s="1"/>
  <c r="AH276" i="6" s="1"/>
  <c r="N276" i="6"/>
  <c r="AE275" i="6"/>
  <c r="AD275" i="6"/>
  <c r="H274" i="6"/>
  <c r="AF272" i="6"/>
  <c r="H275" i="6"/>
  <c r="AI276" i="6"/>
  <c r="F276" i="6"/>
  <c r="AP277" i="6" l="1"/>
  <c r="AP276" i="6"/>
  <c r="Q269" i="11"/>
  <c r="R269" i="11" s="1"/>
  <c r="Q267" i="11"/>
  <c r="R267" i="11" s="1"/>
  <c r="AG271" i="6"/>
  <c r="P268" i="11" s="1"/>
  <c r="A276" i="6"/>
  <c r="AF271" i="6"/>
  <c r="K276" i="6"/>
  <c r="L276" i="6" s="1"/>
  <c r="AK275" i="6"/>
  <c r="AL275" i="6" s="1"/>
  <c r="AA274" i="6"/>
  <c r="AB274" i="6" s="1"/>
  <c r="AM273" i="6"/>
  <c r="AB273" i="6"/>
  <c r="AK274" i="6"/>
  <c r="AL274" i="6" s="1"/>
  <c r="AA275" i="6"/>
  <c r="AB275" i="6" s="1"/>
  <c r="M279" i="6"/>
  <c r="AO279" i="6" s="1"/>
  <c r="AE276" i="6"/>
  <c r="AD276" i="6"/>
  <c r="Z277" i="6"/>
  <c r="T277" i="6"/>
  <c r="Y277" i="6"/>
  <c r="P277" i="6"/>
  <c r="R277" i="6" s="1"/>
  <c r="AH277" i="6" s="1"/>
  <c r="N277" i="6"/>
  <c r="AJ277" i="6"/>
  <c r="U277" i="6"/>
  <c r="Y278" i="6"/>
  <c r="P278" i="6"/>
  <c r="R278" i="6" s="1"/>
  <c r="AH278" i="6" s="1"/>
  <c r="T278" i="6"/>
  <c r="Z278" i="6"/>
  <c r="U278" i="6"/>
  <c r="N278" i="6"/>
  <c r="AJ278" i="6"/>
  <c r="AI277" i="6"/>
  <c r="F277" i="6"/>
  <c r="H276" i="6"/>
  <c r="AG273" i="6"/>
  <c r="P270" i="11" s="1"/>
  <c r="AI278" i="6"/>
  <c r="F278" i="6"/>
  <c r="AP278" i="6" l="1"/>
  <c r="Q268" i="11"/>
  <c r="R268" i="11" s="1"/>
  <c r="A277" i="6"/>
  <c r="A278" i="6"/>
  <c r="AM275" i="6"/>
  <c r="AC274" i="6"/>
  <c r="AG274" i="6" s="1"/>
  <c r="P271" i="11" s="1"/>
  <c r="K277" i="6"/>
  <c r="L277" i="6" s="1"/>
  <c r="K278" i="6"/>
  <c r="L278" i="6" s="1"/>
  <c r="AA276" i="6"/>
  <c r="AC276" i="6" s="1"/>
  <c r="AM274" i="6"/>
  <c r="AC275" i="6"/>
  <c r="AG275" i="6" s="1"/>
  <c r="P272" i="11" s="1"/>
  <c r="AF273" i="6"/>
  <c r="AK276" i="6"/>
  <c r="AM276" i="6" s="1"/>
  <c r="AD278" i="6"/>
  <c r="AE278" i="6"/>
  <c r="AD277" i="6"/>
  <c r="AE277" i="6"/>
  <c r="M281" i="6"/>
  <c r="AO281" i="6" s="1"/>
  <c r="P279" i="6"/>
  <c r="R279" i="6" s="1"/>
  <c r="AH279" i="6" s="1"/>
  <c r="AJ279" i="6"/>
  <c r="U279" i="6"/>
  <c r="Y279" i="6"/>
  <c r="Z279" i="6"/>
  <c r="T279" i="6"/>
  <c r="N279" i="6"/>
  <c r="M280" i="6"/>
  <c r="AO280" i="6" s="1"/>
  <c r="H277" i="6"/>
  <c r="H278" i="6"/>
  <c r="AF274" i="6"/>
  <c r="AI279" i="6"/>
  <c r="F279" i="6"/>
  <c r="AF275" i="6"/>
  <c r="AP279" i="6" l="1"/>
  <c r="AP280" i="6"/>
  <c r="Q271" i="11"/>
  <c r="R271" i="11" s="1"/>
  <c r="Q270" i="11"/>
  <c r="R270" i="11" s="1"/>
  <c r="Q272" i="11"/>
  <c r="R272" i="11" s="1"/>
  <c r="A279" i="6"/>
  <c r="AB276" i="6"/>
  <c r="AL276" i="6"/>
  <c r="K279" i="6"/>
  <c r="L279" i="6" s="1"/>
  <c r="AK278" i="6"/>
  <c r="AM278" i="6" s="1"/>
  <c r="AK277" i="6"/>
  <c r="AL277" i="6" s="1"/>
  <c r="AA278" i="6"/>
  <c r="AC278" i="6" s="1"/>
  <c r="AA277" i="6"/>
  <c r="AC277" i="6" s="1"/>
  <c r="AD279" i="6"/>
  <c r="AE279" i="6"/>
  <c r="AJ281" i="6"/>
  <c r="Y281" i="6"/>
  <c r="U281" i="6"/>
  <c r="T281" i="6"/>
  <c r="Z281" i="6"/>
  <c r="P281" i="6"/>
  <c r="R281" i="6" s="1"/>
  <c r="AH281" i="6" s="1"/>
  <c r="N281" i="6"/>
  <c r="M282" i="6"/>
  <c r="AO282" i="6" s="1"/>
  <c r="U280" i="6"/>
  <c r="AJ280" i="6"/>
  <c r="P280" i="6"/>
  <c r="R280" i="6" s="1"/>
  <c r="AH280" i="6" s="1"/>
  <c r="N280" i="6"/>
  <c r="Z280" i="6"/>
  <c r="T280" i="6"/>
  <c r="Y280" i="6"/>
  <c r="AI280" i="6"/>
  <c r="F280" i="6"/>
  <c r="AI281" i="6"/>
  <c r="F281" i="6"/>
  <c r="AG276" i="6"/>
  <c r="P273" i="11" s="1"/>
  <c r="H279" i="6"/>
  <c r="AP281" i="6" l="1"/>
  <c r="A281" i="6"/>
  <c r="A280" i="6"/>
  <c r="AF276" i="6"/>
  <c r="AM277" i="6"/>
  <c r="K281" i="6"/>
  <c r="L281" i="6" s="1"/>
  <c r="K280" i="6"/>
  <c r="L280" i="6" s="1"/>
  <c r="AL278" i="6"/>
  <c r="AK279" i="6"/>
  <c r="AM279" i="6" s="1"/>
  <c r="AB278" i="6"/>
  <c r="AB277" i="6"/>
  <c r="AF277" i="6" s="1"/>
  <c r="AA279" i="6"/>
  <c r="AC279" i="6" s="1"/>
  <c r="M283" i="6"/>
  <c r="AO283" i="6" s="1"/>
  <c r="AD280" i="6"/>
  <c r="AE280" i="6"/>
  <c r="U282" i="6"/>
  <c r="Z282" i="6"/>
  <c r="AJ282" i="6"/>
  <c r="T282" i="6"/>
  <c r="Y282" i="6"/>
  <c r="P282" i="6"/>
  <c r="R282" i="6" s="1"/>
  <c r="AH282" i="6" s="1"/>
  <c r="N282" i="6"/>
  <c r="AE281" i="6"/>
  <c r="AD281" i="6"/>
  <c r="M284" i="6"/>
  <c r="AO284" i="6" s="1"/>
  <c r="H280" i="6"/>
  <c r="H281" i="6"/>
  <c r="AG277" i="6"/>
  <c r="P274" i="11" s="1"/>
  <c r="AI282" i="6"/>
  <c r="F282" i="6"/>
  <c r="AG278" i="6"/>
  <c r="P275" i="11" s="1"/>
  <c r="AP283" i="6" l="1"/>
  <c r="AP282" i="6"/>
  <c r="Q274" i="11"/>
  <c r="R274" i="11" s="1"/>
  <c r="Q273" i="11"/>
  <c r="R273" i="11" s="1"/>
  <c r="A282" i="6"/>
  <c r="AF278" i="6"/>
  <c r="AL279" i="6"/>
  <c r="K282" i="6"/>
  <c r="L282" i="6" s="1"/>
  <c r="AA280" i="6"/>
  <c r="AB280" i="6" s="1"/>
  <c r="AK281" i="6"/>
  <c r="AL281" i="6" s="1"/>
  <c r="AK280" i="6"/>
  <c r="AL280" i="6" s="1"/>
  <c r="AB279" i="6"/>
  <c r="AF279" i="6" s="1"/>
  <c r="AA281" i="6"/>
  <c r="AJ284" i="6"/>
  <c r="U284" i="6"/>
  <c r="Z284" i="6"/>
  <c r="N284" i="6"/>
  <c r="Y284" i="6"/>
  <c r="P284" i="6"/>
  <c r="R284" i="6" s="1"/>
  <c r="AH284" i="6" s="1"/>
  <c r="T284" i="6"/>
  <c r="AJ283" i="6"/>
  <c r="Y283" i="6"/>
  <c r="N283" i="6"/>
  <c r="T283" i="6"/>
  <c r="P283" i="6"/>
  <c r="R283" i="6" s="1"/>
  <c r="AH283" i="6" s="1"/>
  <c r="U283" i="6"/>
  <c r="Z283" i="6"/>
  <c r="M285" i="6"/>
  <c r="AO285" i="6" s="1"/>
  <c r="AD282" i="6"/>
  <c r="AE282" i="6"/>
  <c r="AG279" i="6"/>
  <c r="P276" i="11" s="1"/>
  <c r="AI284" i="6"/>
  <c r="F284" i="6"/>
  <c r="AI283" i="6"/>
  <c r="F283" i="6"/>
  <c r="H282" i="6"/>
  <c r="AP284" i="6" l="1"/>
  <c r="Q276" i="11"/>
  <c r="R276" i="11" s="1"/>
  <c r="Q275" i="11"/>
  <c r="R275" i="11" s="1"/>
  <c r="A283" i="6"/>
  <c r="A284" i="6"/>
  <c r="AM280" i="6"/>
  <c r="AC280" i="6"/>
  <c r="K283" i="6"/>
  <c r="L283" i="6" s="1"/>
  <c r="K284" i="6"/>
  <c r="L284" i="6" s="1"/>
  <c r="AA282" i="6"/>
  <c r="AM281" i="6"/>
  <c r="AB281" i="6"/>
  <c r="AC281" i="6"/>
  <c r="AG281" i="6" s="1"/>
  <c r="P278" i="11" s="1"/>
  <c r="M286" i="6"/>
  <c r="AO286" i="6" s="1"/>
  <c r="AK282" i="6"/>
  <c r="AL282" i="6" s="1"/>
  <c r="M287" i="6"/>
  <c r="AO287" i="6" s="1"/>
  <c r="Y285" i="6"/>
  <c r="U285" i="6"/>
  <c r="T285" i="6"/>
  <c r="AJ285" i="6"/>
  <c r="P285" i="6"/>
  <c r="R285" i="6" s="1"/>
  <c r="AH285" i="6" s="1"/>
  <c r="Z285" i="6"/>
  <c r="N285" i="6"/>
  <c r="AE283" i="6"/>
  <c r="AD283" i="6"/>
  <c r="AD284" i="6"/>
  <c r="AE284" i="6"/>
  <c r="AI285" i="6"/>
  <c r="F285" i="6"/>
  <c r="H283" i="6"/>
  <c r="H284" i="6"/>
  <c r="AF280" i="6"/>
  <c r="AP285" i="6" l="1"/>
  <c r="AP286" i="6"/>
  <c r="Q277" i="11"/>
  <c r="AG280" i="6"/>
  <c r="P277" i="11" s="1"/>
  <c r="A285" i="6"/>
  <c r="AC282" i="6"/>
  <c r="AG282" i="6" s="1"/>
  <c r="P279" i="11" s="1"/>
  <c r="K285" i="6"/>
  <c r="L285" i="6" s="1"/>
  <c r="AB282" i="6"/>
  <c r="AK284" i="6"/>
  <c r="AM284" i="6" s="1"/>
  <c r="AK283" i="6"/>
  <c r="AM283" i="6" s="1"/>
  <c r="AF281" i="6"/>
  <c r="AA284" i="6"/>
  <c r="AB284" i="6" s="1"/>
  <c r="AM282" i="6"/>
  <c r="AA283" i="6"/>
  <c r="AB283" i="6" s="1"/>
  <c r="Z287" i="6"/>
  <c r="U287" i="6"/>
  <c r="Y287" i="6"/>
  <c r="AJ287" i="6"/>
  <c r="T287" i="6"/>
  <c r="P287" i="6"/>
  <c r="R287" i="6" s="1"/>
  <c r="AH287" i="6" s="1"/>
  <c r="N287" i="6"/>
  <c r="T286" i="6"/>
  <c r="Y286" i="6"/>
  <c r="Z286" i="6"/>
  <c r="AJ286" i="6"/>
  <c r="U286" i="6"/>
  <c r="P286" i="6"/>
  <c r="R286" i="6" s="1"/>
  <c r="AH286" i="6" s="1"/>
  <c r="N286" i="6"/>
  <c r="M288" i="6"/>
  <c r="AO288" i="6" s="1"/>
  <c r="AE285" i="6"/>
  <c r="AD285" i="6"/>
  <c r="AI286" i="6"/>
  <c r="F286" i="6"/>
  <c r="AI287" i="6"/>
  <c r="F287" i="6"/>
  <c r="H285" i="6"/>
  <c r="R277" i="11" l="1"/>
  <c r="AP287" i="6"/>
  <c r="Q278" i="11"/>
  <c r="R278" i="11" s="1"/>
  <c r="AK285" i="6"/>
  <c r="AM285" i="6" s="1"/>
  <c r="A286" i="6"/>
  <c r="A287" i="6"/>
  <c r="AF282" i="6"/>
  <c r="AL284" i="6"/>
  <c r="AL283" i="6"/>
  <c r="K287" i="6"/>
  <c r="L287" i="6" s="1"/>
  <c r="K286" i="6"/>
  <c r="L286" i="6" s="1"/>
  <c r="AA285" i="6"/>
  <c r="AC283" i="6"/>
  <c r="AG283" i="6" s="1"/>
  <c r="P280" i="11" s="1"/>
  <c r="AC284" i="6"/>
  <c r="AG284" i="6" s="1"/>
  <c r="P281" i="11" s="1"/>
  <c r="M290" i="6"/>
  <c r="AO290" i="6" s="1"/>
  <c r="M289" i="6"/>
  <c r="AO289" i="6" s="1"/>
  <c r="Y288" i="6"/>
  <c r="AJ288" i="6"/>
  <c r="U288" i="6"/>
  <c r="T288" i="6"/>
  <c r="P288" i="6"/>
  <c r="R288" i="6" s="1"/>
  <c r="AH288" i="6" s="1"/>
  <c r="Z288" i="6"/>
  <c r="N288" i="6"/>
  <c r="AE286" i="6"/>
  <c r="AD286" i="6"/>
  <c r="AD287" i="6"/>
  <c r="AE287" i="6"/>
  <c r="H287" i="6"/>
  <c r="AF283" i="6"/>
  <c r="AI288" i="6"/>
  <c r="F288" i="6"/>
  <c r="AF284" i="6"/>
  <c r="H286" i="6"/>
  <c r="AP289" i="6" l="1"/>
  <c r="AP288" i="6"/>
  <c r="Q279" i="11"/>
  <c r="R279" i="11" s="1"/>
  <c r="Q281" i="11"/>
  <c r="R281" i="11" s="1"/>
  <c r="Q280" i="11"/>
  <c r="R280" i="11" s="1"/>
  <c r="AL285" i="6"/>
  <c r="A288" i="6"/>
  <c r="AC285" i="6"/>
  <c r="AB285" i="6"/>
  <c r="K288" i="6"/>
  <c r="L288" i="6" s="1"/>
  <c r="AA286" i="6"/>
  <c r="AB286" i="6" s="1"/>
  <c r="AK287" i="6"/>
  <c r="AM287" i="6" s="1"/>
  <c r="AK286" i="6"/>
  <c r="AL286" i="6" s="1"/>
  <c r="AA287" i="6"/>
  <c r="AE288" i="6"/>
  <c r="AD288" i="6"/>
  <c r="M291" i="6"/>
  <c r="AO291" i="6" s="1"/>
  <c r="P289" i="6"/>
  <c r="R289" i="6" s="1"/>
  <c r="AH289" i="6" s="1"/>
  <c r="U289" i="6"/>
  <c r="N289" i="6"/>
  <c r="AJ289" i="6"/>
  <c r="Z289" i="6"/>
  <c r="T289" i="6"/>
  <c r="Y289" i="6"/>
  <c r="Z290" i="6"/>
  <c r="T290" i="6"/>
  <c r="U290" i="6"/>
  <c r="P290" i="6"/>
  <c r="R290" i="6" s="1"/>
  <c r="AH290" i="6" s="1"/>
  <c r="Y290" i="6"/>
  <c r="AJ290" i="6"/>
  <c r="N290" i="6"/>
  <c r="AI290" i="6"/>
  <c r="F290" i="6"/>
  <c r="H288" i="6"/>
  <c r="AI289" i="6"/>
  <c r="F289" i="6"/>
  <c r="AP290" i="6" l="1"/>
  <c r="A290" i="6"/>
  <c r="A289" i="6"/>
  <c r="AG285" i="6"/>
  <c r="P282" i="11" s="1"/>
  <c r="AF285" i="6"/>
  <c r="AL287" i="6"/>
  <c r="K289" i="6"/>
  <c r="L289" i="6" s="1"/>
  <c r="K290" i="6"/>
  <c r="L290" i="6" s="1"/>
  <c r="AC286" i="6"/>
  <c r="AA288" i="6"/>
  <c r="AC288" i="6" s="1"/>
  <c r="AK288" i="6"/>
  <c r="AL288" i="6" s="1"/>
  <c r="AM286" i="6"/>
  <c r="AB287" i="6"/>
  <c r="AC287" i="6"/>
  <c r="Z291" i="6"/>
  <c r="Y291" i="6"/>
  <c r="AJ291" i="6"/>
  <c r="U291" i="6"/>
  <c r="T291" i="6"/>
  <c r="N291" i="6"/>
  <c r="P291" i="6"/>
  <c r="R291" i="6" s="1"/>
  <c r="AH291" i="6" s="1"/>
  <c r="M293" i="6"/>
  <c r="AO293" i="6" s="1"/>
  <c r="AE289" i="6"/>
  <c r="AD289" i="6"/>
  <c r="M292" i="6"/>
  <c r="AO292" i="6" s="1"/>
  <c r="AE290" i="6"/>
  <c r="AD290" i="6"/>
  <c r="AI291" i="6"/>
  <c r="F291" i="6"/>
  <c r="AF286" i="6"/>
  <c r="H289" i="6"/>
  <c r="H290" i="6"/>
  <c r="AP291" i="6" l="1"/>
  <c r="AP292" i="6"/>
  <c r="Q283" i="11"/>
  <c r="Q282" i="11"/>
  <c r="R282" i="11" s="1"/>
  <c r="A291" i="6"/>
  <c r="AG286" i="6"/>
  <c r="P283" i="11" s="1"/>
  <c r="AM288" i="6"/>
  <c r="AB288" i="6"/>
  <c r="AF288" i="6" s="1"/>
  <c r="K291" i="6"/>
  <c r="L291" i="6" s="1"/>
  <c r="AA290" i="6"/>
  <c r="AK289" i="6"/>
  <c r="AM289" i="6" s="1"/>
  <c r="AF287" i="6"/>
  <c r="AG287" i="6"/>
  <c r="AK290" i="6"/>
  <c r="AM290" i="6" s="1"/>
  <c r="AA289" i="6"/>
  <c r="AB289" i="6" s="1"/>
  <c r="M294" i="6"/>
  <c r="AO294" i="6" s="1"/>
  <c r="U293" i="6"/>
  <c r="Z293" i="6"/>
  <c r="AJ293" i="6"/>
  <c r="P293" i="6"/>
  <c r="R293" i="6" s="1"/>
  <c r="AH293" i="6" s="1"/>
  <c r="T293" i="6"/>
  <c r="Y293" i="6"/>
  <c r="N293" i="6"/>
  <c r="Y292" i="6"/>
  <c r="AJ292" i="6"/>
  <c r="T292" i="6"/>
  <c r="U292" i="6"/>
  <c r="Z292" i="6"/>
  <c r="P292" i="6"/>
  <c r="R292" i="6" s="1"/>
  <c r="AH292" i="6" s="1"/>
  <c r="N292" i="6"/>
  <c r="AE291" i="6"/>
  <c r="AD291" i="6"/>
  <c r="AI293" i="6"/>
  <c r="F293" i="6"/>
  <c r="H291" i="6"/>
  <c r="AG288" i="6"/>
  <c r="P285" i="11" s="1"/>
  <c r="F292" i="6"/>
  <c r="AI292" i="6"/>
  <c r="R283" i="11" l="1"/>
  <c r="AP293" i="6"/>
  <c r="Q284" i="11"/>
  <c r="Q285" i="11"/>
  <c r="R285" i="11" s="1"/>
  <c r="A293" i="6"/>
  <c r="A292" i="6"/>
  <c r="P284" i="11"/>
  <c r="AB290" i="6"/>
  <c r="AC290" i="6"/>
  <c r="AG290" i="6" s="1"/>
  <c r="P287" i="11" s="1"/>
  <c r="K293" i="6"/>
  <c r="L293" i="6" s="1"/>
  <c r="K292" i="6"/>
  <c r="L292" i="6" s="1"/>
  <c r="AA291" i="6"/>
  <c r="AL289" i="6"/>
  <c r="AL290" i="6"/>
  <c r="AK291" i="6"/>
  <c r="AL291" i="6" s="1"/>
  <c r="AC289" i="6"/>
  <c r="AE293" i="6"/>
  <c r="AD293" i="6"/>
  <c r="M296" i="6"/>
  <c r="AO296" i="6" s="1"/>
  <c r="Y294" i="6"/>
  <c r="P294" i="6"/>
  <c r="R294" i="6" s="1"/>
  <c r="AH294" i="6" s="1"/>
  <c r="T294" i="6"/>
  <c r="AJ294" i="6"/>
  <c r="Z294" i="6"/>
  <c r="U294" i="6"/>
  <c r="N294" i="6"/>
  <c r="M295" i="6"/>
  <c r="AO295" i="6" s="1"/>
  <c r="AE292" i="6"/>
  <c r="AD292" i="6"/>
  <c r="AF289" i="6"/>
  <c r="AI294" i="6"/>
  <c r="F294" i="6"/>
  <c r="H293" i="6"/>
  <c r="H292" i="6"/>
  <c r="R284" i="11" l="1"/>
  <c r="AP295" i="6"/>
  <c r="AP294" i="6"/>
  <c r="Q286" i="11"/>
  <c r="A294" i="6"/>
  <c r="AF290" i="6"/>
  <c r="AC291" i="6"/>
  <c r="AB291" i="6"/>
  <c r="K294" i="6"/>
  <c r="L294" i="6" s="1"/>
  <c r="AK292" i="6"/>
  <c r="AM292" i="6" s="1"/>
  <c r="AK293" i="6"/>
  <c r="AM293" i="6" s="1"/>
  <c r="AM291" i="6"/>
  <c r="AA293" i="6"/>
  <c r="AG289" i="6"/>
  <c r="AA292" i="6"/>
  <c r="AB292" i="6" s="1"/>
  <c r="Y296" i="6"/>
  <c r="T296" i="6"/>
  <c r="N296" i="6"/>
  <c r="AJ296" i="6"/>
  <c r="P296" i="6"/>
  <c r="R296" i="6" s="1"/>
  <c r="AH296" i="6" s="1"/>
  <c r="U296" i="6"/>
  <c r="Z296" i="6"/>
  <c r="M297" i="6"/>
  <c r="AO297" i="6" s="1"/>
  <c r="AJ295" i="6"/>
  <c r="T295" i="6"/>
  <c r="N295" i="6"/>
  <c r="U295" i="6"/>
  <c r="P295" i="6"/>
  <c r="R295" i="6" s="1"/>
  <c r="AH295" i="6" s="1"/>
  <c r="Z295" i="6"/>
  <c r="Y295" i="6"/>
  <c r="AE294" i="6"/>
  <c r="AD294" i="6"/>
  <c r="AI295" i="6"/>
  <c r="F295" i="6"/>
  <c r="AI296" i="6"/>
  <c r="F296" i="6"/>
  <c r="H294" i="6"/>
  <c r="AP296" i="6" l="1"/>
  <c r="Q287" i="11"/>
  <c r="R287" i="11" s="1"/>
  <c r="A296" i="6"/>
  <c r="A295" i="6"/>
  <c r="P286" i="11"/>
  <c r="R286" i="11" s="1"/>
  <c r="AL293" i="6"/>
  <c r="AF291" i="6"/>
  <c r="AG291" i="6"/>
  <c r="P288" i="11" s="1"/>
  <c r="AL292" i="6"/>
  <c r="K296" i="6"/>
  <c r="L296" i="6" s="1"/>
  <c r="K295" i="6"/>
  <c r="L295" i="6" s="1"/>
  <c r="AK294" i="6"/>
  <c r="AL294" i="6" s="1"/>
  <c r="AC293" i="6"/>
  <c r="AG293" i="6" s="1"/>
  <c r="P290" i="11" s="1"/>
  <c r="AB293" i="6"/>
  <c r="AF293" i="6" s="1"/>
  <c r="AC292" i="6"/>
  <c r="AG292" i="6" s="1"/>
  <c r="P289" i="11" s="1"/>
  <c r="AA294" i="6"/>
  <c r="AB294" i="6" s="1"/>
  <c r="M299" i="6"/>
  <c r="AO299" i="6" s="1"/>
  <c r="U297" i="6"/>
  <c r="Z297" i="6"/>
  <c r="AJ297" i="6"/>
  <c r="N297" i="6"/>
  <c r="Y297" i="6"/>
  <c r="T297" i="6"/>
  <c r="P297" i="6"/>
  <c r="R297" i="6" s="1"/>
  <c r="AH297" i="6" s="1"/>
  <c r="AD295" i="6"/>
  <c r="AE295" i="6"/>
  <c r="AD296" i="6"/>
  <c r="AE296" i="6"/>
  <c r="M298" i="6"/>
  <c r="AO298" i="6" s="1"/>
  <c r="AF292" i="6"/>
  <c r="H295" i="6"/>
  <c r="AI297" i="6"/>
  <c r="F297" i="6"/>
  <c r="H296" i="6"/>
  <c r="AP298" i="6" l="1"/>
  <c r="AP297" i="6"/>
  <c r="Q290" i="11"/>
  <c r="R290" i="11" s="1"/>
  <c r="Q288" i="11"/>
  <c r="R288" i="11" s="1"/>
  <c r="Q289" i="11"/>
  <c r="R289" i="11" s="1"/>
  <c r="A297" i="6"/>
  <c r="AM294" i="6"/>
  <c r="K297" i="6"/>
  <c r="L297" i="6" s="1"/>
  <c r="AK295" i="6"/>
  <c r="AL295" i="6" s="1"/>
  <c r="AK296" i="6"/>
  <c r="AM296" i="6" s="1"/>
  <c r="AC294" i="6"/>
  <c r="AG294" i="6" s="1"/>
  <c r="P291" i="11" s="1"/>
  <c r="AA296" i="6"/>
  <c r="AA295" i="6"/>
  <c r="AC295" i="6" s="1"/>
  <c r="P298" i="6"/>
  <c r="R298" i="6" s="1"/>
  <c r="AH298" i="6" s="1"/>
  <c r="Y298" i="6"/>
  <c r="N298" i="6"/>
  <c r="U298" i="6"/>
  <c r="T298" i="6"/>
  <c r="Z298" i="6"/>
  <c r="AJ298" i="6"/>
  <c r="AD297" i="6"/>
  <c r="AE297" i="6"/>
  <c r="M300" i="6"/>
  <c r="AO300" i="6" s="1"/>
  <c r="N299" i="6"/>
  <c r="U299" i="6"/>
  <c r="Z299" i="6"/>
  <c r="Y299" i="6"/>
  <c r="T299" i="6"/>
  <c r="P299" i="6"/>
  <c r="R299" i="6" s="1"/>
  <c r="AH299" i="6" s="1"/>
  <c r="AJ299" i="6"/>
  <c r="H297" i="6"/>
  <c r="F298" i="6"/>
  <c r="AI298" i="6"/>
  <c r="AF294" i="6"/>
  <c r="AI299" i="6"/>
  <c r="F299" i="6"/>
  <c r="AP299" i="6" l="1"/>
  <c r="Q291" i="11"/>
  <c r="R291" i="11" s="1"/>
  <c r="A299" i="6"/>
  <c r="A298" i="6"/>
  <c r="AL296" i="6"/>
  <c r="K298" i="6"/>
  <c r="L298" i="6" s="1"/>
  <c r="K299" i="6"/>
  <c r="L299" i="6" s="1"/>
  <c r="AA297" i="6"/>
  <c r="AM295" i="6"/>
  <c r="AC296" i="6"/>
  <c r="AB296" i="6"/>
  <c r="AF296" i="6" s="1"/>
  <c r="AB295" i="6"/>
  <c r="AK297" i="6"/>
  <c r="AL297" i="6" s="1"/>
  <c r="M301" i="6"/>
  <c r="AO301" i="6" s="1"/>
  <c r="M302" i="6"/>
  <c r="AO302" i="6" s="1"/>
  <c r="AD299" i="6"/>
  <c r="AE299" i="6"/>
  <c r="U300" i="6"/>
  <c r="N300" i="6"/>
  <c r="T300" i="6"/>
  <c r="Z300" i="6"/>
  <c r="AJ300" i="6"/>
  <c r="P300" i="6"/>
  <c r="R300" i="6" s="1"/>
  <c r="AH300" i="6" s="1"/>
  <c r="Y300" i="6"/>
  <c r="AD298" i="6"/>
  <c r="AE298" i="6"/>
  <c r="H298" i="6"/>
  <c r="H299" i="6"/>
  <c r="AG295" i="6"/>
  <c r="P292" i="11" s="1"/>
  <c r="AI300" i="6"/>
  <c r="F300" i="6"/>
  <c r="AP301" i="6" l="1"/>
  <c r="AP300" i="6"/>
  <c r="Q293" i="11"/>
  <c r="A300" i="6"/>
  <c r="AG296" i="6"/>
  <c r="AC297" i="6"/>
  <c r="AB297" i="6"/>
  <c r="K300" i="6"/>
  <c r="L300" i="6" s="1"/>
  <c r="AK299" i="6"/>
  <c r="AM299" i="6" s="1"/>
  <c r="AA298" i="6"/>
  <c r="AB298" i="6" s="1"/>
  <c r="AM297" i="6"/>
  <c r="AF295" i="6"/>
  <c r="AA299" i="6"/>
  <c r="AB299" i="6" s="1"/>
  <c r="AK298" i="6"/>
  <c r="AL298" i="6" s="1"/>
  <c r="M303" i="6"/>
  <c r="AO303" i="6" s="1"/>
  <c r="AJ301" i="6"/>
  <c r="T301" i="6"/>
  <c r="Z301" i="6"/>
  <c r="Y301" i="6"/>
  <c r="U301" i="6"/>
  <c r="P301" i="6"/>
  <c r="R301" i="6" s="1"/>
  <c r="AH301" i="6" s="1"/>
  <c r="N301" i="6"/>
  <c r="AE300" i="6"/>
  <c r="AD300" i="6"/>
  <c r="Z302" i="6"/>
  <c r="T302" i="6"/>
  <c r="Y302" i="6"/>
  <c r="U302" i="6"/>
  <c r="N302" i="6"/>
  <c r="AJ302" i="6"/>
  <c r="P302" i="6"/>
  <c r="R302" i="6" s="1"/>
  <c r="AH302" i="6" s="1"/>
  <c r="AI301" i="6"/>
  <c r="F301" i="6"/>
  <c r="AI302" i="6"/>
  <c r="F302" i="6"/>
  <c r="H300" i="6"/>
  <c r="AP302" i="6" l="1"/>
  <c r="Q292" i="11"/>
  <c r="R292" i="11" s="1"/>
  <c r="A302" i="6"/>
  <c r="A301" i="6"/>
  <c r="P293" i="11"/>
  <c r="R293" i="11" s="1"/>
  <c r="AG297" i="6"/>
  <c r="P294" i="11" s="1"/>
  <c r="AC298" i="6"/>
  <c r="AF297" i="6"/>
  <c r="AL299" i="6"/>
  <c r="K302" i="6"/>
  <c r="L302" i="6" s="1"/>
  <c r="K301" i="6"/>
  <c r="L301" i="6" s="1"/>
  <c r="AK300" i="6"/>
  <c r="AL300" i="6" s="1"/>
  <c r="AM298" i="6"/>
  <c r="AC299" i="6"/>
  <c r="AG299" i="6" s="1"/>
  <c r="P296" i="11" s="1"/>
  <c r="AA300" i="6"/>
  <c r="AB300" i="6" s="1"/>
  <c r="M305" i="6"/>
  <c r="AO305" i="6" s="1"/>
  <c r="AD302" i="6"/>
  <c r="AE302" i="6"/>
  <c r="AJ303" i="6"/>
  <c r="Y303" i="6"/>
  <c r="U303" i="6"/>
  <c r="Z303" i="6"/>
  <c r="T303" i="6"/>
  <c r="P303" i="6"/>
  <c r="R303" i="6" s="1"/>
  <c r="AH303" i="6" s="1"/>
  <c r="N303" i="6"/>
  <c r="M304" i="6"/>
  <c r="AO304" i="6" s="1"/>
  <c r="AE301" i="6"/>
  <c r="AD301" i="6"/>
  <c r="AF298" i="6"/>
  <c r="H301" i="6"/>
  <c r="AI303" i="6"/>
  <c r="F303" i="6"/>
  <c r="H302" i="6"/>
  <c r="AF299" i="6"/>
  <c r="AP303" i="6" l="1"/>
  <c r="AP304" i="6"/>
  <c r="Q295" i="11"/>
  <c r="Q296" i="11"/>
  <c r="R296" i="11" s="1"/>
  <c r="Q294" i="11"/>
  <c r="R294" i="11" s="1"/>
  <c r="A303" i="6"/>
  <c r="AG298" i="6"/>
  <c r="AM300" i="6"/>
  <c r="K303" i="6"/>
  <c r="L303" i="6" s="1"/>
  <c r="AK301" i="6"/>
  <c r="AM301" i="6" s="1"/>
  <c r="AK302" i="6"/>
  <c r="AM302" i="6" s="1"/>
  <c r="AC300" i="6"/>
  <c r="AA301" i="6"/>
  <c r="AC301" i="6" s="1"/>
  <c r="AA302" i="6"/>
  <c r="AC302" i="6" s="1"/>
  <c r="M306" i="6"/>
  <c r="AO306" i="6" s="1"/>
  <c r="AJ304" i="6"/>
  <c r="Y304" i="6"/>
  <c r="T304" i="6"/>
  <c r="Z304" i="6"/>
  <c r="U304" i="6"/>
  <c r="N304" i="6"/>
  <c r="P304" i="6"/>
  <c r="R304" i="6" s="1"/>
  <c r="AH304" i="6" s="1"/>
  <c r="AE303" i="6"/>
  <c r="AD303" i="6"/>
  <c r="Y305" i="6"/>
  <c r="Z305" i="6"/>
  <c r="T305" i="6"/>
  <c r="U305" i="6"/>
  <c r="AJ305" i="6"/>
  <c r="P305" i="6"/>
  <c r="R305" i="6" s="1"/>
  <c r="AH305" i="6" s="1"/>
  <c r="N305" i="6"/>
  <c r="H303" i="6"/>
  <c r="AI305" i="6"/>
  <c r="F305" i="6"/>
  <c r="AF300" i="6"/>
  <c r="AI304" i="6"/>
  <c r="F304" i="6"/>
  <c r="AP305" i="6" l="1"/>
  <c r="Q297" i="11"/>
  <c r="A305" i="6"/>
  <c r="A304" i="6"/>
  <c r="P295" i="11"/>
  <c r="R295" i="11" s="1"/>
  <c r="AL301" i="6"/>
  <c r="AL302" i="6"/>
  <c r="AG300" i="6"/>
  <c r="K305" i="6"/>
  <c r="L305" i="6" s="1"/>
  <c r="K304" i="6"/>
  <c r="L304" i="6" s="1"/>
  <c r="AA303" i="6"/>
  <c r="AB303" i="6" s="1"/>
  <c r="AK303" i="6"/>
  <c r="AL303" i="6" s="1"/>
  <c r="AB302" i="6"/>
  <c r="AB301" i="6"/>
  <c r="AF301" i="6" s="1"/>
  <c r="M308" i="6"/>
  <c r="AO308" i="6" s="1"/>
  <c r="M307" i="6"/>
  <c r="AO307" i="6" s="1"/>
  <c r="AE305" i="6"/>
  <c r="AD305" i="6"/>
  <c r="Z306" i="6"/>
  <c r="P306" i="6"/>
  <c r="R306" i="6" s="1"/>
  <c r="AH306" i="6" s="1"/>
  <c r="N306" i="6"/>
  <c r="AJ306" i="6"/>
  <c r="Y306" i="6"/>
  <c r="U306" i="6"/>
  <c r="T306" i="6"/>
  <c r="AE304" i="6"/>
  <c r="AD304" i="6"/>
  <c r="H305" i="6"/>
  <c r="AG301" i="6"/>
  <c r="P298" i="11" s="1"/>
  <c r="AG302" i="6"/>
  <c r="P299" i="11" s="1"/>
  <c r="H304" i="6"/>
  <c r="AI306" i="6"/>
  <c r="F306" i="6"/>
  <c r="AP306" i="6" l="1"/>
  <c r="AP307" i="6"/>
  <c r="Q298" i="11"/>
  <c r="R298" i="11" s="1"/>
  <c r="A306" i="6"/>
  <c r="P297" i="11"/>
  <c r="R297" i="11" s="1"/>
  <c r="AC303" i="6"/>
  <c r="K306" i="6"/>
  <c r="L306" i="6" s="1"/>
  <c r="AK304" i="6"/>
  <c r="AM304" i="6" s="1"/>
  <c r="AK305" i="6"/>
  <c r="AM305" i="6" s="1"/>
  <c r="AM303" i="6"/>
  <c r="AF302" i="6"/>
  <c r="AA305" i="6"/>
  <c r="AA304" i="6"/>
  <c r="T307" i="6"/>
  <c r="N307" i="6"/>
  <c r="Y307" i="6"/>
  <c r="Z307" i="6"/>
  <c r="P307" i="6"/>
  <c r="R307" i="6" s="1"/>
  <c r="AH307" i="6" s="1"/>
  <c r="U307" i="6"/>
  <c r="AJ307" i="6"/>
  <c r="AD306" i="6"/>
  <c r="AE306" i="6"/>
  <c r="Y308" i="6"/>
  <c r="T308" i="6"/>
  <c r="AJ308" i="6"/>
  <c r="N308" i="6"/>
  <c r="U308" i="6"/>
  <c r="Z308" i="6"/>
  <c r="P308" i="6"/>
  <c r="R308" i="6" s="1"/>
  <c r="AH308" i="6" s="1"/>
  <c r="M309" i="6"/>
  <c r="AO309" i="6" s="1"/>
  <c r="H306" i="6"/>
  <c r="AI308" i="6"/>
  <c r="F308" i="6"/>
  <c r="AF303" i="6"/>
  <c r="AI307" i="6"/>
  <c r="F307" i="6"/>
  <c r="AP308" i="6" l="1"/>
  <c r="Q299" i="11"/>
  <c r="R299" i="11" s="1"/>
  <c r="Q300" i="11"/>
  <c r="A308" i="6"/>
  <c r="A307" i="6"/>
  <c r="AG303" i="6"/>
  <c r="P300" i="11" s="1"/>
  <c r="AL304" i="6"/>
  <c r="AL305" i="6"/>
  <c r="K308" i="6"/>
  <c r="L308" i="6" s="1"/>
  <c r="K307" i="6"/>
  <c r="L307" i="6" s="1"/>
  <c r="AA306" i="6"/>
  <c r="AB305" i="6"/>
  <c r="AF305" i="6" s="1"/>
  <c r="AB304" i="6"/>
  <c r="AF304" i="6" s="1"/>
  <c r="AC304" i="6"/>
  <c r="AG304" i="6" s="1"/>
  <c r="P301" i="11" s="1"/>
  <c r="AK306" i="6"/>
  <c r="AM306" i="6" s="1"/>
  <c r="AC305" i="6"/>
  <c r="M310" i="6"/>
  <c r="AO310" i="6" s="1"/>
  <c r="P309" i="6"/>
  <c r="R309" i="6" s="1"/>
  <c r="AH309" i="6" s="1"/>
  <c r="N309" i="6"/>
  <c r="Y309" i="6"/>
  <c r="AJ309" i="6"/>
  <c r="U309" i="6"/>
  <c r="T309" i="6"/>
  <c r="Z309" i="6"/>
  <c r="M311" i="6"/>
  <c r="AO311" i="6" s="1"/>
  <c r="AE308" i="6"/>
  <c r="AD308" i="6"/>
  <c r="AE307" i="6"/>
  <c r="AD307" i="6"/>
  <c r="AI309" i="6"/>
  <c r="F309" i="6"/>
  <c r="H307" i="6"/>
  <c r="H308" i="6"/>
  <c r="R300" i="11" l="1"/>
  <c r="AP309" i="6"/>
  <c r="AP310" i="6"/>
  <c r="Q302" i="11"/>
  <c r="Q301" i="11"/>
  <c r="R301" i="11" s="1"/>
  <c r="A309" i="6"/>
  <c r="AC306" i="6"/>
  <c r="AG306" i="6" s="1"/>
  <c r="P303" i="11" s="1"/>
  <c r="AB306" i="6"/>
  <c r="K309" i="6"/>
  <c r="L309" i="6" s="1"/>
  <c r="AK307" i="6"/>
  <c r="AM307" i="6" s="1"/>
  <c r="AK308" i="6"/>
  <c r="AL308" i="6" s="1"/>
  <c r="AG305" i="6"/>
  <c r="AL306" i="6"/>
  <c r="AA307" i="6"/>
  <c r="AA308" i="6"/>
  <c r="AC308" i="6" s="1"/>
  <c r="M312" i="6"/>
  <c r="AO312" i="6" s="1"/>
  <c r="AE309" i="6"/>
  <c r="AD309" i="6"/>
  <c r="U310" i="6"/>
  <c r="N310" i="6"/>
  <c r="T310" i="6"/>
  <c r="Z310" i="6"/>
  <c r="AJ310" i="6"/>
  <c r="Y310" i="6"/>
  <c r="P310" i="6"/>
  <c r="R310" i="6" s="1"/>
  <c r="AH310" i="6" s="1"/>
  <c r="T311" i="6"/>
  <c r="AJ311" i="6"/>
  <c r="Y311" i="6"/>
  <c r="Z311" i="6"/>
  <c r="N311" i="6"/>
  <c r="U311" i="6"/>
  <c r="P311" i="6"/>
  <c r="R311" i="6" s="1"/>
  <c r="AH311" i="6" s="1"/>
  <c r="AI311" i="6"/>
  <c r="F311" i="6"/>
  <c r="F310" i="6"/>
  <c r="AI310" i="6"/>
  <c r="H309" i="6"/>
  <c r="AP311" i="6" l="1"/>
  <c r="A311" i="6"/>
  <c r="A310" i="6"/>
  <c r="P302" i="11"/>
  <c r="R302" i="11" s="1"/>
  <c r="AF306" i="6"/>
  <c r="AM308" i="6"/>
  <c r="AL307" i="6"/>
  <c r="K310" i="6"/>
  <c r="L310" i="6" s="1"/>
  <c r="K311" i="6"/>
  <c r="L311" i="6" s="1"/>
  <c r="AA309" i="6"/>
  <c r="AC309" i="6" s="1"/>
  <c r="AB307" i="6"/>
  <c r="AC307" i="6"/>
  <c r="AB308" i="6"/>
  <c r="AF308" i="6" s="1"/>
  <c r="AK309" i="6"/>
  <c r="AL309" i="6" s="1"/>
  <c r="AD311" i="6"/>
  <c r="AE311" i="6"/>
  <c r="AD310" i="6"/>
  <c r="AE310" i="6"/>
  <c r="AJ312" i="6"/>
  <c r="T312" i="6"/>
  <c r="Z312" i="6"/>
  <c r="Y312" i="6"/>
  <c r="U312" i="6"/>
  <c r="P312" i="6"/>
  <c r="R312" i="6" s="1"/>
  <c r="AH312" i="6" s="1"/>
  <c r="N312" i="6"/>
  <c r="M313" i="6"/>
  <c r="AO313" i="6" s="1"/>
  <c r="M314" i="6"/>
  <c r="AO314" i="6" s="1"/>
  <c r="H310" i="6"/>
  <c r="H311" i="6"/>
  <c r="AI312" i="6"/>
  <c r="F312" i="6"/>
  <c r="AG308" i="6"/>
  <c r="P305" i="11" s="1"/>
  <c r="AP313" i="6" l="1"/>
  <c r="AP312" i="6"/>
  <c r="Q305" i="11"/>
  <c r="R305" i="11" s="1"/>
  <c r="Q303" i="11"/>
  <c r="R303" i="11" s="1"/>
  <c r="A312" i="6"/>
  <c r="AB309" i="6"/>
  <c r="AF309" i="6" s="1"/>
  <c r="AF307" i="6"/>
  <c r="K312" i="6"/>
  <c r="L312" i="6" s="1"/>
  <c r="AA311" i="6"/>
  <c r="AC311" i="6" s="1"/>
  <c r="AA310" i="6"/>
  <c r="AM309" i="6"/>
  <c r="AG307" i="6"/>
  <c r="AK310" i="6"/>
  <c r="AM310" i="6" s="1"/>
  <c r="AK311" i="6"/>
  <c r="AL311" i="6" s="1"/>
  <c r="M315" i="6"/>
  <c r="AO315" i="6" s="1"/>
  <c r="Y313" i="6"/>
  <c r="P313" i="6"/>
  <c r="R313" i="6" s="1"/>
  <c r="AH313" i="6" s="1"/>
  <c r="Z313" i="6"/>
  <c r="T313" i="6"/>
  <c r="AJ313" i="6"/>
  <c r="U313" i="6"/>
  <c r="N313" i="6"/>
  <c r="AE312" i="6"/>
  <c r="AD312" i="6"/>
  <c r="T314" i="6"/>
  <c r="Z314" i="6"/>
  <c r="Y314" i="6"/>
  <c r="AJ314" i="6"/>
  <c r="U314" i="6"/>
  <c r="N314" i="6"/>
  <c r="P314" i="6"/>
  <c r="R314" i="6" s="1"/>
  <c r="AH314" i="6" s="1"/>
  <c r="AI314" i="6"/>
  <c r="F314" i="6"/>
  <c r="AG309" i="6"/>
  <c r="P306" i="11" s="1"/>
  <c r="AI313" i="6"/>
  <c r="F313" i="6"/>
  <c r="H312" i="6"/>
  <c r="AP314" i="6" l="1"/>
  <c r="Q304" i="11"/>
  <c r="Q306" i="11"/>
  <c r="R306" i="11" s="1"/>
  <c r="A314" i="6"/>
  <c r="A313" i="6"/>
  <c r="P304" i="11"/>
  <c r="AC310" i="6"/>
  <c r="AG310" i="6" s="1"/>
  <c r="P307" i="11" s="1"/>
  <c r="AB311" i="6"/>
  <c r="AF311" i="6" s="1"/>
  <c r="AB310" i="6"/>
  <c r="AF310" i="6" s="1"/>
  <c r="K314" i="6"/>
  <c r="L314" i="6" s="1"/>
  <c r="K313" i="6"/>
  <c r="L313" i="6" s="1"/>
  <c r="AK312" i="6"/>
  <c r="AM312" i="6" s="1"/>
  <c r="AA312" i="6"/>
  <c r="AM311" i="6"/>
  <c r="AL310" i="6"/>
  <c r="M316" i="6"/>
  <c r="AO316" i="6" s="1"/>
  <c r="AD313" i="6"/>
  <c r="AE313" i="6"/>
  <c r="M317" i="6"/>
  <c r="AO317" i="6" s="1"/>
  <c r="AE314" i="6"/>
  <c r="AD314" i="6"/>
  <c r="T315" i="6"/>
  <c r="N315" i="6"/>
  <c r="AJ315" i="6"/>
  <c r="U315" i="6"/>
  <c r="Y315" i="6"/>
  <c r="Z315" i="6"/>
  <c r="P315" i="6"/>
  <c r="R315" i="6" s="1"/>
  <c r="AH315" i="6" s="1"/>
  <c r="F315" i="6"/>
  <c r="AI315" i="6"/>
  <c r="H313" i="6"/>
  <c r="AG311" i="6"/>
  <c r="P308" i="11" s="1"/>
  <c r="H314" i="6"/>
  <c r="R304" i="11" l="1"/>
  <c r="AP315" i="6"/>
  <c r="AP316" i="6"/>
  <c r="Q307" i="11"/>
  <c r="R307" i="11" s="1"/>
  <c r="Q308" i="11"/>
  <c r="R308" i="11" s="1"/>
  <c r="AK314" i="6"/>
  <c r="AM314" i="6" s="1"/>
  <c r="A315" i="6"/>
  <c r="AB312" i="6"/>
  <c r="AC312" i="6"/>
  <c r="AG312" i="6" s="1"/>
  <c r="P309" i="11" s="1"/>
  <c r="AL312" i="6"/>
  <c r="K315" i="6"/>
  <c r="L315" i="6" s="1"/>
  <c r="AA314" i="6"/>
  <c r="AC314" i="6" s="1"/>
  <c r="AA313" i="6"/>
  <c r="AC313" i="6" s="1"/>
  <c r="AK313" i="6"/>
  <c r="AL313" i="6" s="1"/>
  <c r="AD315" i="6"/>
  <c r="AE315" i="6"/>
  <c r="Y316" i="6"/>
  <c r="T316" i="6"/>
  <c r="Z316" i="6"/>
  <c r="U316" i="6"/>
  <c r="AJ316" i="6"/>
  <c r="P316" i="6"/>
  <c r="R316" i="6" s="1"/>
  <c r="AH316" i="6" s="1"/>
  <c r="N316" i="6"/>
  <c r="T317" i="6"/>
  <c r="U317" i="6"/>
  <c r="Y317" i="6"/>
  <c r="Z317" i="6"/>
  <c r="P317" i="6"/>
  <c r="R317" i="6" s="1"/>
  <c r="AH317" i="6" s="1"/>
  <c r="AJ317" i="6"/>
  <c r="N317" i="6"/>
  <c r="M318" i="6"/>
  <c r="AO318" i="6" s="1"/>
  <c r="H315" i="6"/>
  <c r="AI317" i="6"/>
  <c r="F317" i="6"/>
  <c r="AI316" i="6"/>
  <c r="F316" i="6"/>
  <c r="AP317" i="6" l="1"/>
  <c r="AL314" i="6"/>
  <c r="AF312" i="6"/>
  <c r="A317" i="6"/>
  <c r="A316" i="6"/>
  <c r="AB313" i="6"/>
  <c r="AF313" i="6" s="1"/>
  <c r="K317" i="6"/>
  <c r="L317" i="6" s="1"/>
  <c r="K316" i="6"/>
  <c r="L316" i="6" s="1"/>
  <c r="AB314" i="6"/>
  <c r="AF314" i="6" s="1"/>
  <c r="AK315" i="6"/>
  <c r="AL315" i="6" s="1"/>
  <c r="AM313" i="6"/>
  <c r="AA315" i="6"/>
  <c r="AB315" i="6" s="1"/>
  <c r="M319" i="6"/>
  <c r="AO319" i="6" s="1"/>
  <c r="M320" i="6"/>
  <c r="AO320" i="6" s="1"/>
  <c r="T318" i="6"/>
  <c r="AJ318" i="6"/>
  <c r="P318" i="6"/>
  <c r="R318" i="6" s="1"/>
  <c r="AH318" i="6" s="1"/>
  <c r="Y318" i="6"/>
  <c r="U318" i="6"/>
  <c r="Z318" i="6"/>
  <c r="N318" i="6"/>
  <c r="AD317" i="6"/>
  <c r="AE317" i="6"/>
  <c r="AD316" i="6"/>
  <c r="AE316" i="6"/>
  <c r="H316" i="6"/>
  <c r="AG313" i="6"/>
  <c r="P310" i="11" s="1"/>
  <c r="F318" i="6"/>
  <c r="AI318" i="6"/>
  <c r="H317" i="6"/>
  <c r="AG314" i="6"/>
  <c r="P311" i="11" s="1"/>
  <c r="AP319" i="6" l="1"/>
  <c r="AP318" i="6"/>
  <c r="Q310" i="11"/>
  <c r="R310" i="11" s="1"/>
  <c r="Q309" i="11"/>
  <c r="R309" i="11" s="1"/>
  <c r="Q311" i="11"/>
  <c r="R311" i="11" s="1"/>
  <c r="A318" i="6"/>
  <c r="AM315" i="6"/>
  <c r="K318" i="6"/>
  <c r="L318" i="6" s="1"/>
  <c r="AK317" i="6"/>
  <c r="AM317" i="6" s="1"/>
  <c r="AK316" i="6"/>
  <c r="AM316" i="6" s="1"/>
  <c r="AA316" i="6"/>
  <c r="AC315" i="6"/>
  <c r="AA317" i="6"/>
  <c r="AC317" i="6" s="1"/>
  <c r="M321" i="6"/>
  <c r="AO321" i="6" s="1"/>
  <c r="AE318" i="6"/>
  <c r="AD318" i="6"/>
  <c r="Z320" i="6"/>
  <c r="N320" i="6"/>
  <c r="U320" i="6"/>
  <c r="AJ320" i="6"/>
  <c r="Y320" i="6"/>
  <c r="T320" i="6"/>
  <c r="P320" i="6"/>
  <c r="R320" i="6" s="1"/>
  <c r="AH320" i="6" s="1"/>
  <c r="Y319" i="6"/>
  <c r="N319" i="6"/>
  <c r="P319" i="6"/>
  <c r="R319" i="6" s="1"/>
  <c r="AH319" i="6" s="1"/>
  <c r="T319" i="6"/>
  <c r="U319" i="6"/>
  <c r="Z319" i="6"/>
  <c r="AJ319" i="6"/>
  <c r="AF315" i="6"/>
  <c r="F320" i="6"/>
  <c r="AI320" i="6"/>
  <c r="AI319" i="6"/>
  <c r="F319" i="6"/>
  <c r="H318" i="6"/>
  <c r="AP320" i="6" l="1"/>
  <c r="Q312" i="11"/>
  <c r="A319" i="6"/>
  <c r="A320" i="6"/>
  <c r="AL317" i="6"/>
  <c r="AB316" i="6"/>
  <c r="AF316" i="6" s="1"/>
  <c r="K320" i="6"/>
  <c r="L320" i="6" s="1"/>
  <c r="K319" i="6"/>
  <c r="L319" i="6" s="1"/>
  <c r="AK318" i="6"/>
  <c r="AL318" i="6" s="1"/>
  <c r="AL316" i="6"/>
  <c r="AC316" i="6"/>
  <c r="AG315" i="6"/>
  <c r="AA318" i="6"/>
  <c r="AC318" i="6" s="1"/>
  <c r="AB317" i="6"/>
  <c r="AF317" i="6" s="1"/>
  <c r="M323" i="6"/>
  <c r="AO323" i="6" s="1"/>
  <c r="AD319" i="6"/>
  <c r="AE319" i="6"/>
  <c r="P321" i="6"/>
  <c r="R321" i="6" s="1"/>
  <c r="AH321" i="6" s="1"/>
  <c r="U321" i="6"/>
  <c r="Y321" i="6"/>
  <c r="Z321" i="6"/>
  <c r="T321" i="6"/>
  <c r="AJ321" i="6"/>
  <c r="N321" i="6"/>
  <c r="M322" i="6"/>
  <c r="AO322" i="6" s="1"/>
  <c r="AD320" i="6"/>
  <c r="AE320" i="6"/>
  <c r="H319" i="6"/>
  <c r="H320" i="6"/>
  <c r="AI321" i="6"/>
  <c r="F321" i="6"/>
  <c r="AG317" i="6"/>
  <c r="P314" i="11" s="1"/>
  <c r="AP321" i="6" l="1"/>
  <c r="AP322" i="6"/>
  <c r="Q314" i="11"/>
  <c r="R314" i="11" s="1"/>
  <c r="Q313" i="11"/>
  <c r="A321" i="6"/>
  <c r="P312" i="11"/>
  <c r="R312" i="11" s="1"/>
  <c r="AM318" i="6"/>
  <c r="K321" i="6"/>
  <c r="L321" i="6" s="1"/>
  <c r="AA320" i="6"/>
  <c r="AC320" i="6" s="1"/>
  <c r="AK319" i="6"/>
  <c r="AL319" i="6" s="1"/>
  <c r="AG316" i="6"/>
  <c r="AK320" i="6"/>
  <c r="AL320" i="6" s="1"/>
  <c r="AB318" i="6"/>
  <c r="AF318" i="6" s="1"/>
  <c r="AA319" i="6"/>
  <c r="AC319" i="6" s="1"/>
  <c r="T322" i="6"/>
  <c r="U322" i="6"/>
  <c r="Y322" i="6"/>
  <c r="AJ322" i="6"/>
  <c r="Z322" i="6"/>
  <c r="N322" i="6"/>
  <c r="P322" i="6"/>
  <c r="R322" i="6" s="1"/>
  <c r="AH322" i="6" s="1"/>
  <c r="AE321" i="6"/>
  <c r="AD321" i="6"/>
  <c r="M324" i="6"/>
  <c r="AO324" i="6" s="1"/>
  <c r="Y323" i="6"/>
  <c r="Z323" i="6"/>
  <c r="T323" i="6"/>
  <c r="N323" i="6"/>
  <c r="U323" i="6"/>
  <c r="AJ323" i="6"/>
  <c r="P323" i="6"/>
  <c r="R323" i="6" s="1"/>
  <c r="AH323" i="6" s="1"/>
  <c r="AI322" i="6"/>
  <c r="F322" i="6"/>
  <c r="AI323" i="6"/>
  <c r="F323" i="6"/>
  <c r="AG318" i="6"/>
  <c r="P315" i="11" s="1"/>
  <c r="H321" i="6"/>
  <c r="AP323" i="6" l="1"/>
  <c r="Q315" i="11"/>
  <c r="R315" i="11" s="1"/>
  <c r="A322" i="6"/>
  <c r="A323" i="6"/>
  <c r="P313" i="11"/>
  <c r="R313" i="11" s="1"/>
  <c r="AM319" i="6"/>
  <c r="K322" i="6"/>
  <c r="L322" i="6" s="1"/>
  <c r="K323" i="6"/>
  <c r="L323" i="6" s="1"/>
  <c r="AK321" i="6"/>
  <c r="AL321" i="6" s="1"/>
  <c r="AB320" i="6"/>
  <c r="AM320" i="6"/>
  <c r="AB319" i="6"/>
  <c r="AF319" i="6" s="1"/>
  <c r="AA321" i="6"/>
  <c r="AE323" i="6"/>
  <c r="AD323" i="6"/>
  <c r="AE322" i="6"/>
  <c r="AD322" i="6"/>
  <c r="M326" i="6"/>
  <c r="AO326" i="6" s="1"/>
  <c r="M325" i="6"/>
  <c r="AO325" i="6" s="1"/>
  <c r="AJ324" i="6"/>
  <c r="T324" i="6"/>
  <c r="N324" i="6"/>
  <c r="P324" i="6"/>
  <c r="R324" i="6" s="1"/>
  <c r="AH324" i="6" s="1"/>
  <c r="Z324" i="6"/>
  <c r="U324" i="6"/>
  <c r="Y324" i="6"/>
  <c r="H323" i="6"/>
  <c r="AI324" i="6"/>
  <c r="F324" i="6"/>
  <c r="AG320" i="6"/>
  <c r="P317" i="11" s="1"/>
  <c r="AG319" i="6"/>
  <c r="P316" i="11" s="1"/>
  <c r="H322" i="6"/>
  <c r="AP324" i="6" l="1"/>
  <c r="AP325" i="6"/>
  <c r="Q316" i="11"/>
  <c r="R316" i="11" s="1"/>
  <c r="A324" i="6"/>
  <c r="AM321" i="6"/>
  <c r="AF320" i="6"/>
  <c r="K324" i="6"/>
  <c r="L324" i="6" s="1"/>
  <c r="AK323" i="6"/>
  <c r="AL323" i="6" s="1"/>
  <c r="AK322" i="6"/>
  <c r="AM322" i="6" s="1"/>
  <c r="AC321" i="6"/>
  <c r="AG321" i="6" s="1"/>
  <c r="P318" i="11" s="1"/>
  <c r="AB321" i="6"/>
  <c r="AF321" i="6" s="1"/>
  <c r="AA323" i="6"/>
  <c r="AB323" i="6" s="1"/>
  <c r="AA322" i="6"/>
  <c r="AB322" i="6" s="1"/>
  <c r="Y325" i="6"/>
  <c r="Z325" i="6"/>
  <c r="T325" i="6"/>
  <c r="U325" i="6"/>
  <c r="AJ325" i="6"/>
  <c r="P325" i="6"/>
  <c r="R325" i="6" s="1"/>
  <c r="AH325" i="6" s="1"/>
  <c r="N325" i="6"/>
  <c r="M327" i="6"/>
  <c r="AO327" i="6" s="1"/>
  <c r="AE324" i="6"/>
  <c r="AD324" i="6"/>
  <c r="Y326" i="6"/>
  <c r="Z326" i="6"/>
  <c r="T326" i="6"/>
  <c r="AJ326" i="6"/>
  <c r="P326" i="6"/>
  <c r="R326" i="6" s="1"/>
  <c r="AH326" i="6" s="1"/>
  <c r="U326" i="6"/>
  <c r="N326" i="6"/>
  <c r="AI325" i="6"/>
  <c r="F325" i="6"/>
  <c r="H324" i="6"/>
  <c r="F326" i="6"/>
  <c r="AI326" i="6"/>
  <c r="AP326" i="6" l="1"/>
  <c r="Q317" i="11"/>
  <c r="R317" i="11" s="1"/>
  <c r="Q318" i="11"/>
  <c r="R318" i="11" s="1"/>
  <c r="A325" i="6"/>
  <c r="A326" i="6"/>
  <c r="AL322" i="6"/>
  <c r="AM323" i="6"/>
  <c r="K325" i="6"/>
  <c r="L325" i="6" s="1"/>
  <c r="K326" i="6"/>
  <c r="L326" i="6" s="1"/>
  <c r="AK324" i="6"/>
  <c r="AL324" i="6" s="1"/>
  <c r="AC323" i="6"/>
  <c r="AG323" i="6" s="1"/>
  <c r="P320" i="11" s="1"/>
  <c r="AC322" i="6"/>
  <c r="AG322" i="6" s="1"/>
  <c r="P319" i="11" s="1"/>
  <c r="AA324" i="6"/>
  <c r="AB324" i="6" s="1"/>
  <c r="AD325" i="6"/>
  <c r="AE325" i="6"/>
  <c r="M329" i="6"/>
  <c r="AO329" i="6" s="1"/>
  <c r="M328" i="6"/>
  <c r="AO328" i="6" s="1"/>
  <c r="AD326" i="6"/>
  <c r="AE326" i="6"/>
  <c r="T327" i="6"/>
  <c r="U327" i="6"/>
  <c r="Z327" i="6"/>
  <c r="Y327" i="6"/>
  <c r="N327" i="6"/>
  <c r="P327" i="6"/>
  <c r="R327" i="6" s="1"/>
  <c r="AH327" i="6" s="1"/>
  <c r="AJ327" i="6"/>
  <c r="H326" i="6"/>
  <c r="AI327" i="6"/>
  <c r="F327" i="6"/>
  <c r="AF323" i="6"/>
  <c r="AF322" i="6"/>
  <c r="H325" i="6"/>
  <c r="AP327" i="6" l="1"/>
  <c r="AP328" i="6"/>
  <c r="Q319" i="11"/>
  <c r="R319" i="11" s="1"/>
  <c r="Q320" i="11"/>
  <c r="R320" i="11" s="1"/>
  <c r="A327" i="6"/>
  <c r="AM324" i="6"/>
  <c r="K327" i="6"/>
  <c r="L327" i="6" s="1"/>
  <c r="AK326" i="6"/>
  <c r="AM326" i="6" s="1"/>
  <c r="AK325" i="6"/>
  <c r="AM325" i="6" s="1"/>
  <c r="AC324" i="6"/>
  <c r="AA325" i="6"/>
  <c r="AA326" i="6"/>
  <c r="T329" i="6"/>
  <c r="AJ329" i="6"/>
  <c r="U329" i="6"/>
  <c r="P329" i="6"/>
  <c r="R329" i="6" s="1"/>
  <c r="AH329" i="6" s="1"/>
  <c r="N329" i="6"/>
  <c r="Y329" i="6"/>
  <c r="Z329" i="6"/>
  <c r="M330" i="6"/>
  <c r="AO330" i="6" s="1"/>
  <c r="AE327" i="6"/>
  <c r="AD327" i="6"/>
  <c r="N328" i="6"/>
  <c r="U328" i="6"/>
  <c r="Z328" i="6"/>
  <c r="T328" i="6"/>
  <c r="Y328" i="6"/>
  <c r="AJ328" i="6"/>
  <c r="P328" i="6"/>
  <c r="R328" i="6" s="1"/>
  <c r="AH328" i="6" s="1"/>
  <c r="AI328" i="6"/>
  <c r="F328" i="6"/>
  <c r="AF324" i="6"/>
  <c r="H327" i="6"/>
  <c r="AI329" i="6"/>
  <c r="F329" i="6"/>
  <c r="AP329" i="6" l="1"/>
  <c r="Q321" i="11"/>
  <c r="A328" i="6"/>
  <c r="A329" i="6"/>
  <c r="AL326" i="6"/>
  <c r="AL325" i="6"/>
  <c r="K329" i="6"/>
  <c r="L329" i="6" s="1"/>
  <c r="K328" i="6"/>
  <c r="L328" i="6" s="1"/>
  <c r="AK327" i="6"/>
  <c r="AM327" i="6" s="1"/>
  <c r="AA327" i="6"/>
  <c r="AG324" i="6"/>
  <c r="P321" i="11" s="1"/>
  <c r="R321" i="11" s="1"/>
  <c r="AC326" i="6"/>
  <c r="AG326" i="6" s="1"/>
  <c r="P323" i="11" s="1"/>
  <c r="AC325" i="6"/>
  <c r="AB326" i="6"/>
  <c r="AF326" i="6" s="1"/>
  <c r="AB325" i="6"/>
  <c r="AF325" i="6" s="1"/>
  <c r="M332" i="6"/>
  <c r="AO332" i="6" s="1"/>
  <c r="AD328" i="6"/>
  <c r="AE328" i="6"/>
  <c r="M331" i="6"/>
  <c r="AO331" i="6" s="1"/>
  <c r="U330" i="6"/>
  <c r="P330" i="6"/>
  <c r="R330" i="6" s="1"/>
  <c r="AH330" i="6" s="1"/>
  <c r="Z330" i="6"/>
  <c r="AJ330" i="6"/>
  <c r="T330" i="6"/>
  <c r="Y330" i="6"/>
  <c r="N330" i="6"/>
  <c r="AE329" i="6"/>
  <c r="AD329" i="6"/>
  <c r="H329" i="6"/>
  <c r="AI330" i="6"/>
  <c r="F330" i="6"/>
  <c r="H328" i="6"/>
  <c r="AP330" i="6" l="1"/>
  <c r="AP331" i="6"/>
  <c r="Q322" i="11"/>
  <c r="Q323" i="11"/>
  <c r="R323" i="11" s="1"/>
  <c r="A330" i="6"/>
  <c r="AL327" i="6"/>
  <c r="K330" i="6"/>
  <c r="L330" i="6" s="1"/>
  <c r="AK328" i="6"/>
  <c r="AL328" i="6" s="1"/>
  <c r="AA329" i="6"/>
  <c r="AB329" i="6" s="1"/>
  <c r="AB327" i="6"/>
  <c r="AC327" i="6"/>
  <c r="AK329" i="6"/>
  <c r="AL329" i="6" s="1"/>
  <c r="AG325" i="6"/>
  <c r="P322" i="11" s="1"/>
  <c r="AA328" i="6"/>
  <c r="AD330" i="6"/>
  <c r="AE330" i="6"/>
  <c r="M333" i="6"/>
  <c r="AO333" i="6" s="1"/>
  <c r="T331" i="6"/>
  <c r="P331" i="6"/>
  <c r="R331" i="6" s="1"/>
  <c r="AH331" i="6" s="1"/>
  <c r="Z331" i="6"/>
  <c r="U331" i="6"/>
  <c r="AJ331" i="6"/>
  <c r="Y331" i="6"/>
  <c r="N331" i="6"/>
  <c r="Z332" i="6"/>
  <c r="AJ332" i="6"/>
  <c r="Y332" i="6"/>
  <c r="U332" i="6"/>
  <c r="T332" i="6"/>
  <c r="N332" i="6"/>
  <c r="P332" i="6"/>
  <c r="R332" i="6" s="1"/>
  <c r="AH332" i="6" s="1"/>
  <c r="H330" i="6"/>
  <c r="F331" i="6"/>
  <c r="AI331" i="6"/>
  <c r="F332" i="6"/>
  <c r="AI332" i="6"/>
  <c r="R322" i="11" l="1"/>
  <c r="AP332" i="6"/>
  <c r="A331" i="6"/>
  <c r="A332" i="6"/>
  <c r="AM328" i="6"/>
  <c r="AC329" i="6"/>
  <c r="AG329" i="6" s="1"/>
  <c r="P326" i="11" s="1"/>
  <c r="AB328" i="6"/>
  <c r="K332" i="6"/>
  <c r="L332" i="6" s="1"/>
  <c r="K331" i="6"/>
  <c r="L331" i="6" s="1"/>
  <c r="AA330" i="6"/>
  <c r="AF327" i="6"/>
  <c r="AG327" i="6"/>
  <c r="P324" i="11" s="1"/>
  <c r="AM329" i="6"/>
  <c r="AK330" i="6"/>
  <c r="AL330" i="6" s="1"/>
  <c r="AC328" i="6"/>
  <c r="AG328" i="6" s="1"/>
  <c r="P325" i="11" s="1"/>
  <c r="M335" i="6"/>
  <c r="AO335" i="6" s="1"/>
  <c r="AD332" i="6"/>
  <c r="AE332" i="6"/>
  <c r="AE331" i="6"/>
  <c r="AD331" i="6"/>
  <c r="Y333" i="6"/>
  <c r="U333" i="6"/>
  <c r="AJ333" i="6"/>
  <c r="T333" i="6"/>
  <c r="Z333" i="6"/>
  <c r="P333" i="6"/>
  <c r="R333" i="6" s="1"/>
  <c r="AH333" i="6" s="1"/>
  <c r="N333" i="6"/>
  <c r="M334" i="6"/>
  <c r="AO334" i="6" s="1"/>
  <c r="AF329" i="6"/>
  <c r="AI333" i="6"/>
  <c r="F333" i="6"/>
  <c r="H332" i="6"/>
  <c r="H331" i="6"/>
  <c r="AP333" i="6" l="1"/>
  <c r="AP334" i="6"/>
  <c r="Q326" i="11"/>
  <c r="R326" i="11" s="1"/>
  <c r="Q324" i="11"/>
  <c r="R324" i="11" s="1"/>
  <c r="A333" i="6"/>
  <c r="AF328" i="6"/>
  <c r="AC330" i="6"/>
  <c r="AG330" i="6" s="1"/>
  <c r="P327" i="11" s="1"/>
  <c r="AB330" i="6"/>
  <c r="AF330" i="6" s="1"/>
  <c r="K333" i="6"/>
  <c r="L333" i="6" s="1"/>
  <c r="AA331" i="6"/>
  <c r="AA332" i="6"/>
  <c r="AM330" i="6"/>
  <c r="AK332" i="6"/>
  <c r="AM332" i="6" s="1"/>
  <c r="AK331" i="6"/>
  <c r="AM331" i="6" s="1"/>
  <c r="M336" i="6"/>
  <c r="AO336" i="6" s="1"/>
  <c r="Z334" i="6"/>
  <c r="AJ334" i="6"/>
  <c r="T334" i="6"/>
  <c r="U334" i="6"/>
  <c r="Y334" i="6"/>
  <c r="N334" i="6"/>
  <c r="P334" i="6"/>
  <c r="R334" i="6" s="1"/>
  <c r="AH334" i="6" s="1"/>
  <c r="AD333" i="6"/>
  <c r="AE333" i="6"/>
  <c r="U335" i="6"/>
  <c r="AJ335" i="6"/>
  <c r="Y335" i="6"/>
  <c r="Z335" i="6"/>
  <c r="N335" i="6"/>
  <c r="T335" i="6"/>
  <c r="P335" i="6"/>
  <c r="R335" i="6" s="1"/>
  <c r="AH335" i="6" s="1"/>
  <c r="AI335" i="6"/>
  <c r="F335" i="6"/>
  <c r="AI334" i="6"/>
  <c r="F334" i="6"/>
  <c r="H333" i="6"/>
  <c r="AP335" i="6" l="1"/>
  <c r="Q327" i="11"/>
  <c r="R327" i="11" s="1"/>
  <c r="Q325" i="11"/>
  <c r="R325" i="11" s="1"/>
  <c r="A335" i="6"/>
  <c r="A334" i="6"/>
  <c r="AC332" i="6"/>
  <c r="AB331" i="6"/>
  <c r="AC331" i="6"/>
  <c r="AG331" i="6" s="1"/>
  <c r="P328" i="11" s="1"/>
  <c r="K334" i="6"/>
  <c r="L334" i="6" s="1"/>
  <c r="K335" i="6"/>
  <c r="L335" i="6" s="1"/>
  <c r="AK333" i="6"/>
  <c r="AL333" i="6" s="1"/>
  <c r="AB332" i="6"/>
  <c r="AL332" i="6"/>
  <c r="AA333" i="6"/>
  <c r="AL331" i="6"/>
  <c r="M337" i="6"/>
  <c r="AO337" i="6" s="1"/>
  <c r="M338" i="6"/>
  <c r="AO338" i="6" s="1"/>
  <c r="Y336" i="6"/>
  <c r="Z336" i="6"/>
  <c r="T336" i="6"/>
  <c r="P336" i="6"/>
  <c r="R336" i="6" s="1"/>
  <c r="AH336" i="6" s="1"/>
  <c r="AJ336" i="6"/>
  <c r="U336" i="6"/>
  <c r="N336" i="6"/>
  <c r="AE335" i="6"/>
  <c r="AD335" i="6"/>
  <c r="AE334" i="6"/>
  <c r="AD334" i="6"/>
  <c r="H334" i="6"/>
  <c r="AI336" i="6"/>
  <c r="F336" i="6"/>
  <c r="H335" i="6"/>
  <c r="AP336" i="6" l="1"/>
  <c r="AP337" i="6"/>
  <c r="A336" i="6"/>
  <c r="AG332" i="6"/>
  <c r="P329" i="11" s="1"/>
  <c r="AM333" i="6"/>
  <c r="AF331" i="6"/>
  <c r="AF332" i="6"/>
  <c r="K336" i="6"/>
  <c r="L336" i="6" s="1"/>
  <c r="AA335" i="6"/>
  <c r="AB335" i="6" s="1"/>
  <c r="AK334" i="6"/>
  <c r="AM334" i="6" s="1"/>
  <c r="AK335" i="6"/>
  <c r="AM335" i="6" s="1"/>
  <c r="AB333" i="6"/>
  <c r="AF333" i="6" s="1"/>
  <c r="AC333" i="6"/>
  <c r="AG333" i="6" s="1"/>
  <c r="P330" i="11" s="1"/>
  <c r="AA334" i="6"/>
  <c r="AB334" i="6" s="1"/>
  <c r="M339" i="6"/>
  <c r="AO339" i="6" s="1"/>
  <c r="AD336" i="6"/>
  <c r="AE336" i="6"/>
  <c r="T338" i="6"/>
  <c r="N338" i="6"/>
  <c r="U338" i="6"/>
  <c r="Y338" i="6"/>
  <c r="Z338" i="6"/>
  <c r="P338" i="6"/>
  <c r="R338" i="6" s="1"/>
  <c r="AH338" i="6" s="1"/>
  <c r="AJ338" i="6"/>
  <c r="Y337" i="6"/>
  <c r="T337" i="6"/>
  <c r="Z337" i="6"/>
  <c r="U337" i="6"/>
  <c r="AJ337" i="6"/>
  <c r="N337" i="6"/>
  <c r="P337" i="6"/>
  <c r="R337" i="6" s="1"/>
  <c r="AH337" i="6" s="1"/>
  <c r="AI338" i="6"/>
  <c r="F338" i="6"/>
  <c r="AI337" i="6"/>
  <c r="F337" i="6"/>
  <c r="H336" i="6"/>
  <c r="AP338" i="6" l="1"/>
  <c r="Q328" i="11"/>
  <c r="R328" i="11" s="1"/>
  <c r="Q330" i="11"/>
  <c r="R330" i="11" s="1"/>
  <c r="Q329" i="11"/>
  <c r="R329" i="11" s="1"/>
  <c r="A338" i="6"/>
  <c r="A337" i="6"/>
  <c r="AL335" i="6"/>
  <c r="AL334" i="6"/>
  <c r="AC335" i="6"/>
  <c r="K338" i="6"/>
  <c r="L338" i="6" s="1"/>
  <c r="K337" i="6"/>
  <c r="L337" i="6" s="1"/>
  <c r="AA336" i="6"/>
  <c r="AC336" i="6" s="1"/>
  <c r="AK336" i="6"/>
  <c r="AL336" i="6" s="1"/>
  <c r="AC334" i="6"/>
  <c r="AD337" i="6"/>
  <c r="AE337" i="6"/>
  <c r="AD338" i="6"/>
  <c r="AE338" i="6"/>
  <c r="T339" i="6"/>
  <c r="AJ339" i="6"/>
  <c r="Y339" i="6"/>
  <c r="Z339" i="6"/>
  <c r="U339" i="6"/>
  <c r="N339" i="6"/>
  <c r="P339" i="6"/>
  <c r="R339" i="6" s="1"/>
  <c r="AH339" i="6" s="1"/>
  <c r="M341" i="6"/>
  <c r="AO341" i="6" s="1"/>
  <c r="M340" i="6"/>
  <c r="AO340" i="6" s="1"/>
  <c r="H338" i="6"/>
  <c r="H337" i="6"/>
  <c r="AF334" i="6"/>
  <c r="AI339" i="6"/>
  <c r="F339" i="6"/>
  <c r="AF335" i="6"/>
  <c r="AP339" i="6" l="1"/>
  <c r="AP340" i="6"/>
  <c r="Q332" i="11"/>
  <c r="Q331" i="11"/>
  <c r="A339" i="6"/>
  <c r="AG335" i="6"/>
  <c r="AB336" i="6"/>
  <c r="AF336" i="6" s="1"/>
  <c r="AG334" i="6"/>
  <c r="K339" i="6"/>
  <c r="L339" i="6" s="1"/>
  <c r="AA337" i="6"/>
  <c r="AB337" i="6" s="1"/>
  <c r="AK338" i="6"/>
  <c r="AL338" i="6" s="1"/>
  <c r="AM336" i="6"/>
  <c r="AK337" i="6"/>
  <c r="AM337" i="6" s="1"/>
  <c r="AA338" i="6"/>
  <c r="AB338" i="6" s="1"/>
  <c r="U340" i="6"/>
  <c r="Z340" i="6"/>
  <c r="Y340" i="6"/>
  <c r="T340" i="6"/>
  <c r="AJ340" i="6"/>
  <c r="N340" i="6"/>
  <c r="P340" i="6"/>
  <c r="R340" i="6" s="1"/>
  <c r="AH340" i="6" s="1"/>
  <c r="AE339" i="6"/>
  <c r="AD339" i="6"/>
  <c r="M342" i="6"/>
  <c r="AO342" i="6" s="1"/>
  <c r="P341" i="6"/>
  <c r="R341" i="6" s="1"/>
  <c r="AH341" i="6" s="1"/>
  <c r="Z341" i="6"/>
  <c r="U341" i="6"/>
  <c r="T341" i="6"/>
  <c r="N341" i="6"/>
  <c r="Y341" i="6"/>
  <c r="AJ341" i="6"/>
  <c r="AG336" i="6"/>
  <c r="P333" i="11" s="1"/>
  <c r="H339" i="6"/>
  <c r="AI340" i="6"/>
  <c r="F340" i="6"/>
  <c r="AI341" i="6"/>
  <c r="F341" i="6"/>
  <c r="AP341" i="6" l="1"/>
  <c r="Q333" i="11"/>
  <c r="R333" i="11" s="1"/>
  <c r="A340" i="6"/>
  <c r="A341" i="6"/>
  <c r="P331" i="11"/>
  <c r="R331" i="11" s="1"/>
  <c r="P332" i="11"/>
  <c r="R332" i="11" s="1"/>
  <c r="AC338" i="6"/>
  <c r="AM338" i="6"/>
  <c r="K340" i="6"/>
  <c r="L340" i="6" s="1"/>
  <c r="K341" i="6"/>
  <c r="L341" i="6" s="1"/>
  <c r="AA339" i="6"/>
  <c r="AC339" i="6" s="1"/>
  <c r="AC337" i="6"/>
  <c r="AL337" i="6"/>
  <c r="AK339" i="6"/>
  <c r="AL339" i="6" s="1"/>
  <c r="AD340" i="6"/>
  <c r="AE340" i="6"/>
  <c r="M343" i="6"/>
  <c r="AO343" i="6" s="1"/>
  <c r="AD341" i="6"/>
  <c r="AE341" i="6"/>
  <c r="M344" i="6"/>
  <c r="AO344" i="6" s="1"/>
  <c r="Y342" i="6"/>
  <c r="N342" i="6"/>
  <c r="Z342" i="6"/>
  <c r="P342" i="6"/>
  <c r="R342" i="6" s="1"/>
  <c r="AH342" i="6" s="1"/>
  <c r="U342" i="6"/>
  <c r="T342" i="6"/>
  <c r="AJ342" i="6"/>
  <c r="AF338" i="6"/>
  <c r="H340" i="6"/>
  <c r="AF337" i="6"/>
  <c r="AI342" i="6"/>
  <c r="F342" i="6"/>
  <c r="H341" i="6"/>
  <c r="AP343" i="6" l="1"/>
  <c r="AP342" i="6"/>
  <c r="Q335" i="11"/>
  <c r="Q334" i="11"/>
  <c r="A342" i="6"/>
  <c r="AG338" i="6"/>
  <c r="AB339" i="6"/>
  <c r="AG337" i="6"/>
  <c r="P334" i="11" s="1"/>
  <c r="K342" i="6"/>
  <c r="L342" i="6" s="1"/>
  <c r="AK341" i="6"/>
  <c r="AM341" i="6" s="1"/>
  <c r="AK340" i="6"/>
  <c r="AL340" i="6" s="1"/>
  <c r="AM339" i="6"/>
  <c r="AA341" i="6"/>
  <c r="AC341" i="6" s="1"/>
  <c r="AA340" i="6"/>
  <c r="AB340" i="6" s="1"/>
  <c r="M345" i="6"/>
  <c r="AO345" i="6" s="1"/>
  <c r="AJ344" i="6"/>
  <c r="P344" i="6"/>
  <c r="R344" i="6" s="1"/>
  <c r="AH344" i="6" s="1"/>
  <c r="U344" i="6"/>
  <c r="N344" i="6"/>
  <c r="T344" i="6"/>
  <c r="Y344" i="6"/>
  <c r="Z344" i="6"/>
  <c r="Y343" i="6"/>
  <c r="U343" i="6"/>
  <c r="AJ343" i="6"/>
  <c r="Z343" i="6"/>
  <c r="N343" i="6"/>
  <c r="T343" i="6"/>
  <c r="P343" i="6"/>
  <c r="R343" i="6" s="1"/>
  <c r="AH343" i="6" s="1"/>
  <c r="AE342" i="6"/>
  <c r="AD342" i="6"/>
  <c r="AI343" i="6"/>
  <c r="F343" i="6"/>
  <c r="AI344" i="6"/>
  <c r="F344" i="6"/>
  <c r="AG339" i="6"/>
  <c r="P336" i="11" s="1"/>
  <c r="H342" i="6"/>
  <c r="R334" i="11" l="1"/>
  <c r="AP344" i="6"/>
  <c r="A343" i="6"/>
  <c r="A344" i="6"/>
  <c r="P335" i="11"/>
  <c r="R335" i="11" s="1"/>
  <c r="AF339" i="6"/>
  <c r="AL341" i="6"/>
  <c r="AM340" i="6"/>
  <c r="K343" i="6"/>
  <c r="L343" i="6" s="1"/>
  <c r="K344" i="6"/>
  <c r="L344" i="6" s="1"/>
  <c r="AA342" i="6"/>
  <c r="AB342" i="6" s="1"/>
  <c r="AB341" i="6"/>
  <c r="AC340" i="6"/>
  <c r="AG340" i="6" s="1"/>
  <c r="P337" i="11" s="1"/>
  <c r="AK342" i="6"/>
  <c r="AM342" i="6" s="1"/>
  <c r="T345" i="6"/>
  <c r="N345" i="6"/>
  <c r="Y345" i="6"/>
  <c r="U345" i="6"/>
  <c r="Z345" i="6"/>
  <c r="AJ345" i="6"/>
  <c r="P345" i="6"/>
  <c r="R345" i="6" s="1"/>
  <c r="AH345" i="6" s="1"/>
  <c r="M347" i="6"/>
  <c r="AO347" i="6" s="1"/>
  <c r="AE344" i="6"/>
  <c r="AD344" i="6"/>
  <c r="M346" i="6"/>
  <c r="AO346" i="6" s="1"/>
  <c r="AE343" i="6"/>
  <c r="AD343" i="6"/>
  <c r="H343" i="6"/>
  <c r="AI345" i="6"/>
  <c r="F345" i="6"/>
  <c r="AG341" i="6"/>
  <c r="P338" i="11" s="1"/>
  <c r="H344" i="6"/>
  <c r="AF340" i="6"/>
  <c r="AP345" i="6" l="1"/>
  <c r="AP346" i="6"/>
  <c r="Q337" i="11"/>
  <c r="R337" i="11" s="1"/>
  <c r="Q336" i="11"/>
  <c r="R336" i="11" s="1"/>
  <c r="A345" i="6"/>
  <c r="AC342" i="6"/>
  <c r="K345" i="6"/>
  <c r="L345" i="6" s="1"/>
  <c r="AA344" i="6"/>
  <c r="AK343" i="6"/>
  <c r="AL343" i="6" s="1"/>
  <c r="AL342" i="6"/>
  <c r="AF341" i="6"/>
  <c r="AA343" i="6"/>
  <c r="AK344" i="6"/>
  <c r="AL344" i="6" s="1"/>
  <c r="M348" i="6"/>
  <c r="AO348" i="6" s="1"/>
  <c r="T346" i="6"/>
  <c r="Y346" i="6"/>
  <c r="Z346" i="6"/>
  <c r="U346" i="6"/>
  <c r="AJ346" i="6"/>
  <c r="P346" i="6"/>
  <c r="R346" i="6" s="1"/>
  <c r="AH346" i="6" s="1"/>
  <c r="N346" i="6"/>
  <c r="N347" i="6"/>
  <c r="U347" i="6"/>
  <c r="P347" i="6"/>
  <c r="R347" i="6" s="1"/>
  <c r="AH347" i="6" s="1"/>
  <c r="Z347" i="6"/>
  <c r="Y347" i="6"/>
  <c r="AJ347" i="6"/>
  <c r="T347" i="6"/>
  <c r="AE345" i="6"/>
  <c r="AD345" i="6"/>
  <c r="F347" i="6"/>
  <c r="AI347" i="6"/>
  <c r="AF342" i="6"/>
  <c r="H345" i="6"/>
  <c r="AI346" i="6"/>
  <c r="F346" i="6"/>
  <c r="AP347" i="6" l="1"/>
  <c r="Q338" i="11"/>
  <c r="R338" i="11" s="1"/>
  <c r="Q339" i="11"/>
  <c r="A346" i="6"/>
  <c r="A347" i="6"/>
  <c r="AM343" i="6"/>
  <c r="AG342" i="6"/>
  <c r="P339" i="11" s="1"/>
  <c r="AB344" i="6"/>
  <c r="AF344" i="6" s="1"/>
  <c r="AC344" i="6"/>
  <c r="K346" i="6"/>
  <c r="L346" i="6" s="1"/>
  <c r="K347" i="6"/>
  <c r="L347" i="6" s="1"/>
  <c r="AA345" i="6"/>
  <c r="AB343" i="6"/>
  <c r="AM344" i="6"/>
  <c r="AC343" i="6"/>
  <c r="AK345" i="6"/>
  <c r="AL345" i="6" s="1"/>
  <c r="AD346" i="6"/>
  <c r="AE346" i="6"/>
  <c r="U348" i="6"/>
  <c r="P348" i="6"/>
  <c r="R348" i="6" s="1"/>
  <c r="AH348" i="6" s="1"/>
  <c r="Z348" i="6"/>
  <c r="Y348" i="6"/>
  <c r="AJ348" i="6"/>
  <c r="T348" i="6"/>
  <c r="N348" i="6"/>
  <c r="M349" i="6"/>
  <c r="AO349" i="6" s="1"/>
  <c r="AD347" i="6"/>
  <c r="AE347" i="6"/>
  <c r="M350" i="6"/>
  <c r="AO350" i="6" s="1"/>
  <c r="H347" i="6"/>
  <c r="H346" i="6"/>
  <c r="AI348" i="6"/>
  <c r="F348" i="6"/>
  <c r="R339" i="11" l="1"/>
  <c r="AP349" i="6"/>
  <c r="AP348" i="6"/>
  <c r="Q341" i="11"/>
  <c r="A348" i="6"/>
  <c r="AC345" i="6"/>
  <c r="AG345" i="6" s="1"/>
  <c r="P342" i="11" s="1"/>
  <c r="AG344" i="6"/>
  <c r="AB345" i="6"/>
  <c r="AM345" i="6"/>
  <c r="AF343" i="6"/>
  <c r="K348" i="6"/>
  <c r="L348" i="6" s="1"/>
  <c r="AA346" i="6"/>
  <c r="AK347" i="6"/>
  <c r="AL347" i="6" s="1"/>
  <c r="AG343" i="6"/>
  <c r="P340" i="11" s="1"/>
  <c r="AK346" i="6"/>
  <c r="AL346" i="6" s="1"/>
  <c r="AA347" i="6"/>
  <c r="AB347" i="6" s="1"/>
  <c r="U350" i="6"/>
  <c r="T350" i="6"/>
  <c r="AJ350" i="6"/>
  <c r="Z350" i="6"/>
  <c r="Y350" i="6"/>
  <c r="N350" i="6"/>
  <c r="P350" i="6"/>
  <c r="R350" i="6" s="1"/>
  <c r="AH350" i="6" s="1"/>
  <c r="U349" i="6"/>
  <c r="AJ349" i="6"/>
  <c r="N349" i="6"/>
  <c r="T349" i="6"/>
  <c r="P349" i="6"/>
  <c r="R349" i="6" s="1"/>
  <c r="AH349" i="6" s="1"/>
  <c r="Y349" i="6"/>
  <c r="Z349" i="6"/>
  <c r="AD348" i="6"/>
  <c r="AE348" i="6"/>
  <c r="M351" i="6"/>
  <c r="AO351" i="6" s="1"/>
  <c r="H348" i="6"/>
  <c r="AI349" i="6"/>
  <c r="F349" i="6"/>
  <c r="F350" i="6"/>
  <c r="AI350" i="6"/>
  <c r="AP350" i="6" l="1"/>
  <c r="Q340" i="11"/>
  <c r="R340" i="11" s="1"/>
  <c r="A350" i="6"/>
  <c r="A349" i="6"/>
  <c r="P341" i="11"/>
  <c r="R341" i="11" s="1"/>
  <c r="AM347" i="6"/>
  <c r="AF345" i="6"/>
  <c r="AC346" i="6"/>
  <c r="AB346" i="6"/>
  <c r="AF346" i="6" s="1"/>
  <c r="K350" i="6"/>
  <c r="L350" i="6" s="1"/>
  <c r="K349" i="6"/>
  <c r="L349" i="6" s="1"/>
  <c r="AA348" i="6"/>
  <c r="AB348" i="6" s="1"/>
  <c r="AC347" i="6"/>
  <c r="AM346" i="6"/>
  <c r="AK348" i="6"/>
  <c r="AL348" i="6" s="1"/>
  <c r="M353" i="6"/>
  <c r="AO353" i="6" s="1"/>
  <c r="Z351" i="6"/>
  <c r="N351" i="6"/>
  <c r="T351" i="6"/>
  <c r="Y351" i="6"/>
  <c r="U351" i="6"/>
  <c r="AJ351" i="6"/>
  <c r="P351" i="6"/>
  <c r="R351" i="6" s="1"/>
  <c r="AH351" i="6" s="1"/>
  <c r="AE350" i="6"/>
  <c r="AD350" i="6"/>
  <c r="AD349" i="6"/>
  <c r="AE349" i="6"/>
  <c r="M352" i="6"/>
  <c r="AO352" i="6" s="1"/>
  <c r="H350" i="6"/>
  <c r="AI351" i="6"/>
  <c r="F351" i="6"/>
  <c r="AF347" i="6"/>
  <c r="H349" i="6"/>
  <c r="AP351" i="6" l="1"/>
  <c r="AP352" i="6"/>
  <c r="Q344" i="11"/>
  <c r="Q342" i="11"/>
  <c r="R342" i="11" s="1"/>
  <c r="Q343" i="11"/>
  <c r="A351" i="6"/>
  <c r="AG346" i="6"/>
  <c r="AC348" i="6"/>
  <c r="K351" i="6"/>
  <c r="L351" i="6" s="1"/>
  <c r="AK349" i="6"/>
  <c r="AM349" i="6" s="1"/>
  <c r="AA350" i="6"/>
  <c r="AB350" i="6" s="1"/>
  <c r="AG347" i="6"/>
  <c r="AM348" i="6"/>
  <c r="AA349" i="6"/>
  <c r="AC349" i="6" s="1"/>
  <c r="AK350" i="6"/>
  <c r="AM350" i="6" s="1"/>
  <c r="U352" i="6"/>
  <c r="Y352" i="6"/>
  <c r="Z352" i="6"/>
  <c r="T352" i="6"/>
  <c r="N352" i="6"/>
  <c r="AJ352" i="6"/>
  <c r="P352" i="6"/>
  <c r="R352" i="6" s="1"/>
  <c r="AH352" i="6" s="1"/>
  <c r="Y353" i="6"/>
  <c r="AJ353" i="6"/>
  <c r="Z353" i="6"/>
  <c r="N353" i="6"/>
  <c r="P353" i="6"/>
  <c r="R353" i="6" s="1"/>
  <c r="AH353" i="6" s="1"/>
  <c r="U353" i="6"/>
  <c r="T353" i="6"/>
  <c r="M354" i="6"/>
  <c r="AO354" i="6" s="1"/>
  <c r="AE351" i="6"/>
  <c r="AD351" i="6"/>
  <c r="AI352" i="6"/>
  <c r="F352" i="6"/>
  <c r="AI353" i="6"/>
  <c r="F353" i="6"/>
  <c r="AF348" i="6"/>
  <c r="H351" i="6"/>
  <c r="AP353" i="6" l="1"/>
  <c r="Q345" i="11"/>
  <c r="A353" i="6"/>
  <c r="A352" i="6"/>
  <c r="AG348" i="6"/>
  <c r="P345" i="11" s="1"/>
  <c r="P344" i="11"/>
  <c r="R344" i="11" s="1"/>
  <c r="P343" i="11"/>
  <c r="R343" i="11" s="1"/>
  <c r="AL349" i="6"/>
  <c r="K352" i="6"/>
  <c r="L352" i="6" s="1"/>
  <c r="K353" i="6"/>
  <c r="L353" i="6" s="1"/>
  <c r="AK351" i="6"/>
  <c r="AL351" i="6" s="1"/>
  <c r="AC350" i="6"/>
  <c r="AL350" i="6"/>
  <c r="AB349" i="6"/>
  <c r="AA351" i="6"/>
  <c r="AC351" i="6" s="1"/>
  <c r="M356" i="6"/>
  <c r="AO356" i="6" s="1"/>
  <c r="N354" i="6"/>
  <c r="U354" i="6"/>
  <c r="T354" i="6"/>
  <c r="Y354" i="6"/>
  <c r="Z354" i="6"/>
  <c r="P354" i="6"/>
  <c r="R354" i="6" s="1"/>
  <c r="AH354" i="6" s="1"/>
  <c r="AJ354" i="6"/>
  <c r="M355" i="6"/>
  <c r="AO355" i="6" s="1"/>
  <c r="AE353" i="6"/>
  <c r="AD353" i="6"/>
  <c r="AD352" i="6"/>
  <c r="AE352" i="6"/>
  <c r="H353" i="6"/>
  <c r="H352" i="6"/>
  <c r="AG349" i="6"/>
  <c r="P346" i="11" s="1"/>
  <c r="F354" i="6"/>
  <c r="AI354" i="6"/>
  <c r="AF350" i="6"/>
  <c r="R345" i="11" l="1"/>
  <c r="AP355" i="6"/>
  <c r="AP354" i="6"/>
  <c r="Q347" i="11"/>
  <c r="AA353" i="6"/>
  <c r="A354" i="6"/>
  <c r="AM351" i="6"/>
  <c r="AG350" i="6"/>
  <c r="K354" i="6"/>
  <c r="L354" i="6" s="1"/>
  <c r="AK353" i="6"/>
  <c r="AL353" i="6" s="1"/>
  <c r="AK352" i="6"/>
  <c r="AM352" i="6" s="1"/>
  <c r="AB351" i="6"/>
  <c r="AF349" i="6"/>
  <c r="AA352" i="6"/>
  <c r="AE354" i="6"/>
  <c r="AD354" i="6"/>
  <c r="Y356" i="6"/>
  <c r="T356" i="6"/>
  <c r="AJ356" i="6"/>
  <c r="P356" i="6"/>
  <c r="R356" i="6" s="1"/>
  <c r="AH356" i="6" s="1"/>
  <c r="U356" i="6"/>
  <c r="N356" i="6"/>
  <c r="Z356" i="6"/>
  <c r="M357" i="6"/>
  <c r="AO357" i="6" s="1"/>
  <c r="Y355" i="6"/>
  <c r="Z355" i="6"/>
  <c r="U355" i="6"/>
  <c r="T355" i="6"/>
  <c r="P355" i="6"/>
  <c r="R355" i="6" s="1"/>
  <c r="AH355" i="6" s="1"/>
  <c r="AJ355" i="6"/>
  <c r="N355" i="6"/>
  <c r="H354" i="6"/>
  <c r="AG351" i="6"/>
  <c r="P348" i="11" s="1"/>
  <c r="AI355" i="6"/>
  <c r="F355" i="6"/>
  <c r="AI356" i="6"/>
  <c r="F356" i="6"/>
  <c r="AP356" i="6" l="1"/>
  <c r="Q346" i="11"/>
  <c r="R346" i="11" s="1"/>
  <c r="AB353" i="6"/>
  <c r="AF353" i="6" s="1"/>
  <c r="AC353" i="6"/>
  <c r="A355" i="6"/>
  <c r="A356" i="6"/>
  <c r="P347" i="11"/>
  <c r="R347" i="11" s="1"/>
  <c r="AL352" i="6"/>
  <c r="AM353" i="6"/>
  <c r="K355" i="6"/>
  <c r="L355" i="6" s="1"/>
  <c r="K356" i="6"/>
  <c r="L356" i="6" s="1"/>
  <c r="AK354" i="6"/>
  <c r="AL354" i="6" s="1"/>
  <c r="AF351" i="6"/>
  <c r="AA354" i="6"/>
  <c r="AC352" i="6"/>
  <c r="AG352" i="6" s="1"/>
  <c r="P349" i="11" s="1"/>
  <c r="AB352" i="6"/>
  <c r="AF352" i="6" s="1"/>
  <c r="M359" i="6"/>
  <c r="AO359" i="6" s="1"/>
  <c r="M358" i="6"/>
  <c r="AO358" i="6" s="1"/>
  <c r="Z357" i="6"/>
  <c r="Y357" i="6"/>
  <c r="AJ357" i="6"/>
  <c r="N357" i="6"/>
  <c r="T357" i="6"/>
  <c r="U357" i="6"/>
  <c r="P357" i="6"/>
  <c r="R357" i="6" s="1"/>
  <c r="AH357" i="6" s="1"/>
  <c r="AE356" i="6"/>
  <c r="AD356" i="6"/>
  <c r="AE355" i="6"/>
  <c r="AD355" i="6"/>
  <c r="H356" i="6"/>
  <c r="H355" i="6"/>
  <c r="AI357" i="6"/>
  <c r="F357" i="6"/>
  <c r="AP357" i="6" l="1"/>
  <c r="AP358" i="6"/>
  <c r="Q349" i="11"/>
  <c r="R349" i="11" s="1"/>
  <c r="Q348" i="11"/>
  <c r="R348" i="11" s="1"/>
  <c r="Q350" i="11"/>
  <c r="AG353" i="6"/>
  <c r="P350" i="11" s="1"/>
  <c r="A357" i="6"/>
  <c r="AM354" i="6"/>
  <c r="K357" i="6"/>
  <c r="L357" i="6" s="1"/>
  <c r="AA355" i="6"/>
  <c r="AC355" i="6" s="1"/>
  <c r="AK356" i="6"/>
  <c r="AM356" i="6" s="1"/>
  <c r="AB354" i="6"/>
  <c r="AF354" i="6" s="1"/>
  <c r="AC354" i="6"/>
  <c r="AA356" i="6"/>
  <c r="AC356" i="6" s="1"/>
  <c r="AK355" i="6"/>
  <c r="AL355" i="6" s="1"/>
  <c r="AE357" i="6"/>
  <c r="AD357" i="6"/>
  <c r="T358" i="6"/>
  <c r="N358" i="6"/>
  <c r="AJ358" i="6"/>
  <c r="U358" i="6"/>
  <c r="Y358" i="6"/>
  <c r="Z358" i="6"/>
  <c r="P358" i="6"/>
  <c r="R358" i="6" s="1"/>
  <c r="AH358" i="6" s="1"/>
  <c r="M360" i="6"/>
  <c r="AO360" i="6" s="1"/>
  <c r="AJ359" i="6"/>
  <c r="P359" i="6"/>
  <c r="R359" i="6" s="1"/>
  <c r="AH359" i="6" s="1"/>
  <c r="N359" i="6"/>
  <c r="H357" i="6"/>
  <c r="AI358" i="6"/>
  <c r="F358" i="6"/>
  <c r="AI359" i="6"/>
  <c r="F359" i="6"/>
  <c r="R350" i="11" l="1"/>
  <c r="AP359" i="6"/>
  <c r="Q351" i="11"/>
  <c r="A358" i="6"/>
  <c r="A359" i="6"/>
  <c r="AL356" i="6"/>
  <c r="AB355" i="6"/>
  <c r="AF355" i="6" s="1"/>
  <c r="AM355" i="6"/>
  <c r="K359" i="6"/>
  <c r="M362" i="6" s="1"/>
  <c r="AO362" i="6" s="1"/>
  <c r="K358" i="6"/>
  <c r="L358" i="6" s="1"/>
  <c r="AK357" i="6"/>
  <c r="AL357" i="6" s="1"/>
  <c r="AB356" i="6"/>
  <c r="AF356" i="6" s="1"/>
  <c r="AG354" i="6"/>
  <c r="P351" i="11" s="1"/>
  <c r="AA357" i="6"/>
  <c r="AB357" i="6" s="1"/>
  <c r="AJ360" i="6"/>
  <c r="N360" i="6"/>
  <c r="P360" i="6"/>
  <c r="R360" i="6" s="1"/>
  <c r="AH360" i="6" s="1"/>
  <c r="AE359" i="6"/>
  <c r="AD359" i="6"/>
  <c r="M361" i="6"/>
  <c r="AO361" i="6" s="1"/>
  <c r="AE358" i="6"/>
  <c r="AD358" i="6"/>
  <c r="H358" i="6"/>
  <c r="AI362" i="6"/>
  <c r="F362" i="6"/>
  <c r="AG356" i="6"/>
  <c r="P353" i="11" s="1"/>
  <c r="AG355" i="6"/>
  <c r="P352" i="11" s="1"/>
  <c r="AI360" i="6"/>
  <c r="F360" i="6"/>
  <c r="R351" i="11" l="1"/>
  <c r="AP360" i="6"/>
  <c r="AP361" i="6"/>
  <c r="Q353" i="11"/>
  <c r="R353" i="11" s="1"/>
  <c r="Q352" i="11"/>
  <c r="R352" i="11" s="1"/>
  <c r="A362" i="6"/>
  <c r="A360" i="6"/>
  <c r="AJ362" i="6"/>
  <c r="P362" i="6"/>
  <c r="R362" i="6" s="1"/>
  <c r="AH362" i="6" s="1"/>
  <c r="N362" i="6"/>
  <c r="K362" i="6"/>
  <c r="M365" i="6" s="1"/>
  <c r="AO365" i="6" s="1"/>
  <c r="K360" i="6"/>
  <c r="M363" i="6" s="1"/>
  <c r="AO363" i="6" s="1"/>
  <c r="AK358" i="6"/>
  <c r="AM358" i="6" s="1"/>
  <c r="AM357" i="6"/>
  <c r="L359" i="6"/>
  <c r="AC357" i="6"/>
  <c r="AA358" i="6"/>
  <c r="AC358" i="6" s="1"/>
  <c r="AJ361" i="6"/>
  <c r="P361" i="6"/>
  <c r="R361" i="6" s="1"/>
  <c r="AH361" i="6" s="1"/>
  <c r="N361" i="6"/>
  <c r="AE360" i="6"/>
  <c r="AD360" i="6"/>
  <c r="F365" i="6"/>
  <c r="AI365" i="6"/>
  <c r="AF357" i="6"/>
  <c r="AI363" i="6"/>
  <c r="F363" i="6"/>
  <c r="AI361" i="6"/>
  <c r="F361" i="6"/>
  <c r="AP362" i="6" l="1"/>
  <c r="AP364" i="6"/>
  <c r="Q354" i="11"/>
  <c r="A365" i="6"/>
  <c r="A361" i="6"/>
  <c r="A363" i="6"/>
  <c r="AE362" i="6"/>
  <c r="AJ365" i="6"/>
  <c r="P365" i="6"/>
  <c r="R365" i="6" s="1"/>
  <c r="AH365" i="6" s="1"/>
  <c r="AD362" i="6"/>
  <c r="N363" i="6"/>
  <c r="N365" i="6"/>
  <c r="P363" i="6"/>
  <c r="R363" i="6" s="1"/>
  <c r="AH363" i="6" s="1"/>
  <c r="AJ363" i="6"/>
  <c r="AG357" i="6"/>
  <c r="P354" i="11" s="1"/>
  <c r="AL358" i="6"/>
  <c r="L360" i="6"/>
  <c r="K363" i="6"/>
  <c r="M366" i="6" s="1"/>
  <c r="AO366" i="6" s="1"/>
  <c r="K361" i="6"/>
  <c r="M364" i="6" s="1"/>
  <c r="AO364" i="6" s="1"/>
  <c r="K365" i="6"/>
  <c r="M368" i="6" s="1"/>
  <c r="AO368" i="6" s="1"/>
  <c r="AK359" i="6"/>
  <c r="AA359" i="6"/>
  <c r="L362" i="6"/>
  <c r="AB358" i="6"/>
  <c r="AE361" i="6"/>
  <c r="AD361" i="6"/>
  <c r="F364" i="6"/>
  <c r="AI364" i="6"/>
  <c r="AI366" i="6"/>
  <c r="F366" i="6"/>
  <c r="AG358" i="6"/>
  <c r="P355" i="11" s="1"/>
  <c r="AI368" i="6"/>
  <c r="F368" i="6"/>
  <c r="R354" i="11" l="1"/>
  <c r="AP367" i="6"/>
  <c r="AP363" i="6"/>
  <c r="AP365" i="6"/>
  <c r="AA360" i="6"/>
  <c r="AC360" i="6" s="1"/>
  <c r="AG360" i="6" s="1"/>
  <c r="P357" i="11" s="1"/>
  <c r="A368" i="6"/>
  <c r="A366" i="6"/>
  <c r="A364" i="6"/>
  <c r="AE363" i="6"/>
  <c r="AJ366" i="6"/>
  <c r="N364" i="6"/>
  <c r="AJ368" i="6"/>
  <c r="P368" i="6"/>
  <c r="R368" i="6" s="1"/>
  <c r="AH368" i="6" s="1"/>
  <c r="P366" i="6"/>
  <c r="R366" i="6" s="1"/>
  <c r="AH366" i="6" s="1"/>
  <c r="AD365" i="6"/>
  <c r="AE365" i="6"/>
  <c r="N366" i="6"/>
  <c r="N368" i="6"/>
  <c r="P364" i="6"/>
  <c r="R364" i="6" s="1"/>
  <c r="AH364" i="6" s="1"/>
  <c r="AD363" i="6"/>
  <c r="AJ364" i="6"/>
  <c r="AK360" i="6"/>
  <c r="AM360" i="6" s="1"/>
  <c r="L365" i="6"/>
  <c r="L363" i="6"/>
  <c r="L361" i="6"/>
  <c r="K364" i="6"/>
  <c r="M367" i="6" s="1"/>
  <c r="AO367" i="6" s="1"/>
  <c r="K368" i="6"/>
  <c r="M371" i="6" s="1"/>
  <c r="AO371" i="6" s="1"/>
  <c r="K366" i="6"/>
  <c r="M369" i="6" s="1"/>
  <c r="AO369" i="6" s="1"/>
  <c r="AL359" i="6"/>
  <c r="AM359" i="6"/>
  <c r="AK362" i="6"/>
  <c r="AA362" i="6"/>
  <c r="AB359" i="6"/>
  <c r="AC359" i="6"/>
  <c r="AF358" i="6"/>
  <c r="AI371" i="6"/>
  <c r="F371" i="6"/>
  <c r="AI369" i="6"/>
  <c r="F369" i="6"/>
  <c r="F367" i="6"/>
  <c r="AI367" i="6"/>
  <c r="AP368" i="6" l="1"/>
  <c r="AP370" i="6"/>
  <c r="AP366" i="6"/>
  <c r="Q355" i="11"/>
  <c r="R355" i="11" s="1"/>
  <c r="AB360" i="6"/>
  <c r="AF360" i="6" s="1"/>
  <c r="AA365" i="6"/>
  <c r="AK361" i="6"/>
  <c r="AM361" i="6" s="1"/>
  <c r="AA363" i="6"/>
  <c r="AC363" i="6" s="1"/>
  <c r="A367" i="6"/>
  <c r="A369" i="6"/>
  <c r="A371" i="6"/>
  <c r="AD368" i="6"/>
  <c r="AE368" i="6"/>
  <c r="AE366" i="6"/>
  <c r="AD366" i="6"/>
  <c r="N367" i="6"/>
  <c r="P369" i="6"/>
  <c r="R369" i="6" s="1"/>
  <c r="AH369" i="6" s="1"/>
  <c r="AD364" i="6"/>
  <c r="P371" i="6"/>
  <c r="R371" i="6" s="1"/>
  <c r="AH371" i="6" s="1"/>
  <c r="N369" i="6"/>
  <c r="AE364" i="6"/>
  <c r="N371" i="6"/>
  <c r="AL360" i="6"/>
  <c r="P367" i="6"/>
  <c r="R367" i="6" s="1"/>
  <c r="AH367" i="6" s="1"/>
  <c r="AJ369" i="6"/>
  <c r="AJ371" i="6"/>
  <c r="AJ367" i="6"/>
  <c r="AA361" i="6"/>
  <c r="AK363" i="6"/>
  <c r="AM363" i="6" s="1"/>
  <c r="AK365" i="6"/>
  <c r="AL365" i="6" s="1"/>
  <c r="L368" i="6"/>
  <c r="L366" i="6"/>
  <c r="L364" i="6"/>
  <c r="K367" i="6"/>
  <c r="M370" i="6" s="1"/>
  <c r="AO370" i="6" s="1"/>
  <c r="K369" i="6"/>
  <c r="M372" i="6" s="1"/>
  <c r="AO372" i="6" s="1"/>
  <c r="K371" i="6"/>
  <c r="M374" i="6" s="1"/>
  <c r="AO374" i="6" s="1"/>
  <c r="AG359" i="6"/>
  <c r="P356" i="11" s="1"/>
  <c r="AC362" i="6"/>
  <c r="AB362" i="6"/>
  <c r="AF359" i="6"/>
  <c r="AM362" i="6"/>
  <c r="AL362" i="6"/>
  <c r="AI372" i="6"/>
  <c r="F372" i="6"/>
  <c r="AI374" i="6"/>
  <c r="F374" i="6"/>
  <c r="AI370" i="6"/>
  <c r="F370" i="6"/>
  <c r="AP373" i="6" l="1"/>
  <c r="AP371" i="6"/>
  <c r="AP369" i="6"/>
  <c r="Q356" i="11"/>
  <c r="R356" i="11" s="1"/>
  <c r="Q357" i="11"/>
  <c r="R357" i="11" s="1"/>
  <c r="AC365" i="6"/>
  <c r="AG365" i="6" s="1"/>
  <c r="P362" i="11" s="1"/>
  <c r="AG363" i="6"/>
  <c r="P360" i="11" s="1"/>
  <c r="AB365" i="6"/>
  <c r="AB363" i="6"/>
  <c r="AL361" i="6"/>
  <c r="AA364" i="6"/>
  <c r="AC364" i="6" s="1"/>
  <c r="AG364" i="6" s="1"/>
  <c r="P361" i="11" s="1"/>
  <c r="AA366" i="6"/>
  <c r="AB366" i="6" s="1"/>
  <c r="A372" i="6"/>
  <c r="A374" i="6"/>
  <c r="A370" i="6"/>
  <c r="AE369" i="6"/>
  <c r="N372" i="6"/>
  <c r="AD369" i="6"/>
  <c r="AE371" i="6"/>
  <c r="P370" i="6"/>
  <c r="R370" i="6" s="1"/>
  <c r="AH370" i="6" s="1"/>
  <c r="P372" i="6"/>
  <c r="R372" i="6" s="1"/>
  <c r="AH372" i="6" s="1"/>
  <c r="AD367" i="6"/>
  <c r="N374" i="6"/>
  <c r="AE367" i="6"/>
  <c r="AJ374" i="6"/>
  <c r="AD371" i="6"/>
  <c r="AJ370" i="6"/>
  <c r="AJ372" i="6"/>
  <c r="N370" i="6"/>
  <c r="P374" i="6"/>
  <c r="R374" i="6" s="1"/>
  <c r="AH374" i="6" s="1"/>
  <c r="AC361" i="6"/>
  <c r="AG361" i="6" s="1"/>
  <c r="AB361" i="6"/>
  <c r="AF361" i="6" s="1"/>
  <c r="AK366" i="6"/>
  <c r="AM366" i="6" s="1"/>
  <c r="AL363" i="6"/>
  <c r="AA368" i="6"/>
  <c r="AK368" i="6"/>
  <c r="AL368" i="6" s="1"/>
  <c r="AM365" i="6"/>
  <c r="L369" i="6"/>
  <c r="AK364" i="6"/>
  <c r="AM364" i="6" s="1"/>
  <c r="L371" i="6"/>
  <c r="L367" i="6"/>
  <c r="K370" i="6"/>
  <c r="M373" i="6" s="1"/>
  <c r="AO373" i="6" s="1"/>
  <c r="K374" i="6"/>
  <c r="M377" i="6" s="1"/>
  <c r="AO377" i="6" s="1"/>
  <c r="K372" i="6"/>
  <c r="M375" i="6" s="1"/>
  <c r="AO375" i="6" s="1"/>
  <c r="AF362" i="6"/>
  <c r="AG362" i="6"/>
  <c r="P359" i="11" s="1"/>
  <c r="AI373" i="6"/>
  <c r="F373" i="6"/>
  <c r="AI377" i="6"/>
  <c r="F377" i="6"/>
  <c r="AI375" i="6"/>
  <c r="F375" i="6"/>
  <c r="AP374" i="6" l="1"/>
  <c r="AP376" i="6"/>
  <c r="AP372" i="6"/>
  <c r="Q358" i="11"/>
  <c r="Q359" i="11"/>
  <c r="R359" i="11" s="1"/>
  <c r="AC366" i="6"/>
  <c r="AG366" i="6" s="1"/>
  <c r="P363" i="11" s="1"/>
  <c r="AF366" i="6"/>
  <c r="AF363" i="6"/>
  <c r="AF365" i="6"/>
  <c r="AB364" i="6"/>
  <c r="AF364" i="6" s="1"/>
  <c r="AA367" i="6"/>
  <c r="AB367" i="6" s="1"/>
  <c r="AF367" i="6" s="1"/>
  <c r="Q364" i="11" s="1"/>
  <c r="AA371" i="6"/>
  <c r="AB371" i="6" s="1"/>
  <c r="AF371" i="6" s="1"/>
  <c r="AA369" i="6"/>
  <c r="AC369" i="6" s="1"/>
  <c r="AG369" i="6" s="1"/>
  <c r="P366" i="11" s="1"/>
  <c r="A375" i="6"/>
  <c r="A377" i="6"/>
  <c r="A373" i="6"/>
  <c r="AL366" i="6"/>
  <c r="P358" i="11"/>
  <c r="AE370" i="6"/>
  <c r="AD370" i="6"/>
  <c r="P377" i="6"/>
  <c r="R377" i="6" s="1"/>
  <c r="AH377" i="6" s="1"/>
  <c r="N377" i="6"/>
  <c r="AJ377" i="6"/>
  <c r="AK369" i="6"/>
  <c r="AM369" i="6" s="1"/>
  <c r="AD372" i="6"/>
  <c r="AE372" i="6"/>
  <c r="AE374" i="6"/>
  <c r="P373" i="6"/>
  <c r="R373" i="6" s="1"/>
  <c r="AH373" i="6" s="1"/>
  <c r="N373" i="6"/>
  <c r="AD374" i="6"/>
  <c r="N375" i="6"/>
  <c r="AJ373" i="6"/>
  <c r="P375" i="6"/>
  <c r="R375" i="6" s="1"/>
  <c r="AH375" i="6" s="1"/>
  <c r="AJ375" i="6"/>
  <c r="AM368" i="6"/>
  <c r="AL364" i="6"/>
  <c r="AK367" i="6"/>
  <c r="AL367" i="6" s="1"/>
  <c r="AC368" i="6"/>
  <c r="AB368" i="6"/>
  <c r="AK371" i="6"/>
  <c r="AM371" i="6" s="1"/>
  <c r="L374" i="6"/>
  <c r="L372" i="6"/>
  <c r="L370" i="6"/>
  <c r="K377" i="6"/>
  <c r="M380" i="6" s="1"/>
  <c r="AO380" i="6" s="1"/>
  <c r="K373" i="6"/>
  <c r="M376" i="6" s="1"/>
  <c r="AO376" i="6" s="1"/>
  <c r="K375" i="6"/>
  <c r="M378" i="6" s="1"/>
  <c r="AO378" i="6" s="1"/>
  <c r="AI376" i="6"/>
  <c r="F376" i="6"/>
  <c r="AI378" i="6"/>
  <c r="F378" i="6"/>
  <c r="AI380" i="6"/>
  <c r="F380" i="6"/>
  <c r="R358" i="11" l="1"/>
  <c r="AP375" i="6"/>
  <c r="AP379" i="6"/>
  <c r="AP377" i="6"/>
  <c r="Q362" i="11"/>
  <c r="R362" i="11" s="1"/>
  <c r="Q363" i="11"/>
  <c r="R363" i="11" s="1"/>
  <c r="Q368" i="11"/>
  <c r="Q361" i="11"/>
  <c r="R361" i="11" s="1"/>
  <c r="Q360" i="11"/>
  <c r="R360" i="11" s="1"/>
  <c r="AC371" i="6"/>
  <c r="AG371" i="6" s="1"/>
  <c r="P368" i="11" s="1"/>
  <c r="AC367" i="6"/>
  <c r="AG367" i="6" s="1"/>
  <c r="P364" i="11" s="1"/>
  <c r="R364" i="11" s="1"/>
  <c r="AB369" i="6"/>
  <c r="AF369" i="6" s="1"/>
  <c r="AA370" i="6"/>
  <c r="AC370" i="6" s="1"/>
  <c r="AG370" i="6" s="1"/>
  <c r="P367" i="11" s="1"/>
  <c r="AA372" i="6"/>
  <c r="AC372" i="6" s="1"/>
  <c r="AK374" i="6"/>
  <c r="AL374" i="6" s="1"/>
  <c r="A376" i="6"/>
  <c r="A378" i="6"/>
  <c r="A380" i="6"/>
  <c r="AD377" i="6"/>
  <c r="AL369" i="6"/>
  <c r="AE377" i="6"/>
  <c r="P376" i="6"/>
  <c r="R376" i="6" s="1"/>
  <c r="AH376" i="6" s="1"/>
  <c r="AE373" i="6"/>
  <c r="AD373" i="6"/>
  <c r="AE375" i="6"/>
  <c r="P380" i="6"/>
  <c r="R380" i="6" s="1"/>
  <c r="AH380" i="6" s="1"/>
  <c r="N376" i="6"/>
  <c r="AJ380" i="6"/>
  <c r="AD375" i="6"/>
  <c r="N378" i="6"/>
  <c r="AJ378" i="6"/>
  <c r="P378" i="6"/>
  <c r="R378" i="6" s="1"/>
  <c r="AH378" i="6" s="1"/>
  <c r="N380" i="6"/>
  <c r="AJ376" i="6"/>
  <c r="AL371" i="6"/>
  <c r="AM367" i="6"/>
  <c r="AA374" i="6"/>
  <c r="AC374" i="6" s="1"/>
  <c r="AG374" i="6" s="1"/>
  <c r="P371" i="11" s="1"/>
  <c r="AG368" i="6"/>
  <c r="P365" i="11" s="1"/>
  <c r="AK372" i="6"/>
  <c r="AM372" i="6" s="1"/>
  <c r="AF368" i="6"/>
  <c r="AK370" i="6"/>
  <c r="AL370" i="6" s="1"/>
  <c r="L373" i="6"/>
  <c r="K380" i="6"/>
  <c r="M383" i="6" s="1"/>
  <c r="AO383" i="6" s="1"/>
  <c r="K376" i="6"/>
  <c r="M379" i="6" s="1"/>
  <c r="AO379" i="6" s="1"/>
  <c r="K378" i="6"/>
  <c r="M381" i="6" s="1"/>
  <c r="AO381" i="6" s="1"/>
  <c r="L375" i="6"/>
  <c r="L377" i="6"/>
  <c r="AI379" i="6"/>
  <c r="F379" i="6"/>
  <c r="AI381" i="6"/>
  <c r="F381" i="6"/>
  <c r="AI383" i="6"/>
  <c r="F383" i="6"/>
  <c r="R368" i="11" l="1"/>
  <c r="AP380" i="6"/>
  <c r="AP382" i="6"/>
  <c r="AP378" i="6"/>
  <c r="Q365" i="11"/>
  <c r="R365" i="11" s="1"/>
  <c r="Q366" i="11"/>
  <c r="R366" i="11" s="1"/>
  <c r="AG372" i="6"/>
  <c r="P369" i="11" s="1"/>
  <c r="AM374" i="6"/>
  <c r="AB370" i="6"/>
  <c r="AB372" i="6"/>
  <c r="AF372" i="6" s="1"/>
  <c r="A379" i="6"/>
  <c r="A381" i="6"/>
  <c r="A383" i="6"/>
  <c r="AD378" i="6"/>
  <c r="AD376" i="6"/>
  <c r="AE376" i="6"/>
  <c r="AE380" i="6"/>
  <c r="AE378" i="6"/>
  <c r="AJ381" i="6"/>
  <c r="P379" i="6"/>
  <c r="R379" i="6" s="1"/>
  <c r="AH379" i="6" s="1"/>
  <c r="AJ383" i="6"/>
  <c r="N381" i="6"/>
  <c r="AM370" i="6"/>
  <c r="AJ379" i="6"/>
  <c r="AD380" i="6"/>
  <c r="P381" i="6"/>
  <c r="R381" i="6" s="1"/>
  <c r="AH381" i="6" s="1"/>
  <c r="N383" i="6"/>
  <c r="N379" i="6"/>
  <c r="P383" i="6"/>
  <c r="R383" i="6" s="1"/>
  <c r="AH383" i="6" s="1"/>
  <c r="AK373" i="6"/>
  <c r="AM373" i="6" s="1"/>
  <c r="AL372" i="6"/>
  <c r="AA373" i="6"/>
  <c r="AB374" i="6"/>
  <c r="L378" i="6"/>
  <c r="L380" i="6"/>
  <c r="L376" i="6"/>
  <c r="K381" i="6"/>
  <c r="M384" i="6" s="1"/>
  <c r="AO384" i="6" s="1"/>
  <c r="K383" i="6"/>
  <c r="M386" i="6" s="1"/>
  <c r="AO386" i="6" s="1"/>
  <c r="K379" i="6"/>
  <c r="M382" i="6" s="1"/>
  <c r="AO382" i="6" s="1"/>
  <c r="AK375" i="6"/>
  <c r="AA375" i="6"/>
  <c r="AK377" i="6"/>
  <c r="AA377" i="6"/>
  <c r="F386" i="6"/>
  <c r="AI386" i="6"/>
  <c r="AI384" i="6"/>
  <c r="F384" i="6"/>
  <c r="AI382" i="6"/>
  <c r="F382" i="6"/>
  <c r="AP383" i="6" l="1"/>
  <c r="AP381" i="6"/>
  <c r="AP385" i="6"/>
  <c r="Q369" i="11"/>
  <c r="R369" i="11" s="1"/>
  <c r="AF370" i="6"/>
  <c r="AA376" i="6"/>
  <c r="AC376" i="6" s="1"/>
  <c r="AG376" i="6" s="1"/>
  <c r="P373" i="11" s="1"/>
  <c r="AA380" i="6"/>
  <c r="AC380" i="6" s="1"/>
  <c r="AG380" i="6" s="1"/>
  <c r="P377" i="11" s="1"/>
  <c r="AK378" i="6"/>
  <c r="AL378" i="6" s="1"/>
  <c r="A382" i="6"/>
  <c r="A384" i="6"/>
  <c r="A386" i="6"/>
  <c r="AD379" i="6"/>
  <c r="AJ386" i="6"/>
  <c r="AE379" i="6"/>
  <c r="AD381" i="6"/>
  <c r="AE381" i="6"/>
  <c r="P384" i="6"/>
  <c r="R384" i="6" s="1"/>
  <c r="AH384" i="6" s="1"/>
  <c r="AE383" i="6"/>
  <c r="N384" i="6"/>
  <c r="N386" i="6"/>
  <c r="P386" i="6"/>
  <c r="R386" i="6" s="1"/>
  <c r="AH386" i="6" s="1"/>
  <c r="AL373" i="6"/>
  <c r="AD383" i="6"/>
  <c r="P382" i="6"/>
  <c r="R382" i="6" s="1"/>
  <c r="AH382" i="6" s="1"/>
  <c r="N382" i="6"/>
  <c r="AJ382" i="6"/>
  <c r="AJ384" i="6"/>
  <c r="AA378" i="6"/>
  <c r="AB373" i="6"/>
  <c r="AC373" i="6"/>
  <c r="AF374" i="6"/>
  <c r="AK380" i="6"/>
  <c r="AM380" i="6" s="1"/>
  <c r="AK376" i="6"/>
  <c r="AM376" i="6" s="1"/>
  <c r="L383" i="6"/>
  <c r="K382" i="6"/>
  <c r="M385" i="6" s="1"/>
  <c r="AO385" i="6" s="1"/>
  <c r="K386" i="6"/>
  <c r="M389" i="6" s="1"/>
  <c r="AO389" i="6" s="1"/>
  <c r="K384" i="6"/>
  <c r="M387" i="6" s="1"/>
  <c r="AO387" i="6" s="1"/>
  <c r="AC377" i="6"/>
  <c r="AB377" i="6"/>
  <c r="AM375" i="6"/>
  <c r="AL375" i="6"/>
  <c r="AL377" i="6"/>
  <c r="AM377" i="6"/>
  <c r="L379" i="6"/>
  <c r="L381" i="6"/>
  <c r="AB375" i="6"/>
  <c r="AC375" i="6"/>
  <c r="F385" i="6"/>
  <c r="AI385" i="6"/>
  <c r="AI387" i="6"/>
  <c r="F387" i="6"/>
  <c r="AI389" i="6"/>
  <c r="F389" i="6"/>
  <c r="AB380" i="6" l="1"/>
  <c r="AF380" i="6" s="1"/>
  <c r="Q377" i="11" s="1"/>
  <c r="R377" i="11" s="1"/>
  <c r="AP386" i="6"/>
  <c r="AP388" i="6"/>
  <c r="AP384" i="6"/>
  <c r="Q367" i="11"/>
  <c r="R367" i="11" s="1"/>
  <c r="Q371" i="11"/>
  <c r="R371" i="11" s="1"/>
  <c r="AM378" i="6"/>
  <c r="AB376" i="6"/>
  <c r="AF376" i="6" s="1"/>
  <c r="AA383" i="6"/>
  <c r="A387" i="6"/>
  <c r="A385" i="6"/>
  <c r="A389" i="6"/>
  <c r="AD384" i="6"/>
  <c r="AE384" i="6"/>
  <c r="N387" i="6"/>
  <c r="AD382" i="6"/>
  <c r="AD386" i="6"/>
  <c r="AE386" i="6"/>
  <c r="AE382" i="6"/>
  <c r="N389" i="6"/>
  <c r="AJ389" i="6"/>
  <c r="AJ387" i="6"/>
  <c r="P385" i="6"/>
  <c r="R385" i="6" s="1"/>
  <c r="AH385" i="6" s="1"/>
  <c r="P389" i="6"/>
  <c r="R389" i="6" s="1"/>
  <c r="AH389" i="6" s="1"/>
  <c r="N385" i="6"/>
  <c r="AJ385" i="6"/>
  <c r="P387" i="6"/>
  <c r="R387" i="6" s="1"/>
  <c r="AH387" i="6" s="1"/>
  <c r="AC378" i="6"/>
  <c r="AG378" i="6" s="1"/>
  <c r="AL380" i="6"/>
  <c r="AB378" i="6"/>
  <c r="AG373" i="6"/>
  <c r="P370" i="11" s="1"/>
  <c r="AL376" i="6"/>
  <c r="AF373" i="6"/>
  <c r="AK383" i="6"/>
  <c r="AL383" i="6" s="1"/>
  <c r="L382" i="6"/>
  <c r="L384" i="6"/>
  <c r="L386" i="6"/>
  <c r="K387" i="6"/>
  <c r="M390" i="6" s="1"/>
  <c r="AO390" i="6" s="1"/>
  <c r="K385" i="6"/>
  <c r="M388" i="6" s="1"/>
  <c r="AO388" i="6" s="1"/>
  <c r="K389" i="6"/>
  <c r="M392" i="6" s="1"/>
  <c r="AO392" i="6" s="1"/>
  <c r="AG377" i="6"/>
  <c r="P374" i="11" s="1"/>
  <c r="AG375" i="6"/>
  <c r="P372" i="11" s="1"/>
  <c r="AK381" i="6"/>
  <c r="AA381" i="6"/>
  <c r="AF375" i="6"/>
  <c r="AK379" i="6"/>
  <c r="AA379" i="6"/>
  <c r="AF377" i="6"/>
  <c r="AI392" i="6"/>
  <c r="F392" i="6"/>
  <c r="AI390" i="6"/>
  <c r="F390" i="6"/>
  <c r="AI388" i="6"/>
  <c r="F388" i="6"/>
  <c r="AP391" i="6" l="1"/>
  <c r="AP387" i="6"/>
  <c r="AP389" i="6"/>
  <c r="Q374" i="11"/>
  <c r="R374" i="11" s="1"/>
  <c r="Q370" i="11"/>
  <c r="R370" i="11" s="1"/>
  <c r="Q372" i="11"/>
  <c r="R372" i="11" s="1"/>
  <c r="Q373" i="11"/>
  <c r="R373" i="11" s="1"/>
  <c r="AC383" i="6"/>
  <c r="AG383" i="6" s="1"/>
  <c r="P380" i="11" s="1"/>
  <c r="AB383" i="6"/>
  <c r="AA386" i="6"/>
  <c r="AC386" i="6" s="1"/>
  <c r="AK384" i="6"/>
  <c r="AM384" i="6" s="1"/>
  <c r="AA382" i="6"/>
  <c r="AC382" i="6" s="1"/>
  <c r="AG382" i="6" s="1"/>
  <c r="P379" i="11" s="1"/>
  <c r="A390" i="6"/>
  <c r="A392" i="6"/>
  <c r="A388" i="6"/>
  <c r="AM383" i="6"/>
  <c r="P375" i="11"/>
  <c r="AD385" i="6"/>
  <c r="AE385" i="6"/>
  <c r="AJ388" i="6"/>
  <c r="AD389" i="6"/>
  <c r="AJ390" i="6"/>
  <c r="AD387" i="6"/>
  <c r="AE389" i="6"/>
  <c r="N388" i="6"/>
  <c r="N390" i="6"/>
  <c r="AE387" i="6"/>
  <c r="N392" i="6"/>
  <c r="P392" i="6"/>
  <c r="R392" i="6" s="1"/>
  <c r="AH392" i="6" s="1"/>
  <c r="P388" i="6"/>
  <c r="R388" i="6" s="1"/>
  <c r="AH388" i="6" s="1"/>
  <c r="AJ392" i="6"/>
  <c r="P390" i="6"/>
  <c r="R390" i="6" s="1"/>
  <c r="AH390" i="6" s="1"/>
  <c r="AF378" i="6"/>
  <c r="AK382" i="6"/>
  <c r="AM382" i="6" s="1"/>
  <c r="AA384" i="6"/>
  <c r="AK386" i="6"/>
  <c r="AM386" i="6" s="1"/>
  <c r="L389" i="6"/>
  <c r="L387" i="6"/>
  <c r="L385" i="6"/>
  <c r="K390" i="6"/>
  <c r="M393" i="6" s="1"/>
  <c r="AO393" i="6" s="1"/>
  <c r="K388" i="6"/>
  <c r="M391" i="6" s="1"/>
  <c r="AO391" i="6" s="1"/>
  <c r="K392" i="6"/>
  <c r="M395" i="6" s="1"/>
  <c r="AO395" i="6" s="1"/>
  <c r="AL379" i="6"/>
  <c r="AM379" i="6"/>
  <c r="AC379" i="6"/>
  <c r="AB379" i="6"/>
  <c r="AM381" i="6"/>
  <c r="AL381" i="6"/>
  <c r="AC381" i="6"/>
  <c r="AB381" i="6"/>
  <c r="AI391" i="6"/>
  <c r="F391" i="6"/>
  <c r="F395" i="6"/>
  <c r="AI395" i="6"/>
  <c r="AI393" i="6"/>
  <c r="F393" i="6"/>
  <c r="AP394" i="6" l="1"/>
  <c r="AP390" i="6"/>
  <c r="AP392" i="6"/>
  <c r="Q375" i="11"/>
  <c r="R375" i="11" s="1"/>
  <c r="AF383" i="6"/>
  <c r="AL384" i="6"/>
  <c r="AG386" i="6"/>
  <c r="P383" i="11" s="1"/>
  <c r="AB382" i="6"/>
  <c r="AF382" i="6" s="1"/>
  <c r="AB386" i="6"/>
  <c r="AA385" i="6"/>
  <c r="AA387" i="6"/>
  <c r="AC387" i="6" s="1"/>
  <c r="AG387" i="6" s="1"/>
  <c r="P384" i="11" s="1"/>
  <c r="AA389" i="6"/>
  <c r="A393" i="6"/>
  <c r="A391" i="6"/>
  <c r="A395" i="6"/>
  <c r="AE390" i="6"/>
  <c r="N391" i="6"/>
  <c r="AJ395" i="6"/>
  <c r="AE388" i="6"/>
  <c r="AD390" i="6"/>
  <c r="P391" i="6"/>
  <c r="R391" i="6" s="1"/>
  <c r="AH391" i="6" s="1"/>
  <c r="P395" i="6"/>
  <c r="R395" i="6" s="1"/>
  <c r="AH395" i="6" s="1"/>
  <c r="AJ391" i="6"/>
  <c r="AE392" i="6"/>
  <c r="P393" i="6"/>
  <c r="R393" i="6" s="1"/>
  <c r="AH393" i="6" s="1"/>
  <c r="AD392" i="6"/>
  <c r="AJ393" i="6"/>
  <c r="AD388" i="6"/>
  <c r="N393" i="6"/>
  <c r="N395" i="6"/>
  <c r="AL382" i="6"/>
  <c r="AL386" i="6"/>
  <c r="AK385" i="6"/>
  <c r="AM385" i="6" s="1"/>
  <c r="AB384" i="6"/>
  <c r="AC384" i="6"/>
  <c r="AK389" i="6"/>
  <c r="AL389" i="6" s="1"/>
  <c r="L388" i="6"/>
  <c r="AK387" i="6"/>
  <c r="AL387" i="6" s="1"/>
  <c r="K393" i="6"/>
  <c r="M396" i="6" s="1"/>
  <c r="AO396" i="6" s="1"/>
  <c r="K391" i="6"/>
  <c r="M394" i="6" s="1"/>
  <c r="AO394" i="6" s="1"/>
  <c r="K395" i="6"/>
  <c r="M398" i="6" s="1"/>
  <c r="AO398" i="6" s="1"/>
  <c r="AF381" i="6"/>
  <c r="AG379" i="6"/>
  <c r="P376" i="11" s="1"/>
  <c r="AG381" i="6"/>
  <c r="P378" i="11" s="1"/>
  <c r="L392" i="6"/>
  <c r="L390" i="6"/>
  <c r="AF379" i="6"/>
  <c r="F396" i="6"/>
  <c r="AI396" i="6"/>
  <c r="AI398" i="6"/>
  <c r="F398" i="6"/>
  <c r="AI394" i="6"/>
  <c r="F394" i="6"/>
  <c r="AP397" i="6" l="1"/>
  <c r="AP395" i="6"/>
  <c r="AP393" i="6"/>
  <c r="Q378" i="11"/>
  <c r="R378" i="11" s="1"/>
  <c r="Q380" i="11"/>
  <c r="R380" i="11" s="1"/>
  <c r="Q376" i="11"/>
  <c r="R376" i="11" s="1"/>
  <c r="Q379" i="11"/>
  <c r="R379" i="11" s="1"/>
  <c r="AB389" i="6"/>
  <c r="AC385" i="6"/>
  <c r="AB385" i="6"/>
  <c r="AF386" i="6"/>
  <c r="AC389" i="6"/>
  <c r="AB387" i="6"/>
  <c r="AF387" i="6" s="1"/>
  <c r="AA388" i="6"/>
  <c r="A398" i="6"/>
  <c r="A396" i="6"/>
  <c r="A394" i="6"/>
  <c r="AD395" i="6"/>
  <c r="AD391" i="6"/>
  <c r="AE395" i="6"/>
  <c r="AE391" i="6"/>
  <c r="N396" i="6"/>
  <c r="AJ394" i="6"/>
  <c r="AE393" i="6"/>
  <c r="P394" i="6"/>
  <c r="R394" i="6" s="1"/>
  <c r="AH394" i="6" s="1"/>
  <c r="AD393" i="6"/>
  <c r="AJ398" i="6"/>
  <c r="N398" i="6"/>
  <c r="P396" i="6"/>
  <c r="R396" i="6" s="1"/>
  <c r="AH396" i="6" s="1"/>
  <c r="P398" i="6"/>
  <c r="R398" i="6" s="1"/>
  <c r="AH398" i="6" s="1"/>
  <c r="N394" i="6"/>
  <c r="AJ396" i="6"/>
  <c r="AL385" i="6"/>
  <c r="AM387" i="6"/>
  <c r="AM389" i="6"/>
  <c r="AF384" i="6"/>
  <c r="AG384" i="6"/>
  <c r="P381" i="11" s="1"/>
  <c r="AK388" i="6"/>
  <c r="AM388" i="6" s="1"/>
  <c r="L391" i="6"/>
  <c r="K394" i="6"/>
  <c r="M397" i="6" s="1"/>
  <c r="AO397" i="6" s="1"/>
  <c r="K398" i="6"/>
  <c r="M401" i="6" s="1"/>
  <c r="AO401" i="6" s="1"/>
  <c r="K396" i="6"/>
  <c r="M399" i="6" s="1"/>
  <c r="AO399" i="6" s="1"/>
  <c r="AK390" i="6"/>
  <c r="AA390" i="6"/>
  <c r="AK392" i="6"/>
  <c r="AA392" i="6"/>
  <c r="L395" i="6"/>
  <c r="L393" i="6"/>
  <c r="F401" i="6"/>
  <c r="AI401" i="6"/>
  <c r="AI397" i="6"/>
  <c r="F397" i="6"/>
  <c r="AI399" i="6"/>
  <c r="F399" i="6"/>
  <c r="AP400" i="6" l="1"/>
  <c r="AP396" i="6"/>
  <c r="AP398" i="6"/>
  <c r="Q381" i="11"/>
  <c r="R381" i="11" s="1"/>
  <c r="Q384" i="11"/>
  <c r="R384" i="11" s="1"/>
  <c r="Q383" i="11"/>
  <c r="R383" i="11" s="1"/>
  <c r="AF389" i="6"/>
  <c r="AG389" i="6"/>
  <c r="P386" i="11" s="1"/>
  <c r="AG385" i="6"/>
  <c r="P382" i="11" s="1"/>
  <c r="AF385" i="6"/>
  <c r="AC388" i="6"/>
  <c r="AG388" i="6" s="1"/>
  <c r="P385" i="11" s="1"/>
  <c r="AB388" i="6"/>
  <c r="AF388" i="6" s="1"/>
  <c r="A399" i="6"/>
  <c r="A401" i="6"/>
  <c r="A397" i="6"/>
  <c r="AD396" i="6"/>
  <c r="AE396" i="6"/>
  <c r="AK391" i="6"/>
  <c r="AL391" i="6" s="1"/>
  <c r="AJ399" i="6"/>
  <c r="N399" i="6"/>
  <c r="P397" i="6"/>
  <c r="R397" i="6" s="1"/>
  <c r="AH397" i="6" s="1"/>
  <c r="AD394" i="6"/>
  <c r="N401" i="6"/>
  <c r="AE394" i="6"/>
  <c r="P399" i="6"/>
  <c r="R399" i="6" s="1"/>
  <c r="AH399" i="6" s="1"/>
  <c r="AD398" i="6"/>
  <c r="AJ401" i="6"/>
  <c r="AJ397" i="6"/>
  <c r="P401" i="6"/>
  <c r="R401" i="6" s="1"/>
  <c r="AH401" i="6" s="1"/>
  <c r="AE398" i="6"/>
  <c r="N397" i="6"/>
  <c r="AA391" i="6"/>
  <c r="AL388" i="6"/>
  <c r="L394" i="6"/>
  <c r="L396" i="6"/>
  <c r="L398" i="6"/>
  <c r="K399" i="6"/>
  <c r="M402" i="6" s="1"/>
  <c r="AO402" i="6" s="1"/>
  <c r="K397" i="6"/>
  <c r="M400" i="6" s="1"/>
  <c r="AO400" i="6" s="1"/>
  <c r="K401" i="6"/>
  <c r="M404" i="6" s="1"/>
  <c r="AO404" i="6" s="1"/>
  <c r="AL392" i="6"/>
  <c r="AM392" i="6"/>
  <c r="AM390" i="6"/>
  <c r="AL390" i="6"/>
  <c r="AK393" i="6"/>
  <c r="AA393" i="6"/>
  <c r="AB392" i="6"/>
  <c r="AC392" i="6"/>
  <c r="AK395" i="6"/>
  <c r="AA395" i="6"/>
  <c r="AC390" i="6"/>
  <c r="AB390" i="6"/>
  <c r="AI402" i="6"/>
  <c r="F402" i="6"/>
  <c r="AI400" i="6"/>
  <c r="F400" i="6"/>
  <c r="AI404" i="6"/>
  <c r="F404" i="6"/>
  <c r="AP399" i="6" l="1"/>
  <c r="AP401" i="6"/>
  <c r="AP403" i="6"/>
  <c r="Q386" i="11"/>
  <c r="R386" i="11" s="1"/>
  <c r="Q382" i="11"/>
  <c r="R382" i="11" s="1"/>
  <c r="Q385" i="11"/>
  <c r="R385" i="11" s="1"/>
  <c r="AK396" i="6"/>
  <c r="AL396" i="6" s="1"/>
  <c r="AA394" i="6"/>
  <c r="AK398" i="6"/>
  <c r="AL398" i="6" s="1"/>
  <c r="AK394" i="6"/>
  <c r="AL394" i="6" s="1"/>
  <c r="A404" i="6"/>
  <c r="A402" i="6"/>
  <c r="A400" i="6"/>
  <c r="AM391" i="6"/>
  <c r="AE397" i="6"/>
  <c r="AE399" i="6"/>
  <c r="AD397" i="6"/>
  <c r="N400" i="6"/>
  <c r="AD401" i="6"/>
  <c r="AD399" i="6"/>
  <c r="N404" i="6"/>
  <c r="AJ400" i="6"/>
  <c r="AE401" i="6"/>
  <c r="P400" i="6"/>
  <c r="R400" i="6" s="1"/>
  <c r="AH400" i="6" s="1"/>
  <c r="AJ404" i="6"/>
  <c r="N402" i="6"/>
  <c r="P402" i="6"/>
  <c r="R402" i="6" s="1"/>
  <c r="AH402" i="6" s="1"/>
  <c r="P404" i="6"/>
  <c r="R404" i="6" s="1"/>
  <c r="AH404" i="6" s="1"/>
  <c r="AJ402" i="6"/>
  <c r="AB391" i="6"/>
  <c r="AC391" i="6"/>
  <c r="AG391" i="6" s="1"/>
  <c r="P388" i="11" s="1"/>
  <c r="AA398" i="6"/>
  <c r="AC398" i="6" s="1"/>
  <c r="AA396" i="6"/>
  <c r="AB396" i="6" s="1"/>
  <c r="L397" i="6"/>
  <c r="K402" i="6"/>
  <c r="M405" i="6" s="1"/>
  <c r="AO405" i="6" s="1"/>
  <c r="K400" i="6"/>
  <c r="M403" i="6" s="1"/>
  <c r="AO403" i="6" s="1"/>
  <c r="K404" i="6"/>
  <c r="M407" i="6" s="1"/>
  <c r="AO407" i="6" s="1"/>
  <c r="AC393" i="6"/>
  <c r="AB393" i="6"/>
  <c r="AF390" i="6"/>
  <c r="AM395" i="6"/>
  <c r="AL395" i="6"/>
  <c r="AG392" i="6"/>
  <c r="P389" i="11" s="1"/>
  <c r="AG390" i="6"/>
  <c r="P387" i="11" s="1"/>
  <c r="AF392" i="6"/>
  <c r="AL393" i="6"/>
  <c r="AM393" i="6"/>
  <c r="L401" i="6"/>
  <c r="L399" i="6"/>
  <c r="AB395" i="6"/>
  <c r="AC395" i="6"/>
  <c r="AI407" i="6"/>
  <c r="F407" i="6"/>
  <c r="AI405" i="6"/>
  <c r="F405" i="6"/>
  <c r="F403" i="6"/>
  <c r="AI403" i="6"/>
  <c r="AP404" i="6" l="1"/>
  <c r="AP406" i="6"/>
  <c r="AP402" i="6"/>
  <c r="AM398" i="6"/>
  <c r="Q389" i="11"/>
  <c r="R389" i="11" s="1"/>
  <c r="Q387" i="11"/>
  <c r="R387" i="11" s="1"/>
  <c r="AB394" i="6"/>
  <c r="AM396" i="6"/>
  <c r="AM394" i="6"/>
  <c r="AC394" i="6"/>
  <c r="AA397" i="6"/>
  <c r="AB397" i="6" s="1"/>
  <c r="AF397" i="6" s="1"/>
  <c r="A403" i="6"/>
  <c r="A405" i="6"/>
  <c r="A407" i="6"/>
  <c r="P407" i="6"/>
  <c r="R407" i="6" s="1"/>
  <c r="AH407" i="6" s="1"/>
  <c r="N407" i="6"/>
  <c r="AJ407" i="6"/>
  <c r="AD404" i="6"/>
  <c r="AE400" i="6"/>
  <c r="AD400" i="6"/>
  <c r="P403" i="6"/>
  <c r="R403" i="6" s="1"/>
  <c r="AH403" i="6" s="1"/>
  <c r="AD402" i="6"/>
  <c r="AE404" i="6"/>
  <c r="AJ405" i="6"/>
  <c r="P405" i="6"/>
  <c r="R405" i="6" s="1"/>
  <c r="AH405" i="6" s="1"/>
  <c r="N403" i="6"/>
  <c r="AJ403" i="6"/>
  <c r="AE402" i="6"/>
  <c r="N405" i="6"/>
  <c r="AF391" i="6"/>
  <c r="AG398" i="6"/>
  <c r="P395" i="11" s="1"/>
  <c r="AF396" i="6"/>
  <c r="AB398" i="6"/>
  <c r="AC396" i="6"/>
  <c r="AK397" i="6"/>
  <c r="AL397" i="6" s="1"/>
  <c r="L404" i="6"/>
  <c r="L400" i="6"/>
  <c r="L402" i="6"/>
  <c r="K407" i="6"/>
  <c r="M410" i="6" s="1"/>
  <c r="AO410" i="6" s="1"/>
  <c r="K405" i="6"/>
  <c r="M408" i="6" s="1"/>
  <c r="AO408" i="6" s="1"/>
  <c r="K403" i="6"/>
  <c r="M406" i="6" s="1"/>
  <c r="AO406" i="6" s="1"/>
  <c r="AK399" i="6"/>
  <c r="AA399" i="6"/>
  <c r="AF395" i="6"/>
  <c r="AK401" i="6"/>
  <c r="AA401" i="6"/>
  <c r="AF393" i="6"/>
  <c r="AG393" i="6"/>
  <c r="P390" i="11" s="1"/>
  <c r="AG395" i="6"/>
  <c r="P392" i="11" s="1"/>
  <c r="AI410" i="6"/>
  <c r="F410" i="6"/>
  <c r="AI406" i="6"/>
  <c r="F406" i="6"/>
  <c r="AI408" i="6"/>
  <c r="F408" i="6"/>
  <c r="AP405" i="6" l="1"/>
  <c r="AP407" i="6"/>
  <c r="AP409" i="6"/>
  <c r="Q388" i="11"/>
  <c r="R388" i="11" s="1"/>
  <c r="Q390" i="11"/>
  <c r="R390" i="11" s="1"/>
  <c r="Q392" i="11"/>
  <c r="R392" i="11" s="1"/>
  <c r="Q393" i="11"/>
  <c r="Q394" i="11"/>
  <c r="AF394" i="6"/>
  <c r="AC397" i="6"/>
  <c r="AG397" i="6" s="1"/>
  <c r="P394" i="11" s="1"/>
  <c r="AG394" i="6"/>
  <c r="P391" i="11" s="1"/>
  <c r="AA402" i="6"/>
  <c r="AK400" i="6"/>
  <c r="AL400" i="6" s="1"/>
  <c r="AK404" i="6"/>
  <c r="AM404" i="6" s="1"/>
  <c r="A406" i="6"/>
  <c r="A408" i="6"/>
  <c r="A410" i="6"/>
  <c r="AD407" i="6"/>
  <c r="P408" i="6"/>
  <c r="R408" i="6" s="1"/>
  <c r="AH408" i="6" s="1"/>
  <c r="AJ408" i="6"/>
  <c r="AE407" i="6"/>
  <c r="AE405" i="6"/>
  <c r="AJ406" i="6"/>
  <c r="AE403" i="6"/>
  <c r="N406" i="6"/>
  <c r="AD403" i="6"/>
  <c r="P406" i="6"/>
  <c r="R406" i="6" s="1"/>
  <c r="AH406" i="6" s="1"/>
  <c r="AD405" i="6"/>
  <c r="N408" i="6"/>
  <c r="N410" i="6"/>
  <c r="P410" i="6"/>
  <c r="R410" i="6" s="1"/>
  <c r="AH410" i="6" s="1"/>
  <c r="AJ410" i="6"/>
  <c r="AG396" i="6"/>
  <c r="P393" i="11" s="1"/>
  <c r="AM397" i="6"/>
  <c r="AA404" i="6"/>
  <c r="AC404" i="6" s="1"/>
  <c r="AF398" i="6"/>
  <c r="AK402" i="6"/>
  <c r="AL402" i="6" s="1"/>
  <c r="L405" i="6"/>
  <c r="AA400" i="6"/>
  <c r="AB400" i="6" s="1"/>
  <c r="AF400" i="6" s="1"/>
  <c r="L403" i="6"/>
  <c r="L407" i="6"/>
  <c r="K410" i="6"/>
  <c r="M413" i="6" s="1"/>
  <c r="AO413" i="6" s="1"/>
  <c r="K406" i="6"/>
  <c r="M409" i="6" s="1"/>
  <c r="AO409" i="6" s="1"/>
  <c r="K408" i="6"/>
  <c r="M411" i="6" s="1"/>
  <c r="AO411" i="6" s="1"/>
  <c r="AM401" i="6"/>
  <c r="AL401" i="6"/>
  <c r="AM399" i="6"/>
  <c r="AL399" i="6"/>
  <c r="AB401" i="6"/>
  <c r="AC401" i="6"/>
  <c r="AB399" i="6"/>
  <c r="AC399" i="6"/>
  <c r="AI411" i="6"/>
  <c r="F411" i="6"/>
  <c r="AI413" i="6"/>
  <c r="F413" i="6"/>
  <c r="AI409" i="6"/>
  <c r="F409" i="6"/>
  <c r="R393" i="11" l="1"/>
  <c r="R394" i="11"/>
  <c r="AP410" i="6"/>
  <c r="AP408" i="6"/>
  <c r="AP412" i="6"/>
  <c r="Q391" i="11"/>
  <c r="R391" i="11" s="1"/>
  <c r="Q395" i="11"/>
  <c r="R395" i="11" s="1"/>
  <c r="Q397" i="11"/>
  <c r="AC402" i="6"/>
  <c r="AB402" i="6"/>
  <c r="AF402" i="6" s="1"/>
  <c r="AM400" i="6"/>
  <c r="AL404" i="6"/>
  <c r="AA407" i="6"/>
  <c r="AA405" i="6"/>
  <c r="AB405" i="6" s="1"/>
  <c r="AF405" i="6" s="1"/>
  <c r="AA403" i="6"/>
  <c r="A413" i="6"/>
  <c r="A409" i="6"/>
  <c r="A411" i="6"/>
  <c r="AE408" i="6"/>
  <c r="AD406" i="6"/>
  <c r="AD408" i="6"/>
  <c r="N409" i="6"/>
  <c r="P409" i="6"/>
  <c r="R409" i="6" s="1"/>
  <c r="AH409" i="6" s="1"/>
  <c r="AD410" i="6"/>
  <c r="N413" i="6"/>
  <c r="P411" i="6"/>
  <c r="R411" i="6" s="1"/>
  <c r="AH411" i="6" s="1"/>
  <c r="AE406" i="6"/>
  <c r="AJ409" i="6"/>
  <c r="AE410" i="6"/>
  <c r="P413" i="6"/>
  <c r="R413" i="6" s="1"/>
  <c r="AH413" i="6" s="1"/>
  <c r="AJ413" i="6"/>
  <c r="AJ411" i="6"/>
  <c r="N411" i="6"/>
  <c r="AG404" i="6"/>
  <c r="P401" i="11" s="1"/>
  <c r="AB404" i="6"/>
  <c r="AM402" i="6"/>
  <c r="AK405" i="6"/>
  <c r="AL405" i="6" s="1"/>
  <c r="L408" i="6"/>
  <c r="AK407" i="6"/>
  <c r="AM407" i="6" s="1"/>
  <c r="AC400" i="6"/>
  <c r="L410" i="6"/>
  <c r="AK403" i="6"/>
  <c r="AL403" i="6" s="1"/>
  <c r="L406" i="6"/>
  <c r="K413" i="6"/>
  <c r="M416" i="6" s="1"/>
  <c r="AO416" i="6" s="1"/>
  <c r="K409" i="6"/>
  <c r="M412" i="6" s="1"/>
  <c r="AO412" i="6" s="1"/>
  <c r="K411" i="6"/>
  <c r="M414" i="6" s="1"/>
  <c r="AO414" i="6" s="1"/>
  <c r="AG401" i="6"/>
  <c r="P398" i="11" s="1"/>
  <c r="AF399" i="6"/>
  <c r="AF401" i="6"/>
  <c r="AG399" i="6"/>
  <c r="P396" i="11" s="1"/>
  <c r="AI412" i="6"/>
  <c r="F412" i="6"/>
  <c r="AI414" i="6"/>
  <c r="F414" i="6"/>
  <c r="AI416" i="6"/>
  <c r="F416" i="6"/>
  <c r="AP411" i="6" l="1"/>
  <c r="AP415" i="6"/>
  <c r="AP413" i="6"/>
  <c r="Q402" i="11"/>
  <c r="Q398" i="11"/>
  <c r="R398" i="11" s="1"/>
  <c r="Q399" i="11"/>
  <c r="Q396" i="11"/>
  <c r="R396" i="11" s="1"/>
  <c r="AG402" i="6"/>
  <c r="P399" i="11" s="1"/>
  <c r="AB403" i="6"/>
  <c r="AL407" i="6"/>
  <c r="AC403" i="6"/>
  <c r="AG403" i="6" s="1"/>
  <c r="P400" i="11" s="1"/>
  <c r="AB407" i="6"/>
  <c r="AF407" i="6" s="1"/>
  <c r="AC407" i="6"/>
  <c r="AG407" i="6" s="1"/>
  <c r="P404" i="11" s="1"/>
  <c r="AC405" i="6"/>
  <c r="AA410" i="6"/>
  <c r="AC410" i="6" s="1"/>
  <c r="AG410" i="6" s="1"/>
  <c r="P407" i="11" s="1"/>
  <c r="AA406" i="6"/>
  <c r="AC406" i="6" s="1"/>
  <c r="AG406" i="6" s="1"/>
  <c r="P403" i="11" s="1"/>
  <c r="AA408" i="6"/>
  <c r="AB408" i="6" s="1"/>
  <c r="A414" i="6"/>
  <c r="A412" i="6"/>
  <c r="A416" i="6"/>
  <c r="AE409" i="6"/>
  <c r="AD409" i="6"/>
  <c r="AE411" i="6"/>
  <c r="P416" i="6"/>
  <c r="R416" i="6" s="1"/>
  <c r="AH416" i="6" s="1"/>
  <c r="AD411" i="6"/>
  <c r="AD413" i="6"/>
  <c r="AE413" i="6"/>
  <c r="AJ416" i="6"/>
  <c r="N416" i="6"/>
  <c r="N414" i="6"/>
  <c r="AF404" i="6"/>
  <c r="AJ414" i="6"/>
  <c r="P414" i="6"/>
  <c r="R414" i="6" s="1"/>
  <c r="AH414" i="6" s="1"/>
  <c r="AJ412" i="6"/>
  <c r="N412" i="6"/>
  <c r="P412" i="6"/>
  <c r="R412" i="6" s="1"/>
  <c r="AH412" i="6" s="1"/>
  <c r="AM403" i="6"/>
  <c r="AM405" i="6"/>
  <c r="AK408" i="6"/>
  <c r="AL408" i="6" s="1"/>
  <c r="AG400" i="6"/>
  <c r="P397" i="11" s="1"/>
  <c r="R397" i="11" s="1"/>
  <c r="AK410" i="6"/>
  <c r="AM410" i="6" s="1"/>
  <c r="AK406" i="6"/>
  <c r="AM406" i="6" s="1"/>
  <c r="L409" i="6"/>
  <c r="K412" i="6"/>
  <c r="M415" i="6" s="1"/>
  <c r="AO415" i="6" s="1"/>
  <c r="K416" i="6"/>
  <c r="M419" i="6" s="1"/>
  <c r="AO419" i="6" s="1"/>
  <c r="K414" i="6"/>
  <c r="M417" i="6" s="1"/>
  <c r="AO417" i="6" s="1"/>
  <c r="L411" i="6"/>
  <c r="L413" i="6"/>
  <c r="AI419" i="6"/>
  <c r="F419" i="6"/>
  <c r="AI415" i="6"/>
  <c r="F415" i="6"/>
  <c r="AI417" i="6"/>
  <c r="F417" i="6"/>
  <c r="R399" i="11" l="1"/>
  <c r="AP416" i="6"/>
  <c r="AP418" i="6"/>
  <c r="AP414" i="6"/>
  <c r="Q401" i="11"/>
  <c r="R401" i="11" s="1"/>
  <c r="Q404" i="11"/>
  <c r="R404" i="11" s="1"/>
  <c r="AB406" i="6"/>
  <c r="AG405" i="6"/>
  <c r="AF403" i="6"/>
  <c r="AF408" i="6"/>
  <c r="AB410" i="6"/>
  <c r="AC408" i="6"/>
  <c r="AA409" i="6"/>
  <c r="A419" i="6"/>
  <c r="A417" i="6"/>
  <c r="A415" i="6"/>
  <c r="AD416" i="6"/>
  <c r="N419" i="6"/>
  <c r="AE416" i="6"/>
  <c r="AJ415" i="6"/>
  <c r="AJ419" i="6"/>
  <c r="P419" i="6"/>
  <c r="R419" i="6" s="1"/>
  <c r="AH419" i="6" s="1"/>
  <c r="AD414" i="6"/>
  <c r="AE414" i="6"/>
  <c r="N417" i="6"/>
  <c r="N415" i="6"/>
  <c r="P417" i="6"/>
  <c r="R417" i="6" s="1"/>
  <c r="AH417" i="6" s="1"/>
  <c r="P415" i="6"/>
  <c r="R415" i="6" s="1"/>
  <c r="AH415" i="6" s="1"/>
  <c r="AD412" i="6"/>
  <c r="AK409" i="6"/>
  <c r="AL409" i="6" s="1"/>
  <c r="AE412" i="6"/>
  <c r="AJ417" i="6"/>
  <c r="AL410" i="6"/>
  <c r="AM408" i="6"/>
  <c r="AL406" i="6"/>
  <c r="L416" i="6"/>
  <c r="K415" i="6"/>
  <c r="M418" i="6" s="1"/>
  <c r="AO418" i="6" s="1"/>
  <c r="K419" i="6"/>
  <c r="M422" i="6" s="1"/>
  <c r="AO422" i="6" s="1"/>
  <c r="K417" i="6"/>
  <c r="M420" i="6" s="1"/>
  <c r="AO420" i="6" s="1"/>
  <c r="AK411" i="6"/>
  <c r="AA411" i="6"/>
  <c r="L414" i="6"/>
  <c r="L412" i="6"/>
  <c r="AK413" i="6"/>
  <c r="AA413" i="6"/>
  <c r="AI422" i="6"/>
  <c r="F422" i="6"/>
  <c r="F420" i="6"/>
  <c r="AI420" i="6"/>
  <c r="AI418" i="6"/>
  <c r="F418" i="6"/>
  <c r="AP419" i="6" l="1"/>
  <c r="AP417" i="6"/>
  <c r="AP421" i="6"/>
  <c r="Q400" i="11"/>
  <c r="R400" i="11" s="1"/>
  <c r="Q405" i="11"/>
  <c r="P402" i="11"/>
  <c r="R402" i="11" s="1"/>
  <c r="AF406" i="6"/>
  <c r="AF410" i="6"/>
  <c r="AG408" i="6"/>
  <c r="P405" i="11" s="1"/>
  <c r="AC409" i="6"/>
  <c r="AB409" i="6"/>
  <c r="AF409" i="6" s="1"/>
  <c r="AA416" i="6"/>
  <c r="AC416" i="6" s="1"/>
  <c r="AG416" i="6" s="1"/>
  <c r="P413" i="11" s="1"/>
  <c r="A420" i="6"/>
  <c r="A418" i="6"/>
  <c r="A422" i="6"/>
  <c r="AK416" i="6"/>
  <c r="AM416" i="6" s="1"/>
  <c r="N418" i="6"/>
  <c r="AJ418" i="6"/>
  <c r="AD419" i="6"/>
  <c r="N422" i="6"/>
  <c r="P418" i="6"/>
  <c r="R418" i="6" s="1"/>
  <c r="AH418" i="6" s="1"/>
  <c r="AE419" i="6"/>
  <c r="AM409" i="6"/>
  <c r="AE417" i="6"/>
  <c r="P422" i="6"/>
  <c r="R422" i="6" s="1"/>
  <c r="AH422" i="6" s="1"/>
  <c r="AJ420" i="6"/>
  <c r="AD417" i="6"/>
  <c r="AD415" i="6"/>
  <c r="N420" i="6"/>
  <c r="AE415" i="6"/>
  <c r="AJ422" i="6"/>
  <c r="P420" i="6"/>
  <c r="R420" i="6" s="1"/>
  <c r="AH420" i="6" s="1"/>
  <c r="L417" i="6"/>
  <c r="L415" i="6"/>
  <c r="L419" i="6"/>
  <c r="K422" i="6"/>
  <c r="M425" i="6" s="1"/>
  <c r="AO425" i="6" s="1"/>
  <c r="K420" i="6"/>
  <c r="M423" i="6" s="1"/>
  <c r="AO423" i="6" s="1"/>
  <c r="K418" i="6"/>
  <c r="M421" i="6" s="1"/>
  <c r="AO421" i="6" s="1"/>
  <c r="AB413" i="6"/>
  <c r="AC413" i="6"/>
  <c r="AL413" i="6"/>
  <c r="AM413" i="6"/>
  <c r="AK412" i="6"/>
  <c r="AA412" i="6"/>
  <c r="AM411" i="6"/>
  <c r="AL411" i="6"/>
  <c r="AK414" i="6"/>
  <c r="AA414" i="6"/>
  <c r="AC411" i="6"/>
  <c r="AB411" i="6"/>
  <c r="AI421" i="6"/>
  <c r="F421" i="6"/>
  <c r="AI423" i="6"/>
  <c r="F423" i="6"/>
  <c r="AI425" i="6"/>
  <c r="F425" i="6"/>
  <c r="R405" i="11" l="1"/>
  <c r="AP420" i="6"/>
  <c r="AP422" i="6"/>
  <c r="AP424" i="6"/>
  <c r="Q407" i="11"/>
  <c r="R407" i="11" s="1"/>
  <c r="Q406" i="11"/>
  <c r="Q403" i="11"/>
  <c r="R403" i="11" s="1"/>
  <c r="AB416" i="6"/>
  <c r="AF416" i="6" s="1"/>
  <c r="AG409" i="6"/>
  <c r="P406" i="11" s="1"/>
  <c r="AK417" i="6"/>
  <c r="AL417" i="6" s="1"/>
  <c r="AA419" i="6"/>
  <c r="AC419" i="6" s="1"/>
  <c r="A421" i="6"/>
  <c r="A423" i="6"/>
  <c r="A425" i="6"/>
  <c r="AE422" i="6"/>
  <c r="AL416" i="6"/>
  <c r="AK415" i="6"/>
  <c r="AM415" i="6" s="1"/>
  <c r="AE418" i="6"/>
  <c r="AD418" i="6"/>
  <c r="AE420" i="6"/>
  <c r="AD422" i="6"/>
  <c r="N421" i="6"/>
  <c r="N425" i="6"/>
  <c r="P421" i="6"/>
  <c r="R421" i="6" s="1"/>
  <c r="AH421" i="6" s="1"/>
  <c r="P425" i="6"/>
  <c r="R425" i="6" s="1"/>
  <c r="AH425" i="6" s="1"/>
  <c r="AD420" i="6"/>
  <c r="N423" i="6"/>
  <c r="AJ421" i="6"/>
  <c r="P423" i="6"/>
  <c r="R423" i="6" s="1"/>
  <c r="AH423" i="6" s="1"/>
  <c r="AJ425" i="6"/>
  <c r="AJ423" i="6"/>
  <c r="AA415" i="6"/>
  <c r="AB415" i="6" s="1"/>
  <c r="AF415" i="6" s="1"/>
  <c r="AA417" i="6"/>
  <c r="AK419" i="6"/>
  <c r="AM419" i="6" s="1"/>
  <c r="L420" i="6"/>
  <c r="K423" i="6"/>
  <c r="M426" i="6" s="1"/>
  <c r="AO426" i="6" s="1"/>
  <c r="K425" i="6"/>
  <c r="M428" i="6" s="1"/>
  <c r="AO428" i="6" s="1"/>
  <c r="K421" i="6"/>
  <c r="M424" i="6" s="1"/>
  <c r="AO424" i="6" s="1"/>
  <c r="AC412" i="6"/>
  <c r="AB412" i="6"/>
  <c r="AG411" i="6"/>
  <c r="P408" i="11" s="1"/>
  <c r="AM414" i="6"/>
  <c r="AL414" i="6"/>
  <c r="AL412" i="6"/>
  <c r="AM412" i="6"/>
  <c r="L418" i="6"/>
  <c r="L422" i="6"/>
  <c r="AF411" i="6"/>
  <c r="AF413" i="6"/>
  <c r="AC414" i="6"/>
  <c r="AB414" i="6"/>
  <c r="AG413" i="6"/>
  <c r="P410" i="11" s="1"/>
  <c r="AI428" i="6"/>
  <c r="F428" i="6"/>
  <c r="AI424" i="6"/>
  <c r="F424" i="6"/>
  <c r="F426" i="6"/>
  <c r="AI426" i="6"/>
  <c r="R406" i="11" l="1"/>
  <c r="AP425" i="6"/>
  <c r="AP423" i="6"/>
  <c r="AP427" i="6"/>
  <c r="Q412" i="11"/>
  <c r="Q413" i="11"/>
  <c r="R413" i="11" s="1"/>
  <c r="Q410" i="11"/>
  <c r="R410" i="11" s="1"/>
  <c r="Q408" i="11"/>
  <c r="R408" i="11" s="1"/>
  <c r="AM417" i="6"/>
  <c r="AG419" i="6"/>
  <c r="P416" i="11" s="1"/>
  <c r="AB419" i="6"/>
  <c r="AF419" i="6" s="1"/>
  <c r="AA420" i="6"/>
  <c r="A424" i="6"/>
  <c r="A426" i="6"/>
  <c r="A428" i="6"/>
  <c r="AL415" i="6"/>
  <c r="AD425" i="6"/>
  <c r="AD421" i="6"/>
  <c r="AJ426" i="6"/>
  <c r="N426" i="6"/>
  <c r="AE425" i="6"/>
  <c r="P424" i="6"/>
  <c r="R424" i="6" s="1"/>
  <c r="AH424" i="6" s="1"/>
  <c r="AD423" i="6"/>
  <c r="AJ428" i="6"/>
  <c r="N424" i="6"/>
  <c r="P428" i="6"/>
  <c r="R428" i="6" s="1"/>
  <c r="AH428" i="6" s="1"/>
  <c r="AJ424" i="6"/>
  <c r="AE423" i="6"/>
  <c r="AE421" i="6"/>
  <c r="P426" i="6"/>
  <c r="R426" i="6" s="1"/>
  <c r="AH426" i="6" s="1"/>
  <c r="N428" i="6"/>
  <c r="AC415" i="6"/>
  <c r="AC417" i="6"/>
  <c r="AG417" i="6" s="1"/>
  <c r="AB417" i="6"/>
  <c r="AL419" i="6"/>
  <c r="AK420" i="6"/>
  <c r="AL420" i="6" s="1"/>
  <c r="L421" i="6"/>
  <c r="L423" i="6"/>
  <c r="L425" i="6"/>
  <c r="K428" i="6"/>
  <c r="M431" i="6" s="1"/>
  <c r="AO431" i="6" s="1"/>
  <c r="K424" i="6"/>
  <c r="M427" i="6" s="1"/>
  <c r="AO427" i="6" s="1"/>
  <c r="K426" i="6"/>
  <c r="M429" i="6" s="1"/>
  <c r="AO429" i="6" s="1"/>
  <c r="AK418" i="6"/>
  <c r="AA418" i="6"/>
  <c r="AG414" i="6"/>
  <c r="P411" i="11" s="1"/>
  <c r="AK422" i="6"/>
  <c r="AA422" i="6"/>
  <c r="AG412" i="6"/>
  <c r="P409" i="11" s="1"/>
  <c r="AF414" i="6"/>
  <c r="AF412" i="6"/>
  <c r="AI429" i="6"/>
  <c r="F429" i="6"/>
  <c r="F431" i="6"/>
  <c r="AI431" i="6"/>
  <c r="AI427" i="6"/>
  <c r="F427" i="6"/>
  <c r="AP428" i="6" l="1"/>
  <c r="AP426" i="6"/>
  <c r="AP430" i="6"/>
  <c r="Q411" i="11"/>
  <c r="R411" i="11" s="1"/>
  <c r="Q409" i="11"/>
  <c r="R409" i="11" s="1"/>
  <c r="Q416" i="11"/>
  <c r="R416" i="11" s="1"/>
  <c r="AC420" i="6"/>
  <c r="AB420" i="6"/>
  <c r="AF420" i="6" s="1"/>
  <c r="AA425" i="6"/>
  <c r="AC425" i="6" s="1"/>
  <c r="AG425" i="6" s="1"/>
  <c r="P422" i="11" s="1"/>
  <c r="AA423" i="6"/>
  <c r="AB423" i="6" s="1"/>
  <c r="AK421" i="6"/>
  <c r="AL421" i="6" s="1"/>
  <c r="A431" i="6"/>
  <c r="A429" i="6"/>
  <c r="A427" i="6"/>
  <c r="P414" i="11"/>
  <c r="AE424" i="6"/>
  <c r="AD424" i="6"/>
  <c r="AE428" i="6"/>
  <c r="AE426" i="6"/>
  <c r="AD426" i="6"/>
  <c r="AJ431" i="6"/>
  <c r="AK425" i="6"/>
  <c r="AL425" i="6" s="1"/>
  <c r="P427" i="6"/>
  <c r="R427" i="6" s="1"/>
  <c r="AH427" i="6" s="1"/>
  <c r="P431" i="6"/>
  <c r="R431" i="6" s="1"/>
  <c r="AH431" i="6" s="1"/>
  <c r="AD428" i="6"/>
  <c r="N427" i="6"/>
  <c r="AM420" i="6"/>
  <c r="N429" i="6"/>
  <c r="AJ429" i="6"/>
  <c r="N431" i="6"/>
  <c r="P429" i="6"/>
  <c r="R429" i="6" s="1"/>
  <c r="AH429" i="6" s="1"/>
  <c r="AJ427" i="6"/>
  <c r="AK423" i="6"/>
  <c r="AL423" i="6" s="1"/>
  <c r="AG415" i="6"/>
  <c r="P412" i="11" s="1"/>
  <c r="R412" i="11" s="1"/>
  <c r="AF417" i="6"/>
  <c r="AA421" i="6"/>
  <c r="L424" i="6"/>
  <c r="K427" i="6"/>
  <c r="M430" i="6" s="1"/>
  <c r="AO430" i="6" s="1"/>
  <c r="K431" i="6"/>
  <c r="M434" i="6" s="1"/>
  <c r="AO434" i="6" s="1"/>
  <c r="K429" i="6"/>
  <c r="M432" i="6" s="1"/>
  <c r="AO432" i="6" s="1"/>
  <c r="AB422" i="6"/>
  <c r="AC422" i="6"/>
  <c r="AM418" i="6"/>
  <c r="AL418" i="6"/>
  <c r="L426" i="6"/>
  <c r="L428" i="6"/>
  <c r="AM422" i="6"/>
  <c r="AL422" i="6"/>
  <c r="AC418" i="6"/>
  <c r="AB418" i="6"/>
  <c r="AI430" i="6"/>
  <c r="F430" i="6"/>
  <c r="AI434" i="6"/>
  <c r="F434" i="6"/>
  <c r="AI432" i="6"/>
  <c r="F432" i="6"/>
  <c r="AP433" i="6" l="1"/>
  <c r="AP431" i="6"/>
  <c r="AP429" i="6"/>
  <c r="Q414" i="11"/>
  <c r="R414" i="11" s="1"/>
  <c r="Q417" i="11"/>
  <c r="AG420" i="6"/>
  <c r="AC423" i="6"/>
  <c r="AF423" i="6"/>
  <c r="AB425" i="6"/>
  <c r="AF425" i="6" s="1"/>
  <c r="AM421" i="6"/>
  <c r="AA424" i="6"/>
  <c r="AB424" i="6" s="1"/>
  <c r="A430" i="6"/>
  <c r="A434" i="6"/>
  <c r="A432" i="6"/>
  <c r="AD427" i="6"/>
  <c r="AM423" i="6"/>
  <c r="AM425" i="6"/>
  <c r="AE427" i="6"/>
  <c r="AD429" i="6"/>
  <c r="AD431" i="6"/>
  <c r="AJ432" i="6"/>
  <c r="AE431" i="6"/>
  <c r="P430" i="6"/>
  <c r="R430" i="6" s="1"/>
  <c r="AH430" i="6" s="1"/>
  <c r="AE429" i="6"/>
  <c r="P434" i="6"/>
  <c r="R434" i="6" s="1"/>
  <c r="AH434" i="6" s="1"/>
  <c r="P432" i="6"/>
  <c r="R432" i="6" s="1"/>
  <c r="AH432" i="6" s="1"/>
  <c r="AJ434" i="6"/>
  <c r="N432" i="6"/>
  <c r="N434" i="6"/>
  <c r="N430" i="6"/>
  <c r="AJ430" i="6"/>
  <c r="AK424" i="6"/>
  <c r="AM424" i="6" s="1"/>
  <c r="AC421" i="6"/>
  <c r="AG421" i="6" s="1"/>
  <c r="P418" i="11" s="1"/>
  <c r="AB421" i="6"/>
  <c r="L431" i="6"/>
  <c r="K430" i="6"/>
  <c r="M433" i="6" s="1"/>
  <c r="AO433" i="6" s="1"/>
  <c r="K434" i="6"/>
  <c r="M437" i="6" s="1"/>
  <c r="AO437" i="6" s="1"/>
  <c r="K432" i="6"/>
  <c r="M435" i="6" s="1"/>
  <c r="AO435" i="6" s="1"/>
  <c r="AG422" i="6"/>
  <c r="P419" i="11" s="1"/>
  <c r="AF418" i="6"/>
  <c r="AK428" i="6"/>
  <c r="AA428" i="6"/>
  <c r="AF422" i="6"/>
  <c r="L429" i="6"/>
  <c r="L427" i="6"/>
  <c r="AG418" i="6"/>
  <c r="P415" i="11" s="1"/>
  <c r="AK426" i="6"/>
  <c r="AA426" i="6"/>
  <c r="AI435" i="6"/>
  <c r="F435" i="6"/>
  <c r="AI433" i="6"/>
  <c r="F433" i="6"/>
  <c r="AI437" i="6"/>
  <c r="F437" i="6"/>
  <c r="AP432" i="6" l="1"/>
  <c r="AP434" i="6"/>
  <c r="AP436" i="6"/>
  <c r="Q419" i="11"/>
  <c r="R419" i="11" s="1"/>
  <c r="Q415" i="11"/>
  <c r="R415" i="11" s="1"/>
  <c r="Q422" i="11"/>
  <c r="R422" i="11" s="1"/>
  <c r="Q420" i="11"/>
  <c r="P417" i="11"/>
  <c r="R417" i="11" s="1"/>
  <c r="AG423" i="6"/>
  <c r="P420" i="11" s="1"/>
  <c r="AF424" i="6"/>
  <c r="AC424" i="6"/>
  <c r="AA431" i="6"/>
  <c r="AC431" i="6" s="1"/>
  <c r="AG431" i="6" s="1"/>
  <c r="P428" i="11" s="1"/>
  <c r="A435" i="6"/>
  <c r="A433" i="6"/>
  <c r="A437" i="6"/>
  <c r="AD432" i="6"/>
  <c r="AE430" i="6"/>
  <c r="AE432" i="6"/>
  <c r="AJ437" i="6"/>
  <c r="AD430" i="6"/>
  <c r="AE434" i="6"/>
  <c r="AD434" i="6"/>
  <c r="P437" i="6"/>
  <c r="R437" i="6" s="1"/>
  <c r="AH437" i="6" s="1"/>
  <c r="N435" i="6"/>
  <c r="AJ433" i="6"/>
  <c r="N433" i="6"/>
  <c r="AJ435" i="6"/>
  <c r="P433" i="6"/>
  <c r="R433" i="6" s="1"/>
  <c r="AH433" i="6" s="1"/>
  <c r="AL424" i="6"/>
  <c r="N437" i="6"/>
  <c r="P435" i="6"/>
  <c r="R435" i="6" s="1"/>
  <c r="AH435" i="6" s="1"/>
  <c r="AF421" i="6"/>
  <c r="AK431" i="6"/>
  <c r="AM431" i="6" s="1"/>
  <c r="L432" i="6"/>
  <c r="L430" i="6"/>
  <c r="L434" i="6"/>
  <c r="K433" i="6"/>
  <c r="M436" i="6" s="1"/>
  <c r="AO436" i="6" s="1"/>
  <c r="K435" i="6"/>
  <c r="M438" i="6" s="1"/>
  <c r="AO438" i="6" s="1"/>
  <c r="K437" i="6"/>
  <c r="M440" i="6" s="1"/>
  <c r="AO440" i="6" s="1"/>
  <c r="AK429" i="6"/>
  <c r="AA429" i="6"/>
  <c r="AB426" i="6"/>
  <c r="AC426" i="6"/>
  <c r="AK427" i="6"/>
  <c r="AA427" i="6"/>
  <c r="AC428" i="6"/>
  <c r="AB428" i="6"/>
  <c r="AM426" i="6"/>
  <c r="AL426" i="6"/>
  <c r="AL428" i="6"/>
  <c r="AM428" i="6"/>
  <c r="AI440" i="6"/>
  <c r="F440" i="6"/>
  <c r="AI438" i="6"/>
  <c r="F438" i="6"/>
  <c r="F436" i="6"/>
  <c r="AI436" i="6"/>
  <c r="R420" i="11" l="1"/>
  <c r="AP439" i="6"/>
  <c r="AP437" i="6"/>
  <c r="AP435" i="6"/>
  <c r="Q418" i="11"/>
  <c r="R418" i="11" s="1"/>
  <c r="Q421" i="11"/>
  <c r="AG424" i="6"/>
  <c r="P421" i="11" s="1"/>
  <c r="AB431" i="6"/>
  <c r="AA434" i="6"/>
  <c r="AB434" i="6" s="1"/>
  <c r="AF434" i="6" s="1"/>
  <c r="AA432" i="6"/>
  <c r="AB432" i="6" s="1"/>
  <c r="AF432" i="6" s="1"/>
  <c r="A436" i="6"/>
  <c r="A440" i="6"/>
  <c r="A438" i="6"/>
  <c r="N436" i="6"/>
  <c r="P436" i="6"/>
  <c r="R436" i="6" s="1"/>
  <c r="AH436" i="6" s="1"/>
  <c r="AD433" i="6"/>
  <c r="AJ436" i="6"/>
  <c r="AE433" i="6"/>
  <c r="P440" i="6"/>
  <c r="R440" i="6" s="1"/>
  <c r="AH440" i="6" s="1"/>
  <c r="AD437" i="6"/>
  <c r="AJ440" i="6"/>
  <c r="AE437" i="6"/>
  <c r="N440" i="6"/>
  <c r="AE435" i="6"/>
  <c r="AD435" i="6"/>
  <c r="P438" i="6"/>
  <c r="R438" i="6" s="1"/>
  <c r="AH438" i="6" s="1"/>
  <c r="N438" i="6"/>
  <c r="AJ438" i="6"/>
  <c r="AL431" i="6"/>
  <c r="AK430" i="6"/>
  <c r="AL430" i="6" s="1"/>
  <c r="AA430" i="6"/>
  <c r="AB430" i="6" s="1"/>
  <c r="AF430" i="6" s="1"/>
  <c r="AK434" i="6"/>
  <c r="AL434" i="6" s="1"/>
  <c r="AK432" i="6"/>
  <c r="AM432" i="6" s="1"/>
  <c r="L435" i="6"/>
  <c r="K436" i="6"/>
  <c r="M439" i="6" s="1"/>
  <c r="AO439" i="6" s="1"/>
  <c r="K440" i="6"/>
  <c r="M443" i="6" s="1"/>
  <c r="AO443" i="6" s="1"/>
  <c r="K438" i="6"/>
  <c r="M441" i="6" s="1"/>
  <c r="AO441" i="6" s="1"/>
  <c r="AG428" i="6"/>
  <c r="P425" i="11" s="1"/>
  <c r="AM427" i="6"/>
  <c r="AL427" i="6"/>
  <c r="AF426" i="6"/>
  <c r="AL429" i="6"/>
  <c r="AM429" i="6"/>
  <c r="AB427" i="6"/>
  <c r="AC427" i="6"/>
  <c r="L437" i="6"/>
  <c r="L433" i="6"/>
  <c r="AG426" i="6"/>
  <c r="P423" i="11" s="1"/>
  <c r="AF428" i="6"/>
  <c r="AC429" i="6"/>
  <c r="AB429" i="6"/>
  <c r="AI443" i="6"/>
  <c r="F443" i="6"/>
  <c r="AI439" i="6"/>
  <c r="F439" i="6"/>
  <c r="AI441" i="6"/>
  <c r="F441" i="6"/>
  <c r="R421" i="11" l="1"/>
  <c r="AP442" i="6"/>
  <c r="AP438" i="6"/>
  <c r="AP440" i="6"/>
  <c r="Q427" i="11"/>
  <c r="Q429" i="11"/>
  <c r="Q423" i="11"/>
  <c r="R423" i="11" s="1"/>
  <c r="Q425" i="11"/>
  <c r="R425" i="11" s="1"/>
  <c r="Q431" i="11"/>
  <c r="AC434" i="6"/>
  <c r="AF431" i="6"/>
  <c r="AC432" i="6"/>
  <c r="AK435" i="6"/>
  <c r="AL435" i="6" s="1"/>
  <c r="A439" i="6"/>
  <c r="A443" i="6"/>
  <c r="A441" i="6"/>
  <c r="AD436" i="6"/>
  <c r="AE436" i="6"/>
  <c r="AD440" i="6"/>
  <c r="AE440" i="6"/>
  <c r="AE438" i="6"/>
  <c r="N441" i="6"/>
  <c r="AD438" i="6"/>
  <c r="N439" i="6"/>
  <c r="AJ439" i="6"/>
  <c r="P439" i="6"/>
  <c r="R439" i="6" s="1"/>
  <c r="AH439" i="6" s="1"/>
  <c r="AM430" i="6"/>
  <c r="P441" i="6"/>
  <c r="R441" i="6" s="1"/>
  <c r="AH441" i="6" s="1"/>
  <c r="AJ443" i="6"/>
  <c r="N443" i="6"/>
  <c r="AJ441" i="6"/>
  <c r="P443" i="6"/>
  <c r="R443" i="6" s="1"/>
  <c r="AH443" i="6" s="1"/>
  <c r="AC430" i="6"/>
  <c r="AG430" i="6" s="1"/>
  <c r="P427" i="11" s="1"/>
  <c r="AM434" i="6"/>
  <c r="AL432" i="6"/>
  <c r="AA435" i="6"/>
  <c r="AB435" i="6" s="1"/>
  <c r="AF435" i="6" s="1"/>
  <c r="L438" i="6"/>
  <c r="L436" i="6"/>
  <c r="L440" i="6"/>
  <c r="K443" i="6"/>
  <c r="M446" i="6" s="1"/>
  <c r="AO446" i="6" s="1"/>
  <c r="K439" i="6"/>
  <c r="M442" i="6" s="1"/>
  <c r="AO442" i="6" s="1"/>
  <c r="K441" i="6"/>
  <c r="M444" i="6" s="1"/>
  <c r="AO444" i="6" s="1"/>
  <c r="AG429" i="6"/>
  <c r="P426" i="11" s="1"/>
  <c r="AK437" i="6"/>
  <c r="AA437" i="6"/>
  <c r="AF429" i="6"/>
  <c r="AF427" i="6"/>
  <c r="AK433" i="6"/>
  <c r="AA433" i="6"/>
  <c r="AG427" i="6"/>
  <c r="P424" i="11" s="1"/>
  <c r="AI444" i="6"/>
  <c r="F444" i="6"/>
  <c r="AI446" i="6"/>
  <c r="F446" i="6"/>
  <c r="AI442" i="6"/>
  <c r="F442" i="6"/>
  <c r="R427" i="11" l="1"/>
  <c r="AP443" i="6"/>
  <c r="AP441" i="6"/>
  <c r="AP445" i="6"/>
  <c r="Q424" i="11"/>
  <c r="R424" i="11" s="1"/>
  <c r="Q428" i="11"/>
  <c r="R428" i="11" s="1"/>
  <c r="Q426" i="11"/>
  <c r="R426" i="11" s="1"/>
  <c r="Q432" i="11"/>
  <c r="AM435" i="6"/>
  <c r="AG432" i="6"/>
  <c r="P429" i="11" s="1"/>
  <c r="R429" i="11" s="1"/>
  <c r="AG434" i="6"/>
  <c r="P431" i="11" s="1"/>
  <c r="R431" i="11" s="1"/>
  <c r="AA436" i="6"/>
  <c r="AA440" i="6"/>
  <c r="AB440" i="6" s="1"/>
  <c r="AF440" i="6" s="1"/>
  <c r="A442" i="6"/>
  <c r="A446" i="6"/>
  <c r="A444" i="6"/>
  <c r="AK436" i="6"/>
  <c r="AL436" i="6" s="1"/>
  <c r="AE441" i="6"/>
  <c r="AD443" i="6"/>
  <c r="AE439" i="6"/>
  <c r="AJ444" i="6"/>
  <c r="N444" i="6"/>
  <c r="P444" i="6"/>
  <c r="R444" i="6" s="1"/>
  <c r="AH444" i="6" s="1"/>
  <c r="AD439" i="6"/>
  <c r="AE443" i="6"/>
  <c r="N446" i="6"/>
  <c r="P446" i="6"/>
  <c r="R446" i="6" s="1"/>
  <c r="AH446" i="6" s="1"/>
  <c r="AJ446" i="6"/>
  <c r="AD441" i="6"/>
  <c r="N442" i="6"/>
  <c r="P442" i="6"/>
  <c r="R442" i="6" s="1"/>
  <c r="AH442" i="6" s="1"/>
  <c r="AJ442" i="6"/>
  <c r="AK438" i="6"/>
  <c r="AL438" i="6" s="1"/>
  <c r="AC435" i="6"/>
  <c r="AK440" i="6"/>
  <c r="AM440" i="6" s="1"/>
  <c r="AA438" i="6"/>
  <c r="AC438" i="6" s="1"/>
  <c r="L439" i="6"/>
  <c r="K442" i="6"/>
  <c r="M445" i="6" s="1"/>
  <c r="AO445" i="6" s="1"/>
  <c r="K446" i="6"/>
  <c r="M449" i="6" s="1"/>
  <c r="AO449" i="6" s="1"/>
  <c r="K444" i="6"/>
  <c r="M447" i="6" s="1"/>
  <c r="AO447" i="6" s="1"/>
  <c r="AB433" i="6"/>
  <c r="AC433" i="6"/>
  <c r="AL437" i="6"/>
  <c r="AM437" i="6"/>
  <c r="AL433" i="6"/>
  <c r="AM433" i="6"/>
  <c r="L441" i="6"/>
  <c r="L443" i="6"/>
  <c r="AC437" i="6"/>
  <c r="AB437" i="6"/>
  <c r="AI445" i="6"/>
  <c r="F445" i="6"/>
  <c r="AI447" i="6"/>
  <c r="F447" i="6"/>
  <c r="AI449" i="6"/>
  <c r="F449" i="6"/>
  <c r="AP446" i="6" l="1"/>
  <c r="AP448" i="6"/>
  <c r="AP444" i="6"/>
  <c r="Q437" i="11"/>
  <c r="AB436" i="6"/>
  <c r="AC440" i="6"/>
  <c r="AG440" i="6" s="1"/>
  <c r="P437" i="11" s="1"/>
  <c r="AC436" i="6"/>
  <c r="AA439" i="6"/>
  <c r="AB439" i="6" s="1"/>
  <c r="AM436" i="6"/>
  <c r="A445" i="6"/>
  <c r="A449" i="6"/>
  <c r="A447" i="6"/>
  <c r="AM438" i="6"/>
  <c r="AE446" i="6"/>
  <c r="P445" i="6"/>
  <c r="R445" i="6" s="1"/>
  <c r="AH445" i="6" s="1"/>
  <c r="AE444" i="6"/>
  <c r="P447" i="6"/>
  <c r="R447" i="6" s="1"/>
  <c r="AH447" i="6" s="1"/>
  <c r="AD444" i="6"/>
  <c r="N449" i="6"/>
  <c r="AD446" i="6"/>
  <c r="P449" i="6"/>
  <c r="R449" i="6" s="1"/>
  <c r="AH449" i="6" s="1"/>
  <c r="AJ447" i="6"/>
  <c r="AE442" i="6"/>
  <c r="N445" i="6"/>
  <c r="N447" i="6"/>
  <c r="AJ449" i="6"/>
  <c r="AD442" i="6"/>
  <c r="AJ445" i="6"/>
  <c r="AL440" i="6"/>
  <c r="AG438" i="6"/>
  <c r="P435" i="11" s="1"/>
  <c r="AG435" i="6"/>
  <c r="P432" i="11" s="1"/>
  <c r="R432" i="11" s="1"/>
  <c r="AK439" i="6"/>
  <c r="AM439" i="6" s="1"/>
  <c r="AB438" i="6"/>
  <c r="L444" i="6"/>
  <c r="L442" i="6"/>
  <c r="L446" i="6"/>
  <c r="K447" i="6"/>
  <c r="M450" i="6" s="1"/>
  <c r="AO450" i="6" s="1"/>
  <c r="K445" i="6"/>
  <c r="M448" i="6" s="1"/>
  <c r="AO448" i="6" s="1"/>
  <c r="K449" i="6"/>
  <c r="M452" i="6" s="1"/>
  <c r="AO452" i="6" s="1"/>
  <c r="AF437" i="6"/>
  <c r="AK441" i="6"/>
  <c r="AA441" i="6"/>
  <c r="AG433" i="6"/>
  <c r="P430" i="11" s="1"/>
  <c r="AG437" i="6"/>
  <c r="P434" i="11" s="1"/>
  <c r="AF433" i="6"/>
  <c r="AK443" i="6"/>
  <c r="AA443" i="6"/>
  <c r="F452" i="6"/>
  <c r="AI452" i="6"/>
  <c r="AI448" i="6"/>
  <c r="F448" i="6"/>
  <c r="AI450" i="6"/>
  <c r="F450" i="6"/>
  <c r="R437" i="11" l="1"/>
  <c r="AP451" i="6"/>
  <c r="AP447" i="6"/>
  <c r="AP449" i="6"/>
  <c r="Q430" i="11"/>
  <c r="R430" i="11" s="1"/>
  <c r="Q434" i="11"/>
  <c r="R434" i="11" s="1"/>
  <c r="AF439" i="6"/>
  <c r="AF436" i="6"/>
  <c r="AC439" i="6"/>
  <c r="AG439" i="6" s="1"/>
  <c r="P436" i="11" s="1"/>
  <c r="AG436" i="6"/>
  <c r="AA444" i="6"/>
  <c r="AB444" i="6" s="1"/>
  <c r="AF444" i="6" s="1"/>
  <c r="AA446" i="6"/>
  <c r="AB446" i="6" s="1"/>
  <c r="AF446" i="6" s="1"/>
  <c r="AA442" i="6"/>
  <c r="AB442" i="6" s="1"/>
  <c r="AF442" i="6" s="1"/>
  <c r="AL439" i="6"/>
  <c r="A452" i="6"/>
  <c r="A448" i="6"/>
  <c r="A450" i="6"/>
  <c r="AD447" i="6"/>
  <c r="AE445" i="6"/>
  <c r="AD445" i="6"/>
  <c r="AE447" i="6"/>
  <c r="N452" i="6"/>
  <c r="AE449" i="6"/>
  <c r="AJ448" i="6"/>
  <c r="AD449" i="6"/>
  <c r="AJ452" i="6"/>
  <c r="N448" i="6"/>
  <c r="P452" i="6"/>
  <c r="R452" i="6" s="1"/>
  <c r="AH452" i="6" s="1"/>
  <c r="P448" i="6"/>
  <c r="R448" i="6" s="1"/>
  <c r="AH448" i="6" s="1"/>
  <c r="P450" i="6"/>
  <c r="R450" i="6" s="1"/>
  <c r="AH450" i="6" s="1"/>
  <c r="N450" i="6"/>
  <c r="AJ450" i="6"/>
  <c r="AK442" i="6"/>
  <c r="AL442" i="6" s="1"/>
  <c r="AK444" i="6"/>
  <c r="AM444" i="6" s="1"/>
  <c r="AK446" i="6"/>
  <c r="AM446" i="6" s="1"/>
  <c r="AF438" i="6"/>
  <c r="L445" i="6"/>
  <c r="K452" i="6"/>
  <c r="M455" i="6" s="1"/>
  <c r="AO455" i="6" s="1"/>
  <c r="K448" i="6"/>
  <c r="M451" i="6" s="1"/>
  <c r="AO451" i="6" s="1"/>
  <c r="K450" i="6"/>
  <c r="M453" i="6" s="1"/>
  <c r="AO453" i="6" s="1"/>
  <c r="AC441" i="6"/>
  <c r="AB441" i="6"/>
  <c r="AM443" i="6"/>
  <c r="AL443" i="6"/>
  <c r="L449" i="6"/>
  <c r="L447" i="6"/>
  <c r="AB443" i="6"/>
  <c r="AC443" i="6"/>
  <c r="AL441" i="6"/>
  <c r="AM441" i="6"/>
  <c r="AI453" i="6"/>
  <c r="F453" i="6"/>
  <c r="F451" i="6"/>
  <c r="AI451" i="6"/>
  <c r="AI455" i="6"/>
  <c r="F455" i="6"/>
  <c r="AP452" i="6" l="1"/>
  <c r="AP450" i="6"/>
  <c r="AP454" i="6"/>
  <c r="Q439" i="11"/>
  <c r="Q441" i="11"/>
  <c r="Q435" i="11"/>
  <c r="R435" i="11" s="1"/>
  <c r="Q433" i="11"/>
  <c r="Q443" i="11"/>
  <c r="Q436" i="11"/>
  <c r="R436" i="11" s="1"/>
  <c r="P433" i="11"/>
  <c r="AC442" i="6"/>
  <c r="AG442" i="6" s="1"/>
  <c r="P439" i="11" s="1"/>
  <c r="AC446" i="6"/>
  <c r="AG446" i="6" s="1"/>
  <c r="P443" i="11" s="1"/>
  <c r="AC444" i="6"/>
  <c r="AG444" i="6" s="1"/>
  <c r="P441" i="11" s="1"/>
  <c r="AA445" i="6"/>
  <c r="AC445" i="6" s="1"/>
  <c r="AD452" i="6"/>
  <c r="A453" i="6"/>
  <c r="A455" i="6"/>
  <c r="A451" i="6"/>
  <c r="AL446" i="6"/>
  <c r="AD448" i="6"/>
  <c r="P451" i="6"/>
  <c r="R451" i="6" s="1"/>
  <c r="AH451" i="6" s="1"/>
  <c r="AE450" i="6"/>
  <c r="AE452" i="6"/>
  <c r="N453" i="6"/>
  <c r="AJ453" i="6"/>
  <c r="AD450" i="6"/>
  <c r="P453" i="6"/>
  <c r="R453" i="6" s="1"/>
  <c r="AH453" i="6" s="1"/>
  <c r="AE448" i="6"/>
  <c r="N451" i="6"/>
  <c r="AJ455" i="6"/>
  <c r="P455" i="6"/>
  <c r="R455" i="6" s="1"/>
  <c r="AH455" i="6" s="1"/>
  <c r="AJ451" i="6"/>
  <c r="N455" i="6"/>
  <c r="AK445" i="6"/>
  <c r="AM445" i="6" s="1"/>
  <c r="AM442" i="6"/>
  <c r="AL444" i="6"/>
  <c r="L450" i="6"/>
  <c r="L452" i="6"/>
  <c r="L448" i="6"/>
  <c r="K455" i="6"/>
  <c r="M458" i="6" s="1"/>
  <c r="AO458" i="6" s="1"/>
  <c r="K451" i="6"/>
  <c r="M454" i="6" s="1"/>
  <c r="AO454" i="6" s="1"/>
  <c r="K453" i="6"/>
  <c r="M456" i="6" s="1"/>
  <c r="AO456" i="6" s="1"/>
  <c r="AG443" i="6"/>
  <c r="P440" i="11" s="1"/>
  <c r="AK447" i="6"/>
  <c r="AA447" i="6"/>
  <c r="AF441" i="6"/>
  <c r="AK449" i="6"/>
  <c r="AA449" i="6"/>
  <c r="AF443" i="6"/>
  <c r="AG441" i="6"/>
  <c r="P438" i="11" s="1"/>
  <c r="AI458" i="6"/>
  <c r="F458" i="6"/>
  <c r="AI454" i="6"/>
  <c r="F454" i="6"/>
  <c r="AI456" i="6"/>
  <c r="F456" i="6"/>
  <c r="R441" i="11" l="1"/>
  <c r="R443" i="11"/>
  <c r="R433" i="11"/>
  <c r="R439" i="11"/>
  <c r="AP453" i="6"/>
  <c r="AP457" i="6"/>
  <c r="AP455" i="6"/>
  <c r="Q438" i="11"/>
  <c r="R438" i="11" s="1"/>
  <c r="Q440" i="11"/>
  <c r="R440" i="11" s="1"/>
  <c r="AG445" i="6"/>
  <c r="P442" i="11" s="1"/>
  <c r="AB445" i="6"/>
  <c r="AF445" i="6" s="1"/>
  <c r="AA452" i="6"/>
  <c r="AB452" i="6" s="1"/>
  <c r="AF452" i="6" s="1"/>
  <c r="AK450" i="6"/>
  <c r="AL450" i="6" s="1"/>
  <c r="AA448" i="6"/>
  <c r="A456" i="6"/>
  <c r="A458" i="6"/>
  <c r="A454" i="6"/>
  <c r="AE451" i="6"/>
  <c r="AD451" i="6"/>
  <c r="AE453" i="6"/>
  <c r="AJ458" i="6"/>
  <c r="AJ454" i="6"/>
  <c r="N454" i="6"/>
  <c r="AD453" i="6"/>
  <c r="N456" i="6"/>
  <c r="AE455" i="6"/>
  <c r="N458" i="6"/>
  <c r="AJ456" i="6"/>
  <c r="P454" i="6"/>
  <c r="R454" i="6" s="1"/>
  <c r="AH454" i="6" s="1"/>
  <c r="AD455" i="6"/>
  <c r="P458" i="6"/>
  <c r="R458" i="6" s="1"/>
  <c r="AH458" i="6" s="1"/>
  <c r="P456" i="6"/>
  <c r="R456" i="6" s="1"/>
  <c r="AH456" i="6" s="1"/>
  <c r="AL445" i="6"/>
  <c r="AK448" i="6"/>
  <c r="AM448" i="6" s="1"/>
  <c r="AK452" i="6"/>
  <c r="AM452" i="6" s="1"/>
  <c r="AA450" i="6"/>
  <c r="L451" i="6"/>
  <c r="K454" i="6"/>
  <c r="M457" i="6" s="1"/>
  <c r="AO457" i="6" s="1"/>
  <c r="K456" i="6"/>
  <c r="M459" i="6" s="1"/>
  <c r="AO459" i="6" s="1"/>
  <c r="K458" i="6"/>
  <c r="M461" i="6" s="1"/>
  <c r="AO461" i="6" s="1"/>
  <c r="AM447" i="6"/>
  <c r="AL447" i="6"/>
  <c r="AC449" i="6"/>
  <c r="AB449" i="6"/>
  <c r="L453" i="6"/>
  <c r="L455" i="6"/>
  <c r="AL449" i="6"/>
  <c r="AM449" i="6"/>
  <c r="AB447" i="6"/>
  <c r="AC447" i="6"/>
  <c r="AI459" i="6"/>
  <c r="F459" i="6"/>
  <c r="AI461" i="6"/>
  <c r="F461" i="6"/>
  <c r="AI457" i="6"/>
  <c r="F457" i="6"/>
  <c r="AP456" i="6" l="1"/>
  <c r="AP460" i="6"/>
  <c r="AP458" i="6"/>
  <c r="Q449" i="11"/>
  <c r="Q442" i="11"/>
  <c r="R442" i="11" s="1"/>
  <c r="AM450" i="6"/>
  <c r="AB448" i="6"/>
  <c r="AF448" i="6" s="1"/>
  <c r="AC452" i="6"/>
  <c r="AC448" i="6"/>
  <c r="AA451" i="6"/>
  <c r="A459" i="6"/>
  <c r="A461" i="6"/>
  <c r="A457" i="6"/>
  <c r="AE456" i="6"/>
  <c r="P459" i="6"/>
  <c r="R459" i="6" s="1"/>
  <c r="AH459" i="6" s="1"/>
  <c r="N461" i="6"/>
  <c r="AD454" i="6"/>
  <c r="AE458" i="6"/>
  <c r="AJ459" i="6"/>
  <c r="AD456" i="6"/>
  <c r="AD458" i="6"/>
  <c r="AE454" i="6"/>
  <c r="N459" i="6"/>
  <c r="N457" i="6"/>
  <c r="AJ457" i="6"/>
  <c r="AJ461" i="6"/>
  <c r="P461" i="6"/>
  <c r="R461" i="6" s="1"/>
  <c r="AH461" i="6" s="1"/>
  <c r="P457" i="6"/>
  <c r="R457" i="6" s="1"/>
  <c r="AH457" i="6" s="1"/>
  <c r="AL448" i="6"/>
  <c r="AL452" i="6"/>
  <c r="AK451" i="6"/>
  <c r="AM451" i="6" s="1"/>
  <c r="AB450" i="6"/>
  <c r="AC450" i="6"/>
  <c r="L458" i="6"/>
  <c r="L454" i="6"/>
  <c r="L456" i="6"/>
  <c r="K459" i="6"/>
  <c r="M462" i="6" s="1"/>
  <c r="AO462" i="6" s="1"/>
  <c r="K457" i="6"/>
  <c r="M460" i="6" s="1"/>
  <c r="AO460" i="6" s="1"/>
  <c r="K461" i="6"/>
  <c r="M464" i="6" s="1"/>
  <c r="AO464" i="6" s="1"/>
  <c r="AG447" i="6"/>
  <c r="P444" i="11" s="1"/>
  <c r="AG449" i="6"/>
  <c r="P446" i="11" s="1"/>
  <c r="AK455" i="6"/>
  <c r="AA455" i="6"/>
  <c r="AF447" i="6"/>
  <c r="AK453" i="6"/>
  <c r="AA453" i="6"/>
  <c r="AF449" i="6"/>
  <c r="AI460" i="6"/>
  <c r="F460" i="6"/>
  <c r="AI462" i="6"/>
  <c r="F462" i="6"/>
  <c r="F464" i="6"/>
  <c r="AI464" i="6"/>
  <c r="AP459" i="6" l="1"/>
  <c r="AP463" i="6"/>
  <c r="AP461" i="6"/>
  <c r="Q446" i="11"/>
  <c r="R446" i="11" s="1"/>
  <c r="Q444" i="11"/>
  <c r="R444" i="11" s="1"/>
  <c r="Q445" i="11"/>
  <c r="AG452" i="6"/>
  <c r="P449" i="11" s="1"/>
  <c r="R449" i="11" s="1"/>
  <c r="AB451" i="6"/>
  <c r="AC451" i="6"/>
  <c r="AG448" i="6"/>
  <c r="P445" i="11" s="1"/>
  <c r="AA454" i="6"/>
  <c r="AC454" i="6" s="1"/>
  <c r="AG454" i="6" s="1"/>
  <c r="P451" i="11" s="1"/>
  <c r="AA458" i="6"/>
  <c r="AB458" i="6" s="1"/>
  <c r="AF458" i="6" s="1"/>
  <c r="A464" i="6"/>
  <c r="A462" i="6"/>
  <c r="A460" i="6"/>
  <c r="P460" i="6"/>
  <c r="R460" i="6" s="1"/>
  <c r="AH460" i="6" s="1"/>
  <c r="AE459" i="6"/>
  <c r="AJ460" i="6"/>
  <c r="AD459" i="6"/>
  <c r="AL451" i="6"/>
  <c r="AK456" i="6"/>
  <c r="AM456" i="6" s="1"/>
  <c r="AD461" i="6"/>
  <c r="AD457" i="6"/>
  <c r="P462" i="6"/>
  <c r="R462" i="6" s="1"/>
  <c r="AH462" i="6" s="1"/>
  <c r="N462" i="6"/>
  <c r="AE461" i="6"/>
  <c r="AE457" i="6"/>
  <c r="N464" i="6"/>
  <c r="AJ464" i="6"/>
  <c r="N460" i="6"/>
  <c r="P464" i="6"/>
  <c r="R464" i="6" s="1"/>
  <c r="AH464" i="6" s="1"/>
  <c r="AJ462" i="6"/>
  <c r="AK454" i="6"/>
  <c r="AL454" i="6" s="1"/>
  <c r="AK458" i="6"/>
  <c r="AL458" i="6" s="1"/>
  <c r="AF450" i="6"/>
  <c r="AA456" i="6"/>
  <c r="AG450" i="6"/>
  <c r="P447" i="11" s="1"/>
  <c r="L457" i="6"/>
  <c r="K462" i="6"/>
  <c r="M465" i="6" s="1"/>
  <c r="AO465" i="6" s="1"/>
  <c r="K464" i="6"/>
  <c r="M467" i="6" s="1"/>
  <c r="AO467" i="6" s="1"/>
  <c r="K460" i="6"/>
  <c r="M463" i="6" s="1"/>
  <c r="AO463" i="6" s="1"/>
  <c r="AC455" i="6"/>
  <c r="AB455" i="6"/>
  <c r="AC453" i="6"/>
  <c r="AB453" i="6"/>
  <c r="AL455" i="6"/>
  <c r="AM455" i="6"/>
  <c r="L461" i="6"/>
  <c r="L459" i="6"/>
  <c r="AM453" i="6"/>
  <c r="AL453" i="6"/>
  <c r="AI463" i="6"/>
  <c r="F463" i="6"/>
  <c r="AI467" i="6"/>
  <c r="F467" i="6"/>
  <c r="AI465" i="6"/>
  <c r="F465" i="6"/>
  <c r="R445" i="11" l="1"/>
  <c r="AP466" i="6"/>
  <c r="AP464" i="6"/>
  <c r="AP462" i="6"/>
  <c r="Q455" i="11"/>
  <c r="Q447" i="11"/>
  <c r="R447" i="11" s="1"/>
  <c r="AF451" i="6"/>
  <c r="AG451" i="6"/>
  <c r="P448" i="11" s="1"/>
  <c r="AB454" i="6"/>
  <c r="AC458" i="6"/>
  <c r="AG458" i="6" s="1"/>
  <c r="P455" i="11" s="1"/>
  <c r="AA457" i="6"/>
  <c r="AB457" i="6" s="1"/>
  <c r="AF457" i="6" s="1"/>
  <c r="A463" i="6"/>
  <c r="A465" i="6"/>
  <c r="A467" i="6"/>
  <c r="AM458" i="6"/>
  <c r="AD462" i="6"/>
  <c r="AE460" i="6"/>
  <c r="AD460" i="6"/>
  <c r="AL456" i="6"/>
  <c r="AJ465" i="6"/>
  <c r="N465" i="6"/>
  <c r="AM454" i="6"/>
  <c r="AE462" i="6"/>
  <c r="N463" i="6"/>
  <c r="P465" i="6"/>
  <c r="R465" i="6" s="1"/>
  <c r="AH465" i="6" s="1"/>
  <c r="AJ463" i="6"/>
  <c r="P463" i="6"/>
  <c r="R463" i="6" s="1"/>
  <c r="AH463" i="6" s="1"/>
  <c r="P467" i="6"/>
  <c r="R467" i="6" s="1"/>
  <c r="AH467" i="6" s="1"/>
  <c r="AE464" i="6"/>
  <c r="N467" i="6"/>
  <c r="AD464" i="6"/>
  <c r="AJ467" i="6"/>
  <c r="AK457" i="6"/>
  <c r="AM457" i="6" s="1"/>
  <c r="AB456" i="6"/>
  <c r="AC456" i="6"/>
  <c r="L460" i="6"/>
  <c r="L462" i="6"/>
  <c r="L464" i="6"/>
  <c r="K463" i="6"/>
  <c r="M466" i="6" s="1"/>
  <c r="AO466" i="6" s="1"/>
  <c r="K465" i="6"/>
  <c r="M468" i="6" s="1"/>
  <c r="AO468" i="6" s="1"/>
  <c r="K467" i="6"/>
  <c r="M470" i="6" s="1"/>
  <c r="AO470" i="6" s="1"/>
  <c r="AF453" i="6"/>
  <c r="AG453" i="6"/>
  <c r="P450" i="11" s="1"/>
  <c r="AF455" i="6"/>
  <c r="AK459" i="6"/>
  <c r="AA459" i="6"/>
  <c r="AK461" i="6"/>
  <c r="AA461" i="6"/>
  <c r="AG455" i="6"/>
  <c r="P452" i="11" s="1"/>
  <c r="AI468" i="6"/>
  <c r="F468" i="6"/>
  <c r="AI466" i="6"/>
  <c r="F466" i="6"/>
  <c r="AI470" i="6"/>
  <c r="F470" i="6"/>
  <c r="R455" i="11" l="1"/>
  <c r="AP467" i="6"/>
  <c r="AP465" i="6"/>
  <c r="AP469" i="6"/>
  <c r="AL457" i="6"/>
  <c r="Q448" i="11"/>
  <c r="R448" i="11" s="1"/>
  <c r="Q452" i="11"/>
  <c r="R452" i="11" s="1"/>
  <c r="Q454" i="11"/>
  <c r="Q450" i="11"/>
  <c r="R450" i="11" s="1"/>
  <c r="AF454" i="6"/>
  <c r="AC457" i="6"/>
  <c r="AA464" i="6"/>
  <c r="AA462" i="6"/>
  <c r="AC462" i="6" s="1"/>
  <c r="AG462" i="6" s="1"/>
  <c r="P459" i="11" s="1"/>
  <c r="AK460" i="6"/>
  <c r="AM460" i="6" s="1"/>
  <c r="A468" i="6"/>
  <c r="A466" i="6"/>
  <c r="A470" i="6"/>
  <c r="AE467" i="6"/>
  <c r="AJ466" i="6"/>
  <c r="P468" i="6"/>
  <c r="R468" i="6" s="1"/>
  <c r="AH468" i="6" s="1"/>
  <c r="P466" i="6"/>
  <c r="R466" i="6" s="1"/>
  <c r="AH466" i="6" s="1"/>
  <c r="AD465" i="6"/>
  <c r="AE465" i="6"/>
  <c r="AD463" i="6"/>
  <c r="AE463" i="6"/>
  <c r="N468" i="6"/>
  <c r="AJ468" i="6"/>
  <c r="P470" i="6"/>
  <c r="R470" i="6" s="1"/>
  <c r="AH470" i="6" s="1"/>
  <c r="AD467" i="6"/>
  <c r="N470" i="6"/>
  <c r="AJ470" i="6"/>
  <c r="N466" i="6"/>
  <c r="AK464" i="6"/>
  <c r="AM464" i="6" s="1"/>
  <c r="AK462" i="6"/>
  <c r="AM462" i="6" s="1"/>
  <c r="AF456" i="6"/>
  <c r="AA460" i="6"/>
  <c r="AC460" i="6" s="1"/>
  <c r="AG456" i="6"/>
  <c r="P453" i="11" s="1"/>
  <c r="L465" i="6"/>
  <c r="K470" i="6"/>
  <c r="M473" i="6" s="1"/>
  <c r="AO473" i="6" s="1"/>
  <c r="K466" i="6"/>
  <c r="M469" i="6" s="1"/>
  <c r="AO469" i="6" s="1"/>
  <c r="K468" i="6"/>
  <c r="M471" i="6" s="1"/>
  <c r="AO471" i="6" s="1"/>
  <c r="AC461" i="6"/>
  <c r="AB461" i="6"/>
  <c r="AB459" i="6"/>
  <c r="AC459" i="6"/>
  <c r="L467" i="6"/>
  <c r="L463" i="6"/>
  <c r="AM461" i="6"/>
  <c r="AL461" i="6"/>
  <c r="AM459" i="6"/>
  <c r="AL459" i="6"/>
  <c r="AI471" i="6"/>
  <c r="F471" i="6"/>
  <c r="F473" i="6"/>
  <c r="AI473" i="6"/>
  <c r="AI469" i="6"/>
  <c r="F469" i="6"/>
  <c r="AP468" i="6" l="1"/>
  <c r="AP472" i="6"/>
  <c r="AP470" i="6"/>
  <c r="Q453" i="11"/>
  <c r="R453" i="11" s="1"/>
  <c r="Q451" i="11"/>
  <c r="R451" i="11" s="1"/>
  <c r="AL460" i="6"/>
  <c r="AC464" i="6"/>
  <c r="AG464" i="6" s="1"/>
  <c r="P461" i="11" s="1"/>
  <c r="AB462" i="6"/>
  <c r="AF462" i="6" s="1"/>
  <c r="AG457" i="6"/>
  <c r="P454" i="11" s="1"/>
  <c r="R454" i="11" s="1"/>
  <c r="AB464" i="6"/>
  <c r="AF464" i="6" s="1"/>
  <c r="AK465" i="6"/>
  <c r="AL465" i="6" s="1"/>
  <c r="A471" i="6"/>
  <c r="A469" i="6"/>
  <c r="A473" i="6"/>
  <c r="AE468" i="6"/>
  <c r="AD468" i="6"/>
  <c r="AJ471" i="6"/>
  <c r="P473" i="6"/>
  <c r="R473" i="6" s="1"/>
  <c r="AH473" i="6" s="1"/>
  <c r="N471" i="6"/>
  <c r="N473" i="6"/>
  <c r="AD470" i="6"/>
  <c r="AE470" i="6"/>
  <c r="AE466" i="6"/>
  <c r="AD466" i="6"/>
  <c r="P471" i="6"/>
  <c r="R471" i="6" s="1"/>
  <c r="AH471" i="6" s="1"/>
  <c r="AJ473" i="6"/>
  <c r="AJ469" i="6"/>
  <c r="N469" i="6"/>
  <c r="P469" i="6"/>
  <c r="R469" i="6" s="1"/>
  <c r="AH469" i="6" s="1"/>
  <c r="AL462" i="6"/>
  <c r="AL464" i="6"/>
  <c r="AG460" i="6"/>
  <c r="P457" i="11" s="1"/>
  <c r="AA465" i="6"/>
  <c r="L466" i="6"/>
  <c r="AB460" i="6"/>
  <c r="K471" i="6"/>
  <c r="M474" i="6" s="1"/>
  <c r="AO474" i="6" s="1"/>
  <c r="K469" i="6"/>
  <c r="M472" i="6" s="1"/>
  <c r="AO472" i="6" s="1"/>
  <c r="K473" i="6"/>
  <c r="M476" i="6" s="1"/>
  <c r="AO476" i="6" s="1"/>
  <c r="AG461" i="6"/>
  <c r="P458" i="11" s="1"/>
  <c r="AK463" i="6"/>
  <c r="AA463" i="6"/>
  <c r="AF459" i="6"/>
  <c r="AK467" i="6"/>
  <c r="AA467" i="6"/>
  <c r="AF461" i="6"/>
  <c r="L468" i="6"/>
  <c r="L470" i="6"/>
  <c r="AG459" i="6"/>
  <c r="P456" i="11" s="1"/>
  <c r="AI472" i="6"/>
  <c r="F472" i="6"/>
  <c r="AI476" i="6"/>
  <c r="F476" i="6"/>
  <c r="F474" i="6"/>
  <c r="AI474" i="6"/>
  <c r="AP475" i="6" l="1"/>
  <c r="AP471" i="6"/>
  <c r="AP473" i="6"/>
  <c r="Q458" i="11"/>
  <c r="R458" i="11" s="1"/>
  <c r="Q461" i="11"/>
  <c r="R461" i="11" s="1"/>
  <c r="Q456" i="11"/>
  <c r="R456" i="11" s="1"/>
  <c r="Q459" i="11"/>
  <c r="R459" i="11" s="1"/>
  <c r="AM465" i="6"/>
  <c r="A474" i="6"/>
  <c r="A476" i="6"/>
  <c r="A472" i="6"/>
  <c r="AD473" i="6"/>
  <c r="N476" i="6"/>
  <c r="AE473" i="6"/>
  <c r="AE471" i="6"/>
  <c r="AD471" i="6"/>
  <c r="AD469" i="6"/>
  <c r="AJ474" i="6"/>
  <c r="AJ476" i="6"/>
  <c r="N474" i="6"/>
  <c r="P476" i="6"/>
  <c r="R476" i="6" s="1"/>
  <c r="AH476" i="6" s="1"/>
  <c r="P474" i="6"/>
  <c r="R474" i="6" s="1"/>
  <c r="AH474" i="6" s="1"/>
  <c r="P472" i="6"/>
  <c r="R472" i="6" s="1"/>
  <c r="AH472" i="6" s="1"/>
  <c r="AJ472" i="6"/>
  <c r="AE469" i="6"/>
  <c r="N472" i="6"/>
  <c r="AC465" i="6"/>
  <c r="AB465" i="6"/>
  <c r="AF465" i="6" s="1"/>
  <c r="AA466" i="6"/>
  <c r="AK466" i="6"/>
  <c r="AM466" i="6" s="1"/>
  <c r="L469" i="6"/>
  <c r="AF460" i="6"/>
  <c r="L473" i="6"/>
  <c r="L471" i="6"/>
  <c r="K472" i="6"/>
  <c r="M475" i="6" s="1"/>
  <c r="AO475" i="6" s="1"/>
  <c r="K476" i="6"/>
  <c r="M479" i="6" s="1"/>
  <c r="AO479" i="6" s="1"/>
  <c r="K474" i="6"/>
  <c r="M477" i="6" s="1"/>
  <c r="AO477" i="6" s="1"/>
  <c r="AC467" i="6"/>
  <c r="AB467" i="6"/>
  <c r="AL467" i="6"/>
  <c r="AM467" i="6"/>
  <c r="AM463" i="6"/>
  <c r="AL463" i="6"/>
  <c r="AK470" i="6"/>
  <c r="AA470" i="6"/>
  <c r="AK468" i="6"/>
  <c r="AA468" i="6"/>
  <c r="AB463" i="6"/>
  <c r="AC463" i="6"/>
  <c r="AI475" i="6"/>
  <c r="F475" i="6"/>
  <c r="AI477" i="6"/>
  <c r="F477" i="6"/>
  <c r="AI479" i="6"/>
  <c r="F479" i="6"/>
  <c r="AP478" i="6" l="1"/>
  <c r="AP474" i="6"/>
  <c r="AP476" i="6"/>
  <c r="Q457" i="11"/>
  <c r="R457" i="11" s="1"/>
  <c r="Q462" i="11"/>
  <c r="AA471" i="6"/>
  <c r="AB471" i="6" s="1"/>
  <c r="AA469" i="6"/>
  <c r="AB469" i="6" s="1"/>
  <c r="AF469" i="6" s="1"/>
  <c r="AA473" i="6"/>
  <c r="AB473" i="6" s="1"/>
  <c r="AF473" i="6" s="1"/>
  <c r="A477" i="6"/>
  <c r="A479" i="6"/>
  <c r="A475" i="6"/>
  <c r="AJ477" i="6"/>
  <c r="AE472" i="6"/>
  <c r="AK473" i="6"/>
  <c r="AL473" i="6" s="1"/>
  <c r="P479" i="6"/>
  <c r="R479" i="6" s="1"/>
  <c r="AH479" i="6" s="1"/>
  <c r="AE476" i="6"/>
  <c r="AE474" i="6"/>
  <c r="AD476" i="6"/>
  <c r="AD472" i="6"/>
  <c r="AD474" i="6"/>
  <c r="P477" i="6"/>
  <c r="R477" i="6" s="1"/>
  <c r="AH477" i="6" s="1"/>
  <c r="N479" i="6"/>
  <c r="AJ479" i="6"/>
  <c r="P475" i="6"/>
  <c r="R475" i="6" s="1"/>
  <c r="AH475" i="6" s="1"/>
  <c r="N477" i="6"/>
  <c r="AJ475" i="6"/>
  <c r="N475" i="6"/>
  <c r="AL466" i="6"/>
  <c r="AG465" i="6"/>
  <c r="P462" i="11" s="1"/>
  <c r="R462" i="11" s="1"/>
  <c r="AB466" i="6"/>
  <c r="AF466" i="6" s="1"/>
  <c r="AK469" i="6"/>
  <c r="AM469" i="6" s="1"/>
  <c r="AK471" i="6"/>
  <c r="AL471" i="6" s="1"/>
  <c r="AC466" i="6"/>
  <c r="AG466" i="6" s="1"/>
  <c r="P463" i="11" s="1"/>
  <c r="L476" i="6"/>
  <c r="L474" i="6"/>
  <c r="L472" i="6"/>
  <c r="K479" i="6"/>
  <c r="M482" i="6" s="1"/>
  <c r="AO482" i="6" s="1"/>
  <c r="K477" i="6"/>
  <c r="M480" i="6" s="1"/>
  <c r="AO480" i="6" s="1"/>
  <c r="K475" i="6"/>
  <c r="M478" i="6" s="1"/>
  <c r="AO478" i="6" s="1"/>
  <c r="AF463" i="6"/>
  <c r="AL470" i="6"/>
  <c r="AM470" i="6"/>
  <c r="AB468" i="6"/>
  <c r="AC468" i="6"/>
  <c r="AG463" i="6"/>
  <c r="P460" i="11" s="1"/>
  <c r="AB470" i="6"/>
  <c r="AC470" i="6"/>
  <c r="AF467" i="6"/>
  <c r="AM468" i="6"/>
  <c r="AL468" i="6"/>
  <c r="AG467" i="6"/>
  <c r="P464" i="11" s="1"/>
  <c r="AI482" i="6"/>
  <c r="F482" i="6"/>
  <c r="AI480" i="6"/>
  <c r="F480" i="6"/>
  <c r="AI478" i="6"/>
  <c r="F478" i="6"/>
  <c r="AP477" i="6" l="1"/>
  <c r="AP479" i="6"/>
  <c r="AP481" i="6"/>
  <c r="Q464" i="11"/>
  <c r="R464" i="11" s="1"/>
  <c r="Q460" i="11"/>
  <c r="R460" i="11" s="1"/>
  <c r="Q463" i="11"/>
  <c r="R463" i="11" s="1"/>
  <c r="Q466" i="11"/>
  <c r="Q470" i="11"/>
  <c r="AC471" i="6"/>
  <c r="AG471" i="6" s="1"/>
  <c r="P468" i="11" s="1"/>
  <c r="AC469" i="6"/>
  <c r="AG469" i="6" s="1"/>
  <c r="P466" i="11" s="1"/>
  <c r="AC473" i="6"/>
  <c r="AG473" i="6" s="1"/>
  <c r="P470" i="11" s="1"/>
  <c r="AA476" i="6"/>
  <c r="AA472" i="6"/>
  <c r="AA474" i="6"/>
  <c r="AB474" i="6" s="1"/>
  <c r="A478" i="6"/>
  <c r="A480" i="6"/>
  <c r="A482" i="6"/>
  <c r="AD477" i="6"/>
  <c r="AE475" i="6"/>
  <c r="AM473" i="6"/>
  <c r="AM471" i="6"/>
  <c r="P478" i="6"/>
  <c r="R478" i="6" s="1"/>
  <c r="AH478" i="6" s="1"/>
  <c r="AD479" i="6"/>
  <c r="AJ478" i="6"/>
  <c r="AE479" i="6"/>
  <c r="AE477" i="6"/>
  <c r="P480" i="6"/>
  <c r="R480" i="6" s="1"/>
  <c r="AH480" i="6" s="1"/>
  <c r="N478" i="6"/>
  <c r="AJ480" i="6"/>
  <c r="N482" i="6"/>
  <c r="P482" i="6"/>
  <c r="R482" i="6" s="1"/>
  <c r="AH482" i="6" s="1"/>
  <c r="AD475" i="6"/>
  <c r="AJ482" i="6"/>
  <c r="N480" i="6"/>
  <c r="AL469" i="6"/>
  <c r="AK476" i="6"/>
  <c r="AM476" i="6" s="1"/>
  <c r="AK472" i="6"/>
  <c r="AM472" i="6" s="1"/>
  <c r="AF471" i="6"/>
  <c r="L475" i="6"/>
  <c r="L479" i="6"/>
  <c r="AK474" i="6"/>
  <c r="AL474" i="6" s="1"/>
  <c r="L477" i="6"/>
  <c r="K480" i="6"/>
  <c r="M483" i="6" s="1"/>
  <c r="AO483" i="6" s="1"/>
  <c r="K478" i="6"/>
  <c r="M481" i="6" s="1"/>
  <c r="AO481" i="6" s="1"/>
  <c r="K482" i="6"/>
  <c r="M485" i="6" s="1"/>
  <c r="AO485" i="6" s="1"/>
  <c r="AF470" i="6"/>
  <c r="AF468" i="6"/>
  <c r="AG470" i="6"/>
  <c r="P467" i="11" s="1"/>
  <c r="AG468" i="6"/>
  <c r="P465" i="11" s="1"/>
  <c r="AI481" i="6"/>
  <c r="F481" i="6"/>
  <c r="AI485" i="6"/>
  <c r="F485" i="6"/>
  <c r="AI483" i="6"/>
  <c r="F483" i="6"/>
  <c r="R466" i="11" l="1"/>
  <c r="R470" i="11"/>
  <c r="AP484" i="6"/>
  <c r="AP482" i="6"/>
  <c r="AP480" i="6"/>
  <c r="Q465" i="11"/>
  <c r="R465" i="11" s="1"/>
  <c r="Q468" i="11"/>
  <c r="R468" i="11" s="1"/>
  <c r="Q467" i="11"/>
  <c r="R467" i="11" s="1"/>
  <c r="AB472" i="6"/>
  <c r="AF472" i="6" s="1"/>
  <c r="AC474" i="6"/>
  <c r="AG474" i="6" s="1"/>
  <c r="P471" i="11" s="1"/>
  <c r="AF474" i="6"/>
  <c r="AB476" i="6"/>
  <c r="AF476" i="6" s="1"/>
  <c r="AC472" i="6"/>
  <c r="AG472" i="6" s="1"/>
  <c r="P469" i="11" s="1"/>
  <c r="AC476" i="6"/>
  <c r="AG476" i="6" s="1"/>
  <c r="P473" i="11" s="1"/>
  <c r="AA475" i="6"/>
  <c r="AB475" i="6" s="1"/>
  <c r="AF475" i="6" s="1"/>
  <c r="AA477" i="6"/>
  <c r="AA479" i="6"/>
  <c r="AB479" i="6" s="1"/>
  <c r="A483" i="6"/>
  <c r="A485" i="6"/>
  <c r="A481" i="6"/>
  <c r="AD480" i="6"/>
  <c r="AE478" i="6"/>
  <c r="AD478" i="6"/>
  <c r="AE480" i="6"/>
  <c r="N481" i="6"/>
  <c r="AD482" i="6"/>
  <c r="AE482" i="6"/>
  <c r="P483" i="6"/>
  <c r="R483" i="6" s="1"/>
  <c r="AH483" i="6" s="1"/>
  <c r="N485" i="6"/>
  <c r="N483" i="6"/>
  <c r="P485" i="6"/>
  <c r="R485" i="6" s="1"/>
  <c r="AH485" i="6" s="1"/>
  <c r="P481" i="6"/>
  <c r="R481" i="6" s="1"/>
  <c r="AH481" i="6" s="1"/>
  <c r="AJ483" i="6"/>
  <c r="AJ485" i="6"/>
  <c r="AJ481" i="6"/>
  <c r="AL476" i="6"/>
  <c r="AM474" i="6"/>
  <c r="AL472" i="6"/>
  <c r="AK475" i="6"/>
  <c r="AM475" i="6" s="1"/>
  <c r="L478" i="6"/>
  <c r="AK479" i="6"/>
  <c r="AM479" i="6" s="1"/>
  <c r="AK477" i="6"/>
  <c r="AM477" i="6" s="1"/>
  <c r="L482" i="6"/>
  <c r="L480" i="6"/>
  <c r="K483" i="6"/>
  <c r="M486" i="6" s="1"/>
  <c r="AO486" i="6" s="1"/>
  <c r="K485" i="6"/>
  <c r="M488" i="6" s="1"/>
  <c r="AO488" i="6" s="1"/>
  <c r="K481" i="6"/>
  <c r="M484" i="6" s="1"/>
  <c r="AO484" i="6" s="1"/>
  <c r="AI486" i="6"/>
  <c r="F486" i="6"/>
  <c r="AI484" i="6"/>
  <c r="F484" i="6"/>
  <c r="AI488" i="6"/>
  <c r="F488" i="6"/>
  <c r="AP483" i="6" l="1"/>
  <c r="AP487" i="6"/>
  <c r="AP485" i="6"/>
  <c r="Q472" i="11"/>
  <c r="Q471" i="11"/>
  <c r="R471" i="11" s="1"/>
  <c r="Q469" i="11"/>
  <c r="R469" i="11" s="1"/>
  <c r="Q473" i="11"/>
  <c r="R473" i="11" s="1"/>
  <c r="AF479" i="6"/>
  <c r="AC475" i="6"/>
  <c r="AC479" i="6"/>
  <c r="AG479" i="6" s="1"/>
  <c r="P476" i="11" s="1"/>
  <c r="AC477" i="6"/>
  <c r="AG477" i="6" s="1"/>
  <c r="P474" i="11" s="1"/>
  <c r="AB477" i="6"/>
  <c r="AA480" i="6"/>
  <c r="AA482" i="6"/>
  <c r="AA478" i="6"/>
  <c r="AB478" i="6" s="1"/>
  <c r="AF478" i="6" s="1"/>
  <c r="A484" i="6"/>
  <c r="A486" i="6"/>
  <c r="A488" i="6"/>
  <c r="AD481" i="6"/>
  <c r="AE481" i="6"/>
  <c r="P486" i="6"/>
  <c r="R486" i="6" s="1"/>
  <c r="AH486" i="6" s="1"/>
  <c r="AE483" i="6"/>
  <c r="P484" i="6"/>
  <c r="R484" i="6" s="1"/>
  <c r="AH484" i="6" s="1"/>
  <c r="AD485" i="6"/>
  <c r="AD483" i="6"/>
  <c r="N484" i="6"/>
  <c r="AE485" i="6"/>
  <c r="AJ484" i="6"/>
  <c r="N488" i="6"/>
  <c r="AJ486" i="6"/>
  <c r="P488" i="6"/>
  <c r="R488" i="6" s="1"/>
  <c r="AH488" i="6" s="1"/>
  <c r="AJ488" i="6"/>
  <c r="N486" i="6"/>
  <c r="AL479" i="6"/>
  <c r="AL475" i="6"/>
  <c r="AK482" i="6"/>
  <c r="AM482" i="6" s="1"/>
  <c r="AK478" i="6"/>
  <c r="AL478" i="6" s="1"/>
  <c r="AL477" i="6"/>
  <c r="L485" i="6"/>
  <c r="AK480" i="6"/>
  <c r="AL480" i="6" s="1"/>
  <c r="L481" i="6"/>
  <c r="L483" i="6"/>
  <c r="K484" i="6"/>
  <c r="M487" i="6" s="1"/>
  <c r="AO487" i="6" s="1"/>
  <c r="K488" i="6"/>
  <c r="M491" i="6" s="1"/>
  <c r="AO491" i="6" s="1"/>
  <c r="K486" i="6"/>
  <c r="M489" i="6" s="1"/>
  <c r="AO489" i="6" s="1"/>
  <c r="AI491" i="6"/>
  <c r="F491" i="6"/>
  <c r="AI489" i="6"/>
  <c r="F489" i="6"/>
  <c r="AI487" i="6"/>
  <c r="F487" i="6"/>
  <c r="AP486" i="6" l="1"/>
  <c r="AP490" i="6"/>
  <c r="AP488" i="6"/>
  <c r="Q476" i="11"/>
  <c r="R476" i="11" s="1"/>
  <c r="Q475" i="11"/>
  <c r="AF477" i="6"/>
  <c r="AG475" i="6"/>
  <c r="P472" i="11" s="1"/>
  <c r="R472" i="11" s="1"/>
  <c r="AB482" i="6"/>
  <c r="AC482" i="6"/>
  <c r="AC478" i="6"/>
  <c r="AG478" i="6" s="1"/>
  <c r="P475" i="11" s="1"/>
  <c r="AB480" i="6"/>
  <c r="AF480" i="6" s="1"/>
  <c r="AC480" i="6"/>
  <c r="AG480" i="6" s="1"/>
  <c r="P477" i="11" s="1"/>
  <c r="AA483" i="6"/>
  <c r="AK481" i="6"/>
  <c r="AL481" i="6" s="1"/>
  <c r="AA485" i="6"/>
  <c r="AB485" i="6" s="1"/>
  <c r="A489" i="6"/>
  <c r="A487" i="6"/>
  <c r="A491" i="6"/>
  <c r="AE486" i="6"/>
  <c r="AD484" i="6"/>
  <c r="AD486" i="6"/>
  <c r="AD488" i="6"/>
  <c r="AE484" i="6"/>
  <c r="AE488" i="6"/>
  <c r="N487" i="6"/>
  <c r="AJ489" i="6"/>
  <c r="P489" i="6"/>
  <c r="R489" i="6" s="1"/>
  <c r="AH489" i="6" s="1"/>
  <c r="P487" i="6"/>
  <c r="R487" i="6" s="1"/>
  <c r="AH487" i="6" s="1"/>
  <c r="P491" i="6"/>
  <c r="R491" i="6" s="1"/>
  <c r="AH491" i="6" s="1"/>
  <c r="N489" i="6"/>
  <c r="AJ487" i="6"/>
  <c r="N491" i="6"/>
  <c r="AJ491" i="6"/>
  <c r="AM478" i="6"/>
  <c r="AL482" i="6"/>
  <c r="AK485" i="6"/>
  <c r="AL485" i="6" s="1"/>
  <c r="L488" i="6"/>
  <c r="AA481" i="6"/>
  <c r="AM480" i="6"/>
  <c r="AK483" i="6"/>
  <c r="AM483" i="6" s="1"/>
  <c r="L486" i="6"/>
  <c r="L484" i="6"/>
  <c r="K491" i="6"/>
  <c r="M494" i="6" s="1"/>
  <c r="AO494" i="6" s="1"/>
  <c r="K489" i="6"/>
  <c r="M492" i="6" s="1"/>
  <c r="AO492" i="6" s="1"/>
  <c r="K487" i="6"/>
  <c r="M490" i="6" s="1"/>
  <c r="AO490" i="6" s="1"/>
  <c r="AI490" i="6"/>
  <c r="F490" i="6"/>
  <c r="AI494" i="6"/>
  <c r="F494" i="6"/>
  <c r="AI492" i="6"/>
  <c r="F492" i="6"/>
  <c r="R475" i="11" l="1"/>
  <c r="AP489" i="6"/>
  <c r="AP493" i="6"/>
  <c r="AP491" i="6"/>
  <c r="Q477" i="11"/>
  <c r="R477" i="11" s="1"/>
  <c r="Q474" i="11"/>
  <c r="R474" i="11" s="1"/>
  <c r="AG482" i="6"/>
  <c r="P479" i="11" s="1"/>
  <c r="AF482" i="6"/>
  <c r="AC483" i="6"/>
  <c r="AG483" i="6" s="1"/>
  <c r="P480" i="11" s="1"/>
  <c r="AF485" i="6"/>
  <c r="AC485" i="6"/>
  <c r="AB483" i="6"/>
  <c r="AF483" i="6" s="1"/>
  <c r="AM481" i="6"/>
  <c r="AA488" i="6"/>
  <c r="AB488" i="6" s="1"/>
  <c r="AF488" i="6" s="1"/>
  <c r="AA486" i="6"/>
  <c r="AC486" i="6" s="1"/>
  <c r="AG486" i="6" s="1"/>
  <c r="P483" i="11" s="1"/>
  <c r="A490" i="6"/>
  <c r="A492" i="6"/>
  <c r="A494" i="6"/>
  <c r="AD487" i="6"/>
  <c r="AE487" i="6"/>
  <c r="AE491" i="6"/>
  <c r="P492" i="6"/>
  <c r="R492" i="6" s="1"/>
  <c r="AH492" i="6" s="1"/>
  <c r="AE489" i="6"/>
  <c r="AD489" i="6"/>
  <c r="AD491" i="6"/>
  <c r="N492" i="6"/>
  <c r="N490" i="6"/>
  <c r="AJ492" i="6"/>
  <c r="P494" i="6"/>
  <c r="R494" i="6" s="1"/>
  <c r="AH494" i="6" s="1"/>
  <c r="N494" i="6"/>
  <c r="AK486" i="6"/>
  <c r="AL486" i="6" s="1"/>
  <c r="P490" i="6"/>
  <c r="R490" i="6" s="1"/>
  <c r="AH490" i="6" s="1"/>
  <c r="AJ494" i="6"/>
  <c r="AJ490" i="6"/>
  <c r="AK488" i="6"/>
  <c r="AL488" i="6" s="1"/>
  <c r="AM485" i="6"/>
  <c r="AK484" i="6"/>
  <c r="AL484" i="6" s="1"/>
  <c r="AL483" i="6"/>
  <c r="L491" i="6"/>
  <c r="L487" i="6"/>
  <c r="AA484" i="6"/>
  <c r="AB481" i="6"/>
  <c r="AC481" i="6"/>
  <c r="L489" i="6"/>
  <c r="K490" i="6"/>
  <c r="M493" i="6" s="1"/>
  <c r="AO493" i="6" s="1"/>
  <c r="K494" i="6"/>
  <c r="M497" i="6" s="1"/>
  <c r="AO497" i="6" s="1"/>
  <c r="K492" i="6"/>
  <c r="M495" i="6" s="1"/>
  <c r="AO495" i="6" s="1"/>
  <c r="AI495" i="6"/>
  <c r="F495" i="6"/>
  <c r="AI493" i="6"/>
  <c r="F493" i="6"/>
  <c r="AI497" i="6"/>
  <c r="F497" i="6"/>
  <c r="AP494" i="6" l="1"/>
  <c r="AP496" i="6"/>
  <c r="AP492" i="6"/>
  <c r="Q480" i="11"/>
  <c r="R480" i="11" s="1"/>
  <c r="Q485" i="11"/>
  <c r="Q482" i="11"/>
  <c r="Q479" i="11"/>
  <c r="R479" i="11" s="1"/>
  <c r="AC488" i="6"/>
  <c r="AG488" i="6" s="1"/>
  <c r="P485" i="11" s="1"/>
  <c r="AG485" i="6"/>
  <c r="P482" i="11" s="1"/>
  <c r="AB486" i="6"/>
  <c r="AF486" i="6" s="1"/>
  <c r="AA491" i="6"/>
  <c r="AC491" i="6" s="1"/>
  <c r="AG491" i="6" s="1"/>
  <c r="P488" i="11" s="1"/>
  <c r="AA489" i="6"/>
  <c r="AC489" i="6" s="1"/>
  <c r="AG489" i="6" s="1"/>
  <c r="P486" i="11" s="1"/>
  <c r="AA487" i="6"/>
  <c r="AB487" i="6" s="1"/>
  <c r="AM486" i="6"/>
  <c r="A493" i="6"/>
  <c r="A497" i="6"/>
  <c r="A495" i="6"/>
  <c r="AE492" i="6"/>
  <c r="N497" i="6"/>
  <c r="P497" i="6"/>
  <c r="R497" i="6" s="1"/>
  <c r="AH497" i="6" s="1"/>
  <c r="AJ497" i="6"/>
  <c r="AD492" i="6"/>
  <c r="AE494" i="6"/>
  <c r="AD494" i="6"/>
  <c r="AD490" i="6"/>
  <c r="AJ495" i="6"/>
  <c r="N495" i="6"/>
  <c r="P495" i="6"/>
  <c r="R495" i="6" s="1"/>
  <c r="AH495" i="6" s="1"/>
  <c r="AE490" i="6"/>
  <c r="P493" i="6"/>
  <c r="R493" i="6" s="1"/>
  <c r="AH493" i="6" s="1"/>
  <c r="N493" i="6"/>
  <c r="AJ493" i="6"/>
  <c r="AM488" i="6"/>
  <c r="AM484" i="6"/>
  <c r="AK489" i="6"/>
  <c r="AM489" i="6" s="1"/>
  <c r="AK491" i="6"/>
  <c r="AM491" i="6" s="1"/>
  <c r="AK487" i="6"/>
  <c r="AL487" i="6" s="1"/>
  <c r="AB484" i="6"/>
  <c r="AC484" i="6"/>
  <c r="AG481" i="6"/>
  <c r="P478" i="11" s="1"/>
  <c r="AF481" i="6"/>
  <c r="L492" i="6"/>
  <c r="L490" i="6"/>
  <c r="L494" i="6"/>
  <c r="K495" i="6"/>
  <c r="M498" i="6" s="1"/>
  <c r="AO498" i="6" s="1"/>
  <c r="K493" i="6"/>
  <c r="M496" i="6" s="1"/>
  <c r="AO496" i="6" s="1"/>
  <c r="K497" i="6"/>
  <c r="M500" i="6" s="1"/>
  <c r="AO500" i="6" s="1"/>
  <c r="AI500" i="6"/>
  <c r="F500" i="6"/>
  <c r="AI498" i="6"/>
  <c r="F498" i="6"/>
  <c r="AI496" i="6"/>
  <c r="F496" i="6"/>
  <c r="R485" i="11" l="1"/>
  <c r="R482" i="11"/>
  <c r="AP499" i="6"/>
  <c r="AP495" i="6"/>
  <c r="AP497" i="6"/>
  <c r="Q483" i="11"/>
  <c r="R483" i="11" s="1"/>
  <c r="Q478" i="11"/>
  <c r="R478" i="11" s="1"/>
  <c r="AF487" i="6"/>
  <c r="AC487" i="6"/>
  <c r="AB491" i="6"/>
  <c r="AB489" i="6"/>
  <c r="AA490" i="6"/>
  <c r="AC490" i="6" s="1"/>
  <c r="AG490" i="6" s="1"/>
  <c r="P487" i="11" s="1"/>
  <c r="AK492" i="6"/>
  <c r="AM492" i="6" s="1"/>
  <c r="AA494" i="6"/>
  <c r="AC494" i="6" s="1"/>
  <c r="AG494" i="6" s="1"/>
  <c r="P491" i="11" s="1"/>
  <c r="A496" i="6"/>
  <c r="A500" i="6"/>
  <c r="A498" i="6"/>
  <c r="AD497" i="6"/>
  <c r="AD493" i="6"/>
  <c r="AE497" i="6"/>
  <c r="AE495" i="6"/>
  <c r="AD495" i="6"/>
  <c r="N500" i="6"/>
  <c r="AE493" i="6"/>
  <c r="P500" i="6"/>
  <c r="R500" i="6" s="1"/>
  <c r="AH500" i="6" s="1"/>
  <c r="AJ496" i="6"/>
  <c r="N498" i="6"/>
  <c r="AJ500" i="6"/>
  <c r="N496" i="6"/>
  <c r="P498" i="6"/>
  <c r="R498" i="6" s="1"/>
  <c r="AH498" i="6" s="1"/>
  <c r="P496" i="6"/>
  <c r="R496" i="6" s="1"/>
  <c r="AH496" i="6" s="1"/>
  <c r="AJ498" i="6"/>
  <c r="AL489" i="6"/>
  <c r="AL491" i="6"/>
  <c r="AM487" i="6"/>
  <c r="AK494" i="6"/>
  <c r="AM494" i="6" s="1"/>
  <c r="AA492" i="6"/>
  <c r="AB492" i="6" s="1"/>
  <c r="AF492" i="6" s="1"/>
  <c r="AK490" i="6"/>
  <c r="AM490" i="6" s="1"/>
  <c r="AG484" i="6"/>
  <c r="P481" i="11" s="1"/>
  <c r="AF484" i="6"/>
  <c r="L493" i="6"/>
  <c r="L497" i="6"/>
  <c r="L495" i="6"/>
  <c r="K500" i="6"/>
  <c r="M503" i="6" s="1"/>
  <c r="AO503" i="6" s="1"/>
  <c r="K498" i="6"/>
  <c r="M501" i="6" s="1"/>
  <c r="AO501" i="6" s="1"/>
  <c r="K496" i="6"/>
  <c r="M499" i="6" s="1"/>
  <c r="AO499" i="6" s="1"/>
  <c r="AI499" i="6"/>
  <c r="F499" i="6"/>
  <c r="AI503" i="6"/>
  <c r="F503" i="6"/>
  <c r="AI501" i="6"/>
  <c r="F501" i="6"/>
  <c r="AP500" i="6" l="1"/>
  <c r="AP502" i="6"/>
  <c r="AP498" i="6"/>
  <c r="Q481" i="11"/>
  <c r="R481" i="11" s="1"/>
  <c r="Q484" i="11"/>
  <c r="Q489" i="11"/>
  <c r="AG487" i="6"/>
  <c r="P484" i="11" s="1"/>
  <c r="AF489" i="6"/>
  <c r="AL492" i="6"/>
  <c r="AF491" i="6"/>
  <c r="AB494" i="6"/>
  <c r="AF494" i="6" s="1"/>
  <c r="AB490" i="6"/>
  <c r="AF490" i="6" s="1"/>
  <c r="AA497" i="6"/>
  <c r="AB497" i="6" s="1"/>
  <c r="AA493" i="6"/>
  <c r="A501" i="6"/>
  <c r="A503" i="6"/>
  <c r="A499" i="6"/>
  <c r="AL494" i="6"/>
  <c r="AE500" i="6"/>
  <c r="AJ501" i="6"/>
  <c r="AJ499" i="6"/>
  <c r="AD498" i="6"/>
  <c r="P503" i="6"/>
  <c r="R503" i="6" s="1"/>
  <c r="AH503" i="6" s="1"/>
  <c r="N503" i="6"/>
  <c r="P499" i="6"/>
  <c r="R499" i="6" s="1"/>
  <c r="AH499" i="6" s="1"/>
  <c r="AE498" i="6"/>
  <c r="N501" i="6"/>
  <c r="AE496" i="6"/>
  <c r="AD500" i="6"/>
  <c r="AJ503" i="6"/>
  <c r="AK493" i="6"/>
  <c r="AM493" i="6" s="1"/>
  <c r="AD496" i="6"/>
  <c r="P501" i="6"/>
  <c r="R501" i="6" s="1"/>
  <c r="AH501" i="6" s="1"/>
  <c r="N499" i="6"/>
  <c r="AL490" i="6"/>
  <c r="AK497" i="6"/>
  <c r="AM497" i="6" s="1"/>
  <c r="AC492" i="6"/>
  <c r="AK495" i="6"/>
  <c r="AL495" i="6" s="1"/>
  <c r="L498" i="6"/>
  <c r="AA495" i="6"/>
  <c r="L496" i="6"/>
  <c r="L500" i="6"/>
  <c r="K501" i="6"/>
  <c r="M504" i="6" s="1"/>
  <c r="AO504" i="6" s="1"/>
  <c r="K503" i="6"/>
  <c r="M506" i="6" s="1"/>
  <c r="AO506" i="6" s="1"/>
  <c r="K499" i="6"/>
  <c r="M502" i="6" s="1"/>
  <c r="AO502" i="6" s="1"/>
  <c r="AI502" i="6"/>
  <c r="F502" i="6"/>
  <c r="AI504" i="6"/>
  <c r="F504" i="6"/>
  <c r="F506" i="6"/>
  <c r="AI506" i="6"/>
  <c r="R484" i="11" l="1"/>
  <c r="AP505" i="6"/>
  <c r="AP503" i="6"/>
  <c r="AP501" i="6"/>
  <c r="Q487" i="11"/>
  <c r="R487" i="11" s="1"/>
  <c r="Q488" i="11"/>
  <c r="R488" i="11" s="1"/>
  <c r="Q491" i="11"/>
  <c r="R491" i="11" s="1"/>
  <c r="Q486" i="11"/>
  <c r="R486" i="11" s="1"/>
  <c r="AB493" i="6"/>
  <c r="AF493" i="6" s="1"/>
  <c r="AF497" i="6"/>
  <c r="AC497" i="6"/>
  <c r="AG497" i="6" s="1"/>
  <c r="P494" i="11" s="1"/>
  <c r="AC493" i="6"/>
  <c r="AA498" i="6"/>
  <c r="AB498" i="6" s="1"/>
  <c r="AF498" i="6" s="1"/>
  <c r="AA496" i="6"/>
  <c r="AC496" i="6" s="1"/>
  <c r="AG496" i="6" s="1"/>
  <c r="P493" i="11" s="1"/>
  <c r="A506" i="6"/>
  <c r="A504" i="6"/>
  <c r="A502" i="6"/>
  <c r="AE501" i="6"/>
  <c r="AD503" i="6"/>
  <c r="AE503" i="6"/>
  <c r="AE499" i="6"/>
  <c r="AD499" i="6"/>
  <c r="AJ504" i="6"/>
  <c r="N504" i="6"/>
  <c r="AD501" i="6"/>
  <c r="AL493" i="6"/>
  <c r="N502" i="6"/>
  <c r="AJ502" i="6"/>
  <c r="P502" i="6"/>
  <c r="R502" i="6" s="1"/>
  <c r="AH502" i="6" s="1"/>
  <c r="N506" i="6"/>
  <c r="P506" i="6"/>
  <c r="R506" i="6" s="1"/>
  <c r="AH506" i="6" s="1"/>
  <c r="AJ506" i="6"/>
  <c r="P504" i="6"/>
  <c r="R504" i="6" s="1"/>
  <c r="AH504" i="6" s="1"/>
  <c r="AK498" i="6"/>
  <c r="AM498" i="6" s="1"/>
  <c r="AM495" i="6"/>
  <c r="AL497" i="6"/>
  <c r="AK500" i="6"/>
  <c r="AM500" i="6" s="1"/>
  <c r="AG492" i="6"/>
  <c r="P489" i="11" s="1"/>
  <c r="R489" i="11" s="1"/>
  <c r="AK496" i="6"/>
  <c r="AM496" i="6" s="1"/>
  <c r="AA500" i="6"/>
  <c r="L503" i="6"/>
  <c r="AC495" i="6"/>
  <c r="AB495" i="6"/>
  <c r="K504" i="6"/>
  <c r="M507" i="6" s="1"/>
  <c r="AO507" i="6" s="1"/>
  <c r="K502" i="6"/>
  <c r="M505" i="6" s="1"/>
  <c r="AO505" i="6" s="1"/>
  <c r="K506" i="6"/>
  <c r="M509" i="6" s="1"/>
  <c r="AO509" i="6" s="1"/>
  <c r="L499" i="6"/>
  <c r="L501" i="6"/>
  <c r="AI505" i="6"/>
  <c r="F505" i="6"/>
  <c r="AI509" i="6"/>
  <c r="F509" i="6"/>
  <c r="AI507" i="6"/>
  <c r="F507" i="6"/>
  <c r="AP506" i="6" l="1"/>
  <c r="AP504" i="6"/>
  <c r="AP508" i="6"/>
  <c r="Q495" i="11"/>
  <c r="Q494" i="11"/>
  <c r="R494" i="11" s="1"/>
  <c r="Q490" i="11"/>
  <c r="AC498" i="6"/>
  <c r="AG498" i="6" s="1"/>
  <c r="P495" i="11" s="1"/>
  <c r="AG493" i="6"/>
  <c r="P490" i="11" s="1"/>
  <c r="AB496" i="6"/>
  <c r="AF496" i="6" s="1"/>
  <c r="AA503" i="6"/>
  <c r="A505" i="6"/>
  <c r="A507" i="6"/>
  <c r="A509" i="6"/>
  <c r="AD502" i="6"/>
  <c r="N509" i="6"/>
  <c r="AJ509" i="6"/>
  <c r="P509" i="6"/>
  <c r="R509" i="6" s="1"/>
  <c r="AH509" i="6" s="1"/>
  <c r="AD504" i="6"/>
  <c r="AE504" i="6"/>
  <c r="N507" i="6"/>
  <c r="AD506" i="6"/>
  <c r="AE502" i="6"/>
  <c r="P507" i="6"/>
  <c r="R507" i="6" s="1"/>
  <c r="AH507" i="6" s="1"/>
  <c r="AE506" i="6"/>
  <c r="N505" i="6"/>
  <c r="AJ507" i="6"/>
  <c r="P505" i="6"/>
  <c r="R505" i="6" s="1"/>
  <c r="AH505" i="6" s="1"/>
  <c r="AJ505" i="6"/>
  <c r="AL498" i="6"/>
  <c r="AL496" i="6"/>
  <c r="AL500" i="6"/>
  <c r="AK503" i="6"/>
  <c r="AL503" i="6" s="1"/>
  <c r="L506" i="6"/>
  <c r="L504" i="6"/>
  <c r="AF495" i="6"/>
  <c r="AG495" i="6"/>
  <c r="P492" i="11" s="1"/>
  <c r="L502" i="6"/>
  <c r="AC500" i="6"/>
  <c r="AB500" i="6"/>
  <c r="K507" i="6"/>
  <c r="M510" i="6" s="1"/>
  <c r="AO510" i="6" s="1"/>
  <c r="K505" i="6"/>
  <c r="M508" i="6" s="1"/>
  <c r="AO508" i="6" s="1"/>
  <c r="K509" i="6"/>
  <c r="M512" i="6" s="1"/>
  <c r="AO512" i="6" s="1"/>
  <c r="AK501" i="6"/>
  <c r="AA501" i="6"/>
  <c r="AK499" i="6"/>
  <c r="AA499" i="6"/>
  <c r="AI510" i="6"/>
  <c r="F510" i="6"/>
  <c r="F508" i="6"/>
  <c r="AI508" i="6"/>
  <c r="F512" i="6"/>
  <c r="AI512" i="6"/>
  <c r="R495" i="11" l="1"/>
  <c r="R490" i="11"/>
  <c r="AP511" i="6"/>
  <c r="AP507" i="6"/>
  <c r="AP509" i="6"/>
  <c r="Q493" i="11"/>
  <c r="R493" i="11" s="1"/>
  <c r="Q492" i="11"/>
  <c r="R492" i="11" s="1"/>
  <c r="AB503" i="6"/>
  <c r="AC503" i="6"/>
  <c r="AG503" i="6" s="1"/>
  <c r="P500" i="11" s="1"/>
  <c r="AK504" i="6"/>
  <c r="AL504" i="6" s="1"/>
  <c r="AA506" i="6"/>
  <c r="AC506" i="6" s="1"/>
  <c r="AG506" i="6" s="1"/>
  <c r="P503" i="11" s="1"/>
  <c r="AK502" i="6"/>
  <c r="AL502" i="6" s="1"/>
  <c r="A512" i="6"/>
  <c r="A510" i="6"/>
  <c r="A508" i="6"/>
  <c r="AD505" i="6"/>
  <c r="AD507" i="6"/>
  <c r="AE509" i="6"/>
  <c r="AE505" i="6"/>
  <c r="AD509" i="6"/>
  <c r="N510" i="6"/>
  <c r="AJ510" i="6"/>
  <c r="AJ512" i="6"/>
  <c r="AE507" i="6"/>
  <c r="P512" i="6"/>
  <c r="R512" i="6" s="1"/>
  <c r="AH512" i="6" s="1"/>
  <c r="N508" i="6"/>
  <c r="N512" i="6"/>
  <c r="AJ508" i="6"/>
  <c r="P508" i="6"/>
  <c r="R508" i="6" s="1"/>
  <c r="AH508" i="6" s="1"/>
  <c r="P510" i="6"/>
  <c r="R510" i="6" s="1"/>
  <c r="AH510" i="6" s="1"/>
  <c r="AM503" i="6"/>
  <c r="AA504" i="6"/>
  <c r="AB504" i="6" s="1"/>
  <c r="AF504" i="6" s="1"/>
  <c r="AK506" i="6"/>
  <c r="AL506" i="6" s="1"/>
  <c r="AA502" i="6"/>
  <c r="AB502" i="6" s="1"/>
  <c r="L509" i="6"/>
  <c r="L507" i="6"/>
  <c r="L505" i="6"/>
  <c r="AF500" i="6"/>
  <c r="AG500" i="6"/>
  <c r="P497" i="11" s="1"/>
  <c r="K512" i="6"/>
  <c r="M515" i="6" s="1"/>
  <c r="AO515" i="6" s="1"/>
  <c r="K508" i="6"/>
  <c r="M511" i="6" s="1"/>
  <c r="AO511" i="6" s="1"/>
  <c r="K510" i="6"/>
  <c r="M513" i="6" s="1"/>
  <c r="AO513" i="6" s="1"/>
  <c r="AC499" i="6"/>
  <c r="AB499" i="6"/>
  <c r="AM501" i="6"/>
  <c r="AL501" i="6"/>
  <c r="AL499" i="6"/>
  <c r="AM499" i="6"/>
  <c r="AB501" i="6"/>
  <c r="AC501" i="6"/>
  <c r="AI511" i="6"/>
  <c r="F511" i="6"/>
  <c r="AI515" i="6"/>
  <c r="F515" i="6"/>
  <c r="AI513" i="6"/>
  <c r="F513" i="6"/>
  <c r="AP512" i="6" l="1"/>
  <c r="AP510" i="6"/>
  <c r="AP514" i="6"/>
  <c r="Q501" i="11"/>
  <c r="Q497" i="11"/>
  <c r="R497" i="11" s="1"/>
  <c r="AF503" i="6"/>
  <c r="AM502" i="6"/>
  <c r="AM504" i="6"/>
  <c r="AB506" i="6"/>
  <c r="AF506" i="6" s="1"/>
  <c r="AA505" i="6"/>
  <c r="AA507" i="6"/>
  <c r="AA509" i="6"/>
  <c r="AB509" i="6" s="1"/>
  <c r="AF509" i="6" s="1"/>
  <c r="A511" i="6"/>
  <c r="A515" i="6"/>
  <c r="A513" i="6"/>
  <c r="AK507" i="6"/>
  <c r="AL507" i="6" s="1"/>
  <c r="AE512" i="6"/>
  <c r="AD512" i="6"/>
  <c r="P513" i="6"/>
  <c r="R513" i="6" s="1"/>
  <c r="AH513" i="6" s="1"/>
  <c r="AD508" i="6"/>
  <c r="AE508" i="6"/>
  <c r="P511" i="6"/>
  <c r="R511" i="6" s="1"/>
  <c r="AH511" i="6" s="1"/>
  <c r="AJ513" i="6"/>
  <c r="N511" i="6"/>
  <c r="AE510" i="6"/>
  <c r="AD510" i="6"/>
  <c r="N515" i="6"/>
  <c r="N513" i="6"/>
  <c r="AJ511" i="6"/>
  <c r="AJ515" i="6"/>
  <c r="P515" i="6"/>
  <c r="R515" i="6" s="1"/>
  <c r="AH515" i="6" s="1"/>
  <c r="AK505" i="6"/>
  <c r="AM505" i="6" s="1"/>
  <c r="AC504" i="6"/>
  <c r="AM506" i="6"/>
  <c r="AF502" i="6"/>
  <c r="AC502" i="6"/>
  <c r="AK509" i="6"/>
  <c r="AM509" i="6" s="1"/>
  <c r="L508" i="6"/>
  <c r="L510" i="6"/>
  <c r="L512" i="6"/>
  <c r="K513" i="6"/>
  <c r="M516" i="6" s="1"/>
  <c r="AO516" i="6" s="1"/>
  <c r="K511" i="6"/>
  <c r="M514" i="6" s="1"/>
  <c r="AO514" i="6" s="1"/>
  <c r="K515" i="6"/>
  <c r="M518" i="6" s="1"/>
  <c r="AO518" i="6" s="1"/>
  <c r="AG501" i="6"/>
  <c r="P498" i="11" s="1"/>
  <c r="AG499" i="6"/>
  <c r="P496" i="11" s="1"/>
  <c r="AF501" i="6"/>
  <c r="AF499" i="6"/>
  <c r="AI516" i="6"/>
  <c r="F516" i="6"/>
  <c r="AI514" i="6"/>
  <c r="F514" i="6"/>
  <c r="AI518" i="6"/>
  <c r="F518" i="6"/>
  <c r="AP515" i="6" l="1"/>
  <c r="AP513" i="6"/>
  <c r="AP517" i="6"/>
  <c r="Q503" i="11"/>
  <c r="R503" i="11" s="1"/>
  <c r="Q496" i="11"/>
  <c r="R496" i="11" s="1"/>
  <c r="Q498" i="11"/>
  <c r="R498" i="11" s="1"/>
  <c r="Q499" i="11"/>
  <c r="Q506" i="11"/>
  <c r="Q500" i="11"/>
  <c r="R500" i="11" s="1"/>
  <c r="AC509" i="6"/>
  <c r="AG509" i="6" s="1"/>
  <c r="P506" i="11" s="1"/>
  <c r="AB505" i="6"/>
  <c r="AC505" i="6"/>
  <c r="AB507" i="6"/>
  <c r="AC507" i="6"/>
  <c r="AA508" i="6"/>
  <c r="AA512" i="6"/>
  <c r="AC512" i="6" s="1"/>
  <c r="AA510" i="6"/>
  <c r="AC510" i="6" s="1"/>
  <c r="AG510" i="6" s="1"/>
  <c r="P507" i="11" s="1"/>
  <c r="A518" i="6"/>
  <c r="A514" i="6"/>
  <c r="A516" i="6"/>
  <c r="AM507" i="6"/>
  <c r="AE511" i="6"/>
  <c r="AE513" i="6"/>
  <c r="AD513" i="6"/>
  <c r="N514" i="6"/>
  <c r="AD511" i="6"/>
  <c r="AK510" i="6"/>
  <c r="AL510" i="6" s="1"/>
  <c r="AD515" i="6"/>
  <c r="AK508" i="6"/>
  <c r="AM508" i="6" s="1"/>
  <c r="AE515" i="6"/>
  <c r="AJ516" i="6"/>
  <c r="N516" i="6"/>
  <c r="AJ514" i="6"/>
  <c r="N518" i="6"/>
  <c r="P514" i="6"/>
  <c r="R514" i="6" s="1"/>
  <c r="AH514" i="6" s="1"/>
  <c r="P518" i="6"/>
  <c r="R518" i="6" s="1"/>
  <c r="AH518" i="6" s="1"/>
  <c r="AJ518" i="6"/>
  <c r="P516" i="6"/>
  <c r="R516" i="6" s="1"/>
  <c r="AH516" i="6" s="1"/>
  <c r="AL505" i="6"/>
  <c r="AG504" i="6"/>
  <c r="P501" i="11" s="1"/>
  <c r="R501" i="11" s="1"/>
  <c r="AK512" i="6"/>
  <c r="AL512" i="6" s="1"/>
  <c r="AL509" i="6"/>
  <c r="AG502" i="6"/>
  <c r="P499" i="11" s="1"/>
  <c r="L511" i="6"/>
  <c r="K518" i="6"/>
  <c r="M521" i="6" s="1"/>
  <c r="AO521" i="6" s="1"/>
  <c r="K516" i="6"/>
  <c r="M519" i="6" s="1"/>
  <c r="AO519" i="6" s="1"/>
  <c r="K514" i="6"/>
  <c r="M517" i="6" s="1"/>
  <c r="AO517" i="6" s="1"/>
  <c r="L515" i="6"/>
  <c r="L513" i="6"/>
  <c r="AI521" i="6"/>
  <c r="F521" i="6"/>
  <c r="AI517" i="6"/>
  <c r="F517" i="6"/>
  <c r="AI519" i="6"/>
  <c r="F519" i="6"/>
  <c r="R499" i="11" l="1"/>
  <c r="R506" i="11"/>
  <c r="AP516" i="6"/>
  <c r="AP518" i="6"/>
  <c r="AP520" i="6"/>
  <c r="AG507" i="6"/>
  <c r="AB508" i="6"/>
  <c r="AF508" i="6" s="1"/>
  <c r="AF505" i="6"/>
  <c r="AG505" i="6"/>
  <c r="P502" i="11" s="1"/>
  <c r="AG512" i="6"/>
  <c r="P509" i="11" s="1"/>
  <c r="AF507" i="6"/>
  <c r="AB512" i="6"/>
  <c r="AF512" i="6" s="1"/>
  <c r="AC508" i="6"/>
  <c r="AG508" i="6" s="1"/>
  <c r="P505" i="11" s="1"/>
  <c r="AB510" i="6"/>
  <c r="AF510" i="6" s="1"/>
  <c r="AK511" i="6"/>
  <c r="AL511" i="6" s="1"/>
  <c r="A519" i="6"/>
  <c r="A521" i="6"/>
  <c r="A517" i="6"/>
  <c r="AE514" i="6"/>
  <c r="AL508" i="6"/>
  <c r="AM510" i="6"/>
  <c r="AD518" i="6"/>
  <c r="AE518" i="6"/>
  <c r="P521" i="6"/>
  <c r="R521" i="6" s="1"/>
  <c r="AH521" i="6" s="1"/>
  <c r="P519" i="6"/>
  <c r="R519" i="6" s="1"/>
  <c r="AH519" i="6" s="1"/>
  <c r="N519" i="6"/>
  <c r="AJ517" i="6"/>
  <c r="AD516" i="6"/>
  <c r="AD514" i="6"/>
  <c r="N517" i="6"/>
  <c r="AE516" i="6"/>
  <c r="AJ519" i="6"/>
  <c r="N521" i="6"/>
  <c r="P517" i="6"/>
  <c r="R517" i="6" s="1"/>
  <c r="AH517" i="6" s="1"/>
  <c r="AJ521" i="6"/>
  <c r="AM512" i="6"/>
  <c r="AA511" i="6"/>
  <c r="AC511" i="6" s="1"/>
  <c r="AG511" i="6" s="1"/>
  <c r="P508" i="11" s="1"/>
  <c r="L514" i="6"/>
  <c r="L518" i="6"/>
  <c r="L516" i="6"/>
  <c r="K517" i="6"/>
  <c r="M520" i="6" s="1"/>
  <c r="AO520" i="6" s="1"/>
  <c r="K519" i="6"/>
  <c r="M522" i="6" s="1"/>
  <c r="AO522" i="6" s="1"/>
  <c r="K521" i="6"/>
  <c r="M524" i="6" s="1"/>
  <c r="AO524" i="6" s="1"/>
  <c r="AK513" i="6"/>
  <c r="AA513" i="6"/>
  <c r="AK515" i="6"/>
  <c r="AA515" i="6"/>
  <c r="AI522" i="6"/>
  <c r="F522" i="6"/>
  <c r="F524" i="6"/>
  <c r="AI524" i="6"/>
  <c r="AI520" i="6"/>
  <c r="F520" i="6"/>
  <c r="AP519" i="6" l="1"/>
  <c r="AP521" i="6"/>
  <c r="AP523" i="6"/>
  <c r="Q509" i="11"/>
  <c r="R509" i="11" s="1"/>
  <c r="Q505" i="11"/>
  <c r="R505" i="11" s="1"/>
  <c r="Q507" i="11"/>
  <c r="R507" i="11" s="1"/>
  <c r="Q504" i="11"/>
  <c r="Q502" i="11"/>
  <c r="R502" i="11" s="1"/>
  <c r="P504" i="11"/>
  <c r="AM511" i="6"/>
  <c r="AK514" i="6"/>
  <c r="AM514" i="6" s="1"/>
  <c r="AK516" i="6"/>
  <c r="AM516" i="6" s="1"/>
  <c r="AA518" i="6"/>
  <c r="AC518" i="6" s="1"/>
  <c r="AG518" i="6" s="1"/>
  <c r="P515" i="11" s="1"/>
  <c r="A524" i="6"/>
  <c r="A522" i="6"/>
  <c r="A520" i="6"/>
  <c r="AE521" i="6"/>
  <c r="N522" i="6"/>
  <c r="P522" i="6"/>
  <c r="R522" i="6" s="1"/>
  <c r="AH522" i="6" s="1"/>
  <c r="AJ522" i="6"/>
  <c r="AE519" i="6"/>
  <c r="AD519" i="6"/>
  <c r="AJ520" i="6"/>
  <c r="AD521" i="6"/>
  <c r="N524" i="6"/>
  <c r="P524" i="6"/>
  <c r="R524" i="6" s="1"/>
  <c r="AH524" i="6" s="1"/>
  <c r="AD517" i="6"/>
  <c r="AE517" i="6"/>
  <c r="P520" i="6"/>
  <c r="R520" i="6" s="1"/>
  <c r="AH520" i="6" s="1"/>
  <c r="N520" i="6"/>
  <c r="AJ524" i="6"/>
  <c r="AB511" i="6"/>
  <c r="AF511" i="6" s="1"/>
  <c r="AA514" i="6"/>
  <c r="AC514" i="6" s="1"/>
  <c r="L521" i="6"/>
  <c r="AA516" i="6"/>
  <c r="AK518" i="6"/>
  <c r="AM518" i="6" s="1"/>
  <c r="L517" i="6"/>
  <c r="L519" i="6"/>
  <c r="K522" i="6"/>
  <c r="M525" i="6" s="1"/>
  <c r="AO525" i="6" s="1"/>
  <c r="K520" i="6"/>
  <c r="M523" i="6" s="1"/>
  <c r="AO523" i="6" s="1"/>
  <c r="K524" i="6"/>
  <c r="M527" i="6" s="1"/>
  <c r="AO527" i="6" s="1"/>
  <c r="AL515" i="6"/>
  <c r="AM515" i="6"/>
  <c r="AB513" i="6"/>
  <c r="AC513" i="6"/>
  <c r="AB515" i="6"/>
  <c r="AC515" i="6"/>
  <c r="AM513" i="6"/>
  <c r="AL513" i="6"/>
  <c r="AI523" i="6"/>
  <c r="F523" i="6"/>
  <c r="AI525" i="6"/>
  <c r="F525" i="6"/>
  <c r="AI527" i="6"/>
  <c r="F527" i="6"/>
  <c r="R504" i="11" l="1"/>
  <c r="AP524" i="6"/>
  <c r="AP522" i="6"/>
  <c r="AP526" i="6"/>
  <c r="Q508" i="11"/>
  <c r="R508" i="11" s="1"/>
  <c r="AL514" i="6"/>
  <c r="AL516" i="6"/>
  <c r="AB518" i="6"/>
  <c r="AF518" i="6" s="1"/>
  <c r="AA519" i="6"/>
  <c r="AA521" i="6"/>
  <c r="AC521" i="6" s="1"/>
  <c r="AG521" i="6" s="1"/>
  <c r="P518" i="11" s="1"/>
  <c r="AA517" i="6"/>
  <c r="A525" i="6"/>
  <c r="A527" i="6"/>
  <c r="A523" i="6"/>
  <c r="AD522" i="6"/>
  <c r="AE522" i="6"/>
  <c r="P527" i="6"/>
  <c r="R527" i="6" s="1"/>
  <c r="AH527" i="6" s="1"/>
  <c r="AD524" i="6"/>
  <c r="AE524" i="6"/>
  <c r="N525" i="6"/>
  <c r="AD520" i="6"/>
  <c r="AE520" i="6"/>
  <c r="N523" i="6"/>
  <c r="P523" i="6"/>
  <c r="R523" i="6" s="1"/>
  <c r="AH523" i="6" s="1"/>
  <c r="AJ525" i="6"/>
  <c r="AJ523" i="6"/>
  <c r="P525" i="6"/>
  <c r="R525" i="6" s="1"/>
  <c r="AH525" i="6" s="1"/>
  <c r="AJ527" i="6"/>
  <c r="N527" i="6"/>
  <c r="AL518" i="6"/>
  <c r="AG514" i="6"/>
  <c r="P511" i="11" s="1"/>
  <c r="AK521" i="6"/>
  <c r="AL521" i="6" s="1"/>
  <c r="AB514" i="6"/>
  <c r="AK519" i="6"/>
  <c r="AM519" i="6" s="1"/>
  <c r="AK517" i="6"/>
  <c r="AL517" i="6" s="1"/>
  <c r="AC516" i="6"/>
  <c r="AB516" i="6"/>
  <c r="L520" i="6"/>
  <c r="K527" i="6"/>
  <c r="M530" i="6" s="1"/>
  <c r="AO530" i="6" s="1"/>
  <c r="K523" i="6"/>
  <c r="M526" i="6" s="1"/>
  <c r="AO526" i="6" s="1"/>
  <c r="K525" i="6"/>
  <c r="M528" i="6" s="1"/>
  <c r="AO528" i="6" s="1"/>
  <c r="AF515" i="6"/>
  <c r="AG513" i="6"/>
  <c r="P510" i="11" s="1"/>
  <c r="AG515" i="6"/>
  <c r="P512" i="11" s="1"/>
  <c r="AF513" i="6"/>
  <c r="L524" i="6"/>
  <c r="L522" i="6"/>
  <c r="AI530" i="6"/>
  <c r="F530" i="6"/>
  <c r="AI526" i="6"/>
  <c r="F526" i="6"/>
  <c r="AI528" i="6"/>
  <c r="F528" i="6"/>
  <c r="AP527" i="6" l="1"/>
  <c r="AP529" i="6"/>
  <c r="AP525" i="6"/>
  <c r="Q512" i="11"/>
  <c r="R512" i="11" s="1"/>
  <c r="Q510" i="11"/>
  <c r="R510" i="11" s="1"/>
  <c r="Q515" i="11"/>
  <c r="R515" i="11" s="1"/>
  <c r="AB521" i="6"/>
  <c r="AF521" i="6" s="1"/>
  <c r="AB517" i="6"/>
  <c r="AC519" i="6"/>
  <c r="AG519" i="6" s="1"/>
  <c r="P516" i="11" s="1"/>
  <c r="AB519" i="6"/>
  <c r="AC517" i="6"/>
  <c r="AA520" i="6"/>
  <c r="AB520" i="6" s="1"/>
  <c r="AF520" i="6" s="1"/>
  <c r="A530" i="6"/>
  <c r="A528" i="6"/>
  <c r="A526" i="6"/>
  <c r="AD527" i="6"/>
  <c r="AE527" i="6"/>
  <c r="AD525" i="6"/>
  <c r="P530" i="6"/>
  <c r="R530" i="6" s="1"/>
  <c r="AH530" i="6" s="1"/>
  <c r="AJ530" i="6"/>
  <c r="P526" i="6"/>
  <c r="R526" i="6" s="1"/>
  <c r="AH526" i="6" s="1"/>
  <c r="AE523" i="6"/>
  <c r="AD523" i="6"/>
  <c r="AJ528" i="6"/>
  <c r="AE525" i="6"/>
  <c r="N530" i="6"/>
  <c r="AM521" i="6"/>
  <c r="N528" i="6"/>
  <c r="AK520" i="6"/>
  <c r="AL520" i="6" s="1"/>
  <c r="AJ526" i="6"/>
  <c r="P528" i="6"/>
  <c r="R528" i="6" s="1"/>
  <c r="AH528" i="6" s="1"/>
  <c r="N526" i="6"/>
  <c r="AL519" i="6"/>
  <c r="AF514" i="6"/>
  <c r="AM517" i="6"/>
  <c r="AF516" i="6"/>
  <c r="AG516" i="6"/>
  <c r="P513" i="11" s="1"/>
  <c r="L523" i="6"/>
  <c r="K526" i="6"/>
  <c r="M529" i="6" s="1"/>
  <c r="AO529" i="6" s="1"/>
  <c r="K528" i="6"/>
  <c r="M531" i="6" s="1"/>
  <c r="AO531" i="6" s="1"/>
  <c r="K530" i="6"/>
  <c r="M533" i="6" s="1"/>
  <c r="AO533" i="6" s="1"/>
  <c r="AK522" i="6"/>
  <c r="AA522" i="6"/>
  <c r="AK524" i="6"/>
  <c r="AA524" i="6"/>
  <c r="L525" i="6"/>
  <c r="L527" i="6"/>
  <c r="AI531" i="6"/>
  <c r="F531" i="6"/>
  <c r="AI533" i="6"/>
  <c r="F533" i="6"/>
  <c r="AI529" i="6"/>
  <c r="F529" i="6"/>
  <c r="AP528" i="6" l="1"/>
  <c r="AP532" i="6"/>
  <c r="AP530" i="6"/>
  <c r="Q511" i="11"/>
  <c r="R511" i="11" s="1"/>
  <c r="Q513" i="11"/>
  <c r="R513" i="11" s="1"/>
  <c r="Q517" i="11"/>
  <c r="Q518" i="11"/>
  <c r="R518" i="11" s="1"/>
  <c r="AF517" i="6"/>
  <c r="AF519" i="6"/>
  <c r="AC520" i="6"/>
  <c r="AG520" i="6" s="1"/>
  <c r="P517" i="11" s="1"/>
  <c r="AG517" i="6"/>
  <c r="P514" i="11" s="1"/>
  <c r="AE530" i="6"/>
  <c r="A529" i="6"/>
  <c r="A531" i="6"/>
  <c r="A533" i="6"/>
  <c r="AD530" i="6"/>
  <c r="AE528" i="6"/>
  <c r="AK523" i="6"/>
  <c r="AL523" i="6" s="1"/>
  <c r="AD528" i="6"/>
  <c r="N529" i="6"/>
  <c r="AJ529" i="6"/>
  <c r="AE526" i="6"/>
  <c r="AM520" i="6"/>
  <c r="P533" i="6"/>
  <c r="R533" i="6" s="1"/>
  <c r="AH533" i="6" s="1"/>
  <c r="AD526" i="6"/>
  <c r="P529" i="6"/>
  <c r="R529" i="6" s="1"/>
  <c r="AH529" i="6" s="1"/>
  <c r="N531" i="6"/>
  <c r="N533" i="6"/>
  <c r="P531" i="6"/>
  <c r="R531" i="6" s="1"/>
  <c r="AH531" i="6" s="1"/>
  <c r="AJ533" i="6"/>
  <c r="AJ531" i="6"/>
  <c r="AA523" i="6"/>
  <c r="AC523" i="6" s="1"/>
  <c r="AG523" i="6" s="1"/>
  <c r="P520" i="11" s="1"/>
  <c r="L530" i="6"/>
  <c r="L526" i="6"/>
  <c r="L528" i="6"/>
  <c r="K529" i="6"/>
  <c r="M532" i="6" s="1"/>
  <c r="AO532" i="6" s="1"/>
  <c r="K531" i="6"/>
  <c r="M534" i="6" s="1"/>
  <c r="AO534" i="6" s="1"/>
  <c r="K533" i="6"/>
  <c r="M536" i="6" s="1"/>
  <c r="AO536" i="6" s="1"/>
  <c r="AK525" i="6"/>
  <c r="AA525" i="6"/>
  <c r="AK527" i="6"/>
  <c r="AA527" i="6"/>
  <c r="AC524" i="6"/>
  <c r="AB524" i="6"/>
  <c r="AB522" i="6"/>
  <c r="AC522" i="6"/>
  <c r="AM524" i="6"/>
  <c r="AL524" i="6"/>
  <c r="AL522" i="6"/>
  <c r="AM522" i="6"/>
  <c r="F532" i="6"/>
  <c r="AI532" i="6"/>
  <c r="AI534" i="6"/>
  <c r="F534" i="6"/>
  <c r="AI536" i="6"/>
  <c r="F536" i="6"/>
  <c r="R517" i="11" l="1"/>
  <c r="AP531" i="6"/>
  <c r="AP533" i="6"/>
  <c r="AP535" i="6"/>
  <c r="Q516" i="11"/>
  <c r="R516" i="11" s="1"/>
  <c r="Q514" i="11"/>
  <c r="R514" i="11" s="1"/>
  <c r="AA528" i="6"/>
  <c r="AA530" i="6"/>
  <c r="A534" i="6"/>
  <c r="A536" i="6"/>
  <c r="A532" i="6"/>
  <c r="AM523" i="6"/>
  <c r="AD531" i="6"/>
  <c r="AD533" i="6"/>
  <c r="AE533" i="6"/>
  <c r="P536" i="6"/>
  <c r="R536" i="6" s="1"/>
  <c r="AH536" i="6" s="1"/>
  <c r="AD529" i="6"/>
  <c r="N534" i="6"/>
  <c r="AE529" i="6"/>
  <c r="P534" i="6"/>
  <c r="R534" i="6" s="1"/>
  <c r="AH534" i="6" s="1"/>
  <c r="AE531" i="6"/>
  <c r="AJ534" i="6"/>
  <c r="P532" i="6"/>
  <c r="R532" i="6" s="1"/>
  <c r="AH532" i="6" s="1"/>
  <c r="AJ532" i="6"/>
  <c r="AJ536" i="6"/>
  <c r="N532" i="6"/>
  <c r="N536" i="6"/>
  <c r="AK530" i="6"/>
  <c r="AM530" i="6" s="1"/>
  <c r="AK528" i="6"/>
  <c r="AL528" i="6" s="1"/>
  <c r="AB523" i="6"/>
  <c r="AK526" i="6"/>
  <c r="AM526" i="6" s="1"/>
  <c r="AA526" i="6"/>
  <c r="L529" i="6"/>
  <c r="L533" i="6"/>
  <c r="L531" i="6"/>
  <c r="K532" i="6"/>
  <c r="M535" i="6" s="1"/>
  <c r="AO535" i="6" s="1"/>
  <c r="K534" i="6"/>
  <c r="M537" i="6" s="1"/>
  <c r="AO537" i="6" s="1"/>
  <c r="K536" i="6"/>
  <c r="M539" i="6" s="1"/>
  <c r="AO539" i="6" s="1"/>
  <c r="AF524" i="6"/>
  <c r="AG522" i="6"/>
  <c r="P519" i="11" s="1"/>
  <c r="AG524" i="6"/>
  <c r="P521" i="11" s="1"/>
  <c r="AM527" i="6"/>
  <c r="AL527" i="6"/>
  <c r="AM525" i="6"/>
  <c r="AL525" i="6"/>
  <c r="AF522" i="6"/>
  <c r="AB527" i="6"/>
  <c r="AC527" i="6"/>
  <c r="AC525" i="6"/>
  <c r="AB525" i="6"/>
  <c r="AI539" i="6"/>
  <c r="F539" i="6"/>
  <c r="AI537" i="6"/>
  <c r="F537" i="6"/>
  <c r="AI535" i="6"/>
  <c r="F535" i="6"/>
  <c r="AP536" i="6" l="1"/>
  <c r="AP538" i="6"/>
  <c r="AP534" i="6"/>
  <c r="Q521" i="11"/>
  <c r="R521" i="11" s="1"/>
  <c r="Q519" i="11"/>
  <c r="R519" i="11" s="1"/>
  <c r="AC530" i="6"/>
  <c r="AG530" i="6" s="1"/>
  <c r="P527" i="11" s="1"/>
  <c r="AB528" i="6"/>
  <c r="AF528" i="6" s="1"/>
  <c r="AC528" i="6"/>
  <c r="AG528" i="6" s="1"/>
  <c r="P525" i="11" s="1"/>
  <c r="AB530" i="6"/>
  <c r="AA529" i="6"/>
  <c r="AC529" i="6" s="1"/>
  <c r="AG529" i="6" s="1"/>
  <c r="P526" i="11" s="1"/>
  <c r="AA531" i="6"/>
  <c r="AA533" i="6"/>
  <c r="A539" i="6"/>
  <c r="A535" i="6"/>
  <c r="A537" i="6"/>
  <c r="AE536" i="6"/>
  <c r="AJ539" i="6"/>
  <c r="AD536" i="6"/>
  <c r="AE534" i="6"/>
  <c r="AJ537" i="6"/>
  <c r="AE532" i="6"/>
  <c r="AD534" i="6"/>
  <c r="P537" i="6"/>
  <c r="R537" i="6" s="1"/>
  <c r="AH537" i="6" s="1"/>
  <c r="AD532" i="6"/>
  <c r="P535" i="6"/>
  <c r="R535" i="6" s="1"/>
  <c r="AH535" i="6" s="1"/>
  <c r="N539" i="6"/>
  <c r="AJ535" i="6"/>
  <c r="P539" i="6"/>
  <c r="R539" i="6" s="1"/>
  <c r="AH539" i="6" s="1"/>
  <c r="N537" i="6"/>
  <c r="N535" i="6"/>
  <c r="AM528" i="6"/>
  <c r="AL526" i="6"/>
  <c r="AL530" i="6"/>
  <c r="AK533" i="6"/>
  <c r="AL533" i="6" s="1"/>
  <c r="AK531" i="6"/>
  <c r="AL531" i="6" s="1"/>
  <c r="AF523" i="6"/>
  <c r="AB526" i="6"/>
  <c r="AC526" i="6"/>
  <c r="AK529" i="6"/>
  <c r="AM529" i="6" s="1"/>
  <c r="L532" i="6"/>
  <c r="L536" i="6"/>
  <c r="L534" i="6"/>
  <c r="K535" i="6"/>
  <c r="M538" i="6" s="1"/>
  <c r="AO538" i="6" s="1"/>
  <c r="K537" i="6"/>
  <c r="M540" i="6" s="1"/>
  <c r="AO540" i="6" s="1"/>
  <c r="K539" i="6"/>
  <c r="M542" i="6" s="1"/>
  <c r="AO542" i="6" s="1"/>
  <c r="AG525" i="6"/>
  <c r="P522" i="11" s="1"/>
  <c r="AF525" i="6"/>
  <c r="AG527" i="6"/>
  <c r="P524" i="11" s="1"/>
  <c r="AF527" i="6"/>
  <c r="AI538" i="6"/>
  <c r="F538" i="6"/>
  <c r="AI540" i="6"/>
  <c r="F540" i="6"/>
  <c r="AI542" i="6"/>
  <c r="F542" i="6"/>
  <c r="AP537" i="6" l="1"/>
  <c r="AP541" i="6"/>
  <c r="AP539" i="6"/>
  <c r="Q522" i="11"/>
  <c r="R522" i="11" s="1"/>
  <c r="Q520" i="11"/>
  <c r="R520" i="11" s="1"/>
  <c r="Q525" i="11"/>
  <c r="R525" i="11" s="1"/>
  <c r="Q524" i="11"/>
  <c r="R524" i="11" s="1"/>
  <c r="AC533" i="6"/>
  <c r="AG533" i="6" s="1"/>
  <c r="P530" i="11" s="1"/>
  <c r="AB533" i="6"/>
  <c r="AB529" i="6"/>
  <c r="AF530" i="6"/>
  <c r="AB531" i="6"/>
  <c r="AC531" i="6"/>
  <c r="AG531" i="6" s="1"/>
  <c r="P528" i="11" s="1"/>
  <c r="AA534" i="6"/>
  <c r="AB534" i="6" s="1"/>
  <c r="AF534" i="6" s="1"/>
  <c r="AA536" i="6"/>
  <c r="A538" i="6"/>
  <c r="A542" i="6"/>
  <c r="A540" i="6"/>
  <c r="AE537" i="6"/>
  <c r="P542" i="6"/>
  <c r="R542" i="6" s="1"/>
  <c r="AH542" i="6" s="1"/>
  <c r="AJ540" i="6"/>
  <c r="P540" i="6"/>
  <c r="R540" i="6" s="1"/>
  <c r="AH540" i="6" s="1"/>
  <c r="N540" i="6"/>
  <c r="AE535" i="6"/>
  <c r="AD537" i="6"/>
  <c r="AJ542" i="6"/>
  <c r="AD539" i="6"/>
  <c r="N542" i="6"/>
  <c r="AD535" i="6"/>
  <c r="AE539" i="6"/>
  <c r="AJ538" i="6"/>
  <c r="N538" i="6"/>
  <c r="AM533" i="6"/>
  <c r="P538" i="6"/>
  <c r="R538" i="6" s="1"/>
  <c r="AH538" i="6" s="1"/>
  <c r="AM531" i="6"/>
  <c r="AK536" i="6"/>
  <c r="AM536" i="6" s="1"/>
  <c r="AK532" i="6"/>
  <c r="AL532" i="6" s="1"/>
  <c r="AK534" i="6"/>
  <c r="AL534" i="6" s="1"/>
  <c r="AL529" i="6"/>
  <c r="AA532" i="6"/>
  <c r="AF526" i="6"/>
  <c r="AG526" i="6"/>
  <c r="P523" i="11" s="1"/>
  <c r="L537" i="6"/>
  <c r="K538" i="6"/>
  <c r="M541" i="6" s="1"/>
  <c r="AO541" i="6" s="1"/>
  <c r="K540" i="6"/>
  <c r="M543" i="6" s="1"/>
  <c r="AO543" i="6" s="1"/>
  <c r="K542" i="6"/>
  <c r="M545" i="6" s="1"/>
  <c r="AO545" i="6" s="1"/>
  <c r="L539" i="6"/>
  <c r="L535" i="6"/>
  <c r="F545" i="6"/>
  <c r="AI545" i="6"/>
  <c r="AI541" i="6"/>
  <c r="F541" i="6"/>
  <c r="AI543" i="6"/>
  <c r="F543" i="6"/>
  <c r="AP540" i="6" l="1"/>
  <c r="AP544" i="6"/>
  <c r="AP542" i="6"/>
  <c r="Q527" i="11"/>
  <c r="R527" i="11" s="1"/>
  <c r="Q531" i="11"/>
  <c r="Q523" i="11"/>
  <c r="R523" i="11" s="1"/>
  <c r="AF531" i="6"/>
  <c r="AF533" i="6"/>
  <c r="AF529" i="6"/>
  <c r="AC534" i="6"/>
  <c r="AG534" i="6" s="1"/>
  <c r="P531" i="11" s="1"/>
  <c r="AB536" i="6"/>
  <c r="AC536" i="6"/>
  <c r="AG536" i="6" s="1"/>
  <c r="P533" i="11" s="1"/>
  <c r="AA537" i="6"/>
  <c r="AC537" i="6" s="1"/>
  <c r="AG537" i="6" s="1"/>
  <c r="P534" i="11" s="1"/>
  <c r="A541" i="6"/>
  <c r="A545" i="6"/>
  <c r="A543" i="6"/>
  <c r="AD542" i="6"/>
  <c r="AE542" i="6"/>
  <c r="AD540" i="6"/>
  <c r="AE540" i="6"/>
  <c r="AD538" i="6"/>
  <c r="N541" i="6"/>
  <c r="N545" i="6"/>
  <c r="N543" i="6"/>
  <c r="AJ545" i="6"/>
  <c r="AE538" i="6"/>
  <c r="P541" i="6"/>
  <c r="R541" i="6" s="1"/>
  <c r="AH541" i="6" s="1"/>
  <c r="P543" i="6"/>
  <c r="R543" i="6" s="1"/>
  <c r="AH543" i="6" s="1"/>
  <c r="P545" i="6"/>
  <c r="R545" i="6" s="1"/>
  <c r="AH545" i="6" s="1"/>
  <c r="AJ543" i="6"/>
  <c r="AJ541" i="6"/>
  <c r="AK537" i="6"/>
  <c r="AL537" i="6" s="1"/>
  <c r="AM532" i="6"/>
  <c r="AL536" i="6"/>
  <c r="AM534" i="6"/>
  <c r="AC532" i="6"/>
  <c r="AB532" i="6"/>
  <c r="L540" i="6"/>
  <c r="K543" i="6"/>
  <c r="M546" i="6" s="1"/>
  <c r="AO546" i="6" s="1"/>
  <c r="K541" i="6"/>
  <c r="M544" i="6" s="1"/>
  <c r="AO544" i="6" s="1"/>
  <c r="K545" i="6"/>
  <c r="M548" i="6" s="1"/>
  <c r="AO548" i="6" s="1"/>
  <c r="AK535" i="6"/>
  <c r="AA535" i="6"/>
  <c r="L542" i="6"/>
  <c r="L538" i="6"/>
  <c r="AK539" i="6"/>
  <c r="AA539" i="6"/>
  <c r="AI546" i="6"/>
  <c r="F546" i="6"/>
  <c r="AI544" i="6"/>
  <c r="F544" i="6"/>
  <c r="F548" i="6"/>
  <c r="AI548" i="6"/>
  <c r="R531" i="11" l="1"/>
  <c r="AP547" i="6"/>
  <c r="AP543" i="6"/>
  <c r="AP545" i="6"/>
  <c r="Q528" i="11"/>
  <c r="R528" i="11" s="1"/>
  <c r="Q530" i="11"/>
  <c r="R530" i="11" s="1"/>
  <c r="Q526" i="11"/>
  <c r="R526" i="11" s="1"/>
  <c r="AB537" i="6"/>
  <c r="AF537" i="6" s="1"/>
  <c r="AF536" i="6"/>
  <c r="AA540" i="6"/>
  <c r="A546" i="6"/>
  <c r="A548" i="6"/>
  <c r="A544" i="6"/>
  <c r="AD543" i="6"/>
  <c r="AE543" i="6"/>
  <c r="AD545" i="6"/>
  <c r="AE541" i="6"/>
  <c r="AM537" i="6"/>
  <c r="P544" i="6"/>
  <c r="R544" i="6" s="1"/>
  <c r="AH544" i="6" s="1"/>
  <c r="AE545" i="6"/>
  <c r="AD541" i="6"/>
  <c r="AJ544" i="6"/>
  <c r="P546" i="6"/>
  <c r="R546" i="6" s="1"/>
  <c r="AH546" i="6" s="1"/>
  <c r="N546" i="6"/>
  <c r="P548" i="6"/>
  <c r="R548" i="6" s="1"/>
  <c r="AH548" i="6" s="1"/>
  <c r="AJ546" i="6"/>
  <c r="N548" i="6"/>
  <c r="N544" i="6"/>
  <c r="AJ548" i="6"/>
  <c r="AF532" i="6"/>
  <c r="AG532" i="6"/>
  <c r="P529" i="11" s="1"/>
  <c r="AK540" i="6"/>
  <c r="AL540" i="6" s="1"/>
  <c r="L545" i="6"/>
  <c r="L543" i="6"/>
  <c r="L541" i="6"/>
  <c r="K546" i="6"/>
  <c r="M549" i="6" s="1"/>
  <c r="AO549" i="6" s="1"/>
  <c r="K544" i="6"/>
  <c r="M547" i="6" s="1"/>
  <c r="AO547" i="6" s="1"/>
  <c r="K548" i="6"/>
  <c r="M551" i="6" s="1"/>
  <c r="AO551" i="6" s="1"/>
  <c r="AM539" i="6"/>
  <c r="AL539" i="6"/>
  <c r="AK542" i="6"/>
  <c r="AA542" i="6"/>
  <c r="AB535" i="6"/>
  <c r="AC535" i="6"/>
  <c r="AC539" i="6"/>
  <c r="AB539" i="6"/>
  <c r="AK538" i="6"/>
  <c r="AA538" i="6"/>
  <c r="AL535" i="6"/>
  <c r="AM535" i="6"/>
  <c r="AI549" i="6"/>
  <c r="F549" i="6"/>
  <c r="AI551" i="6"/>
  <c r="F551" i="6"/>
  <c r="AI547" i="6"/>
  <c r="F547" i="6"/>
  <c r="AP546" i="6" l="1"/>
  <c r="AP550" i="6"/>
  <c r="AP548" i="6"/>
  <c r="Q533" i="11"/>
  <c r="R533" i="11" s="1"/>
  <c r="Q534" i="11"/>
  <c r="R534" i="11" s="1"/>
  <c r="Q529" i="11"/>
  <c r="R529" i="11" s="1"/>
  <c r="AB540" i="6"/>
  <c r="AF540" i="6" s="1"/>
  <c r="AC540" i="6"/>
  <c r="AK541" i="6"/>
  <c r="AM541" i="6" s="1"/>
  <c r="AK545" i="6"/>
  <c r="AM545" i="6" s="1"/>
  <c r="A551" i="6"/>
  <c r="A549" i="6"/>
  <c r="A547" i="6"/>
  <c r="AE544" i="6"/>
  <c r="AJ549" i="6"/>
  <c r="AD546" i="6"/>
  <c r="P549" i="6"/>
  <c r="R549" i="6" s="1"/>
  <c r="AH549" i="6" s="1"/>
  <c r="AE548" i="6"/>
  <c r="AD544" i="6"/>
  <c r="AE546" i="6"/>
  <c r="P547" i="6"/>
  <c r="R547" i="6" s="1"/>
  <c r="AH547" i="6" s="1"/>
  <c r="N551" i="6"/>
  <c r="N547" i="6"/>
  <c r="P551" i="6"/>
  <c r="R551" i="6" s="1"/>
  <c r="AH551" i="6" s="1"/>
  <c r="AD548" i="6"/>
  <c r="N549" i="6"/>
  <c r="AJ551" i="6"/>
  <c r="AJ547" i="6"/>
  <c r="AA545" i="6"/>
  <c r="AB545" i="6" s="1"/>
  <c r="AM540" i="6"/>
  <c r="AK543" i="6"/>
  <c r="AM543" i="6" s="1"/>
  <c r="AA543" i="6"/>
  <c r="AB543" i="6" s="1"/>
  <c r="AF543" i="6" s="1"/>
  <c r="AA541" i="6"/>
  <c r="AB541" i="6" s="1"/>
  <c r="L544" i="6"/>
  <c r="K547" i="6"/>
  <c r="M550" i="6" s="1"/>
  <c r="AO550" i="6" s="1"/>
  <c r="K551" i="6"/>
  <c r="M554" i="6" s="1"/>
  <c r="AO554" i="6" s="1"/>
  <c r="K549" i="6"/>
  <c r="M552" i="6" s="1"/>
  <c r="AO552" i="6" s="1"/>
  <c r="AF539" i="6"/>
  <c r="AB542" i="6"/>
  <c r="AC542" i="6"/>
  <c r="AB538" i="6"/>
  <c r="AC538" i="6"/>
  <c r="AG539" i="6"/>
  <c r="P536" i="11" s="1"/>
  <c r="AG535" i="6"/>
  <c r="P532" i="11" s="1"/>
  <c r="AM542" i="6"/>
  <c r="AL542" i="6"/>
  <c r="L548" i="6"/>
  <c r="L546" i="6"/>
  <c r="AM538" i="6"/>
  <c r="AL538" i="6"/>
  <c r="AF535" i="6"/>
  <c r="AI550" i="6"/>
  <c r="F550" i="6"/>
  <c r="AI552" i="6"/>
  <c r="F552" i="6"/>
  <c r="AI554" i="6"/>
  <c r="F554" i="6"/>
  <c r="AP551" i="6" l="1"/>
  <c r="AP553" i="6"/>
  <c r="AP549" i="6"/>
  <c r="Q532" i="11"/>
  <c r="R532" i="11" s="1"/>
  <c r="Q537" i="11"/>
  <c r="Q536" i="11"/>
  <c r="R536" i="11" s="1"/>
  <c r="Q540" i="11"/>
  <c r="AL541" i="6"/>
  <c r="AL545" i="6"/>
  <c r="AG540" i="6"/>
  <c r="P537" i="11" s="1"/>
  <c r="A554" i="6"/>
  <c r="A550" i="6"/>
  <c r="A552" i="6"/>
  <c r="AC545" i="6"/>
  <c r="AF545" i="6"/>
  <c r="AD549" i="6"/>
  <c r="AE549" i="6"/>
  <c r="AD547" i="6"/>
  <c r="AJ552" i="6"/>
  <c r="P552" i="6"/>
  <c r="R552" i="6" s="1"/>
  <c r="AH552" i="6" s="1"/>
  <c r="N554" i="6"/>
  <c r="P550" i="6"/>
  <c r="R550" i="6" s="1"/>
  <c r="AH550" i="6" s="1"/>
  <c r="AE547" i="6"/>
  <c r="N552" i="6"/>
  <c r="AD551" i="6"/>
  <c r="AE551" i="6"/>
  <c r="P554" i="6"/>
  <c r="R554" i="6" s="1"/>
  <c r="AH554" i="6" s="1"/>
  <c r="N550" i="6"/>
  <c r="AJ554" i="6"/>
  <c r="AJ550" i="6"/>
  <c r="AL543" i="6"/>
  <c r="AC543" i="6"/>
  <c r="AA544" i="6"/>
  <c r="AB544" i="6" s="1"/>
  <c r="AK544" i="6"/>
  <c r="AL544" i="6" s="1"/>
  <c r="AF541" i="6"/>
  <c r="AC541" i="6"/>
  <c r="L551" i="6"/>
  <c r="K550" i="6"/>
  <c r="M553" i="6" s="1"/>
  <c r="AO553" i="6" s="1"/>
  <c r="K552" i="6"/>
  <c r="M555" i="6" s="1"/>
  <c r="AO555" i="6" s="1"/>
  <c r="K554" i="6"/>
  <c r="M557" i="6" s="1"/>
  <c r="AO557" i="6" s="1"/>
  <c r="AG538" i="6"/>
  <c r="P535" i="11" s="1"/>
  <c r="AK546" i="6"/>
  <c r="AA546" i="6"/>
  <c r="AG542" i="6"/>
  <c r="P539" i="11" s="1"/>
  <c r="AK548" i="6"/>
  <c r="AA548" i="6"/>
  <c r="AF538" i="6"/>
  <c r="AF542" i="6"/>
  <c r="L549" i="6"/>
  <c r="L547" i="6"/>
  <c r="AI553" i="6"/>
  <c r="F553" i="6"/>
  <c r="AI557" i="6"/>
  <c r="F557" i="6"/>
  <c r="AI555" i="6"/>
  <c r="F555" i="6"/>
  <c r="R537" i="11" l="1"/>
  <c r="AP556" i="6"/>
  <c r="AP554" i="6"/>
  <c r="AP552" i="6"/>
  <c r="Q535" i="11"/>
  <c r="R535" i="11" s="1"/>
  <c r="Q539" i="11"/>
  <c r="R539" i="11" s="1"/>
  <c r="Q542" i="11"/>
  <c r="Q538" i="11"/>
  <c r="AM544" i="6"/>
  <c r="AA551" i="6"/>
  <c r="AC551" i="6" s="1"/>
  <c r="AG551" i="6" s="1"/>
  <c r="P548" i="11" s="1"/>
  <c r="A557" i="6"/>
  <c r="A555" i="6"/>
  <c r="A553" i="6"/>
  <c r="AG545" i="6"/>
  <c r="P542" i="11" s="1"/>
  <c r="AE552" i="6"/>
  <c r="N555" i="6"/>
  <c r="AD552" i="6"/>
  <c r="AD554" i="6"/>
  <c r="P553" i="6"/>
  <c r="R553" i="6" s="1"/>
  <c r="AH553" i="6" s="1"/>
  <c r="AE550" i="6"/>
  <c r="AE554" i="6"/>
  <c r="AD550" i="6"/>
  <c r="AJ553" i="6"/>
  <c r="P557" i="6"/>
  <c r="R557" i="6" s="1"/>
  <c r="AH557" i="6" s="1"/>
  <c r="P555" i="6"/>
  <c r="R555" i="6" s="1"/>
  <c r="AH555" i="6" s="1"/>
  <c r="AJ557" i="6"/>
  <c r="AJ555" i="6"/>
  <c r="N553" i="6"/>
  <c r="N557" i="6"/>
  <c r="AG543" i="6"/>
  <c r="P540" i="11" s="1"/>
  <c r="R540" i="11" s="1"/>
  <c r="AC544" i="6"/>
  <c r="AF544" i="6"/>
  <c r="AK551" i="6"/>
  <c r="AM551" i="6" s="1"/>
  <c r="L552" i="6"/>
  <c r="AG541" i="6"/>
  <c r="P538" i="11" s="1"/>
  <c r="K555" i="6"/>
  <c r="M558" i="6" s="1"/>
  <c r="AO558" i="6" s="1"/>
  <c r="K553" i="6"/>
  <c r="M556" i="6" s="1"/>
  <c r="AO556" i="6" s="1"/>
  <c r="K557" i="6"/>
  <c r="M560" i="6" s="1"/>
  <c r="AO560" i="6" s="1"/>
  <c r="AM548" i="6"/>
  <c r="AL548" i="6"/>
  <c r="AC546" i="6"/>
  <c r="AB546" i="6"/>
  <c r="AK549" i="6"/>
  <c r="AA549" i="6"/>
  <c r="AC548" i="6"/>
  <c r="AB548" i="6"/>
  <c r="AM546" i="6"/>
  <c r="AL546" i="6"/>
  <c r="L554" i="6"/>
  <c r="L550" i="6"/>
  <c r="AK547" i="6"/>
  <c r="AA547" i="6"/>
  <c r="AI558" i="6"/>
  <c r="F558" i="6"/>
  <c r="AI556" i="6"/>
  <c r="F556" i="6"/>
  <c r="AI560" i="6"/>
  <c r="F560" i="6"/>
  <c r="R542" i="11" l="1"/>
  <c r="R538" i="11"/>
  <c r="AP559" i="6"/>
  <c r="AP555" i="6"/>
  <c r="AP557" i="6"/>
  <c r="Q541" i="11"/>
  <c r="AB551" i="6"/>
  <c r="AF551" i="6" s="1"/>
  <c r="A560" i="6"/>
  <c r="A558" i="6"/>
  <c r="A556" i="6"/>
  <c r="AD555" i="6"/>
  <c r="AK552" i="6"/>
  <c r="AL552" i="6" s="1"/>
  <c r="AE553" i="6"/>
  <c r="AD553" i="6"/>
  <c r="AD557" i="6"/>
  <c r="N558" i="6"/>
  <c r="AE555" i="6"/>
  <c r="P556" i="6"/>
  <c r="R556" i="6" s="1"/>
  <c r="AH556" i="6" s="1"/>
  <c r="AE557" i="6"/>
  <c r="AJ558" i="6"/>
  <c r="N556" i="6"/>
  <c r="AJ560" i="6"/>
  <c r="N560" i="6"/>
  <c r="P558" i="6"/>
  <c r="R558" i="6" s="1"/>
  <c r="AH558" i="6" s="1"/>
  <c r="P560" i="6"/>
  <c r="R560" i="6" s="1"/>
  <c r="AH560" i="6" s="1"/>
  <c r="AJ556" i="6"/>
  <c r="AL551" i="6"/>
  <c r="AA552" i="6"/>
  <c r="AB552" i="6" s="1"/>
  <c r="AG544" i="6"/>
  <c r="P541" i="11" s="1"/>
  <c r="L553" i="6"/>
  <c r="K560" i="6"/>
  <c r="M563" i="6" s="1"/>
  <c r="AO563" i="6" s="1"/>
  <c r="K556" i="6"/>
  <c r="M559" i="6" s="1"/>
  <c r="AO559" i="6" s="1"/>
  <c r="K558" i="6"/>
  <c r="M561" i="6" s="1"/>
  <c r="AO561" i="6" s="1"/>
  <c r="AC547" i="6"/>
  <c r="AB547" i="6"/>
  <c r="AB549" i="6"/>
  <c r="AC549" i="6"/>
  <c r="AF548" i="6"/>
  <c r="AF546" i="6"/>
  <c r="AM547" i="6"/>
  <c r="AL547" i="6"/>
  <c r="AL549" i="6"/>
  <c r="AM549" i="6"/>
  <c r="AG546" i="6"/>
  <c r="P543" i="11" s="1"/>
  <c r="L557" i="6"/>
  <c r="L555" i="6"/>
  <c r="AK554" i="6"/>
  <c r="AA554" i="6"/>
  <c r="AK550" i="6"/>
  <c r="AA550" i="6"/>
  <c r="AG548" i="6"/>
  <c r="P545" i="11" s="1"/>
  <c r="AI563" i="6"/>
  <c r="F563" i="6"/>
  <c r="AI559" i="6"/>
  <c r="F559" i="6"/>
  <c r="F561" i="6"/>
  <c r="AI561" i="6"/>
  <c r="R541" i="11" l="1"/>
  <c r="AP560" i="6"/>
  <c r="AP558" i="6"/>
  <c r="AP562" i="6"/>
  <c r="Q543" i="11"/>
  <c r="R543" i="11" s="1"/>
  <c r="Q548" i="11"/>
  <c r="R548" i="11" s="1"/>
  <c r="Q545" i="11"/>
  <c r="R545" i="11" s="1"/>
  <c r="AK553" i="6"/>
  <c r="AM553" i="6" s="1"/>
  <c r="A563" i="6"/>
  <c r="A561" i="6"/>
  <c r="A559" i="6"/>
  <c r="AM552" i="6"/>
  <c r="AE556" i="6"/>
  <c r="AJ561" i="6"/>
  <c r="AD556" i="6"/>
  <c r="N563" i="6"/>
  <c r="AJ563" i="6"/>
  <c r="N561" i="6"/>
  <c r="P563" i="6"/>
  <c r="R563" i="6" s="1"/>
  <c r="AH563" i="6" s="1"/>
  <c r="AE558" i="6"/>
  <c r="N559" i="6"/>
  <c r="AD560" i="6"/>
  <c r="AJ559" i="6"/>
  <c r="P561" i="6"/>
  <c r="R561" i="6" s="1"/>
  <c r="AH561" i="6" s="1"/>
  <c r="AE560" i="6"/>
  <c r="P559" i="6"/>
  <c r="R559" i="6" s="1"/>
  <c r="AH559" i="6" s="1"/>
  <c r="AD558" i="6"/>
  <c r="AF552" i="6"/>
  <c r="AC552" i="6"/>
  <c r="AA553" i="6"/>
  <c r="AC553" i="6" s="1"/>
  <c r="AG553" i="6" s="1"/>
  <c r="P550" i="11" s="1"/>
  <c r="L558" i="6"/>
  <c r="L560" i="6"/>
  <c r="L556" i="6"/>
  <c r="K561" i="6"/>
  <c r="M564" i="6" s="1"/>
  <c r="AO564" i="6" s="1"/>
  <c r="K559" i="6"/>
  <c r="M562" i="6" s="1"/>
  <c r="AO562" i="6" s="1"/>
  <c r="K563" i="6"/>
  <c r="M566" i="6" s="1"/>
  <c r="AO566" i="6" s="1"/>
  <c r="AK555" i="6"/>
  <c r="AA555" i="6"/>
  <c r="AG549" i="6"/>
  <c r="P546" i="11" s="1"/>
  <c r="AB550" i="6"/>
  <c r="AC550" i="6"/>
  <c r="AB554" i="6"/>
  <c r="AC554" i="6"/>
  <c r="AK557" i="6"/>
  <c r="AA557" i="6"/>
  <c r="AF549" i="6"/>
  <c r="AG547" i="6"/>
  <c r="P544" i="11" s="1"/>
  <c r="AL550" i="6"/>
  <c r="AM550" i="6"/>
  <c r="AL554" i="6"/>
  <c r="AM554" i="6"/>
  <c r="AF547" i="6"/>
  <c r="AI564" i="6"/>
  <c r="F564" i="6"/>
  <c r="AI562" i="6"/>
  <c r="F562" i="6"/>
  <c r="F566" i="6"/>
  <c r="AI566" i="6"/>
  <c r="AP561" i="6" l="1"/>
  <c r="AP563" i="6"/>
  <c r="AP565" i="6"/>
  <c r="Q544" i="11"/>
  <c r="R544" i="11" s="1"/>
  <c r="Q549" i="11"/>
  <c r="Q546" i="11"/>
  <c r="R546" i="11" s="1"/>
  <c r="AL553" i="6"/>
  <c r="AK560" i="6"/>
  <c r="AM560" i="6" s="1"/>
  <c r="AA558" i="6"/>
  <c r="AC558" i="6" s="1"/>
  <c r="AA556" i="6"/>
  <c r="AC556" i="6" s="1"/>
  <c r="AG556" i="6" s="1"/>
  <c r="P553" i="11" s="1"/>
  <c r="A564" i="6"/>
  <c r="A562" i="6"/>
  <c r="A566" i="6"/>
  <c r="AE563" i="6"/>
  <c r="AD563" i="6"/>
  <c r="AJ564" i="6"/>
  <c r="AJ566" i="6"/>
  <c r="AE559" i="6"/>
  <c r="P566" i="6"/>
  <c r="R566" i="6" s="1"/>
  <c r="AH566" i="6" s="1"/>
  <c r="AE561" i="6"/>
  <c r="AJ562" i="6"/>
  <c r="N566" i="6"/>
  <c r="AD559" i="6"/>
  <c r="AD561" i="6"/>
  <c r="N564" i="6"/>
  <c r="N562" i="6"/>
  <c r="P564" i="6"/>
  <c r="R564" i="6" s="1"/>
  <c r="AH564" i="6" s="1"/>
  <c r="P562" i="6"/>
  <c r="R562" i="6" s="1"/>
  <c r="AH562" i="6" s="1"/>
  <c r="AK558" i="6"/>
  <c r="AL558" i="6" s="1"/>
  <c r="AG552" i="6"/>
  <c r="P549" i="11" s="1"/>
  <c r="AK556" i="6"/>
  <c r="AM556" i="6" s="1"/>
  <c r="AB553" i="6"/>
  <c r="AA560" i="6"/>
  <c r="L559" i="6"/>
  <c r="K562" i="6"/>
  <c r="M565" i="6" s="1"/>
  <c r="AO565" i="6" s="1"/>
  <c r="K566" i="6"/>
  <c r="M569" i="6" s="1"/>
  <c r="AO569" i="6" s="1"/>
  <c r="K564" i="6"/>
  <c r="M567" i="6" s="1"/>
  <c r="AO567" i="6" s="1"/>
  <c r="AG550" i="6"/>
  <c r="P547" i="11" s="1"/>
  <c r="AG554" i="6"/>
  <c r="P551" i="11" s="1"/>
  <c r="AF550" i="6"/>
  <c r="AL555" i="6"/>
  <c r="AM555" i="6"/>
  <c r="AC557" i="6"/>
  <c r="AB557" i="6"/>
  <c r="L563" i="6"/>
  <c r="L561" i="6"/>
  <c r="AL557" i="6"/>
  <c r="AM557" i="6"/>
  <c r="AF554" i="6"/>
  <c r="AB555" i="6"/>
  <c r="AC555" i="6"/>
  <c r="AI569" i="6"/>
  <c r="F569" i="6"/>
  <c r="AI567" i="6"/>
  <c r="F567" i="6"/>
  <c r="AI565" i="6"/>
  <c r="F565" i="6"/>
  <c r="R549" i="11" l="1"/>
  <c r="AP564" i="6"/>
  <c r="AP566" i="6"/>
  <c r="AP568" i="6"/>
  <c r="Q551" i="11"/>
  <c r="R551" i="11" s="1"/>
  <c r="Q547" i="11"/>
  <c r="R547" i="11" s="1"/>
  <c r="AG558" i="6"/>
  <c r="P555" i="11" s="1"/>
  <c r="AB558" i="6"/>
  <c r="AF558" i="6" s="1"/>
  <c r="AL560" i="6"/>
  <c r="AB556" i="6"/>
  <c r="AA559" i="6"/>
  <c r="AC559" i="6" s="1"/>
  <c r="AG559" i="6" s="1"/>
  <c r="P556" i="11" s="1"/>
  <c r="A567" i="6"/>
  <c r="A565" i="6"/>
  <c r="A569" i="6"/>
  <c r="AJ567" i="6"/>
  <c r="AE566" i="6"/>
  <c r="AD564" i="6"/>
  <c r="AJ565" i="6"/>
  <c r="AE562" i="6"/>
  <c r="AE564" i="6"/>
  <c r="P569" i="6"/>
  <c r="R569" i="6" s="1"/>
  <c r="AH569" i="6" s="1"/>
  <c r="AD566" i="6"/>
  <c r="AD562" i="6"/>
  <c r="P567" i="6"/>
  <c r="R567" i="6" s="1"/>
  <c r="AH567" i="6" s="1"/>
  <c r="N565" i="6"/>
  <c r="AJ569" i="6"/>
  <c r="N567" i="6"/>
  <c r="P565" i="6"/>
  <c r="R565" i="6" s="1"/>
  <c r="AH565" i="6" s="1"/>
  <c r="N569" i="6"/>
  <c r="AM558" i="6"/>
  <c r="AK559" i="6"/>
  <c r="AM559" i="6" s="1"/>
  <c r="AL556" i="6"/>
  <c r="AF553" i="6"/>
  <c r="AC560" i="6"/>
  <c r="AB560" i="6"/>
  <c r="L564" i="6"/>
  <c r="L562" i="6"/>
  <c r="L566" i="6"/>
  <c r="K569" i="6"/>
  <c r="M572" i="6" s="1"/>
  <c r="AO572" i="6" s="1"/>
  <c r="K565" i="6"/>
  <c r="M568" i="6" s="1"/>
  <c r="AO568" i="6" s="1"/>
  <c r="K567" i="6"/>
  <c r="M570" i="6" s="1"/>
  <c r="AO570" i="6" s="1"/>
  <c r="AF557" i="6"/>
  <c r="AK563" i="6"/>
  <c r="AA563" i="6"/>
  <c r="AG555" i="6"/>
  <c r="P552" i="11" s="1"/>
  <c r="AF555" i="6"/>
  <c r="AK561" i="6"/>
  <c r="AA561" i="6"/>
  <c r="AG557" i="6"/>
  <c r="P554" i="11" s="1"/>
  <c r="AI568" i="6"/>
  <c r="F568" i="6"/>
  <c r="AI572" i="6"/>
  <c r="F572" i="6"/>
  <c r="AI570" i="6"/>
  <c r="F570" i="6"/>
  <c r="AP567" i="6" l="1"/>
  <c r="AP571" i="6"/>
  <c r="AP569" i="6"/>
  <c r="Q550" i="11"/>
  <c r="R550" i="11" s="1"/>
  <c r="Q552" i="11"/>
  <c r="R552" i="11" s="1"/>
  <c r="Q554" i="11"/>
  <c r="R554" i="11" s="1"/>
  <c r="Q555" i="11"/>
  <c r="R555" i="11" s="1"/>
  <c r="AB559" i="6"/>
  <c r="AF559" i="6" s="1"/>
  <c r="AF556" i="6"/>
  <c r="AA566" i="6"/>
  <c r="AC566" i="6" s="1"/>
  <c r="AG566" i="6" s="1"/>
  <c r="P563" i="11" s="1"/>
  <c r="AK564" i="6"/>
  <c r="AL564" i="6" s="1"/>
  <c r="A572" i="6"/>
  <c r="A568" i="6"/>
  <c r="A570" i="6"/>
  <c r="AE569" i="6"/>
  <c r="AD567" i="6"/>
  <c r="AK562" i="6"/>
  <c r="AM562" i="6" s="1"/>
  <c r="P572" i="6"/>
  <c r="R572" i="6" s="1"/>
  <c r="AH572" i="6" s="1"/>
  <c r="AE567" i="6"/>
  <c r="N568" i="6"/>
  <c r="AJ572" i="6"/>
  <c r="AD569" i="6"/>
  <c r="AJ570" i="6"/>
  <c r="N572" i="6"/>
  <c r="P568" i="6"/>
  <c r="R568" i="6" s="1"/>
  <c r="AH568" i="6" s="1"/>
  <c r="AE565" i="6"/>
  <c r="AD565" i="6"/>
  <c r="AJ568" i="6"/>
  <c r="P570" i="6"/>
  <c r="R570" i="6" s="1"/>
  <c r="AH570" i="6" s="1"/>
  <c r="N570" i="6"/>
  <c r="AA562" i="6"/>
  <c r="AB562" i="6" s="1"/>
  <c r="AF562" i="6" s="1"/>
  <c r="AL559" i="6"/>
  <c r="AK566" i="6"/>
  <c r="AL566" i="6" s="1"/>
  <c r="AF560" i="6"/>
  <c r="AA564" i="6"/>
  <c r="AG560" i="6"/>
  <c r="P557" i="11" s="1"/>
  <c r="L565" i="6"/>
  <c r="L567" i="6"/>
  <c r="L569" i="6"/>
  <c r="K570" i="6"/>
  <c r="M573" i="6" s="1"/>
  <c r="AO573" i="6" s="1"/>
  <c r="K572" i="6"/>
  <c r="M575" i="6" s="1"/>
  <c r="AO575" i="6" s="1"/>
  <c r="K568" i="6"/>
  <c r="M571" i="6" s="1"/>
  <c r="AO571" i="6" s="1"/>
  <c r="AB561" i="6"/>
  <c r="AC561" i="6"/>
  <c r="AC563" i="6"/>
  <c r="AB563" i="6"/>
  <c r="AL561" i="6"/>
  <c r="AM561" i="6"/>
  <c r="AL563" i="6"/>
  <c r="AM563" i="6"/>
  <c r="AI573" i="6"/>
  <c r="F573" i="6"/>
  <c r="AI571" i="6"/>
  <c r="F571" i="6"/>
  <c r="AI575" i="6"/>
  <c r="F575" i="6"/>
  <c r="AP570" i="6" l="1"/>
  <c r="AP574" i="6"/>
  <c r="AP572" i="6"/>
  <c r="Q556" i="11"/>
  <c r="R556" i="11" s="1"/>
  <c r="Q557" i="11"/>
  <c r="R557" i="11" s="1"/>
  <c r="Q559" i="11"/>
  <c r="Q553" i="11"/>
  <c r="R553" i="11" s="1"/>
  <c r="AM564" i="6"/>
  <c r="AB566" i="6"/>
  <c r="AF566" i="6" s="1"/>
  <c r="AA567" i="6"/>
  <c r="AA565" i="6"/>
  <c r="AB565" i="6" s="1"/>
  <c r="AF565" i="6" s="1"/>
  <c r="AA569" i="6"/>
  <c r="A571" i="6"/>
  <c r="A573" i="6"/>
  <c r="A575" i="6"/>
  <c r="AE572" i="6"/>
  <c r="AD572" i="6"/>
  <c r="AL562" i="6"/>
  <c r="P573" i="6"/>
  <c r="R573" i="6" s="1"/>
  <c r="AH573" i="6" s="1"/>
  <c r="P575" i="6"/>
  <c r="R575" i="6" s="1"/>
  <c r="AH575" i="6" s="1"/>
  <c r="AJ573" i="6"/>
  <c r="AE570" i="6"/>
  <c r="AD570" i="6"/>
  <c r="AJ575" i="6"/>
  <c r="AD568" i="6"/>
  <c r="AE568" i="6"/>
  <c r="AC562" i="6"/>
  <c r="P571" i="6"/>
  <c r="R571" i="6" s="1"/>
  <c r="AH571" i="6" s="1"/>
  <c r="N571" i="6"/>
  <c r="AJ571" i="6"/>
  <c r="N575" i="6"/>
  <c r="N573" i="6"/>
  <c r="AM566" i="6"/>
  <c r="AK567" i="6"/>
  <c r="AL567" i="6" s="1"/>
  <c r="AK569" i="6"/>
  <c r="AL569" i="6" s="1"/>
  <c r="AC564" i="6"/>
  <c r="AK565" i="6"/>
  <c r="AL565" i="6" s="1"/>
  <c r="AB564" i="6"/>
  <c r="L572" i="6"/>
  <c r="L568" i="6"/>
  <c r="L570" i="6"/>
  <c r="K573" i="6"/>
  <c r="M576" i="6" s="1"/>
  <c r="AO576" i="6" s="1"/>
  <c r="K575" i="6"/>
  <c r="M578" i="6" s="1"/>
  <c r="AO578" i="6" s="1"/>
  <c r="K571" i="6"/>
  <c r="M574" i="6" s="1"/>
  <c r="AO574" i="6" s="1"/>
  <c r="AF561" i="6"/>
  <c r="AF563" i="6"/>
  <c r="AG563" i="6"/>
  <c r="P560" i="11" s="1"/>
  <c r="AG561" i="6"/>
  <c r="P558" i="11" s="1"/>
  <c r="AI578" i="6"/>
  <c r="F578" i="6"/>
  <c r="AI576" i="6"/>
  <c r="F576" i="6"/>
  <c r="AI574" i="6"/>
  <c r="F574" i="6"/>
  <c r="AC569" i="6" l="1"/>
  <c r="AG569" i="6" s="1"/>
  <c r="P566" i="11" s="1"/>
  <c r="AP573" i="6"/>
  <c r="AP577" i="6"/>
  <c r="AP575" i="6"/>
  <c r="Q560" i="11"/>
  <c r="R560" i="11" s="1"/>
  <c r="Q562" i="11"/>
  <c r="Q558" i="11"/>
  <c r="R558" i="11" s="1"/>
  <c r="Q563" i="11"/>
  <c r="R563" i="11" s="1"/>
  <c r="AC567" i="6"/>
  <c r="AG567" i="6" s="1"/>
  <c r="P564" i="11" s="1"/>
  <c r="AB569" i="6"/>
  <c r="AF569" i="6" s="1"/>
  <c r="AB567" i="6"/>
  <c r="AF567" i="6" s="1"/>
  <c r="AC565" i="6"/>
  <c r="AG565" i="6" s="1"/>
  <c r="P562" i="11" s="1"/>
  <c r="AA572" i="6"/>
  <c r="AB572" i="6" s="1"/>
  <c r="AA570" i="6"/>
  <c r="AC570" i="6" s="1"/>
  <c r="AG570" i="6" s="1"/>
  <c r="P567" i="11" s="1"/>
  <c r="AA568" i="6"/>
  <c r="A578" i="6"/>
  <c r="A574" i="6"/>
  <c r="A576" i="6"/>
  <c r="AE573" i="6"/>
  <c r="AD573" i="6"/>
  <c r="AD575" i="6"/>
  <c r="AE575" i="6"/>
  <c r="N574" i="6"/>
  <c r="P574" i="6"/>
  <c r="R574" i="6" s="1"/>
  <c r="AH574" i="6" s="1"/>
  <c r="AJ574" i="6"/>
  <c r="AD571" i="6"/>
  <c r="N576" i="6"/>
  <c r="AE571" i="6"/>
  <c r="AJ578" i="6"/>
  <c r="AK570" i="6"/>
  <c r="AM570" i="6" s="1"/>
  <c r="AJ576" i="6"/>
  <c r="N578" i="6"/>
  <c r="AG562" i="6"/>
  <c r="P559" i="11" s="1"/>
  <c r="R559" i="11" s="1"/>
  <c r="P576" i="6"/>
  <c r="R576" i="6" s="1"/>
  <c r="AH576" i="6" s="1"/>
  <c r="P578" i="6"/>
  <c r="R578" i="6" s="1"/>
  <c r="AH578" i="6" s="1"/>
  <c r="AM569" i="6"/>
  <c r="AM565" i="6"/>
  <c r="AK572" i="6"/>
  <c r="AM572" i="6" s="1"/>
  <c r="AM567" i="6"/>
  <c r="AK568" i="6"/>
  <c r="AM568" i="6" s="1"/>
  <c r="AF564" i="6"/>
  <c r="AG564" i="6"/>
  <c r="P561" i="11" s="1"/>
  <c r="L575" i="6"/>
  <c r="K574" i="6"/>
  <c r="M577" i="6" s="1"/>
  <c r="AO577" i="6" s="1"/>
  <c r="K578" i="6"/>
  <c r="M581" i="6" s="1"/>
  <c r="AO581" i="6" s="1"/>
  <c r="K576" i="6"/>
  <c r="M579" i="6" s="1"/>
  <c r="AO579" i="6" s="1"/>
  <c r="L571" i="6"/>
  <c r="L573" i="6"/>
  <c r="AI577" i="6"/>
  <c r="F577" i="6"/>
  <c r="AI579" i="6"/>
  <c r="F579" i="6"/>
  <c r="AI581" i="6"/>
  <c r="F581" i="6"/>
  <c r="R562" i="11" l="1"/>
  <c r="AP576" i="6"/>
  <c r="AP578" i="6"/>
  <c r="AP580" i="6"/>
  <c r="Q564" i="11"/>
  <c r="R564" i="11" s="1"/>
  <c r="Q566" i="11"/>
  <c r="R566" i="11" s="1"/>
  <c r="Q561" i="11"/>
  <c r="R561" i="11" s="1"/>
  <c r="AB570" i="6"/>
  <c r="AF572" i="6"/>
  <c r="AB568" i="6"/>
  <c r="AC568" i="6"/>
  <c r="AG568" i="6" s="1"/>
  <c r="P565" i="11" s="1"/>
  <c r="AC572" i="6"/>
  <c r="AG572" i="6" s="1"/>
  <c r="P569" i="11" s="1"/>
  <c r="AA575" i="6"/>
  <c r="AB575" i="6" s="1"/>
  <c r="AF575" i="6" s="1"/>
  <c r="A577" i="6"/>
  <c r="A579" i="6"/>
  <c r="A581" i="6"/>
  <c r="AL570" i="6"/>
  <c r="AE574" i="6"/>
  <c r="AE576" i="6"/>
  <c r="AD574" i="6"/>
  <c r="AD576" i="6"/>
  <c r="AK575" i="6"/>
  <c r="AL575" i="6" s="1"/>
  <c r="N581" i="6"/>
  <c r="AE578" i="6"/>
  <c r="AD578" i="6"/>
  <c r="P579" i="6"/>
  <c r="R579" i="6" s="1"/>
  <c r="AH579" i="6" s="1"/>
  <c r="AL568" i="6"/>
  <c r="P577" i="6"/>
  <c r="R577" i="6" s="1"/>
  <c r="AH577" i="6" s="1"/>
  <c r="N577" i="6"/>
  <c r="AJ579" i="6"/>
  <c r="AJ577" i="6"/>
  <c r="N579" i="6"/>
  <c r="AJ581" i="6"/>
  <c r="P581" i="6"/>
  <c r="R581" i="6" s="1"/>
  <c r="AH581" i="6" s="1"/>
  <c r="AL572" i="6"/>
  <c r="L576" i="6"/>
  <c r="L574" i="6"/>
  <c r="L578" i="6"/>
  <c r="K577" i="6"/>
  <c r="M580" i="6" s="1"/>
  <c r="AO580" i="6" s="1"/>
  <c r="K579" i="6"/>
  <c r="M582" i="6" s="1"/>
  <c r="AO582" i="6" s="1"/>
  <c r="K581" i="6"/>
  <c r="M584" i="6" s="1"/>
  <c r="AO584" i="6" s="1"/>
  <c r="AK573" i="6"/>
  <c r="AA573" i="6"/>
  <c r="AK571" i="6"/>
  <c r="AA571" i="6"/>
  <c r="AI584" i="6"/>
  <c r="F584" i="6"/>
  <c r="AI580" i="6"/>
  <c r="F580" i="6"/>
  <c r="F582" i="6"/>
  <c r="AI582" i="6"/>
  <c r="AP579" i="6" l="1"/>
  <c r="AP583" i="6"/>
  <c r="AP581" i="6"/>
  <c r="Q569" i="11"/>
  <c r="R569" i="11" s="1"/>
  <c r="Q572" i="11"/>
  <c r="AF568" i="6"/>
  <c r="AF570" i="6"/>
  <c r="AC575" i="6"/>
  <c r="AG575" i="6" s="1"/>
  <c r="P572" i="11" s="1"/>
  <c r="AA574" i="6"/>
  <c r="AA578" i="6"/>
  <c r="AC578" i="6" s="1"/>
  <c r="AA576" i="6"/>
  <c r="AC576" i="6" s="1"/>
  <c r="AG576" i="6" s="1"/>
  <c r="P573" i="11" s="1"/>
  <c r="A584" i="6"/>
  <c r="A580" i="6"/>
  <c r="A582" i="6"/>
  <c r="N580" i="6"/>
  <c r="AD577" i="6"/>
  <c r="AD579" i="6"/>
  <c r="AE577" i="6"/>
  <c r="AE579" i="6"/>
  <c r="AM575" i="6"/>
  <c r="AK576" i="6"/>
  <c r="AM576" i="6" s="1"/>
  <c r="AD581" i="6"/>
  <c r="AE581" i="6"/>
  <c r="P584" i="6"/>
  <c r="R584" i="6" s="1"/>
  <c r="AH584" i="6" s="1"/>
  <c r="AJ582" i="6"/>
  <c r="N584" i="6"/>
  <c r="AJ584" i="6"/>
  <c r="N582" i="6"/>
  <c r="P580" i="6"/>
  <c r="R580" i="6" s="1"/>
  <c r="AH580" i="6" s="1"/>
  <c r="P582" i="6"/>
  <c r="R582" i="6" s="1"/>
  <c r="AH582" i="6" s="1"/>
  <c r="AJ580" i="6"/>
  <c r="AK578" i="6"/>
  <c r="AM578" i="6" s="1"/>
  <c r="AK574" i="6"/>
  <c r="AM574" i="6" s="1"/>
  <c r="L579" i="6"/>
  <c r="K582" i="6"/>
  <c r="M585" i="6" s="1"/>
  <c r="AO585" i="6" s="1"/>
  <c r="K580" i="6"/>
  <c r="M583" i="6" s="1"/>
  <c r="AO583" i="6" s="1"/>
  <c r="K584" i="6"/>
  <c r="M587" i="6" s="1"/>
  <c r="AO587" i="6" s="1"/>
  <c r="AL571" i="6"/>
  <c r="AM571" i="6"/>
  <c r="AM573" i="6"/>
  <c r="AL573" i="6"/>
  <c r="L581" i="6"/>
  <c r="L577" i="6"/>
  <c r="AB571" i="6"/>
  <c r="AC571" i="6"/>
  <c r="AB573" i="6"/>
  <c r="AC573" i="6"/>
  <c r="F585" i="6"/>
  <c r="AI585" i="6"/>
  <c r="AI583" i="6"/>
  <c r="F583" i="6"/>
  <c r="AI587" i="6"/>
  <c r="F587" i="6"/>
  <c r="R572" i="11" l="1"/>
  <c r="AP584" i="6"/>
  <c r="AP586" i="6"/>
  <c r="AP582" i="6"/>
  <c r="Q565" i="11"/>
  <c r="R565" i="11" s="1"/>
  <c r="Q567" i="11"/>
  <c r="R567" i="11" s="1"/>
  <c r="AG578" i="6"/>
  <c r="P575" i="11" s="1"/>
  <c r="AB576" i="6"/>
  <c r="AF576" i="6" s="1"/>
  <c r="AB578" i="6"/>
  <c r="AC574" i="6"/>
  <c r="AG574" i="6" s="1"/>
  <c r="P571" i="11" s="1"/>
  <c r="AB574" i="6"/>
  <c r="AF574" i="6" s="1"/>
  <c r="AA579" i="6"/>
  <c r="A585" i="6"/>
  <c r="A583" i="6"/>
  <c r="A587" i="6"/>
  <c r="AE584" i="6"/>
  <c r="AL576" i="6"/>
  <c r="AD582" i="6"/>
  <c r="AE580" i="6"/>
  <c r="AD580" i="6"/>
  <c r="AD584" i="6"/>
  <c r="AJ585" i="6"/>
  <c r="N583" i="6"/>
  <c r="AE582" i="6"/>
  <c r="AJ587" i="6"/>
  <c r="P587" i="6"/>
  <c r="R587" i="6" s="1"/>
  <c r="AH587" i="6" s="1"/>
  <c r="N587" i="6"/>
  <c r="P585" i="6"/>
  <c r="R585" i="6" s="1"/>
  <c r="AH585" i="6" s="1"/>
  <c r="P583" i="6"/>
  <c r="R583" i="6" s="1"/>
  <c r="AH583" i="6" s="1"/>
  <c r="AJ583" i="6"/>
  <c r="N585" i="6"/>
  <c r="AL578" i="6"/>
  <c r="AL574" i="6"/>
  <c r="AK579" i="6"/>
  <c r="AL579" i="6" s="1"/>
  <c r="L584" i="6"/>
  <c r="L582" i="6"/>
  <c r="L580" i="6"/>
  <c r="K587" i="6"/>
  <c r="M590" i="6" s="1"/>
  <c r="AO590" i="6" s="1"/>
  <c r="K585" i="6"/>
  <c r="M588" i="6" s="1"/>
  <c r="AO588" i="6" s="1"/>
  <c r="K583" i="6"/>
  <c r="M586" i="6" s="1"/>
  <c r="AO586" i="6" s="1"/>
  <c r="AF573" i="6"/>
  <c r="AG571" i="6"/>
  <c r="P568" i="11" s="1"/>
  <c r="AK581" i="6"/>
  <c r="AA581" i="6"/>
  <c r="AG573" i="6"/>
  <c r="P570" i="11" s="1"/>
  <c r="AF571" i="6"/>
  <c r="AK577" i="6"/>
  <c r="AA577" i="6"/>
  <c r="AI590" i="6"/>
  <c r="F590" i="6"/>
  <c r="AI586" i="6"/>
  <c r="F586" i="6"/>
  <c r="AI588" i="6"/>
  <c r="F588" i="6"/>
  <c r="AP585" i="6" l="1"/>
  <c r="AP587" i="6"/>
  <c r="AP589" i="6"/>
  <c r="Q568" i="11"/>
  <c r="R568" i="11" s="1"/>
  <c r="Q570" i="11"/>
  <c r="R570" i="11" s="1"/>
  <c r="Q571" i="11"/>
  <c r="R571" i="11" s="1"/>
  <c r="Q573" i="11"/>
  <c r="R573" i="11" s="1"/>
  <c r="AC579" i="6"/>
  <c r="AB579" i="6"/>
  <c r="AF579" i="6" s="1"/>
  <c r="AF578" i="6"/>
  <c r="AA582" i="6"/>
  <c r="AB582" i="6" s="1"/>
  <c r="AF582" i="6" s="1"/>
  <c r="AA584" i="6"/>
  <c r="AC584" i="6" s="1"/>
  <c r="AG584" i="6" s="1"/>
  <c r="P581" i="11" s="1"/>
  <c r="A590" i="6"/>
  <c r="A586" i="6"/>
  <c r="A588" i="6"/>
  <c r="AD587" i="6"/>
  <c r="AD585" i="6"/>
  <c r="AE585" i="6"/>
  <c r="AE587" i="6"/>
  <c r="AE583" i="6"/>
  <c r="P586" i="6"/>
  <c r="R586" i="6" s="1"/>
  <c r="AH586" i="6" s="1"/>
  <c r="AJ586" i="6"/>
  <c r="AD583" i="6"/>
  <c r="AJ588" i="6"/>
  <c r="N588" i="6"/>
  <c r="N586" i="6"/>
  <c r="P588" i="6"/>
  <c r="R588" i="6" s="1"/>
  <c r="AH588" i="6" s="1"/>
  <c r="N590" i="6"/>
  <c r="P590" i="6"/>
  <c r="R590" i="6" s="1"/>
  <c r="AH590" i="6" s="1"/>
  <c r="AJ590" i="6"/>
  <c r="AK580" i="6"/>
  <c r="AL580" i="6" s="1"/>
  <c r="AM579" i="6"/>
  <c r="AA580" i="6"/>
  <c r="AC580" i="6" s="1"/>
  <c r="AG580" i="6" s="1"/>
  <c r="P577" i="11" s="1"/>
  <c r="AK584" i="6"/>
  <c r="AM584" i="6" s="1"/>
  <c r="AK582" i="6"/>
  <c r="AM582" i="6" s="1"/>
  <c r="L585" i="6"/>
  <c r="K586" i="6"/>
  <c r="M589" i="6" s="1"/>
  <c r="AO589" i="6" s="1"/>
  <c r="K588" i="6"/>
  <c r="M591" i="6" s="1"/>
  <c r="AO591" i="6" s="1"/>
  <c r="K590" i="6"/>
  <c r="M593" i="6" s="1"/>
  <c r="AO593" i="6" s="1"/>
  <c r="AC577" i="6"/>
  <c r="AB577" i="6"/>
  <c r="AC581" i="6"/>
  <c r="AB581" i="6"/>
  <c r="L583" i="6"/>
  <c r="L587" i="6"/>
  <c r="AM577" i="6"/>
  <c r="AL577" i="6"/>
  <c r="AM581" i="6"/>
  <c r="AL581" i="6"/>
  <c r="AI591" i="6"/>
  <c r="F591" i="6"/>
  <c r="AI593" i="6"/>
  <c r="F593" i="6"/>
  <c r="AI589" i="6"/>
  <c r="F589" i="6"/>
  <c r="AP592" i="6" l="1"/>
  <c r="AP590" i="6"/>
  <c r="AP588" i="6"/>
  <c r="Q579" i="11"/>
  <c r="Q576" i="11"/>
  <c r="Q575" i="11"/>
  <c r="R575" i="11" s="1"/>
  <c r="AG579" i="6"/>
  <c r="P576" i="11" s="1"/>
  <c r="AB584" i="6"/>
  <c r="AF584" i="6" s="1"/>
  <c r="AC582" i="6"/>
  <c r="AK585" i="6"/>
  <c r="AL585" i="6" s="1"/>
  <c r="A591" i="6"/>
  <c r="A589" i="6"/>
  <c r="A593" i="6"/>
  <c r="AD588" i="6"/>
  <c r="AJ589" i="6"/>
  <c r="AD586" i="6"/>
  <c r="AE586" i="6"/>
  <c r="AE588" i="6"/>
  <c r="N593" i="6"/>
  <c r="N589" i="6"/>
  <c r="AD590" i="6"/>
  <c r="P591" i="6"/>
  <c r="R591" i="6" s="1"/>
  <c r="AH591" i="6" s="1"/>
  <c r="P593" i="6"/>
  <c r="R593" i="6" s="1"/>
  <c r="AH593" i="6" s="1"/>
  <c r="AE590" i="6"/>
  <c r="AJ591" i="6"/>
  <c r="P589" i="6"/>
  <c r="R589" i="6" s="1"/>
  <c r="AH589" i="6" s="1"/>
  <c r="AJ593" i="6"/>
  <c r="AM580" i="6"/>
  <c r="N591" i="6"/>
  <c r="AB580" i="6"/>
  <c r="AL584" i="6"/>
  <c r="AA585" i="6"/>
  <c r="AB585" i="6" s="1"/>
  <c r="AF585" i="6" s="1"/>
  <c r="AL582" i="6"/>
  <c r="L588" i="6"/>
  <c r="L590" i="6"/>
  <c r="L586" i="6"/>
  <c r="K593" i="6"/>
  <c r="M596" i="6" s="1"/>
  <c r="AO596" i="6" s="1"/>
  <c r="K591" i="6"/>
  <c r="M594" i="6" s="1"/>
  <c r="AO594" i="6" s="1"/>
  <c r="K589" i="6"/>
  <c r="M592" i="6" s="1"/>
  <c r="AO592" i="6" s="1"/>
  <c r="AK583" i="6"/>
  <c r="AA583" i="6"/>
  <c r="AF581" i="6"/>
  <c r="AG577" i="6"/>
  <c r="P574" i="11" s="1"/>
  <c r="AG581" i="6"/>
  <c r="P578" i="11" s="1"/>
  <c r="AK587" i="6"/>
  <c r="AA587" i="6"/>
  <c r="AF577" i="6"/>
  <c r="AI592" i="6"/>
  <c r="F592" i="6"/>
  <c r="AI594" i="6"/>
  <c r="F594" i="6"/>
  <c r="AI596" i="6"/>
  <c r="F596" i="6"/>
  <c r="R576" i="11" l="1"/>
  <c r="AP591" i="6"/>
  <c r="AP593" i="6"/>
  <c r="AP595" i="6"/>
  <c r="Q582" i="11"/>
  <c r="Q574" i="11"/>
  <c r="R574" i="11" s="1"/>
  <c r="Q581" i="11"/>
  <c r="R581" i="11" s="1"/>
  <c r="Q578" i="11"/>
  <c r="R578" i="11" s="1"/>
  <c r="AM585" i="6"/>
  <c r="AG582" i="6"/>
  <c r="P579" i="11" s="1"/>
  <c r="R579" i="11" s="1"/>
  <c r="AA588" i="6"/>
  <c r="AC588" i="6" s="1"/>
  <c r="AA586" i="6"/>
  <c r="AB586" i="6" s="1"/>
  <c r="AF586" i="6" s="1"/>
  <c r="A596" i="6"/>
  <c r="A592" i="6"/>
  <c r="A594" i="6"/>
  <c r="AE589" i="6"/>
  <c r="AD593" i="6"/>
  <c r="AE591" i="6"/>
  <c r="AE593" i="6"/>
  <c r="P594" i="6"/>
  <c r="R594" i="6" s="1"/>
  <c r="AH594" i="6" s="1"/>
  <c r="N594" i="6"/>
  <c r="AJ594" i="6"/>
  <c r="P596" i="6"/>
  <c r="R596" i="6" s="1"/>
  <c r="AH596" i="6" s="1"/>
  <c r="AD591" i="6"/>
  <c r="P592" i="6"/>
  <c r="R592" i="6" s="1"/>
  <c r="AH592" i="6" s="1"/>
  <c r="N596" i="6"/>
  <c r="AD589" i="6"/>
  <c r="N592" i="6"/>
  <c r="AJ596" i="6"/>
  <c r="AJ592" i="6"/>
  <c r="AF580" i="6"/>
  <c r="AK588" i="6"/>
  <c r="AM588" i="6" s="1"/>
  <c r="AA590" i="6"/>
  <c r="AC590" i="6" s="1"/>
  <c r="AG590" i="6" s="1"/>
  <c r="P587" i="11" s="1"/>
  <c r="AC585" i="6"/>
  <c r="AK590" i="6"/>
  <c r="AM590" i="6" s="1"/>
  <c r="AK586" i="6"/>
  <c r="AL586" i="6" s="1"/>
  <c r="L591" i="6"/>
  <c r="K594" i="6"/>
  <c r="M597" i="6" s="1"/>
  <c r="AO597" i="6" s="1"/>
  <c r="K596" i="6"/>
  <c r="M599" i="6" s="1"/>
  <c r="AO599" i="6" s="1"/>
  <c r="K592" i="6"/>
  <c r="M595" i="6" s="1"/>
  <c r="AO595" i="6" s="1"/>
  <c r="AL587" i="6"/>
  <c r="AM587" i="6"/>
  <c r="AM583" i="6"/>
  <c r="AL583" i="6"/>
  <c r="L589" i="6"/>
  <c r="L593" i="6"/>
  <c r="AC587" i="6"/>
  <c r="AB587" i="6"/>
  <c r="AB583" i="6"/>
  <c r="AC583" i="6"/>
  <c r="F599" i="6"/>
  <c r="AI599" i="6"/>
  <c r="AI595" i="6"/>
  <c r="F595" i="6"/>
  <c r="AI597" i="6"/>
  <c r="F597" i="6"/>
  <c r="AP594" i="6" l="1"/>
  <c r="AP598" i="6"/>
  <c r="AP596" i="6"/>
  <c r="Q577" i="11"/>
  <c r="R577" i="11" s="1"/>
  <c r="Q583" i="11"/>
  <c r="AB588" i="6"/>
  <c r="AG588" i="6"/>
  <c r="P585" i="11" s="1"/>
  <c r="AC586" i="6"/>
  <c r="AG586" i="6" s="1"/>
  <c r="P583" i="11" s="1"/>
  <c r="AA591" i="6"/>
  <c r="AB591" i="6" s="1"/>
  <c r="AF591" i="6" s="1"/>
  <c r="AL588" i="6"/>
  <c r="A599" i="6"/>
  <c r="A595" i="6"/>
  <c r="A597" i="6"/>
  <c r="AD596" i="6"/>
  <c r="AD594" i="6"/>
  <c r="AD592" i="6"/>
  <c r="AJ595" i="6"/>
  <c r="AE594" i="6"/>
  <c r="N599" i="6"/>
  <c r="P599" i="6"/>
  <c r="R599" i="6" s="1"/>
  <c r="AH599" i="6" s="1"/>
  <c r="AJ599" i="6"/>
  <c r="AE596" i="6"/>
  <c r="AE592" i="6"/>
  <c r="P595" i="6"/>
  <c r="R595" i="6" s="1"/>
  <c r="AH595" i="6" s="1"/>
  <c r="AK591" i="6"/>
  <c r="AM591" i="6" s="1"/>
  <c r="AJ597" i="6"/>
  <c r="N595" i="6"/>
  <c r="N597" i="6"/>
  <c r="P597" i="6"/>
  <c r="R597" i="6" s="1"/>
  <c r="AH597" i="6" s="1"/>
  <c r="AL590" i="6"/>
  <c r="AB590" i="6"/>
  <c r="AF590" i="6" s="1"/>
  <c r="AG585" i="6"/>
  <c r="P582" i="11" s="1"/>
  <c r="R582" i="11" s="1"/>
  <c r="AM586" i="6"/>
  <c r="L592" i="6"/>
  <c r="L594" i="6"/>
  <c r="L596" i="6"/>
  <c r="K599" i="6"/>
  <c r="M602" i="6" s="1"/>
  <c r="AO602" i="6" s="1"/>
  <c r="K595" i="6"/>
  <c r="M598" i="6" s="1"/>
  <c r="AO598" i="6" s="1"/>
  <c r="K597" i="6"/>
  <c r="M600" i="6" s="1"/>
  <c r="AO600" i="6" s="1"/>
  <c r="AG587" i="6"/>
  <c r="P584" i="11" s="1"/>
  <c r="AG583" i="6"/>
  <c r="P580" i="11" s="1"/>
  <c r="AK593" i="6"/>
  <c r="AA593" i="6"/>
  <c r="AF583" i="6"/>
  <c r="AF587" i="6"/>
  <c r="AK589" i="6"/>
  <c r="AA589" i="6"/>
  <c r="AI600" i="6"/>
  <c r="F600" i="6"/>
  <c r="AI598" i="6"/>
  <c r="F598" i="6"/>
  <c r="AI602" i="6"/>
  <c r="F602" i="6"/>
  <c r="R583" i="11" l="1"/>
  <c r="AP601" i="6"/>
  <c r="AP599" i="6"/>
  <c r="AP597" i="6"/>
  <c r="Q584" i="11"/>
  <c r="R584" i="11" s="1"/>
  <c r="Q588" i="11"/>
  <c r="Q587" i="11"/>
  <c r="R587" i="11" s="1"/>
  <c r="Q580" i="11"/>
  <c r="R580" i="11" s="1"/>
  <c r="AF588" i="6"/>
  <c r="AC591" i="6"/>
  <c r="AA596" i="6"/>
  <c r="AA594" i="6"/>
  <c r="AE599" i="6"/>
  <c r="AL591" i="6"/>
  <c r="A600" i="6"/>
  <c r="A598" i="6"/>
  <c r="A602" i="6"/>
  <c r="AD599" i="6"/>
  <c r="N602" i="6"/>
  <c r="AE595" i="6"/>
  <c r="AD595" i="6"/>
  <c r="AJ602" i="6"/>
  <c r="P598" i="6"/>
  <c r="R598" i="6" s="1"/>
  <c r="AH598" i="6" s="1"/>
  <c r="N598" i="6"/>
  <c r="P600" i="6"/>
  <c r="R600" i="6" s="1"/>
  <c r="AH600" i="6" s="1"/>
  <c r="AE597" i="6"/>
  <c r="AJ600" i="6"/>
  <c r="AJ598" i="6"/>
  <c r="N600" i="6"/>
  <c r="P602" i="6"/>
  <c r="R602" i="6" s="1"/>
  <c r="AH602" i="6" s="1"/>
  <c r="AD597" i="6"/>
  <c r="AA592" i="6"/>
  <c r="AB592" i="6" s="1"/>
  <c r="AF592" i="6" s="1"/>
  <c r="AK592" i="6"/>
  <c r="AM592" i="6" s="1"/>
  <c r="AK594" i="6"/>
  <c r="AM594" i="6" s="1"/>
  <c r="AK596" i="6"/>
  <c r="AM596" i="6" s="1"/>
  <c r="L595" i="6"/>
  <c r="K602" i="6"/>
  <c r="M605" i="6" s="1"/>
  <c r="AO605" i="6" s="1"/>
  <c r="K600" i="6"/>
  <c r="M603" i="6" s="1"/>
  <c r="AO603" i="6" s="1"/>
  <c r="K598" i="6"/>
  <c r="M601" i="6" s="1"/>
  <c r="AO601" i="6" s="1"/>
  <c r="AM589" i="6"/>
  <c r="AL589" i="6"/>
  <c r="AL593" i="6"/>
  <c r="AM593" i="6"/>
  <c r="AC589" i="6"/>
  <c r="AB589" i="6"/>
  <c r="AB593" i="6"/>
  <c r="AC593" i="6"/>
  <c r="L597" i="6"/>
  <c r="L599" i="6"/>
  <c r="AI605" i="6"/>
  <c r="F605" i="6"/>
  <c r="AI603" i="6"/>
  <c r="F603" i="6"/>
  <c r="AI601" i="6"/>
  <c r="F601" i="6"/>
  <c r="AP600" i="6" l="1"/>
  <c r="AP602" i="6"/>
  <c r="AP604" i="6"/>
  <c r="Q589" i="11"/>
  <c r="Q585" i="11"/>
  <c r="R585" i="11" s="1"/>
  <c r="AG591" i="6"/>
  <c r="AB596" i="6"/>
  <c r="AB594" i="6"/>
  <c r="AC594" i="6"/>
  <c r="AC596" i="6"/>
  <c r="AK595" i="6"/>
  <c r="AL595" i="6" s="1"/>
  <c r="A603" i="6"/>
  <c r="A601" i="6"/>
  <c r="A605" i="6"/>
  <c r="AD600" i="6"/>
  <c r="AJ601" i="6"/>
  <c r="AE598" i="6"/>
  <c r="P605" i="6"/>
  <c r="R605" i="6" s="1"/>
  <c r="AH605" i="6" s="1"/>
  <c r="AD598" i="6"/>
  <c r="N603" i="6"/>
  <c r="N601" i="6"/>
  <c r="AE602" i="6"/>
  <c r="AD602" i="6"/>
  <c r="AL592" i="6"/>
  <c r="AE600" i="6"/>
  <c r="P603" i="6"/>
  <c r="R603" i="6" s="1"/>
  <c r="AH603" i="6" s="1"/>
  <c r="P601" i="6"/>
  <c r="R601" i="6" s="1"/>
  <c r="AH601" i="6" s="1"/>
  <c r="AJ603" i="6"/>
  <c r="N605" i="6"/>
  <c r="AJ605" i="6"/>
  <c r="AC592" i="6"/>
  <c r="AL594" i="6"/>
  <c r="AL596" i="6"/>
  <c r="AA595" i="6"/>
  <c r="AB595" i="6" s="1"/>
  <c r="AF595" i="6" s="1"/>
  <c r="L600" i="6"/>
  <c r="K603" i="6"/>
  <c r="M606" i="6" s="1"/>
  <c r="AO606" i="6" s="1"/>
  <c r="K605" i="6"/>
  <c r="M608" i="6" s="1"/>
  <c r="AO608" i="6" s="1"/>
  <c r="K601" i="6"/>
  <c r="M604" i="6" s="1"/>
  <c r="AO604" i="6" s="1"/>
  <c r="AK599" i="6"/>
  <c r="AA599" i="6"/>
  <c r="AK597" i="6"/>
  <c r="AA597" i="6"/>
  <c r="AG589" i="6"/>
  <c r="P586" i="11" s="1"/>
  <c r="AF593" i="6"/>
  <c r="L598" i="6"/>
  <c r="L602" i="6"/>
  <c r="AG593" i="6"/>
  <c r="P590" i="11" s="1"/>
  <c r="AF589" i="6"/>
  <c r="AI604" i="6"/>
  <c r="F604" i="6"/>
  <c r="AI608" i="6"/>
  <c r="F608" i="6"/>
  <c r="AI606" i="6"/>
  <c r="F606" i="6"/>
  <c r="AP603" i="6" l="1"/>
  <c r="AP607" i="6"/>
  <c r="AP605" i="6"/>
  <c r="Q592" i="11"/>
  <c r="Q586" i="11"/>
  <c r="R586" i="11" s="1"/>
  <c r="Q590" i="11"/>
  <c r="R590" i="11" s="1"/>
  <c r="P588" i="11"/>
  <c r="R588" i="11" s="1"/>
  <c r="AF596" i="6"/>
  <c r="AM595" i="6"/>
  <c r="AF594" i="6"/>
  <c r="AG594" i="6"/>
  <c r="P591" i="11" s="1"/>
  <c r="AG596" i="6"/>
  <c r="P593" i="11" s="1"/>
  <c r="AA600" i="6"/>
  <c r="A606" i="6"/>
  <c r="A604" i="6"/>
  <c r="A608" i="6"/>
  <c r="AD605" i="6"/>
  <c r="AE605" i="6"/>
  <c r="AD603" i="6"/>
  <c r="AD601" i="6"/>
  <c r="AE603" i="6"/>
  <c r="AE601" i="6"/>
  <c r="AJ608" i="6"/>
  <c r="P604" i="6"/>
  <c r="R604" i="6" s="1"/>
  <c r="AH604" i="6" s="1"/>
  <c r="N604" i="6"/>
  <c r="N606" i="6"/>
  <c r="AJ604" i="6"/>
  <c r="N608" i="6"/>
  <c r="AJ606" i="6"/>
  <c r="P608" i="6"/>
  <c r="R608" i="6" s="1"/>
  <c r="AH608" i="6" s="1"/>
  <c r="P606" i="6"/>
  <c r="R606" i="6" s="1"/>
  <c r="AH606" i="6" s="1"/>
  <c r="AK600" i="6"/>
  <c r="AM600" i="6" s="1"/>
  <c r="AG592" i="6"/>
  <c r="P589" i="11" s="1"/>
  <c r="R589" i="11" s="1"/>
  <c r="AC595" i="6"/>
  <c r="L605" i="6"/>
  <c r="K604" i="6"/>
  <c r="M607" i="6" s="1"/>
  <c r="AO607" i="6" s="1"/>
  <c r="K606" i="6"/>
  <c r="M609" i="6" s="1"/>
  <c r="AO609" i="6" s="1"/>
  <c r="K608" i="6"/>
  <c r="M611" i="6" s="1"/>
  <c r="AO611" i="6" s="1"/>
  <c r="AK602" i="6"/>
  <c r="AA602" i="6"/>
  <c r="AM597" i="6"/>
  <c r="AL597" i="6"/>
  <c r="AK598" i="6"/>
  <c r="AA598" i="6"/>
  <c r="AL599" i="6"/>
  <c r="AM599" i="6"/>
  <c r="AC597" i="6"/>
  <c r="AB597" i="6"/>
  <c r="L601" i="6"/>
  <c r="L603" i="6"/>
  <c r="AC599" i="6"/>
  <c r="AB599" i="6"/>
  <c r="F609" i="6"/>
  <c r="AI609" i="6"/>
  <c r="AI607" i="6"/>
  <c r="F607" i="6"/>
  <c r="AI611" i="6"/>
  <c r="F611" i="6"/>
  <c r="AP606" i="6" l="1"/>
  <c r="AP610" i="6"/>
  <c r="AP608" i="6"/>
  <c r="Q593" i="11"/>
  <c r="R593" i="11" s="1"/>
  <c r="Q591" i="11"/>
  <c r="R591" i="11" s="1"/>
  <c r="AB600" i="6"/>
  <c r="AF600" i="6" s="1"/>
  <c r="AC600" i="6"/>
  <c r="A609" i="6"/>
  <c r="A611" i="6"/>
  <c r="A607" i="6"/>
  <c r="AD606" i="6"/>
  <c r="AE604" i="6"/>
  <c r="AD604" i="6"/>
  <c r="AE606" i="6"/>
  <c r="N611" i="6"/>
  <c r="AD608" i="6"/>
  <c r="AE608" i="6"/>
  <c r="P607" i="6"/>
  <c r="R607" i="6" s="1"/>
  <c r="AH607" i="6" s="1"/>
  <c r="AL600" i="6"/>
  <c r="N609" i="6"/>
  <c r="N607" i="6"/>
  <c r="AJ609" i="6"/>
  <c r="AJ611" i="6"/>
  <c r="P609" i="6"/>
  <c r="R609" i="6" s="1"/>
  <c r="AH609" i="6" s="1"/>
  <c r="P611" i="6"/>
  <c r="R611" i="6" s="1"/>
  <c r="AH611" i="6" s="1"/>
  <c r="AJ607" i="6"/>
  <c r="AG595" i="6"/>
  <c r="P592" i="11" s="1"/>
  <c r="R592" i="11" s="1"/>
  <c r="AA605" i="6"/>
  <c r="AC605" i="6" s="1"/>
  <c r="AK605" i="6"/>
  <c r="AL605" i="6" s="1"/>
  <c r="L606" i="6"/>
  <c r="K607" i="6"/>
  <c r="M610" i="6" s="1"/>
  <c r="AO610" i="6" s="1"/>
  <c r="K611" i="6"/>
  <c r="M614" i="6" s="1"/>
  <c r="AO614" i="6" s="1"/>
  <c r="K609" i="6"/>
  <c r="M612" i="6" s="1"/>
  <c r="AO612" i="6" s="1"/>
  <c r="AK603" i="6"/>
  <c r="AA603" i="6"/>
  <c r="AG599" i="6"/>
  <c r="P596" i="11" s="1"/>
  <c r="AK601" i="6"/>
  <c r="AA601" i="6"/>
  <c r="AF597" i="6"/>
  <c r="AL598" i="6"/>
  <c r="AM598" i="6"/>
  <c r="AL602" i="6"/>
  <c r="AM602" i="6"/>
  <c r="AG597" i="6"/>
  <c r="P594" i="11" s="1"/>
  <c r="L608" i="6"/>
  <c r="L604" i="6"/>
  <c r="AF599" i="6"/>
  <c r="AB598" i="6"/>
  <c r="AC598" i="6"/>
  <c r="AB602" i="6"/>
  <c r="AC602" i="6"/>
  <c r="AI614" i="6"/>
  <c r="F614" i="6"/>
  <c r="AI610" i="6"/>
  <c r="F610" i="6"/>
  <c r="F612" i="6"/>
  <c r="AI612" i="6"/>
  <c r="AP613" i="6" l="1"/>
  <c r="AP609" i="6"/>
  <c r="AP611" i="6"/>
  <c r="Q594" i="11"/>
  <c r="R594" i="11" s="1"/>
  <c r="Q597" i="11"/>
  <c r="Q596" i="11"/>
  <c r="R596" i="11" s="1"/>
  <c r="AG600" i="6"/>
  <c r="AA606" i="6"/>
  <c r="AC606" i="6" s="1"/>
  <c r="A610" i="6"/>
  <c r="A612" i="6"/>
  <c r="A614" i="6"/>
  <c r="AD607" i="6"/>
  <c r="AD611" i="6"/>
  <c r="N614" i="6"/>
  <c r="P614" i="6"/>
  <c r="R614" i="6" s="1"/>
  <c r="AH614" i="6" s="1"/>
  <c r="AJ614" i="6"/>
  <c r="AE609" i="6"/>
  <c r="AE611" i="6"/>
  <c r="AE607" i="6"/>
  <c r="N610" i="6"/>
  <c r="P612" i="6"/>
  <c r="R612" i="6" s="1"/>
  <c r="AH612" i="6" s="1"/>
  <c r="AD609" i="6"/>
  <c r="AJ610" i="6"/>
  <c r="AJ612" i="6"/>
  <c r="P610" i="6"/>
  <c r="R610" i="6" s="1"/>
  <c r="AH610" i="6" s="1"/>
  <c r="N612" i="6"/>
  <c r="AG605" i="6"/>
  <c r="AK606" i="6"/>
  <c r="AM606" i="6" s="1"/>
  <c r="AM605" i="6"/>
  <c r="AB605" i="6"/>
  <c r="L611" i="6"/>
  <c r="L609" i="6"/>
  <c r="L607" i="6"/>
  <c r="K614" i="6"/>
  <c r="M617" i="6" s="1"/>
  <c r="AO617" i="6" s="1"/>
  <c r="K610" i="6"/>
  <c r="M613" i="6" s="1"/>
  <c r="AO613" i="6" s="1"/>
  <c r="K612" i="6"/>
  <c r="M615" i="6" s="1"/>
  <c r="AO615" i="6" s="1"/>
  <c r="AG602" i="6"/>
  <c r="P599" i="11" s="1"/>
  <c r="AF598" i="6"/>
  <c r="AK604" i="6"/>
  <c r="AA604" i="6"/>
  <c r="AL601" i="6"/>
  <c r="AM601" i="6"/>
  <c r="AF602" i="6"/>
  <c r="AK608" i="6"/>
  <c r="AA608" i="6"/>
  <c r="AL603" i="6"/>
  <c r="AM603" i="6"/>
  <c r="AB601" i="6"/>
  <c r="AC601" i="6"/>
  <c r="AG598" i="6"/>
  <c r="P595" i="11" s="1"/>
  <c r="AB603" i="6"/>
  <c r="AC603" i="6"/>
  <c r="AI617" i="6"/>
  <c r="F617" i="6"/>
  <c r="F615" i="6"/>
  <c r="AI615" i="6"/>
  <c r="AI613" i="6"/>
  <c r="F613" i="6"/>
  <c r="AP614" i="6" l="1"/>
  <c r="AP612" i="6"/>
  <c r="AP616" i="6"/>
  <c r="Q599" i="11"/>
  <c r="R599" i="11" s="1"/>
  <c r="Q595" i="11"/>
  <c r="R595" i="11" s="1"/>
  <c r="AG606" i="6"/>
  <c r="P603" i="11" s="1"/>
  <c r="P597" i="11"/>
  <c r="R597" i="11" s="1"/>
  <c r="AB606" i="6"/>
  <c r="AA611" i="6"/>
  <c r="AA607" i="6"/>
  <c r="AC607" i="6" s="1"/>
  <c r="AA609" i="6"/>
  <c r="AB609" i="6" s="1"/>
  <c r="A617" i="6"/>
  <c r="A615" i="6"/>
  <c r="A613" i="6"/>
  <c r="P602" i="11"/>
  <c r="AD614" i="6"/>
  <c r="AE614" i="6"/>
  <c r="AE612" i="6"/>
  <c r="N617" i="6"/>
  <c r="P615" i="6"/>
  <c r="R615" i="6" s="1"/>
  <c r="AH615" i="6" s="1"/>
  <c r="AJ613" i="6"/>
  <c r="AD612" i="6"/>
  <c r="P613" i="6"/>
  <c r="R613" i="6" s="1"/>
  <c r="AH613" i="6" s="1"/>
  <c r="AD610" i="6"/>
  <c r="N615" i="6"/>
  <c r="P617" i="6"/>
  <c r="R617" i="6" s="1"/>
  <c r="AH617" i="6" s="1"/>
  <c r="AJ615" i="6"/>
  <c r="AE610" i="6"/>
  <c r="AJ617" i="6"/>
  <c r="N613" i="6"/>
  <c r="AL606" i="6"/>
  <c r="AK607" i="6"/>
  <c r="AM607" i="6" s="1"/>
  <c r="AK609" i="6"/>
  <c r="AM609" i="6" s="1"/>
  <c r="AK611" i="6"/>
  <c r="AL611" i="6" s="1"/>
  <c r="AF605" i="6"/>
  <c r="L612" i="6"/>
  <c r="L614" i="6"/>
  <c r="L610" i="6"/>
  <c r="K617" i="6"/>
  <c r="M620" i="6" s="1"/>
  <c r="AO620" i="6" s="1"/>
  <c r="K615" i="6"/>
  <c r="M618" i="6" s="1"/>
  <c r="AO618" i="6" s="1"/>
  <c r="K613" i="6"/>
  <c r="M616" i="6" s="1"/>
  <c r="AO616" i="6" s="1"/>
  <c r="AF601" i="6"/>
  <c r="AL608" i="6"/>
  <c r="AM608" i="6"/>
  <c r="AG601" i="6"/>
  <c r="P598" i="11" s="1"/>
  <c r="AM604" i="6"/>
  <c r="AL604" i="6"/>
  <c r="AG603" i="6"/>
  <c r="P600" i="11" s="1"/>
  <c r="AB608" i="6"/>
  <c r="AC608" i="6"/>
  <c r="AF603" i="6"/>
  <c r="AC604" i="6"/>
  <c r="AB604" i="6"/>
  <c r="AI616" i="6"/>
  <c r="F616" i="6"/>
  <c r="AI618" i="6"/>
  <c r="F618" i="6"/>
  <c r="AI620" i="6"/>
  <c r="F620" i="6"/>
  <c r="AP615" i="6" l="1"/>
  <c r="AP617" i="6"/>
  <c r="AP619" i="6"/>
  <c r="Q600" i="11"/>
  <c r="R600" i="11" s="1"/>
  <c r="Q598" i="11"/>
  <c r="R598" i="11" s="1"/>
  <c r="Q602" i="11"/>
  <c r="R602" i="11" s="1"/>
  <c r="AC611" i="6"/>
  <c r="AB611" i="6"/>
  <c r="AG607" i="6"/>
  <c r="P604" i="11" s="1"/>
  <c r="AF606" i="6"/>
  <c r="AF609" i="6"/>
  <c r="AB607" i="6"/>
  <c r="AF607" i="6" s="1"/>
  <c r="AC609" i="6"/>
  <c r="AG609" i="6" s="1"/>
  <c r="P606" i="11" s="1"/>
  <c r="AA612" i="6"/>
  <c r="AB612" i="6" s="1"/>
  <c r="AF612" i="6" s="1"/>
  <c r="AA610" i="6"/>
  <c r="AA614" i="6"/>
  <c r="AB614" i="6" s="1"/>
  <c r="AF614" i="6" s="1"/>
  <c r="A616" i="6"/>
  <c r="A620" i="6"/>
  <c r="A618" i="6"/>
  <c r="AE615" i="6"/>
  <c r="AD615" i="6"/>
  <c r="N618" i="6"/>
  <c r="N620" i="6"/>
  <c r="P616" i="6"/>
  <c r="R616" i="6" s="1"/>
  <c r="AH616" i="6" s="1"/>
  <c r="AD617" i="6"/>
  <c r="AE617" i="6"/>
  <c r="AE613" i="6"/>
  <c r="AD613" i="6"/>
  <c r="AJ618" i="6"/>
  <c r="P618" i="6"/>
  <c r="R618" i="6" s="1"/>
  <c r="AH618" i="6" s="1"/>
  <c r="AM611" i="6"/>
  <c r="P620" i="6"/>
  <c r="R620" i="6" s="1"/>
  <c r="AH620" i="6" s="1"/>
  <c r="AK612" i="6"/>
  <c r="AM612" i="6" s="1"/>
  <c r="AJ620" i="6"/>
  <c r="N616" i="6"/>
  <c r="AL609" i="6"/>
  <c r="AJ616" i="6"/>
  <c r="AL607" i="6"/>
  <c r="AK614" i="6"/>
  <c r="AL614" i="6" s="1"/>
  <c r="AK610" i="6"/>
  <c r="AL610" i="6" s="1"/>
  <c r="L615" i="6"/>
  <c r="K620" i="6"/>
  <c r="M623" i="6" s="1"/>
  <c r="AO623" i="6" s="1"/>
  <c r="K616" i="6"/>
  <c r="M619" i="6" s="1"/>
  <c r="AO619" i="6" s="1"/>
  <c r="K618" i="6"/>
  <c r="M621" i="6" s="1"/>
  <c r="AO621" i="6" s="1"/>
  <c r="AG604" i="6"/>
  <c r="P601" i="11" s="1"/>
  <c r="AF608" i="6"/>
  <c r="L613" i="6"/>
  <c r="L617" i="6"/>
  <c r="AF604" i="6"/>
  <c r="AG608" i="6"/>
  <c r="P605" i="11" s="1"/>
  <c r="AI623" i="6"/>
  <c r="F623" i="6"/>
  <c r="AI619" i="6"/>
  <c r="F619" i="6"/>
  <c r="AI621" i="6"/>
  <c r="F621" i="6"/>
  <c r="AC612" i="6" l="1"/>
  <c r="AG612" i="6" s="1"/>
  <c r="P609" i="11" s="1"/>
  <c r="AP620" i="6"/>
  <c r="AP618" i="6"/>
  <c r="AP622" i="6"/>
  <c r="Q603" i="11"/>
  <c r="R603" i="11" s="1"/>
  <c r="Q601" i="11"/>
  <c r="R601" i="11" s="1"/>
  <c r="Q605" i="11"/>
  <c r="R605" i="11" s="1"/>
  <c r="Q604" i="11"/>
  <c r="R604" i="11" s="1"/>
  <c r="Q611" i="11"/>
  <c r="Q609" i="11"/>
  <c r="Q606" i="11"/>
  <c r="R606" i="11" s="1"/>
  <c r="AG611" i="6"/>
  <c r="P608" i="11" s="1"/>
  <c r="AF611" i="6"/>
  <c r="AC610" i="6"/>
  <c r="AB610" i="6"/>
  <c r="AC614" i="6"/>
  <c r="A619" i="6"/>
  <c r="A621" i="6"/>
  <c r="A623" i="6"/>
  <c r="AD616" i="6"/>
  <c r="AD618" i="6"/>
  <c r="AE618" i="6"/>
  <c r="N623" i="6"/>
  <c r="AE616" i="6"/>
  <c r="AL612" i="6"/>
  <c r="AD620" i="6"/>
  <c r="AE620" i="6"/>
  <c r="P623" i="6"/>
  <c r="R623" i="6" s="1"/>
  <c r="AH623" i="6" s="1"/>
  <c r="AJ619" i="6"/>
  <c r="N621" i="6"/>
  <c r="AJ621" i="6"/>
  <c r="AJ623" i="6"/>
  <c r="P621" i="6"/>
  <c r="R621" i="6" s="1"/>
  <c r="AH621" i="6" s="1"/>
  <c r="N619" i="6"/>
  <c r="P619" i="6"/>
  <c r="R619" i="6" s="1"/>
  <c r="AH619" i="6" s="1"/>
  <c r="AK615" i="6"/>
  <c r="AM615" i="6" s="1"/>
  <c r="AM610" i="6"/>
  <c r="AM614" i="6"/>
  <c r="AA615" i="6"/>
  <c r="L616" i="6"/>
  <c r="K621" i="6"/>
  <c r="M624" i="6" s="1"/>
  <c r="AO624" i="6" s="1"/>
  <c r="K619" i="6"/>
  <c r="M622" i="6" s="1"/>
  <c r="AO622" i="6" s="1"/>
  <c r="K623" i="6"/>
  <c r="M626" i="6" s="1"/>
  <c r="AO626" i="6" s="1"/>
  <c r="AK617" i="6"/>
  <c r="AA617" i="6"/>
  <c r="AK613" i="6"/>
  <c r="AA613" i="6"/>
  <c r="L618" i="6"/>
  <c r="L620" i="6"/>
  <c r="AI624" i="6"/>
  <c r="F624" i="6"/>
  <c r="F626" i="6"/>
  <c r="AI626" i="6"/>
  <c r="AI622" i="6"/>
  <c r="F622" i="6"/>
  <c r="R609" i="11" l="1"/>
  <c r="AP625" i="6"/>
  <c r="AP621" i="6"/>
  <c r="AP623" i="6"/>
  <c r="Q608" i="11"/>
  <c r="R608" i="11" s="1"/>
  <c r="AF610" i="6"/>
  <c r="AG610" i="6"/>
  <c r="P607" i="11" s="1"/>
  <c r="AG614" i="6"/>
  <c r="P611" i="11" s="1"/>
  <c r="R611" i="11" s="1"/>
  <c r="AK616" i="6"/>
  <c r="AL616" i="6" s="1"/>
  <c r="A624" i="6"/>
  <c r="A626" i="6"/>
  <c r="A622" i="6"/>
  <c r="AE619" i="6"/>
  <c r="AD619" i="6"/>
  <c r="AD621" i="6"/>
  <c r="AJ622" i="6"/>
  <c r="AE623" i="6"/>
  <c r="AD623" i="6"/>
  <c r="AJ624" i="6"/>
  <c r="P622" i="6"/>
  <c r="R622" i="6" s="1"/>
  <c r="AH622" i="6" s="1"/>
  <c r="AL615" i="6"/>
  <c r="P626" i="6"/>
  <c r="R626" i="6" s="1"/>
  <c r="AH626" i="6" s="1"/>
  <c r="AE621" i="6"/>
  <c r="N624" i="6"/>
  <c r="N626" i="6"/>
  <c r="N622" i="6"/>
  <c r="AJ626" i="6"/>
  <c r="P624" i="6"/>
  <c r="R624" i="6" s="1"/>
  <c r="AH624" i="6" s="1"/>
  <c r="AC615" i="6"/>
  <c r="L619" i="6"/>
  <c r="AA616" i="6"/>
  <c r="AC616" i="6" s="1"/>
  <c r="AB615" i="6"/>
  <c r="K624" i="6"/>
  <c r="M627" i="6" s="1"/>
  <c r="AO627" i="6" s="1"/>
  <c r="K626" i="6"/>
  <c r="M629" i="6" s="1"/>
  <c r="AO629" i="6" s="1"/>
  <c r="K622" i="6"/>
  <c r="M625" i="6" s="1"/>
  <c r="AO625" i="6" s="1"/>
  <c r="AB613" i="6"/>
  <c r="AC613" i="6"/>
  <c r="AK618" i="6"/>
  <c r="AA618" i="6"/>
  <c r="AC617" i="6"/>
  <c r="AB617" i="6"/>
  <c r="AL613" i="6"/>
  <c r="AM613" i="6"/>
  <c r="L623" i="6"/>
  <c r="L621" i="6"/>
  <c r="AK620" i="6"/>
  <c r="AA620" i="6"/>
  <c r="AL617" i="6"/>
  <c r="AM617" i="6"/>
  <c r="AI625" i="6"/>
  <c r="F625" i="6"/>
  <c r="AI629" i="6"/>
  <c r="F629" i="6"/>
  <c r="AI627" i="6"/>
  <c r="F627" i="6"/>
  <c r="AP624" i="6" l="1"/>
  <c r="AP628" i="6"/>
  <c r="AP626" i="6"/>
  <c r="Q607" i="11"/>
  <c r="R607" i="11" s="1"/>
  <c r="AM616" i="6"/>
  <c r="AA619" i="6"/>
  <c r="AC619" i="6" s="1"/>
  <c r="A627" i="6"/>
  <c r="A625" i="6"/>
  <c r="A629" i="6"/>
  <c r="N625" i="6"/>
  <c r="AD622" i="6"/>
  <c r="P625" i="6"/>
  <c r="R625" i="6" s="1"/>
  <c r="AH625" i="6" s="1"/>
  <c r="AE622" i="6"/>
  <c r="P629" i="6"/>
  <c r="R629" i="6" s="1"/>
  <c r="AH629" i="6" s="1"/>
  <c r="AE624" i="6"/>
  <c r="AD624" i="6"/>
  <c r="N627" i="6"/>
  <c r="AE626" i="6"/>
  <c r="AJ627" i="6"/>
  <c r="AD626" i="6"/>
  <c r="N629" i="6"/>
  <c r="AJ629" i="6"/>
  <c r="P627" i="6"/>
  <c r="R627" i="6" s="1"/>
  <c r="AH627" i="6" s="1"/>
  <c r="AJ625" i="6"/>
  <c r="AK619" i="6"/>
  <c r="AL619" i="6" s="1"/>
  <c r="AG615" i="6"/>
  <c r="P612" i="11" s="1"/>
  <c r="AG616" i="6"/>
  <c r="AB616" i="6"/>
  <c r="AF615" i="6"/>
  <c r="L624" i="6"/>
  <c r="L622" i="6"/>
  <c r="L626" i="6"/>
  <c r="K625" i="6"/>
  <c r="M628" i="6" s="1"/>
  <c r="AO628" i="6" s="1"/>
  <c r="K629" i="6"/>
  <c r="M632" i="6" s="1"/>
  <c r="AO632" i="6" s="1"/>
  <c r="K627" i="6"/>
  <c r="M630" i="6" s="1"/>
  <c r="AO630" i="6" s="1"/>
  <c r="AL620" i="6"/>
  <c r="AM620" i="6"/>
  <c r="AC620" i="6"/>
  <c r="AB620" i="6"/>
  <c r="AK623" i="6"/>
  <c r="AA623" i="6"/>
  <c r="AG617" i="6"/>
  <c r="P614" i="11" s="1"/>
  <c r="AM618" i="6"/>
  <c r="AL618" i="6"/>
  <c r="AF613" i="6"/>
  <c r="AB618" i="6"/>
  <c r="AC618" i="6"/>
  <c r="AK621" i="6"/>
  <c r="AA621" i="6"/>
  <c r="AF617" i="6"/>
  <c r="AG613" i="6"/>
  <c r="P610" i="11" s="1"/>
  <c r="AI630" i="6"/>
  <c r="F630" i="6"/>
  <c r="AI628" i="6"/>
  <c r="F628" i="6"/>
  <c r="AI632" i="6"/>
  <c r="F632" i="6"/>
  <c r="AP631" i="6" l="1"/>
  <c r="AP627" i="6"/>
  <c r="AP629" i="6"/>
  <c r="Q610" i="11"/>
  <c r="R610" i="11" s="1"/>
  <c r="Q614" i="11"/>
  <c r="R614" i="11" s="1"/>
  <c r="Q612" i="11"/>
  <c r="R612" i="11" s="1"/>
  <c r="AG619" i="6"/>
  <c r="P616" i="11" s="1"/>
  <c r="AB619" i="6"/>
  <c r="AA626" i="6"/>
  <c r="AB626" i="6" s="1"/>
  <c r="AA622" i="6"/>
  <c r="AA624" i="6"/>
  <c r="AC624" i="6" s="1"/>
  <c r="AK624" i="6"/>
  <c r="AM624" i="6" s="1"/>
  <c r="A628" i="6"/>
  <c r="A630" i="6"/>
  <c r="A632" i="6"/>
  <c r="AE625" i="6"/>
  <c r="P613" i="11"/>
  <c r="AJ632" i="6"/>
  <c r="AD629" i="6"/>
  <c r="AD625" i="6"/>
  <c r="N628" i="6"/>
  <c r="AE629" i="6"/>
  <c r="P628" i="6"/>
  <c r="R628" i="6" s="1"/>
  <c r="AH628" i="6" s="1"/>
  <c r="AD627" i="6"/>
  <c r="AJ630" i="6"/>
  <c r="AE627" i="6"/>
  <c r="P630" i="6"/>
  <c r="R630" i="6" s="1"/>
  <c r="AH630" i="6" s="1"/>
  <c r="AM619" i="6"/>
  <c r="N630" i="6"/>
  <c r="N632" i="6"/>
  <c r="P632" i="6"/>
  <c r="R632" i="6" s="1"/>
  <c r="AH632" i="6" s="1"/>
  <c r="AJ628" i="6"/>
  <c r="AK622" i="6"/>
  <c r="AM622" i="6" s="1"/>
  <c r="AF616" i="6"/>
  <c r="AK626" i="6"/>
  <c r="AM626" i="6" s="1"/>
  <c r="L629" i="6"/>
  <c r="K630" i="6"/>
  <c r="M633" i="6" s="1"/>
  <c r="AO633" i="6" s="1"/>
  <c r="K632" i="6"/>
  <c r="M635" i="6" s="1"/>
  <c r="AO635" i="6" s="1"/>
  <c r="K628" i="6"/>
  <c r="M631" i="6" s="1"/>
  <c r="AO631" i="6" s="1"/>
  <c r="AC623" i="6"/>
  <c r="AB623" i="6"/>
  <c r="AG618" i="6"/>
  <c r="P615" i="11" s="1"/>
  <c r="AG620" i="6"/>
  <c r="P617" i="11" s="1"/>
  <c r="AB621" i="6"/>
  <c r="AC621" i="6"/>
  <c r="AF618" i="6"/>
  <c r="AM623" i="6"/>
  <c r="AL623" i="6"/>
  <c r="L627" i="6"/>
  <c r="L625" i="6"/>
  <c r="AM621" i="6"/>
  <c r="AL621" i="6"/>
  <c r="AF620" i="6"/>
  <c r="AI633" i="6"/>
  <c r="F633" i="6"/>
  <c r="AI635" i="6"/>
  <c r="F635" i="6"/>
  <c r="AI631" i="6"/>
  <c r="F631" i="6"/>
  <c r="AP630" i="6" l="1"/>
  <c r="AP634" i="6"/>
  <c r="AP632" i="6"/>
  <c r="Q615" i="11"/>
  <c r="R615" i="11" s="1"/>
  <c r="Q613" i="11"/>
  <c r="R613" i="11" s="1"/>
  <c r="Q617" i="11"/>
  <c r="R617" i="11" s="1"/>
  <c r="AB622" i="6"/>
  <c r="AF619" i="6"/>
  <c r="AC622" i="6"/>
  <c r="AF626" i="6"/>
  <c r="AG624" i="6"/>
  <c r="P621" i="11" s="1"/>
  <c r="AC626" i="6"/>
  <c r="AG626" i="6" s="1"/>
  <c r="P623" i="11" s="1"/>
  <c r="AB624" i="6"/>
  <c r="AK629" i="6"/>
  <c r="AM629" i="6" s="1"/>
  <c r="AL624" i="6"/>
  <c r="A633" i="6"/>
  <c r="A631" i="6"/>
  <c r="A635" i="6"/>
  <c r="AJ635" i="6"/>
  <c r="AD628" i="6"/>
  <c r="AE630" i="6"/>
  <c r="AD630" i="6"/>
  <c r="AE628" i="6"/>
  <c r="AJ633" i="6"/>
  <c r="AE632" i="6"/>
  <c r="P631" i="6"/>
  <c r="R631" i="6" s="1"/>
  <c r="AH631" i="6" s="1"/>
  <c r="AD632" i="6"/>
  <c r="N631" i="6"/>
  <c r="AJ631" i="6"/>
  <c r="P635" i="6"/>
  <c r="R635" i="6" s="1"/>
  <c r="AH635" i="6" s="1"/>
  <c r="N633" i="6"/>
  <c r="P633" i="6"/>
  <c r="R633" i="6" s="1"/>
  <c r="AH633" i="6" s="1"/>
  <c r="N635" i="6"/>
  <c r="AL622" i="6"/>
  <c r="AL626" i="6"/>
  <c r="AA629" i="6"/>
  <c r="AB629" i="6" s="1"/>
  <c r="L632" i="6"/>
  <c r="L628" i="6"/>
  <c r="L630" i="6"/>
  <c r="K633" i="6"/>
  <c r="M636" i="6" s="1"/>
  <c r="AO636" i="6" s="1"/>
  <c r="K635" i="6"/>
  <c r="M638" i="6" s="1"/>
  <c r="AO638" i="6" s="1"/>
  <c r="K631" i="6"/>
  <c r="M634" i="6" s="1"/>
  <c r="AO634" i="6" s="1"/>
  <c r="AK627" i="6"/>
  <c r="AA627" i="6"/>
  <c r="AG621" i="6"/>
  <c r="P618" i="11" s="1"/>
  <c r="AF621" i="6"/>
  <c r="AF623" i="6"/>
  <c r="AK625" i="6"/>
  <c r="AA625" i="6"/>
  <c r="AG623" i="6"/>
  <c r="P620" i="11" s="1"/>
  <c r="AI634" i="6"/>
  <c r="F634" i="6"/>
  <c r="F636" i="6"/>
  <c r="AI636" i="6"/>
  <c r="AI638" i="6"/>
  <c r="F638" i="6"/>
  <c r="AP633" i="6" l="1"/>
  <c r="AP637" i="6"/>
  <c r="AP635" i="6"/>
  <c r="Q620" i="11"/>
  <c r="R620" i="11" s="1"/>
  <c r="Q623" i="11"/>
  <c r="R623" i="11" s="1"/>
  <c r="Q618" i="11"/>
  <c r="R618" i="11" s="1"/>
  <c r="Q616" i="11"/>
  <c r="R616" i="11" s="1"/>
  <c r="AG622" i="6"/>
  <c r="P619" i="11" s="1"/>
  <c r="AL629" i="6"/>
  <c r="AF622" i="6"/>
  <c r="AF624" i="6"/>
  <c r="AA630" i="6"/>
  <c r="AB630" i="6" s="1"/>
  <c r="AA628" i="6"/>
  <c r="AA632" i="6"/>
  <c r="AB632" i="6" s="1"/>
  <c r="A634" i="6"/>
  <c r="A636" i="6"/>
  <c r="A638" i="6"/>
  <c r="AK632" i="6"/>
  <c r="AL632" i="6" s="1"/>
  <c r="AD631" i="6"/>
  <c r="AE631" i="6"/>
  <c r="N634" i="6"/>
  <c r="AD633" i="6"/>
  <c r="AE633" i="6"/>
  <c r="AJ638" i="6"/>
  <c r="AF629" i="6"/>
  <c r="AJ634" i="6"/>
  <c r="N638" i="6"/>
  <c r="P634" i="6"/>
  <c r="R634" i="6" s="1"/>
  <c r="AH634" i="6" s="1"/>
  <c r="P638" i="6"/>
  <c r="R638" i="6" s="1"/>
  <c r="AH638" i="6" s="1"/>
  <c r="AJ636" i="6"/>
  <c r="AE635" i="6"/>
  <c r="AD635" i="6"/>
  <c r="P636" i="6"/>
  <c r="R636" i="6" s="1"/>
  <c r="AH636" i="6" s="1"/>
  <c r="N636" i="6"/>
  <c r="AK628" i="6"/>
  <c r="AL628" i="6" s="1"/>
  <c r="AC629" i="6"/>
  <c r="AK630" i="6"/>
  <c r="AL630" i="6" s="1"/>
  <c r="L635" i="6"/>
  <c r="K638" i="6"/>
  <c r="M641" i="6" s="1"/>
  <c r="AO641" i="6" s="1"/>
  <c r="K636" i="6"/>
  <c r="M639" i="6" s="1"/>
  <c r="AO639" i="6" s="1"/>
  <c r="K634" i="6"/>
  <c r="M637" i="6" s="1"/>
  <c r="AO637" i="6" s="1"/>
  <c r="AM627" i="6"/>
  <c r="AL627" i="6"/>
  <c r="AB625" i="6"/>
  <c r="AC625" i="6"/>
  <c r="AB627" i="6"/>
  <c r="AC627" i="6"/>
  <c r="L631" i="6"/>
  <c r="L633" i="6"/>
  <c r="AL625" i="6"/>
  <c r="AM625" i="6"/>
  <c r="AI641" i="6"/>
  <c r="F641" i="6"/>
  <c r="AI639" i="6"/>
  <c r="F639" i="6"/>
  <c r="AI637" i="6"/>
  <c r="F637" i="6"/>
  <c r="AP636" i="6" l="1"/>
  <c r="AP638" i="6"/>
  <c r="AP640" i="6"/>
  <c r="Q619" i="11"/>
  <c r="R619" i="11" s="1"/>
  <c r="Q626" i="11"/>
  <c r="Q621" i="11"/>
  <c r="R621" i="11" s="1"/>
  <c r="AB628" i="6"/>
  <c r="AF628" i="6" s="1"/>
  <c r="AF630" i="6"/>
  <c r="AF632" i="6"/>
  <c r="AC630" i="6"/>
  <c r="AG630" i="6" s="1"/>
  <c r="P627" i="11" s="1"/>
  <c r="AC632" i="6"/>
  <c r="AC628" i="6"/>
  <c r="AG628" i="6" s="1"/>
  <c r="P625" i="11" s="1"/>
  <c r="AA635" i="6"/>
  <c r="A637" i="6"/>
  <c r="A641" i="6"/>
  <c r="A639" i="6"/>
  <c r="AM632" i="6"/>
  <c r="AE638" i="6"/>
  <c r="AD636" i="6"/>
  <c r="AD634" i="6"/>
  <c r="AE636" i="6"/>
  <c r="AD638" i="6"/>
  <c r="AE634" i="6"/>
  <c r="P639" i="6"/>
  <c r="R639" i="6" s="1"/>
  <c r="AH639" i="6" s="1"/>
  <c r="N637" i="6"/>
  <c r="N639" i="6"/>
  <c r="P637" i="6"/>
  <c r="R637" i="6" s="1"/>
  <c r="AH637" i="6" s="1"/>
  <c r="N641" i="6"/>
  <c r="P641" i="6"/>
  <c r="R641" i="6" s="1"/>
  <c r="AH641" i="6" s="1"/>
  <c r="AJ639" i="6"/>
  <c r="AJ637" i="6"/>
  <c r="AJ641" i="6"/>
  <c r="AM628" i="6"/>
  <c r="AM630" i="6"/>
  <c r="AG629" i="6"/>
  <c r="P626" i="11" s="1"/>
  <c r="AK635" i="6"/>
  <c r="AM635" i="6" s="1"/>
  <c r="L636" i="6"/>
  <c r="K637" i="6"/>
  <c r="M640" i="6" s="1"/>
  <c r="AO640" i="6" s="1"/>
  <c r="K641" i="6"/>
  <c r="M644" i="6" s="1"/>
  <c r="AO644" i="6" s="1"/>
  <c r="K639" i="6"/>
  <c r="M642" i="6" s="1"/>
  <c r="AO642" i="6" s="1"/>
  <c r="AK633" i="6"/>
  <c r="AA633" i="6"/>
  <c r="AF627" i="6"/>
  <c r="AK631" i="6"/>
  <c r="AA631" i="6"/>
  <c r="AG625" i="6"/>
  <c r="P622" i="11" s="1"/>
  <c r="L634" i="6"/>
  <c r="L638" i="6"/>
  <c r="AG627" i="6"/>
  <c r="P624" i="11" s="1"/>
  <c r="AF625" i="6"/>
  <c r="AI640" i="6"/>
  <c r="F640" i="6"/>
  <c r="AI644" i="6"/>
  <c r="F644" i="6"/>
  <c r="AI642" i="6"/>
  <c r="F642" i="6"/>
  <c r="R626" i="11" l="1"/>
  <c r="AP641" i="6"/>
  <c r="AP643" i="6"/>
  <c r="AP639" i="6"/>
  <c r="Q624" i="11"/>
  <c r="R624" i="11" s="1"/>
  <c r="Q629" i="11"/>
  <c r="Q625" i="11"/>
  <c r="R625" i="11" s="1"/>
  <c r="Q627" i="11"/>
  <c r="R627" i="11" s="1"/>
  <c r="Q622" i="11"/>
  <c r="R622" i="11" s="1"/>
  <c r="AG632" i="6"/>
  <c r="P629" i="11" s="1"/>
  <c r="AB635" i="6"/>
  <c r="AC635" i="6"/>
  <c r="AK636" i="6"/>
  <c r="AM636" i="6" s="1"/>
  <c r="A644" i="6"/>
  <c r="A640" i="6"/>
  <c r="A642" i="6"/>
  <c r="P642" i="6"/>
  <c r="R642" i="6" s="1"/>
  <c r="AH642" i="6" s="1"/>
  <c r="AE641" i="6"/>
  <c r="AE639" i="6"/>
  <c r="N640" i="6"/>
  <c r="AJ640" i="6"/>
  <c r="AD639" i="6"/>
  <c r="AE637" i="6"/>
  <c r="N644" i="6"/>
  <c r="AD637" i="6"/>
  <c r="AJ644" i="6"/>
  <c r="P640" i="6"/>
  <c r="R640" i="6" s="1"/>
  <c r="AH640" i="6" s="1"/>
  <c r="AD641" i="6"/>
  <c r="AJ642" i="6"/>
  <c r="P644" i="6"/>
  <c r="R644" i="6" s="1"/>
  <c r="AH644" i="6" s="1"/>
  <c r="N642" i="6"/>
  <c r="AL635" i="6"/>
  <c r="AA636" i="6"/>
  <c r="AC636" i="6" s="1"/>
  <c r="AG636" i="6" s="1"/>
  <c r="P633" i="11" s="1"/>
  <c r="L641" i="6"/>
  <c r="L639" i="6"/>
  <c r="L637" i="6"/>
  <c r="K640" i="6"/>
  <c r="M643" i="6" s="1"/>
  <c r="AO643" i="6" s="1"/>
  <c r="K642" i="6"/>
  <c r="M645" i="6" s="1"/>
  <c r="AO645" i="6" s="1"/>
  <c r="K644" i="6"/>
  <c r="M647" i="6" s="1"/>
  <c r="AO647" i="6" s="1"/>
  <c r="AK634" i="6"/>
  <c r="AA634" i="6"/>
  <c r="AL631" i="6"/>
  <c r="AM631" i="6"/>
  <c r="AL633" i="6"/>
  <c r="AM633" i="6"/>
  <c r="AK638" i="6"/>
  <c r="AA638" i="6"/>
  <c r="AC631" i="6"/>
  <c r="AB631" i="6"/>
  <c r="AC633" i="6"/>
  <c r="AB633" i="6"/>
  <c r="AI645" i="6"/>
  <c r="F645" i="6"/>
  <c r="AI643" i="6"/>
  <c r="F643" i="6"/>
  <c r="F647" i="6"/>
  <c r="AI647" i="6"/>
  <c r="R629" i="11" l="1"/>
  <c r="AP642" i="6"/>
  <c r="AP644" i="6"/>
  <c r="AP646" i="6"/>
  <c r="AF635" i="6"/>
  <c r="AL636" i="6"/>
  <c r="AG635" i="6"/>
  <c r="P632" i="11" s="1"/>
  <c r="AA641" i="6"/>
  <c r="AC641" i="6" s="1"/>
  <c r="AA637" i="6"/>
  <c r="AB637" i="6" s="1"/>
  <c r="AF637" i="6" s="1"/>
  <c r="AK639" i="6"/>
  <c r="AL639" i="6" s="1"/>
  <c r="A647" i="6"/>
  <c r="A643" i="6"/>
  <c r="A645" i="6"/>
  <c r="AD642" i="6"/>
  <c r="AE642" i="6"/>
  <c r="AJ643" i="6"/>
  <c r="N643" i="6"/>
  <c r="AE644" i="6"/>
  <c r="AE640" i="6"/>
  <c r="N645" i="6"/>
  <c r="P647" i="6"/>
  <c r="R647" i="6" s="1"/>
  <c r="AH647" i="6" s="1"/>
  <c r="AD640" i="6"/>
  <c r="AJ645" i="6"/>
  <c r="AD644" i="6"/>
  <c r="P645" i="6"/>
  <c r="R645" i="6" s="1"/>
  <c r="AH645" i="6" s="1"/>
  <c r="N647" i="6"/>
  <c r="AJ647" i="6"/>
  <c r="P643" i="6"/>
  <c r="R643" i="6" s="1"/>
  <c r="AH643" i="6" s="1"/>
  <c r="AB636" i="6"/>
  <c r="AF636" i="6" s="1"/>
  <c r="AK641" i="6"/>
  <c r="AM641" i="6" s="1"/>
  <c r="AK637" i="6"/>
  <c r="AL637" i="6" s="1"/>
  <c r="AA639" i="6"/>
  <c r="L642" i="6"/>
  <c r="K643" i="6"/>
  <c r="M646" i="6" s="1"/>
  <c r="AO646" i="6" s="1"/>
  <c r="K645" i="6"/>
  <c r="M648" i="6" s="1"/>
  <c r="AO648" i="6" s="1"/>
  <c r="K647" i="6"/>
  <c r="M650" i="6" s="1"/>
  <c r="AO650" i="6" s="1"/>
  <c r="AG633" i="6"/>
  <c r="P630" i="11" s="1"/>
  <c r="AC638" i="6"/>
  <c r="AB638" i="6"/>
  <c r="AB634" i="6"/>
  <c r="AC634" i="6"/>
  <c r="L644" i="6"/>
  <c r="L640" i="6"/>
  <c r="AG631" i="6"/>
  <c r="P628" i="11" s="1"/>
  <c r="AF633" i="6"/>
  <c r="AF631" i="6"/>
  <c r="AM638" i="6"/>
  <c r="AL638" i="6"/>
  <c r="AM634" i="6"/>
  <c r="AL634" i="6"/>
  <c r="AI650" i="6"/>
  <c r="F650" i="6"/>
  <c r="AI648" i="6"/>
  <c r="F648" i="6"/>
  <c r="F646" i="6"/>
  <c r="AI646" i="6"/>
  <c r="AP645" i="6" l="1"/>
  <c r="AP647" i="6"/>
  <c r="AP649" i="6"/>
  <c r="Q630" i="11"/>
  <c r="R630" i="11" s="1"/>
  <c r="Q634" i="11"/>
  <c r="Q633" i="11"/>
  <c r="R633" i="11" s="1"/>
  <c r="Q628" i="11"/>
  <c r="R628" i="11" s="1"/>
  <c r="Q632" i="11"/>
  <c r="R632" i="11" s="1"/>
  <c r="AM639" i="6"/>
  <c r="AG641" i="6"/>
  <c r="P638" i="11" s="1"/>
  <c r="AB641" i="6"/>
  <c r="AF641" i="6" s="1"/>
  <c r="AC637" i="6"/>
  <c r="AG637" i="6" s="1"/>
  <c r="P634" i="11" s="1"/>
  <c r="AA642" i="6"/>
  <c r="A650" i="6"/>
  <c r="A648" i="6"/>
  <c r="A646" i="6"/>
  <c r="AD643" i="6"/>
  <c r="AE647" i="6"/>
  <c r="AD647" i="6"/>
  <c r="AJ646" i="6"/>
  <c r="AE645" i="6"/>
  <c r="AE643" i="6"/>
  <c r="P646" i="6"/>
  <c r="R646" i="6" s="1"/>
  <c r="AH646" i="6" s="1"/>
  <c r="N650" i="6"/>
  <c r="AL641" i="6"/>
  <c r="AJ648" i="6"/>
  <c r="AD645" i="6"/>
  <c r="P648" i="6"/>
  <c r="R648" i="6" s="1"/>
  <c r="AH648" i="6" s="1"/>
  <c r="AJ650" i="6"/>
  <c r="N646" i="6"/>
  <c r="N648" i="6"/>
  <c r="P650" i="6"/>
  <c r="R650" i="6" s="1"/>
  <c r="AH650" i="6" s="1"/>
  <c r="AM637" i="6"/>
  <c r="AC639" i="6"/>
  <c r="AB639" i="6"/>
  <c r="AK642" i="6"/>
  <c r="AM642" i="6" s="1"/>
  <c r="L647" i="6"/>
  <c r="L643" i="6"/>
  <c r="L645" i="6"/>
  <c r="K650" i="6"/>
  <c r="M653" i="6" s="1"/>
  <c r="AO653" i="6" s="1"/>
  <c r="K646" i="6"/>
  <c r="M649" i="6" s="1"/>
  <c r="AO649" i="6" s="1"/>
  <c r="K648" i="6"/>
  <c r="M651" i="6" s="1"/>
  <c r="AO651" i="6" s="1"/>
  <c r="AG634" i="6"/>
  <c r="P631" i="11" s="1"/>
  <c r="AK640" i="6"/>
  <c r="AA640" i="6"/>
  <c r="AF638" i="6"/>
  <c r="AK644" i="6"/>
  <c r="AA644" i="6"/>
  <c r="AG638" i="6"/>
  <c r="P635" i="11" s="1"/>
  <c r="AF634" i="6"/>
  <c r="AI653" i="6"/>
  <c r="F653" i="6"/>
  <c r="AI649" i="6"/>
  <c r="F649" i="6"/>
  <c r="AI651" i="6"/>
  <c r="F651" i="6"/>
  <c r="R634" i="11" l="1"/>
  <c r="AP648" i="6"/>
  <c r="AP652" i="6"/>
  <c r="AP650" i="6"/>
  <c r="Q638" i="11"/>
  <c r="R638" i="11" s="1"/>
  <c r="Q635" i="11"/>
  <c r="R635" i="11" s="1"/>
  <c r="Q631" i="11"/>
  <c r="R631" i="11" s="1"/>
  <c r="AC642" i="6"/>
  <c r="AB642" i="6"/>
  <c r="AA643" i="6"/>
  <c r="AC643" i="6" s="1"/>
  <c r="AG643" i="6" s="1"/>
  <c r="P640" i="11" s="1"/>
  <c r="AA647" i="6"/>
  <c r="AC647" i="6" s="1"/>
  <c r="AK645" i="6"/>
  <c r="AM645" i="6" s="1"/>
  <c r="A653" i="6"/>
  <c r="A651" i="6"/>
  <c r="A649" i="6"/>
  <c r="AE648" i="6"/>
  <c r="AE650" i="6"/>
  <c r="AD650" i="6"/>
  <c r="AJ651" i="6"/>
  <c r="AD648" i="6"/>
  <c r="N649" i="6"/>
  <c r="AJ649" i="6"/>
  <c r="AE646" i="6"/>
  <c r="P649" i="6"/>
  <c r="R649" i="6" s="1"/>
  <c r="AH649" i="6" s="1"/>
  <c r="AD646" i="6"/>
  <c r="N653" i="6"/>
  <c r="N651" i="6"/>
  <c r="AJ653" i="6"/>
  <c r="P651" i="6"/>
  <c r="R651" i="6" s="1"/>
  <c r="AH651" i="6" s="1"/>
  <c r="P653" i="6"/>
  <c r="R653" i="6" s="1"/>
  <c r="AH653" i="6" s="1"/>
  <c r="AK643" i="6"/>
  <c r="AM643" i="6" s="1"/>
  <c r="AL642" i="6"/>
  <c r="AA645" i="6"/>
  <c r="AC645" i="6" s="1"/>
  <c r="AG645" i="6" s="1"/>
  <c r="P642" i="11" s="1"/>
  <c r="AK647" i="6"/>
  <c r="AM647" i="6" s="1"/>
  <c r="AF639" i="6"/>
  <c r="AG639" i="6"/>
  <c r="P636" i="11" s="1"/>
  <c r="L646" i="6"/>
  <c r="L648" i="6"/>
  <c r="L650" i="6"/>
  <c r="K651" i="6"/>
  <c r="M654" i="6" s="1"/>
  <c r="AO654" i="6" s="1"/>
  <c r="K649" i="6"/>
  <c r="M652" i="6" s="1"/>
  <c r="AO652" i="6" s="1"/>
  <c r="K653" i="6"/>
  <c r="M656" i="6" s="1"/>
  <c r="AO656" i="6" s="1"/>
  <c r="AC644" i="6"/>
  <c r="AB644" i="6"/>
  <c r="AB640" i="6"/>
  <c r="AC640" i="6"/>
  <c r="AL644" i="6"/>
  <c r="AM644" i="6"/>
  <c r="AM640" i="6"/>
  <c r="AL640" i="6"/>
  <c r="F656" i="6"/>
  <c r="AI656" i="6"/>
  <c r="AI654" i="6"/>
  <c r="F654" i="6"/>
  <c r="AI652" i="6"/>
  <c r="F652" i="6"/>
  <c r="AP653" i="6" l="1"/>
  <c r="AP651" i="6"/>
  <c r="AP655" i="6"/>
  <c r="Q636" i="11"/>
  <c r="R636" i="11" s="1"/>
  <c r="AG642" i="6"/>
  <c r="AL645" i="6"/>
  <c r="AB643" i="6"/>
  <c r="AF642" i="6"/>
  <c r="AB647" i="6"/>
  <c r="AG647" i="6"/>
  <c r="P644" i="11" s="1"/>
  <c r="AA648" i="6"/>
  <c r="AB648" i="6" s="1"/>
  <c r="AF648" i="6" s="1"/>
  <c r="AA646" i="6"/>
  <c r="AC646" i="6" s="1"/>
  <c r="AG646" i="6" s="1"/>
  <c r="P643" i="11" s="1"/>
  <c r="AA650" i="6"/>
  <c r="AB650" i="6" s="1"/>
  <c r="AF650" i="6" s="1"/>
  <c r="A654" i="6"/>
  <c r="A656" i="6"/>
  <c r="A652" i="6"/>
  <c r="AB645" i="6"/>
  <c r="AF645" i="6" s="1"/>
  <c r="P654" i="6"/>
  <c r="R654" i="6" s="1"/>
  <c r="AH654" i="6" s="1"/>
  <c r="AD653" i="6"/>
  <c r="AE649" i="6"/>
  <c r="AD651" i="6"/>
  <c r="AD649" i="6"/>
  <c r="AE651" i="6"/>
  <c r="AJ652" i="6"/>
  <c r="N656" i="6"/>
  <c r="AJ656" i="6"/>
  <c r="AE653" i="6"/>
  <c r="P656" i="6"/>
  <c r="R656" i="6" s="1"/>
  <c r="AH656" i="6" s="1"/>
  <c r="N654" i="6"/>
  <c r="AL643" i="6"/>
  <c r="N652" i="6"/>
  <c r="AJ654" i="6"/>
  <c r="P652" i="6"/>
  <c r="R652" i="6" s="1"/>
  <c r="AH652" i="6" s="1"/>
  <c r="AK646" i="6"/>
  <c r="AL646" i="6" s="1"/>
  <c r="AK648" i="6"/>
  <c r="AM648" i="6" s="1"/>
  <c r="AL647" i="6"/>
  <c r="AK650" i="6"/>
  <c r="AM650" i="6" s="1"/>
  <c r="L649" i="6"/>
  <c r="L653" i="6"/>
  <c r="L651" i="6"/>
  <c r="K654" i="6"/>
  <c r="M657" i="6" s="1"/>
  <c r="AO657" i="6" s="1"/>
  <c r="K656" i="6"/>
  <c r="M659" i="6" s="1"/>
  <c r="AO659" i="6" s="1"/>
  <c r="K652" i="6"/>
  <c r="M655" i="6" s="1"/>
  <c r="AO655" i="6" s="1"/>
  <c r="AF644" i="6"/>
  <c r="AG644" i="6"/>
  <c r="P641" i="11" s="1"/>
  <c r="AG640" i="6"/>
  <c r="P637" i="11" s="1"/>
  <c r="AF640" i="6"/>
  <c r="AI655" i="6"/>
  <c r="F655" i="6"/>
  <c r="AI657" i="6"/>
  <c r="F657" i="6"/>
  <c r="F659" i="6"/>
  <c r="AI659" i="6"/>
  <c r="AP658" i="6" l="1"/>
  <c r="AP656" i="6"/>
  <c r="AP654" i="6"/>
  <c r="Q637" i="11"/>
  <c r="R637" i="11" s="1"/>
  <c r="Q647" i="11"/>
  <c r="Q645" i="11"/>
  <c r="Q639" i="11"/>
  <c r="Q642" i="11"/>
  <c r="R642" i="11" s="1"/>
  <c r="Q641" i="11"/>
  <c r="R641" i="11" s="1"/>
  <c r="P639" i="11"/>
  <c r="AF643" i="6"/>
  <c r="AF647" i="6"/>
  <c r="AC650" i="6"/>
  <c r="AG650" i="6" s="1"/>
  <c r="P647" i="11" s="1"/>
  <c r="AC648" i="6"/>
  <c r="AG648" i="6" s="1"/>
  <c r="P645" i="11" s="1"/>
  <c r="AB646" i="6"/>
  <c r="AA649" i="6"/>
  <c r="AB649" i="6" s="1"/>
  <c r="AA651" i="6"/>
  <c r="AA653" i="6"/>
  <c r="AB653" i="6" s="1"/>
  <c r="A655" i="6"/>
  <c r="A659" i="6"/>
  <c r="A657" i="6"/>
  <c r="AD654" i="6"/>
  <c r="AE654" i="6"/>
  <c r="N657" i="6"/>
  <c r="AJ657" i="6"/>
  <c r="AJ655" i="6"/>
  <c r="P655" i="6"/>
  <c r="R655" i="6" s="1"/>
  <c r="AH655" i="6" s="1"/>
  <c r="AM646" i="6"/>
  <c r="AD652" i="6"/>
  <c r="AD656" i="6"/>
  <c r="AE652" i="6"/>
  <c r="AE656" i="6"/>
  <c r="N659" i="6"/>
  <c r="P659" i="6"/>
  <c r="R659" i="6" s="1"/>
  <c r="AH659" i="6" s="1"/>
  <c r="N655" i="6"/>
  <c r="P657" i="6"/>
  <c r="R657" i="6" s="1"/>
  <c r="AH657" i="6" s="1"/>
  <c r="AJ659" i="6"/>
  <c r="AL648" i="6"/>
  <c r="AK653" i="6"/>
  <c r="AL653" i="6" s="1"/>
  <c r="AL650" i="6"/>
  <c r="AK649" i="6"/>
  <c r="AL649" i="6" s="1"/>
  <c r="L656" i="6"/>
  <c r="AK651" i="6"/>
  <c r="AL651" i="6" s="1"/>
  <c r="L652" i="6"/>
  <c r="L654" i="6"/>
  <c r="K655" i="6"/>
  <c r="M658" i="6" s="1"/>
  <c r="AO658" i="6" s="1"/>
  <c r="K659" i="6"/>
  <c r="M662" i="6" s="1"/>
  <c r="AO662" i="6" s="1"/>
  <c r="K657" i="6"/>
  <c r="M660" i="6" s="1"/>
  <c r="AO660" i="6" s="1"/>
  <c r="AI662" i="6"/>
  <c r="F662" i="6"/>
  <c r="AI660" i="6"/>
  <c r="F660" i="6"/>
  <c r="AI658" i="6"/>
  <c r="F658" i="6"/>
  <c r="R647" i="11" l="1"/>
  <c r="R645" i="11"/>
  <c r="R639" i="11"/>
  <c r="AF646" i="6"/>
  <c r="Q643" i="11" s="1"/>
  <c r="R643" i="11" s="1"/>
  <c r="AP661" i="6"/>
  <c r="AP659" i="6"/>
  <c r="AP657" i="6"/>
  <c r="Q644" i="11"/>
  <c r="R644" i="11" s="1"/>
  <c r="Q640" i="11"/>
  <c r="R640" i="11" s="1"/>
  <c r="AC651" i="6"/>
  <c r="AF649" i="6"/>
  <c r="AC649" i="6"/>
  <c r="AG649" i="6" s="1"/>
  <c r="P646" i="11" s="1"/>
  <c r="AC653" i="6"/>
  <c r="AB651" i="6"/>
  <c r="AF651" i="6" s="1"/>
  <c r="AK652" i="6"/>
  <c r="AL652" i="6" s="1"/>
  <c r="AA654" i="6"/>
  <c r="AA656" i="6"/>
  <c r="AC656" i="6" s="1"/>
  <c r="AG656" i="6" s="1"/>
  <c r="P653" i="11" s="1"/>
  <c r="A662" i="6"/>
  <c r="A660" i="6"/>
  <c r="A658" i="6"/>
  <c r="AD659" i="6"/>
  <c r="AD655" i="6"/>
  <c r="AE659" i="6"/>
  <c r="AE655" i="6"/>
  <c r="AE657" i="6"/>
  <c r="N660" i="6"/>
  <c r="AJ660" i="6"/>
  <c r="AD657" i="6"/>
  <c r="P658" i="6"/>
  <c r="R658" i="6" s="1"/>
  <c r="AH658" i="6" s="1"/>
  <c r="AJ662" i="6"/>
  <c r="N658" i="6"/>
  <c r="P662" i="6"/>
  <c r="R662" i="6" s="1"/>
  <c r="AH662" i="6" s="1"/>
  <c r="P660" i="6"/>
  <c r="R660" i="6" s="1"/>
  <c r="AH660" i="6" s="1"/>
  <c r="AJ658" i="6"/>
  <c r="N662" i="6"/>
  <c r="AM653" i="6"/>
  <c r="AK656" i="6"/>
  <c r="AM656" i="6" s="1"/>
  <c r="AF653" i="6"/>
  <c r="AA652" i="6"/>
  <c r="AB652" i="6" s="1"/>
  <c r="AF652" i="6" s="1"/>
  <c r="AM649" i="6"/>
  <c r="AK654" i="6"/>
  <c r="AL654" i="6" s="1"/>
  <c r="AM651" i="6"/>
  <c r="L659" i="6"/>
  <c r="K660" i="6"/>
  <c r="M663" i="6" s="1"/>
  <c r="AO663" i="6" s="1"/>
  <c r="K662" i="6"/>
  <c r="M665" i="6" s="1"/>
  <c r="AO665" i="6" s="1"/>
  <c r="K658" i="6"/>
  <c r="M661" i="6" s="1"/>
  <c r="AO661" i="6" s="1"/>
  <c r="L657" i="6"/>
  <c r="L655" i="6"/>
  <c r="F661" i="6"/>
  <c r="AI661" i="6"/>
  <c r="AI665" i="6"/>
  <c r="F665" i="6"/>
  <c r="AI663" i="6"/>
  <c r="F663" i="6"/>
  <c r="AP664" i="6" l="1"/>
  <c r="AP662" i="6"/>
  <c r="AP660" i="6"/>
  <c r="AG651" i="6"/>
  <c r="P648" i="11" s="1"/>
  <c r="Q648" i="11"/>
  <c r="Q646" i="11"/>
  <c r="R646" i="11" s="1"/>
  <c r="Q649" i="11"/>
  <c r="Q650" i="11"/>
  <c r="AM652" i="6"/>
  <c r="AB656" i="6"/>
  <c r="AB654" i="6"/>
  <c r="AF654" i="6" s="1"/>
  <c r="AG653" i="6"/>
  <c r="P650" i="11" s="1"/>
  <c r="AC654" i="6"/>
  <c r="AG654" i="6" s="1"/>
  <c r="P651" i="11" s="1"/>
  <c r="AA659" i="6"/>
  <c r="AC659" i="6" s="1"/>
  <c r="AG659" i="6" s="1"/>
  <c r="P656" i="11" s="1"/>
  <c r="A661" i="6"/>
  <c r="A663" i="6"/>
  <c r="A665" i="6"/>
  <c r="AD660" i="6"/>
  <c r="AE658" i="6"/>
  <c r="AD658" i="6"/>
  <c r="N663" i="6"/>
  <c r="AE660" i="6"/>
  <c r="AD662" i="6"/>
  <c r="N665" i="6"/>
  <c r="AE662" i="6"/>
  <c r="P661" i="6"/>
  <c r="R661" i="6" s="1"/>
  <c r="AH661" i="6" s="1"/>
  <c r="P665" i="6"/>
  <c r="R665" i="6" s="1"/>
  <c r="AH665" i="6" s="1"/>
  <c r="P663" i="6"/>
  <c r="R663" i="6" s="1"/>
  <c r="AH663" i="6" s="1"/>
  <c r="AJ665" i="6"/>
  <c r="N661" i="6"/>
  <c r="AJ663" i="6"/>
  <c r="AJ661" i="6"/>
  <c r="AL656" i="6"/>
  <c r="AC652" i="6"/>
  <c r="AG652" i="6" s="1"/>
  <c r="P649" i="11" s="1"/>
  <c r="AM654" i="6"/>
  <c r="AK659" i="6"/>
  <c r="AM659" i="6" s="1"/>
  <c r="L660" i="6"/>
  <c r="L658" i="6"/>
  <c r="L662" i="6"/>
  <c r="K663" i="6"/>
  <c r="M666" i="6" s="1"/>
  <c r="AO666" i="6" s="1"/>
  <c r="K661" i="6"/>
  <c r="M664" i="6" s="1"/>
  <c r="AO664" i="6" s="1"/>
  <c r="K665" i="6"/>
  <c r="M668" i="6" s="1"/>
  <c r="AO668" i="6" s="1"/>
  <c r="AK655" i="6"/>
  <c r="AA655" i="6"/>
  <c r="AK657" i="6"/>
  <c r="AA657" i="6"/>
  <c r="AI666" i="6"/>
  <c r="F666" i="6"/>
  <c r="AI668" i="6"/>
  <c r="F668" i="6"/>
  <c r="AI664" i="6"/>
  <c r="F664" i="6"/>
  <c r="R649" i="11" l="1"/>
  <c r="R648" i="11"/>
  <c r="R650" i="11"/>
  <c r="AP667" i="6"/>
  <c r="AP663" i="6"/>
  <c r="AP665" i="6"/>
  <c r="Q651" i="11"/>
  <c r="R651" i="11" s="1"/>
  <c r="AF656" i="6"/>
  <c r="AB659" i="6"/>
  <c r="AA662" i="6"/>
  <c r="AK658" i="6"/>
  <c r="AL658" i="6" s="1"/>
  <c r="AA660" i="6"/>
  <c r="A668" i="6"/>
  <c r="A666" i="6"/>
  <c r="A664" i="6"/>
  <c r="AD661" i="6"/>
  <c r="AE665" i="6"/>
  <c r="P664" i="6"/>
  <c r="R664" i="6" s="1"/>
  <c r="AH664" i="6" s="1"/>
  <c r="AD665" i="6"/>
  <c r="AE663" i="6"/>
  <c r="P668" i="6"/>
  <c r="R668" i="6" s="1"/>
  <c r="AH668" i="6" s="1"/>
  <c r="AD663" i="6"/>
  <c r="AE661" i="6"/>
  <c r="AJ664" i="6"/>
  <c r="AJ666" i="6"/>
  <c r="AJ668" i="6"/>
  <c r="N664" i="6"/>
  <c r="N668" i="6"/>
  <c r="P666" i="6"/>
  <c r="R666" i="6" s="1"/>
  <c r="AH666" i="6" s="1"/>
  <c r="AL659" i="6"/>
  <c r="N666" i="6"/>
  <c r="AK660" i="6"/>
  <c r="AM660" i="6" s="1"/>
  <c r="AA658" i="6"/>
  <c r="AB658" i="6" s="1"/>
  <c r="AK662" i="6"/>
  <c r="AM662" i="6" s="1"/>
  <c r="L665" i="6"/>
  <c r="L663" i="6"/>
  <c r="L661" i="6"/>
  <c r="K664" i="6"/>
  <c r="M667" i="6" s="1"/>
  <c r="AO667" i="6" s="1"/>
  <c r="K668" i="6"/>
  <c r="M671" i="6" s="1"/>
  <c r="AO671" i="6" s="1"/>
  <c r="K666" i="6"/>
  <c r="M669" i="6" s="1"/>
  <c r="AO669" i="6" s="1"/>
  <c r="AL657" i="6"/>
  <c r="AM657" i="6"/>
  <c r="AC655" i="6"/>
  <c r="AB655" i="6"/>
  <c r="AB657" i="6"/>
  <c r="AC657" i="6"/>
  <c r="AL655" i="6"/>
  <c r="AM655" i="6"/>
  <c r="AI669" i="6"/>
  <c r="F669" i="6"/>
  <c r="AI667" i="6"/>
  <c r="F667" i="6"/>
  <c r="F671" i="6"/>
  <c r="AI671" i="6"/>
  <c r="AP668" i="6" l="1"/>
  <c r="AP670" i="6"/>
  <c r="AP666" i="6"/>
  <c r="Q653" i="11"/>
  <c r="R653" i="11" s="1"/>
  <c r="AB662" i="6"/>
  <c r="AF662" i="6" s="1"/>
  <c r="AF659" i="6"/>
  <c r="AB660" i="6"/>
  <c r="AC660" i="6"/>
  <c r="AG660" i="6" s="1"/>
  <c r="P657" i="11" s="1"/>
  <c r="AC662" i="6"/>
  <c r="AG662" i="6" s="1"/>
  <c r="P659" i="11" s="1"/>
  <c r="AM658" i="6"/>
  <c r="AA661" i="6"/>
  <c r="AB661" i="6" s="1"/>
  <c r="AF661" i="6" s="1"/>
  <c r="AA663" i="6"/>
  <c r="AB663" i="6" s="1"/>
  <c r="AF663" i="6" s="1"/>
  <c r="AA665" i="6"/>
  <c r="AC665" i="6" s="1"/>
  <c r="AG665" i="6" s="1"/>
  <c r="P662" i="11" s="1"/>
  <c r="AL660" i="6"/>
  <c r="A669" i="6"/>
  <c r="A671" i="6"/>
  <c r="A667" i="6"/>
  <c r="AE668" i="6"/>
  <c r="AJ669" i="6"/>
  <c r="AD664" i="6"/>
  <c r="AE664" i="6"/>
  <c r="P669" i="6"/>
  <c r="R669" i="6" s="1"/>
  <c r="AH669" i="6" s="1"/>
  <c r="AD668" i="6"/>
  <c r="AE666" i="6"/>
  <c r="N671" i="6"/>
  <c r="P671" i="6"/>
  <c r="R671" i="6" s="1"/>
  <c r="AH671" i="6" s="1"/>
  <c r="N667" i="6"/>
  <c r="AD666" i="6"/>
  <c r="AJ667" i="6"/>
  <c r="AJ671" i="6"/>
  <c r="N669" i="6"/>
  <c r="P667" i="6"/>
  <c r="R667" i="6" s="1"/>
  <c r="AH667" i="6" s="1"/>
  <c r="AK661" i="6"/>
  <c r="AL661" i="6" s="1"/>
  <c r="AL662" i="6"/>
  <c r="AC658" i="6"/>
  <c r="AK663" i="6"/>
  <c r="AM663" i="6" s="1"/>
  <c r="AK665" i="6"/>
  <c r="AL665" i="6" s="1"/>
  <c r="L668" i="6"/>
  <c r="AF658" i="6"/>
  <c r="K669" i="6"/>
  <c r="M672" i="6" s="1"/>
  <c r="AO672" i="6" s="1"/>
  <c r="K671" i="6"/>
  <c r="M674" i="6" s="1"/>
  <c r="AO674" i="6" s="1"/>
  <c r="K667" i="6"/>
  <c r="M670" i="6" s="1"/>
  <c r="AO670" i="6" s="1"/>
  <c r="AG657" i="6"/>
  <c r="P654" i="11" s="1"/>
  <c r="AG655" i="6"/>
  <c r="P652" i="11" s="1"/>
  <c r="AF657" i="6"/>
  <c r="L666" i="6"/>
  <c r="L664" i="6"/>
  <c r="AF655" i="6"/>
  <c r="AI672" i="6"/>
  <c r="F672" i="6"/>
  <c r="F674" i="6"/>
  <c r="AI674" i="6"/>
  <c r="AI670" i="6"/>
  <c r="F670" i="6"/>
  <c r="AP669" i="6" l="1"/>
  <c r="AP673" i="6"/>
  <c r="AP671" i="6"/>
  <c r="Q655" i="11"/>
  <c r="Q652" i="11"/>
  <c r="R652" i="11" s="1"/>
  <c r="Q656" i="11"/>
  <c r="R656" i="11" s="1"/>
  <c r="Q654" i="11"/>
  <c r="R654" i="11" s="1"/>
  <c r="Q660" i="11"/>
  <c r="Q659" i="11"/>
  <c r="R659" i="11" s="1"/>
  <c r="Q658" i="11"/>
  <c r="AF660" i="6"/>
  <c r="AC663" i="6"/>
  <c r="AC661" i="6"/>
  <c r="AB665" i="6"/>
  <c r="AF665" i="6" s="1"/>
  <c r="AA668" i="6"/>
  <c r="A670" i="6"/>
  <c r="A674" i="6"/>
  <c r="A672" i="6"/>
  <c r="AD669" i="6"/>
  <c r="AD667" i="6"/>
  <c r="AE669" i="6"/>
  <c r="P674" i="6"/>
  <c r="R674" i="6" s="1"/>
  <c r="AH674" i="6" s="1"/>
  <c r="P670" i="6"/>
  <c r="R670" i="6" s="1"/>
  <c r="AH670" i="6" s="1"/>
  <c r="AJ672" i="6"/>
  <c r="N674" i="6"/>
  <c r="N670" i="6"/>
  <c r="AE671" i="6"/>
  <c r="AJ670" i="6"/>
  <c r="AD671" i="6"/>
  <c r="N672" i="6"/>
  <c r="AE667" i="6"/>
  <c r="P672" i="6"/>
  <c r="R672" i="6" s="1"/>
  <c r="AH672" i="6" s="1"/>
  <c r="AJ674" i="6"/>
  <c r="AM661" i="6"/>
  <c r="AG658" i="6"/>
  <c r="P655" i="11" s="1"/>
  <c r="AL663" i="6"/>
  <c r="AM665" i="6"/>
  <c r="AK668" i="6"/>
  <c r="AM668" i="6" s="1"/>
  <c r="L671" i="6"/>
  <c r="K670" i="6"/>
  <c r="M673" i="6" s="1"/>
  <c r="AO673" i="6" s="1"/>
  <c r="K674" i="6"/>
  <c r="M677" i="6" s="1"/>
  <c r="AO677" i="6" s="1"/>
  <c r="K672" i="6"/>
  <c r="M675" i="6" s="1"/>
  <c r="AO675" i="6" s="1"/>
  <c r="AK664" i="6"/>
  <c r="AA664" i="6"/>
  <c r="AK666" i="6"/>
  <c r="AA666" i="6"/>
  <c r="L667" i="6"/>
  <c r="L669" i="6"/>
  <c r="AI673" i="6"/>
  <c r="F673" i="6"/>
  <c r="AI677" i="6"/>
  <c r="F677" i="6"/>
  <c r="AI675" i="6"/>
  <c r="F675" i="6"/>
  <c r="R655" i="11" l="1"/>
  <c r="AP676" i="6"/>
  <c r="AP672" i="6"/>
  <c r="AP674" i="6"/>
  <c r="Q662" i="11"/>
  <c r="R662" i="11" s="1"/>
  <c r="Q657" i="11"/>
  <c r="R657" i="11" s="1"/>
  <c r="AC668" i="6"/>
  <c r="AG668" i="6" s="1"/>
  <c r="P665" i="11" s="1"/>
  <c r="AB668" i="6"/>
  <c r="AG663" i="6"/>
  <c r="AG661" i="6"/>
  <c r="P658" i="11" s="1"/>
  <c r="R658" i="11" s="1"/>
  <c r="AA671" i="6"/>
  <c r="AB671" i="6" s="1"/>
  <c r="AF671" i="6" s="1"/>
  <c r="A673" i="6"/>
  <c r="A675" i="6"/>
  <c r="A677" i="6"/>
  <c r="AK671" i="6"/>
  <c r="AL671" i="6" s="1"/>
  <c r="AD670" i="6"/>
  <c r="AE670" i="6"/>
  <c r="AE672" i="6"/>
  <c r="AE674" i="6"/>
  <c r="AD674" i="6"/>
  <c r="P675" i="6"/>
  <c r="R675" i="6" s="1"/>
  <c r="AH675" i="6" s="1"/>
  <c r="AJ675" i="6"/>
  <c r="N677" i="6"/>
  <c r="P673" i="6"/>
  <c r="R673" i="6" s="1"/>
  <c r="AH673" i="6" s="1"/>
  <c r="AJ673" i="6"/>
  <c r="P677" i="6"/>
  <c r="R677" i="6" s="1"/>
  <c r="AH677" i="6" s="1"/>
  <c r="AJ677" i="6"/>
  <c r="AD672" i="6"/>
  <c r="N673" i="6"/>
  <c r="N675" i="6"/>
  <c r="AL668" i="6"/>
  <c r="L674" i="6"/>
  <c r="K675" i="6"/>
  <c r="M678" i="6" s="1"/>
  <c r="AO678" i="6" s="1"/>
  <c r="K673" i="6"/>
  <c r="M676" i="6" s="1"/>
  <c r="AO676" i="6" s="1"/>
  <c r="K677" i="6"/>
  <c r="M680" i="6" s="1"/>
  <c r="AO680" i="6" s="1"/>
  <c r="AM664" i="6"/>
  <c r="AL664" i="6"/>
  <c r="AK669" i="6"/>
  <c r="AA669" i="6"/>
  <c r="AM666" i="6"/>
  <c r="AL666" i="6"/>
  <c r="L672" i="6"/>
  <c r="L670" i="6"/>
  <c r="AC666" i="6"/>
  <c r="AB666" i="6"/>
  <c r="AK667" i="6"/>
  <c r="AA667" i="6"/>
  <c r="AC664" i="6"/>
  <c r="AB664" i="6"/>
  <c r="F676" i="6"/>
  <c r="AI676" i="6"/>
  <c r="AI678" i="6"/>
  <c r="F678" i="6"/>
  <c r="AI680" i="6"/>
  <c r="F680" i="6"/>
  <c r="AP679" i="6" l="1"/>
  <c r="AP675" i="6"/>
  <c r="AP677" i="6"/>
  <c r="Q668" i="11"/>
  <c r="P660" i="11"/>
  <c r="R660" i="11" s="1"/>
  <c r="AF668" i="6"/>
  <c r="AC671" i="6"/>
  <c r="A676" i="6"/>
  <c r="A680" i="6"/>
  <c r="A678" i="6"/>
  <c r="AM671" i="6"/>
  <c r="AD675" i="6"/>
  <c r="AE675" i="6"/>
  <c r="AE677" i="6"/>
  <c r="AD673" i="6"/>
  <c r="AK674" i="6"/>
  <c r="AM674" i="6" s="1"/>
  <c r="AD677" i="6"/>
  <c r="P678" i="6"/>
  <c r="R678" i="6" s="1"/>
  <c r="AH678" i="6" s="1"/>
  <c r="AE673" i="6"/>
  <c r="AJ676" i="6"/>
  <c r="P676" i="6"/>
  <c r="R676" i="6" s="1"/>
  <c r="AH676" i="6" s="1"/>
  <c r="P680" i="6"/>
  <c r="R680" i="6" s="1"/>
  <c r="AH680" i="6" s="1"/>
  <c r="N678" i="6"/>
  <c r="AJ680" i="6"/>
  <c r="N680" i="6"/>
  <c r="N676" i="6"/>
  <c r="AJ678" i="6"/>
  <c r="AA674" i="6"/>
  <c r="L673" i="6"/>
  <c r="K678" i="6"/>
  <c r="M681" i="6" s="1"/>
  <c r="AO681" i="6" s="1"/>
  <c r="K680" i="6"/>
  <c r="M683" i="6" s="1"/>
  <c r="AO683" i="6" s="1"/>
  <c r="K676" i="6"/>
  <c r="M679" i="6" s="1"/>
  <c r="AO679" i="6" s="1"/>
  <c r="AG664" i="6"/>
  <c r="P661" i="11" s="1"/>
  <c r="AL667" i="6"/>
  <c r="AM667" i="6"/>
  <c r="AF666" i="6"/>
  <c r="AK672" i="6"/>
  <c r="AA672" i="6"/>
  <c r="AC667" i="6"/>
  <c r="AB667" i="6"/>
  <c r="AG666" i="6"/>
  <c r="P663" i="11" s="1"/>
  <c r="AL669" i="6"/>
  <c r="AM669" i="6"/>
  <c r="L677" i="6"/>
  <c r="L675" i="6"/>
  <c r="AK670" i="6"/>
  <c r="AA670" i="6"/>
  <c r="AC669" i="6"/>
  <c r="AB669" i="6"/>
  <c r="AF664" i="6"/>
  <c r="AI683" i="6"/>
  <c r="F683" i="6"/>
  <c r="AI681" i="6"/>
  <c r="F681" i="6"/>
  <c r="AI679" i="6"/>
  <c r="F679" i="6"/>
  <c r="AP682" i="6" l="1"/>
  <c r="AP680" i="6"/>
  <c r="AP678" i="6"/>
  <c r="Q661" i="11"/>
  <c r="R661" i="11" s="1"/>
  <c r="Q663" i="11"/>
  <c r="R663" i="11" s="1"/>
  <c r="Q665" i="11"/>
  <c r="R665" i="11" s="1"/>
  <c r="AG671" i="6"/>
  <c r="P668" i="11" s="1"/>
  <c r="R668" i="11" s="1"/>
  <c r="AK673" i="6"/>
  <c r="AL673" i="6" s="1"/>
  <c r="AE676" i="6"/>
  <c r="A683" i="6"/>
  <c r="A681" i="6"/>
  <c r="A679" i="6"/>
  <c r="AD678" i="6"/>
  <c r="AD680" i="6"/>
  <c r="AL674" i="6"/>
  <c r="AD676" i="6"/>
  <c r="AE678" i="6"/>
  <c r="AJ681" i="6"/>
  <c r="AE680" i="6"/>
  <c r="AA673" i="6"/>
  <c r="AJ683" i="6"/>
  <c r="P679" i="6"/>
  <c r="R679" i="6" s="1"/>
  <c r="AH679" i="6" s="1"/>
  <c r="P683" i="6"/>
  <c r="R683" i="6" s="1"/>
  <c r="AH683" i="6" s="1"/>
  <c r="N681" i="6"/>
  <c r="AJ679" i="6"/>
  <c r="N683" i="6"/>
  <c r="P681" i="6"/>
  <c r="R681" i="6" s="1"/>
  <c r="AH681" i="6" s="1"/>
  <c r="N679" i="6"/>
  <c r="AC674" i="6"/>
  <c r="AG674" i="6" s="1"/>
  <c r="AB674" i="6"/>
  <c r="L680" i="6"/>
  <c r="K681" i="6"/>
  <c r="M684" i="6" s="1"/>
  <c r="AO684" i="6" s="1"/>
  <c r="K679" i="6"/>
  <c r="M682" i="6" s="1"/>
  <c r="AO682" i="6" s="1"/>
  <c r="K683" i="6"/>
  <c r="M686" i="6" s="1"/>
  <c r="AO686" i="6" s="1"/>
  <c r="AG669" i="6"/>
  <c r="P666" i="11" s="1"/>
  <c r="AB670" i="6"/>
  <c r="AC670" i="6"/>
  <c r="AK677" i="6"/>
  <c r="AA677" i="6"/>
  <c r="AL672" i="6"/>
  <c r="AM672" i="6"/>
  <c r="AF667" i="6"/>
  <c r="L676" i="6"/>
  <c r="L678" i="6"/>
  <c r="AK675" i="6"/>
  <c r="AA675" i="6"/>
  <c r="AF669" i="6"/>
  <c r="AL670" i="6"/>
  <c r="AM670" i="6"/>
  <c r="AG667" i="6"/>
  <c r="P664" i="11" s="1"/>
  <c r="AC672" i="6"/>
  <c r="AB672" i="6"/>
  <c r="AI682" i="6"/>
  <c r="F682" i="6"/>
  <c r="AI686" i="6"/>
  <c r="F686" i="6"/>
  <c r="AI684" i="6"/>
  <c r="F684" i="6"/>
  <c r="AP683" i="6" l="1"/>
  <c r="AP685" i="6"/>
  <c r="AP681" i="6"/>
  <c r="Q664" i="11"/>
  <c r="R664" i="11" s="1"/>
  <c r="Q666" i="11"/>
  <c r="R666" i="11" s="1"/>
  <c r="AM673" i="6"/>
  <c r="AA680" i="6"/>
  <c r="AC680" i="6" s="1"/>
  <c r="AG680" i="6" s="1"/>
  <c r="P677" i="11" s="1"/>
  <c r="A684" i="6"/>
  <c r="A686" i="6"/>
  <c r="A682" i="6"/>
  <c r="AD681" i="6"/>
  <c r="P671" i="11"/>
  <c r="AE679" i="6"/>
  <c r="AD679" i="6"/>
  <c r="AB673" i="6"/>
  <c r="AC673" i="6"/>
  <c r="AG673" i="6" s="1"/>
  <c r="P670" i="11" s="1"/>
  <c r="AE681" i="6"/>
  <c r="P684" i="6"/>
  <c r="R684" i="6" s="1"/>
  <c r="AH684" i="6" s="1"/>
  <c r="N684" i="6"/>
  <c r="AJ684" i="6"/>
  <c r="AE683" i="6"/>
  <c r="N686" i="6"/>
  <c r="AD683" i="6"/>
  <c r="AK680" i="6"/>
  <c r="AL680" i="6" s="1"/>
  <c r="P686" i="6"/>
  <c r="R686" i="6" s="1"/>
  <c r="AH686" i="6" s="1"/>
  <c r="P682" i="6"/>
  <c r="R682" i="6" s="1"/>
  <c r="AH682" i="6" s="1"/>
  <c r="AJ686" i="6"/>
  <c r="AJ682" i="6"/>
  <c r="N682" i="6"/>
  <c r="AF674" i="6"/>
  <c r="L683" i="6"/>
  <c r="L681" i="6"/>
  <c r="L679" i="6"/>
  <c r="K686" i="6"/>
  <c r="M689" i="6" s="1"/>
  <c r="AO689" i="6" s="1"/>
  <c r="K682" i="6"/>
  <c r="M685" i="6" s="1"/>
  <c r="AO685" i="6" s="1"/>
  <c r="K684" i="6"/>
  <c r="M687" i="6" s="1"/>
  <c r="AO687" i="6" s="1"/>
  <c r="AK678" i="6"/>
  <c r="AA678" i="6"/>
  <c r="AF672" i="6"/>
  <c r="AC677" i="6"/>
  <c r="AB677" i="6"/>
  <c r="AG672" i="6"/>
  <c r="P669" i="11" s="1"/>
  <c r="AM675" i="6"/>
  <c r="AL675" i="6"/>
  <c r="AF670" i="6"/>
  <c r="AL677" i="6"/>
  <c r="AM677" i="6"/>
  <c r="AB675" i="6"/>
  <c r="AC675" i="6"/>
  <c r="AK676" i="6"/>
  <c r="AA676" i="6"/>
  <c r="AG670" i="6"/>
  <c r="P667" i="11" s="1"/>
  <c r="AI687" i="6"/>
  <c r="F687" i="6"/>
  <c r="AI685" i="6"/>
  <c r="F685" i="6"/>
  <c r="AI689" i="6"/>
  <c r="F689" i="6"/>
  <c r="AP686" i="6" l="1"/>
  <c r="AP688" i="6"/>
  <c r="AP684" i="6"/>
  <c r="Q667" i="11"/>
  <c r="R667" i="11" s="1"/>
  <c r="Q671" i="11"/>
  <c r="R671" i="11" s="1"/>
  <c r="Q669" i="11"/>
  <c r="R669" i="11" s="1"/>
  <c r="AB680" i="6"/>
  <c r="AA681" i="6"/>
  <c r="AC681" i="6" s="1"/>
  <c r="AG681" i="6" s="1"/>
  <c r="P678" i="11" s="1"/>
  <c r="AA683" i="6"/>
  <c r="AA679" i="6"/>
  <c r="A687" i="6"/>
  <c r="A685" i="6"/>
  <c r="A689" i="6"/>
  <c r="AD682" i="6"/>
  <c r="AE686" i="6"/>
  <c r="AF673" i="6"/>
  <c r="AD686" i="6"/>
  <c r="AE684" i="6"/>
  <c r="AD684" i="6"/>
  <c r="AE682" i="6"/>
  <c r="N685" i="6"/>
  <c r="AJ685" i="6"/>
  <c r="P689" i="6"/>
  <c r="R689" i="6" s="1"/>
  <c r="AH689" i="6" s="1"/>
  <c r="P687" i="6"/>
  <c r="R687" i="6" s="1"/>
  <c r="AH687" i="6" s="1"/>
  <c r="AM680" i="6"/>
  <c r="AJ689" i="6"/>
  <c r="P685" i="6"/>
  <c r="R685" i="6" s="1"/>
  <c r="AH685" i="6" s="1"/>
  <c r="AJ687" i="6"/>
  <c r="N689" i="6"/>
  <c r="N687" i="6"/>
  <c r="AK683" i="6"/>
  <c r="AM683" i="6" s="1"/>
  <c r="AK681" i="6"/>
  <c r="AL681" i="6" s="1"/>
  <c r="AK679" i="6"/>
  <c r="AM679" i="6" s="1"/>
  <c r="L684" i="6"/>
  <c r="L686" i="6"/>
  <c r="L682" i="6"/>
  <c r="K689" i="6"/>
  <c r="M692" i="6" s="1"/>
  <c r="AO692" i="6" s="1"/>
  <c r="K687" i="6"/>
  <c r="M690" i="6" s="1"/>
  <c r="AO690" i="6" s="1"/>
  <c r="K685" i="6"/>
  <c r="M688" i="6" s="1"/>
  <c r="AO688" i="6" s="1"/>
  <c r="AM676" i="6"/>
  <c r="AL676" i="6"/>
  <c r="AG677" i="6"/>
  <c r="P674" i="11" s="1"/>
  <c r="AG675" i="6"/>
  <c r="P672" i="11" s="1"/>
  <c r="AL678" i="6"/>
  <c r="AM678" i="6"/>
  <c r="AC676" i="6"/>
  <c r="AB676" i="6"/>
  <c r="AF677" i="6"/>
  <c r="AF675" i="6"/>
  <c r="AB678" i="6"/>
  <c r="AC678" i="6"/>
  <c r="AI692" i="6"/>
  <c r="F692" i="6"/>
  <c r="F690" i="6"/>
  <c r="AI690" i="6"/>
  <c r="AI688" i="6"/>
  <c r="F688" i="6"/>
  <c r="AP691" i="6" l="1"/>
  <c r="AP687" i="6"/>
  <c r="AP689" i="6"/>
  <c r="Q670" i="11"/>
  <c r="R670" i="11" s="1"/>
  <c r="Q672" i="11"/>
  <c r="R672" i="11" s="1"/>
  <c r="Q674" i="11"/>
  <c r="R674" i="11" s="1"/>
  <c r="AC683" i="6"/>
  <c r="AG683" i="6" s="1"/>
  <c r="P680" i="11" s="1"/>
  <c r="AC679" i="6"/>
  <c r="AG679" i="6" s="1"/>
  <c r="P676" i="11" s="1"/>
  <c r="AB679" i="6"/>
  <c r="AB681" i="6"/>
  <c r="AF681" i="6" s="1"/>
  <c r="AF680" i="6"/>
  <c r="AB683" i="6"/>
  <c r="AA686" i="6"/>
  <c r="AC686" i="6" s="1"/>
  <c r="AG686" i="6" s="1"/>
  <c r="P683" i="11" s="1"/>
  <c r="AA682" i="6"/>
  <c r="AB682" i="6" s="1"/>
  <c r="AF682" i="6" s="1"/>
  <c r="A688" i="6"/>
  <c r="A690" i="6"/>
  <c r="A692" i="6"/>
  <c r="AJ692" i="6"/>
  <c r="P692" i="6"/>
  <c r="R692" i="6" s="1"/>
  <c r="AH692" i="6" s="1"/>
  <c r="AE689" i="6"/>
  <c r="AD685" i="6"/>
  <c r="AD689" i="6"/>
  <c r="AE685" i="6"/>
  <c r="AD687" i="6"/>
  <c r="AE687" i="6"/>
  <c r="P690" i="6"/>
  <c r="R690" i="6" s="1"/>
  <c r="AH690" i="6" s="1"/>
  <c r="P688" i="6"/>
  <c r="R688" i="6" s="1"/>
  <c r="AH688" i="6" s="1"/>
  <c r="AJ688" i="6"/>
  <c r="N690" i="6"/>
  <c r="AJ690" i="6"/>
  <c r="AA684" i="6"/>
  <c r="N688" i="6"/>
  <c r="N692" i="6"/>
  <c r="AL683" i="6"/>
  <c r="AM681" i="6"/>
  <c r="AK684" i="6"/>
  <c r="AM684" i="6" s="1"/>
  <c r="AL679" i="6"/>
  <c r="AK686" i="6"/>
  <c r="AM686" i="6" s="1"/>
  <c r="L687" i="6"/>
  <c r="AK682" i="6"/>
  <c r="AM682" i="6" s="1"/>
  <c r="K690" i="6"/>
  <c r="M693" i="6" s="1"/>
  <c r="AO693" i="6" s="1"/>
  <c r="K688" i="6"/>
  <c r="M691" i="6" s="1"/>
  <c r="AO691" i="6" s="1"/>
  <c r="K692" i="6"/>
  <c r="M695" i="6" s="1"/>
  <c r="AO695" i="6" s="1"/>
  <c r="AF678" i="6"/>
  <c r="L685" i="6"/>
  <c r="L689" i="6"/>
  <c r="AG678" i="6"/>
  <c r="P675" i="11" s="1"/>
  <c r="AG676" i="6"/>
  <c r="P673" i="11" s="1"/>
  <c r="AF676" i="6"/>
  <c r="F691" i="6"/>
  <c r="AI691" i="6"/>
  <c r="AI693" i="6"/>
  <c r="F693" i="6"/>
  <c r="AI695" i="6"/>
  <c r="F695" i="6"/>
  <c r="AP694" i="6" l="1"/>
  <c r="AP690" i="6"/>
  <c r="AP692" i="6"/>
  <c r="Q678" i="11"/>
  <c r="R678" i="11" s="1"/>
  <c r="Q673" i="11"/>
  <c r="R673" i="11" s="1"/>
  <c r="Q675" i="11"/>
  <c r="R675" i="11" s="1"/>
  <c r="Q679" i="11"/>
  <c r="Q677" i="11"/>
  <c r="R677" i="11" s="1"/>
  <c r="AF679" i="6"/>
  <c r="AB686" i="6"/>
  <c r="AF686" i="6" s="1"/>
  <c r="AC682" i="6"/>
  <c r="AG682" i="6" s="1"/>
  <c r="P679" i="11" s="1"/>
  <c r="AF683" i="6"/>
  <c r="AB684" i="6"/>
  <c r="AF684" i="6" s="1"/>
  <c r="A693" i="6"/>
  <c r="A691" i="6"/>
  <c r="A695" i="6"/>
  <c r="AE692" i="6"/>
  <c r="AD692" i="6"/>
  <c r="AD690" i="6"/>
  <c r="AE690" i="6"/>
  <c r="P693" i="6"/>
  <c r="R693" i="6" s="1"/>
  <c r="AH693" i="6" s="1"/>
  <c r="P695" i="6"/>
  <c r="R695" i="6" s="1"/>
  <c r="AH695" i="6" s="1"/>
  <c r="AJ693" i="6"/>
  <c r="AC684" i="6"/>
  <c r="AE688" i="6"/>
  <c r="N695" i="6"/>
  <c r="AD688" i="6"/>
  <c r="AJ691" i="6"/>
  <c r="P691" i="6"/>
  <c r="R691" i="6" s="1"/>
  <c r="AH691" i="6" s="1"/>
  <c r="AJ695" i="6"/>
  <c r="N693" i="6"/>
  <c r="N691" i="6"/>
  <c r="AL684" i="6"/>
  <c r="AK687" i="6"/>
  <c r="AL687" i="6" s="1"/>
  <c r="AA687" i="6"/>
  <c r="AB687" i="6" s="1"/>
  <c r="AF687" i="6" s="1"/>
  <c r="AL686" i="6"/>
  <c r="AL682" i="6"/>
  <c r="L688" i="6"/>
  <c r="K691" i="6"/>
  <c r="M694" i="6" s="1"/>
  <c r="AO694" i="6" s="1"/>
  <c r="K695" i="6"/>
  <c r="M698" i="6" s="1"/>
  <c r="AO698" i="6" s="1"/>
  <c r="K693" i="6"/>
  <c r="M696" i="6" s="1"/>
  <c r="AO696" i="6" s="1"/>
  <c r="AK689" i="6"/>
  <c r="AA689" i="6"/>
  <c r="AK685" i="6"/>
  <c r="AA685" i="6"/>
  <c r="L692" i="6"/>
  <c r="L690" i="6"/>
  <c r="AI698" i="6"/>
  <c r="F698" i="6"/>
  <c r="AI696" i="6"/>
  <c r="F696" i="6"/>
  <c r="AI694" i="6"/>
  <c r="F694" i="6"/>
  <c r="R679" i="11" l="1"/>
  <c r="AP693" i="6"/>
  <c r="AP697" i="6"/>
  <c r="AP695" i="6"/>
  <c r="Q681" i="11"/>
  <c r="Q683" i="11"/>
  <c r="R683" i="11" s="1"/>
  <c r="Q676" i="11"/>
  <c r="R676" i="11" s="1"/>
  <c r="Q684" i="11"/>
  <c r="Q680" i="11"/>
  <c r="R680" i="11" s="1"/>
  <c r="A698" i="6"/>
  <c r="A696" i="6"/>
  <c r="A694" i="6"/>
  <c r="AE693" i="6"/>
  <c r="AD693" i="6"/>
  <c r="AE695" i="6"/>
  <c r="N694" i="6"/>
  <c r="P694" i="6"/>
  <c r="R694" i="6" s="1"/>
  <c r="AH694" i="6" s="1"/>
  <c r="AD695" i="6"/>
  <c r="AG684" i="6"/>
  <c r="P696" i="6"/>
  <c r="R696" i="6" s="1"/>
  <c r="AH696" i="6" s="1"/>
  <c r="AE691" i="6"/>
  <c r="AD691" i="6"/>
  <c r="AJ698" i="6"/>
  <c r="P698" i="6"/>
  <c r="R698" i="6" s="1"/>
  <c r="AH698" i="6" s="1"/>
  <c r="AJ696" i="6"/>
  <c r="AJ694" i="6"/>
  <c r="N698" i="6"/>
  <c r="N696" i="6"/>
  <c r="AM687" i="6"/>
  <c r="AC687" i="6"/>
  <c r="L693" i="6"/>
  <c r="AA688" i="6"/>
  <c r="AC688" i="6" s="1"/>
  <c r="AK688" i="6"/>
  <c r="AM688" i="6" s="1"/>
  <c r="L691" i="6"/>
  <c r="L695" i="6"/>
  <c r="K694" i="6"/>
  <c r="M697" i="6" s="1"/>
  <c r="AO697" i="6" s="1"/>
  <c r="K698" i="6"/>
  <c r="M701" i="6" s="1"/>
  <c r="AO701" i="6" s="1"/>
  <c r="K696" i="6"/>
  <c r="M699" i="6" s="1"/>
  <c r="AO699" i="6" s="1"/>
  <c r="AL689" i="6"/>
  <c r="AM689" i="6"/>
  <c r="AK690" i="6"/>
  <c r="AA690" i="6"/>
  <c r="AL685" i="6"/>
  <c r="AM685" i="6"/>
  <c r="AK692" i="6"/>
  <c r="AA692" i="6"/>
  <c r="AB689" i="6"/>
  <c r="AC689" i="6"/>
  <c r="AC685" i="6"/>
  <c r="AB685" i="6"/>
  <c r="AI697" i="6"/>
  <c r="F697" i="6"/>
  <c r="AI699" i="6"/>
  <c r="F699" i="6"/>
  <c r="AI701" i="6"/>
  <c r="F701" i="6"/>
  <c r="AP698" i="6" l="1"/>
  <c r="AP700" i="6"/>
  <c r="AP696" i="6"/>
  <c r="AA691" i="6"/>
  <c r="AC691" i="6" s="1"/>
  <c r="AA695" i="6"/>
  <c r="AK693" i="6"/>
  <c r="AM693" i="6" s="1"/>
  <c r="A697" i="6"/>
  <c r="A701" i="6"/>
  <c r="A699" i="6"/>
  <c r="P681" i="11"/>
  <c r="R681" i="11" s="1"/>
  <c r="AE694" i="6"/>
  <c r="AJ701" i="6"/>
  <c r="AD694" i="6"/>
  <c r="AD698" i="6"/>
  <c r="P701" i="6"/>
  <c r="R701" i="6" s="1"/>
  <c r="AH701" i="6" s="1"/>
  <c r="AE696" i="6"/>
  <c r="AD696" i="6"/>
  <c r="AJ697" i="6"/>
  <c r="P697" i="6"/>
  <c r="R697" i="6" s="1"/>
  <c r="AH697" i="6" s="1"/>
  <c r="P699" i="6"/>
  <c r="R699" i="6" s="1"/>
  <c r="AH699" i="6" s="1"/>
  <c r="N701" i="6"/>
  <c r="N697" i="6"/>
  <c r="AE698" i="6"/>
  <c r="N699" i="6"/>
  <c r="AJ699" i="6"/>
  <c r="AA693" i="6"/>
  <c r="AC693" i="6" s="1"/>
  <c r="AL688" i="6"/>
  <c r="AG687" i="6"/>
  <c r="P684" i="11" s="1"/>
  <c r="R684" i="11" s="1"/>
  <c r="AG688" i="6"/>
  <c r="P685" i="11" s="1"/>
  <c r="AK695" i="6"/>
  <c r="AM695" i="6" s="1"/>
  <c r="AB688" i="6"/>
  <c r="AK691" i="6"/>
  <c r="AM691" i="6" s="1"/>
  <c r="L698" i="6"/>
  <c r="K697" i="6"/>
  <c r="M700" i="6" s="1"/>
  <c r="AO700" i="6" s="1"/>
  <c r="K701" i="6"/>
  <c r="M704" i="6" s="1"/>
  <c r="AO704" i="6" s="1"/>
  <c r="K699" i="6"/>
  <c r="M702" i="6" s="1"/>
  <c r="AO702" i="6" s="1"/>
  <c r="AG689" i="6"/>
  <c r="P686" i="11" s="1"/>
  <c r="AC690" i="6"/>
  <c r="AB690" i="6"/>
  <c r="AM692" i="6"/>
  <c r="AL692" i="6"/>
  <c r="AG685" i="6"/>
  <c r="P682" i="11" s="1"/>
  <c r="AF689" i="6"/>
  <c r="AL690" i="6"/>
  <c r="AM690" i="6"/>
  <c r="L696" i="6"/>
  <c r="L694" i="6"/>
  <c r="AF685" i="6"/>
  <c r="AC692" i="6"/>
  <c r="AB692" i="6"/>
  <c r="AI704" i="6"/>
  <c r="F704" i="6"/>
  <c r="AI700" i="6"/>
  <c r="F700" i="6"/>
  <c r="AI702" i="6"/>
  <c r="F702" i="6"/>
  <c r="AG691" i="6" l="1"/>
  <c r="P688" i="11" s="1"/>
  <c r="AP701" i="6"/>
  <c r="AP703" i="6"/>
  <c r="AP699" i="6"/>
  <c r="Q686" i="11"/>
  <c r="R686" i="11" s="1"/>
  <c r="Q682" i="11"/>
  <c r="R682" i="11" s="1"/>
  <c r="AL693" i="6"/>
  <c r="AB695" i="6"/>
  <c r="AC695" i="6"/>
  <c r="AB691" i="6"/>
  <c r="AA698" i="6"/>
  <c r="AB698" i="6" s="1"/>
  <c r="AF698" i="6" s="1"/>
  <c r="A700" i="6"/>
  <c r="A704" i="6"/>
  <c r="A702" i="6"/>
  <c r="AE701" i="6"/>
  <c r="AE697" i="6"/>
  <c r="AD697" i="6"/>
  <c r="AD701" i="6"/>
  <c r="N702" i="6"/>
  <c r="AG693" i="6"/>
  <c r="P700" i="6"/>
  <c r="R700" i="6" s="1"/>
  <c r="AH700" i="6" s="1"/>
  <c r="AJ704" i="6"/>
  <c r="N704" i="6"/>
  <c r="AJ702" i="6"/>
  <c r="AJ700" i="6"/>
  <c r="P702" i="6"/>
  <c r="R702" i="6" s="1"/>
  <c r="AH702" i="6" s="1"/>
  <c r="AD699" i="6"/>
  <c r="AE699" i="6"/>
  <c r="N700" i="6"/>
  <c r="P704" i="6"/>
  <c r="R704" i="6" s="1"/>
  <c r="AH704" i="6" s="1"/>
  <c r="AL691" i="6"/>
  <c r="AB693" i="6"/>
  <c r="AF693" i="6" s="1"/>
  <c r="AL695" i="6"/>
  <c r="AK698" i="6"/>
  <c r="AL698" i="6" s="1"/>
  <c r="AF688" i="6"/>
  <c r="L701" i="6"/>
  <c r="L699" i="6"/>
  <c r="L697" i="6"/>
  <c r="K704" i="6"/>
  <c r="M707" i="6" s="1"/>
  <c r="AO707" i="6" s="1"/>
  <c r="K700" i="6"/>
  <c r="M703" i="6" s="1"/>
  <c r="AO703" i="6" s="1"/>
  <c r="K702" i="6"/>
  <c r="M705" i="6" s="1"/>
  <c r="AO705" i="6" s="1"/>
  <c r="AK694" i="6"/>
  <c r="AA694" i="6"/>
  <c r="AF692" i="6"/>
  <c r="AK696" i="6"/>
  <c r="AA696" i="6"/>
  <c r="AG692" i="6"/>
  <c r="P689" i="11" s="1"/>
  <c r="AF690" i="6"/>
  <c r="AG690" i="6"/>
  <c r="P687" i="11" s="1"/>
  <c r="AI705" i="6"/>
  <c r="F705" i="6"/>
  <c r="AI707" i="6"/>
  <c r="F707" i="6"/>
  <c r="AI703" i="6"/>
  <c r="F703" i="6"/>
  <c r="AP704" i="6" l="1"/>
  <c r="AP702" i="6"/>
  <c r="AP706" i="6"/>
  <c r="Q687" i="11"/>
  <c r="R687" i="11" s="1"/>
  <c r="Q685" i="11"/>
  <c r="R685" i="11" s="1"/>
  <c r="Q690" i="11"/>
  <c r="Q695" i="11"/>
  <c r="Q689" i="11"/>
  <c r="R689" i="11" s="1"/>
  <c r="AF691" i="6"/>
  <c r="AF695" i="6"/>
  <c r="AC698" i="6"/>
  <c r="AG698" i="6" s="1"/>
  <c r="P695" i="11" s="1"/>
  <c r="AG695" i="6"/>
  <c r="P692" i="11" s="1"/>
  <c r="AA701" i="6"/>
  <c r="AA697" i="6"/>
  <c r="AB697" i="6" s="1"/>
  <c r="AF697" i="6" s="1"/>
  <c r="AA699" i="6"/>
  <c r="AC699" i="6" s="1"/>
  <c r="A707" i="6"/>
  <c r="A703" i="6"/>
  <c r="A705" i="6"/>
  <c r="P690" i="11"/>
  <c r="AD700" i="6"/>
  <c r="N705" i="6"/>
  <c r="AD702" i="6"/>
  <c r="AE702" i="6"/>
  <c r="AE700" i="6"/>
  <c r="P705" i="6"/>
  <c r="R705" i="6" s="1"/>
  <c r="AH705" i="6" s="1"/>
  <c r="AJ705" i="6"/>
  <c r="P703" i="6"/>
  <c r="R703" i="6" s="1"/>
  <c r="AH703" i="6" s="1"/>
  <c r="N703" i="6"/>
  <c r="AJ703" i="6"/>
  <c r="AD704" i="6"/>
  <c r="AE704" i="6"/>
  <c r="AM698" i="6"/>
  <c r="N707" i="6"/>
  <c r="AJ707" i="6"/>
  <c r="P707" i="6"/>
  <c r="R707" i="6" s="1"/>
  <c r="AH707" i="6" s="1"/>
  <c r="AK701" i="6"/>
  <c r="AM701" i="6" s="1"/>
  <c r="AK699" i="6"/>
  <c r="AL699" i="6" s="1"/>
  <c r="AK697" i="6"/>
  <c r="AL697" i="6" s="1"/>
  <c r="L700" i="6"/>
  <c r="K707" i="6"/>
  <c r="M710" i="6" s="1"/>
  <c r="AO710" i="6" s="1"/>
  <c r="K703" i="6"/>
  <c r="M706" i="6" s="1"/>
  <c r="AO706" i="6" s="1"/>
  <c r="K705" i="6"/>
  <c r="M708" i="6" s="1"/>
  <c r="AO708" i="6" s="1"/>
  <c r="AL696" i="6"/>
  <c r="AM696" i="6"/>
  <c r="AC694" i="6"/>
  <c r="AB694" i="6"/>
  <c r="L702" i="6"/>
  <c r="L704" i="6"/>
  <c r="AL694" i="6"/>
  <c r="AM694" i="6"/>
  <c r="AC696" i="6"/>
  <c r="AB696" i="6"/>
  <c r="AI706" i="6"/>
  <c r="F706" i="6"/>
  <c r="AI710" i="6"/>
  <c r="F710" i="6"/>
  <c r="AI708" i="6"/>
  <c r="F708" i="6"/>
  <c r="R690" i="11" l="1"/>
  <c r="R695" i="11"/>
  <c r="AP707" i="6"/>
  <c r="AP705" i="6"/>
  <c r="AP709" i="6"/>
  <c r="Q692" i="11"/>
  <c r="R692" i="11" s="1"/>
  <c r="Q694" i="11"/>
  <c r="Q688" i="11"/>
  <c r="R688" i="11" s="1"/>
  <c r="AC701" i="6"/>
  <c r="AG701" i="6" s="1"/>
  <c r="P698" i="11" s="1"/>
  <c r="AC697" i="6"/>
  <c r="AB699" i="6"/>
  <c r="AB701" i="6"/>
  <c r="AF701" i="6" s="1"/>
  <c r="A708" i="6"/>
  <c r="A710" i="6"/>
  <c r="A706" i="6"/>
  <c r="AE703" i="6"/>
  <c r="AD705" i="6"/>
  <c r="AE705" i="6"/>
  <c r="P708" i="6"/>
  <c r="R708" i="6" s="1"/>
  <c r="AH708" i="6" s="1"/>
  <c r="AD707" i="6"/>
  <c r="AD703" i="6"/>
  <c r="AE707" i="6"/>
  <c r="AJ708" i="6"/>
  <c r="N706" i="6"/>
  <c r="P710" i="6"/>
  <c r="R710" i="6" s="1"/>
  <c r="AH710" i="6" s="1"/>
  <c r="N710" i="6"/>
  <c r="P706" i="6"/>
  <c r="R706" i="6" s="1"/>
  <c r="AH706" i="6" s="1"/>
  <c r="N708" i="6"/>
  <c r="AJ706" i="6"/>
  <c r="AJ710" i="6"/>
  <c r="AL701" i="6"/>
  <c r="AA700" i="6"/>
  <c r="AK700" i="6"/>
  <c r="AL700" i="6" s="1"/>
  <c r="AM699" i="6"/>
  <c r="AG699" i="6"/>
  <c r="P696" i="11" s="1"/>
  <c r="L703" i="6"/>
  <c r="AM697" i="6"/>
  <c r="K708" i="6"/>
  <c r="M711" i="6" s="1"/>
  <c r="AO711" i="6" s="1"/>
  <c r="K706" i="6"/>
  <c r="M709" i="6" s="1"/>
  <c r="AO709" i="6" s="1"/>
  <c r="K710" i="6"/>
  <c r="M713" i="6" s="1"/>
  <c r="AO713" i="6" s="1"/>
  <c r="AK702" i="6"/>
  <c r="AA702" i="6"/>
  <c r="AF694" i="6"/>
  <c r="L705" i="6"/>
  <c r="L707" i="6"/>
  <c r="AG696" i="6"/>
  <c r="P693" i="11" s="1"/>
  <c r="AF696" i="6"/>
  <c r="AK704" i="6"/>
  <c r="AA704" i="6"/>
  <c r="AG694" i="6"/>
  <c r="P691" i="11" s="1"/>
  <c r="AI709" i="6"/>
  <c r="F709" i="6"/>
  <c r="AI711" i="6"/>
  <c r="F711" i="6"/>
  <c r="AI713" i="6"/>
  <c r="F713" i="6"/>
  <c r="AP712" i="6" l="1"/>
  <c r="AP710" i="6"/>
  <c r="AP708" i="6"/>
  <c r="Q693" i="11"/>
  <c r="R693" i="11" s="1"/>
  <c r="Q698" i="11"/>
  <c r="R698" i="11" s="1"/>
  <c r="Q691" i="11"/>
  <c r="R691" i="11" s="1"/>
  <c r="AF699" i="6"/>
  <c r="AG697" i="6"/>
  <c r="P694" i="11" s="1"/>
  <c r="R694" i="11" s="1"/>
  <c r="AA703" i="6"/>
  <c r="AC703" i="6" s="1"/>
  <c r="AG703" i="6" s="1"/>
  <c r="P700" i="11" s="1"/>
  <c r="A711" i="6"/>
  <c r="A713" i="6"/>
  <c r="A709" i="6"/>
  <c r="AE708" i="6"/>
  <c r="AE706" i="6"/>
  <c r="AD706" i="6"/>
  <c r="AD708" i="6"/>
  <c r="AE710" i="6"/>
  <c r="AJ713" i="6"/>
  <c r="AD710" i="6"/>
  <c r="P713" i="6"/>
  <c r="R713" i="6" s="1"/>
  <c r="AH713" i="6" s="1"/>
  <c r="N713" i="6"/>
  <c r="P709" i="6"/>
  <c r="R709" i="6" s="1"/>
  <c r="AH709" i="6" s="1"/>
  <c r="AJ709" i="6"/>
  <c r="N709" i="6"/>
  <c r="P711" i="6"/>
  <c r="R711" i="6" s="1"/>
  <c r="AH711" i="6" s="1"/>
  <c r="AJ711" i="6"/>
  <c r="N711" i="6"/>
  <c r="AM700" i="6"/>
  <c r="AB700" i="6"/>
  <c r="AF700" i="6" s="1"/>
  <c r="AC700" i="6"/>
  <c r="AK703" i="6"/>
  <c r="AM703" i="6" s="1"/>
  <c r="L706" i="6"/>
  <c r="L710" i="6"/>
  <c r="L708" i="6"/>
  <c r="K711" i="6"/>
  <c r="M714" i="6" s="1"/>
  <c r="AO714" i="6" s="1"/>
  <c r="K713" i="6"/>
  <c r="M716" i="6" s="1"/>
  <c r="AO716" i="6" s="1"/>
  <c r="K709" i="6"/>
  <c r="M712" i="6" s="1"/>
  <c r="AO712" i="6" s="1"/>
  <c r="AK707" i="6"/>
  <c r="AA707" i="6"/>
  <c r="AL704" i="6"/>
  <c r="AM704" i="6"/>
  <c r="AK705" i="6"/>
  <c r="AA705" i="6"/>
  <c r="AM702" i="6"/>
  <c r="AL702" i="6"/>
  <c r="AC704" i="6"/>
  <c r="AB704" i="6"/>
  <c r="AB702" i="6"/>
  <c r="AC702" i="6"/>
  <c r="AI712" i="6"/>
  <c r="F712" i="6"/>
  <c r="AI716" i="6"/>
  <c r="F716" i="6"/>
  <c r="AI714" i="6"/>
  <c r="F714" i="6"/>
  <c r="AP711" i="6" l="1"/>
  <c r="AP715" i="6"/>
  <c r="AP713" i="6"/>
  <c r="Q697" i="11"/>
  <c r="Q696" i="11"/>
  <c r="R696" i="11" s="1"/>
  <c r="AB703" i="6"/>
  <c r="AF703" i="6" s="1"/>
  <c r="AA708" i="6"/>
  <c r="AB708" i="6" s="1"/>
  <c r="AK710" i="6"/>
  <c r="AL710" i="6" s="1"/>
  <c r="AA706" i="6"/>
  <c r="AC706" i="6" s="1"/>
  <c r="AG706" i="6" s="1"/>
  <c r="P703" i="11" s="1"/>
  <c r="A714" i="6"/>
  <c r="A712" i="6"/>
  <c r="A716" i="6"/>
  <c r="AE713" i="6"/>
  <c r="AE711" i="6"/>
  <c r="N712" i="6"/>
  <c r="AD709" i="6"/>
  <c r="AJ712" i="6"/>
  <c r="AE709" i="6"/>
  <c r="AD713" i="6"/>
  <c r="P712" i="6"/>
  <c r="R712" i="6" s="1"/>
  <c r="AH712" i="6" s="1"/>
  <c r="AD711" i="6"/>
  <c r="P714" i="6"/>
  <c r="R714" i="6" s="1"/>
  <c r="AH714" i="6" s="1"/>
  <c r="P716" i="6"/>
  <c r="R716" i="6" s="1"/>
  <c r="AH716" i="6" s="1"/>
  <c r="N714" i="6"/>
  <c r="AJ716" i="6"/>
  <c r="AJ714" i="6"/>
  <c r="N716" i="6"/>
  <c r="AL703" i="6"/>
  <c r="AG700" i="6"/>
  <c r="P697" i="11" s="1"/>
  <c r="AK706" i="6"/>
  <c r="AM706" i="6" s="1"/>
  <c r="AK708" i="6"/>
  <c r="AM708" i="6" s="1"/>
  <c r="AA710" i="6"/>
  <c r="AB710" i="6" s="1"/>
  <c r="AF710" i="6" s="1"/>
  <c r="L711" i="6"/>
  <c r="L713" i="6"/>
  <c r="L709" i="6"/>
  <c r="K712" i="6"/>
  <c r="M715" i="6" s="1"/>
  <c r="AO715" i="6" s="1"/>
  <c r="K716" i="6"/>
  <c r="M719" i="6" s="1"/>
  <c r="AO719" i="6" s="1"/>
  <c r="K714" i="6"/>
  <c r="M717" i="6" s="1"/>
  <c r="AO717" i="6" s="1"/>
  <c r="AG702" i="6"/>
  <c r="P699" i="11" s="1"/>
  <c r="AC705" i="6"/>
  <c r="AB705" i="6"/>
  <c r="AF702" i="6"/>
  <c r="AG704" i="6"/>
  <c r="P701" i="11" s="1"/>
  <c r="AL707" i="6"/>
  <c r="AM707" i="6"/>
  <c r="AM705" i="6"/>
  <c r="AL705" i="6"/>
  <c r="AF704" i="6"/>
  <c r="AB707" i="6"/>
  <c r="AC707" i="6"/>
  <c r="AI715" i="6"/>
  <c r="F715" i="6"/>
  <c r="AI717" i="6"/>
  <c r="F717" i="6"/>
  <c r="AI719" i="6"/>
  <c r="F719" i="6"/>
  <c r="R697" i="11" l="1"/>
  <c r="AP716" i="6"/>
  <c r="AP718" i="6"/>
  <c r="AP714" i="6"/>
  <c r="Q701" i="11"/>
  <c r="R701" i="11" s="1"/>
  <c r="Q707" i="11"/>
  <c r="Q700" i="11"/>
  <c r="R700" i="11" s="1"/>
  <c r="Q699" i="11"/>
  <c r="R699" i="11" s="1"/>
  <c r="AM710" i="6"/>
  <c r="AF708" i="6"/>
  <c r="AC708" i="6"/>
  <c r="AG708" i="6" s="1"/>
  <c r="P705" i="11" s="1"/>
  <c r="AB706" i="6"/>
  <c r="AA713" i="6"/>
  <c r="AB713" i="6" s="1"/>
  <c r="AA711" i="6"/>
  <c r="AC711" i="6" s="1"/>
  <c r="A715" i="6"/>
  <c r="A717" i="6"/>
  <c r="A719" i="6"/>
  <c r="AC710" i="6"/>
  <c r="AE712" i="6"/>
  <c r="N715" i="6"/>
  <c r="AD712" i="6"/>
  <c r="AD716" i="6"/>
  <c r="P719" i="6"/>
  <c r="R719" i="6" s="1"/>
  <c r="AH719" i="6" s="1"/>
  <c r="AD714" i="6"/>
  <c r="AE714" i="6"/>
  <c r="AE716" i="6"/>
  <c r="AJ715" i="6"/>
  <c r="N717" i="6"/>
  <c r="P715" i="6"/>
  <c r="R715" i="6" s="1"/>
  <c r="AH715" i="6" s="1"/>
  <c r="N719" i="6"/>
  <c r="P717" i="6"/>
  <c r="R717" i="6" s="1"/>
  <c r="AH717" i="6" s="1"/>
  <c r="AJ719" i="6"/>
  <c r="AJ717" i="6"/>
  <c r="AL708" i="6"/>
  <c r="AL706" i="6"/>
  <c r="AK713" i="6"/>
  <c r="AL713" i="6" s="1"/>
  <c r="AK711" i="6"/>
  <c r="AM711" i="6" s="1"/>
  <c r="AA709" i="6"/>
  <c r="AC709" i="6" s="1"/>
  <c r="AK709" i="6"/>
  <c r="AM709" i="6" s="1"/>
  <c r="L716" i="6"/>
  <c r="K717" i="6"/>
  <c r="M720" i="6" s="1"/>
  <c r="AO720" i="6" s="1"/>
  <c r="K719" i="6"/>
  <c r="M722" i="6" s="1"/>
  <c r="AO722" i="6" s="1"/>
  <c r="K715" i="6"/>
  <c r="M718" i="6" s="1"/>
  <c r="AO718" i="6" s="1"/>
  <c r="AF705" i="6"/>
  <c r="AG707" i="6"/>
  <c r="P704" i="11" s="1"/>
  <c r="AG705" i="6"/>
  <c r="P702" i="11" s="1"/>
  <c r="L714" i="6"/>
  <c r="L712" i="6"/>
  <c r="AF707" i="6"/>
  <c r="F718" i="6"/>
  <c r="AI718" i="6"/>
  <c r="F722" i="6"/>
  <c r="AI722" i="6"/>
  <c r="AI720" i="6"/>
  <c r="F720" i="6"/>
  <c r="AP717" i="6" l="1"/>
  <c r="AP721" i="6"/>
  <c r="AP719" i="6"/>
  <c r="Q702" i="11"/>
  <c r="R702" i="11" s="1"/>
  <c r="Q705" i="11"/>
  <c r="R705" i="11" s="1"/>
  <c r="Q704" i="11"/>
  <c r="R704" i="11" s="1"/>
  <c r="AF706" i="6"/>
  <c r="AF713" i="6"/>
  <c r="AG711" i="6"/>
  <c r="P708" i="11" s="1"/>
  <c r="AB711" i="6"/>
  <c r="AF711" i="6" s="1"/>
  <c r="AC713" i="6"/>
  <c r="AG713" i="6" s="1"/>
  <c r="P710" i="11" s="1"/>
  <c r="AA716" i="6"/>
  <c r="AC716" i="6" s="1"/>
  <c r="A722" i="6"/>
  <c r="A720" i="6"/>
  <c r="A718" i="6"/>
  <c r="AG710" i="6"/>
  <c r="AE715" i="6"/>
  <c r="P718" i="6"/>
  <c r="R718" i="6" s="1"/>
  <c r="AH718" i="6" s="1"/>
  <c r="AD719" i="6"/>
  <c r="AD717" i="6"/>
  <c r="AE719" i="6"/>
  <c r="AD715" i="6"/>
  <c r="P720" i="6"/>
  <c r="R720" i="6" s="1"/>
  <c r="AH720" i="6" s="1"/>
  <c r="AL711" i="6"/>
  <c r="AJ722" i="6"/>
  <c r="AB709" i="6"/>
  <c r="AF709" i="6" s="1"/>
  <c r="AE717" i="6"/>
  <c r="N722" i="6"/>
  <c r="N720" i="6"/>
  <c r="N718" i="6"/>
  <c r="AJ720" i="6"/>
  <c r="AJ718" i="6"/>
  <c r="P722" i="6"/>
  <c r="R722" i="6" s="1"/>
  <c r="AH722" i="6" s="1"/>
  <c r="AG709" i="6"/>
  <c r="P706" i="11" s="1"/>
  <c r="AK716" i="6"/>
  <c r="AL716" i="6" s="1"/>
  <c r="AL709" i="6"/>
  <c r="AM713" i="6"/>
  <c r="L719" i="6"/>
  <c r="K720" i="6"/>
  <c r="M723" i="6" s="1"/>
  <c r="AO723" i="6" s="1"/>
  <c r="K722" i="6"/>
  <c r="M725" i="6" s="1"/>
  <c r="AO725" i="6" s="1"/>
  <c r="K718" i="6"/>
  <c r="M721" i="6" s="1"/>
  <c r="AO721" i="6" s="1"/>
  <c r="AK714" i="6"/>
  <c r="AA714" i="6"/>
  <c r="L715" i="6"/>
  <c r="L717" i="6"/>
  <c r="AK712" i="6"/>
  <c r="AA712" i="6"/>
  <c r="AI723" i="6"/>
  <c r="F723" i="6"/>
  <c r="AI725" i="6"/>
  <c r="F725" i="6"/>
  <c r="AI721" i="6"/>
  <c r="F721" i="6"/>
  <c r="AP720" i="6" l="1"/>
  <c r="AP724" i="6"/>
  <c r="AP722" i="6"/>
  <c r="Q710" i="11"/>
  <c r="R710" i="11" s="1"/>
  <c r="Q706" i="11"/>
  <c r="R706" i="11" s="1"/>
  <c r="Q703" i="11"/>
  <c r="R703" i="11" s="1"/>
  <c r="Q708" i="11"/>
  <c r="R708" i="11" s="1"/>
  <c r="AB716" i="6"/>
  <c r="AF716" i="6" s="1"/>
  <c r="AA719" i="6"/>
  <c r="AB719" i="6" s="1"/>
  <c r="AF719" i="6" s="1"/>
  <c r="AD720" i="6"/>
  <c r="A721" i="6"/>
  <c r="A723" i="6"/>
  <c r="A725" i="6"/>
  <c r="P707" i="11"/>
  <c r="R707" i="11" s="1"/>
  <c r="AM716" i="6"/>
  <c r="AD718" i="6"/>
  <c r="AE720" i="6"/>
  <c r="AE718" i="6"/>
  <c r="AD722" i="6"/>
  <c r="AE722" i="6"/>
  <c r="P723" i="6"/>
  <c r="R723" i="6" s="1"/>
  <c r="AH723" i="6" s="1"/>
  <c r="AJ721" i="6"/>
  <c r="N725" i="6"/>
  <c r="P725" i="6"/>
  <c r="R725" i="6" s="1"/>
  <c r="AH725" i="6" s="1"/>
  <c r="P721" i="6"/>
  <c r="R721" i="6" s="1"/>
  <c r="AH721" i="6" s="1"/>
  <c r="AJ723" i="6"/>
  <c r="N721" i="6"/>
  <c r="N723" i="6"/>
  <c r="AJ725" i="6"/>
  <c r="AG716" i="6"/>
  <c r="P713" i="11" s="1"/>
  <c r="AK719" i="6"/>
  <c r="AM719" i="6" s="1"/>
  <c r="L718" i="6"/>
  <c r="L720" i="6"/>
  <c r="L722" i="6"/>
  <c r="K723" i="6"/>
  <c r="M726" i="6" s="1"/>
  <c r="AO726" i="6" s="1"/>
  <c r="K725" i="6"/>
  <c r="M728" i="6" s="1"/>
  <c r="AO728" i="6" s="1"/>
  <c r="K721" i="6"/>
  <c r="M724" i="6" s="1"/>
  <c r="AO724" i="6" s="1"/>
  <c r="AK715" i="6"/>
  <c r="AA715" i="6"/>
  <c r="AC712" i="6"/>
  <c r="AB712" i="6"/>
  <c r="AM714" i="6"/>
  <c r="AL714" i="6"/>
  <c r="AM712" i="6"/>
  <c r="AL712" i="6"/>
  <c r="AK717" i="6"/>
  <c r="AA717" i="6"/>
  <c r="AB714" i="6"/>
  <c r="AC714" i="6"/>
  <c r="AI724" i="6"/>
  <c r="F724" i="6"/>
  <c r="AI726" i="6"/>
  <c r="F726" i="6"/>
  <c r="AI728" i="6"/>
  <c r="F728" i="6"/>
  <c r="AP725" i="6" l="1"/>
  <c r="AP723" i="6"/>
  <c r="AP727" i="6"/>
  <c r="Q713" i="11"/>
  <c r="R713" i="11" s="1"/>
  <c r="Q716" i="11"/>
  <c r="AC719" i="6"/>
  <c r="AG719" i="6" s="1"/>
  <c r="P716" i="11" s="1"/>
  <c r="AK718" i="6"/>
  <c r="AL718" i="6" s="1"/>
  <c r="AK720" i="6"/>
  <c r="AL720" i="6" s="1"/>
  <c r="AA722" i="6"/>
  <c r="A726" i="6"/>
  <c r="A724" i="6"/>
  <c r="A728" i="6"/>
  <c r="AD723" i="6"/>
  <c r="AE723" i="6"/>
  <c r="AD725" i="6"/>
  <c r="AE725" i="6"/>
  <c r="P726" i="6"/>
  <c r="R726" i="6" s="1"/>
  <c r="AH726" i="6" s="1"/>
  <c r="N724" i="6"/>
  <c r="AJ726" i="6"/>
  <c r="N728" i="6"/>
  <c r="AE721" i="6"/>
  <c r="P728" i="6"/>
  <c r="R728" i="6" s="1"/>
  <c r="AH728" i="6" s="1"/>
  <c r="AD721" i="6"/>
  <c r="P724" i="6"/>
  <c r="R724" i="6" s="1"/>
  <c r="AH724" i="6" s="1"/>
  <c r="N726" i="6"/>
  <c r="AJ724" i="6"/>
  <c r="AJ728" i="6"/>
  <c r="AA718" i="6"/>
  <c r="AL719" i="6"/>
  <c r="AA720" i="6"/>
  <c r="AK722" i="6"/>
  <c r="AL722" i="6" s="1"/>
  <c r="L725" i="6"/>
  <c r="K724" i="6"/>
  <c r="M727" i="6" s="1"/>
  <c r="AO727" i="6" s="1"/>
  <c r="K728" i="6"/>
  <c r="M731" i="6" s="1"/>
  <c r="AO731" i="6" s="1"/>
  <c r="K726" i="6"/>
  <c r="M729" i="6" s="1"/>
  <c r="AO729" i="6" s="1"/>
  <c r="AG714" i="6"/>
  <c r="P711" i="11" s="1"/>
  <c r="AL717" i="6"/>
  <c r="AM717" i="6"/>
  <c r="AG712" i="6"/>
  <c r="P709" i="11" s="1"/>
  <c r="AB715" i="6"/>
  <c r="AC715" i="6"/>
  <c r="AF714" i="6"/>
  <c r="L721" i="6"/>
  <c r="L723" i="6"/>
  <c r="AC717" i="6"/>
  <c r="AB717" i="6"/>
  <c r="AF712" i="6"/>
  <c r="AL715" i="6"/>
  <c r="AM715" i="6"/>
  <c r="AI731" i="6"/>
  <c r="F731" i="6"/>
  <c r="AI727" i="6"/>
  <c r="F727" i="6"/>
  <c r="AI729" i="6"/>
  <c r="F729" i="6"/>
  <c r="R716" i="11" l="1"/>
  <c r="AP726" i="6"/>
  <c r="AP728" i="6"/>
  <c r="AP730" i="6"/>
  <c r="Q709" i="11"/>
  <c r="R709" i="11" s="1"/>
  <c r="Q711" i="11"/>
  <c r="R711" i="11" s="1"/>
  <c r="AM718" i="6"/>
  <c r="AM720" i="6"/>
  <c r="AC722" i="6"/>
  <c r="AB722" i="6"/>
  <c r="AF722" i="6" s="1"/>
  <c r="AA725" i="6"/>
  <c r="AC725" i="6" s="1"/>
  <c r="AG725" i="6" s="1"/>
  <c r="P722" i="11" s="1"/>
  <c r="A727" i="6"/>
  <c r="A729" i="6"/>
  <c r="A731" i="6"/>
  <c r="AD726" i="6"/>
  <c r="AD724" i="6"/>
  <c r="AJ727" i="6"/>
  <c r="AE726" i="6"/>
  <c r="AE728" i="6"/>
  <c r="P729" i="6"/>
  <c r="R729" i="6" s="1"/>
  <c r="AH729" i="6" s="1"/>
  <c r="P727" i="6"/>
  <c r="R727" i="6" s="1"/>
  <c r="AH727" i="6" s="1"/>
  <c r="N729" i="6"/>
  <c r="AD728" i="6"/>
  <c r="AE724" i="6"/>
  <c r="AJ729" i="6"/>
  <c r="N727" i="6"/>
  <c r="P731" i="6"/>
  <c r="R731" i="6" s="1"/>
  <c r="AH731" i="6" s="1"/>
  <c r="AJ731" i="6"/>
  <c r="N731" i="6"/>
  <c r="AM722" i="6"/>
  <c r="AK725" i="6"/>
  <c r="AL725" i="6" s="1"/>
  <c r="AB718" i="6"/>
  <c r="AC718" i="6"/>
  <c r="AB720" i="6"/>
  <c r="AC720" i="6"/>
  <c r="L726" i="6"/>
  <c r="L724" i="6"/>
  <c r="L728" i="6"/>
  <c r="K729" i="6"/>
  <c r="M732" i="6" s="1"/>
  <c r="AO732" i="6" s="1"/>
  <c r="K731" i="6"/>
  <c r="M734" i="6" s="1"/>
  <c r="AO734" i="6" s="1"/>
  <c r="K727" i="6"/>
  <c r="M730" i="6" s="1"/>
  <c r="AO730" i="6" s="1"/>
  <c r="AF717" i="6"/>
  <c r="AG715" i="6"/>
  <c r="P712" i="11" s="1"/>
  <c r="AK723" i="6"/>
  <c r="AA723" i="6"/>
  <c r="AG717" i="6"/>
  <c r="P714" i="11" s="1"/>
  <c r="AK721" i="6"/>
  <c r="AA721" i="6"/>
  <c r="AF715" i="6"/>
  <c r="AI734" i="6"/>
  <c r="F734" i="6"/>
  <c r="AI732" i="6"/>
  <c r="F732" i="6"/>
  <c r="AI730" i="6"/>
  <c r="F730" i="6"/>
  <c r="AP729" i="6" l="1"/>
  <c r="AP733" i="6"/>
  <c r="AP731" i="6"/>
  <c r="Q712" i="11"/>
  <c r="R712" i="11" s="1"/>
  <c r="Q714" i="11"/>
  <c r="R714" i="11" s="1"/>
  <c r="Q719" i="11"/>
  <c r="AG722" i="6"/>
  <c r="P719" i="11" s="1"/>
  <c r="AB725" i="6"/>
  <c r="AF725" i="6" s="1"/>
  <c r="AA726" i="6"/>
  <c r="AB726" i="6" s="1"/>
  <c r="AA728" i="6"/>
  <c r="AA724" i="6"/>
  <c r="AC724" i="6" s="1"/>
  <c r="A730" i="6"/>
  <c r="A734" i="6"/>
  <c r="A732" i="6"/>
  <c r="AD727" i="6"/>
  <c r="AE727" i="6"/>
  <c r="AE731" i="6"/>
  <c r="P732" i="6"/>
  <c r="R732" i="6" s="1"/>
  <c r="AH732" i="6" s="1"/>
  <c r="AE729" i="6"/>
  <c r="N730" i="6"/>
  <c r="AD729" i="6"/>
  <c r="AJ732" i="6"/>
  <c r="P734" i="6"/>
  <c r="R734" i="6" s="1"/>
  <c r="AH734" i="6" s="1"/>
  <c r="N734" i="6"/>
  <c r="N732" i="6"/>
  <c r="AJ730" i="6"/>
  <c r="P730" i="6"/>
  <c r="R730" i="6" s="1"/>
  <c r="AH730" i="6" s="1"/>
  <c r="AD731" i="6"/>
  <c r="AJ734" i="6"/>
  <c r="AM725" i="6"/>
  <c r="AF718" i="6"/>
  <c r="AG718" i="6"/>
  <c r="P715" i="11" s="1"/>
  <c r="AK724" i="6"/>
  <c r="AM724" i="6" s="1"/>
  <c r="AK726" i="6"/>
  <c r="AL726" i="6" s="1"/>
  <c r="AF720" i="6"/>
  <c r="AG720" i="6"/>
  <c r="P717" i="11" s="1"/>
  <c r="AK728" i="6"/>
  <c r="AM728" i="6" s="1"/>
  <c r="L731" i="6"/>
  <c r="K730" i="6"/>
  <c r="M733" i="6" s="1"/>
  <c r="AO733" i="6" s="1"/>
  <c r="K732" i="6"/>
  <c r="M735" i="6" s="1"/>
  <c r="AO735" i="6" s="1"/>
  <c r="K734" i="6"/>
  <c r="M737" i="6" s="1"/>
  <c r="AO737" i="6" s="1"/>
  <c r="AB723" i="6"/>
  <c r="AC723" i="6"/>
  <c r="AB721" i="6"/>
  <c r="AC721" i="6"/>
  <c r="AM723" i="6"/>
  <c r="AL723" i="6"/>
  <c r="L727" i="6"/>
  <c r="L729" i="6"/>
  <c r="AL721" i="6"/>
  <c r="AM721" i="6"/>
  <c r="AI733" i="6"/>
  <c r="F733" i="6"/>
  <c r="AI737" i="6"/>
  <c r="F737" i="6"/>
  <c r="AI735" i="6"/>
  <c r="F735" i="6"/>
  <c r="R719" i="11" l="1"/>
  <c r="AP736" i="6"/>
  <c r="AP734" i="6"/>
  <c r="AP732" i="6"/>
  <c r="Q715" i="11"/>
  <c r="R715" i="11" s="1"/>
  <c r="Q722" i="11"/>
  <c r="R722" i="11" s="1"/>
  <c r="Q717" i="11"/>
  <c r="R717" i="11" s="1"/>
  <c r="AF726" i="6"/>
  <c r="AB728" i="6"/>
  <c r="AF728" i="6" s="1"/>
  <c r="AC728" i="6"/>
  <c r="AG724" i="6"/>
  <c r="P721" i="11" s="1"/>
  <c r="AC726" i="6"/>
  <c r="AB724" i="6"/>
  <c r="AA731" i="6"/>
  <c r="AC731" i="6" s="1"/>
  <c r="AG731" i="6" s="1"/>
  <c r="P728" i="11" s="1"/>
  <c r="A737" i="6"/>
  <c r="A735" i="6"/>
  <c r="A733" i="6"/>
  <c r="AD732" i="6"/>
  <c r="AE732" i="6"/>
  <c r="AJ737" i="6"/>
  <c r="N733" i="6"/>
  <c r="AJ735" i="6"/>
  <c r="AD734" i="6"/>
  <c r="AE734" i="6"/>
  <c r="AE730" i="6"/>
  <c r="AD730" i="6"/>
  <c r="AJ733" i="6"/>
  <c r="N737" i="6"/>
  <c r="AL724" i="6"/>
  <c r="N735" i="6"/>
  <c r="P733" i="6"/>
  <c r="R733" i="6" s="1"/>
  <c r="AH733" i="6" s="1"/>
  <c r="P735" i="6"/>
  <c r="R735" i="6" s="1"/>
  <c r="AH735" i="6" s="1"/>
  <c r="P737" i="6"/>
  <c r="R737" i="6" s="1"/>
  <c r="AH737" i="6" s="1"/>
  <c r="AM726" i="6"/>
  <c r="AL728" i="6"/>
  <c r="AK731" i="6"/>
  <c r="AL731" i="6" s="1"/>
  <c r="L732" i="6"/>
  <c r="K733" i="6"/>
  <c r="M736" i="6" s="1"/>
  <c r="AO736" i="6" s="1"/>
  <c r="K737" i="6"/>
  <c r="M740" i="6" s="1"/>
  <c r="AO740" i="6" s="1"/>
  <c r="K735" i="6"/>
  <c r="M738" i="6" s="1"/>
  <c r="AO738" i="6" s="1"/>
  <c r="AF723" i="6"/>
  <c r="AK729" i="6"/>
  <c r="AA729" i="6"/>
  <c r="AG721" i="6"/>
  <c r="P718" i="11" s="1"/>
  <c r="AK727" i="6"/>
  <c r="AA727" i="6"/>
  <c r="L734" i="6"/>
  <c r="L730" i="6"/>
  <c r="AF721" i="6"/>
  <c r="AG723" i="6"/>
  <c r="P720" i="11" s="1"/>
  <c r="F738" i="6"/>
  <c r="AI738" i="6"/>
  <c r="AI736" i="6"/>
  <c r="F736" i="6"/>
  <c r="AI740" i="6"/>
  <c r="F740" i="6"/>
  <c r="AP737" i="6" l="1"/>
  <c r="AP739" i="6"/>
  <c r="AP735" i="6"/>
  <c r="Q718" i="11"/>
  <c r="R718" i="11" s="1"/>
  <c r="Q725" i="11"/>
  <c r="Q720" i="11"/>
  <c r="R720" i="11" s="1"/>
  <c r="Q723" i="11"/>
  <c r="AG726" i="6"/>
  <c r="AG728" i="6"/>
  <c r="P725" i="11" s="1"/>
  <c r="AB731" i="6"/>
  <c r="AF724" i="6"/>
  <c r="AA732" i="6"/>
  <c r="AC732" i="6" s="1"/>
  <c r="A736" i="6"/>
  <c r="A740" i="6"/>
  <c r="A738" i="6"/>
  <c r="AK732" i="6"/>
  <c r="AL732" i="6" s="1"/>
  <c r="N740" i="6"/>
  <c r="P740" i="6"/>
  <c r="R740" i="6" s="1"/>
  <c r="AH740" i="6" s="1"/>
  <c r="P738" i="6"/>
  <c r="R738" i="6" s="1"/>
  <c r="AH738" i="6" s="1"/>
  <c r="AJ740" i="6"/>
  <c r="AE733" i="6"/>
  <c r="AD737" i="6"/>
  <c r="AD735" i="6"/>
  <c r="AD733" i="6"/>
  <c r="AE735" i="6"/>
  <c r="N736" i="6"/>
  <c r="AE737" i="6"/>
  <c r="P736" i="6"/>
  <c r="R736" i="6" s="1"/>
  <c r="AH736" i="6" s="1"/>
  <c r="N738" i="6"/>
  <c r="AJ736" i="6"/>
  <c r="AJ738" i="6"/>
  <c r="AM731" i="6"/>
  <c r="L737" i="6"/>
  <c r="K736" i="6"/>
  <c r="M739" i="6" s="1"/>
  <c r="AO739" i="6" s="1"/>
  <c r="K740" i="6"/>
  <c r="M743" i="6" s="1"/>
  <c r="AO743" i="6" s="1"/>
  <c r="K738" i="6"/>
  <c r="M741" i="6" s="1"/>
  <c r="AO741" i="6" s="1"/>
  <c r="AC727" i="6"/>
  <c r="AB727" i="6"/>
  <c r="AK734" i="6"/>
  <c r="AA734" i="6"/>
  <c r="AC729" i="6"/>
  <c r="AB729" i="6"/>
  <c r="AL727" i="6"/>
  <c r="AM727" i="6"/>
  <c r="L735" i="6"/>
  <c r="L733" i="6"/>
  <c r="AK730" i="6"/>
  <c r="AA730" i="6"/>
  <c r="AL729" i="6"/>
  <c r="AM729" i="6"/>
  <c r="F743" i="6"/>
  <c r="AI743" i="6"/>
  <c r="AI739" i="6"/>
  <c r="F739" i="6"/>
  <c r="F741" i="6"/>
  <c r="AI741" i="6"/>
  <c r="R725" i="11" l="1"/>
  <c r="AP740" i="6"/>
  <c r="AP742" i="6"/>
  <c r="AP738" i="6"/>
  <c r="Q721" i="11"/>
  <c r="R721" i="11" s="1"/>
  <c r="P723" i="11"/>
  <c r="R723" i="11" s="1"/>
  <c r="AG732" i="6"/>
  <c r="P729" i="11" s="1"/>
  <c r="AB732" i="6"/>
  <c r="AF731" i="6"/>
  <c r="AA737" i="6"/>
  <c r="A739" i="6"/>
  <c r="A741" i="6"/>
  <c r="A743" i="6"/>
  <c r="AM732" i="6"/>
  <c r="AE738" i="6"/>
  <c r="AD740" i="6"/>
  <c r="AE736" i="6"/>
  <c r="AE740" i="6"/>
  <c r="AD738" i="6"/>
  <c r="P739" i="6"/>
  <c r="R739" i="6" s="1"/>
  <c r="AH739" i="6" s="1"/>
  <c r="AJ739" i="6"/>
  <c r="N741" i="6"/>
  <c r="N739" i="6"/>
  <c r="AJ741" i="6"/>
  <c r="N743" i="6"/>
  <c r="P741" i="6"/>
  <c r="R741" i="6" s="1"/>
  <c r="AH741" i="6" s="1"/>
  <c r="P743" i="6"/>
  <c r="R743" i="6" s="1"/>
  <c r="AH743" i="6" s="1"/>
  <c r="AD736" i="6"/>
  <c r="AJ743" i="6"/>
  <c r="AK737" i="6"/>
  <c r="AL737" i="6" s="1"/>
  <c r="L740" i="6"/>
  <c r="K739" i="6"/>
  <c r="M742" i="6" s="1"/>
  <c r="AO742" i="6" s="1"/>
  <c r="K741" i="6"/>
  <c r="M744" i="6" s="1"/>
  <c r="AO744" i="6" s="1"/>
  <c r="K743" i="6"/>
  <c r="M746" i="6" s="1"/>
  <c r="AO746" i="6" s="1"/>
  <c r="AC730" i="6"/>
  <c r="AB730" i="6"/>
  <c r="AL734" i="6"/>
  <c r="AM734" i="6"/>
  <c r="AG729" i="6"/>
  <c r="P726" i="11" s="1"/>
  <c r="AL730" i="6"/>
  <c r="AM730" i="6"/>
  <c r="AB734" i="6"/>
  <c r="AC734" i="6"/>
  <c r="L738" i="6"/>
  <c r="L736" i="6"/>
  <c r="AK735" i="6"/>
  <c r="AA735" i="6"/>
  <c r="AG727" i="6"/>
  <c r="P724" i="11" s="1"/>
  <c r="AK733" i="6"/>
  <c r="AA733" i="6"/>
  <c r="AF729" i="6"/>
  <c r="AF727" i="6"/>
  <c r="AI744" i="6"/>
  <c r="F744" i="6"/>
  <c r="AI742" i="6"/>
  <c r="F742" i="6"/>
  <c r="AI746" i="6"/>
  <c r="F746" i="6"/>
  <c r="AP743" i="6" l="1"/>
  <c r="AP745" i="6"/>
  <c r="AP741" i="6"/>
  <c r="Q728" i="11"/>
  <c r="R728" i="11" s="1"/>
  <c r="Q724" i="11"/>
  <c r="R724" i="11" s="1"/>
  <c r="Q726" i="11"/>
  <c r="R726" i="11" s="1"/>
  <c r="AF732" i="6"/>
  <c r="AB737" i="6"/>
  <c r="AF737" i="6" s="1"/>
  <c r="AC737" i="6"/>
  <c r="AK740" i="6"/>
  <c r="AM740" i="6" s="1"/>
  <c r="A744" i="6"/>
  <c r="A746" i="6"/>
  <c r="A742" i="6"/>
  <c r="AD739" i="6"/>
  <c r="AE739" i="6"/>
  <c r="AE741" i="6"/>
  <c r="AD741" i="6"/>
  <c r="AJ746" i="6"/>
  <c r="N742" i="6"/>
  <c r="N746" i="6"/>
  <c r="P742" i="6"/>
  <c r="R742" i="6" s="1"/>
  <c r="AH742" i="6" s="1"/>
  <c r="AD743" i="6"/>
  <c r="P744" i="6"/>
  <c r="R744" i="6" s="1"/>
  <c r="AH744" i="6" s="1"/>
  <c r="AE743" i="6"/>
  <c r="P746" i="6"/>
  <c r="R746" i="6" s="1"/>
  <c r="AH746" i="6" s="1"/>
  <c r="N744" i="6"/>
  <c r="AA740" i="6"/>
  <c r="AC740" i="6" s="1"/>
  <c r="AG740" i="6" s="1"/>
  <c r="P737" i="11" s="1"/>
  <c r="AJ742" i="6"/>
  <c r="AJ744" i="6"/>
  <c r="AM737" i="6"/>
  <c r="L741" i="6"/>
  <c r="L743" i="6"/>
  <c r="L739" i="6"/>
  <c r="K742" i="6"/>
  <c r="M745" i="6" s="1"/>
  <c r="AO745" i="6" s="1"/>
  <c r="K746" i="6"/>
  <c r="M749" i="6" s="1"/>
  <c r="AO749" i="6" s="1"/>
  <c r="K744" i="6"/>
  <c r="M747" i="6" s="1"/>
  <c r="AO747" i="6" s="1"/>
  <c r="AK736" i="6"/>
  <c r="AA736" i="6"/>
  <c r="AG734" i="6"/>
  <c r="P731" i="11" s="1"/>
  <c r="AL733" i="6"/>
  <c r="AM733" i="6"/>
  <c r="AL735" i="6"/>
  <c r="AM735" i="6"/>
  <c r="AG730" i="6"/>
  <c r="P727" i="11" s="1"/>
  <c r="AF734" i="6"/>
  <c r="AB733" i="6"/>
  <c r="AC733" i="6"/>
  <c r="AC735" i="6"/>
  <c r="AB735" i="6"/>
  <c r="AK738" i="6"/>
  <c r="AA738" i="6"/>
  <c r="AF730" i="6"/>
  <c r="AI749" i="6"/>
  <c r="F749" i="6"/>
  <c r="AI747" i="6"/>
  <c r="F747" i="6"/>
  <c r="AI745" i="6"/>
  <c r="F745" i="6"/>
  <c r="AP746" i="6" l="1"/>
  <c r="AP748" i="6"/>
  <c r="AP744" i="6"/>
  <c r="Q727" i="11"/>
  <c r="R727" i="11" s="1"/>
  <c r="Q731" i="11"/>
  <c r="R731" i="11" s="1"/>
  <c r="Q729" i="11"/>
  <c r="R729" i="11" s="1"/>
  <c r="Q734" i="11"/>
  <c r="AL740" i="6"/>
  <c r="AG737" i="6"/>
  <c r="P734" i="11" s="1"/>
  <c r="AA743" i="6"/>
  <c r="A747" i="6"/>
  <c r="A749" i="6"/>
  <c r="A745" i="6"/>
  <c r="N749" i="6"/>
  <c r="AJ749" i="6"/>
  <c r="AD746" i="6"/>
  <c r="AE742" i="6"/>
  <c r="AD742" i="6"/>
  <c r="AE744" i="6"/>
  <c r="N745" i="6"/>
  <c r="AJ745" i="6"/>
  <c r="AD744" i="6"/>
  <c r="AB740" i="6"/>
  <c r="AF740" i="6" s="1"/>
  <c r="P749" i="6"/>
  <c r="R749" i="6" s="1"/>
  <c r="AH749" i="6" s="1"/>
  <c r="AE746" i="6"/>
  <c r="P747" i="6"/>
  <c r="R747" i="6" s="1"/>
  <c r="AH747" i="6" s="1"/>
  <c r="P745" i="6"/>
  <c r="R745" i="6" s="1"/>
  <c r="AH745" i="6" s="1"/>
  <c r="AJ747" i="6"/>
  <c r="N747" i="6"/>
  <c r="AK739" i="6"/>
  <c r="AL739" i="6" s="1"/>
  <c r="AK741" i="6"/>
  <c r="AM741" i="6" s="1"/>
  <c r="AA741" i="6"/>
  <c r="AC741" i="6" s="1"/>
  <c r="AK743" i="6"/>
  <c r="AM743" i="6" s="1"/>
  <c r="AA739" i="6"/>
  <c r="L746" i="6"/>
  <c r="L744" i="6"/>
  <c r="L742" i="6"/>
  <c r="K747" i="6"/>
  <c r="M750" i="6" s="1"/>
  <c r="AO750" i="6" s="1"/>
  <c r="K749" i="6"/>
  <c r="M752" i="6" s="1"/>
  <c r="AO752" i="6" s="1"/>
  <c r="K745" i="6"/>
  <c r="M748" i="6" s="1"/>
  <c r="AO748" i="6" s="1"/>
  <c r="AF735" i="6"/>
  <c r="AL738" i="6"/>
  <c r="AM738" i="6"/>
  <c r="AG733" i="6"/>
  <c r="P730" i="11" s="1"/>
  <c r="AM736" i="6"/>
  <c r="AL736" i="6"/>
  <c r="AB738" i="6"/>
  <c r="AC738" i="6"/>
  <c r="AF733" i="6"/>
  <c r="AG735" i="6"/>
  <c r="P732" i="11" s="1"/>
  <c r="AB736" i="6"/>
  <c r="AC736" i="6"/>
  <c r="F748" i="6"/>
  <c r="AI748" i="6"/>
  <c r="AI752" i="6"/>
  <c r="F752" i="6"/>
  <c r="AI750" i="6"/>
  <c r="F750" i="6"/>
  <c r="R734" i="11" l="1"/>
  <c r="AP747" i="6"/>
  <c r="AP751" i="6"/>
  <c r="AP749" i="6"/>
  <c r="Q730" i="11"/>
  <c r="R730" i="11" s="1"/>
  <c r="Q737" i="11"/>
  <c r="R737" i="11" s="1"/>
  <c r="Q732" i="11"/>
  <c r="R732" i="11" s="1"/>
  <c r="AC743" i="6"/>
  <c r="AG743" i="6" s="1"/>
  <c r="P740" i="11" s="1"/>
  <c r="AB743" i="6"/>
  <c r="AF743" i="6" s="1"/>
  <c r="AA746" i="6"/>
  <c r="AC746" i="6" s="1"/>
  <c r="AA742" i="6"/>
  <c r="AB742" i="6" s="1"/>
  <c r="A748" i="6"/>
  <c r="A750" i="6"/>
  <c r="A752" i="6"/>
  <c r="P748" i="6"/>
  <c r="R748" i="6" s="1"/>
  <c r="AH748" i="6" s="1"/>
  <c r="AD747" i="6"/>
  <c r="N752" i="6"/>
  <c r="AD749" i="6"/>
  <c r="AE747" i="6"/>
  <c r="AE749" i="6"/>
  <c r="AE745" i="6"/>
  <c r="AJ752" i="6"/>
  <c r="AL741" i="6"/>
  <c r="P752" i="6"/>
  <c r="R752" i="6" s="1"/>
  <c r="AH752" i="6" s="1"/>
  <c r="AD745" i="6"/>
  <c r="AM739" i="6"/>
  <c r="AJ748" i="6"/>
  <c r="N750" i="6"/>
  <c r="N748" i="6"/>
  <c r="P750" i="6"/>
  <c r="R750" i="6" s="1"/>
  <c r="AH750" i="6" s="1"/>
  <c r="AJ750" i="6"/>
  <c r="AK746" i="6"/>
  <c r="AM746" i="6" s="1"/>
  <c r="AK742" i="6"/>
  <c r="AL742" i="6" s="1"/>
  <c r="AG741" i="6"/>
  <c r="AL743" i="6"/>
  <c r="AB741" i="6"/>
  <c r="AA744" i="6"/>
  <c r="AC739" i="6"/>
  <c r="AK744" i="6"/>
  <c r="AM744" i="6" s="1"/>
  <c r="AB739" i="6"/>
  <c r="L745" i="6"/>
  <c r="L747" i="6"/>
  <c r="L749" i="6"/>
  <c r="K752" i="6"/>
  <c r="M755" i="6" s="1"/>
  <c r="AO755" i="6" s="1"/>
  <c r="K748" i="6"/>
  <c r="M751" i="6" s="1"/>
  <c r="AO751" i="6" s="1"/>
  <c r="K750" i="6"/>
  <c r="M753" i="6" s="1"/>
  <c r="AO753" i="6" s="1"/>
  <c r="AF738" i="6"/>
  <c r="AF736" i="6"/>
  <c r="AG738" i="6"/>
  <c r="P735" i="11" s="1"/>
  <c r="AG736" i="6"/>
  <c r="P733" i="11" s="1"/>
  <c r="AI755" i="6"/>
  <c r="F755" i="6"/>
  <c r="AI751" i="6"/>
  <c r="F751" i="6"/>
  <c r="AI753" i="6"/>
  <c r="F753" i="6"/>
  <c r="AP750" i="6" l="1"/>
  <c r="AP752" i="6"/>
  <c r="AP754" i="6"/>
  <c r="Q740" i="11"/>
  <c r="R740" i="11" s="1"/>
  <c r="Q733" i="11"/>
  <c r="R733" i="11" s="1"/>
  <c r="Q735" i="11"/>
  <c r="R735" i="11" s="1"/>
  <c r="AG746" i="6"/>
  <c r="P743" i="11" s="1"/>
  <c r="AF742" i="6"/>
  <c r="AB746" i="6"/>
  <c r="AF746" i="6" s="1"/>
  <c r="AC742" i="6"/>
  <c r="AG742" i="6" s="1"/>
  <c r="P739" i="11" s="1"/>
  <c r="AA749" i="6"/>
  <c r="AA747" i="6"/>
  <c r="AB747" i="6" s="1"/>
  <c r="AA745" i="6"/>
  <c r="AC745" i="6" s="1"/>
  <c r="A751" i="6"/>
  <c r="A755" i="6"/>
  <c r="A753" i="6"/>
  <c r="P738" i="11"/>
  <c r="AD748" i="6"/>
  <c r="AE748" i="6"/>
  <c r="AE750" i="6"/>
  <c r="AD752" i="6"/>
  <c r="AE752" i="6"/>
  <c r="AL746" i="6"/>
  <c r="P755" i="6"/>
  <c r="R755" i="6" s="1"/>
  <c r="AH755" i="6" s="1"/>
  <c r="N755" i="6"/>
  <c r="AD750" i="6"/>
  <c r="P753" i="6"/>
  <c r="R753" i="6" s="1"/>
  <c r="AH753" i="6" s="1"/>
  <c r="P751" i="6"/>
  <c r="R751" i="6" s="1"/>
  <c r="AH751" i="6" s="1"/>
  <c r="AJ753" i="6"/>
  <c r="AJ751" i="6"/>
  <c r="AJ755" i="6"/>
  <c r="N753" i="6"/>
  <c r="N751" i="6"/>
  <c r="AK749" i="6"/>
  <c r="AM749" i="6" s="1"/>
  <c r="AM742" i="6"/>
  <c r="AC744" i="6"/>
  <c r="AF741" i="6"/>
  <c r="AB744" i="6"/>
  <c r="AK745" i="6"/>
  <c r="AL745" i="6" s="1"/>
  <c r="AL744" i="6"/>
  <c r="AG739" i="6"/>
  <c r="P736" i="11" s="1"/>
  <c r="AK747" i="6"/>
  <c r="AM747" i="6" s="1"/>
  <c r="AF739" i="6"/>
  <c r="L748" i="6"/>
  <c r="K751" i="6"/>
  <c r="M754" i="6" s="1"/>
  <c r="AO754" i="6" s="1"/>
  <c r="K755" i="6"/>
  <c r="M758" i="6" s="1"/>
  <c r="AO758" i="6" s="1"/>
  <c r="K753" i="6"/>
  <c r="M756" i="6" s="1"/>
  <c r="AO756" i="6" s="1"/>
  <c r="L750" i="6"/>
  <c r="L752" i="6"/>
  <c r="AI754" i="6"/>
  <c r="F754" i="6"/>
  <c r="AI758" i="6"/>
  <c r="F758" i="6"/>
  <c r="AI756" i="6"/>
  <c r="F756" i="6"/>
  <c r="AP753" i="6" l="1"/>
  <c r="AP757" i="6"/>
  <c r="AP755" i="6"/>
  <c r="Q743" i="11"/>
  <c r="R743" i="11" s="1"/>
  <c r="Q739" i="11"/>
  <c r="R739" i="11" s="1"/>
  <c r="Q738" i="11"/>
  <c r="R738" i="11" s="1"/>
  <c r="Q736" i="11"/>
  <c r="R736" i="11" s="1"/>
  <c r="AC749" i="6"/>
  <c r="AG749" i="6" s="1"/>
  <c r="P746" i="11" s="1"/>
  <c r="AG745" i="6"/>
  <c r="P742" i="11" s="1"/>
  <c r="AB749" i="6"/>
  <c r="AB745" i="6"/>
  <c r="AF745" i="6" s="1"/>
  <c r="AF747" i="6"/>
  <c r="AC747" i="6"/>
  <c r="AG747" i="6" s="1"/>
  <c r="P744" i="11" s="1"/>
  <c r="A754" i="6"/>
  <c r="A758" i="6"/>
  <c r="A756" i="6"/>
  <c r="AD755" i="6"/>
  <c r="AJ758" i="6"/>
  <c r="AE755" i="6"/>
  <c r="AE753" i="6"/>
  <c r="AE751" i="6"/>
  <c r="AD753" i="6"/>
  <c r="AD751" i="6"/>
  <c r="N754" i="6"/>
  <c r="P754" i="6"/>
  <c r="R754" i="6" s="1"/>
  <c r="AH754" i="6" s="1"/>
  <c r="AJ754" i="6"/>
  <c r="N756" i="6"/>
  <c r="N758" i="6"/>
  <c r="AL749" i="6"/>
  <c r="AJ756" i="6"/>
  <c r="P756" i="6"/>
  <c r="R756" i="6" s="1"/>
  <c r="AH756" i="6" s="1"/>
  <c r="P758" i="6"/>
  <c r="R758" i="6" s="1"/>
  <c r="AH758" i="6" s="1"/>
  <c r="AK748" i="6"/>
  <c r="AM748" i="6" s="1"/>
  <c r="AG744" i="6"/>
  <c r="P741" i="11" s="1"/>
  <c r="AM745" i="6"/>
  <c r="AL747" i="6"/>
  <c r="AF744" i="6"/>
  <c r="AA748" i="6"/>
  <c r="L753" i="6"/>
  <c r="L751" i="6"/>
  <c r="L755" i="6"/>
  <c r="K754" i="6"/>
  <c r="M757" i="6" s="1"/>
  <c r="AO757" i="6" s="1"/>
  <c r="K758" i="6"/>
  <c r="M761" i="6" s="1"/>
  <c r="AO761" i="6" s="1"/>
  <c r="K756" i="6"/>
  <c r="M759" i="6" s="1"/>
  <c r="AO759" i="6" s="1"/>
  <c r="AK752" i="6"/>
  <c r="AA752" i="6"/>
  <c r="AK750" i="6"/>
  <c r="AA750" i="6"/>
  <c r="AI759" i="6"/>
  <c r="F759" i="6"/>
  <c r="AI757" i="6"/>
  <c r="F757" i="6"/>
  <c r="AI761" i="6"/>
  <c r="F761" i="6"/>
  <c r="AP756" i="6" l="1"/>
  <c r="AP758" i="6"/>
  <c r="AP760" i="6"/>
  <c r="Q742" i="11"/>
  <c r="R742" i="11" s="1"/>
  <c r="Q741" i="11"/>
  <c r="R741" i="11" s="1"/>
  <c r="Q744" i="11"/>
  <c r="R744" i="11" s="1"/>
  <c r="AF749" i="6"/>
  <c r="AA755" i="6"/>
  <c r="AA751" i="6"/>
  <c r="AB751" i="6" s="1"/>
  <c r="AF751" i="6" s="1"/>
  <c r="A759" i="6"/>
  <c r="A757" i="6"/>
  <c r="A761" i="6"/>
  <c r="AL748" i="6"/>
  <c r="AD756" i="6"/>
  <c r="AE756" i="6"/>
  <c r="AJ757" i="6"/>
  <c r="N761" i="6"/>
  <c r="AE754" i="6"/>
  <c r="AJ761" i="6"/>
  <c r="AD754" i="6"/>
  <c r="P761" i="6"/>
  <c r="R761" i="6" s="1"/>
  <c r="AH761" i="6" s="1"/>
  <c r="AE758" i="6"/>
  <c r="AD758" i="6"/>
  <c r="AJ759" i="6"/>
  <c r="P757" i="6"/>
  <c r="R757" i="6" s="1"/>
  <c r="AH757" i="6" s="1"/>
  <c r="P759" i="6"/>
  <c r="R759" i="6" s="1"/>
  <c r="AH759" i="6" s="1"/>
  <c r="N757" i="6"/>
  <c r="N759" i="6"/>
  <c r="AK755" i="6"/>
  <c r="AL755" i="6" s="1"/>
  <c r="AK753" i="6"/>
  <c r="AM753" i="6" s="1"/>
  <c r="AA753" i="6"/>
  <c r="AB753" i="6" s="1"/>
  <c r="AF753" i="6" s="1"/>
  <c r="AK751" i="6"/>
  <c r="AL751" i="6" s="1"/>
  <c r="AC748" i="6"/>
  <c r="AB748" i="6"/>
  <c r="L758" i="6"/>
  <c r="L756" i="6"/>
  <c r="L754" i="6"/>
  <c r="K757" i="6"/>
  <c r="M760" i="6" s="1"/>
  <c r="AO760" i="6" s="1"/>
  <c r="K761" i="6"/>
  <c r="M764" i="6" s="1"/>
  <c r="AO764" i="6" s="1"/>
  <c r="K759" i="6"/>
  <c r="M762" i="6" s="1"/>
  <c r="AO762" i="6" s="1"/>
  <c r="AM750" i="6"/>
  <c r="AL750" i="6"/>
  <c r="AL752" i="6"/>
  <c r="AM752" i="6"/>
  <c r="AB750" i="6"/>
  <c r="AC750" i="6"/>
  <c r="AC752" i="6"/>
  <c r="AB752" i="6"/>
  <c r="AI764" i="6"/>
  <c r="F764" i="6"/>
  <c r="AI762" i="6"/>
  <c r="F762" i="6"/>
  <c r="AI760" i="6"/>
  <c r="F760" i="6"/>
  <c r="AP759" i="6" l="1"/>
  <c r="AP763" i="6"/>
  <c r="AP761" i="6"/>
  <c r="Q748" i="11"/>
  <c r="Q746" i="11"/>
  <c r="R746" i="11" s="1"/>
  <c r="Q750" i="11"/>
  <c r="AC755" i="6"/>
  <c r="AB755" i="6"/>
  <c r="AC751" i="6"/>
  <c r="AG751" i="6" s="1"/>
  <c r="P748" i="11" s="1"/>
  <c r="AA756" i="6"/>
  <c r="AA758" i="6"/>
  <c r="AB758" i="6" s="1"/>
  <c r="AF758" i="6" s="1"/>
  <c r="AA754" i="6"/>
  <c r="AC754" i="6" s="1"/>
  <c r="AG754" i="6" s="1"/>
  <c r="P751" i="11" s="1"/>
  <c r="A760" i="6"/>
  <c r="A762" i="6"/>
  <c r="A764" i="6"/>
  <c r="AC753" i="6"/>
  <c r="AE761" i="6"/>
  <c r="AE757" i="6"/>
  <c r="P760" i="6"/>
  <c r="R760" i="6" s="1"/>
  <c r="AH760" i="6" s="1"/>
  <c r="AD757" i="6"/>
  <c r="N760" i="6"/>
  <c r="AD761" i="6"/>
  <c r="AJ762" i="6"/>
  <c r="AE759" i="6"/>
  <c r="AJ760" i="6"/>
  <c r="N762" i="6"/>
  <c r="AD759" i="6"/>
  <c r="P762" i="6"/>
  <c r="R762" i="6" s="1"/>
  <c r="AH762" i="6" s="1"/>
  <c r="AJ764" i="6"/>
  <c r="N764" i="6"/>
  <c r="P764" i="6"/>
  <c r="R764" i="6" s="1"/>
  <c r="AH764" i="6" s="1"/>
  <c r="AM755" i="6"/>
  <c r="AL753" i="6"/>
  <c r="AM751" i="6"/>
  <c r="AK754" i="6"/>
  <c r="AL754" i="6" s="1"/>
  <c r="AK758" i="6"/>
  <c r="AM758" i="6" s="1"/>
  <c r="AF748" i="6"/>
  <c r="AG748" i="6"/>
  <c r="P745" i="11" s="1"/>
  <c r="AK756" i="6"/>
  <c r="AM756" i="6" s="1"/>
  <c r="L761" i="6"/>
  <c r="L759" i="6"/>
  <c r="L757" i="6"/>
  <c r="K764" i="6"/>
  <c r="M767" i="6" s="1"/>
  <c r="AO767" i="6" s="1"/>
  <c r="K760" i="6"/>
  <c r="M763" i="6" s="1"/>
  <c r="AO763" i="6" s="1"/>
  <c r="K762" i="6"/>
  <c r="M765" i="6" s="1"/>
  <c r="AO765" i="6" s="1"/>
  <c r="AG750" i="6"/>
  <c r="P747" i="11" s="1"/>
  <c r="AF750" i="6"/>
  <c r="AF752" i="6"/>
  <c r="AG752" i="6"/>
  <c r="P749" i="11" s="1"/>
  <c r="AI763" i="6"/>
  <c r="F763" i="6"/>
  <c r="AI767" i="6"/>
  <c r="F767" i="6"/>
  <c r="AI765" i="6"/>
  <c r="F765" i="6"/>
  <c r="R748" i="11" l="1"/>
  <c r="AP764" i="6"/>
  <c r="AP762" i="6"/>
  <c r="AP766" i="6"/>
  <c r="Q747" i="11"/>
  <c r="R747" i="11" s="1"/>
  <c r="Q755" i="11"/>
  <c r="Q745" i="11"/>
  <c r="R745" i="11" s="1"/>
  <c r="Q749" i="11"/>
  <c r="R749" i="11" s="1"/>
  <c r="AC758" i="6"/>
  <c r="AG758" i="6" s="1"/>
  <c r="P755" i="11" s="1"/>
  <c r="AF755" i="6"/>
  <c r="AG755" i="6"/>
  <c r="AB754" i="6"/>
  <c r="AF754" i="6" s="1"/>
  <c r="AC756" i="6"/>
  <c r="AG756" i="6" s="1"/>
  <c r="P753" i="11" s="1"/>
  <c r="AB756" i="6"/>
  <c r="AF756" i="6" s="1"/>
  <c r="AA761" i="6"/>
  <c r="AA757" i="6"/>
  <c r="AA759" i="6"/>
  <c r="AB759" i="6" s="1"/>
  <c r="AF759" i="6" s="1"/>
  <c r="A767" i="6"/>
  <c r="A765" i="6"/>
  <c r="A763" i="6"/>
  <c r="AG753" i="6"/>
  <c r="P750" i="11" s="1"/>
  <c r="R750" i="11" s="1"/>
  <c r="AD760" i="6"/>
  <c r="AE760" i="6"/>
  <c r="N767" i="6"/>
  <c r="AE762" i="6"/>
  <c r="AD762" i="6"/>
  <c r="AD764" i="6"/>
  <c r="P765" i="6"/>
  <c r="R765" i="6" s="1"/>
  <c r="AH765" i="6" s="1"/>
  <c r="N765" i="6"/>
  <c r="P767" i="6"/>
  <c r="R767" i="6" s="1"/>
  <c r="AH767" i="6" s="1"/>
  <c r="AE764" i="6"/>
  <c r="AJ767" i="6"/>
  <c r="AJ765" i="6"/>
  <c r="N763" i="6"/>
  <c r="AJ763" i="6"/>
  <c r="P763" i="6"/>
  <c r="R763" i="6" s="1"/>
  <c r="AH763" i="6" s="1"/>
  <c r="AM754" i="6"/>
  <c r="AK757" i="6"/>
  <c r="AL757" i="6" s="1"/>
  <c r="AL758" i="6"/>
  <c r="AL756" i="6"/>
  <c r="L762" i="6"/>
  <c r="AK761" i="6"/>
  <c r="AM761" i="6" s="1"/>
  <c r="AK759" i="6"/>
  <c r="AM759" i="6" s="1"/>
  <c r="L764" i="6"/>
  <c r="L760" i="6"/>
  <c r="K765" i="6"/>
  <c r="M768" i="6" s="1"/>
  <c r="AO768" i="6" s="1"/>
  <c r="K767" i="6"/>
  <c r="M770" i="6" s="1"/>
  <c r="AO770" i="6" s="1"/>
  <c r="K763" i="6"/>
  <c r="M766" i="6" s="1"/>
  <c r="AO766" i="6" s="1"/>
  <c r="AI768" i="6"/>
  <c r="F768" i="6"/>
  <c r="AI766" i="6"/>
  <c r="F766" i="6"/>
  <c r="AI770" i="6"/>
  <c r="F770" i="6"/>
  <c r="R755" i="11" l="1"/>
  <c r="AP765" i="6"/>
  <c r="AP769" i="6"/>
  <c r="AP767" i="6"/>
  <c r="Q753" i="11"/>
  <c r="R753" i="11" s="1"/>
  <c r="Q752" i="11"/>
  <c r="Q751" i="11"/>
  <c r="R751" i="11" s="1"/>
  <c r="Q756" i="11"/>
  <c r="P752" i="11"/>
  <c r="AB757" i="6"/>
  <c r="AF757" i="6" s="1"/>
  <c r="AB761" i="6"/>
  <c r="AF761" i="6" s="1"/>
  <c r="AC757" i="6"/>
  <c r="AC761" i="6"/>
  <c r="AG761" i="6" s="1"/>
  <c r="P758" i="11" s="1"/>
  <c r="AC759" i="6"/>
  <c r="AG759" i="6" s="1"/>
  <c r="P756" i="11" s="1"/>
  <c r="AA760" i="6"/>
  <c r="AC760" i="6" s="1"/>
  <c r="AK764" i="6"/>
  <c r="AL764" i="6" s="1"/>
  <c r="AK762" i="6"/>
  <c r="AM762" i="6" s="1"/>
  <c r="A768" i="6"/>
  <c r="A766" i="6"/>
  <c r="A770" i="6"/>
  <c r="AD767" i="6"/>
  <c r="AE767" i="6"/>
  <c r="AE765" i="6"/>
  <c r="N766" i="6"/>
  <c r="AJ766" i="6"/>
  <c r="AD765" i="6"/>
  <c r="P766" i="6"/>
  <c r="R766" i="6" s="1"/>
  <c r="AH766" i="6" s="1"/>
  <c r="N770" i="6"/>
  <c r="AD763" i="6"/>
  <c r="AJ770" i="6"/>
  <c r="AE763" i="6"/>
  <c r="AJ768" i="6"/>
  <c r="P770" i="6"/>
  <c r="R770" i="6" s="1"/>
  <c r="AH770" i="6" s="1"/>
  <c r="P768" i="6"/>
  <c r="R768" i="6" s="1"/>
  <c r="AH768" i="6" s="1"/>
  <c r="N768" i="6"/>
  <c r="AM757" i="6"/>
  <c r="AA764" i="6"/>
  <c r="AC764" i="6" s="1"/>
  <c r="AG764" i="6" s="1"/>
  <c r="P761" i="11" s="1"/>
  <c r="AL761" i="6"/>
  <c r="AA762" i="6"/>
  <c r="AL759" i="6"/>
  <c r="AK760" i="6"/>
  <c r="AL760" i="6" s="1"/>
  <c r="L763" i="6"/>
  <c r="L765" i="6"/>
  <c r="L767" i="6"/>
  <c r="K770" i="6"/>
  <c r="M773" i="6" s="1"/>
  <c r="AO773" i="6" s="1"/>
  <c r="K766" i="6"/>
  <c r="M769" i="6" s="1"/>
  <c r="AO769" i="6" s="1"/>
  <c r="K768" i="6"/>
  <c r="M771" i="6" s="1"/>
  <c r="AO771" i="6" s="1"/>
  <c r="F773" i="6"/>
  <c r="AI773" i="6"/>
  <c r="F769" i="6"/>
  <c r="AI769" i="6"/>
  <c r="AI771" i="6"/>
  <c r="F771" i="6"/>
  <c r="R752" i="11" l="1"/>
  <c r="R756" i="11"/>
  <c r="AP770" i="6"/>
  <c r="AP768" i="6"/>
  <c r="AP772" i="6"/>
  <c r="Q754" i="11"/>
  <c r="Q758" i="11"/>
  <c r="R758" i="11" s="1"/>
  <c r="AG760" i="6"/>
  <c r="P757" i="11" s="1"/>
  <c r="AL762" i="6"/>
  <c r="AG757" i="6"/>
  <c r="P754" i="11" s="1"/>
  <c r="AB760" i="6"/>
  <c r="AF760" i="6" s="1"/>
  <c r="AM764" i="6"/>
  <c r="AA765" i="6"/>
  <c r="AB765" i="6" s="1"/>
  <c r="AF765" i="6" s="1"/>
  <c r="AA763" i="6"/>
  <c r="AC763" i="6" s="1"/>
  <c r="AG763" i="6" s="1"/>
  <c r="P760" i="11" s="1"/>
  <c r="AA767" i="6"/>
  <c r="AB767" i="6" s="1"/>
  <c r="AF767" i="6" s="1"/>
  <c r="A769" i="6"/>
  <c r="A771" i="6"/>
  <c r="A773" i="6"/>
  <c r="AE770" i="6"/>
  <c r="AB764" i="6"/>
  <c r="AF764" i="6" s="1"/>
  <c r="AC762" i="6"/>
  <c r="AG762" i="6" s="1"/>
  <c r="AB762" i="6"/>
  <c r="AF762" i="6" s="1"/>
  <c r="AD766" i="6"/>
  <c r="AJ773" i="6"/>
  <c r="AE766" i="6"/>
  <c r="N771" i="6"/>
  <c r="P771" i="6"/>
  <c r="R771" i="6" s="1"/>
  <c r="AH771" i="6" s="1"/>
  <c r="AE768" i="6"/>
  <c r="AJ771" i="6"/>
  <c r="AD770" i="6"/>
  <c r="N773" i="6"/>
  <c r="P773" i="6"/>
  <c r="R773" i="6" s="1"/>
  <c r="AH773" i="6" s="1"/>
  <c r="AD768" i="6"/>
  <c r="P769" i="6"/>
  <c r="R769" i="6" s="1"/>
  <c r="AH769" i="6" s="1"/>
  <c r="N769" i="6"/>
  <c r="AJ769" i="6"/>
  <c r="AM760" i="6"/>
  <c r="AK767" i="6"/>
  <c r="AL767" i="6" s="1"/>
  <c r="L766" i="6"/>
  <c r="AK763" i="6"/>
  <c r="AM763" i="6" s="1"/>
  <c r="AK765" i="6"/>
  <c r="AM765" i="6" s="1"/>
  <c r="L768" i="6"/>
  <c r="L770" i="6"/>
  <c r="K771" i="6"/>
  <c r="M774" i="6" s="1"/>
  <c r="AO774" i="6" s="1"/>
  <c r="K773" i="6"/>
  <c r="M776" i="6" s="1"/>
  <c r="AO776" i="6" s="1"/>
  <c r="K769" i="6"/>
  <c r="M772" i="6" s="1"/>
  <c r="AO772" i="6" s="1"/>
  <c r="AI774" i="6"/>
  <c r="F774" i="6"/>
  <c r="F772" i="6"/>
  <c r="AI772" i="6"/>
  <c r="F776" i="6"/>
  <c r="AI776" i="6"/>
  <c r="R754" i="11" l="1"/>
  <c r="AP771" i="6"/>
  <c r="AP775" i="6"/>
  <c r="AP773" i="6"/>
  <c r="Q764" i="11"/>
  <c r="Q762" i="11"/>
  <c r="Q759" i="11"/>
  <c r="Q757" i="11"/>
  <c r="R757" i="11" s="1"/>
  <c r="Q761" i="11"/>
  <c r="R761" i="11" s="1"/>
  <c r="AC765" i="6"/>
  <c r="AG765" i="6" s="1"/>
  <c r="P762" i="11" s="1"/>
  <c r="AC767" i="6"/>
  <c r="AB763" i="6"/>
  <c r="AK770" i="6"/>
  <c r="AL770" i="6" s="1"/>
  <c r="AA768" i="6"/>
  <c r="AC768" i="6" s="1"/>
  <c r="AA766" i="6"/>
  <c r="A772" i="6"/>
  <c r="A776" i="6"/>
  <c r="A774" i="6"/>
  <c r="P759" i="11"/>
  <c r="AE771" i="6"/>
  <c r="AD771" i="6"/>
  <c r="AE769" i="6"/>
  <c r="AE773" i="6"/>
  <c r="AD773" i="6"/>
  <c r="AD769" i="6"/>
  <c r="N772" i="6"/>
  <c r="N776" i="6"/>
  <c r="AJ772" i="6"/>
  <c r="AJ776" i="6"/>
  <c r="P774" i="6"/>
  <c r="R774" i="6" s="1"/>
  <c r="AH774" i="6" s="1"/>
  <c r="P772" i="6"/>
  <c r="R772" i="6" s="1"/>
  <c r="AH772" i="6" s="1"/>
  <c r="P776" i="6"/>
  <c r="R776" i="6" s="1"/>
  <c r="AH776" i="6" s="1"/>
  <c r="N774" i="6"/>
  <c r="AJ774" i="6"/>
  <c r="AM767" i="6"/>
  <c r="AL765" i="6"/>
  <c r="AL763" i="6"/>
  <c r="AK766" i="6"/>
  <c r="AL766" i="6" s="1"/>
  <c r="AK768" i="6"/>
  <c r="AM768" i="6" s="1"/>
  <c r="AA770" i="6"/>
  <c r="L773" i="6"/>
  <c r="K774" i="6"/>
  <c r="M777" i="6" s="1"/>
  <c r="AO777" i="6" s="1"/>
  <c r="K772" i="6"/>
  <c r="M775" i="6" s="1"/>
  <c r="AO775" i="6" s="1"/>
  <c r="K776" i="6"/>
  <c r="M779" i="6" s="1"/>
  <c r="AO779" i="6" s="1"/>
  <c r="L769" i="6"/>
  <c r="L771" i="6"/>
  <c r="F775" i="6"/>
  <c r="AI775" i="6"/>
  <c r="AI779" i="6"/>
  <c r="F779" i="6"/>
  <c r="AI777" i="6"/>
  <c r="F777" i="6"/>
  <c r="R759" i="11" l="1"/>
  <c r="R762" i="11"/>
  <c r="AP778" i="6"/>
  <c r="AP774" i="6"/>
  <c r="AP776" i="6"/>
  <c r="AG767" i="6"/>
  <c r="P764" i="11" s="1"/>
  <c r="R764" i="11" s="1"/>
  <c r="AG768" i="6"/>
  <c r="P765" i="11" s="1"/>
  <c r="AM770" i="6"/>
  <c r="AF763" i="6"/>
  <c r="AB768" i="6"/>
  <c r="AB766" i="6"/>
  <c r="AF766" i="6" s="1"/>
  <c r="AC766" i="6"/>
  <c r="AG766" i="6" s="1"/>
  <c r="P763" i="11" s="1"/>
  <c r="AA773" i="6"/>
  <c r="AB773" i="6" s="1"/>
  <c r="AF773" i="6" s="1"/>
  <c r="A777" i="6"/>
  <c r="A775" i="6"/>
  <c r="A779" i="6"/>
  <c r="AL768" i="6"/>
  <c r="AE774" i="6"/>
  <c r="AE772" i="6"/>
  <c r="AJ779" i="6"/>
  <c r="AE776" i="6"/>
  <c r="AD772" i="6"/>
  <c r="P779" i="6"/>
  <c r="R779" i="6" s="1"/>
  <c r="AH779" i="6" s="1"/>
  <c r="AJ777" i="6"/>
  <c r="AD774" i="6"/>
  <c r="AD776" i="6"/>
  <c r="P775" i="6"/>
  <c r="R775" i="6" s="1"/>
  <c r="AH775" i="6" s="1"/>
  <c r="AJ775" i="6"/>
  <c r="N777" i="6"/>
  <c r="N775" i="6"/>
  <c r="P777" i="6"/>
  <c r="R777" i="6" s="1"/>
  <c r="AH777" i="6" s="1"/>
  <c r="N779" i="6"/>
  <c r="AM766" i="6"/>
  <c r="AK773" i="6"/>
  <c r="AL773" i="6" s="1"/>
  <c r="L774" i="6"/>
  <c r="L776" i="6"/>
  <c r="L772" i="6"/>
  <c r="AC770" i="6"/>
  <c r="AB770" i="6"/>
  <c r="K777" i="6"/>
  <c r="M780" i="6" s="1"/>
  <c r="AO780" i="6" s="1"/>
  <c r="K775" i="6"/>
  <c r="M778" i="6" s="1"/>
  <c r="AO778" i="6" s="1"/>
  <c r="K779" i="6"/>
  <c r="M782" i="6" s="1"/>
  <c r="AO782" i="6" s="1"/>
  <c r="AK771" i="6"/>
  <c r="AA771" i="6"/>
  <c r="AK769" i="6"/>
  <c r="AA769" i="6"/>
  <c r="AI780" i="6"/>
  <c r="F780" i="6"/>
  <c r="AI782" i="6"/>
  <c r="F782" i="6"/>
  <c r="AI778" i="6"/>
  <c r="F778" i="6"/>
  <c r="AP781" i="6" l="1"/>
  <c r="AP777" i="6"/>
  <c r="AP779" i="6"/>
  <c r="Q770" i="11"/>
  <c r="Q760" i="11"/>
  <c r="R760" i="11" s="1"/>
  <c r="Q763" i="11"/>
  <c r="R763" i="11" s="1"/>
  <c r="AC773" i="6"/>
  <c r="AF768" i="6"/>
  <c r="AA772" i="6"/>
  <c r="AK776" i="6"/>
  <c r="AL776" i="6" s="1"/>
  <c r="AA774" i="6"/>
  <c r="AC774" i="6" s="1"/>
  <c r="AG774" i="6" s="1"/>
  <c r="P771" i="11" s="1"/>
  <c r="A780" i="6"/>
  <c r="A782" i="6"/>
  <c r="A778" i="6"/>
  <c r="N778" i="6"/>
  <c r="AD777" i="6"/>
  <c r="N780" i="6"/>
  <c r="AD775" i="6"/>
  <c r="AE779" i="6"/>
  <c r="AD779" i="6"/>
  <c r="AE775" i="6"/>
  <c r="AE777" i="6"/>
  <c r="AJ778" i="6"/>
  <c r="P782" i="6"/>
  <c r="R782" i="6" s="1"/>
  <c r="AH782" i="6" s="1"/>
  <c r="N782" i="6"/>
  <c r="AJ782" i="6"/>
  <c r="P780" i="6"/>
  <c r="R780" i="6" s="1"/>
  <c r="AH780" i="6" s="1"/>
  <c r="P778" i="6"/>
  <c r="R778" i="6" s="1"/>
  <c r="AH778" i="6" s="1"/>
  <c r="AJ780" i="6"/>
  <c r="AA776" i="6"/>
  <c r="AC776" i="6" s="1"/>
  <c r="AG776" i="6" s="1"/>
  <c r="P773" i="11" s="1"/>
  <c r="AK772" i="6"/>
  <c r="AL772" i="6" s="1"/>
  <c r="AM773" i="6"/>
  <c r="AK774" i="6"/>
  <c r="AL774" i="6" s="1"/>
  <c r="L775" i="6"/>
  <c r="AF770" i="6"/>
  <c r="AG770" i="6"/>
  <c r="P767" i="11" s="1"/>
  <c r="K782" i="6"/>
  <c r="M785" i="6" s="1"/>
  <c r="AO785" i="6" s="1"/>
  <c r="K778" i="6"/>
  <c r="M781" i="6" s="1"/>
  <c r="AO781" i="6" s="1"/>
  <c r="K780" i="6"/>
  <c r="M783" i="6" s="1"/>
  <c r="AO783" i="6" s="1"/>
  <c r="AM769" i="6"/>
  <c r="AL769" i="6"/>
  <c r="AL771" i="6"/>
  <c r="AM771" i="6"/>
  <c r="L779" i="6"/>
  <c r="L777" i="6"/>
  <c r="AC769" i="6"/>
  <c r="AB769" i="6"/>
  <c r="AB771" i="6"/>
  <c r="AC771" i="6"/>
  <c r="AI781" i="6"/>
  <c r="F781" i="6"/>
  <c r="AI785" i="6"/>
  <c r="F785" i="6"/>
  <c r="F783" i="6"/>
  <c r="AI783" i="6"/>
  <c r="AP782" i="6" l="1"/>
  <c r="AP784" i="6"/>
  <c r="AP780" i="6"/>
  <c r="Q765" i="11"/>
  <c r="R765" i="11" s="1"/>
  <c r="Q767" i="11"/>
  <c r="R767" i="11" s="1"/>
  <c r="AC772" i="6"/>
  <c r="AG772" i="6" s="1"/>
  <c r="P769" i="11" s="1"/>
  <c r="AB772" i="6"/>
  <c r="AF772" i="6" s="1"/>
  <c r="AG773" i="6"/>
  <c r="P770" i="11" s="1"/>
  <c r="R770" i="11" s="1"/>
  <c r="AM776" i="6"/>
  <c r="AB774" i="6"/>
  <c r="AF774" i="6" s="1"/>
  <c r="AA775" i="6"/>
  <c r="AC775" i="6" s="1"/>
  <c r="A785" i="6"/>
  <c r="A783" i="6"/>
  <c r="A781" i="6"/>
  <c r="AJ785" i="6"/>
  <c r="P781" i="6"/>
  <c r="R781" i="6" s="1"/>
  <c r="AH781" i="6" s="1"/>
  <c r="AE780" i="6"/>
  <c r="P785" i="6"/>
  <c r="R785" i="6" s="1"/>
  <c r="AH785" i="6" s="1"/>
  <c r="AJ783" i="6"/>
  <c r="AE778" i="6"/>
  <c r="AD778" i="6"/>
  <c r="AD782" i="6"/>
  <c r="AE782" i="6"/>
  <c r="N781" i="6"/>
  <c r="AD780" i="6"/>
  <c r="N785" i="6"/>
  <c r="AJ781" i="6"/>
  <c r="N783" i="6"/>
  <c r="P783" i="6"/>
  <c r="R783" i="6" s="1"/>
  <c r="AH783" i="6" s="1"/>
  <c r="AM772" i="6"/>
  <c r="AB776" i="6"/>
  <c r="AK775" i="6"/>
  <c r="AL775" i="6" s="1"/>
  <c r="AM774" i="6"/>
  <c r="L780" i="6"/>
  <c r="L782" i="6"/>
  <c r="L778" i="6"/>
  <c r="K783" i="6"/>
  <c r="M786" i="6" s="1"/>
  <c r="AO786" i="6" s="1"/>
  <c r="K781" i="6"/>
  <c r="M784" i="6" s="1"/>
  <c r="AO784" i="6" s="1"/>
  <c r="K785" i="6"/>
  <c r="M788" i="6" s="1"/>
  <c r="AO788" i="6" s="1"/>
  <c r="AF771" i="6"/>
  <c r="AF769" i="6"/>
  <c r="AG771" i="6"/>
  <c r="P768" i="11" s="1"/>
  <c r="AK777" i="6"/>
  <c r="AA777" i="6"/>
  <c r="AG769" i="6"/>
  <c r="P766" i="11" s="1"/>
  <c r="AK779" i="6"/>
  <c r="AA779" i="6"/>
  <c r="AI788" i="6"/>
  <c r="F788" i="6"/>
  <c r="F786" i="6"/>
  <c r="AI786" i="6"/>
  <c r="AI784" i="6"/>
  <c r="F784" i="6"/>
  <c r="AP787" i="6" l="1"/>
  <c r="AP783" i="6"/>
  <c r="AP785" i="6"/>
  <c r="Q766" i="11"/>
  <c r="R766" i="11" s="1"/>
  <c r="Q769" i="11"/>
  <c r="R769" i="11" s="1"/>
  <c r="Q771" i="11"/>
  <c r="R771" i="11" s="1"/>
  <c r="Q768" i="11"/>
  <c r="R768" i="11" s="1"/>
  <c r="AG775" i="6"/>
  <c r="P772" i="11" s="1"/>
  <c r="AB775" i="6"/>
  <c r="AF775" i="6" s="1"/>
  <c r="AA778" i="6"/>
  <c r="AA782" i="6"/>
  <c r="AA780" i="6"/>
  <c r="AC780" i="6" s="1"/>
  <c r="AG780" i="6" s="1"/>
  <c r="P777" i="11" s="1"/>
  <c r="A784" i="6"/>
  <c r="A788" i="6"/>
  <c r="A786" i="6"/>
  <c r="AD781" i="6"/>
  <c r="AD785" i="6"/>
  <c r="AE785" i="6"/>
  <c r="AE781" i="6"/>
  <c r="P786" i="6"/>
  <c r="R786" i="6" s="1"/>
  <c r="AH786" i="6" s="1"/>
  <c r="N786" i="6"/>
  <c r="AJ786" i="6"/>
  <c r="P788" i="6"/>
  <c r="R788" i="6" s="1"/>
  <c r="AH788" i="6" s="1"/>
  <c r="N788" i="6"/>
  <c r="AD783" i="6"/>
  <c r="P784" i="6"/>
  <c r="R784" i="6" s="1"/>
  <c r="AH784" i="6" s="1"/>
  <c r="AE783" i="6"/>
  <c r="AJ784" i="6"/>
  <c r="N784" i="6"/>
  <c r="AJ788" i="6"/>
  <c r="AM775" i="6"/>
  <c r="AK778" i="6"/>
  <c r="AL778" i="6" s="1"/>
  <c r="AF776" i="6"/>
  <c r="AK780" i="6"/>
  <c r="AL780" i="6" s="1"/>
  <c r="L781" i="6"/>
  <c r="AK782" i="6"/>
  <c r="AM782" i="6" s="1"/>
  <c r="K784" i="6"/>
  <c r="M787" i="6" s="1"/>
  <c r="AO787" i="6" s="1"/>
  <c r="K788" i="6"/>
  <c r="M791" i="6" s="1"/>
  <c r="AO791" i="6" s="1"/>
  <c r="K786" i="6"/>
  <c r="M789" i="6" s="1"/>
  <c r="AO789" i="6" s="1"/>
  <c r="AC779" i="6"/>
  <c r="AB779" i="6"/>
  <c r="AM777" i="6"/>
  <c r="AL777" i="6"/>
  <c r="AM779" i="6"/>
  <c r="AL779" i="6"/>
  <c r="L785" i="6"/>
  <c r="L783" i="6"/>
  <c r="AB777" i="6"/>
  <c r="AC777" i="6"/>
  <c r="AI787" i="6"/>
  <c r="F787" i="6"/>
  <c r="AI789" i="6"/>
  <c r="F789" i="6"/>
  <c r="AI791" i="6"/>
  <c r="F791" i="6"/>
  <c r="AP788" i="6" l="1"/>
  <c r="AP790" i="6"/>
  <c r="AP786" i="6"/>
  <c r="Q772" i="11"/>
  <c r="R772" i="11" s="1"/>
  <c r="Q773" i="11"/>
  <c r="R773" i="11" s="1"/>
  <c r="AB782" i="6"/>
  <c r="AF782" i="6" s="1"/>
  <c r="AC778" i="6"/>
  <c r="AB778" i="6"/>
  <c r="AF778" i="6" s="1"/>
  <c r="AB780" i="6"/>
  <c r="AF780" i="6" s="1"/>
  <c r="AC782" i="6"/>
  <c r="AA781" i="6"/>
  <c r="A787" i="6"/>
  <c r="A789" i="6"/>
  <c r="A791" i="6"/>
  <c r="AD788" i="6"/>
  <c r="AD786" i="6"/>
  <c r="AE786" i="6"/>
  <c r="AE788" i="6"/>
  <c r="N787" i="6"/>
  <c r="AE784" i="6"/>
  <c r="AD784" i="6"/>
  <c r="P787" i="6"/>
  <c r="R787" i="6" s="1"/>
  <c r="AH787" i="6" s="1"/>
  <c r="AJ789" i="6"/>
  <c r="P789" i="6"/>
  <c r="R789" i="6" s="1"/>
  <c r="AH789" i="6" s="1"/>
  <c r="N789" i="6"/>
  <c r="N791" i="6"/>
  <c r="AJ787" i="6"/>
  <c r="P791" i="6"/>
  <c r="R791" i="6" s="1"/>
  <c r="AH791" i="6" s="1"/>
  <c r="AJ791" i="6"/>
  <c r="AM780" i="6"/>
  <c r="AM778" i="6"/>
  <c r="AK781" i="6"/>
  <c r="AL781" i="6" s="1"/>
  <c r="AL782" i="6"/>
  <c r="L788" i="6"/>
  <c r="K791" i="6"/>
  <c r="M794" i="6" s="1"/>
  <c r="AO794" i="6" s="1"/>
  <c r="K787" i="6"/>
  <c r="M790" i="6" s="1"/>
  <c r="AO790" i="6" s="1"/>
  <c r="K789" i="6"/>
  <c r="M792" i="6" s="1"/>
  <c r="AO792" i="6" s="1"/>
  <c r="AK783" i="6"/>
  <c r="AA783" i="6"/>
  <c r="AG779" i="6"/>
  <c r="P776" i="11" s="1"/>
  <c r="AF777" i="6"/>
  <c r="AK785" i="6"/>
  <c r="AA785" i="6"/>
  <c r="L786" i="6"/>
  <c r="L784" i="6"/>
  <c r="AG777" i="6"/>
  <c r="P774" i="11" s="1"/>
  <c r="AF779" i="6"/>
  <c r="AI794" i="6"/>
  <c r="F794" i="6"/>
  <c r="AI790" i="6"/>
  <c r="F790" i="6"/>
  <c r="AI792" i="6"/>
  <c r="F792" i="6"/>
  <c r="AP791" i="6" l="1"/>
  <c r="AP789" i="6"/>
  <c r="AP793" i="6"/>
  <c r="Q776" i="11"/>
  <c r="R776" i="11" s="1"/>
  <c r="Q774" i="11"/>
  <c r="R774" i="11" s="1"/>
  <c r="Q777" i="11"/>
  <c r="R777" i="11" s="1"/>
  <c r="Q779" i="11"/>
  <c r="Q775" i="11"/>
  <c r="AG778" i="6"/>
  <c r="P775" i="11" s="1"/>
  <c r="AB781" i="6"/>
  <c r="AF781" i="6" s="1"/>
  <c r="AG782" i="6"/>
  <c r="P779" i="11" s="1"/>
  <c r="AC781" i="6"/>
  <c r="AG781" i="6" s="1"/>
  <c r="P778" i="11" s="1"/>
  <c r="A794" i="6"/>
  <c r="A792" i="6"/>
  <c r="A790" i="6"/>
  <c r="AE787" i="6"/>
  <c r="AD789" i="6"/>
  <c r="AE791" i="6"/>
  <c r="AD791" i="6"/>
  <c r="AE789" i="6"/>
  <c r="P794" i="6"/>
  <c r="R794" i="6" s="1"/>
  <c r="AH794" i="6" s="1"/>
  <c r="AD787" i="6"/>
  <c r="AJ794" i="6"/>
  <c r="N792" i="6"/>
  <c r="N794" i="6"/>
  <c r="P792" i="6"/>
  <c r="R792" i="6" s="1"/>
  <c r="AH792" i="6" s="1"/>
  <c r="P790" i="6"/>
  <c r="R790" i="6" s="1"/>
  <c r="AH790" i="6" s="1"/>
  <c r="AJ792" i="6"/>
  <c r="N790" i="6"/>
  <c r="AJ790" i="6"/>
  <c r="AK788" i="6"/>
  <c r="AM788" i="6" s="1"/>
  <c r="AA788" i="6"/>
  <c r="AC788" i="6" s="1"/>
  <c r="AG788" i="6" s="1"/>
  <c r="P785" i="11" s="1"/>
  <c r="AM781" i="6"/>
  <c r="L789" i="6"/>
  <c r="L791" i="6"/>
  <c r="L787" i="6"/>
  <c r="K790" i="6"/>
  <c r="M793" i="6" s="1"/>
  <c r="AO793" i="6" s="1"/>
  <c r="K792" i="6"/>
  <c r="M795" i="6" s="1"/>
  <c r="AO795" i="6" s="1"/>
  <c r="K794" i="6"/>
  <c r="M797" i="6" s="1"/>
  <c r="AO797" i="6" s="1"/>
  <c r="AK786" i="6"/>
  <c r="AA786" i="6"/>
  <c r="AL783" i="6"/>
  <c r="AM783" i="6"/>
  <c r="AB783" i="6"/>
  <c r="AC783" i="6"/>
  <c r="AK784" i="6"/>
  <c r="AA784" i="6"/>
  <c r="AC785" i="6"/>
  <c r="AB785" i="6"/>
  <c r="AL785" i="6"/>
  <c r="AM785" i="6"/>
  <c r="AI797" i="6"/>
  <c r="F797" i="6"/>
  <c r="F795" i="6"/>
  <c r="AI795" i="6"/>
  <c r="AI793" i="6"/>
  <c r="F793" i="6"/>
  <c r="R779" i="11" l="1"/>
  <c r="R775" i="11"/>
  <c r="AP796" i="6"/>
  <c r="AP794" i="6"/>
  <c r="AP792" i="6"/>
  <c r="Q778" i="11"/>
  <c r="R778" i="11" s="1"/>
  <c r="AA787" i="6"/>
  <c r="AC787" i="6" s="1"/>
  <c r="AG787" i="6" s="1"/>
  <c r="P784" i="11" s="1"/>
  <c r="AA791" i="6"/>
  <c r="AK789" i="6"/>
  <c r="AL789" i="6" s="1"/>
  <c r="AD794" i="6"/>
  <c r="A795" i="6"/>
  <c r="A793" i="6"/>
  <c r="A797" i="6"/>
  <c r="AK787" i="6"/>
  <c r="AL787" i="6" s="1"/>
  <c r="AE792" i="6"/>
  <c r="AD792" i="6"/>
  <c r="AJ797" i="6"/>
  <c r="N797" i="6"/>
  <c r="AD790" i="6"/>
  <c r="AE794" i="6"/>
  <c r="AE790" i="6"/>
  <c r="AJ795" i="6"/>
  <c r="P793" i="6"/>
  <c r="R793" i="6" s="1"/>
  <c r="AH793" i="6" s="1"/>
  <c r="N793" i="6"/>
  <c r="AL788" i="6"/>
  <c r="P797" i="6"/>
  <c r="R797" i="6" s="1"/>
  <c r="AH797" i="6" s="1"/>
  <c r="N795" i="6"/>
  <c r="AJ793" i="6"/>
  <c r="P795" i="6"/>
  <c r="R795" i="6" s="1"/>
  <c r="AH795" i="6" s="1"/>
  <c r="AB788" i="6"/>
  <c r="AK791" i="6"/>
  <c r="AL791" i="6" s="1"/>
  <c r="AA789" i="6"/>
  <c r="L792" i="6"/>
  <c r="L794" i="6"/>
  <c r="L790" i="6"/>
  <c r="K793" i="6"/>
  <c r="M796" i="6" s="1"/>
  <c r="AO796" i="6" s="1"/>
  <c r="K797" i="6"/>
  <c r="M800" i="6" s="1"/>
  <c r="AO800" i="6" s="1"/>
  <c r="K795" i="6"/>
  <c r="M798" i="6" s="1"/>
  <c r="AO798" i="6" s="1"/>
  <c r="AB784" i="6"/>
  <c r="AC784" i="6"/>
  <c r="AG785" i="6"/>
  <c r="P782" i="11" s="1"/>
  <c r="AM784" i="6"/>
  <c r="AL784" i="6"/>
  <c r="AG783" i="6"/>
  <c r="P780" i="11" s="1"/>
  <c r="AF783" i="6"/>
  <c r="AM786" i="6"/>
  <c r="AL786" i="6"/>
  <c r="AF785" i="6"/>
  <c r="AC786" i="6"/>
  <c r="AB786" i="6"/>
  <c r="AI796" i="6"/>
  <c r="F796" i="6"/>
  <c r="F798" i="6"/>
  <c r="AI798" i="6"/>
  <c r="F800" i="6"/>
  <c r="AI800" i="6"/>
  <c r="AP797" i="6" l="1"/>
  <c r="AP799" i="6"/>
  <c r="AP795" i="6"/>
  <c r="Q780" i="11"/>
  <c r="R780" i="11" s="1"/>
  <c r="Q782" i="11"/>
  <c r="R782" i="11" s="1"/>
  <c r="AB791" i="6"/>
  <c r="AM789" i="6"/>
  <c r="AB787" i="6"/>
  <c r="AF787" i="6" s="1"/>
  <c r="AC791" i="6"/>
  <c r="AG791" i="6" s="1"/>
  <c r="P788" i="11" s="1"/>
  <c r="AK790" i="6"/>
  <c r="AM790" i="6" s="1"/>
  <c r="AA794" i="6"/>
  <c r="AB794" i="6" s="1"/>
  <c r="AF794" i="6" s="1"/>
  <c r="AA792" i="6"/>
  <c r="AB792" i="6" s="1"/>
  <c r="AF792" i="6" s="1"/>
  <c r="A800" i="6"/>
  <c r="A798" i="6"/>
  <c r="A796" i="6"/>
  <c r="AM787" i="6"/>
  <c r="AJ796" i="6"/>
  <c r="P796" i="6"/>
  <c r="R796" i="6" s="1"/>
  <c r="AH796" i="6" s="1"/>
  <c r="AE795" i="6"/>
  <c r="AD793" i="6"/>
  <c r="AD797" i="6"/>
  <c r="AE797" i="6"/>
  <c r="AE793" i="6"/>
  <c r="AJ798" i="6"/>
  <c r="AD795" i="6"/>
  <c r="N800" i="6"/>
  <c r="N798" i="6"/>
  <c r="P800" i="6"/>
  <c r="R800" i="6" s="1"/>
  <c r="AH800" i="6" s="1"/>
  <c r="P798" i="6"/>
  <c r="R798" i="6" s="1"/>
  <c r="AH798" i="6" s="1"/>
  <c r="AJ800" i="6"/>
  <c r="N796" i="6"/>
  <c r="AF788" i="6"/>
  <c r="AM791" i="6"/>
  <c r="AK792" i="6"/>
  <c r="AL792" i="6" s="1"/>
  <c r="AA790" i="6"/>
  <c r="AC790" i="6" s="1"/>
  <c r="AG790" i="6" s="1"/>
  <c r="P787" i="11" s="1"/>
  <c r="AB789" i="6"/>
  <c r="AF789" i="6" s="1"/>
  <c r="AK794" i="6"/>
  <c r="AL794" i="6" s="1"/>
  <c r="AC789" i="6"/>
  <c r="L797" i="6"/>
  <c r="K800" i="6"/>
  <c r="M803" i="6" s="1"/>
  <c r="AO803" i="6" s="1"/>
  <c r="K796" i="6"/>
  <c r="M799" i="6" s="1"/>
  <c r="AO799" i="6" s="1"/>
  <c r="K798" i="6"/>
  <c r="M801" i="6" s="1"/>
  <c r="AO801" i="6" s="1"/>
  <c r="AF784" i="6"/>
  <c r="L795" i="6"/>
  <c r="L793" i="6"/>
  <c r="AG786" i="6"/>
  <c r="P783" i="11" s="1"/>
  <c r="AF786" i="6"/>
  <c r="AG784" i="6"/>
  <c r="P781" i="11" s="1"/>
  <c r="AI801" i="6"/>
  <c r="F801" i="6"/>
  <c r="AI803" i="6"/>
  <c r="F803" i="6"/>
  <c r="AI799" i="6"/>
  <c r="F799" i="6"/>
  <c r="AP800" i="6" l="1"/>
  <c r="AP798" i="6"/>
  <c r="AP802" i="6"/>
  <c r="Q785" i="11"/>
  <c r="R785" i="11" s="1"/>
  <c r="Q791" i="11"/>
  <c r="Q784" i="11"/>
  <c r="R784" i="11" s="1"/>
  <c r="Q783" i="11"/>
  <c r="R783" i="11" s="1"/>
  <c r="Q789" i="11"/>
  <c r="Q781" i="11"/>
  <c r="R781" i="11" s="1"/>
  <c r="Q786" i="11"/>
  <c r="AC794" i="6"/>
  <c r="AG794" i="6" s="1"/>
  <c r="P791" i="11" s="1"/>
  <c r="AF791" i="6"/>
  <c r="AL790" i="6"/>
  <c r="AC792" i="6"/>
  <c r="AA797" i="6"/>
  <c r="A801" i="6"/>
  <c r="A803" i="6"/>
  <c r="A799" i="6"/>
  <c r="AJ803" i="6"/>
  <c r="P803" i="6"/>
  <c r="R803" i="6" s="1"/>
  <c r="AH803" i="6" s="1"/>
  <c r="AE796" i="6"/>
  <c r="AD800" i="6"/>
  <c r="AD796" i="6"/>
  <c r="N803" i="6"/>
  <c r="AE800" i="6"/>
  <c r="AE798" i="6"/>
  <c r="N801" i="6"/>
  <c r="P799" i="6"/>
  <c r="R799" i="6" s="1"/>
  <c r="AH799" i="6" s="1"/>
  <c r="P801" i="6"/>
  <c r="R801" i="6" s="1"/>
  <c r="AH801" i="6" s="1"/>
  <c r="N799" i="6"/>
  <c r="AJ801" i="6"/>
  <c r="AJ799" i="6"/>
  <c r="AD798" i="6"/>
  <c r="AM792" i="6"/>
  <c r="AB790" i="6"/>
  <c r="AK797" i="6"/>
  <c r="AM797" i="6" s="1"/>
  <c r="AM794" i="6"/>
  <c r="AG789" i="6"/>
  <c r="P786" i="11" s="1"/>
  <c r="L798" i="6"/>
  <c r="L800" i="6"/>
  <c r="L796" i="6"/>
  <c r="K803" i="6"/>
  <c r="M806" i="6" s="1"/>
  <c r="AO806" i="6" s="1"/>
  <c r="K799" i="6"/>
  <c r="M802" i="6" s="1"/>
  <c r="AO802" i="6" s="1"/>
  <c r="K801" i="6"/>
  <c r="M804" i="6" s="1"/>
  <c r="AO804" i="6" s="1"/>
  <c r="AK793" i="6"/>
  <c r="AA793" i="6"/>
  <c r="AK795" i="6"/>
  <c r="AA795" i="6"/>
  <c r="AI802" i="6"/>
  <c r="F802" i="6"/>
  <c r="AI804" i="6"/>
  <c r="F804" i="6"/>
  <c r="AI806" i="6"/>
  <c r="F806" i="6"/>
  <c r="R786" i="11" l="1"/>
  <c r="R791" i="11"/>
  <c r="AP803" i="6"/>
  <c r="AP801" i="6"/>
  <c r="AP805" i="6"/>
  <c r="Q788" i="11"/>
  <c r="R788" i="11" s="1"/>
  <c r="AG792" i="6"/>
  <c r="P789" i="11" s="1"/>
  <c r="R789" i="11" s="1"/>
  <c r="AB797" i="6"/>
  <c r="AC797" i="6"/>
  <c r="AG797" i="6" s="1"/>
  <c r="P794" i="11" s="1"/>
  <c r="AK796" i="6"/>
  <c r="AL796" i="6" s="1"/>
  <c r="A806" i="6"/>
  <c r="A802" i="6"/>
  <c r="A804" i="6"/>
  <c r="AD803" i="6"/>
  <c r="AD801" i="6"/>
  <c r="AE803" i="6"/>
  <c r="AE799" i="6"/>
  <c r="AD799" i="6"/>
  <c r="AE801" i="6"/>
  <c r="P804" i="6"/>
  <c r="R804" i="6" s="1"/>
  <c r="AH804" i="6" s="1"/>
  <c r="N806" i="6"/>
  <c r="N804" i="6"/>
  <c r="AJ804" i="6"/>
  <c r="AJ802" i="6"/>
  <c r="P806" i="6"/>
  <c r="R806" i="6" s="1"/>
  <c r="AH806" i="6" s="1"/>
  <c r="P802" i="6"/>
  <c r="R802" i="6" s="1"/>
  <c r="AH802" i="6" s="1"/>
  <c r="N802" i="6"/>
  <c r="AJ806" i="6"/>
  <c r="AL797" i="6"/>
  <c r="AA800" i="6"/>
  <c r="AB800" i="6" s="1"/>
  <c r="AK800" i="6"/>
  <c r="AL800" i="6" s="1"/>
  <c r="AA796" i="6"/>
  <c r="AC796" i="6" s="1"/>
  <c r="AG796" i="6" s="1"/>
  <c r="P793" i="11" s="1"/>
  <c r="AF790" i="6"/>
  <c r="AA798" i="6"/>
  <c r="AK798" i="6"/>
  <c r="AL798" i="6" s="1"/>
  <c r="L799" i="6"/>
  <c r="L801" i="6"/>
  <c r="L803" i="6"/>
  <c r="K804" i="6"/>
  <c r="M807" i="6" s="1"/>
  <c r="AO807" i="6" s="1"/>
  <c r="K802" i="6"/>
  <c r="M805" i="6" s="1"/>
  <c r="AO805" i="6" s="1"/>
  <c r="K806" i="6"/>
  <c r="M809" i="6" s="1"/>
  <c r="AO809" i="6" s="1"/>
  <c r="AB795" i="6"/>
  <c r="AC795" i="6"/>
  <c r="AM793" i="6"/>
  <c r="AL793" i="6"/>
  <c r="AM795" i="6"/>
  <c r="AL795" i="6"/>
  <c r="AB793" i="6"/>
  <c r="AC793" i="6"/>
  <c r="AI809" i="6"/>
  <c r="F809" i="6"/>
  <c r="AI805" i="6"/>
  <c r="F805" i="6"/>
  <c r="F807" i="6"/>
  <c r="AI807" i="6"/>
  <c r="AP808" i="6" l="1"/>
  <c r="AP804" i="6"/>
  <c r="AP806" i="6"/>
  <c r="Q787" i="11"/>
  <c r="R787" i="11" s="1"/>
  <c r="AM796" i="6"/>
  <c r="AF797" i="6"/>
  <c r="AK803" i="6"/>
  <c r="AM803" i="6" s="1"/>
  <c r="AA799" i="6"/>
  <c r="AB799" i="6" s="1"/>
  <c r="AF799" i="6" s="1"/>
  <c r="A809" i="6"/>
  <c r="A807" i="6"/>
  <c r="A805" i="6"/>
  <c r="AE806" i="6"/>
  <c r="AD804" i="6"/>
  <c r="AE802" i="6"/>
  <c r="AE804" i="6"/>
  <c r="AJ807" i="6"/>
  <c r="N809" i="6"/>
  <c r="AD802" i="6"/>
  <c r="P809" i="6"/>
  <c r="R809" i="6" s="1"/>
  <c r="AH809" i="6" s="1"/>
  <c r="P807" i="6"/>
  <c r="R807" i="6" s="1"/>
  <c r="AH807" i="6" s="1"/>
  <c r="AD806" i="6"/>
  <c r="N805" i="6"/>
  <c r="P805" i="6"/>
  <c r="R805" i="6" s="1"/>
  <c r="AH805" i="6" s="1"/>
  <c r="AJ809" i="6"/>
  <c r="N807" i="6"/>
  <c r="AJ805" i="6"/>
  <c r="AB796" i="6"/>
  <c r="AF796" i="6" s="1"/>
  <c r="AF800" i="6"/>
  <c r="AM800" i="6"/>
  <c r="AK799" i="6"/>
  <c r="AL799" i="6" s="1"/>
  <c r="AC800" i="6"/>
  <c r="AB798" i="6"/>
  <c r="AM798" i="6"/>
  <c r="AA803" i="6"/>
  <c r="AB803" i="6" s="1"/>
  <c r="AC798" i="6"/>
  <c r="AG798" i="6" s="1"/>
  <c r="AK801" i="6"/>
  <c r="AL801" i="6" s="1"/>
  <c r="AA801" i="6"/>
  <c r="AB801" i="6" s="1"/>
  <c r="AF801" i="6" s="1"/>
  <c r="L806" i="6"/>
  <c r="L804" i="6"/>
  <c r="L802" i="6"/>
  <c r="K809" i="6"/>
  <c r="M812" i="6" s="1"/>
  <c r="AO812" i="6" s="1"/>
  <c r="K805" i="6"/>
  <c r="M808" i="6" s="1"/>
  <c r="AO808" i="6" s="1"/>
  <c r="K807" i="6"/>
  <c r="M810" i="6" s="1"/>
  <c r="AO810" i="6" s="1"/>
  <c r="AG793" i="6"/>
  <c r="P790" i="11" s="1"/>
  <c r="AG795" i="6"/>
  <c r="P792" i="11" s="1"/>
  <c r="AF793" i="6"/>
  <c r="AF795" i="6"/>
  <c r="AI812" i="6"/>
  <c r="F812" i="6"/>
  <c r="AI810" i="6"/>
  <c r="F810" i="6"/>
  <c r="AI808" i="6"/>
  <c r="F808" i="6"/>
  <c r="AP809" i="6" l="1"/>
  <c r="AP807" i="6"/>
  <c r="AP811" i="6"/>
  <c r="Q798" i="11"/>
  <c r="Q790" i="11"/>
  <c r="R790" i="11" s="1"/>
  <c r="Q794" i="11"/>
  <c r="R794" i="11" s="1"/>
  <c r="Q792" i="11"/>
  <c r="R792" i="11" s="1"/>
  <c r="Q797" i="11"/>
  <c r="Q796" i="11"/>
  <c r="Q793" i="11"/>
  <c r="R793" i="11" s="1"/>
  <c r="AL803" i="6"/>
  <c r="AC799" i="6"/>
  <c r="AA804" i="6"/>
  <c r="AC804" i="6" s="1"/>
  <c r="AA806" i="6"/>
  <c r="AM799" i="6"/>
  <c r="A810" i="6"/>
  <c r="A812" i="6"/>
  <c r="A808" i="6"/>
  <c r="P795" i="11"/>
  <c r="AD805" i="6"/>
  <c r="AE805" i="6"/>
  <c r="AD809" i="6"/>
  <c r="AE807" i="6"/>
  <c r="AD807" i="6"/>
  <c r="AM801" i="6"/>
  <c r="AJ812" i="6"/>
  <c r="P812" i="6"/>
  <c r="R812" i="6" s="1"/>
  <c r="AH812" i="6" s="1"/>
  <c r="P810" i="6"/>
  <c r="R810" i="6" s="1"/>
  <c r="AH810" i="6" s="1"/>
  <c r="P808" i="6"/>
  <c r="R808" i="6" s="1"/>
  <c r="AH808" i="6" s="1"/>
  <c r="N808" i="6"/>
  <c r="AE809" i="6"/>
  <c r="N810" i="6"/>
  <c r="AJ808" i="6"/>
  <c r="N812" i="6"/>
  <c r="AJ810" i="6"/>
  <c r="AG800" i="6"/>
  <c r="P797" i="11" s="1"/>
  <c r="AK804" i="6"/>
  <c r="AM804" i="6" s="1"/>
  <c r="AF803" i="6"/>
  <c r="AF798" i="6"/>
  <c r="AK802" i="6"/>
  <c r="AM802" i="6" s="1"/>
  <c r="AC803" i="6"/>
  <c r="AK806" i="6"/>
  <c r="AM806" i="6" s="1"/>
  <c r="AA802" i="6"/>
  <c r="L805" i="6"/>
  <c r="AC801" i="6"/>
  <c r="K808" i="6"/>
  <c r="M811" i="6" s="1"/>
  <c r="AO811" i="6" s="1"/>
  <c r="K810" i="6"/>
  <c r="M813" i="6" s="1"/>
  <c r="AO813" i="6" s="1"/>
  <c r="K812" i="6"/>
  <c r="M815" i="6" s="1"/>
  <c r="AO815" i="6" s="1"/>
  <c r="L807" i="6"/>
  <c r="L809" i="6"/>
  <c r="AI811" i="6"/>
  <c r="F811" i="6"/>
  <c r="AI815" i="6"/>
  <c r="F815" i="6"/>
  <c r="AI813" i="6"/>
  <c r="F813" i="6"/>
  <c r="AB804" i="6" l="1"/>
  <c r="AF804" i="6" s="1"/>
  <c r="Q801" i="11" s="1"/>
  <c r="R797" i="11"/>
  <c r="AP812" i="6"/>
  <c r="AP810" i="6"/>
  <c r="AP814" i="6"/>
  <c r="Q800" i="11"/>
  <c r="Q795" i="11"/>
  <c r="R795" i="11" s="1"/>
  <c r="AG804" i="6"/>
  <c r="P801" i="11" s="1"/>
  <c r="AG799" i="6"/>
  <c r="P796" i="11" s="1"/>
  <c r="R796" i="11" s="1"/>
  <c r="AC806" i="6"/>
  <c r="AG806" i="6" s="1"/>
  <c r="P803" i="11" s="1"/>
  <c r="AB806" i="6"/>
  <c r="AF806" i="6" s="1"/>
  <c r="AA805" i="6"/>
  <c r="AB805" i="6" s="1"/>
  <c r="AF805" i="6" s="1"/>
  <c r="A811" i="6"/>
  <c r="A813" i="6"/>
  <c r="A815" i="6"/>
  <c r="AL804" i="6"/>
  <c r="AE808" i="6"/>
  <c r="AD808" i="6"/>
  <c r="N815" i="6"/>
  <c r="AJ811" i="6"/>
  <c r="P813" i="6"/>
  <c r="R813" i="6" s="1"/>
  <c r="AH813" i="6" s="1"/>
  <c r="AD812" i="6"/>
  <c r="AE812" i="6"/>
  <c r="AJ815" i="6"/>
  <c r="N811" i="6"/>
  <c r="P815" i="6"/>
  <c r="R815" i="6" s="1"/>
  <c r="AH815" i="6" s="1"/>
  <c r="N813" i="6"/>
  <c r="AJ813" i="6"/>
  <c r="AE810" i="6"/>
  <c r="P811" i="6"/>
  <c r="R811" i="6" s="1"/>
  <c r="AH811" i="6" s="1"/>
  <c r="AD810" i="6"/>
  <c r="AL802" i="6"/>
  <c r="AK805" i="6"/>
  <c r="AL805" i="6" s="1"/>
  <c r="AG803" i="6"/>
  <c r="P800" i="11" s="1"/>
  <c r="AL806" i="6"/>
  <c r="AG801" i="6"/>
  <c r="P798" i="11" s="1"/>
  <c r="R798" i="11" s="1"/>
  <c r="L810" i="6"/>
  <c r="AB802" i="6"/>
  <c r="AC802" i="6"/>
  <c r="K811" i="6"/>
  <c r="M814" i="6" s="1"/>
  <c r="AO814" i="6" s="1"/>
  <c r="K813" i="6"/>
  <c r="M816" i="6" s="1"/>
  <c r="AO816" i="6" s="1"/>
  <c r="K815" i="6"/>
  <c r="M818" i="6" s="1"/>
  <c r="AO818" i="6" s="1"/>
  <c r="AK809" i="6"/>
  <c r="AA809" i="6"/>
  <c r="AK807" i="6"/>
  <c r="AA807" i="6"/>
  <c r="L812" i="6"/>
  <c r="L808" i="6"/>
  <c r="F816" i="6"/>
  <c r="AI816" i="6"/>
  <c r="AI814" i="6"/>
  <c r="F814" i="6"/>
  <c r="AI818" i="6"/>
  <c r="F818" i="6"/>
  <c r="R800" i="11" l="1"/>
  <c r="R801" i="11"/>
  <c r="AP813" i="6"/>
  <c r="AP815" i="6"/>
  <c r="AP817" i="6"/>
  <c r="Q802" i="11"/>
  <c r="Q803" i="11"/>
  <c r="R803" i="11" s="1"/>
  <c r="AC805" i="6"/>
  <c r="AA810" i="6"/>
  <c r="AC810" i="6" s="1"/>
  <c r="AG810" i="6" s="1"/>
  <c r="P807" i="11" s="1"/>
  <c r="A816" i="6"/>
  <c r="A814" i="6"/>
  <c r="A818" i="6"/>
  <c r="AD815" i="6"/>
  <c r="AE813" i="6"/>
  <c r="AD813" i="6"/>
  <c r="AJ818" i="6"/>
  <c r="AE815" i="6"/>
  <c r="AE811" i="6"/>
  <c r="AM805" i="6"/>
  <c r="P816" i="6"/>
  <c r="R816" i="6" s="1"/>
  <c r="AH816" i="6" s="1"/>
  <c r="AD811" i="6"/>
  <c r="N816" i="6"/>
  <c r="N814" i="6"/>
  <c r="AJ814" i="6"/>
  <c r="N818" i="6"/>
  <c r="P818" i="6"/>
  <c r="R818" i="6" s="1"/>
  <c r="AH818" i="6" s="1"/>
  <c r="P814" i="6"/>
  <c r="R814" i="6" s="1"/>
  <c r="AH814" i="6" s="1"/>
  <c r="AJ816" i="6"/>
  <c r="AK810" i="6"/>
  <c r="AL810" i="6" s="1"/>
  <c r="AF802" i="6"/>
  <c r="AG802" i="6"/>
  <c r="P799" i="11" s="1"/>
  <c r="L813" i="6"/>
  <c r="K818" i="6"/>
  <c r="M821" i="6" s="1"/>
  <c r="AO821" i="6" s="1"/>
  <c r="K816" i="6"/>
  <c r="M819" i="6" s="1"/>
  <c r="AO819" i="6" s="1"/>
  <c r="K814" i="6"/>
  <c r="M817" i="6" s="1"/>
  <c r="AO817" i="6" s="1"/>
  <c r="AC807" i="6"/>
  <c r="AB807" i="6"/>
  <c r="AC809" i="6"/>
  <c r="AB809" i="6"/>
  <c r="AK808" i="6"/>
  <c r="AA808" i="6"/>
  <c r="AM807" i="6"/>
  <c r="AL807" i="6"/>
  <c r="L815" i="6"/>
  <c r="L811" i="6"/>
  <c r="AK812" i="6"/>
  <c r="AA812" i="6"/>
  <c r="AL809" i="6"/>
  <c r="AM809" i="6"/>
  <c r="AI821" i="6"/>
  <c r="F821" i="6"/>
  <c r="AI817" i="6"/>
  <c r="F817" i="6"/>
  <c r="AI819" i="6"/>
  <c r="F819" i="6"/>
  <c r="AP820" i="6" l="1"/>
  <c r="AP816" i="6"/>
  <c r="AP818" i="6"/>
  <c r="Q799" i="11"/>
  <c r="R799" i="11" s="1"/>
  <c r="AB810" i="6"/>
  <c r="AG805" i="6"/>
  <c r="P802" i="11" s="1"/>
  <c r="R802" i="11" s="1"/>
  <c r="AK813" i="6"/>
  <c r="AL813" i="6" s="1"/>
  <c r="A817" i="6"/>
  <c r="A819" i="6"/>
  <c r="A821" i="6"/>
  <c r="AE816" i="6"/>
  <c r="AD818" i="6"/>
  <c r="AD816" i="6"/>
  <c r="AD814" i="6"/>
  <c r="AE818" i="6"/>
  <c r="AE814" i="6"/>
  <c r="P817" i="6"/>
  <c r="R817" i="6" s="1"/>
  <c r="AH817" i="6" s="1"/>
  <c r="AJ821" i="6"/>
  <c r="AJ817" i="6"/>
  <c r="N819" i="6"/>
  <c r="AM810" i="6"/>
  <c r="P821" i="6"/>
  <c r="R821" i="6" s="1"/>
  <c r="AH821" i="6" s="1"/>
  <c r="N817" i="6"/>
  <c r="N821" i="6"/>
  <c r="P819" i="6"/>
  <c r="R819" i="6" s="1"/>
  <c r="AH819" i="6" s="1"/>
  <c r="AJ819" i="6"/>
  <c r="AA813" i="6"/>
  <c r="AB813" i="6" s="1"/>
  <c r="AF813" i="6" s="1"/>
  <c r="L816" i="6"/>
  <c r="L814" i="6"/>
  <c r="L818" i="6"/>
  <c r="K821" i="6"/>
  <c r="M824" i="6" s="1"/>
  <c r="AO824" i="6" s="1"/>
  <c r="K817" i="6"/>
  <c r="M820" i="6" s="1"/>
  <c r="AO820" i="6" s="1"/>
  <c r="K819" i="6"/>
  <c r="M822" i="6" s="1"/>
  <c r="AO822" i="6" s="1"/>
  <c r="AL808" i="6"/>
  <c r="AM808" i="6"/>
  <c r="AK811" i="6"/>
  <c r="AA811" i="6"/>
  <c r="AC808" i="6"/>
  <c r="AB808" i="6"/>
  <c r="AB812" i="6"/>
  <c r="AC812" i="6"/>
  <c r="AK815" i="6"/>
  <c r="AA815" i="6"/>
  <c r="AG807" i="6"/>
  <c r="P804" i="11" s="1"/>
  <c r="AF809" i="6"/>
  <c r="AM812" i="6"/>
  <c r="AL812" i="6"/>
  <c r="AG809" i="6"/>
  <c r="P806" i="11" s="1"/>
  <c r="AF807" i="6"/>
  <c r="AI824" i="6"/>
  <c r="F824" i="6"/>
  <c r="AI822" i="6"/>
  <c r="F822" i="6"/>
  <c r="AI820" i="6"/>
  <c r="F820" i="6"/>
  <c r="AP819" i="6" l="1"/>
  <c r="AP823" i="6"/>
  <c r="AP821" i="6"/>
  <c r="Q804" i="11"/>
  <c r="R804" i="11" s="1"/>
  <c r="Q806" i="11"/>
  <c r="R806" i="11" s="1"/>
  <c r="Q810" i="11"/>
  <c r="AF810" i="6"/>
  <c r="AM813" i="6"/>
  <c r="AA818" i="6"/>
  <c r="AB818" i="6" s="1"/>
  <c r="AF818" i="6" s="1"/>
  <c r="AK814" i="6"/>
  <c r="AL814" i="6" s="1"/>
  <c r="AA816" i="6"/>
  <c r="A820" i="6"/>
  <c r="A824" i="6"/>
  <c r="A822" i="6"/>
  <c r="P824" i="6"/>
  <c r="R824" i="6" s="1"/>
  <c r="AH824" i="6" s="1"/>
  <c r="AJ824" i="6"/>
  <c r="AE819" i="6"/>
  <c r="AD821" i="6"/>
  <c r="AE821" i="6"/>
  <c r="AE817" i="6"/>
  <c r="AD819" i="6"/>
  <c r="AD817" i="6"/>
  <c r="AJ822" i="6"/>
  <c r="AJ820" i="6"/>
  <c r="P822" i="6"/>
  <c r="R822" i="6" s="1"/>
  <c r="AH822" i="6" s="1"/>
  <c r="N824" i="6"/>
  <c r="N822" i="6"/>
  <c r="P820" i="6"/>
  <c r="R820" i="6" s="1"/>
  <c r="AH820" i="6" s="1"/>
  <c r="N820" i="6"/>
  <c r="AC813" i="6"/>
  <c r="AK818" i="6"/>
  <c r="AM818" i="6" s="1"/>
  <c r="AA814" i="6"/>
  <c r="AC814" i="6" s="1"/>
  <c r="L819" i="6"/>
  <c r="AK816" i="6"/>
  <c r="AM816" i="6" s="1"/>
  <c r="L821" i="6"/>
  <c r="L817" i="6"/>
  <c r="K820" i="6"/>
  <c r="M823" i="6" s="1"/>
  <c r="AO823" i="6" s="1"/>
  <c r="K824" i="6"/>
  <c r="M827" i="6" s="1"/>
  <c r="AO827" i="6" s="1"/>
  <c r="K822" i="6"/>
  <c r="M825" i="6" s="1"/>
  <c r="AO825" i="6" s="1"/>
  <c r="AG812" i="6"/>
  <c r="P809" i="11" s="1"/>
  <c r="AB811" i="6"/>
  <c r="AC811" i="6"/>
  <c r="AC815" i="6"/>
  <c r="AB815" i="6"/>
  <c r="AF812" i="6"/>
  <c r="AF808" i="6"/>
  <c r="AM811" i="6"/>
  <c r="AL811" i="6"/>
  <c r="AM815" i="6"/>
  <c r="AL815" i="6"/>
  <c r="AG808" i="6"/>
  <c r="P805" i="11" s="1"/>
  <c r="F823" i="6"/>
  <c r="AI823" i="6"/>
  <c r="AI827" i="6"/>
  <c r="F827" i="6"/>
  <c r="AI825" i="6"/>
  <c r="F825" i="6"/>
  <c r="AM814" i="6" l="1"/>
  <c r="AP826" i="6"/>
  <c r="AP822" i="6"/>
  <c r="AP824" i="6"/>
  <c r="Q807" i="11"/>
  <c r="R807" i="11" s="1"/>
  <c r="Q805" i="11"/>
  <c r="R805" i="11" s="1"/>
  <c r="Q815" i="11"/>
  <c r="Q809" i="11"/>
  <c r="R809" i="11" s="1"/>
  <c r="AC818" i="6"/>
  <c r="AC816" i="6"/>
  <c r="AG816" i="6" s="1"/>
  <c r="P813" i="11" s="1"/>
  <c r="AB816" i="6"/>
  <c r="AF816" i="6" s="1"/>
  <c r="AA819" i="6"/>
  <c r="AB819" i="6" s="1"/>
  <c r="AF819" i="6" s="1"/>
  <c r="A827" i="6"/>
  <c r="A823" i="6"/>
  <c r="A825" i="6"/>
  <c r="AE824" i="6"/>
  <c r="AL816" i="6"/>
  <c r="AD824" i="6"/>
  <c r="N827" i="6"/>
  <c r="N823" i="6"/>
  <c r="AD822" i="6"/>
  <c r="P825" i="6"/>
  <c r="R825" i="6" s="1"/>
  <c r="AH825" i="6" s="1"/>
  <c r="AE822" i="6"/>
  <c r="AJ825" i="6"/>
  <c r="AE820" i="6"/>
  <c r="N825" i="6"/>
  <c r="AJ827" i="6"/>
  <c r="P823" i="6"/>
  <c r="R823" i="6" s="1"/>
  <c r="AH823" i="6" s="1"/>
  <c r="P827" i="6"/>
  <c r="R827" i="6" s="1"/>
  <c r="AH827" i="6" s="1"/>
  <c r="AJ823" i="6"/>
  <c r="AD820" i="6"/>
  <c r="AK817" i="6"/>
  <c r="AM817" i="6" s="1"/>
  <c r="AG814" i="6"/>
  <c r="AL818" i="6"/>
  <c r="AK821" i="6"/>
  <c r="AL821" i="6" s="1"/>
  <c r="AG813" i="6"/>
  <c r="P810" i="11" s="1"/>
  <c r="R810" i="11" s="1"/>
  <c r="AK819" i="6"/>
  <c r="AM819" i="6" s="1"/>
  <c r="AB814" i="6"/>
  <c r="AA821" i="6"/>
  <c r="AA817" i="6"/>
  <c r="L824" i="6"/>
  <c r="K827" i="6"/>
  <c r="M830" i="6" s="1"/>
  <c r="AO830" i="6" s="1"/>
  <c r="K823" i="6"/>
  <c r="M826" i="6" s="1"/>
  <c r="AO826" i="6" s="1"/>
  <c r="K825" i="6"/>
  <c r="M828" i="6" s="1"/>
  <c r="AO828" i="6" s="1"/>
  <c r="AF815" i="6"/>
  <c r="AG815" i="6"/>
  <c r="P812" i="11" s="1"/>
  <c r="AG811" i="6"/>
  <c r="P808" i="11" s="1"/>
  <c r="L822" i="6"/>
  <c r="L820" i="6"/>
  <c r="AF811" i="6"/>
  <c r="F828" i="6"/>
  <c r="AI828" i="6"/>
  <c r="AI830" i="6"/>
  <c r="F830" i="6"/>
  <c r="AI826" i="6"/>
  <c r="F826" i="6"/>
  <c r="AP829" i="6" l="1"/>
  <c r="AP827" i="6"/>
  <c r="AP825" i="6"/>
  <c r="Q808" i="11"/>
  <c r="R808" i="11" s="1"/>
  <c r="Q812" i="11"/>
  <c r="R812" i="11" s="1"/>
  <c r="Q816" i="11"/>
  <c r="Q813" i="11"/>
  <c r="R813" i="11" s="1"/>
  <c r="AG818" i="6"/>
  <c r="P815" i="11" s="1"/>
  <c r="R815" i="11" s="1"/>
  <c r="AC819" i="6"/>
  <c r="AG819" i="6" s="1"/>
  <c r="P816" i="11" s="1"/>
  <c r="A826" i="6"/>
  <c r="A828" i="6"/>
  <c r="A830" i="6"/>
  <c r="P811" i="11"/>
  <c r="AD825" i="6"/>
  <c r="AE825" i="6"/>
  <c r="AL817" i="6"/>
  <c r="AD827" i="6"/>
  <c r="AJ826" i="6"/>
  <c r="AK824" i="6"/>
  <c r="AM824" i="6" s="1"/>
  <c r="P826" i="6"/>
  <c r="R826" i="6" s="1"/>
  <c r="AH826" i="6" s="1"/>
  <c r="AE827" i="6"/>
  <c r="AD823" i="6"/>
  <c r="N830" i="6"/>
  <c r="AJ830" i="6"/>
  <c r="AE823" i="6"/>
  <c r="N828" i="6"/>
  <c r="AJ828" i="6"/>
  <c r="P828" i="6"/>
  <c r="R828" i="6" s="1"/>
  <c r="AH828" i="6" s="1"/>
  <c r="P830" i="6"/>
  <c r="R830" i="6" s="1"/>
  <c r="AH830" i="6" s="1"/>
  <c r="N826" i="6"/>
  <c r="AL819" i="6"/>
  <c r="AM821" i="6"/>
  <c r="AF814" i="6"/>
  <c r="AA824" i="6"/>
  <c r="AC824" i="6" s="1"/>
  <c r="AB821" i="6"/>
  <c r="AC821" i="6"/>
  <c r="AB817" i="6"/>
  <c r="AC817" i="6"/>
  <c r="L825" i="6"/>
  <c r="L827" i="6"/>
  <c r="L823" i="6"/>
  <c r="K828" i="6"/>
  <c r="M831" i="6" s="1"/>
  <c r="AO831" i="6" s="1"/>
  <c r="K830" i="6"/>
  <c r="M833" i="6" s="1"/>
  <c r="AO833" i="6" s="1"/>
  <c r="K826" i="6"/>
  <c r="M829" i="6" s="1"/>
  <c r="AO829" i="6" s="1"/>
  <c r="AK822" i="6"/>
  <c r="AA822" i="6"/>
  <c r="AK820" i="6"/>
  <c r="AA820" i="6"/>
  <c r="AI829" i="6"/>
  <c r="F829" i="6"/>
  <c r="AI833" i="6"/>
  <c r="F833" i="6"/>
  <c r="AI831" i="6"/>
  <c r="F831" i="6"/>
  <c r="R816" i="11" l="1"/>
  <c r="AP828" i="6"/>
  <c r="AP832" i="6"/>
  <c r="AP830" i="6"/>
  <c r="Q811" i="11"/>
  <c r="R811" i="11" s="1"/>
  <c r="AK825" i="6"/>
  <c r="AM825" i="6" s="1"/>
  <c r="AA823" i="6"/>
  <c r="AB823" i="6" s="1"/>
  <c r="AF823" i="6" s="1"/>
  <c r="AA827" i="6"/>
  <c r="A833" i="6"/>
  <c r="A831" i="6"/>
  <c r="A829" i="6"/>
  <c r="AD826" i="6"/>
  <c r="AE826" i="6"/>
  <c r="AL824" i="6"/>
  <c r="AD828" i="6"/>
  <c r="AK827" i="6"/>
  <c r="AM827" i="6" s="1"/>
  <c r="AJ833" i="6"/>
  <c r="N829" i="6"/>
  <c r="P831" i="6"/>
  <c r="R831" i="6" s="1"/>
  <c r="AH831" i="6" s="1"/>
  <c r="AE828" i="6"/>
  <c r="AD830" i="6"/>
  <c r="P829" i="6"/>
  <c r="R829" i="6" s="1"/>
  <c r="AH829" i="6" s="1"/>
  <c r="P833" i="6"/>
  <c r="R833" i="6" s="1"/>
  <c r="AH833" i="6" s="1"/>
  <c r="N833" i="6"/>
  <c r="AE830" i="6"/>
  <c r="AJ831" i="6"/>
  <c r="AJ829" i="6"/>
  <c r="N831" i="6"/>
  <c r="AK823" i="6"/>
  <c r="AL823" i="6" s="1"/>
  <c r="AA825" i="6"/>
  <c r="AG821" i="6"/>
  <c r="P818" i="11" s="1"/>
  <c r="AG824" i="6"/>
  <c r="P821" i="11" s="1"/>
  <c r="AF821" i="6"/>
  <c r="AB824" i="6"/>
  <c r="AG817" i="6"/>
  <c r="P814" i="11" s="1"/>
  <c r="AF817" i="6"/>
  <c r="L830" i="6"/>
  <c r="K833" i="6"/>
  <c r="M836" i="6" s="1"/>
  <c r="AO836" i="6" s="1"/>
  <c r="K831" i="6"/>
  <c r="M834" i="6" s="1"/>
  <c r="AO834" i="6" s="1"/>
  <c r="K829" i="6"/>
  <c r="M832" i="6" s="1"/>
  <c r="AO832" i="6" s="1"/>
  <c r="AC820" i="6"/>
  <c r="AB820" i="6"/>
  <c r="AB822" i="6"/>
  <c r="AC822" i="6"/>
  <c r="L826" i="6"/>
  <c r="L828" i="6"/>
  <c r="AL820" i="6"/>
  <c r="AM820" i="6"/>
  <c r="AL822" i="6"/>
  <c r="AM822" i="6"/>
  <c r="AI834" i="6"/>
  <c r="F834" i="6"/>
  <c r="AI832" i="6"/>
  <c r="F832" i="6"/>
  <c r="AI836" i="6"/>
  <c r="F836" i="6"/>
  <c r="AP835" i="6" l="1"/>
  <c r="AP831" i="6"/>
  <c r="AP833" i="6"/>
  <c r="Q820" i="11"/>
  <c r="Q818" i="11"/>
  <c r="R818" i="11" s="1"/>
  <c r="Q814" i="11"/>
  <c r="R814" i="11" s="1"/>
  <c r="AB827" i="6"/>
  <c r="AF827" i="6" s="1"/>
  <c r="AC823" i="6"/>
  <c r="AG823" i="6" s="1"/>
  <c r="P820" i="11" s="1"/>
  <c r="R820" i="11" s="1"/>
  <c r="AL825" i="6"/>
  <c r="AC827" i="6"/>
  <c r="AK830" i="6"/>
  <c r="AM830" i="6" s="1"/>
  <c r="AM823" i="6"/>
  <c r="AL827" i="6"/>
  <c r="A836" i="6"/>
  <c r="A832" i="6"/>
  <c r="A834" i="6"/>
  <c r="AE831" i="6"/>
  <c r="AE829" i="6"/>
  <c r="AD831" i="6"/>
  <c r="AD829" i="6"/>
  <c r="AJ832" i="6"/>
  <c r="AE833" i="6"/>
  <c r="AJ836" i="6"/>
  <c r="N836" i="6"/>
  <c r="AD833" i="6"/>
  <c r="P836" i="6"/>
  <c r="R836" i="6" s="1"/>
  <c r="AH836" i="6" s="1"/>
  <c r="AJ834" i="6"/>
  <c r="N834" i="6"/>
  <c r="P832" i="6"/>
  <c r="R832" i="6" s="1"/>
  <c r="AH832" i="6" s="1"/>
  <c r="P834" i="6"/>
  <c r="R834" i="6" s="1"/>
  <c r="AH834" i="6" s="1"/>
  <c r="N832" i="6"/>
  <c r="AA830" i="6"/>
  <c r="AB830" i="6" s="1"/>
  <c r="AF830" i="6" s="1"/>
  <c r="AB825" i="6"/>
  <c r="AF825" i="6" s="1"/>
  <c r="AC825" i="6"/>
  <c r="AF824" i="6"/>
  <c r="L831" i="6"/>
  <c r="K834" i="6"/>
  <c r="M837" i="6" s="1"/>
  <c r="AO837" i="6" s="1"/>
  <c r="K832" i="6"/>
  <c r="M835" i="6" s="1"/>
  <c r="AO835" i="6" s="1"/>
  <c r="K836" i="6"/>
  <c r="M839" i="6" s="1"/>
  <c r="AO839" i="6" s="1"/>
  <c r="AG822" i="6"/>
  <c r="P819" i="11" s="1"/>
  <c r="AK826" i="6"/>
  <c r="AA826" i="6"/>
  <c r="AF822" i="6"/>
  <c r="AF820" i="6"/>
  <c r="AG820" i="6"/>
  <c r="P817" i="11" s="1"/>
  <c r="L829" i="6"/>
  <c r="L833" i="6"/>
  <c r="AK828" i="6"/>
  <c r="AA828" i="6"/>
  <c r="AI839" i="6"/>
  <c r="F839" i="6"/>
  <c r="AI837" i="6"/>
  <c r="F837" i="6"/>
  <c r="F835" i="6"/>
  <c r="AI835" i="6"/>
  <c r="AP834" i="6" l="1"/>
  <c r="AP838" i="6"/>
  <c r="AP836" i="6"/>
  <c r="Q817" i="11"/>
  <c r="R817" i="11" s="1"/>
  <c r="Q822" i="11"/>
  <c r="Q824" i="11"/>
  <c r="Q827" i="11"/>
  <c r="Q819" i="11"/>
  <c r="R819" i="11" s="1"/>
  <c r="Q821" i="11"/>
  <c r="R821" i="11" s="1"/>
  <c r="AL830" i="6"/>
  <c r="AG827" i="6"/>
  <c r="P824" i="11" s="1"/>
  <c r="AA831" i="6"/>
  <c r="AC831" i="6" s="1"/>
  <c r="A839" i="6"/>
  <c r="A837" i="6"/>
  <c r="A835" i="6"/>
  <c r="AD836" i="6"/>
  <c r="AE836" i="6"/>
  <c r="P835" i="6"/>
  <c r="R835" i="6" s="1"/>
  <c r="AH835" i="6" s="1"/>
  <c r="AJ835" i="6"/>
  <c r="AJ837" i="6"/>
  <c r="P839" i="6"/>
  <c r="R839" i="6" s="1"/>
  <c r="AH839" i="6" s="1"/>
  <c r="P837" i="6"/>
  <c r="R837" i="6" s="1"/>
  <c r="AH837" i="6" s="1"/>
  <c r="N837" i="6"/>
  <c r="N839" i="6"/>
  <c r="AC830" i="6"/>
  <c r="AD832" i="6"/>
  <c r="AE832" i="6"/>
  <c r="N835" i="6"/>
  <c r="AD834" i="6"/>
  <c r="AE834" i="6"/>
  <c r="AJ839" i="6"/>
  <c r="AG825" i="6"/>
  <c r="P822" i="11" s="1"/>
  <c r="AK831" i="6"/>
  <c r="AL831" i="6" s="1"/>
  <c r="L832" i="6"/>
  <c r="K835" i="6"/>
  <c r="M838" i="6" s="1"/>
  <c r="AO838" i="6" s="1"/>
  <c r="K839" i="6"/>
  <c r="M842" i="6" s="1"/>
  <c r="AO842" i="6" s="1"/>
  <c r="K837" i="6"/>
  <c r="M840" i="6" s="1"/>
  <c r="AO840" i="6" s="1"/>
  <c r="AL828" i="6"/>
  <c r="AM828" i="6"/>
  <c r="AK833" i="6"/>
  <c r="AA833" i="6"/>
  <c r="AB826" i="6"/>
  <c r="AC826" i="6"/>
  <c r="AB828" i="6"/>
  <c r="AC828" i="6"/>
  <c r="AK829" i="6"/>
  <c r="AA829" i="6"/>
  <c r="L836" i="6"/>
  <c r="L834" i="6"/>
  <c r="AL826" i="6"/>
  <c r="AM826" i="6"/>
  <c r="AI838" i="6"/>
  <c r="F838" i="6"/>
  <c r="AI842" i="6"/>
  <c r="F842" i="6"/>
  <c r="AI840" i="6"/>
  <c r="F840" i="6"/>
  <c r="R822" i="11" l="1"/>
  <c r="R824" i="11"/>
  <c r="AP839" i="6"/>
  <c r="AP841" i="6"/>
  <c r="AP837" i="6"/>
  <c r="AG831" i="6"/>
  <c r="P828" i="11" s="1"/>
  <c r="AB831" i="6"/>
  <c r="AE837" i="6"/>
  <c r="A840" i="6"/>
  <c r="A842" i="6"/>
  <c r="A838" i="6"/>
  <c r="AK832" i="6"/>
  <c r="AM832" i="6" s="1"/>
  <c r="AD839" i="6"/>
  <c r="AD835" i="6"/>
  <c r="AE835" i="6"/>
  <c r="AE839" i="6"/>
  <c r="AG830" i="6"/>
  <c r="P827" i="11" s="1"/>
  <c r="R827" i="11" s="1"/>
  <c r="AD837" i="6"/>
  <c r="AA832" i="6"/>
  <c r="P840" i="6"/>
  <c r="R840" i="6" s="1"/>
  <c r="AH840" i="6" s="1"/>
  <c r="AJ838" i="6"/>
  <c r="N842" i="6"/>
  <c r="AJ842" i="6"/>
  <c r="P838" i="6"/>
  <c r="R838" i="6" s="1"/>
  <c r="AH838" i="6" s="1"/>
  <c r="N840" i="6"/>
  <c r="P842" i="6"/>
  <c r="R842" i="6" s="1"/>
  <c r="AH842" i="6" s="1"/>
  <c r="N838" i="6"/>
  <c r="AJ840" i="6"/>
  <c r="AM831" i="6"/>
  <c r="L839" i="6"/>
  <c r="L837" i="6"/>
  <c r="L835" i="6"/>
  <c r="K840" i="6"/>
  <c r="M843" i="6" s="1"/>
  <c r="AO843" i="6" s="1"/>
  <c r="K842" i="6"/>
  <c r="M845" i="6" s="1"/>
  <c r="AO845" i="6" s="1"/>
  <c r="K838" i="6"/>
  <c r="M841" i="6" s="1"/>
  <c r="AO841" i="6" s="1"/>
  <c r="AM829" i="6"/>
  <c r="AL829" i="6"/>
  <c r="AC829" i="6"/>
  <c r="AB829" i="6"/>
  <c r="AF826" i="6"/>
  <c r="AF828" i="6"/>
  <c r="AC833" i="6"/>
  <c r="AB833" i="6"/>
  <c r="AK834" i="6"/>
  <c r="AA834" i="6"/>
  <c r="AG826" i="6"/>
  <c r="P823" i="11" s="1"/>
  <c r="AK836" i="6"/>
  <c r="AA836" i="6"/>
  <c r="AG828" i="6"/>
  <c r="P825" i="11" s="1"/>
  <c r="AM833" i="6"/>
  <c r="AL833" i="6"/>
  <c r="AI841" i="6"/>
  <c r="F841" i="6"/>
  <c r="AI843" i="6"/>
  <c r="F843" i="6"/>
  <c r="AI845" i="6"/>
  <c r="F845" i="6"/>
  <c r="AP844" i="6" l="1"/>
  <c r="AP842" i="6"/>
  <c r="AP840" i="6"/>
  <c r="Q825" i="11"/>
  <c r="R825" i="11" s="1"/>
  <c r="Q823" i="11"/>
  <c r="R823" i="11" s="1"/>
  <c r="AF831" i="6"/>
  <c r="AA835" i="6"/>
  <c r="AC835" i="6" s="1"/>
  <c r="AG835" i="6" s="1"/>
  <c r="P832" i="11" s="1"/>
  <c r="AA837" i="6"/>
  <c r="AB837" i="6" s="1"/>
  <c r="AA839" i="6"/>
  <c r="AB839" i="6" s="1"/>
  <c r="A843" i="6"/>
  <c r="A841" i="6"/>
  <c r="A845" i="6"/>
  <c r="AD840" i="6"/>
  <c r="AL832" i="6"/>
  <c r="AE838" i="6"/>
  <c r="AE840" i="6"/>
  <c r="AB832" i="6"/>
  <c r="AC832" i="6"/>
  <c r="AG832" i="6" s="1"/>
  <c r="P829" i="11" s="1"/>
  <c r="AJ843" i="6"/>
  <c r="N843" i="6"/>
  <c r="AJ841" i="6"/>
  <c r="P841" i="6"/>
  <c r="R841" i="6" s="1"/>
  <c r="AH841" i="6" s="1"/>
  <c r="N841" i="6"/>
  <c r="AD838" i="6"/>
  <c r="N845" i="6"/>
  <c r="AE842" i="6"/>
  <c r="P845" i="6"/>
  <c r="R845" i="6" s="1"/>
  <c r="AH845" i="6" s="1"/>
  <c r="AD842" i="6"/>
  <c r="AJ845" i="6"/>
  <c r="P843" i="6"/>
  <c r="R843" i="6" s="1"/>
  <c r="AH843" i="6" s="1"/>
  <c r="AK837" i="6"/>
  <c r="AM837" i="6" s="1"/>
  <c r="AK839" i="6"/>
  <c r="AM839" i="6" s="1"/>
  <c r="AK835" i="6"/>
  <c r="AM835" i="6" s="1"/>
  <c r="L842" i="6"/>
  <c r="K845" i="6"/>
  <c r="M848" i="6" s="1"/>
  <c r="AO848" i="6" s="1"/>
  <c r="K841" i="6"/>
  <c r="M844" i="6" s="1"/>
  <c r="AO844" i="6" s="1"/>
  <c r="K843" i="6"/>
  <c r="M846" i="6" s="1"/>
  <c r="AO846" i="6" s="1"/>
  <c r="AL836" i="6"/>
  <c r="AM836" i="6"/>
  <c r="AB834" i="6"/>
  <c r="AC834" i="6"/>
  <c r="AF833" i="6"/>
  <c r="AC836" i="6"/>
  <c r="AB836" i="6"/>
  <c r="AG833" i="6"/>
  <c r="P830" i="11" s="1"/>
  <c r="AF829" i="6"/>
  <c r="L838" i="6"/>
  <c r="L840" i="6"/>
  <c r="AL834" i="6"/>
  <c r="AM834" i="6"/>
  <c r="AG829" i="6"/>
  <c r="P826" i="11" s="1"/>
  <c r="AI844" i="6"/>
  <c r="F844" i="6"/>
  <c r="F848" i="6"/>
  <c r="AI848" i="6"/>
  <c r="AI846" i="6"/>
  <c r="F846" i="6"/>
  <c r="AP845" i="6" l="1"/>
  <c r="AP843" i="6"/>
  <c r="AP847" i="6"/>
  <c r="Q830" i="11"/>
  <c r="R830" i="11" s="1"/>
  <c r="Q828" i="11"/>
  <c r="R828" i="11" s="1"/>
  <c r="Q826" i="11"/>
  <c r="R826" i="11" s="1"/>
  <c r="AF837" i="6"/>
  <c r="AC837" i="6"/>
  <c r="AG837" i="6" s="1"/>
  <c r="P834" i="11" s="1"/>
  <c r="AF839" i="6"/>
  <c r="AB835" i="6"/>
  <c r="AF835" i="6" s="1"/>
  <c r="AC839" i="6"/>
  <c r="AG839" i="6" s="1"/>
  <c r="P836" i="11" s="1"/>
  <c r="AA842" i="6"/>
  <c r="AC842" i="6" s="1"/>
  <c r="AG842" i="6" s="1"/>
  <c r="P839" i="11" s="1"/>
  <c r="A848" i="6"/>
  <c r="A844" i="6"/>
  <c r="A846" i="6"/>
  <c r="AD845" i="6"/>
  <c r="AE841" i="6"/>
  <c r="AD843" i="6"/>
  <c r="AJ844" i="6"/>
  <c r="AD841" i="6"/>
  <c r="AF832" i="6"/>
  <c r="AJ846" i="6"/>
  <c r="N848" i="6"/>
  <c r="AJ848" i="6"/>
  <c r="AE845" i="6"/>
  <c r="N846" i="6"/>
  <c r="N844" i="6"/>
  <c r="P844" i="6"/>
  <c r="R844" i="6" s="1"/>
  <c r="AH844" i="6" s="1"/>
  <c r="AE843" i="6"/>
  <c r="P848" i="6"/>
  <c r="R848" i="6" s="1"/>
  <c r="AH848" i="6" s="1"/>
  <c r="P846" i="6"/>
  <c r="R846" i="6" s="1"/>
  <c r="AH846" i="6" s="1"/>
  <c r="AK842" i="6"/>
  <c r="AL842" i="6" s="1"/>
  <c r="AL837" i="6"/>
  <c r="AL839" i="6"/>
  <c r="AL835" i="6"/>
  <c r="L843" i="6"/>
  <c r="L845" i="6"/>
  <c r="L841" i="6"/>
  <c r="K846" i="6"/>
  <c r="M849" i="6" s="1"/>
  <c r="AO849" i="6" s="1"/>
  <c r="K844" i="6"/>
  <c r="M847" i="6" s="1"/>
  <c r="AO847" i="6" s="1"/>
  <c r="K848" i="6"/>
  <c r="M851" i="6" s="1"/>
  <c r="AO851" i="6" s="1"/>
  <c r="AF836" i="6"/>
  <c r="AK840" i="6"/>
  <c r="AA840" i="6"/>
  <c r="AK838" i="6"/>
  <c r="AA838" i="6"/>
  <c r="AF834" i="6"/>
  <c r="AG836" i="6"/>
  <c r="P833" i="11" s="1"/>
  <c r="AG834" i="6"/>
  <c r="P831" i="11" s="1"/>
  <c r="F849" i="6"/>
  <c r="AI849" i="6"/>
  <c r="AI851" i="6"/>
  <c r="F851" i="6"/>
  <c r="F847" i="6"/>
  <c r="AI847" i="6"/>
  <c r="AP850" i="6" l="1"/>
  <c r="AP846" i="6"/>
  <c r="AP848" i="6"/>
  <c r="Q832" i="11"/>
  <c r="R832" i="11" s="1"/>
  <c r="Q829" i="11"/>
  <c r="R829" i="11" s="1"/>
  <c r="Q834" i="11"/>
  <c r="R834" i="11" s="1"/>
  <c r="Q836" i="11"/>
  <c r="R836" i="11" s="1"/>
  <c r="Q831" i="11"/>
  <c r="R831" i="11" s="1"/>
  <c r="Q833" i="11"/>
  <c r="R833" i="11" s="1"/>
  <c r="AB842" i="6"/>
  <c r="AF842" i="6" s="1"/>
  <c r="AA841" i="6"/>
  <c r="AC841" i="6" s="1"/>
  <c r="AA845" i="6"/>
  <c r="AC845" i="6" s="1"/>
  <c r="AG845" i="6" s="1"/>
  <c r="P842" i="11" s="1"/>
  <c r="AA843" i="6"/>
  <c r="AB843" i="6" s="1"/>
  <c r="AF843" i="6" s="1"/>
  <c r="A847" i="6"/>
  <c r="A851" i="6"/>
  <c r="A849" i="6"/>
  <c r="AD844" i="6"/>
  <c r="AK843" i="6"/>
  <c r="AM843" i="6" s="1"/>
  <c r="AD846" i="6"/>
  <c r="AD848" i="6"/>
  <c r="AE844" i="6"/>
  <c r="N851" i="6"/>
  <c r="P851" i="6"/>
  <c r="R851" i="6" s="1"/>
  <c r="AH851" i="6" s="1"/>
  <c r="AE848" i="6"/>
  <c r="P849" i="6"/>
  <c r="R849" i="6" s="1"/>
  <c r="AH849" i="6" s="1"/>
  <c r="P847" i="6"/>
  <c r="R847" i="6" s="1"/>
  <c r="AH847" i="6" s="1"/>
  <c r="AJ849" i="6"/>
  <c r="AJ847" i="6"/>
  <c r="AE846" i="6"/>
  <c r="AJ851" i="6"/>
  <c r="N847" i="6"/>
  <c r="N849" i="6"/>
  <c r="AM842" i="6"/>
  <c r="AK845" i="6"/>
  <c r="AM845" i="6" s="1"/>
  <c r="AK841" i="6"/>
  <c r="AL841" i="6" s="1"/>
  <c r="L844" i="6"/>
  <c r="K849" i="6"/>
  <c r="M852" i="6" s="1"/>
  <c r="AO852" i="6" s="1"/>
  <c r="K851" i="6"/>
  <c r="M854" i="6" s="1"/>
  <c r="AO854" i="6" s="1"/>
  <c r="K847" i="6"/>
  <c r="M850" i="6" s="1"/>
  <c r="AO850" i="6" s="1"/>
  <c r="AC838" i="6"/>
  <c r="AB838" i="6"/>
  <c r="AL840" i="6"/>
  <c r="AM840" i="6"/>
  <c r="AM838" i="6"/>
  <c r="AL838" i="6"/>
  <c r="AB840" i="6"/>
  <c r="AC840" i="6"/>
  <c r="L848" i="6"/>
  <c r="L846" i="6"/>
  <c r="AI850" i="6"/>
  <c r="F850" i="6"/>
  <c r="AI854" i="6"/>
  <c r="F854" i="6"/>
  <c r="AI852" i="6"/>
  <c r="F852" i="6"/>
  <c r="AB845" i="6" l="1"/>
  <c r="AF845" i="6" s="1"/>
  <c r="Q842" i="11" s="1"/>
  <c r="R842" i="11" s="1"/>
  <c r="AP849" i="6"/>
  <c r="AP853" i="6"/>
  <c r="AP851" i="6"/>
  <c r="Q839" i="11"/>
  <c r="R839" i="11" s="1"/>
  <c r="Q840" i="11"/>
  <c r="AG841" i="6"/>
  <c r="P838" i="11" s="1"/>
  <c r="AB841" i="6"/>
  <c r="AF841" i="6" s="1"/>
  <c r="AC843" i="6"/>
  <c r="AG843" i="6" s="1"/>
  <c r="P840" i="11" s="1"/>
  <c r="AK844" i="6"/>
  <c r="AL844" i="6" s="1"/>
  <c r="A852" i="6"/>
  <c r="A850" i="6"/>
  <c r="A854" i="6"/>
  <c r="AL843" i="6"/>
  <c r="AM841" i="6"/>
  <c r="AE851" i="6"/>
  <c r="N852" i="6"/>
  <c r="P852" i="6"/>
  <c r="R852" i="6" s="1"/>
  <c r="AH852" i="6" s="1"/>
  <c r="AD851" i="6"/>
  <c r="AD847" i="6"/>
  <c r="AD849" i="6"/>
  <c r="AE847" i="6"/>
  <c r="AJ852" i="6"/>
  <c r="AE849" i="6"/>
  <c r="N850" i="6"/>
  <c r="AJ850" i="6"/>
  <c r="P854" i="6"/>
  <c r="R854" i="6" s="1"/>
  <c r="AH854" i="6" s="1"/>
  <c r="N854" i="6"/>
  <c r="P850" i="6"/>
  <c r="R850" i="6" s="1"/>
  <c r="AH850" i="6" s="1"/>
  <c r="AJ854" i="6"/>
  <c r="AL845" i="6"/>
  <c r="L847" i="6"/>
  <c r="AA844" i="6"/>
  <c r="L849" i="6"/>
  <c r="L851" i="6"/>
  <c r="K854" i="6"/>
  <c r="M857" i="6" s="1"/>
  <c r="AO857" i="6" s="1"/>
  <c r="K850" i="6"/>
  <c r="M853" i="6" s="1"/>
  <c r="AO853" i="6" s="1"/>
  <c r="K852" i="6"/>
  <c r="M855" i="6" s="1"/>
  <c r="AO855" i="6" s="1"/>
  <c r="AK846" i="6"/>
  <c r="AA846" i="6"/>
  <c r="AF840" i="6"/>
  <c r="AF838" i="6"/>
  <c r="AK848" i="6"/>
  <c r="AA848" i="6"/>
  <c r="AG838" i="6"/>
  <c r="P835" i="11" s="1"/>
  <c r="AG840" i="6"/>
  <c r="P837" i="11" s="1"/>
  <c r="AI855" i="6"/>
  <c r="F855" i="6"/>
  <c r="AI853" i="6"/>
  <c r="F853" i="6"/>
  <c r="AI857" i="6"/>
  <c r="F857" i="6"/>
  <c r="R840" i="11" l="1"/>
  <c r="AP854" i="6"/>
  <c r="AP856" i="6"/>
  <c r="AP852" i="6"/>
  <c r="Q837" i="11"/>
  <c r="R837" i="11" s="1"/>
  <c r="Q838" i="11"/>
  <c r="R838" i="11" s="1"/>
  <c r="Q835" i="11"/>
  <c r="R835" i="11" s="1"/>
  <c r="AM844" i="6"/>
  <c r="AK847" i="6"/>
  <c r="AL847" i="6" s="1"/>
  <c r="AA851" i="6"/>
  <c r="AA849" i="6"/>
  <c r="A857" i="6"/>
  <c r="A855" i="6"/>
  <c r="A853" i="6"/>
  <c r="N857" i="6"/>
  <c r="AD852" i="6"/>
  <c r="AE852" i="6"/>
  <c r="AJ855" i="6"/>
  <c r="P853" i="6"/>
  <c r="R853" i="6" s="1"/>
  <c r="AH853" i="6" s="1"/>
  <c r="AJ853" i="6"/>
  <c r="P857" i="6"/>
  <c r="R857" i="6" s="1"/>
  <c r="AH857" i="6" s="1"/>
  <c r="AA847" i="6"/>
  <c r="AB847" i="6" s="1"/>
  <c r="AF847" i="6" s="1"/>
  <c r="AD850" i="6"/>
  <c r="AE850" i="6"/>
  <c r="AD854" i="6"/>
  <c r="AE854" i="6"/>
  <c r="N853" i="6"/>
  <c r="AJ857" i="6"/>
  <c r="P855" i="6"/>
  <c r="R855" i="6" s="1"/>
  <c r="AH855" i="6" s="1"/>
  <c r="N855" i="6"/>
  <c r="AC844" i="6"/>
  <c r="AB844" i="6"/>
  <c r="AF844" i="6" s="1"/>
  <c r="AK849" i="6"/>
  <c r="AL849" i="6" s="1"/>
  <c r="AK851" i="6"/>
  <c r="AM851" i="6" s="1"/>
  <c r="L854" i="6"/>
  <c r="L852" i="6"/>
  <c r="L850" i="6"/>
  <c r="K855" i="6"/>
  <c r="M858" i="6" s="1"/>
  <c r="AO858" i="6" s="1"/>
  <c r="K853" i="6"/>
  <c r="M856" i="6" s="1"/>
  <c r="AO856" i="6" s="1"/>
  <c r="K857" i="6"/>
  <c r="M860" i="6" s="1"/>
  <c r="AO860" i="6" s="1"/>
  <c r="AC846" i="6"/>
  <c r="AB846" i="6"/>
  <c r="AM846" i="6"/>
  <c r="AL846" i="6"/>
  <c r="AL848" i="6"/>
  <c r="AM848" i="6"/>
  <c r="AB848" i="6"/>
  <c r="AC848" i="6"/>
  <c r="AI860" i="6"/>
  <c r="F860" i="6"/>
  <c r="F858" i="6"/>
  <c r="AI858" i="6"/>
  <c r="AI856" i="6"/>
  <c r="F856" i="6"/>
  <c r="AM847" i="6" l="1"/>
  <c r="AP859" i="6"/>
  <c r="AP855" i="6"/>
  <c r="AP857" i="6"/>
  <c r="Q844" i="11"/>
  <c r="Q841" i="11"/>
  <c r="AC851" i="6"/>
  <c r="AG851" i="6" s="1"/>
  <c r="P848" i="11" s="1"/>
  <c r="AB851" i="6"/>
  <c r="AF851" i="6" s="1"/>
  <c r="AC849" i="6"/>
  <c r="AG849" i="6" s="1"/>
  <c r="P846" i="11" s="1"/>
  <c r="AB849" i="6"/>
  <c r="AF849" i="6" s="1"/>
  <c r="AK852" i="6"/>
  <c r="AL852" i="6" s="1"/>
  <c r="AA854" i="6"/>
  <c r="AC854" i="6" s="1"/>
  <c r="AG854" i="6" s="1"/>
  <c r="P851" i="11" s="1"/>
  <c r="A856" i="6"/>
  <c r="A860" i="6"/>
  <c r="A858" i="6"/>
  <c r="AC847" i="6"/>
  <c r="AG847" i="6" s="1"/>
  <c r="P844" i="11" s="1"/>
  <c r="AD857" i="6"/>
  <c r="AE857" i="6"/>
  <c r="AJ858" i="6"/>
  <c r="AD853" i="6"/>
  <c r="N856" i="6"/>
  <c r="AE853" i="6"/>
  <c r="AD855" i="6"/>
  <c r="AM849" i="6"/>
  <c r="P858" i="6"/>
  <c r="R858" i="6" s="1"/>
  <c r="AH858" i="6" s="1"/>
  <c r="AE855" i="6"/>
  <c r="N860" i="6"/>
  <c r="P856" i="6"/>
  <c r="R856" i="6" s="1"/>
  <c r="AH856" i="6" s="1"/>
  <c r="P860" i="6"/>
  <c r="R860" i="6" s="1"/>
  <c r="AH860" i="6" s="1"/>
  <c r="AJ860" i="6"/>
  <c r="AJ856" i="6"/>
  <c r="N858" i="6"/>
  <c r="AG844" i="6"/>
  <c r="P841" i="11" s="1"/>
  <c r="AA850" i="6"/>
  <c r="AC850" i="6" s="1"/>
  <c r="AK850" i="6"/>
  <c r="AM850" i="6" s="1"/>
  <c r="AL851" i="6"/>
  <c r="AA852" i="6"/>
  <c r="AB852" i="6" s="1"/>
  <c r="AF852" i="6" s="1"/>
  <c r="AK854" i="6"/>
  <c r="AL854" i="6" s="1"/>
  <c r="L853" i="6"/>
  <c r="K858" i="6"/>
  <c r="M861" i="6" s="1"/>
  <c r="AO861" i="6" s="1"/>
  <c r="K860" i="6"/>
  <c r="M863" i="6" s="1"/>
  <c r="AO863" i="6" s="1"/>
  <c r="K856" i="6"/>
  <c r="M859" i="6" s="1"/>
  <c r="AO859" i="6" s="1"/>
  <c r="AF848" i="6"/>
  <c r="AF846" i="6"/>
  <c r="L857" i="6"/>
  <c r="L855" i="6"/>
  <c r="AG848" i="6"/>
  <c r="P845" i="11" s="1"/>
  <c r="AG846" i="6"/>
  <c r="P843" i="11" s="1"/>
  <c r="AI859" i="6"/>
  <c r="F859" i="6"/>
  <c r="AI861" i="6"/>
  <c r="F861" i="6"/>
  <c r="AI863" i="6"/>
  <c r="F863" i="6"/>
  <c r="R841" i="11" l="1"/>
  <c r="R844" i="11"/>
  <c r="AP862" i="6"/>
  <c r="AP860" i="6"/>
  <c r="AP858" i="6"/>
  <c r="Q849" i="11"/>
  <c r="Q845" i="11"/>
  <c r="R845" i="11" s="1"/>
  <c r="Q846" i="11"/>
  <c r="R846" i="11" s="1"/>
  <c r="Q843" i="11"/>
  <c r="R843" i="11" s="1"/>
  <c r="Q848" i="11"/>
  <c r="R848" i="11" s="1"/>
  <c r="AM852" i="6"/>
  <c r="AB854" i="6"/>
  <c r="AA853" i="6"/>
  <c r="AC853" i="6" s="1"/>
  <c r="AG853" i="6" s="1"/>
  <c r="P850" i="11" s="1"/>
  <c r="A863" i="6"/>
  <c r="A861" i="6"/>
  <c r="A859" i="6"/>
  <c r="AE856" i="6"/>
  <c r="AD856" i="6"/>
  <c r="AD858" i="6"/>
  <c r="AE858" i="6"/>
  <c r="P861" i="6"/>
  <c r="R861" i="6" s="1"/>
  <c r="AH861" i="6" s="1"/>
  <c r="AJ859" i="6"/>
  <c r="N861" i="6"/>
  <c r="AE860" i="6"/>
  <c r="AD860" i="6"/>
  <c r="AJ861" i="6"/>
  <c r="P863" i="6"/>
  <c r="R863" i="6" s="1"/>
  <c r="AH863" i="6" s="1"/>
  <c r="P859" i="6"/>
  <c r="R859" i="6" s="1"/>
  <c r="AH859" i="6" s="1"/>
  <c r="N863" i="6"/>
  <c r="N859" i="6"/>
  <c r="AJ863" i="6"/>
  <c r="AM854" i="6"/>
  <c r="AL850" i="6"/>
  <c r="AG850" i="6"/>
  <c r="P847" i="11" s="1"/>
  <c r="AB850" i="6"/>
  <c r="AC852" i="6"/>
  <c r="AK853" i="6"/>
  <c r="AM853" i="6" s="1"/>
  <c r="L860" i="6"/>
  <c r="K863" i="6"/>
  <c r="M866" i="6" s="1"/>
  <c r="AO866" i="6" s="1"/>
  <c r="K859" i="6"/>
  <c r="M862" i="6" s="1"/>
  <c r="AO862" i="6" s="1"/>
  <c r="K861" i="6"/>
  <c r="M864" i="6" s="1"/>
  <c r="AO864" i="6" s="1"/>
  <c r="AK857" i="6"/>
  <c r="AA857" i="6"/>
  <c r="L856" i="6"/>
  <c r="L858" i="6"/>
  <c r="AK855" i="6"/>
  <c r="AA855" i="6"/>
  <c r="AI866" i="6"/>
  <c r="F866" i="6"/>
  <c r="AI862" i="6"/>
  <c r="F862" i="6"/>
  <c r="AI864" i="6"/>
  <c r="F864" i="6"/>
  <c r="AP863" i="6" l="1"/>
  <c r="AP861" i="6"/>
  <c r="AP865" i="6"/>
  <c r="AF854" i="6"/>
  <c r="AB853" i="6"/>
  <c r="AF853" i="6" s="1"/>
  <c r="AA860" i="6"/>
  <c r="AC860" i="6" s="1"/>
  <c r="A862" i="6"/>
  <c r="A866" i="6"/>
  <c r="A864" i="6"/>
  <c r="AE861" i="6"/>
  <c r="AD861" i="6"/>
  <c r="P862" i="6"/>
  <c r="R862" i="6" s="1"/>
  <c r="AH862" i="6" s="1"/>
  <c r="N862" i="6"/>
  <c r="AJ862" i="6"/>
  <c r="AK860" i="6"/>
  <c r="AL860" i="6" s="1"/>
  <c r="AE859" i="6"/>
  <c r="AE863" i="6"/>
  <c r="AD863" i="6"/>
  <c r="P866" i="6"/>
  <c r="R866" i="6" s="1"/>
  <c r="AH866" i="6" s="1"/>
  <c r="AD859" i="6"/>
  <c r="P864" i="6"/>
  <c r="R864" i="6" s="1"/>
  <c r="AH864" i="6" s="1"/>
  <c r="N866" i="6"/>
  <c r="AJ864" i="6"/>
  <c r="AJ866" i="6"/>
  <c r="N864" i="6"/>
  <c r="AL853" i="6"/>
  <c r="AF850" i="6"/>
  <c r="AG852" i="6"/>
  <c r="P849" i="11" s="1"/>
  <c r="R849" i="11" s="1"/>
  <c r="L859" i="6"/>
  <c r="K862" i="6"/>
  <c r="M865" i="6" s="1"/>
  <c r="AO865" i="6" s="1"/>
  <c r="K866" i="6"/>
  <c r="M869" i="6" s="1"/>
  <c r="AO869" i="6" s="1"/>
  <c r="K864" i="6"/>
  <c r="M867" i="6" s="1"/>
  <c r="AO867" i="6" s="1"/>
  <c r="AC855" i="6"/>
  <c r="AB855" i="6"/>
  <c r="AK856" i="6"/>
  <c r="AA856" i="6"/>
  <c r="AM857" i="6"/>
  <c r="AL857" i="6"/>
  <c r="L861" i="6"/>
  <c r="L863" i="6"/>
  <c r="AK858" i="6"/>
  <c r="AA858" i="6"/>
  <c r="AL855" i="6"/>
  <c r="AM855" i="6"/>
  <c r="AC857" i="6"/>
  <c r="AB857" i="6"/>
  <c r="AI867" i="6"/>
  <c r="F867" i="6"/>
  <c r="AI869" i="6"/>
  <c r="F869" i="6"/>
  <c r="AI865" i="6"/>
  <c r="F865" i="6"/>
  <c r="AP868" i="6" l="1"/>
  <c r="AP864" i="6"/>
  <c r="AP866" i="6"/>
  <c r="Q850" i="11"/>
  <c r="R850" i="11" s="1"/>
  <c r="Q847" i="11"/>
  <c r="R847" i="11" s="1"/>
  <c r="Q851" i="11"/>
  <c r="R851" i="11" s="1"/>
  <c r="AB860" i="6"/>
  <c r="AF860" i="6" s="1"/>
  <c r="AK859" i="6"/>
  <c r="AM859" i="6" s="1"/>
  <c r="AD866" i="6"/>
  <c r="A869" i="6"/>
  <c r="A865" i="6"/>
  <c r="A867" i="6"/>
  <c r="AE862" i="6"/>
  <c r="AD862" i="6"/>
  <c r="AM860" i="6"/>
  <c r="AJ867" i="6"/>
  <c r="AD864" i="6"/>
  <c r="N865" i="6"/>
  <c r="AA859" i="6"/>
  <c r="AG860" i="6"/>
  <c r="P857" i="11" s="1"/>
  <c r="N867" i="6"/>
  <c r="AE866" i="6"/>
  <c r="AJ865" i="6"/>
  <c r="P869" i="6"/>
  <c r="R869" i="6" s="1"/>
  <c r="AH869" i="6" s="1"/>
  <c r="N869" i="6"/>
  <c r="AE864" i="6"/>
  <c r="P867" i="6"/>
  <c r="R867" i="6" s="1"/>
  <c r="AH867" i="6" s="1"/>
  <c r="P865" i="6"/>
  <c r="R865" i="6" s="1"/>
  <c r="AH865" i="6" s="1"/>
  <c r="AJ869" i="6"/>
  <c r="L864" i="6"/>
  <c r="L862" i="6"/>
  <c r="L866" i="6"/>
  <c r="K869" i="6"/>
  <c r="M872" i="6" s="1"/>
  <c r="AO872" i="6" s="1"/>
  <c r="K867" i="6"/>
  <c r="M870" i="6" s="1"/>
  <c r="AO870" i="6" s="1"/>
  <c r="K865" i="6"/>
  <c r="M868" i="6" s="1"/>
  <c r="AO868" i="6" s="1"/>
  <c r="AG857" i="6"/>
  <c r="P854" i="11" s="1"/>
  <c r="AK863" i="6"/>
  <c r="AA863" i="6"/>
  <c r="AL856" i="6"/>
  <c r="AM856" i="6"/>
  <c r="AC858" i="6"/>
  <c r="AB858" i="6"/>
  <c r="AK861" i="6"/>
  <c r="AA861" i="6"/>
  <c r="AF855" i="6"/>
  <c r="AB856" i="6"/>
  <c r="AC856" i="6"/>
  <c r="AF857" i="6"/>
  <c r="AM858" i="6"/>
  <c r="AL858" i="6"/>
  <c r="AG855" i="6"/>
  <c r="P852" i="11" s="1"/>
  <c r="AI868" i="6"/>
  <c r="F868" i="6"/>
  <c r="AI870" i="6"/>
  <c r="F870" i="6"/>
  <c r="AI872" i="6"/>
  <c r="F872" i="6"/>
  <c r="AP867" i="6" l="1"/>
  <c r="AP869" i="6"/>
  <c r="AP871" i="6"/>
  <c r="Q852" i="11"/>
  <c r="R852" i="11" s="1"/>
  <c r="Q854" i="11"/>
  <c r="R854" i="11" s="1"/>
  <c r="Q857" i="11"/>
  <c r="R857" i="11" s="1"/>
  <c r="AL859" i="6"/>
  <c r="AA866" i="6"/>
  <c r="AC866" i="6" s="1"/>
  <c r="AG866" i="6" s="1"/>
  <c r="P863" i="11" s="1"/>
  <c r="AA862" i="6"/>
  <c r="AC862" i="6" s="1"/>
  <c r="AG862" i="6" s="1"/>
  <c r="P859" i="11" s="1"/>
  <c r="AA864" i="6"/>
  <c r="AC864" i="6" s="1"/>
  <c r="AG864" i="6" s="1"/>
  <c r="P861" i="11" s="1"/>
  <c r="A870" i="6"/>
  <c r="A868" i="6"/>
  <c r="A872" i="6"/>
  <c r="AD869" i="6"/>
  <c r="AE869" i="6"/>
  <c r="AD867" i="6"/>
  <c r="AJ868" i="6"/>
  <c r="P872" i="6"/>
  <c r="R872" i="6" s="1"/>
  <c r="AH872" i="6" s="1"/>
  <c r="AB859" i="6"/>
  <c r="AF859" i="6" s="1"/>
  <c r="AC859" i="6"/>
  <c r="AE867" i="6"/>
  <c r="AE865" i="6"/>
  <c r="P870" i="6"/>
  <c r="R870" i="6" s="1"/>
  <c r="AH870" i="6" s="1"/>
  <c r="P868" i="6"/>
  <c r="R868" i="6" s="1"/>
  <c r="AH868" i="6" s="1"/>
  <c r="AJ870" i="6"/>
  <c r="AD865" i="6"/>
  <c r="AJ872" i="6"/>
  <c r="N872" i="6"/>
  <c r="N870" i="6"/>
  <c r="N868" i="6"/>
  <c r="AK862" i="6"/>
  <c r="AM862" i="6" s="1"/>
  <c r="AK864" i="6"/>
  <c r="AM864" i="6" s="1"/>
  <c r="AK866" i="6"/>
  <c r="AM866" i="6" s="1"/>
  <c r="L867" i="6"/>
  <c r="L865" i="6"/>
  <c r="L869" i="6"/>
  <c r="K872" i="6"/>
  <c r="M875" i="6" s="1"/>
  <c r="AO875" i="6" s="1"/>
  <c r="K868" i="6"/>
  <c r="M871" i="6" s="1"/>
  <c r="AO871" i="6" s="1"/>
  <c r="K870" i="6"/>
  <c r="M873" i="6" s="1"/>
  <c r="AO873" i="6" s="1"/>
  <c r="AG858" i="6"/>
  <c r="P855" i="11" s="1"/>
  <c r="AG856" i="6"/>
  <c r="P853" i="11" s="1"/>
  <c r="AL861" i="6"/>
  <c r="AM861" i="6"/>
  <c r="AB863" i="6"/>
  <c r="AC863" i="6"/>
  <c r="AF856" i="6"/>
  <c r="AF858" i="6"/>
  <c r="AB861" i="6"/>
  <c r="AC861" i="6"/>
  <c r="AM863" i="6"/>
  <c r="AL863" i="6"/>
  <c r="AI875" i="6"/>
  <c r="F875" i="6"/>
  <c r="AI871" i="6"/>
  <c r="F871" i="6"/>
  <c r="AI873" i="6"/>
  <c r="F873" i="6"/>
  <c r="AP874" i="6" l="1"/>
  <c r="AP872" i="6"/>
  <c r="AP870" i="6"/>
  <c r="Q855" i="11"/>
  <c r="R855" i="11" s="1"/>
  <c r="Q856" i="11"/>
  <c r="Q853" i="11"/>
  <c r="R853" i="11" s="1"/>
  <c r="AB864" i="6"/>
  <c r="AF864" i="6" s="1"/>
  <c r="AB866" i="6"/>
  <c r="AF866" i="6" s="1"/>
  <c r="AB862" i="6"/>
  <c r="AA869" i="6"/>
  <c r="AA867" i="6"/>
  <c r="AB867" i="6" s="1"/>
  <c r="A871" i="6"/>
  <c r="A875" i="6"/>
  <c r="A873" i="6"/>
  <c r="AD872" i="6"/>
  <c r="AE872" i="6"/>
  <c r="AL862" i="6"/>
  <c r="AK867" i="6"/>
  <c r="AM867" i="6" s="1"/>
  <c r="AG859" i="6"/>
  <c r="P856" i="11" s="1"/>
  <c r="P873" i="6"/>
  <c r="R873" i="6" s="1"/>
  <c r="AH873" i="6" s="1"/>
  <c r="AE870" i="6"/>
  <c r="N871" i="6"/>
  <c r="P871" i="6"/>
  <c r="R871" i="6" s="1"/>
  <c r="AH871" i="6" s="1"/>
  <c r="AE868" i="6"/>
  <c r="AD870" i="6"/>
  <c r="AD868" i="6"/>
  <c r="AJ873" i="6"/>
  <c r="N875" i="6"/>
  <c r="AK865" i="6"/>
  <c r="AM865" i="6" s="1"/>
  <c r="AJ875" i="6"/>
  <c r="N873" i="6"/>
  <c r="AJ871" i="6"/>
  <c r="P875" i="6"/>
  <c r="R875" i="6" s="1"/>
  <c r="AH875" i="6" s="1"/>
  <c r="AK869" i="6"/>
  <c r="AL869" i="6" s="1"/>
  <c r="AL864" i="6"/>
  <c r="AL866" i="6"/>
  <c r="AA865" i="6"/>
  <c r="AC865" i="6" s="1"/>
  <c r="L868" i="6"/>
  <c r="K871" i="6"/>
  <c r="M874" i="6" s="1"/>
  <c r="AO874" i="6" s="1"/>
  <c r="K873" i="6"/>
  <c r="M876" i="6" s="1"/>
  <c r="AO876" i="6" s="1"/>
  <c r="K875" i="6"/>
  <c r="M878" i="6" s="1"/>
  <c r="AO878" i="6" s="1"/>
  <c r="AG861" i="6"/>
  <c r="P858" i="11" s="1"/>
  <c r="AG863" i="6"/>
  <c r="P860" i="11" s="1"/>
  <c r="AF863" i="6"/>
  <c r="L870" i="6"/>
  <c r="L872" i="6"/>
  <c r="AF861" i="6"/>
  <c r="F876" i="6"/>
  <c r="AI876" i="6"/>
  <c r="AI878" i="6"/>
  <c r="F878" i="6"/>
  <c r="AI874" i="6"/>
  <c r="F874" i="6"/>
  <c r="R856" i="11" l="1"/>
  <c r="AP873" i="6"/>
  <c r="AP875" i="6"/>
  <c r="AP877" i="6"/>
  <c r="Q861" i="11"/>
  <c r="R861" i="11" s="1"/>
  <c r="Q863" i="11"/>
  <c r="R863" i="11" s="1"/>
  <c r="Q860" i="11"/>
  <c r="R860" i="11" s="1"/>
  <c r="Q858" i="11"/>
  <c r="R858" i="11" s="1"/>
  <c r="AF867" i="6"/>
  <c r="AB869" i="6"/>
  <c r="AF862" i="6"/>
  <c r="AC869" i="6"/>
  <c r="AG869" i="6" s="1"/>
  <c r="P866" i="11" s="1"/>
  <c r="AC867" i="6"/>
  <c r="AG867" i="6" s="1"/>
  <c r="P864" i="11" s="1"/>
  <c r="AA868" i="6"/>
  <c r="A876" i="6"/>
  <c r="A874" i="6"/>
  <c r="A878" i="6"/>
  <c r="AL867" i="6"/>
  <c r="AL865" i="6"/>
  <c r="AD873" i="6"/>
  <c r="AE873" i="6"/>
  <c r="AE875" i="6"/>
  <c r="AJ874" i="6"/>
  <c r="AE871" i="6"/>
  <c r="AD875" i="6"/>
  <c r="AD871" i="6"/>
  <c r="AJ876" i="6"/>
  <c r="N874" i="6"/>
  <c r="P878" i="6"/>
  <c r="R878" i="6" s="1"/>
  <c r="AH878" i="6" s="1"/>
  <c r="N878" i="6"/>
  <c r="P874" i="6"/>
  <c r="R874" i="6" s="1"/>
  <c r="AH874" i="6" s="1"/>
  <c r="AJ878" i="6"/>
  <c r="N876" i="6"/>
  <c r="P876" i="6"/>
  <c r="R876" i="6" s="1"/>
  <c r="AH876" i="6" s="1"/>
  <c r="AM869" i="6"/>
  <c r="AG865" i="6"/>
  <c r="AK868" i="6"/>
  <c r="AM868" i="6" s="1"/>
  <c r="AB865" i="6"/>
  <c r="L875" i="6"/>
  <c r="L871" i="6"/>
  <c r="L873" i="6"/>
  <c r="K874" i="6"/>
  <c r="M877" i="6" s="1"/>
  <c r="AO877" i="6" s="1"/>
  <c r="K878" i="6"/>
  <c r="M881" i="6" s="1"/>
  <c r="AO881" i="6" s="1"/>
  <c r="K876" i="6"/>
  <c r="M879" i="6" s="1"/>
  <c r="AO879" i="6" s="1"/>
  <c r="AK872" i="6"/>
  <c r="AA872" i="6"/>
  <c r="AK870" i="6"/>
  <c r="AA870" i="6"/>
  <c r="AI877" i="6"/>
  <c r="F877" i="6"/>
  <c r="AI881" i="6"/>
  <c r="F881" i="6"/>
  <c r="AI879" i="6"/>
  <c r="F879" i="6"/>
  <c r="AP878" i="6" l="1"/>
  <c r="AP880" i="6"/>
  <c r="AP876" i="6"/>
  <c r="Q859" i="11"/>
  <c r="R859" i="11" s="1"/>
  <c r="Q864" i="11"/>
  <c r="R864" i="11" s="1"/>
  <c r="AB868" i="6"/>
  <c r="AF869" i="6"/>
  <c r="AC868" i="6"/>
  <c r="AA873" i="6"/>
  <c r="AB873" i="6" s="1"/>
  <c r="AF873" i="6" s="1"/>
  <c r="AA871" i="6"/>
  <c r="AC871" i="6" s="1"/>
  <c r="AA875" i="6"/>
  <c r="A881" i="6"/>
  <c r="A879" i="6"/>
  <c r="A877" i="6"/>
  <c r="AD874" i="6"/>
  <c r="P862" i="11"/>
  <c r="AJ877" i="6"/>
  <c r="N879" i="6"/>
  <c r="N877" i="6"/>
  <c r="P879" i="6"/>
  <c r="R879" i="6" s="1"/>
  <c r="AH879" i="6" s="1"/>
  <c r="AD876" i="6"/>
  <c r="AD878" i="6"/>
  <c r="N881" i="6"/>
  <c r="AE876" i="6"/>
  <c r="AE878" i="6"/>
  <c r="AJ879" i="6"/>
  <c r="AE874" i="6"/>
  <c r="P877" i="6"/>
  <c r="R877" i="6" s="1"/>
  <c r="AH877" i="6" s="1"/>
  <c r="P881" i="6"/>
  <c r="R881" i="6" s="1"/>
  <c r="AH881" i="6" s="1"/>
  <c r="AJ881" i="6"/>
  <c r="AK873" i="6"/>
  <c r="AL873" i="6" s="1"/>
  <c r="AL868" i="6"/>
  <c r="AK875" i="6"/>
  <c r="AL875" i="6" s="1"/>
  <c r="AK871" i="6"/>
  <c r="AL871" i="6" s="1"/>
  <c r="AF865" i="6"/>
  <c r="L878" i="6"/>
  <c r="K881" i="6"/>
  <c r="M884" i="6" s="1"/>
  <c r="AO884" i="6" s="1"/>
  <c r="K879" i="6"/>
  <c r="M882" i="6" s="1"/>
  <c r="AO882" i="6" s="1"/>
  <c r="K877" i="6"/>
  <c r="M880" i="6" s="1"/>
  <c r="AO880" i="6" s="1"/>
  <c r="AB872" i="6"/>
  <c r="AC872" i="6"/>
  <c r="AL870" i="6"/>
  <c r="AM870" i="6"/>
  <c r="L876" i="6"/>
  <c r="L874" i="6"/>
  <c r="AC870" i="6"/>
  <c r="AB870" i="6"/>
  <c r="AM872" i="6"/>
  <c r="AL872" i="6"/>
  <c r="AI882" i="6"/>
  <c r="F882" i="6"/>
  <c r="AI880" i="6"/>
  <c r="F880" i="6"/>
  <c r="AI884" i="6"/>
  <c r="F884" i="6"/>
  <c r="AP879" i="6" l="1"/>
  <c r="AP881" i="6"/>
  <c r="AP883" i="6"/>
  <c r="Q870" i="11"/>
  <c r="Q862" i="11"/>
  <c r="R862" i="11" s="1"/>
  <c r="Q866" i="11"/>
  <c r="R866" i="11" s="1"/>
  <c r="AF868" i="6"/>
  <c r="AG871" i="6"/>
  <c r="P868" i="11" s="1"/>
  <c r="AB871" i="6"/>
  <c r="AG868" i="6"/>
  <c r="AC873" i="6"/>
  <c r="AG873" i="6" s="1"/>
  <c r="P870" i="11" s="1"/>
  <c r="AB875" i="6"/>
  <c r="AF875" i="6" s="1"/>
  <c r="AC875" i="6"/>
  <c r="AA878" i="6"/>
  <c r="AC878" i="6" s="1"/>
  <c r="A880" i="6"/>
  <c r="A882" i="6"/>
  <c r="A884" i="6"/>
  <c r="AE877" i="6"/>
  <c r="AE881" i="6"/>
  <c r="AE879" i="6"/>
  <c r="AD879" i="6"/>
  <c r="AD877" i="6"/>
  <c r="AJ880" i="6"/>
  <c r="P884" i="6"/>
  <c r="R884" i="6" s="1"/>
  <c r="AH884" i="6" s="1"/>
  <c r="N884" i="6"/>
  <c r="P880" i="6"/>
  <c r="R880" i="6" s="1"/>
  <c r="AH880" i="6" s="1"/>
  <c r="AD881" i="6"/>
  <c r="AK878" i="6"/>
  <c r="AM878" i="6" s="1"/>
  <c r="N880" i="6"/>
  <c r="P882" i="6"/>
  <c r="R882" i="6" s="1"/>
  <c r="AH882" i="6" s="1"/>
  <c r="N882" i="6"/>
  <c r="AM873" i="6"/>
  <c r="AJ884" i="6"/>
  <c r="AJ882" i="6"/>
  <c r="AM875" i="6"/>
  <c r="AM871" i="6"/>
  <c r="L879" i="6"/>
  <c r="K880" i="6"/>
  <c r="M883" i="6" s="1"/>
  <c r="AO883" i="6" s="1"/>
  <c r="K882" i="6"/>
  <c r="M885" i="6" s="1"/>
  <c r="AO885" i="6" s="1"/>
  <c r="K884" i="6"/>
  <c r="M887" i="6" s="1"/>
  <c r="AO887" i="6" s="1"/>
  <c r="AK874" i="6"/>
  <c r="AA874" i="6"/>
  <c r="AF870" i="6"/>
  <c r="AK876" i="6"/>
  <c r="AA876" i="6"/>
  <c r="L877" i="6"/>
  <c r="L881" i="6"/>
  <c r="AF872" i="6"/>
  <c r="AG870" i="6"/>
  <c r="P867" i="11" s="1"/>
  <c r="AG872" i="6"/>
  <c r="P869" i="11" s="1"/>
  <c r="AI887" i="6"/>
  <c r="F887" i="6"/>
  <c r="AI885" i="6"/>
  <c r="F885" i="6"/>
  <c r="F883" i="6"/>
  <c r="AI883" i="6"/>
  <c r="R870" i="11" l="1"/>
  <c r="AP886" i="6"/>
  <c r="AP884" i="6"/>
  <c r="AP882" i="6"/>
  <c r="Q869" i="11"/>
  <c r="R869" i="11" s="1"/>
  <c r="Q865" i="11"/>
  <c r="Q867" i="11"/>
  <c r="R867" i="11" s="1"/>
  <c r="Q872" i="11"/>
  <c r="AG875" i="6"/>
  <c r="P872" i="11" s="1"/>
  <c r="AF871" i="6"/>
  <c r="P865" i="11"/>
  <c r="AB878" i="6"/>
  <c r="AF878" i="6" s="1"/>
  <c r="A885" i="6"/>
  <c r="A887" i="6"/>
  <c r="A883" i="6"/>
  <c r="AJ883" i="6"/>
  <c r="AJ887" i="6"/>
  <c r="AE884" i="6"/>
  <c r="AD884" i="6"/>
  <c r="N883" i="6"/>
  <c r="AD880" i="6"/>
  <c r="AE880" i="6"/>
  <c r="AL878" i="6"/>
  <c r="P885" i="6"/>
  <c r="R885" i="6" s="1"/>
  <c r="AH885" i="6" s="1"/>
  <c r="AD882" i="6"/>
  <c r="N885" i="6"/>
  <c r="AE882" i="6"/>
  <c r="AJ885" i="6"/>
  <c r="N887" i="6"/>
  <c r="P883" i="6"/>
  <c r="R883" i="6" s="1"/>
  <c r="AH883" i="6" s="1"/>
  <c r="P887" i="6"/>
  <c r="R887" i="6" s="1"/>
  <c r="AH887" i="6" s="1"/>
  <c r="AG878" i="6"/>
  <c r="P875" i="11" s="1"/>
  <c r="AK879" i="6"/>
  <c r="AM879" i="6" s="1"/>
  <c r="AA879" i="6"/>
  <c r="AC879" i="6" s="1"/>
  <c r="L882" i="6"/>
  <c r="L884" i="6"/>
  <c r="L880" i="6"/>
  <c r="K883" i="6"/>
  <c r="M886" i="6" s="1"/>
  <c r="AO886" i="6" s="1"/>
  <c r="K887" i="6"/>
  <c r="M890" i="6" s="1"/>
  <c r="AO890" i="6" s="1"/>
  <c r="K885" i="6"/>
  <c r="M888" i="6" s="1"/>
  <c r="AO888" i="6" s="1"/>
  <c r="AK877" i="6"/>
  <c r="AA877" i="6"/>
  <c r="AB876" i="6"/>
  <c r="AC876" i="6"/>
  <c r="AL874" i="6"/>
  <c r="AM874" i="6"/>
  <c r="AK881" i="6"/>
  <c r="AA881" i="6"/>
  <c r="AL876" i="6"/>
  <c r="AM876" i="6"/>
  <c r="AC874" i="6"/>
  <c r="AB874" i="6"/>
  <c r="AI890" i="6"/>
  <c r="F890" i="6"/>
  <c r="AI886" i="6"/>
  <c r="F886" i="6"/>
  <c r="AI888" i="6"/>
  <c r="F888" i="6"/>
  <c r="R865" i="11" l="1"/>
  <c r="R872" i="11"/>
  <c r="AP885" i="6"/>
  <c r="AP889" i="6"/>
  <c r="AP887" i="6"/>
  <c r="Q875" i="11"/>
  <c r="R875" i="11" s="1"/>
  <c r="Q868" i="11"/>
  <c r="R868" i="11" s="1"/>
  <c r="AA880" i="6"/>
  <c r="AC880" i="6" s="1"/>
  <c r="AG880" i="6" s="1"/>
  <c r="P877" i="11" s="1"/>
  <c r="AA884" i="6"/>
  <c r="A890" i="6"/>
  <c r="A888" i="6"/>
  <c r="A886" i="6"/>
  <c r="AD885" i="6"/>
  <c r="P888" i="6"/>
  <c r="R888" i="6" s="1"/>
  <c r="AH888" i="6" s="1"/>
  <c r="N888" i="6"/>
  <c r="AG879" i="6"/>
  <c r="P876" i="11" s="1"/>
  <c r="AE885" i="6"/>
  <c r="P890" i="6"/>
  <c r="R890" i="6" s="1"/>
  <c r="AH890" i="6" s="1"/>
  <c r="N890" i="6"/>
  <c r="AJ890" i="6"/>
  <c r="AJ886" i="6"/>
  <c r="AE887" i="6"/>
  <c r="AD887" i="6"/>
  <c r="AJ888" i="6"/>
  <c r="P886" i="6"/>
  <c r="R886" i="6" s="1"/>
  <c r="AH886" i="6" s="1"/>
  <c r="AD883" i="6"/>
  <c r="AE883" i="6"/>
  <c r="N886" i="6"/>
  <c r="AK882" i="6"/>
  <c r="AL882" i="6" s="1"/>
  <c r="AL879" i="6"/>
  <c r="AB879" i="6"/>
  <c r="AF879" i="6" s="1"/>
  <c r="AA882" i="6"/>
  <c r="AB882" i="6" s="1"/>
  <c r="AK884" i="6"/>
  <c r="AM884" i="6" s="1"/>
  <c r="AK880" i="6"/>
  <c r="AL880" i="6" s="1"/>
  <c r="L887" i="6"/>
  <c r="K888" i="6"/>
  <c r="M891" i="6" s="1"/>
  <c r="AO891" i="6" s="1"/>
  <c r="K886" i="6"/>
  <c r="M889" i="6" s="1"/>
  <c r="AO889" i="6" s="1"/>
  <c r="K890" i="6"/>
  <c r="M893" i="6" s="1"/>
  <c r="AO893" i="6" s="1"/>
  <c r="AM881" i="6"/>
  <c r="AL881" i="6"/>
  <c r="AF876" i="6"/>
  <c r="AF874" i="6"/>
  <c r="AB877" i="6"/>
  <c r="AC877" i="6"/>
  <c r="L885" i="6"/>
  <c r="L883" i="6"/>
  <c r="AG874" i="6"/>
  <c r="P871" i="11" s="1"/>
  <c r="AL877" i="6"/>
  <c r="AM877" i="6"/>
  <c r="AC881" i="6"/>
  <c r="AB881" i="6"/>
  <c r="AG876" i="6"/>
  <c r="P873" i="11" s="1"/>
  <c r="AI891" i="6"/>
  <c r="F891" i="6"/>
  <c r="AI893" i="6"/>
  <c r="F893" i="6"/>
  <c r="AI889" i="6"/>
  <c r="F889" i="6"/>
  <c r="AP892" i="6" l="1"/>
  <c r="AP890" i="6"/>
  <c r="AP888" i="6"/>
  <c r="Q871" i="11"/>
  <c r="R871" i="11" s="1"/>
  <c r="Q876" i="11"/>
  <c r="R876" i="11" s="1"/>
  <c r="Q873" i="11"/>
  <c r="R873" i="11" s="1"/>
  <c r="AB884" i="6"/>
  <c r="AB880" i="6"/>
  <c r="AC884" i="6"/>
  <c r="AA887" i="6"/>
  <c r="AB887" i="6" s="1"/>
  <c r="AF887" i="6" s="1"/>
  <c r="A891" i="6"/>
  <c r="A893" i="6"/>
  <c r="A889" i="6"/>
  <c r="AE888" i="6"/>
  <c r="AD888" i="6"/>
  <c r="AE890" i="6"/>
  <c r="AE886" i="6"/>
  <c r="AD886" i="6"/>
  <c r="AD890" i="6"/>
  <c r="AJ889" i="6"/>
  <c r="N889" i="6"/>
  <c r="P893" i="6"/>
  <c r="R893" i="6" s="1"/>
  <c r="AH893" i="6" s="1"/>
  <c r="P891" i="6"/>
  <c r="R891" i="6" s="1"/>
  <c r="AH891" i="6" s="1"/>
  <c r="N893" i="6"/>
  <c r="AJ891" i="6"/>
  <c r="P889" i="6"/>
  <c r="R889" i="6" s="1"/>
  <c r="AH889" i="6" s="1"/>
  <c r="AJ893" i="6"/>
  <c r="N891" i="6"/>
  <c r="AM882" i="6"/>
  <c r="AF882" i="6"/>
  <c r="AC882" i="6"/>
  <c r="AM880" i="6"/>
  <c r="AL884" i="6"/>
  <c r="AK887" i="6"/>
  <c r="AM887" i="6" s="1"/>
  <c r="L886" i="6"/>
  <c r="K891" i="6"/>
  <c r="M894" i="6" s="1"/>
  <c r="AO894" i="6" s="1"/>
  <c r="K889" i="6"/>
  <c r="M892" i="6" s="1"/>
  <c r="AO892" i="6" s="1"/>
  <c r="K893" i="6"/>
  <c r="M896" i="6" s="1"/>
  <c r="AO896" i="6" s="1"/>
  <c r="AF881" i="6"/>
  <c r="AF877" i="6"/>
  <c r="AK883" i="6"/>
  <c r="AA883" i="6"/>
  <c r="L890" i="6"/>
  <c r="L888" i="6"/>
  <c r="AG877" i="6"/>
  <c r="P874" i="11" s="1"/>
  <c r="AG881" i="6"/>
  <c r="P878" i="11" s="1"/>
  <c r="AK885" i="6"/>
  <c r="AA885" i="6"/>
  <c r="AI892" i="6"/>
  <c r="F892" i="6"/>
  <c r="AI896" i="6"/>
  <c r="F896" i="6"/>
  <c r="AI894" i="6"/>
  <c r="F894" i="6"/>
  <c r="AP895" i="6" l="1"/>
  <c r="AP891" i="6"/>
  <c r="AP893" i="6"/>
  <c r="Q878" i="11"/>
  <c r="R878" i="11" s="1"/>
  <c r="Q879" i="11"/>
  <c r="Q884" i="11"/>
  <c r="Q874" i="11"/>
  <c r="R874" i="11" s="1"/>
  <c r="AF884" i="6"/>
  <c r="AG884" i="6"/>
  <c r="P881" i="11" s="1"/>
  <c r="AF880" i="6"/>
  <c r="AC887" i="6"/>
  <c r="AA886" i="6"/>
  <c r="AC886" i="6" s="1"/>
  <c r="A894" i="6"/>
  <c r="A892" i="6"/>
  <c r="A896" i="6"/>
  <c r="AD891" i="6"/>
  <c r="AE891" i="6"/>
  <c r="P894" i="6"/>
  <c r="R894" i="6" s="1"/>
  <c r="AH894" i="6" s="1"/>
  <c r="AE893" i="6"/>
  <c r="N894" i="6"/>
  <c r="AD893" i="6"/>
  <c r="N892" i="6"/>
  <c r="P892" i="6"/>
  <c r="R892" i="6" s="1"/>
  <c r="AH892" i="6" s="1"/>
  <c r="AE889" i="6"/>
  <c r="AD889" i="6"/>
  <c r="N896" i="6"/>
  <c r="P896" i="6"/>
  <c r="R896" i="6" s="1"/>
  <c r="AH896" i="6" s="1"/>
  <c r="AJ894" i="6"/>
  <c r="AJ892" i="6"/>
  <c r="AJ896" i="6"/>
  <c r="AG882" i="6"/>
  <c r="P879" i="11" s="1"/>
  <c r="AK886" i="6"/>
  <c r="AL886" i="6" s="1"/>
  <c r="AL887" i="6"/>
  <c r="L893" i="6"/>
  <c r="L891" i="6"/>
  <c r="L889" i="6"/>
  <c r="K892" i="6"/>
  <c r="M895" i="6" s="1"/>
  <c r="AO895" i="6" s="1"/>
  <c r="K894" i="6"/>
  <c r="M897" i="6" s="1"/>
  <c r="AO897" i="6" s="1"/>
  <c r="K896" i="6"/>
  <c r="M899" i="6" s="1"/>
  <c r="AO899" i="6" s="1"/>
  <c r="AC885" i="6"/>
  <c r="AB885" i="6"/>
  <c r="AM885" i="6"/>
  <c r="AL885" i="6"/>
  <c r="AK888" i="6"/>
  <c r="AA888" i="6"/>
  <c r="AM883" i="6"/>
  <c r="AL883" i="6"/>
  <c r="AK890" i="6"/>
  <c r="AA890" i="6"/>
  <c r="AB883" i="6"/>
  <c r="AC883" i="6"/>
  <c r="AI897" i="6"/>
  <c r="F897" i="6"/>
  <c r="AI899" i="6"/>
  <c r="F899" i="6"/>
  <c r="AI895" i="6"/>
  <c r="F895" i="6"/>
  <c r="R879" i="11" l="1"/>
  <c r="AP894" i="6"/>
  <c r="AP898" i="6"/>
  <c r="AP896" i="6"/>
  <c r="Q877" i="11"/>
  <c r="R877" i="11" s="1"/>
  <c r="Q881" i="11"/>
  <c r="R881" i="11" s="1"/>
  <c r="AG886" i="6"/>
  <c r="P883" i="11" s="1"/>
  <c r="AB886" i="6"/>
  <c r="AF886" i="6" s="1"/>
  <c r="AG887" i="6"/>
  <c r="P884" i="11" s="1"/>
  <c r="R884" i="11" s="1"/>
  <c r="AA889" i="6"/>
  <c r="AK893" i="6"/>
  <c r="AL893" i="6" s="1"/>
  <c r="A897" i="6"/>
  <c r="A899" i="6"/>
  <c r="A895" i="6"/>
  <c r="AD892" i="6"/>
  <c r="AM886" i="6"/>
  <c r="AE894" i="6"/>
  <c r="AD894" i="6"/>
  <c r="AD896" i="6"/>
  <c r="P895" i="6"/>
  <c r="R895" i="6" s="1"/>
  <c r="AH895" i="6" s="1"/>
  <c r="N897" i="6"/>
  <c r="AE896" i="6"/>
  <c r="AE892" i="6"/>
  <c r="P897" i="6"/>
  <c r="R897" i="6" s="1"/>
  <c r="AH897" i="6" s="1"/>
  <c r="N899" i="6"/>
  <c r="AJ899" i="6"/>
  <c r="AJ897" i="6"/>
  <c r="AJ895" i="6"/>
  <c r="P899" i="6"/>
  <c r="R899" i="6" s="1"/>
  <c r="AH899" i="6" s="1"/>
  <c r="N895" i="6"/>
  <c r="AA891" i="6"/>
  <c r="AA893" i="6"/>
  <c r="AK891" i="6"/>
  <c r="AM891" i="6" s="1"/>
  <c r="AK889" i="6"/>
  <c r="AM889" i="6" s="1"/>
  <c r="L894" i="6"/>
  <c r="K899" i="6"/>
  <c r="M902" i="6" s="1"/>
  <c r="AO902" i="6" s="1"/>
  <c r="K895" i="6"/>
  <c r="M898" i="6" s="1"/>
  <c r="AO898" i="6" s="1"/>
  <c r="K897" i="6"/>
  <c r="M900" i="6" s="1"/>
  <c r="AO900" i="6" s="1"/>
  <c r="AB890" i="6"/>
  <c r="AC890" i="6"/>
  <c r="AF885" i="6"/>
  <c r="AL888" i="6"/>
  <c r="AM888" i="6"/>
  <c r="AG885" i="6"/>
  <c r="P882" i="11" s="1"/>
  <c r="AF883" i="6"/>
  <c r="AL890" i="6"/>
  <c r="AM890" i="6"/>
  <c r="L896" i="6"/>
  <c r="L892" i="6"/>
  <c r="AG883" i="6"/>
  <c r="P880" i="11" s="1"/>
  <c r="AC888" i="6"/>
  <c r="AB888" i="6"/>
  <c r="AI898" i="6"/>
  <c r="F898" i="6"/>
  <c r="AI900" i="6"/>
  <c r="F900" i="6"/>
  <c r="AI902" i="6"/>
  <c r="F902" i="6"/>
  <c r="AP899" i="6" l="1"/>
  <c r="AP897" i="6"/>
  <c r="AP901" i="6"/>
  <c r="Q880" i="11"/>
  <c r="R880" i="11" s="1"/>
  <c r="Q883" i="11"/>
  <c r="R883" i="11" s="1"/>
  <c r="Q882" i="11"/>
  <c r="R882" i="11" s="1"/>
  <c r="AM893" i="6"/>
  <c r="AC889" i="6"/>
  <c r="AB889" i="6"/>
  <c r="AF889" i="6" s="1"/>
  <c r="AK894" i="6"/>
  <c r="AM894" i="6" s="1"/>
  <c r="A900" i="6"/>
  <c r="A898" i="6"/>
  <c r="A902" i="6"/>
  <c r="N902" i="6"/>
  <c r="AD897" i="6"/>
  <c r="AE897" i="6"/>
  <c r="AD895" i="6"/>
  <c r="AB893" i="6"/>
  <c r="AF893" i="6" s="1"/>
  <c r="AE895" i="6"/>
  <c r="AJ900" i="6"/>
  <c r="N900" i="6"/>
  <c r="P898" i="6"/>
  <c r="R898" i="6" s="1"/>
  <c r="AH898" i="6" s="1"/>
  <c r="AJ898" i="6"/>
  <c r="AD899" i="6"/>
  <c r="AJ902" i="6"/>
  <c r="N898" i="6"/>
  <c r="AB891" i="6"/>
  <c r="AE899" i="6"/>
  <c r="AC893" i="6"/>
  <c r="AG893" i="6" s="1"/>
  <c r="P890" i="11" s="1"/>
  <c r="P902" i="6"/>
  <c r="R902" i="6" s="1"/>
  <c r="AH902" i="6" s="1"/>
  <c r="P900" i="6"/>
  <c r="R900" i="6" s="1"/>
  <c r="AH900" i="6" s="1"/>
  <c r="AL891" i="6"/>
  <c r="AC891" i="6"/>
  <c r="AL889" i="6"/>
  <c r="AA894" i="6"/>
  <c r="AB894" i="6" s="1"/>
  <c r="L895" i="6"/>
  <c r="K900" i="6"/>
  <c r="M903" i="6" s="1"/>
  <c r="AO903" i="6" s="1"/>
  <c r="K898" i="6"/>
  <c r="M901" i="6" s="1"/>
  <c r="AO901" i="6" s="1"/>
  <c r="K902" i="6"/>
  <c r="M905" i="6" s="1"/>
  <c r="AO905" i="6" s="1"/>
  <c r="AF888" i="6"/>
  <c r="AK892" i="6"/>
  <c r="AA892" i="6"/>
  <c r="AF890" i="6"/>
  <c r="AG888" i="6"/>
  <c r="P885" i="11" s="1"/>
  <c r="AK896" i="6"/>
  <c r="AA896" i="6"/>
  <c r="L897" i="6"/>
  <c r="L899" i="6"/>
  <c r="AG890" i="6"/>
  <c r="P887" i="11" s="1"/>
  <c r="AI905" i="6"/>
  <c r="F905" i="6"/>
  <c r="AI901" i="6"/>
  <c r="F901" i="6"/>
  <c r="AI903" i="6"/>
  <c r="F903" i="6"/>
  <c r="AP902" i="6" l="1"/>
  <c r="AP904" i="6"/>
  <c r="AP900" i="6"/>
  <c r="Q885" i="11"/>
  <c r="R885" i="11" s="1"/>
  <c r="Q890" i="11"/>
  <c r="R890" i="11" s="1"/>
  <c r="Q886" i="11"/>
  <c r="Q887" i="11"/>
  <c r="R887" i="11" s="1"/>
  <c r="AL894" i="6"/>
  <c r="AG889" i="6"/>
  <c r="AA895" i="6"/>
  <c r="A903" i="6"/>
  <c r="A905" i="6"/>
  <c r="A901" i="6"/>
  <c r="AD902" i="6"/>
  <c r="AE902" i="6"/>
  <c r="AD898" i="6"/>
  <c r="AJ901" i="6"/>
  <c r="AF894" i="6"/>
  <c r="N905" i="6"/>
  <c r="AE898" i="6"/>
  <c r="AJ905" i="6"/>
  <c r="AF891" i="6"/>
  <c r="P905" i="6"/>
  <c r="R905" i="6" s="1"/>
  <c r="AH905" i="6" s="1"/>
  <c r="P903" i="6"/>
  <c r="R903" i="6" s="1"/>
  <c r="AH903" i="6" s="1"/>
  <c r="AE900" i="6"/>
  <c r="AJ903" i="6"/>
  <c r="AD900" i="6"/>
  <c r="N903" i="6"/>
  <c r="N901" i="6"/>
  <c r="P901" i="6"/>
  <c r="R901" i="6" s="1"/>
  <c r="AH901" i="6" s="1"/>
  <c r="AG891" i="6"/>
  <c r="AC894" i="6"/>
  <c r="AK895" i="6"/>
  <c r="AM895" i="6" s="1"/>
  <c r="L898" i="6"/>
  <c r="K901" i="6"/>
  <c r="M904" i="6" s="1"/>
  <c r="AO904" i="6" s="1"/>
  <c r="K905" i="6"/>
  <c r="M908" i="6" s="1"/>
  <c r="AO908" i="6" s="1"/>
  <c r="K903" i="6"/>
  <c r="M906" i="6" s="1"/>
  <c r="AO906" i="6" s="1"/>
  <c r="AM896" i="6"/>
  <c r="AL896" i="6"/>
  <c r="AK897" i="6"/>
  <c r="AA897" i="6"/>
  <c r="AC892" i="6"/>
  <c r="AB892" i="6"/>
  <c r="AB896" i="6"/>
  <c r="AC896" i="6"/>
  <c r="L902" i="6"/>
  <c r="L900" i="6"/>
  <c r="AK899" i="6"/>
  <c r="AA899" i="6"/>
  <c r="AL892" i="6"/>
  <c r="AM892" i="6"/>
  <c r="AI906" i="6"/>
  <c r="F906" i="6"/>
  <c r="AI908" i="6"/>
  <c r="F908" i="6"/>
  <c r="AI904" i="6"/>
  <c r="F904" i="6"/>
  <c r="AB895" i="6" l="1"/>
  <c r="AF895" i="6" s="1"/>
  <c r="Q892" i="11" s="1"/>
  <c r="AP903" i="6"/>
  <c r="AP905" i="6"/>
  <c r="AP907" i="6"/>
  <c r="Q888" i="11"/>
  <c r="Q891" i="11"/>
  <c r="AC895" i="6"/>
  <c r="AG895" i="6" s="1"/>
  <c r="P892" i="11" s="1"/>
  <c r="P886" i="11"/>
  <c r="R886" i="11" s="1"/>
  <c r="AK898" i="6"/>
  <c r="AM898" i="6" s="1"/>
  <c r="A906" i="6"/>
  <c r="A904" i="6"/>
  <c r="A908" i="6"/>
  <c r="AE905" i="6"/>
  <c r="P888" i="11"/>
  <c r="AE903" i="6"/>
  <c r="AJ906" i="6"/>
  <c r="AD905" i="6"/>
  <c r="AD903" i="6"/>
  <c r="N908" i="6"/>
  <c r="P908" i="6"/>
  <c r="R908" i="6" s="1"/>
  <c r="AH908" i="6" s="1"/>
  <c r="AJ908" i="6"/>
  <c r="AE901" i="6"/>
  <c r="AD901" i="6"/>
  <c r="AJ904" i="6"/>
  <c r="P906" i="6"/>
  <c r="R906" i="6" s="1"/>
  <c r="AH906" i="6" s="1"/>
  <c r="N906" i="6"/>
  <c r="P904" i="6"/>
  <c r="R904" i="6" s="1"/>
  <c r="AH904" i="6" s="1"/>
  <c r="N904" i="6"/>
  <c r="AG894" i="6"/>
  <c r="P891" i="11" s="1"/>
  <c r="AL895" i="6"/>
  <c r="AA898" i="6"/>
  <c r="AB898" i="6" s="1"/>
  <c r="AF898" i="6" s="1"/>
  <c r="L905" i="6"/>
  <c r="K904" i="6"/>
  <c r="M907" i="6" s="1"/>
  <c r="AO907" i="6" s="1"/>
  <c r="K908" i="6"/>
  <c r="M911" i="6" s="1"/>
  <c r="AO911" i="6" s="1"/>
  <c r="K906" i="6"/>
  <c r="M909" i="6" s="1"/>
  <c r="AO909" i="6" s="1"/>
  <c r="AB899" i="6"/>
  <c r="AC899" i="6"/>
  <c r="AK902" i="6"/>
  <c r="AA902" i="6"/>
  <c r="AG892" i="6"/>
  <c r="P889" i="11" s="1"/>
  <c r="AG896" i="6"/>
  <c r="P893" i="11" s="1"/>
  <c r="AC897" i="6"/>
  <c r="AB897" i="6"/>
  <c r="L903" i="6"/>
  <c r="L901" i="6"/>
  <c r="AK900" i="6"/>
  <c r="AA900" i="6"/>
  <c r="AM897" i="6"/>
  <c r="AL897" i="6"/>
  <c r="AL899" i="6"/>
  <c r="AM899" i="6"/>
  <c r="AF896" i="6"/>
  <c r="AF892" i="6"/>
  <c r="AI907" i="6"/>
  <c r="F907" i="6"/>
  <c r="AI909" i="6"/>
  <c r="F909" i="6"/>
  <c r="AI911" i="6"/>
  <c r="F911" i="6"/>
  <c r="R888" i="11" l="1"/>
  <c r="R892" i="11"/>
  <c r="R891" i="11"/>
  <c r="AP908" i="6"/>
  <c r="AP906" i="6"/>
  <c r="AP910" i="6"/>
  <c r="Q893" i="11"/>
  <c r="R893" i="11" s="1"/>
  <c r="Q895" i="11"/>
  <c r="Q889" i="11"/>
  <c r="R889" i="11" s="1"/>
  <c r="AL898" i="6"/>
  <c r="AA905" i="6"/>
  <c r="A911" i="6"/>
  <c r="A907" i="6"/>
  <c r="A909" i="6"/>
  <c r="AJ909" i="6"/>
  <c r="P907" i="6"/>
  <c r="R907" i="6" s="1"/>
  <c r="AH907" i="6" s="1"/>
  <c r="P909" i="6"/>
  <c r="R909" i="6" s="1"/>
  <c r="AH909" i="6" s="1"/>
  <c r="AE908" i="6"/>
  <c r="AD908" i="6"/>
  <c r="P911" i="6"/>
  <c r="R911" i="6" s="1"/>
  <c r="AH911" i="6" s="1"/>
  <c r="AD904" i="6"/>
  <c r="N907" i="6"/>
  <c r="AE906" i="6"/>
  <c r="AE904" i="6"/>
  <c r="AJ911" i="6"/>
  <c r="AD906" i="6"/>
  <c r="N911" i="6"/>
  <c r="N909" i="6"/>
  <c r="AJ907" i="6"/>
  <c r="AC898" i="6"/>
  <c r="AG898" i="6" s="1"/>
  <c r="P895" i="11" s="1"/>
  <c r="AK905" i="6"/>
  <c r="AL905" i="6" s="1"/>
  <c r="L908" i="6"/>
  <c r="L906" i="6"/>
  <c r="L904" i="6"/>
  <c r="K911" i="6"/>
  <c r="M914" i="6" s="1"/>
  <c r="AO914" i="6" s="1"/>
  <c r="K909" i="6"/>
  <c r="M912" i="6" s="1"/>
  <c r="AO912" i="6" s="1"/>
  <c r="K907" i="6"/>
  <c r="M910" i="6" s="1"/>
  <c r="AO910" i="6" s="1"/>
  <c r="AF897" i="6"/>
  <c r="AC900" i="6"/>
  <c r="AB900" i="6"/>
  <c r="AK903" i="6"/>
  <c r="AA903" i="6"/>
  <c r="AB902" i="6"/>
  <c r="AC902" i="6"/>
  <c r="AF899" i="6"/>
  <c r="AL900" i="6"/>
  <c r="AM900" i="6"/>
  <c r="AL902" i="6"/>
  <c r="AM902" i="6"/>
  <c r="AK901" i="6"/>
  <c r="AA901" i="6"/>
  <c r="AG897" i="6"/>
  <c r="P894" i="11" s="1"/>
  <c r="AG899" i="6"/>
  <c r="P896" i="11" s="1"/>
  <c r="AI914" i="6"/>
  <c r="F914" i="6"/>
  <c r="AI910" i="6"/>
  <c r="F910" i="6"/>
  <c r="AI912" i="6"/>
  <c r="F912" i="6"/>
  <c r="R895" i="11" l="1"/>
  <c r="AP909" i="6"/>
  <c r="AP911" i="6"/>
  <c r="AP913" i="6"/>
  <c r="Q896" i="11"/>
  <c r="R896" i="11" s="1"/>
  <c r="Q894" i="11"/>
  <c r="R894" i="11" s="1"/>
  <c r="AB905" i="6"/>
  <c r="AF905" i="6" s="1"/>
  <c r="AC905" i="6"/>
  <c r="AG905" i="6" s="1"/>
  <c r="P902" i="11" s="1"/>
  <c r="AK908" i="6"/>
  <c r="AM908" i="6" s="1"/>
  <c r="AA904" i="6"/>
  <c r="AA906" i="6"/>
  <c r="AC906" i="6" s="1"/>
  <c r="A914" i="6"/>
  <c r="A912" i="6"/>
  <c r="A910" i="6"/>
  <c r="AE907" i="6"/>
  <c r="AE909" i="6"/>
  <c r="AD907" i="6"/>
  <c r="AE911" i="6"/>
  <c r="AD909" i="6"/>
  <c r="N912" i="6"/>
  <c r="AD911" i="6"/>
  <c r="AJ912" i="6"/>
  <c r="AA908" i="6"/>
  <c r="AC908" i="6" s="1"/>
  <c r="AJ914" i="6"/>
  <c r="N910" i="6"/>
  <c r="P914" i="6"/>
  <c r="R914" i="6" s="1"/>
  <c r="AH914" i="6" s="1"/>
  <c r="P910" i="6"/>
  <c r="R910" i="6" s="1"/>
  <c r="AH910" i="6" s="1"/>
  <c r="AJ910" i="6"/>
  <c r="P912" i="6"/>
  <c r="R912" i="6" s="1"/>
  <c r="AH912" i="6" s="1"/>
  <c r="N914" i="6"/>
  <c r="AM905" i="6"/>
  <c r="AK906" i="6"/>
  <c r="AM906" i="6" s="1"/>
  <c r="AK904" i="6"/>
  <c r="AL904" i="6" s="1"/>
  <c r="L909" i="6"/>
  <c r="K910" i="6"/>
  <c r="M913" i="6" s="1"/>
  <c r="AO913" i="6" s="1"/>
  <c r="K914" i="6"/>
  <c r="M917" i="6" s="1"/>
  <c r="AO917" i="6" s="1"/>
  <c r="K912" i="6"/>
  <c r="M915" i="6" s="1"/>
  <c r="AO915" i="6" s="1"/>
  <c r="AL901" i="6"/>
  <c r="AM901" i="6"/>
  <c r="AF902" i="6"/>
  <c r="AF900" i="6"/>
  <c r="AB903" i="6"/>
  <c r="AC903" i="6"/>
  <c r="AG900" i="6"/>
  <c r="P897" i="11" s="1"/>
  <c r="L907" i="6"/>
  <c r="L911" i="6"/>
  <c r="AL903" i="6"/>
  <c r="AM903" i="6"/>
  <c r="AB901" i="6"/>
  <c r="AC901" i="6"/>
  <c r="AG902" i="6"/>
  <c r="P899" i="11" s="1"/>
  <c r="AI915" i="6"/>
  <c r="F915" i="6"/>
  <c r="AI917" i="6"/>
  <c r="F917" i="6"/>
  <c r="AI913" i="6"/>
  <c r="F913" i="6"/>
  <c r="AP914" i="6" l="1"/>
  <c r="AP916" i="6"/>
  <c r="AP912" i="6"/>
  <c r="Q897" i="11"/>
  <c r="R897" i="11" s="1"/>
  <c r="Q899" i="11"/>
  <c r="R899" i="11" s="1"/>
  <c r="Q902" i="11"/>
  <c r="R902" i="11" s="1"/>
  <c r="AL908" i="6"/>
  <c r="AG906" i="6"/>
  <c r="P903" i="11" s="1"/>
  <c r="AB906" i="6"/>
  <c r="AF906" i="6" s="1"/>
  <c r="AC904" i="6"/>
  <c r="AG904" i="6" s="1"/>
  <c r="P901" i="11" s="1"/>
  <c r="AB904" i="6"/>
  <c r="AF904" i="6" s="1"/>
  <c r="AA909" i="6"/>
  <c r="AB909" i="6" s="1"/>
  <c r="AF909" i="6" s="1"/>
  <c r="A915" i="6"/>
  <c r="A913" i="6"/>
  <c r="A917" i="6"/>
  <c r="AD912" i="6"/>
  <c r="AE910" i="6"/>
  <c r="AD914" i="6"/>
  <c r="AD910" i="6"/>
  <c r="AE914" i="6"/>
  <c r="AE912" i="6"/>
  <c r="AG908" i="6"/>
  <c r="P905" i="11" s="1"/>
  <c r="AB908" i="6"/>
  <c r="N913" i="6"/>
  <c r="AJ913" i="6"/>
  <c r="N915" i="6"/>
  <c r="P917" i="6"/>
  <c r="R917" i="6" s="1"/>
  <c r="AH917" i="6" s="1"/>
  <c r="P913" i="6"/>
  <c r="R913" i="6" s="1"/>
  <c r="AH913" i="6" s="1"/>
  <c r="N917" i="6"/>
  <c r="P915" i="6"/>
  <c r="R915" i="6" s="1"/>
  <c r="AH915" i="6" s="1"/>
  <c r="AJ917" i="6"/>
  <c r="AJ915" i="6"/>
  <c r="AL906" i="6"/>
  <c r="AM904" i="6"/>
  <c r="AK909" i="6"/>
  <c r="AL909" i="6" s="1"/>
  <c r="L912" i="6"/>
  <c r="L910" i="6"/>
  <c r="L914" i="6"/>
  <c r="K913" i="6"/>
  <c r="M916" i="6" s="1"/>
  <c r="AO916" i="6" s="1"/>
  <c r="K917" i="6"/>
  <c r="M920" i="6" s="1"/>
  <c r="AO920" i="6" s="1"/>
  <c r="K915" i="6"/>
  <c r="M918" i="6" s="1"/>
  <c r="AO918" i="6" s="1"/>
  <c r="AF901" i="6"/>
  <c r="AK907" i="6"/>
  <c r="AA907" i="6"/>
  <c r="AF903" i="6"/>
  <c r="AG901" i="6"/>
  <c r="P898" i="11" s="1"/>
  <c r="AK911" i="6"/>
  <c r="AA911" i="6"/>
  <c r="AG903" i="6"/>
  <c r="P900" i="11" s="1"/>
  <c r="AI916" i="6"/>
  <c r="F916" i="6"/>
  <c r="AI918" i="6"/>
  <c r="F918" i="6"/>
  <c r="AI920" i="6"/>
  <c r="F920" i="6"/>
  <c r="AP917" i="6" l="1"/>
  <c r="AP919" i="6"/>
  <c r="AP915" i="6"/>
  <c r="Q906" i="11"/>
  <c r="Q898" i="11"/>
  <c r="R898" i="11" s="1"/>
  <c r="Q900" i="11"/>
  <c r="R900" i="11" s="1"/>
  <c r="Q901" i="11"/>
  <c r="R901" i="11" s="1"/>
  <c r="Q903" i="11"/>
  <c r="R903" i="11" s="1"/>
  <c r="AC909" i="6"/>
  <c r="AG909" i="6" s="1"/>
  <c r="P906" i="11" s="1"/>
  <c r="AA914" i="6"/>
  <c r="A920" i="6"/>
  <c r="A918" i="6"/>
  <c r="A916" i="6"/>
  <c r="P916" i="6"/>
  <c r="R916" i="6" s="1"/>
  <c r="AH916" i="6" s="1"/>
  <c r="AE917" i="6"/>
  <c r="P920" i="6"/>
  <c r="R920" i="6" s="1"/>
  <c r="AH920" i="6" s="1"/>
  <c r="AF908" i="6"/>
  <c r="AD913" i="6"/>
  <c r="AJ916" i="6"/>
  <c r="AD917" i="6"/>
  <c r="N916" i="6"/>
  <c r="AD915" i="6"/>
  <c r="AE915" i="6"/>
  <c r="AJ918" i="6"/>
  <c r="P918" i="6"/>
  <c r="R918" i="6" s="1"/>
  <c r="AH918" i="6" s="1"/>
  <c r="N918" i="6"/>
  <c r="AJ920" i="6"/>
  <c r="AE913" i="6"/>
  <c r="N920" i="6"/>
  <c r="AK910" i="6"/>
  <c r="AM910" i="6" s="1"/>
  <c r="AA910" i="6"/>
  <c r="AB910" i="6" s="1"/>
  <c r="AM909" i="6"/>
  <c r="AA912" i="6"/>
  <c r="AB912" i="6" s="1"/>
  <c r="AF912" i="6" s="1"/>
  <c r="AK912" i="6"/>
  <c r="AM912" i="6" s="1"/>
  <c r="AK914" i="6"/>
  <c r="AL914" i="6" s="1"/>
  <c r="L917" i="6"/>
  <c r="K918" i="6"/>
  <c r="M921" i="6" s="1"/>
  <c r="AO921" i="6" s="1"/>
  <c r="K916" i="6"/>
  <c r="M919" i="6" s="1"/>
  <c r="AO919" i="6" s="1"/>
  <c r="K920" i="6"/>
  <c r="M923" i="6" s="1"/>
  <c r="AO923" i="6" s="1"/>
  <c r="AL911" i="6"/>
  <c r="AM911" i="6"/>
  <c r="AB907" i="6"/>
  <c r="AC907" i="6"/>
  <c r="L915" i="6"/>
  <c r="L913" i="6"/>
  <c r="AC911" i="6"/>
  <c r="AB911" i="6"/>
  <c r="AM907" i="6"/>
  <c r="AL907" i="6"/>
  <c r="AI923" i="6"/>
  <c r="F923" i="6"/>
  <c r="AI919" i="6"/>
  <c r="F919" i="6"/>
  <c r="AI921" i="6"/>
  <c r="F921" i="6"/>
  <c r="R906" i="11" l="1"/>
  <c r="AP922" i="6"/>
  <c r="AP920" i="6"/>
  <c r="AP918" i="6"/>
  <c r="Q905" i="11"/>
  <c r="R905" i="11" s="1"/>
  <c r="Q909" i="11"/>
  <c r="AB914" i="6"/>
  <c r="AC914" i="6"/>
  <c r="AA917" i="6"/>
  <c r="A919" i="6"/>
  <c r="A921" i="6"/>
  <c r="A923" i="6"/>
  <c r="AD920" i="6"/>
  <c r="AE920" i="6"/>
  <c r="AD916" i="6"/>
  <c r="AE916" i="6"/>
  <c r="AD918" i="6"/>
  <c r="AE918" i="6"/>
  <c r="AL910" i="6"/>
  <c r="P923" i="6"/>
  <c r="R923" i="6" s="1"/>
  <c r="AH923" i="6" s="1"/>
  <c r="P921" i="6"/>
  <c r="R921" i="6" s="1"/>
  <c r="AH921" i="6" s="1"/>
  <c r="P919" i="6"/>
  <c r="R919" i="6" s="1"/>
  <c r="AH919" i="6" s="1"/>
  <c r="AJ923" i="6"/>
  <c r="N919" i="6"/>
  <c r="AJ919" i="6"/>
  <c r="N923" i="6"/>
  <c r="AF910" i="6"/>
  <c r="AJ921" i="6"/>
  <c r="N921" i="6"/>
  <c r="AC912" i="6"/>
  <c r="AC910" i="6"/>
  <c r="AL912" i="6"/>
  <c r="AM914" i="6"/>
  <c r="L918" i="6"/>
  <c r="AK917" i="6"/>
  <c r="AM917" i="6" s="1"/>
  <c r="L920" i="6"/>
  <c r="L916" i="6"/>
  <c r="K923" i="6"/>
  <c r="M926" i="6" s="1"/>
  <c r="AO926" i="6" s="1"/>
  <c r="K919" i="6"/>
  <c r="M922" i="6" s="1"/>
  <c r="AO922" i="6" s="1"/>
  <c r="K921" i="6"/>
  <c r="M924" i="6" s="1"/>
  <c r="AO924" i="6" s="1"/>
  <c r="AF911" i="6"/>
  <c r="AG907" i="6"/>
  <c r="P904" i="11" s="1"/>
  <c r="AG911" i="6"/>
  <c r="P908" i="11" s="1"/>
  <c r="AK913" i="6"/>
  <c r="AA913" i="6"/>
  <c r="AF907" i="6"/>
  <c r="AK915" i="6"/>
  <c r="AA915" i="6"/>
  <c r="AI924" i="6"/>
  <c r="F924" i="6"/>
  <c r="AI926" i="6"/>
  <c r="F926" i="6"/>
  <c r="AI922" i="6"/>
  <c r="F922" i="6"/>
  <c r="AP923" i="6" l="1"/>
  <c r="AP921" i="6"/>
  <c r="AP925" i="6"/>
  <c r="Q904" i="11"/>
  <c r="R904" i="11" s="1"/>
  <c r="Q908" i="11"/>
  <c r="R908" i="11" s="1"/>
  <c r="Q907" i="11"/>
  <c r="AC917" i="6"/>
  <c r="AG917" i="6" s="1"/>
  <c r="P914" i="11" s="1"/>
  <c r="AG914" i="6"/>
  <c r="P911" i="11" s="1"/>
  <c r="AF914" i="6"/>
  <c r="AB917" i="6"/>
  <c r="AF917" i="6" s="1"/>
  <c r="AA920" i="6"/>
  <c r="AA918" i="6"/>
  <c r="AA916" i="6"/>
  <c r="AC916" i="6" s="1"/>
  <c r="AG916" i="6" s="1"/>
  <c r="P913" i="11" s="1"/>
  <c r="A924" i="6"/>
  <c r="A922" i="6"/>
  <c r="A926" i="6"/>
  <c r="AE923" i="6"/>
  <c r="AD923" i="6"/>
  <c r="AD921" i="6"/>
  <c r="AE921" i="6"/>
  <c r="AE919" i="6"/>
  <c r="AD919" i="6"/>
  <c r="N924" i="6"/>
  <c r="AJ924" i="6"/>
  <c r="AJ922" i="6"/>
  <c r="P926" i="6"/>
  <c r="R926" i="6" s="1"/>
  <c r="AH926" i="6" s="1"/>
  <c r="N926" i="6"/>
  <c r="P922" i="6"/>
  <c r="R922" i="6" s="1"/>
  <c r="AH922" i="6" s="1"/>
  <c r="N922" i="6"/>
  <c r="AJ926" i="6"/>
  <c r="P924" i="6"/>
  <c r="R924" i="6" s="1"/>
  <c r="AH924" i="6" s="1"/>
  <c r="AK920" i="6"/>
  <c r="AM920" i="6" s="1"/>
  <c r="AG910" i="6"/>
  <c r="P907" i="11" s="1"/>
  <c r="AL917" i="6"/>
  <c r="AG912" i="6"/>
  <c r="P909" i="11" s="1"/>
  <c r="R909" i="11" s="1"/>
  <c r="AK918" i="6"/>
  <c r="AM918" i="6" s="1"/>
  <c r="AK916" i="6"/>
  <c r="AM916" i="6" s="1"/>
  <c r="L919" i="6"/>
  <c r="K924" i="6"/>
  <c r="M927" i="6" s="1"/>
  <c r="AO927" i="6" s="1"/>
  <c r="K922" i="6"/>
  <c r="M925" i="6" s="1"/>
  <c r="AO925" i="6" s="1"/>
  <c r="K926" i="6"/>
  <c r="M929" i="6" s="1"/>
  <c r="AO929" i="6" s="1"/>
  <c r="AL913" i="6"/>
  <c r="AM913" i="6"/>
  <c r="AM915" i="6"/>
  <c r="AL915" i="6"/>
  <c r="L921" i="6"/>
  <c r="L923" i="6"/>
  <c r="AC915" i="6"/>
  <c r="AB915" i="6"/>
  <c r="AB913" i="6"/>
  <c r="AC913" i="6"/>
  <c r="AI925" i="6"/>
  <c r="F925" i="6"/>
  <c r="AI927" i="6"/>
  <c r="F927" i="6"/>
  <c r="AI929" i="6"/>
  <c r="F929" i="6"/>
  <c r="R907" i="11" l="1"/>
  <c r="AP928" i="6"/>
  <c r="AP924" i="6"/>
  <c r="AP926" i="6"/>
  <c r="Q914" i="11"/>
  <c r="R914" i="11" s="1"/>
  <c r="Q911" i="11"/>
  <c r="R911" i="11" s="1"/>
  <c r="AC920" i="6"/>
  <c r="AB920" i="6"/>
  <c r="AB916" i="6"/>
  <c r="AC918" i="6"/>
  <c r="AB918" i="6"/>
  <c r="AF918" i="6" s="1"/>
  <c r="AA919" i="6"/>
  <c r="A925" i="6"/>
  <c r="A927" i="6"/>
  <c r="A929" i="6"/>
  <c r="AJ929" i="6"/>
  <c r="AL918" i="6"/>
  <c r="AD922" i="6"/>
  <c r="AD924" i="6"/>
  <c r="AE922" i="6"/>
  <c r="N925" i="6"/>
  <c r="AJ927" i="6"/>
  <c r="N929" i="6"/>
  <c r="AE924" i="6"/>
  <c r="P929" i="6"/>
  <c r="R929" i="6" s="1"/>
  <c r="AH929" i="6" s="1"/>
  <c r="AE926" i="6"/>
  <c r="AJ925" i="6"/>
  <c r="AD926" i="6"/>
  <c r="P925" i="6"/>
  <c r="R925" i="6" s="1"/>
  <c r="AH925" i="6" s="1"/>
  <c r="P927" i="6"/>
  <c r="R927" i="6" s="1"/>
  <c r="AH927" i="6" s="1"/>
  <c r="N927" i="6"/>
  <c r="AL920" i="6"/>
  <c r="AL916" i="6"/>
  <c r="AK919" i="6"/>
  <c r="AL919" i="6" s="1"/>
  <c r="L922" i="6"/>
  <c r="L926" i="6"/>
  <c r="L924" i="6"/>
  <c r="K929" i="6"/>
  <c r="M932" i="6" s="1"/>
  <c r="AO932" i="6" s="1"/>
  <c r="K927" i="6"/>
  <c r="M930" i="6" s="1"/>
  <c r="AO930" i="6" s="1"/>
  <c r="K925" i="6"/>
  <c r="M928" i="6" s="1"/>
  <c r="AO928" i="6" s="1"/>
  <c r="AG915" i="6"/>
  <c r="P912" i="11" s="1"/>
  <c r="AG913" i="6"/>
  <c r="P910" i="11" s="1"/>
  <c r="AK923" i="6"/>
  <c r="AA923" i="6"/>
  <c r="AF915" i="6"/>
  <c r="AK921" i="6"/>
  <c r="AA921" i="6"/>
  <c r="AF913" i="6"/>
  <c r="AI932" i="6"/>
  <c r="F932" i="6"/>
  <c r="AI928" i="6"/>
  <c r="F928" i="6"/>
  <c r="AI930" i="6"/>
  <c r="F930" i="6"/>
  <c r="AP927" i="6" l="1"/>
  <c r="AP929" i="6"/>
  <c r="AP931" i="6"/>
  <c r="Q910" i="11"/>
  <c r="R910" i="11" s="1"/>
  <c r="Q912" i="11"/>
  <c r="R912" i="11" s="1"/>
  <c r="Q915" i="11"/>
  <c r="AG920" i="6"/>
  <c r="P917" i="11" s="1"/>
  <c r="AF920" i="6"/>
  <c r="AF916" i="6"/>
  <c r="AB919" i="6"/>
  <c r="AF919" i="6" s="1"/>
  <c r="AC919" i="6"/>
  <c r="AG919" i="6" s="1"/>
  <c r="P916" i="11" s="1"/>
  <c r="AG918" i="6"/>
  <c r="AA924" i="6"/>
  <c r="AC924" i="6" s="1"/>
  <c r="AA926" i="6"/>
  <c r="AC926" i="6" s="1"/>
  <c r="AA922" i="6"/>
  <c r="AB922" i="6" s="1"/>
  <c r="AF922" i="6" s="1"/>
  <c r="A930" i="6"/>
  <c r="A932" i="6"/>
  <c r="A928" i="6"/>
  <c r="AE925" i="6"/>
  <c r="AE929" i="6"/>
  <c r="AD929" i="6"/>
  <c r="AE927" i="6"/>
  <c r="AD927" i="6"/>
  <c r="P930" i="6"/>
  <c r="R930" i="6" s="1"/>
  <c r="AH930" i="6" s="1"/>
  <c r="AJ930" i="6"/>
  <c r="AD925" i="6"/>
  <c r="P932" i="6"/>
  <c r="R932" i="6" s="1"/>
  <c r="AH932" i="6" s="1"/>
  <c r="AJ932" i="6"/>
  <c r="P928" i="6"/>
  <c r="R928" i="6" s="1"/>
  <c r="AH928" i="6" s="1"/>
  <c r="N928" i="6"/>
  <c r="AJ928" i="6"/>
  <c r="N930" i="6"/>
  <c r="N932" i="6"/>
  <c r="AK926" i="6"/>
  <c r="AM926" i="6" s="1"/>
  <c r="AM919" i="6"/>
  <c r="AK922" i="6"/>
  <c r="AL922" i="6" s="1"/>
  <c r="L929" i="6"/>
  <c r="AK924" i="6"/>
  <c r="AM924" i="6" s="1"/>
  <c r="L927" i="6"/>
  <c r="L925" i="6"/>
  <c r="K930" i="6"/>
  <c r="M933" i="6" s="1"/>
  <c r="AO933" i="6" s="1"/>
  <c r="K932" i="6"/>
  <c r="M935" i="6" s="1"/>
  <c r="AO935" i="6" s="1"/>
  <c r="K928" i="6"/>
  <c r="M931" i="6" s="1"/>
  <c r="AO931" i="6" s="1"/>
  <c r="AB921" i="6"/>
  <c r="AC921" i="6"/>
  <c r="AL923" i="6"/>
  <c r="AM923" i="6"/>
  <c r="AM921" i="6"/>
  <c r="AL921" i="6"/>
  <c r="AB923" i="6"/>
  <c r="AC923" i="6"/>
  <c r="AI933" i="6"/>
  <c r="F933" i="6"/>
  <c r="AI931" i="6"/>
  <c r="F931" i="6"/>
  <c r="AI935" i="6"/>
  <c r="F935" i="6"/>
  <c r="AP930" i="6" l="1"/>
  <c r="AP932" i="6"/>
  <c r="AP934" i="6"/>
  <c r="Q917" i="11"/>
  <c r="R917" i="11" s="1"/>
  <c r="Q919" i="11"/>
  <c r="Q916" i="11"/>
  <c r="R916" i="11" s="1"/>
  <c r="Q913" i="11"/>
  <c r="R913" i="11" s="1"/>
  <c r="P915" i="11"/>
  <c r="R915" i="11" s="1"/>
  <c r="AG926" i="6"/>
  <c r="P923" i="11" s="1"/>
  <c r="AG924" i="6"/>
  <c r="P921" i="11" s="1"/>
  <c r="AB924" i="6"/>
  <c r="AF924" i="6" s="1"/>
  <c r="AB926" i="6"/>
  <c r="AC922" i="6"/>
  <c r="AG922" i="6" s="1"/>
  <c r="P919" i="11" s="1"/>
  <c r="AA925" i="6"/>
  <c r="AA929" i="6"/>
  <c r="AC929" i="6" s="1"/>
  <c r="AG929" i="6" s="1"/>
  <c r="P926" i="11" s="1"/>
  <c r="AA927" i="6"/>
  <c r="AB927" i="6" s="1"/>
  <c r="AF927" i="6" s="1"/>
  <c r="AK927" i="6"/>
  <c r="AL927" i="6" s="1"/>
  <c r="A935" i="6"/>
  <c r="A933" i="6"/>
  <c r="A931" i="6"/>
  <c r="AL926" i="6"/>
  <c r="AE930" i="6"/>
  <c r="AE932" i="6"/>
  <c r="AD932" i="6"/>
  <c r="AD928" i="6"/>
  <c r="AE928" i="6"/>
  <c r="N933" i="6"/>
  <c r="P935" i="6"/>
  <c r="R935" i="6" s="1"/>
  <c r="AH935" i="6" s="1"/>
  <c r="AD930" i="6"/>
  <c r="N935" i="6"/>
  <c r="P931" i="6"/>
  <c r="R931" i="6" s="1"/>
  <c r="AH931" i="6" s="1"/>
  <c r="AJ935" i="6"/>
  <c r="N931" i="6"/>
  <c r="AJ931" i="6"/>
  <c r="AJ933" i="6"/>
  <c r="P933" i="6"/>
  <c r="R933" i="6" s="1"/>
  <c r="AH933" i="6" s="1"/>
  <c r="AK929" i="6"/>
  <c r="AM929" i="6" s="1"/>
  <c r="AM922" i="6"/>
  <c r="AL924" i="6"/>
  <c r="AK925" i="6"/>
  <c r="AM925" i="6" s="1"/>
  <c r="L932" i="6"/>
  <c r="K933" i="6"/>
  <c r="M936" i="6" s="1"/>
  <c r="AO936" i="6" s="1"/>
  <c r="K931" i="6"/>
  <c r="M934" i="6" s="1"/>
  <c r="AO934" i="6" s="1"/>
  <c r="K935" i="6"/>
  <c r="M938" i="6" s="1"/>
  <c r="AO938" i="6" s="1"/>
  <c r="AG923" i="6"/>
  <c r="P920" i="11" s="1"/>
  <c r="AF921" i="6"/>
  <c r="AF923" i="6"/>
  <c r="L928" i="6"/>
  <c r="L930" i="6"/>
  <c r="AG921" i="6"/>
  <c r="P918" i="11" s="1"/>
  <c r="F936" i="6"/>
  <c r="AI936" i="6"/>
  <c r="F938" i="6"/>
  <c r="AI938" i="6"/>
  <c r="AI934" i="6"/>
  <c r="F934" i="6"/>
  <c r="R919" i="11" l="1"/>
  <c r="AP935" i="6"/>
  <c r="AP937" i="6"/>
  <c r="AP933" i="6"/>
  <c r="Q920" i="11"/>
  <c r="R920" i="11" s="1"/>
  <c r="Q924" i="11"/>
  <c r="Q918" i="11"/>
  <c r="R918" i="11" s="1"/>
  <c r="Q921" i="11"/>
  <c r="R921" i="11" s="1"/>
  <c r="AC925" i="6"/>
  <c r="AG925" i="6" s="1"/>
  <c r="P922" i="11" s="1"/>
  <c r="AM927" i="6"/>
  <c r="AB929" i="6"/>
  <c r="AF929" i="6" s="1"/>
  <c r="AB925" i="6"/>
  <c r="AF925" i="6" s="1"/>
  <c r="AC927" i="6"/>
  <c r="AG927" i="6" s="1"/>
  <c r="P924" i="11" s="1"/>
  <c r="AF926" i="6"/>
  <c r="AA932" i="6"/>
  <c r="AL925" i="6"/>
  <c r="A934" i="6"/>
  <c r="A936" i="6"/>
  <c r="A938" i="6"/>
  <c r="AD935" i="6"/>
  <c r="AE931" i="6"/>
  <c r="P934" i="6"/>
  <c r="R934" i="6" s="1"/>
  <c r="AH934" i="6" s="1"/>
  <c r="AE935" i="6"/>
  <c r="N934" i="6"/>
  <c r="N936" i="6"/>
  <c r="P936" i="6"/>
  <c r="R936" i="6" s="1"/>
  <c r="AH936" i="6" s="1"/>
  <c r="AD931" i="6"/>
  <c r="AJ938" i="6"/>
  <c r="AK932" i="6"/>
  <c r="AL932" i="6" s="1"/>
  <c r="AJ936" i="6"/>
  <c r="AE933" i="6"/>
  <c r="P938" i="6"/>
  <c r="R938" i="6" s="1"/>
  <c r="AH938" i="6" s="1"/>
  <c r="AJ934" i="6"/>
  <c r="AD933" i="6"/>
  <c r="N938" i="6"/>
  <c r="AL929" i="6"/>
  <c r="L931" i="6"/>
  <c r="K934" i="6"/>
  <c r="M937" i="6" s="1"/>
  <c r="AO937" i="6" s="1"/>
  <c r="K936" i="6"/>
  <c r="M939" i="6" s="1"/>
  <c r="AO939" i="6" s="1"/>
  <c r="K938" i="6"/>
  <c r="M941" i="6" s="1"/>
  <c r="AO941" i="6" s="1"/>
  <c r="AK930" i="6"/>
  <c r="AA930" i="6"/>
  <c r="L935" i="6"/>
  <c r="L933" i="6"/>
  <c r="AK928" i="6"/>
  <c r="AA928" i="6"/>
  <c r="AI937" i="6"/>
  <c r="F937" i="6"/>
  <c r="AI941" i="6"/>
  <c r="F941" i="6"/>
  <c r="AI939" i="6"/>
  <c r="F939" i="6"/>
  <c r="R924" i="11" l="1"/>
  <c r="AP940" i="6"/>
  <c r="AP936" i="6"/>
  <c r="AP938" i="6"/>
  <c r="Q922" i="11"/>
  <c r="R922" i="11" s="1"/>
  <c r="Q923" i="11"/>
  <c r="R923" i="11" s="1"/>
  <c r="Q926" i="11"/>
  <c r="R926" i="11" s="1"/>
  <c r="AB932" i="6"/>
  <c r="AF932" i="6" s="1"/>
  <c r="AC932" i="6"/>
  <c r="AK931" i="6"/>
  <c r="AM931" i="6" s="1"/>
  <c r="A939" i="6"/>
  <c r="A937" i="6"/>
  <c r="A941" i="6"/>
  <c r="AD936" i="6"/>
  <c r="AE934" i="6"/>
  <c r="AD934" i="6"/>
  <c r="AE936" i="6"/>
  <c r="AM932" i="6"/>
  <c r="P939" i="6"/>
  <c r="R939" i="6" s="1"/>
  <c r="AH939" i="6" s="1"/>
  <c r="AE938" i="6"/>
  <c r="P941" i="6"/>
  <c r="R941" i="6" s="1"/>
  <c r="AH941" i="6" s="1"/>
  <c r="AJ939" i="6"/>
  <c r="AD938" i="6"/>
  <c r="AJ941" i="6"/>
  <c r="N937" i="6"/>
  <c r="AJ937" i="6"/>
  <c r="N941" i="6"/>
  <c r="N939" i="6"/>
  <c r="P937" i="6"/>
  <c r="R937" i="6" s="1"/>
  <c r="AH937" i="6" s="1"/>
  <c r="AA931" i="6"/>
  <c r="AC931" i="6" s="1"/>
  <c r="AG931" i="6" s="1"/>
  <c r="P928" i="11" s="1"/>
  <c r="L936" i="6"/>
  <c r="K937" i="6"/>
  <c r="M940" i="6" s="1"/>
  <c r="AO940" i="6" s="1"/>
  <c r="K941" i="6"/>
  <c r="M944" i="6" s="1"/>
  <c r="AO944" i="6" s="1"/>
  <c r="K939" i="6"/>
  <c r="M942" i="6" s="1"/>
  <c r="AO942" i="6" s="1"/>
  <c r="AC930" i="6"/>
  <c r="AB930" i="6"/>
  <c r="AC928" i="6"/>
  <c r="AB928" i="6"/>
  <c r="AK933" i="6"/>
  <c r="AA933" i="6"/>
  <c r="AL930" i="6"/>
  <c r="AM930" i="6"/>
  <c r="L938" i="6"/>
  <c r="L934" i="6"/>
  <c r="AL928" i="6"/>
  <c r="AM928" i="6"/>
  <c r="AK935" i="6"/>
  <c r="AA935" i="6"/>
  <c r="AI940" i="6"/>
  <c r="F940" i="6"/>
  <c r="F942" i="6"/>
  <c r="AI942" i="6"/>
  <c r="AI944" i="6"/>
  <c r="F944" i="6"/>
  <c r="AP941" i="6" l="1"/>
  <c r="AP943" i="6"/>
  <c r="AP939" i="6"/>
  <c r="Q929" i="11"/>
  <c r="AL931" i="6"/>
  <c r="AG932" i="6"/>
  <c r="AK936" i="6"/>
  <c r="AM936" i="6" s="1"/>
  <c r="A942" i="6"/>
  <c r="A944" i="6"/>
  <c r="A940" i="6"/>
  <c r="AE941" i="6"/>
  <c r="AD941" i="6"/>
  <c r="AE939" i="6"/>
  <c r="AD939" i="6"/>
  <c r="N940" i="6"/>
  <c r="AJ942" i="6"/>
  <c r="P940" i="6"/>
  <c r="R940" i="6" s="1"/>
  <c r="AH940" i="6" s="1"/>
  <c r="P942" i="6"/>
  <c r="R942" i="6" s="1"/>
  <c r="AH942" i="6" s="1"/>
  <c r="AD937" i="6"/>
  <c r="N944" i="6"/>
  <c r="AE937" i="6"/>
  <c r="AJ940" i="6"/>
  <c r="N942" i="6"/>
  <c r="P944" i="6"/>
  <c r="R944" i="6" s="1"/>
  <c r="AH944" i="6" s="1"/>
  <c r="AJ944" i="6"/>
  <c r="AB931" i="6"/>
  <c r="AA936" i="6"/>
  <c r="AC936" i="6" s="1"/>
  <c r="L939" i="6"/>
  <c r="L937" i="6"/>
  <c r="L941" i="6"/>
  <c r="K940" i="6"/>
  <c r="M943" i="6" s="1"/>
  <c r="AO943" i="6" s="1"/>
  <c r="K942" i="6"/>
  <c r="M945" i="6" s="1"/>
  <c r="AO945" i="6" s="1"/>
  <c r="K944" i="6"/>
  <c r="M947" i="6" s="1"/>
  <c r="AO947" i="6" s="1"/>
  <c r="AG928" i="6"/>
  <c r="P925" i="11" s="1"/>
  <c r="AK938" i="6"/>
  <c r="AA938" i="6"/>
  <c r="AF928" i="6"/>
  <c r="AG930" i="6"/>
  <c r="P927" i="11" s="1"/>
  <c r="AM935" i="6"/>
  <c r="AL935" i="6"/>
  <c r="AL933" i="6"/>
  <c r="AM933" i="6"/>
  <c r="AB935" i="6"/>
  <c r="AC935" i="6"/>
  <c r="AK934" i="6"/>
  <c r="AA934" i="6"/>
  <c r="AC933" i="6"/>
  <c r="AB933" i="6"/>
  <c r="AF930" i="6"/>
  <c r="AI947" i="6"/>
  <c r="F947" i="6"/>
  <c r="AI945" i="6"/>
  <c r="F945" i="6"/>
  <c r="AI943" i="6"/>
  <c r="F943" i="6"/>
  <c r="AP942" i="6" l="1"/>
  <c r="AP944" i="6"/>
  <c r="AP946" i="6"/>
  <c r="Q927" i="11"/>
  <c r="R927" i="11" s="1"/>
  <c r="Q925" i="11"/>
  <c r="R925" i="11" s="1"/>
  <c r="AL936" i="6"/>
  <c r="P929" i="11"/>
  <c r="R929" i="11" s="1"/>
  <c r="AA937" i="6"/>
  <c r="AC937" i="6" s="1"/>
  <c r="AG937" i="6" s="1"/>
  <c r="P934" i="11" s="1"/>
  <c r="AA939" i="6"/>
  <c r="AC939" i="6" s="1"/>
  <c r="AG939" i="6" s="1"/>
  <c r="P936" i="11" s="1"/>
  <c r="AA941" i="6"/>
  <c r="A945" i="6"/>
  <c r="A943" i="6"/>
  <c r="A947" i="6"/>
  <c r="N947" i="6"/>
  <c r="N945" i="6"/>
  <c r="AD942" i="6"/>
  <c r="AE940" i="6"/>
  <c r="AD940" i="6"/>
  <c r="AJ945" i="6"/>
  <c r="AE942" i="6"/>
  <c r="AE944" i="6"/>
  <c r="AJ947" i="6"/>
  <c r="N943" i="6"/>
  <c r="P943" i="6"/>
  <c r="R943" i="6" s="1"/>
  <c r="AH943" i="6" s="1"/>
  <c r="AG936" i="6"/>
  <c r="P933" i="11" s="1"/>
  <c r="AD944" i="6"/>
  <c r="P947" i="6"/>
  <c r="R947" i="6" s="1"/>
  <c r="AH947" i="6" s="1"/>
  <c r="P945" i="6"/>
  <c r="R945" i="6" s="1"/>
  <c r="AH945" i="6" s="1"/>
  <c r="AJ943" i="6"/>
  <c r="AK941" i="6"/>
  <c r="AL941" i="6" s="1"/>
  <c r="AF931" i="6"/>
  <c r="AK939" i="6"/>
  <c r="AL939" i="6" s="1"/>
  <c r="AB936" i="6"/>
  <c r="AK937" i="6"/>
  <c r="AL937" i="6" s="1"/>
  <c r="L942" i="6"/>
  <c r="L944" i="6"/>
  <c r="L940" i="6"/>
  <c r="K945" i="6"/>
  <c r="M948" i="6" s="1"/>
  <c r="AO948" i="6" s="1"/>
  <c r="K947" i="6"/>
  <c r="M950" i="6" s="1"/>
  <c r="AO950" i="6" s="1"/>
  <c r="K943" i="6"/>
  <c r="M946" i="6" s="1"/>
  <c r="AO946" i="6" s="1"/>
  <c r="AL934" i="6"/>
  <c r="AM934" i="6"/>
  <c r="AM938" i="6"/>
  <c r="AL938" i="6"/>
  <c r="AG933" i="6"/>
  <c r="P930" i="11" s="1"/>
  <c r="AG935" i="6"/>
  <c r="P932" i="11" s="1"/>
  <c r="AC934" i="6"/>
  <c r="AB934" i="6"/>
  <c r="AC938" i="6"/>
  <c r="AB938" i="6"/>
  <c r="AF933" i="6"/>
  <c r="AF935" i="6"/>
  <c r="AI946" i="6"/>
  <c r="F946" i="6"/>
  <c r="AI950" i="6"/>
  <c r="F950" i="6"/>
  <c r="AI948" i="6"/>
  <c r="F948" i="6"/>
  <c r="AP945" i="6" l="1"/>
  <c r="AP949" i="6"/>
  <c r="AP947" i="6"/>
  <c r="Q932" i="11"/>
  <c r="R932" i="11" s="1"/>
  <c r="Q928" i="11"/>
  <c r="R928" i="11" s="1"/>
  <c r="Q930" i="11"/>
  <c r="R930" i="11" s="1"/>
  <c r="AB937" i="6"/>
  <c r="AF937" i="6" s="1"/>
  <c r="AB941" i="6"/>
  <c r="AC941" i="6"/>
  <c r="AG941" i="6" s="1"/>
  <c r="P938" i="11" s="1"/>
  <c r="AB939" i="6"/>
  <c r="AF939" i="6" s="1"/>
  <c r="AA944" i="6"/>
  <c r="AA942" i="6"/>
  <c r="AC942" i="6" s="1"/>
  <c r="AG942" i="6" s="1"/>
  <c r="P939" i="11" s="1"/>
  <c r="AA940" i="6"/>
  <c r="A948" i="6"/>
  <c r="A946" i="6"/>
  <c r="A950" i="6"/>
  <c r="AD947" i="6"/>
  <c r="AE943" i="6"/>
  <c r="AD943" i="6"/>
  <c r="AD945" i="6"/>
  <c r="P948" i="6"/>
  <c r="R948" i="6" s="1"/>
  <c r="AH948" i="6" s="1"/>
  <c r="AE945" i="6"/>
  <c r="P946" i="6"/>
  <c r="R946" i="6" s="1"/>
  <c r="AH946" i="6" s="1"/>
  <c r="AJ950" i="6"/>
  <c r="AJ946" i="6"/>
  <c r="N948" i="6"/>
  <c r="AE947" i="6"/>
  <c r="N950" i="6"/>
  <c r="N946" i="6"/>
  <c r="AJ948" i="6"/>
  <c r="P950" i="6"/>
  <c r="R950" i="6" s="1"/>
  <c r="AH950" i="6" s="1"/>
  <c r="AM941" i="6"/>
  <c r="AM937" i="6"/>
  <c r="AK940" i="6"/>
  <c r="AL940" i="6" s="1"/>
  <c r="AM939" i="6"/>
  <c r="AF936" i="6"/>
  <c r="AK944" i="6"/>
  <c r="AL944" i="6" s="1"/>
  <c r="AK942" i="6"/>
  <c r="AL942" i="6" s="1"/>
  <c r="L947" i="6"/>
  <c r="K948" i="6"/>
  <c r="M951" i="6" s="1"/>
  <c r="AO951" i="6" s="1"/>
  <c r="K946" i="6"/>
  <c r="M949" i="6" s="1"/>
  <c r="AO949" i="6" s="1"/>
  <c r="K950" i="6"/>
  <c r="M953" i="6" s="1"/>
  <c r="AO953" i="6" s="1"/>
  <c r="AG934" i="6"/>
  <c r="P931" i="11" s="1"/>
  <c r="AF938" i="6"/>
  <c r="AG938" i="6"/>
  <c r="P935" i="11" s="1"/>
  <c r="L943" i="6"/>
  <c r="L945" i="6"/>
  <c r="AF934" i="6"/>
  <c r="AI953" i="6"/>
  <c r="F953" i="6"/>
  <c r="F951" i="6"/>
  <c r="AI951" i="6"/>
  <c r="AI949" i="6"/>
  <c r="F949" i="6"/>
  <c r="AP948" i="6" l="1"/>
  <c r="AP950" i="6"/>
  <c r="AP952" i="6"/>
  <c r="Q936" i="11"/>
  <c r="R936" i="11" s="1"/>
  <c r="Q931" i="11"/>
  <c r="R931" i="11" s="1"/>
  <c r="Q935" i="11"/>
  <c r="R935" i="11" s="1"/>
  <c r="Q933" i="11"/>
  <c r="R933" i="11" s="1"/>
  <c r="Q934" i="11"/>
  <c r="R934" i="11" s="1"/>
  <c r="AF941" i="6"/>
  <c r="AC944" i="6"/>
  <c r="AG944" i="6" s="1"/>
  <c r="P941" i="11" s="1"/>
  <c r="AC940" i="6"/>
  <c r="AG940" i="6" s="1"/>
  <c r="P937" i="11" s="1"/>
  <c r="AB940" i="6"/>
  <c r="AF940" i="6" s="1"/>
  <c r="AB944" i="6"/>
  <c r="AB942" i="6"/>
  <c r="AA947" i="6"/>
  <c r="A953" i="6"/>
  <c r="A951" i="6"/>
  <c r="A949" i="6"/>
  <c r="AD946" i="6"/>
  <c r="AE946" i="6"/>
  <c r="AE948" i="6"/>
  <c r="AE950" i="6"/>
  <c r="AD950" i="6"/>
  <c r="N951" i="6"/>
  <c r="AD948" i="6"/>
  <c r="P949" i="6"/>
  <c r="R949" i="6" s="1"/>
  <c r="AH949" i="6" s="1"/>
  <c r="P953" i="6"/>
  <c r="R953" i="6" s="1"/>
  <c r="AH953" i="6" s="1"/>
  <c r="N949" i="6"/>
  <c r="P951" i="6"/>
  <c r="R951" i="6" s="1"/>
  <c r="AH951" i="6" s="1"/>
  <c r="AJ953" i="6"/>
  <c r="AJ949" i="6"/>
  <c r="AJ951" i="6"/>
  <c r="N953" i="6"/>
  <c r="AM942" i="6"/>
  <c r="AM940" i="6"/>
  <c r="AM944" i="6"/>
  <c r="AK947" i="6"/>
  <c r="AL947" i="6" s="1"/>
  <c r="L946" i="6"/>
  <c r="K951" i="6"/>
  <c r="M954" i="6" s="1"/>
  <c r="AO954" i="6" s="1"/>
  <c r="K949" i="6"/>
  <c r="M952" i="6" s="1"/>
  <c r="AO952" i="6" s="1"/>
  <c r="K953" i="6"/>
  <c r="M956" i="6" s="1"/>
  <c r="AO956" i="6" s="1"/>
  <c r="AK943" i="6"/>
  <c r="AA943" i="6"/>
  <c r="L950" i="6"/>
  <c r="L948" i="6"/>
  <c r="AK945" i="6"/>
  <c r="AA945" i="6"/>
  <c r="AI952" i="6"/>
  <c r="F952" i="6"/>
  <c r="AI954" i="6"/>
  <c r="F954" i="6"/>
  <c r="AI956" i="6"/>
  <c r="F956" i="6"/>
  <c r="AP953" i="6" l="1"/>
  <c r="AP955" i="6"/>
  <c r="AP951" i="6"/>
  <c r="Q937" i="11"/>
  <c r="R937" i="11" s="1"/>
  <c r="Q938" i="11"/>
  <c r="R938" i="11" s="1"/>
  <c r="AF944" i="6"/>
  <c r="AF942" i="6"/>
  <c r="AB947" i="6"/>
  <c r="AF947" i="6" s="1"/>
  <c r="AC947" i="6"/>
  <c r="AG947" i="6" s="1"/>
  <c r="P944" i="11" s="1"/>
  <c r="A952" i="6"/>
  <c r="A954" i="6"/>
  <c r="A956" i="6"/>
  <c r="AE949" i="6"/>
  <c r="AD953" i="6"/>
  <c r="AJ956" i="6"/>
  <c r="N954" i="6"/>
  <c r="P954" i="6"/>
  <c r="R954" i="6" s="1"/>
  <c r="AH954" i="6" s="1"/>
  <c r="AD951" i="6"/>
  <c r="AD949" i="6"/>
  <c r="AE953" i="6"/>
  <c r="P956" i="6"/>
  <c r="R956" i="6" s="1"/>
  <c r="AH956" i="6" s="1"/>
  <c r="AE951" i="6"/>
  <c r="AJ954" i="6"/>
  <c r="N952" i="6"/>
  <c r="P952" i="6"/>
  <c r="R952" i="6" s="1"/>
  <c r="AH952" i="6" s="1"/>
  <c r="N956" i="6"/>
  <c r="AJ952" i="6"/>
  <c r="AM947" i="6"/>
  <c r="AK946" i="6"/>
  <c r="AM946" i="6" s="1"/>
  <c r="AA946" i="6"/>
  <c r="AC946" i="6" s="1"/>
  <c r="L949" i="6"/>
  <c r="L953" i="6"/>
  <c r="L951" i="6"/>
  <c r="K956" i="6"/>
  <c r="M959" i="6" s="1"/>
  <c r="AO959" i="6" s="1"/>
  <c r="K952" i="6"/>
  <c r="M955" i="6" s="1"/>
  <c r="AO955" i="6" s="1"/>
  <c r="K954" i="6"/>
  <c r="M957" i="6" s="1"/>
  <c r="AO957" i="6" s="1"/>
  <c r="AC945" i="6"/>
  <c r="AB945" i="6"/>
  <c r="AK950" i="6"/>
  <c r="AA950" i="6"/>
  <c r="AC943" i="6"/>
  <c r="AB943" i="6"/>
  <c r="AM945" i="6"/>
  <c r="AL945" i="6"/>
  <c r="AK948" i="6"/>
  <c r="AA948" i="6"/>
  <c r="AM943" i="6"/>
  <c r="AL943" i="6"/>
  <c r="AI959" i="6"/>
  <c r="F959" i="6"/>
  <c r="AI957" i="6"/>
  <c r="F957" i="6"/>
  <c r="AI955" i="6"/>
  <c r="F955" i="6"/>
  <c r="AP954" i="6" l="1"/>
  <c r="AP958" i="6"/>
  <c r="AP956" i="6"/>
  <c r="Q944" i="11"/>
  <c r="R944" i="11" s="1"/>
  <c r="Q941" i="11"/>
  <c r="R941" i="11" s="1"/>
  <c r="Q939" i="11"/>
  <c r="R939" i="11" s="1"/>
  <c r="AK949" i="6"/>
  <c r="AL949" i="6" s="1"/>
  <c r="AA951" i="6"/>
  <c r="AC951" i="6" s="1"/>
  <c r="AA953" i="6"/>
  <c r="AC953" i="6" s="1"/>
  <c r="AG953" i="6" s="1"/>
  <c r="P950" i="11" s="1"/>
  <c r="AL946" i="6"/>
  <c r="A957" i="6"/>
  <c r="A955" i="6"/>
  <c r="A959" i="6"/>
  <c r="AD952" i="6"/>
  <c r="AD954" i="6"/>
  <c r="AD956" i="6"/>
  <c r="AE952" i="6"/>
  <c r="AE954" i="6"/>
  <c r="AE956" i="6"/>
  <c r="P957" i="6"/>
  <c r="R957" i="6" s="1"/>
  <c r="AH957" i="6" s="1"/>
  <c r="N957" i="6"/>
  <c r="N955" i="6"/>
  <c r="AJ955" i="6"/>
  <c r="P959" i="6"/>
  <c r="R959" i="6" s="1"/>
  <c r="AH959" i="6" s="1"/>
  <c r="AJ957" i="6"/>
  <c r="AJ959" i="6"/>
  <c r="P955" i="6"/>
  <c r="R955" i="6" s="1"/>
  <c r="AH955" i="6" s="1"/>
  <c r="N959" i="6"/>
  <c r="AA949" i="6"/>
  <c r="AC949" i="6" s="1"/>
  <c r="AK953" i="6"/>
  <c r="AM953" i="6" s="1"/>
  <c r="AG946" i="6"/>
  <c r="P943" i="11" s="1"/>
  <c r="AB946" i="6"/>
  <c r="L952" i="6"/>
  <c r="AK951" i="6"/>
  <c r="AM951" i="6" s="1"/>
  <c r="L954" i="6"/>
  <c r="L956" i="6"/>
  <c r="K959" i="6"/>
  <c r="M962" i="6" s="1"/>
  <c r="AO962" i="6" s="1"/>
  <c r="K957" i="6"/>
  <c r="M960" i="6" s="1"/>
  <c r="AO960" i="6" s="1"/>
  <c r="K955" i="6"/>
  <c r="M958" i="6" s="1"/>
  <c r="AO958" i="6" s="1"/>
  <c r="AG943" i="6"/>
  <c r="P940" i="11" s="1"/>
  <c r="AC950" i="6"/>
  <c r="AB950" i="6"/>
  <c r="AF943" i="6"/>
  <c r="AL950" i="6"/>
  <c r="AM950" i="6"/>
  <c r="AL948" i="6"/>
  <c r="AM948" i="6"/>
  <c r="AF945" i="6"/>
  <c r="AB948" i="6"/>
  <c r="AC948" i="6"/>
  <c r="AG945" i="6"/>
  <c r="P942" i="11" s="1"/>
  <c r="AI958" i="6"/>
  <c r="F958" i="6"/>
  <c r="AI962" i="6"/>
  <c r="F962" i="6"/>
  <c r="AI960" i="6"/>
  <c r="F960" i="6"/>
  <c r="AP957" i="6" l="1"/>
  <c r="AP959" i="6"/>
  <c r="AP961" i="6"/>
  <c r="Q942" i="11"/>
  <c r="R942" i="11" s="1"/>
  <c r="Q940" i="11"/>
  <c r="R940" i="11" s="1"/>
  <c r="AM949" i="6"/>
  <c r="AG951" i="6"/>
  <c r="P948" i="11" s="1"/>
  <c r="AB951" i="6"/>
  <c r="AF951" i="6" s="1"/>
  <c r="AB953" i="6"/>
  <c r="AA956" i="6"/>
  <c r="AA952" i="6"/>
  <c r="AC952" i="6" s="1"/>
  <c r="AG952" i="6" s="1"/>
  <c r="P949" i="11" s="1"/>
  <c r="AA954" i="6"/>
  <c r="AC954" i="6" s="1"/>
  <c r="AG954" i="6" s="1"/>
  <c r="P951" i="11" s="1"/>
  <c r="A962" i="6"/>
  <c r="A960" i="6"/>
  <c r="A958" i="6"/>
  <c r="AD957" i="6"/>
  <c r="P958" i="6"/>
  <c r="R958" i="6" s="1"/>
  <c r="AH958" i="6" s="1"/>
  <c r="AJ960" i="6"/>
  <c r="AE955" i="6"/>
  <c r="AE957" i="6"/>
  <c r="AD955" i="6"/>
  <c r="N962" i="6"/>
  <c r="AG949" i="6"/>
  <c r="AD959" i="6"/>
  <c r="P960" i="6"/>
  <c r="R960" i="6" s="1"/>
  <c r="AH960" i="6" s="1"/>
  <c r="AE959" i="6"/>
  <c r="P962" i="6"/>
  <c r="R962" i="6" s="1"/>
  <c r="AH962" i="6" s="1"/>
  <c r="N958" i="6"/>
  <c r="AJ958" i="6"/>
  <c r="N960" i="6"/>
  <c r="AJ962" i="6"/>
  <c r="AB949" i="6"/>
  <c r="AL951" i="6"/>
  <c r="AK952" i="6"/>
  <c r="AL952" i="6" s="1"/>
  <c r="AL953" i="6"/>
  <c r="AK956" i="6"/>
  <c r="AL956" i="6" s="1"/>
  <c r="AK954" i="6"/>
  <c r="AL954" i="6" s="1"/>
  <c r="AF946" i="6"/>
  <c r="L957" i="6"/>
  <c r="L955" i="6"/>
  <c r="L959" i="6"/>
  <c r="K958" i="6"/>
  <c r="M961" i="6" s="1"/>
  <c r="AO961" i="6" s="1"/>
  <c r="K962" i="6"/>
  <c r="M965" i="6" s="1"/>
  <c r="AO965" i="6" s="1"/>
  <c r="K960" i="6"/>
  <c r="M963" i="6" s="1"/>
  <c r="AO963" i="6" s="1"/>
  <c r="AG950" i="6"/>
  <c r="P947" i="11" s="1"/>
  <c r="AF948" i="6"/>
  <c r="AF950" i="6"/>
  <c r="AG948" i="6"/>
  <c r="P945" i="11" s="1"/>
  <c r="AI963" i="6"/>
  <c r="F963" i="6"/>
  <c r="AI961" i="6"/>
  <c r="F961" i="6"/>
  <c r="AI965" i="6"/>
  <c r="F965" i="6"/>
  <c r="AP964" i="6" l="1"/>
  <c r="AP960" i="6"/>
  <c r="AP962" i="6"/>
  <c r="Q945" i="11"/>
  <c r="R945" i="11" s="1"/>
  <c r="Q943" i="11"/>
  <c r="R943" i="11" s="1"/>
  <c r="Q947" i="11"/>
  <c r="R947" i="11" s="1"/>
  <c r="Q948" i="11"/>
  <c r="R948" i="11" s="1"/>
  <c r="AF953" i="6"/>
  <c r="AB952" i="6"/>
  <c r="AF952" i="6" s="1"/>
  <c r="AC956" i="6"/>
  <c r="AB954" i="6"/>
  <c r="AF954" i="6" s="1"/>
  <c r="AB956" i="6"/>
  <c r="AA957" i="6"/>
  <c r="AA959" i="6"/>
  <c r="AB959" i="6" s="1"/>
  <c r="AF959" i="6" s="1"/>
  <c r="AA955" i="6"/>
  <c r="AC955" i="6" s="1"/>
  <c r="AG955" i="6" s="1"/>
  <c r="P952" i="11" s="1"/>
  <c r="A963" i="6"/>
  <c r="A965" i="6"/>
  <c r="A961" i="6"/>
  <c r="P946" i="11"/>
  <c r="AD958" i="6"/>
  <c r="AE958" i="6"/>
  <c r="AE960" i="6"/>
  <c r="AF949" i="6"/>
  <c r="AM952" i="6"/>
  <c r="AD960" i="6"/>
  <c r="AE962" i="6"/>
  <c r="P963" i="6"/>
  <c r="R963" i="6" s="1"/>
  <c r="AH963" i="6" s="1"/>
  <c r="AD962" i="6"/>
  <c r="N963" i="6"/>
  <c r="N965" i="6"/>
  <c r="P965" i="6"/>
  <c r="R965" i="6" s="1"/>
  <c r="AH965" i="6" s="1"/>
  <c r="AJ965" i="6"/>
  <c r="N961" i="6"/>
  <c r="AJ963" i="6"/>
  <c r="P961" i="6"/>
  <c r="R961" i="6" s="1"/>
  <c r="AH961" i="6" s="1"/>
  <c r="AJ961" i="6"/>
  <c r="AM956" i="6"/>
  <c r="AK957" i="6"/>
  <c r="AL957" i="6" s="1"/>
  <c r="AM954" i="6"/>
  <c r="AK959" i="6"/>
  <c r="AM959" i="6" s="1"/>
  <c r="AK955" i="6"/>
  <c r="AL955" i="6" s="1"/>
  <c r="L962" i="6"/>
  <c r="K965" i="6"/>
  <c r="M968" i="6" s="1"/>
  <c r="AO968" i="6" s="1"/>
  <c r="K961" i="6"/>
  <c r="M964" i="6" s="1"/>
  <c r="AO964" i="6" s="1"/>
  <c r="K963" i="6"/>
  <c r="M966" i="6" s="1"/>
  <c r="AO966" i="6" s="1"/>
  <c r="L960" i="6"/>
  <c r="L958" i="6"/>
  <c r="F968" i="6"/>
  <c r="AI968" i="6"/>
  <c r="F966" i="6"/>
  <c r="AI966" i="6"/>
  <c r="AI964" i="6"/>
  <c r="F964" i="6"/>
  <c r="AP965" i="6" l="1"/>
  <c r="AP963" i="6"/>
  <c r="AP967" i="6"/>
  <c r="Q946" i="11"/>
  <c r="R946" i="11" s="1"/>
  <c r="Q949" i="11"/>
  <c r="R949" i="11" s="1"/>
  <c r="Q956" i="11"/>
  <c r="Q951" i="11"/>
  <c r="R951" i="11" s="1"/>
  <c r="Q950" i="11"/>
  <c r="R950" i="11" s="1"/>
  <c r="AG956" i="6"/>
  <c r="P953" i="11" s="1"/>
  <c r="AF956" i="6"/>
  <c r="AC959" i="6"/>
  <c r="AG959" i="6" s="1"/>
  <c r="P956" i="11" s="1"/>
  <c r="AB957" i="6"/>
  <c r="AF957" i="6" s="1"/>
  <c r="AB955" i="6"/>
  <c r="AC957" i="6"/>
  <c r="A964" i="6"/>
  <c r="A966" i="6"/>
  <c r="A968" i="6"/>
  <c r="AE965" i="6"/>
  <c r="N966" i="6"/>
  <c r="AD961" i="6"/>
  <c r="AJ966" i="6"/>
  <c r="N968" i="6"/>
  <c r="P966" i="6"/>
  <c r="R966" i="6" s="1"/>
  <c r="AH966" i="6" s="1"/>
  <c r="AE963" i="6"/>
  <c r="AD965" i="6"/>
  <c r="AD963" i="6"/>
  <c r="AJ968" i="6"/>
  <c r="AE961" i="6"/>
  <c r="P964" i="6"/>
  <c r="R964" i="6" s="1"/>
  <c r="AH964" i="6" s="1"/>
  <c r="AJ964" i="6"/>
  <c r="P968" i="6"/>
  <c r="R968" i="6" s="1"/>
  <c r="AH968" i="6" s="1"/>
  <c r="N964" i="6"/>
  <c r="AK962" i="6"/>
  <c r="AL962" i="6" s="1"/>
  <c r="AM957" i="6"/>
  <c r="AL959" i="6"/>
  <c r="AA962" i="6"/>
  <c r="AC962" i="6" s="1"/>
  <c r="AG962" i="6" s="1"/>
  <c r="P959" i="11" s="1"/>
  <c r="AM955" i="6"/>
  <c r="L963" i="6"/>
  <c r="L965" i="6"/>
  <c r="L961" i="6"/>
  <c r="K966" i="6"/>
  <c r="M969" i="6" s="1"/>
  <c r="AO969" i="6" s="1"/>
  <c r="K964" i="6"/>
  <c r="M967" i="6" s="1"/>
  <c r="AO967" i="6" s="1"/>
  <c r="K968" i="6"/>
  <c r="M971" i="6" s="1"/>
  <c r="AO971" i="6" s="1"/>
  <c r="AK960" i="6"/>
  <c r="AA960" i="6"/>
  <c r="AK958" i="6"/>
  <c r="AA958" i="6"/>
  <c r="AI967" i="6"/>
  <c r="F967" i="6"/>
  <c r="AI969" i="6"/>
  <c r="F969" i="6"/>
  <c r="AI971" i="6"/>
  <c r="F971" i="6"/>
  <c r="R956" i="11" l="1"/>
  <c r="AP968" i="6"/>
  <c r="AP966" i="6"/>
  <c r="AP970" i="6"/>
  <c r="Q953" i="11"/>
  <c r="R953" i="11" s="1"/>
  <c r="Q954" i="11"/>
  <c r="AG957" i="6"/>
  <c r="P954" i="11" s="1"/>
  <c r="AF955" i="6"/>
  <c r="AA961" i="6"/>
  <c r="AB961" i="6" s="1"/>
  <c r="AF961" i="6" s="1"/>
  <c r="AK965" i="6"/>
  <c r="AM965" i="6" s="1"/>
  <c r="AK963" i="6"/>
  <c r="AL963" i="6" s="1"/>
  <c r="A967" i="6"/>
  <c r="A971" i="6"/>
  <c r="A969" i="6"/>
  <c r="AD966" i="6"/>
  <c r="AE966" i="6"/>
  <c r="AE964" i="6"/>
  <c r="AE968" i="6"/>
  <c r="AD964" i="6"/>
  <c r="AM962" i="6"/>
  <c r="AD968" i="6"/>
  <c r="N967" i="6"/>
  <c r="N971" i="6"/>
  <c r="AJ971" i="6"/>
  <c r="AJ969" i="6"/>
  <c r="P969" i="6"/>
  <c r="R969" i="6" s="1"/>
  <c r="AH969" i="6" s="1"/>
  <c r="AJ967" i="6"/>
  <c r="N969" i="6"/>
  <c r="P971" i="6"/>
  <c r="R971" i="6" s="1"/>
  <c r="AH971" i="6" s="1"/>
  <c r="P967" i="6"/>
  <c r="R967" i="6" s="1"/>
  <c r="AH967" i="6" s="1"/>
  <c r="AB962" i="6"/>
  <c r="AK961" i="6"/>
  <c r="AL961" i="6" s="1"/>
  <c r="AA963" i="6"/>
  <c r="AA965" i="6"/>
  <c r="AC965" i="6" s="1"/>
  <c r="L964" i="6"/>
  <c r="L968" i="6"/>
  <c r="L966" i="6"/>
  <c r="K971" i="6"/>
  <c r="M974" i="6" s="1"/>
  <c r="AO974" i="6" s="1"/>
  <c r="K969" i="6"/>
  <c r="M972" i="6" s="1"/>
  <c r="AO972" i="6" s="1"/>
  <c r="K967" i="6"/>
  <c r="M970" i="6" s="1"/>
  <c r="AO970" i="6" s="1"/>
  <c r="AM958" i="6"/>
  <c r="AL958" i="6"/>
  <c r="AC960" i="6"/>
  <c r="AB960" i="6"/>
  <c r="AC958" i="6"/>
  <c r="AB958" i="6"/>
  <c r="AM960" i="6"/>
  <c r="AL960" i="6"/>
  <c r="AI974" i="6"/>
  <c r="F974" i="6"/>
  <c r="AI972" i="6"/>
  <c r="F972" i="6"/>
  <c r="AI970" i="6"/>
  <c r="F970" i="6"/>
  <c r="R954" i="11" l="1"/>
  <c r="AP973" i="6"/>
  <c r="AP971" i="6"/>
  <c r="AP969" i="6"/>
  <c r="Q958" i="11"/>
  <c r="Q952" i="11"/>
  <c r="R952" i="11" s="1"/>
  <c r="AM963" i="6"/>
  <c r="AL965" i="6"/>
  <c r="AC961" i="6"/>
  <c r="AG961" i="6" s="1"/>
  <c r="P958" i="11" s="1"/>
  <c r="AK968" i="6"/>
  <c r="AM968" i="6" s="1"/>
  <c r="AA964" i="6"/>
  <c r="AA966" i="6"/>
  <c r="AB966" i="6" s="1"/>
  <c r="AF966" i="6" s="1"/>
  <c r="A970" i="6"/>
  <c r="A974" i="6"/>
  <c r="A972" i="6"/>
  <c r="AD969" i="6"/>
  <c r="P970" i="6"/>
  <c r="R970" i="6" s="1"/>
  <c r="AH970" i="6" s="1"/>
  <c r="P972" i="6"/>
  <c r="R972" i="6" s="1"/>
  <c r="AH972" i="6" s="1"/>
  <c r="AK964" i="6"/>
  <c r="AL964" i="6" s="1"/>
  <c r="N972" i="6"/>
  <c r="AE967" i="6"/>
  <c r="AD971" i="6"/>
  <c r="AE969" i="6"/>
  <c r="AJ970" i="6"/>
  <c r="P974" i="6"/>
  <c r="R974" i="6" s="1"/>
  <c r="AH974" i="6" s="1"/>
  <c r="AJ972" i="6"/>
  <c r="AD967" i="6"/>
  <c r="AE971" i="6"/>
  <c r="AJ974" i="6"/>
  <c r="N970" i="6"/>
  <c r="N974" i="6"/>
  <c r="AK966" i="6"/>
  <c r="AL966" i="6" s="1"/>
  <c r="AM961" i="6"/>
  <c r="AF962" i="6"/>
  <c r="AG965" i="6"/>
  <c r="AC963" i="6"/>
  <c r="AB963" i="6"/>
  <c r="AB965" i="6"/>
  <c r="AA968" i="6"/>
  <c r="L969" i="6"/>
  <c r="K974" i="6"/>
  <c r="M977" i="6" s="1"/>
  <c r="AO977" i="6" s="1"/>
  <c r="K970" i="6"/>
  <c r="M973" i="6" s="1"/>
  <c r="AO973" i="6" s="1"/>
  <c r="K972" i="6"/>
  <c r="M975" i="6" s="1"/>
  <c r="AO975" i="6" s="1"/>
  <c r="AG960" i="6"/>
  <c r="P957" i="11" s="1"/>
  <c r="AF958" i="6"/>
  <c r="AG958" i="6"/>
  <c r="P955" i="11" s="1"/>
  <c r="L967" i="6"/>
  <c r="L971" i="6"/>
  <c r="AF960" i="6"/>
  <c r="F973" i="6"/>
  <c r="AI973" i="6"/>
  <c r="AI977" i="6"/>
  <c r="F977" i="6"/>
  <c r="F975" i="6"/>
  <c r="AI975" i="6"/>
  <c r="R958" i="11" l="1"/>
  <c r="AP974" i="6"/>
  <c r="AP972" i="6"/>
  <c r="AP976" i="6"/>
  <c r="Q959" i="11"/>
  <c r="R959" i="11" s="1"/>
  <c r="Q963" i="11"/>
  <c r="Q955" i="11"/>
  <c r="R955" i="11" s="1"/>
  <c r="Q957" i="11"/>
  <c r="R957" i="11" s="1"/>
  <c r="AL968" i="6"/>
  <c r="AC966" i="6"/>
  <c r="AC964" i="6"/>
  <c r="AG964" i="6" s="1"/>
  <c r="P961" i="11" s="1"/>
  <c r="AB964" i="6"/>
  <c r="A977" i="6"/>
  <c r="A975" i="6"/>
  <c r="A973" i="6"/>
  <c r="P962" i="11"/>
  <c r="AD974" i="6"/>
  <c r="AE970" i="6"/>
  <c r="AD970" i="6"/>
  <c r="AD972" i="6"/>
  <c r="AJ977" i="6"/>
  <c r="AE972" i="6"/>
  <c r="AE974" i="6"/>
  <c r="P975" i="6"/>
  <c r="R975" i="6" s="1"/>
  <c r="AH975" i="6" s="1"/>
  <c r="N975" i="6"/>
  <c r="AM964" i="6"/>
  <c r="AK969" i="6"/>
  <c r="AM969" i="6" s="1"/>
  <c r="AJ975" i="6"/>
  <c r="P977" i="6"/>
  <c r="R977" i="6" s="1"/>
  <c r="AH977" i="6" s="1"/>
  <c r="AM966" i="6"/>
  <c r="N977" i="6"/>
  <c r="N973" i="6"/>
  <c r="P973" i="6"/>
  <c r="R973" i="6" s="1"/>
  <c r="AH973" i="6" s="1"/>
  <c r="AJ973" i="6"/>
  <c r="AA969" i="6"/>
  <c r="AF963" i="6"/>
  <c r="AG963" i="6"/>
  <c r="P960" i="11" s="1"/>
  <c r="AC968" i="6"/>
  <c r="AB968" i="6"/>
  <c r="AF965" i="6"/>
  <c r="L970" i="6"/>
  <c r="K973" i="6"/>
  <c r="M976" i="6" s="1"/>
  <c r="AO976" i="6" s="1"/>
  <c r="K977" i="6"/>
  <c r="M980" i="6" s="1"/>
  <c r="AO980" i="6" s="1"/>
  <c r="K975" i="6"/>
  <c r="M978" i="6" s="1"/>
  <c r="AO978" i="6" s="1"/>
  <c r="AK967" i="6"/>
  <c r="AA967" i="6"/>
  <c r="L972" i="6"/>
  <c r="L974" i="6"/>
  <c r="AK971" i="6"/>
  <c r="AA971" i="6"/>
  <c r="AI978" i="6"/>
  <c r="F978" i="6"/>
  <c r="AI980" i="6"/>
  <c r="F980" i="6"/>
  <c r="F976" i="6"/>
  <c r="AI976" i="6"/>
  <c r="AP977" i="6" l="1"/>
  <c r="AP979" i="6"/>
  <c r="AP975" i="6"/>
  <c r="Q962" i="11"/>
  <c r="R962" i="11" s="1"/>
  <c r="Q960" i="11"/>
  <c r="R960" i="11" s="1"/>
  <c r="AG966" i="6"/>
  <c r="P963" i="11" s="1"/>
  <c r="R963" i="11" s="1"/>
  <c r="AF964" i="6"/>
  <c r="AK970" i="6"/>
  <c r="AL970" i="6" s="1"/>
  <c r="A980" i="6"/>
  <c r="A976" i="6"/>
  <c r="A978" i="6"/>
  <c r="AL969" i="6"/>
  <c r="AD975" i="6"/>
  <c r="AE975" i="6"/>
  <c r="P978" i="6"/>
  <c r="R978" i="6" s="1"/>
  <c r="AH978" i="6" s="1"/>
  <c r="AD973" i="6"/>
  <c r="AJ978" i="6"/>
  <c r="AD977" i="6"/>
  <c r="AE977" i="6"/>
  <c r="AE973" i="6"/>
  <c r="P976" i="6"/>
  <c r="R976" i="6" s="1"/>
  <c r="AH976" i="6" s="1"/>
  <c r="N976" i="6"/>
  <c r="AB969" i="6"/>
  <c r="P980" i="6"/>
  <c r="R980" i="6" s="1"/>
  <c r="AH980" i="6" s="1"/>
  <c r="AJ980" i="6"/>
  <c r="N978" i="6"/>
  <c r="N980" i="6"/>
  <c r="AJ976" i="6"/>
  <c r="AC969" i="6"/>
  <c r="AG969" i="6" s="1"/>
  <c r="P966" i="11" s="1"/>
  <c r="AA970" i="6"/>
  <c r="AF968" i="6"/>
  <c r="AG968" i="6"/>
  <c r="P965" i="11" s="1"/>
  <c r="L977" i="6"/>
  <c r="L975" i="6"/>
  <c r="L973" i="6"/>
  <c r="K980" i="6"/>
  <c r="M983" i="6" s="1"/>
  <c r="AO983" i="6" s="1"/>
  <c r="K976" i="6"/>
  <c r="M979" i="6" s="1"/>
  <c r="AO979" i="6" s="1"/>
  <c r="K978" i="6"/>
  <c r="M981" i="6" s="1"/>
  <c r="AO981" i="6" s="1"/>
  <c r="AK974" i="6"/>
  <c r="AA974" i="6"/>
  <c r="AL971" i="6"/>
  <c r="AM971" i="6"/>
  <c r="AK972" i="6"/>
  <c r="AA972" i="6"/>
  <c r="AM967" i="6"/>
  <c r="AL967" i="6"/>
  <c r="AC971" i="6"/>
  <c r="AB971" i="6"/>
  <c r="AC967" i="6"/>
  <c r="AB967" i="6"/>
  <c r="F979" i="6"/>
  <c r="AI979" i="6"/>
  <c r="AI981" i="6"/>
  <c r="F981" i="6"/>
  <c r="F983" i="6"/>
  <c r="AI983" i="6"/>
  <c r="AP980" i="6" l="1"/>
  <c r="AP978" i="6"/>
  <c r="AP982" i="6"/>
  <c r="Q961" i="11"/>
  <c r="R961" i="11" s="1"/>
  <c r="Q965" i="11"/>
  <c r="R965" i="11" s="1"/>
  <c r="AM970" i="6"/>
  <c r="AA977" i="6"/>
  <c r="AB977" i="6" s="1"/>
  <c r="AA973" i="6"/>
  <c r="AB973" i="6" s="1"/>
  <c r="AF973" i="6" s="1"/>
  <c r="AA975" i="6"/>
  <c r="AC975" i="6" s="1"/>
  <c r="AG975" i="6" s="1"/>
  <c r="P972" i="11" s="1"/>
  <c r="A983" i="6"/>
  <c r="A981" i="6"/>
  <c r="A979" i="6"/>
  <c r="AE978" i="6"/>
  <c r="AD980" i="6"/>
  <c r="P983" i="6"/>
  <c r="R983" i="6" s="1"/>
  <c r="AH983" i="6" s="1"/>
  <c r="AD978" i="6"/>
  <c r="N981" i="6"/>
  <c r="AJ981" i="6"/>
  <c r="P981" i="6"/>
  <c r="R981" i="6" s="1"/>
  <c r="AH981" i="6" s="1"/>
  <c r="AD976" i="6"/>
  <c r="AE976" i="6"/>
  <c r="AF969" i="6"/>
  <c r="N979" i="6"/>
  <c r="P979" i="6"/>
  <c r="R979" i="6" s="1"/>
  <c r="AH979" i="6" s="1"/>
  <c r="AE980" i="6"/>
  <c r="N983" i="6"/>
  <c r="AJ979" i="6"/>
  <c r="AJ983" i="6"/>
  <c r="AK977" i="6"/>
  <c r="AM977" i="6" s="1"/>
  <c r="AC970" i="6"/>
  <c r="AG970" i="6" s="1"/>
  <c r="AB970" i="6"/>
  <c r="AK975" i="6"/>
  <c r="AL975" i="6" s="1"/>
  <c r="L976" i="6"/>
  <c r="L978" i="6"/>
  <c r="L980" i="6"/>
  <c r="AK973" i="6"/>
  <c r="AM973" i="6" s="1"/>
  <c r="K979" i="6"/>
  <c r="M982" i="6" s="1"/>
  <c r="AO982" i="6" s="1"/>
  <c r="K983" i="6"/>
  <c r="M986" i="6" s="1"/>
  <c r="AO986" i="6" s="1"/>
  <c r="K981" i="6"/>
  <c r="M984" i="6" s="1"/>
  <c r="AO984" i="6" s="1"/>
  <c r="AC972" i="6"/>
  <c r="AB972" i="6"/>
  <c r="AF971" i="6"/>
  <c r="AM974" i="6"/>
  <c r="AL974" i="6"/>
  <c r="AF967" i="6"/>
  <c r="AG971" i="6"/>
  <c r="P968" i="11" s="1"/>
  <c r="AL972" i="6"/>
  <c r="AM972" i="6"/>
  <c r="AG967" i="6"/>
  <c r="P964" i="11" s="1"/>
  <c r="AC974" i="6"/>
  <c r="AB974" i="6"/>
  <c r="AI986" i="6"/>
  <c r="F986" i="6"/>
  <c r="AI984" i="6"/>
  <c r="F984" i="6"/>
  <c r="AI982" i="6"/>
  <c r="F982" i="6"/>
  <c r="AC977" i="6" l="1"/>
  <c r="AG977" i="6" s="1"/>
  <c r="P974" i="11" s="1"/>
  <c r="AP981" i="6"/>
  <c r="AP985" i="6"/>
  <c r="AP983" i="6"/>
  <c r="Q966" i="11"/>
  <c r="R966" i="11" s="1"/>
  <c r="Q964" i="11"/>
  <c r="R964" i="11" s="1"/>
  <c r="Q968" i="11"/>
  <c r="R968" i="11" s="1"/>
  <c r="Q970" i="11"/>
  <c r="AF977" i="6"/>
  <c r="AC973" i="6"/>
  <c r="AB975" i="6"/>
  <c r="AF975" i="6" s="1"/>
  <c r="AA978" i="6"/>
  <c r="AA976" i="6"/>
  <c r="AB976" i="6" s="1"/>
  <c r="AA980" i="6"/>
  <c r="AC980" i="6" s="1"/>
  <c r="AG980" i="6" s="1"/>
  <c r="P977" i="11" s="1"/>
  <c r="AK976" i="6"/>
  <c r="AL976" i="6" s="1"/>
  <c r="A984" i="6"/>
  <c r="A982" i="6"/>
  <c r="A986" i="6"/>
  <c r="P967" i="11"/>
  <c r="AD983" i="6"/>
  <c r="AE979" i="6"/>
  <c r="P982" i="6"/>
  <c r="R982" i="6" s="1"/>
  <c r="AH982" i="6" s="1"/>
  <c r="AE983" i="6"/>
  <c r="N982" i="6"/>
  <c r="AJ982" i="6"/>
  <c r="AD979" i="6"/>
  <c r="AE981" i="6"/>
  <c r="P984" i="6"/>
  <c r="R984" i="6" s="1"/>
  <c r="AH984" i="6" s="1"/>
  <c r="AD981" i="6"/>
  <c r="AJ986" i="6"/>
  <c r="N986" i="6"/>
  <c r="AL977" i="6"/>
  <c r="N984" i="6"/>
  <c r="P986" i="6"/>
  <c r="R986" i="6" s="1"/>
  <c r="AH986" i="6" s="1"/>
  <c r="AJ984" i="6"/>
  <c r="AL973" i="6"/>
  <c r="AF970" i="6"/>
  <c r="AM975" i="6"/>
  <c r="AK978" i="6"/>
  <c r="AL978" i="6" s="1"/>
  <c r="L983" i="6"/>
  <c r="AK980" i="6"/>
  <c r="AL980" i="6" s="1"/>
  <c r="K982" i="6"/>
  <c r="M985" i="6" s="1"/>
  <c r="AO985" i="6" s="1"/>
  <c r="K984" i="6"/>
  <c r="M987" i="6" s="1"/>
  <c r="AO987" i="6" s="1"/>
  <c r="K986" i="6"/>
  <c r="M989" i="6" s="1"/>
  <c r="AO989" i="6" s="1"/>
  <c r="AF974" i="6"/>
  <c r="AG972" i="6"/>
  <c r="P969" i="11" s="1"/>
  <c r="L981" i="6"/>
  <c r="L979" i="6"/>
  <c r="AG974" i="6"/>
  <c r="P971" i="11" s="1"/>
  <c r="AF972" i="6"/>
  <c r="AI989" i="6"/>
  <c r="F989" i="6"/>
  <c r="AI985" i="6"/>
  <c r="F985" i="6"/>
  <c r="AI987" i="6"/>
  <c r="F987" i="6"/>
  <c r="AP988" i="6" l="1"/>
  <c r="AP986" i="6"/>
  <c r="AP984" i="6"/>
  <c r="Q969" i="11"/>
  <c r="R969" i="11" s="1"/>
  <c r="Q972" i="11"/>
  <c r="R972" i="11" s="1"/>
  <c r="Q971" i="11"/>
  <c r="R971" i="11" s="1"/>
  <c r="Q967" i="11"/>
  <c r="R967" i="11" s="1"/>
  <c r="Q974" i="11"/>
  <c r="R974" i="11" s="1"/>
  <c r="AF976" i="6"/>
  <c r="AG973" i="6"/>
  <c r="P970" i="11" s="1"/>
  <c r="R970" i="11" s="1"/>
  <c r="AM976" i="6"/>
  <c r="AB978" i="6"/>
  <c r="AF978" i="6" s="1"/>
  <c r="AC978" i="6"/>
  <c r="AG978" i="6" s="1"/>
  <c r="P975" i="11" s="1"/>
  <c r="AB980" i="6"/>
  <c r="AC976" i="6"/>
  <c r="AG976" i="6" s="1"/>
  <c r="P973" i="11" s="1"/>
  <c r="AA983" i="6"/>
  <c r="AB983" i="6" s="1"/>
  <c r="AF983" i="6" s="1"/>
  <c r="A987" i="6"/>
  <c r="A989" i="6"/>
  <c r="A985" i="6"/>
  <c r="AD982" i="6"/>
  <c r="AE982" i="6"/>
  <c r="AD984" i="6"/>
  <c r="AE984" i="6"/>
  <c r="AE986" i="6"/>
  <c r="AD986" i="6"/>
  <c r="N987" i="6"/>
  <c r="P987" i="6"/>
  <c r="R987" i="6" s="1"/>
  <c r="AH987" i="6" s="1"/>
  <c r="P985" i="6"/>
  <c r="R985" i="6" s="1"/>
  <c r="AH985" i="6" s="1"/>
  <c r="AJ989" i="6"/>
  <c r="N985" i="6"/>
  <c r="P989" i="6"/>
  <c r="R989" i="6" s="1"/>
  <c r="AH989" i="6" s="1"/>
  <c r="AJ987" i="6"/>
  <c r="N989" i="6"/>
  <c r="AJ985" i="6"/>
  <c r="AM978" i="6"/>
  <c r="AK983" i="6"/>
  <c r="AL983" i="6" s="1"/>
  <c r="L984" i="6"/>
  <c r="AM980" i="6"/>
  <c r="L986" i="6"/>
  <c r="L982" i="6"/>
  <c r="K987" i="6"/>
  <c r="M990" i="6" s="1"/>
  <c r="AO990" i="6" s="1"/>
  <c r="K989" i="6"/>
  <c r="M992" i="6" s="1"/>
  <c r="AO992" i="6" s="1"/>
  <c r="K985" i="6"/>
  <c r="M988" i="6" s="1"/>
  <c r="AO988" i="6" s="1"/>
  <c r="AK979" i="6"/>
  <c r="AA979" i="6"/>
  <c r="AK981" i="6"/>
  <c r="AA981" i="6"/>
  <c r="AI990" i="6"/>
  <c r="F990" i="6"/>
  <c r="AI992" i="6"/>
  <c r="F992" i="6"/>
  <c r="AI988" i="6"/>
  <c r="F988" i="6"/>
  <c r="AP987" i="6" l="1"/>
  <c r="AP989" i="6"/>
  <c r="AP991" i="6"/>
  <c r="Q975" i="11"/>
  <c r="R975" i="11" s="1"/>
  <c r="Q973" i="11"/>
  <c r="R973" i="11" s="1"/>
  <c r="Q980" i="11"/>
  <c r="AF980" i="6"/>
  <c r="AC983" i="6"/>
  <c r="AG983" i="6" s="1"/>
  <c r="P980" i="11" s="1"/>
  <c r="AA984" i="6"/>
  <c r="AB984" i="6" s="1"/>
  <c r="AF984" i="6" s="1"/>
  <c r="AA982" i="6"/>
  <c r="AA986" i="6"/>
  <c r="AC986" i="6" s="1"/>
  <c r="AE985" i="6"/>
  <c r="A988" i="6"/>
  <c r="A990" i="6"/>
  <c r="A992" i="6"/>
  <c r="AE989" i="6"/>
  <c r="AD989" i="6"/>
  <c r="AD985" i="6"/>
  <c r="AE987" i="6"/>
  <c r="AD987" i="6"/>
  <c r="N992" i="6"/>
  <c r="P992" i="6"/>
  <c r="R992" i="6" s="1"/>
  <c r="AH992" i="6" s="1"/>
  <c r="AJ988" i="6"/>
  <c r="N988" i="6"/>
  <c r="P988" i="6"/>
  <c r="R988" i="6" s="1"/>
  <c r="AH988" i="6" s="1"/>
  <c r="AJ992" i="6"/>
  <c r="P990" i="6"/>
  <c r="R990" i="6" s="1"/>
  <c r="AH990" i="6" s="1"/>
  <c r="N990" i="6"/>
  <c r="AJ990" i="6"/>
  <c r="AK982" i="6"/>
  <c r="AL982" i="6" s="1"/>
  <c r="AM983" i="6"/>
  <c r="AK984" i="6"/>
  <c r="AL984" i="6" s="1"/>
  <c r="AK986" i="6"/>
  <c r="AM986" i="6" s="1"/>
  <c r="L989" i="6"/>
  <c r="K988" i="6"/>
  <c r="M991" i="6" s="1"/>
  <c r="AO991" i="6" s="1"/>
  <c r="K990" i="6"/>
  <c r="M993" i="6" s="1"/>
  <c r="AO993" i="6" s="1"/>
  <c r="K992" i="6"/>
  <c r="M995" i="6" s="1"/>
  <c r="AO995" i="6" s="1"/>
  <c r="AL979" i="6"/>
  <c r="AM979" i="6"/>
  <c r="AM981" i="6"/>
  <c r="AL981" i="6"/>
  <c r="L985" i="6"/>
  <c r="L987" i="6"/>
  <c r="AB981" i="6"/>
  <c r="AC981" i="6"/>
  <c r="AC979" i="6"/>
  <c r="AB979" i="6"/>
  <c r="AI991" i="6"/>
  <c r="F991" i="6"/>
  <c r="AI993" i="6"/>
  <c r="F993" i="6"/>
  <c r="AI995" i="6"/>
  <c r="F995" i="6"/>
  <c r="R980" i="11" l="1"/>
  <c r="AP994" i="6"/>
  <c r="AP992" i="6"/>
  <c r="AP990" i="6"/>
  <c r="Q981" i="11"/>
  <c r="Q977" i="11"/>
  <c r="R977" i="11" s="1"/>
  <c r="AB982" i="6"/>
  <c r="AC982" i="6"/>
  <c r="AG982" i="6" s="1"/>
  <c r="P979" i="11" s="1"/>
  <c r="AC984" i="6"/>
  <c r="AG984" i="6" s="1"/>
  <c r="P981" i="11" s="1"/>
  <c r="AG986" i="6"/>
  <c r="P983" i="11" s="1"/>
  <c r="AB986" i="6"/>
  <c r="AF986" i="6" s="1"/>
  <c r="AK989" i="6"/>
  <c r="AM989" i="6" s="1"/>
  <c r="AM984" i="6"/>
  <c r="A995" i="6"/>
  <c r="A993" i="6"/>
  <c r="A991" i="6"/>
  <c r="AJ991" i="6"/>
  <c r="AM982" i="6"/>
  <c r="P991" i="6"/>
  <c r="R991" i="6" s="1"/>
  <c r="AH991" i="6" s="1"/>
  <c r="N991" i="6"/>
  <c r="AD992" i="6"/>
  <c r="AE988" i="6"/>
  <c r="AE992" i="6"/>
  <c r="N993" i="6"/>
  <c r="AE990" i="6"/>
  <c r="AD988" i="6"/>
  <c r="AJ993" i="6"/>
  <c r="AD990" i="6"/>
  <c r="P993" i="6"/>
  <c r="R993" i="6" s="1"/>
  <c r="AH993" i="6" s="1"/>
  <c r="AJ995" i="6"/>
  <c r="N995" i="6"/>
  <c r="P995" i="6"/>
  <c r="R995" i="6" s="1"/>
  <c r="AH995" i="6" s="1"/>
  <c r="AA989" i="6"/>
  <c r="AB989" i="6" s="1"/>
  <c r="AF989" i="6" s="1"/>
  <c r="AL986" i="6"/>
  <c r="L990" i="6"/>
  <c r="K993" i="6"/>
  <c r="M996" i="6" s="1"/>
  <c r="AO996" i="6" s="1"/>
  <c r="K995" i="6"/>
  <c r="M998" i="6" s="1"/>
  <c r="AO998" i="6" s="1"/>
  <c r="K991" i="6"/>
  <c r="M994" i="6" s="1"/>
  <c r="AO994" i="6" s="1"/>
  <c r="AF979" i="6"/>
  <c r="AF981" i="6"/>
  <c r="AK987" i="6"/>
  <c r="AA987" i="6"/>
  <c r="L992" i="6"/>
  <c r="L988" i="6"/>
  <c r="AG979" i="6"/>
  <c r="P976" i="11" s="1"/>
  <c r="AG981" i="6"/>
  <c r="P978" i="11" s="1"/>
  <c r="AK985" i="6"/>
  <c r="AA985" i="6"/>
  <c r="F994" i="6"/>
  <c r="AI994" i="6"/>
  <c r="AI998" i="6"/>
  <c r="F998" i="6"/>
  <c r="F996" i="6"/>
  <c r="AI996" i="6"/>
  <c r="R981" i="11" l="1"/>
  <c r="AP993" i="6"/>
  <c r="AP997" i="6"/>
  <c r="AP995" i="6"/>
  <c r="Q986" i="11"/>
  <c r="Q976" i="11"/>
  <c r="R976" i="11" s="1"/>
  <c r="Q978" i="11"/>
  <c r="R978" i="11" s="1"/>
  <c r="Q983" i="11"/>
  <c r="R983" i="11" s="1"/>
  <c r="AF982" i="6"/>
  <c r="AL989" i="6"/>
  <c r="AA990" i="6"/>
  <c r="AB990" i="6" s="1"/>
  <c r="A996" i="6"/>
  <c r="A994" i="6"/>
  <c r="A998" i="6"/>
  <c r="AD991" i="6"/>
  <c r="AE993" i="6"/>
  <c r="AE991" i="6"/>
  <c r="AD993" i="6"/>
  <c r="AJ998" i="6"/>
  <c r="AD995" i="6"/>
  <c r="P996" i="6"/>
  <c r="R996" i="6" s="1"/>
  <c r="AH996" i="6" s="1"/>
  <c r="P994" i="6"/>
  <c r="R994" i="6" s="1"/>
  <c r="AH994" i="6" s="1"/>
  <c r="N998" i="6"/>
  <c r="AJ994" i="6"/>
  <c r="N996" i="6"/>
  <c r="N994" i="6"/>
  <c r="AJ996" i="6"/>
  <c r="AE995" i="6"/>
  <c r="P998" i="6"/>
  <c r="R998" i="6" s="1"/>
  <c r="AH998" i="6" s="1"/>
  <c r="AC989" i="6"/>
  <c r="AK990" i="6"/>
  <c r="AL990" i="6" s="1"/>
  <c r="L995" i="6"/>
  <c r="K996" i="6"/>
  <c r="M999" i="6" s="1"/>
  <c r="AO999" i="6" s="1"/>
  <c r="K994" i="6"/>
  <c r="M997" i="6" s="1"/>
  <c r="AO997" i="6" s="1"/>
  <c r="K998" i="6"/>
  <c r="M1001" i="6" s="1"/>
  <c r="AO1001" i="6" s="1"/>
  <c r="AM985" i="6"/>
  <c r="AL985" i="6"/>
  <c r="AK988" i="6"/>
  <c r="AA988" i="6"/>
  <c r="AL987" i="6"/>
  <c r="AM987" i="6"/>
  <c r="AC985" i="6"/>
  <c r="AB985" i="6"/>
  <c r="AK992" i="6"/>
  <c r="AA992" i="6"/>
  <c r="L991" i="6"/>
  <c r="L993" i="6"/>
  <c r="AB987" i="6"/>
  <c r="AC987" i="6"/>
  <c r="AI999" i="6"/>
  <c r="F999" i="6"/>
  <c r="AI1001" i="6"/>
  <c r="F1001" i="6"/>
  <c r="AI997" i="6"/>
  <c r="F997" i="6"/>
  <c r="AP1000" i="6" l="1"/>
  <c r="AP996" i="6"/>
  <c r="AP998" i="6"/>
  <c r="Q979" i="11"/>
  <c r="R979" i="11" s="1"/>
  <c r="AF990" i="6"/>
  <c r="AC990" i="6"/>
  <c r="A999" i="6"/>
  <c r="A1001" i="6"/>
  <c r="A997" i="6"/>
  <c r="AD996" i="6"/>
  <c r="AE996" i="6"/>
  <c r="AJ1001" i="6"/>
  <c r="AK995" i="6"/>
  <c r="AL995" i="6" s="1"/>
  <c r="AD994" i="6"/>
  <c r="N1001" i="6"/>
  <c r="AE994" i="6"/>
  <c r="P997" i="6"/>
  <c r="R997" i="6" s="1"/>
  <c r="AH997" i="6" s="1"/>
  <c r="AE998" i="6"/>
  <c r="N997" i="6"/>
  <c r="AD998" i="6"/>
  <c r="P1001" i="6"/>
  <c r="R1001" i="6" s="1"/>
  <c r="AH1001" i="6" s="1"/>
  <c r="AJ997" i="6"/>
  <c r="N999" i="6"/>
  <c r="P999" i="6"/>
  <c r="R999" i="6" s="1"/>
  <c r="AH999" i="6" s="1"/>
  <c r="AJ999" i="6"/>
  <c r="AM990" i="6"/>
  <c r="AG989" i="6"/>
  <c r="P986" i="11" s="1"/>
  <c r="R986" i="11" s="1"/>
  <c r="AA995" i="6"/>
  <c r="L998" i="6"/>
  <c r="L996" i="6"/>
  <c r="L994" i="6"/>
  <c r="K999" i="6"/>
  <c r="M1002" i="6" s="1"/>
  <c r="AO1002" i="6" s="1"/>
  <c r="K1001" i="6"/>
  <c r="M1004" i="6" s="1"/>
  <c r="AO1004" i="6" s="1"/>
  <c r="K997" i="6"/>
  <c r="M1000" i="6" s="1"/>
  <c r="AO1000" i="6" s="1"/>
  <c r="AK993" i="6"/>
  <c r="AA993" i="6"/>
  <c r="AM992" i="6"/>
  <c r="AL992" i="6"/>
  <c r="AG985" i="6"/>
  <c r="P982" i="11" s="1"/>
  <c r="AF987" i="6"/>
  <c r="AC992" i="6"/>
  <c r="AB992" i="6"/>
  <c r="AF985" i="6"/>
  <c r="AC988" i="6"/>
  <c r="AB988" i="6"/>
  <c r="AG987" i="6"/>
  <c r="P984" i="11" s="1"/>
  <c r="AK991" i="6"/>
  <c r="AA991" i="6"/>
  <c r="AM988" i="6"/>
  <c r="AL988" i="6"/>
  <c r="AI1000" i="6"/>
  <c r="F1000" i="6"/>
  <c r="AI1002" i="6"/>
  <c r="F1002" i="6"/>
  <c r="F1004" i="6"/>
  <c r="AI1004" i="6"/>
  <c r="AP999" i="6" l="1"/>
  <c r="AP1003" i="6"/>
  <c r="AP1001" i="6"/>
  <c r="Q982" i="11"/>
  <c r="R982" i="11" s="1"/>
  <c r="Q987" i="11"/>
  <c r="Q984" i="11"/>
  <c r="R984" i="11" s="1"/>
  <c r="AG990" i="6"/>
  <c r="AK994" i="6"/>
  <c r="AL994" i="6" s="1"/>
  <c r="AK996" i="6"/>
  <c r="AM996" i="6" s="1"/>
  <c r="AK998" i="6"/>
  <c r="AM998" i="6" s="1"/>
  <c r="A1000" i="6"/>
  <c r="A1002" i="6"/>
  <c r="A1004" i="6"/>
  <c r="AE997" i="6"/>
  <c r="AD1001" i="6"/>
  <c r="AM995" i="6"/>
  <c r="AD997" i="6"/>
  <c r="AJ1000" i="6"/>
  <c r="N1000" i="6"/>
  <c r="AE1001" i="6"/>
  <c r="AE999" i="6"/>
  <c r="AJ1004" i="6"/>
  <c r="P1002" i="6"/>
  <c r="R1002" i="6" s="1"/>
  <c r="AH1002" i="6" s="1"/>
  <c r="AJ1002" i="6"/>
  <c r="P1000" i="6"/>
  <c r="R1000" i="6" s="1"/>
  <c r="AH1000" i="6" s="1"/>
  <c r="N1004" i="6"/>
  <c r="AD999" i="6"/>
  <c r="P1004" i="6"/>
  <c r="R1004" i="6" s="1"/>
  <c r="AH1004" i="6" s="1"/>
  <c r="N1002" i="6"/>
  <c r="AB995" i="6"/>
  <c r="AA998" i="6"/>
  <c r="AC998" i="6" s="1"/>
  <c r="AG998" i="6" s="1"/>
  <c r="P995" i="11" s="1"/>
  <c r="AC995" i="6"/>
  <c r="AA996" i="6"/>
  <c r="AB996" i="6" s="1"/>
  <c r="AF996" i="6" s="1"/>
  <c r="AA994" i="6"/>
  <c r="AB994" i="6" s="1"/>
  <c r="AF994" i="6" s="1"/>
  <c r="L1001" i="6"/>
  <c r="L997" i="6"/>
  <c r="L999" i="6"/>
  <c r="K1002" i="6"/>
  <c r="M1005" i="6" s="1"/>
  <c r="AO1005" i="6" s="1"/>
  <c r="K1004" i="6"/>
  <c r="M1007" i="6" s="1"/>
  <c r="AO1007" i="6" s="1"/>
  <c r="K1000" i="6"/>
  <c r="M1003" i="6" s="1"/>
  <c r="AO1003" i="6" s="1"/>
  <c r="AF988" i="6"/>
  <c r="AB991" i="6"/>
  <c r="AC991" i="6"/>
  <c r="AG988" i="6"/>
  <c r="P985" i="11" s="1"/>
  <c r="AF992" i="6"/>
  <c r="AL993" i="6"/>
  <c r="AM993" i="6"/>
  <c r="AG992" i="6"/>
  <c r="P989" i="11" s="1"/>
  <c r="AL991" i="6"/>
  <c r="AM991" i="6"/>
  <c r="AB993" i="6"/>
  <c r="AC993" i="6"/>
  <c r="F1003" i="6"/>
  <c r="AI1003" i="6"/>
  <c r="AI1007" i="6"/>
  <c r="F1007" i="6"/>
  <c r="AI1005" i="6"/>
  <c r="F1005" i="6"/>
  <c r="AP1006" i="6" l="1"/>
  <c r="AP1004" i="6"/>
  <c r="AP1002" i="6"/>
  <c r="Q985" i="11"/>
  <c r="R985" i="11" s="1"/>
  <c r="Q991" i="11"/>
  <c r="Q989" i="11"/>
  <c r="R989" i="11" s="1"/>
  <c r="Q993" i="11"/>
  <c r="P987" i="11"/>
  <c r="R987" i="11" s="1"/>
  <c r="AL998" i="6"/>
  <c r="AL996" i="6"/>
  <c r="AM994" i="6"/>
  <c r="AA999" i="6"/>
  <c r="AB999" i="6" s="1"/>
  <c r="AF999" i="6" s="1"/>
  <c r="AA997" i="6"/>
  <c r="AA1001" i="6"/>
  <c r="AB1001" i="6" s="1"/>
  <c r="AF1001" i="6" s="1"/>
  <c r="A1005" i="6"/>
  <c r="A1003" i="6"/>
  <c r="A1007" i="6"/>
  <c r="AK1001" i="6"/>
  <c r="AL1001" i="6" s="1"/>
  <c r="AD1000" i="6"/>
  <c r="P1005" i="6"/>
  <c r="R1005" i="6" s="1"/>
  <c r="AH1005" i="6" s="1"/>
  <c r="AJ1005" i="6"/>
  <c r="AE1002" i="6"/>
  <c r="AD1002" i="6"/>
  <c r="AE1000" i="6"/>
  <c r="P1003" i="6"/>
  <c r="R1003" i="6" s="1"/>
  <c r="AH1003" i="6" s="1"/>
  <c r="AJ1003" i="6"/>
  <c r="AE1004" i="6"/>
  <c r="AD1004" i="6"/>
  <c r="AJ1007" i="6"/>
  <c r="N1005" i="6"/>
  <c r="N1003" i="6"/>
  <c r="N1007" i="6"/>
  <c r="P1007" i="6"/>
  <c r="R1007" i="6" s="1"/>
  <c r="AH1007" i="6" s="1"/>
  <c r="AC994" i="6"/>
  <c r="AG994" i="6" s="1"/>
  <c r="P991" i="11" s="1"/>
  <c r="AC996" i="6"/>
  <c r="AB998" i="6"/>
  <c r="AF995" i="6"/>
  <c r="AK997" i="6"/>
  <c r="AM997" i="6" s="1"/>
  <c r="AG995" i="6"/>
  <c r="P992" i="11" s="1"/>
  <c r="AK999" i="6"/>
  <c r="AM999" i="6" s="1"/>
  <c r="L1004" i="6"/>
  <c r="L1000" i="6"/>
  <c r="L1002" i="6"/>
  <c r="K1007" i="6"/>
  <c r="M1010" i="6" s="1"/>
  <c r="AO1010" i="6" s="1"/>
  <c r="K1005" i="6"/>
  <c r="M1008" i="6" s="1"/>
  <c r="AO1008" i="6" s="1"/>
  <c r="K1003" i="6"/>
  <c r="M1006" i="6" s="1"/>
  <c r="AO1006" i="6" s="1"/>
  <c r="AF993" i="6"/>
  <c r="AG991" i="6"/>
  <c r="P988" i="11" s="1"/>
  <c r="AF991" i="6"/>
  <c r="AG993" i="6"/>
  <c r="P990" i="11" s="1"/>
  <c r="AI1008" i="6"/>
  <c r="F1008" i="6"/>
  <c r="AI1010" i="6"/>
  <c r="F1010" i="6"/>
  <c r="AI1006" i="6"/>
  <c r="F1006" i="6"/>
  <c r="R991" i="11" l="1"/>
  <c r="AP1005" i="6"/>
  <c r="AP1007" i="6"/>
  <c r="AP1009" i="6"/>
  <c r="Q992" i="11"/>
  <c r="R992" i="11" s="1"/>
  <c r="Q988" i="11"/>
  <c r="R988" i="11" s="1"/>
  <c r="Q990" i="11"/>
  <c r="R990" i="11" s="1"/>
  <c r="Q998" i="11"/>
  <c r="Q996" i="11"/>
  <c r="AB997" i="6"/>
  <c r="AF997" i="6" s="1"/>
  <c r="AC997" i="6"/>
  <c r="AC999" i="6"/>
  <c r="AC1001" i="6"/>
  <c r="AA1002" i="6"/>
  <c r="AB1002" i="6" s="1"/>
  <c r="AA1000" i="6"/>
  <c r="AC1000" i="6" s="1"/>
  <c r="AG1000" i="6" s="1"/>
  <c r="P997" i="11" s="1"/>
  <c r="AD1005" i="6"/>
  <c r="A1010" i="6"/>
  <c r="A1008" i="6"/>
  <c r="A1006" i="6"/>
  <c r="AM1001" i="6"/>
  <c r="AE1003" i="6"/>
  <c r="AE1005" i="6"/>
  <c r="N1008" i="6"/>
  <c r="AD1007" i="6"/>
  <c r="AD1003" i="6"/>
  <c r="AE1007" i="6"/>
  <c r="P1008" i="6"/>
  <c r="R1008" i="6" s="1"/>
  <c r="AH1008" i="6" s="1"/>
  <c r="AL997" i="6"/>
  <c r="AJ1008" i="6"/>
  <c r="P1006" i="6"/>
  <c r="R1006" i="6" s="1"/>
  <c r="AH1006" i="6" s="1"/>
  <c r="P1010" i="6"/>
  <c r="R1010" i="6" s="1"/>
  <c r="AH1010" i="6" s="1"/>
  <c r="AJ1010" i="6"/>
  <c r="AJ1006" i="6"/>
  <c r="N1010" i="6"/>
  <c r="N1006" i="6"/>
  <c r="AL999" i="6"/>
  <c r="AK1002" i="6"/>
  <c r="AL1002" i="6" s="1"/>
  <c r="AG996" i="6"/>
  <c r="P993" i="11" s="1"/>
  <c r="R993" i="11" s="1"/>
  <c r="AF998" i="6"/>
  <c r="AK1000" i="6"/>
  <c r="AM1000" i="6" s="1"/>
  <c r="AK1004" i="6"/>
  <c r="AL1004" i="6" s="1"/>
  <c r="AA1004" i="6"/>
  <c r="AB1004" i="6" s="1"/>
  <c r="L1005" i="6"/>
  <c r="L1003" i="6"/>
  <c r="L1007" i="6"/>
  <c r="K1010" i="6"/>
  <c r="L1010" i="6" s="1"/>
  <c r="K1008" i="6"/>
  <c r="M1011" i="6" s="1"/>
  <c r="K1006" i="6"/>
  <c r="M1009" i="6" s="1"/>
  <c r="AO1009" i="6" s="1"/>
  <c r="AI1009" i="6"/>
  <c r="F1009" i="6"/>
  <c r="AI1011" i="6"/>
  <c r="F1011" i="6"/>
  <c r="AP1010" i="6" l="1"/>
  <c r="AO1011" i="6"/>
  <c r="AP1008" i="6"/>
  <c r="AJ1011" i="6"/>
  <c r="Q995" i="11"/>
  <c r="R995" i="11" s="1"/>
  <c r="Q994" i="11"/>
  <c r="AB1000" i="6"/>
  <c r="AF1002" i="6"/>
  <c r="AC1002" i="6"/>
  <c r="AG1002" i="6" s="1"/>
  <c r="P999" i="11" s="1"/>
  <c r="AG999" i="6"/>
  <c r="P996" i="11" s="1"/>
  <c r="R996" i="11" s="1"/>
  <c r="AG997" i="6"/>
  <c r="P994" i="11" s="1"/>
  <c r="AG1001" i="6"/>
  <c r="P998" i="11" s="1"/>
  <c r="R998" i="11" s="1"/>
  <c r="AA1005" i="6"/>
  <c r="AC1005" i="6" s="1"/>
  <c r="AA1003" i="6"/>
  <c r="A1011" i="6"/>
  <c r="A1009" i="6"/>
  <c r="AM1002" i="6"/>
  <c r="AD1006" i="6"/>
  <c r="AE1006" i="6"/>
  <c r="AD1010" i="6"/>
  <c r="AE1008" i="6"/>
  <c r="AD1008" i="6"/>
  <c r="N1009" i="6"/>
  <c r="P1011" i="6"/>
  <c r="R1011" i="6" s="1"/>
  <c r="AH1011" i="6" s="1"/>
  <c r="N1011" i="6"/>
  <c r="AE1010" i="6"/>
  <c r="P1009" i="6"/>
  <c r="R1009" i="6" s="1"/>
  <c r="AH1009" i="6" s="1"/>
  <c r="AJ1009" i="6"/>
  <c r="AL1000" i="6"/>
  <c r="AF1004" i="6"/>
  <c r="AK1007" i="6"/>
  <c r="AM1007" i="6" s="1"/>
  <c r="AC1004" i="6"/>
  <c r="AM1004" i="6"/>
  <c r="AA1007" i="6"/>
  <c r="AK1005" i="6"/>
  <c r="AL1005" i="6" s="1"/>
  <c r="AK1003" i="6"/>
  <c r="AL1003" i="6" s="1"/>
  <c r="L1008" i="6"/>
  <c r="K1011" i="6"/>
  <c r="L1011" i="6" s="1"/>
  <c r="K1009" i="6"/>
  <c r="M1012" i="6" s="1"/>
  <c r="AK1010" i="6"/>
  <c r="AA1010" i="6"/>
  <c r="L1006" i="6"/>
  <c r="AI1012" i="6"/>
  <c r="F1012" i="6"/>
  <c r="AP1011" i="6" l="1"/>
  <c r="AO1012" i="6"/>
  <c r="R994" i="11"/>
  <c r="P1012" i="6"/>
  <c r="R1012" i="6" s="1"/>
  <c r="AH1012" i="6" s="1"/>
  <c r="Q1001" i="11"/>
  <c r="Q999" i="11"/>
  <c r="R999" i="11" s="1"/>
  <c r="AF1000" i="6"/>
  <c r="AG1005" i="6"/>
  <c r="P1002" i="11" s="1"/>
  <c r="AB1005" i="6"/>
  <c r="AF1005" i="6" s="1"/>
  <c r="AC1003" i="6"/>
  <c r="AG1003" i="6" s="1"/>
  <c r="P1000" i="11" s="1"/>
  <c r="AB1003" i="6"/>
  <c r="AA1008" i="6"/>
  <c r="AB1008" i="6" s="1"/>
  <c r="AF1008" i="6" s="1"/>
  <c r="A1012" i="6"/>
  <c r="F5" i="11" s="1"/>
  <c r="AE1011" i="6"/>
  <c r="AD1011" i="6"/>
  <c r="AE1009" i="6"/>
  <c r="AD1009" i="6"/>
  <c r="N1012" i="6"/>
  <c r="AJ1012" i="6"/>
  <c r="AM1005" i="6"/>
  <c r="AB1007" i="6"/>
  <c r="AF1007" i="6" s="1"/>
  <c r="AL1007" i="6"/>
  <c r="AG1004" i="6"/>
  <c r="P1001" i="11" s="1"/>
  <c r="AC1007" i="6"/>
  <c r="AM1003" i="6"/>
  <c r="AC1010" i="6"/>
  <c r="AG1010" i="6" s="1"/>
  <c r="P1007" i="11" s="1"/>
  <c r="AB1010" i="6"/>
  <c r="AK1008" i="6"/>
  <c r="AL1008" i="6" s="1"/>
  <c r="L1009" i="6"/>
  <c r="K1012" i="6"/>
  <c r="L1012" i="6" s="1"/>
  <c r="AK1011" i="6"/>
  <c r="AA1011" i="6"/>
  <c r="AC1011" i="6" s="1"/>
  <c r="AK1006" i="6"/>
  <c r="AA1006" i="6"/>
  <c r="AL1010" i="6"/>
  <c r="AM1010" i="6"/>
  <c r="R1001" i="11" l="1"/>
  <c r="AD1012" i="6"/>
  <c r="AE1012" i="6"/>
  <c r="Q1005" i="11"/>
  <c r="Q1004" i="11"/>
  <c r="Q1002" i="11"/>
  <c r="R1002" i="11" s="1"/>
  <c r="Q997" i="11"/>
  <c r="R997" i="11" s="1"/>
  <c r="AC1008" i="6"/>
  <c r="AF1003" i="6"/>
  <c r="AA1009" i="6"/>
  <c r="AG1011" i="6"/>
  <c r="P1008" i="11" s="1"/>
  <c r="AD7" i="6"/>
  <c r="AE7" i="6"/>
  <c r="AF1010" i="6"/>
  <c r="AK1009" i="6"/>
  <c r="AM1009" i="6" s="1"/>
  <c r="AG1007" i="6"/>
  <c r="P1004" i="11" s="1"/>
  <c r="AM1008" i="6"/>
  <c r="AB1011" i="6"/>
  <c r="AF1011" i="6" s="1"/>
  <c r="Q1008" i="11" s="1"/>
  <c r="AK1012" i="6"/>
  <c r="AA1012" i="6"/>
  <c r="AB1012" i="6" s="1"/>
  <c r="AL1006" i="6"/>
  <c r="AM1006" i="6"/>
  <c r="AL1011" i="6"/>
  <c r="AM1011" i="6"/>
  <c r="AC1006" i="6"/>
  <c r="AB1006" i="6"/>
  <c r="R1004" i="11" l="1"/>
  <c r="R1008" i="11"/>
  <c r="Q1007" i="11"/>
  <c r="R1007" i="11" s="1"/>
  <c r="Q1000" i="11"/>
  <c r="R1000" i="11" s="1"/>
  <c r="AG1008" i="6"/>
  <c r="P1005" i="11" s="1"/>
  <c r="R1005" i="11" s="1"/>
  <c r="AB1009" i="6"/>
  <c r="AC1009" i="6"/>
  <c r="AG1009" i="6" s="1"/>
  <c r="P1006" i="11" s="1"/>
  <c r="E20" i="8"/>
  <c r="AA7" i="6"/>
  <c r="D19" i="8" s="1"/>
  <c r="D21" i="8" s="1"/>
  <c r="F20" i="8"/>
  <c r="AL1009" i="6"/>
  <c r="AC1012" i="6"/>
  <c r="AC7" i="6" s="1"/>
  <c r="AG1006" i="6"/>
  <c r="P1003" i="11" s="1"/>
  <c r="AF1006" i="6"/>
  <c r="AM1012" i="6"/>
  <c r="AM7" i="6" s="1"/>
  <c r="I40" i="13" s="1"/>
  <c r="AL1012" i="6"/>
  <c r="AK7" i="6"/>
  <c r="AF1012" i="6"/>
  <c r="Q1009" i="11" s="1"/>
  <c r="AB7" i="6"/>
  <c r="Q1003" i="11" l="1"/>
  <c r="R1003" i="11" s="1"/>
  <c r="AF1009" i="6"/>
  <c r="AL7" i="6"/>
  <c r="H40" i="13" s="1"/>
  <c r="M38" i="13" s="1"/>
  <c r="M45" i="13" s="1"/>
  <c r="AG1012" i="6"/>
  <c r="P1009" i="11" s="1"/>
  <c r="R1009" i="11" s="1"/>
  <c r="F19" i="8"/>
  <c r="F21" i="8" s="1"/>
  <c r="E19" i="8"/>
  <c r="E21" i="8" s="1"/>
  <c r="L5" i="12" l="1"/>
  <c r="J5" i="12" s="1"/>
  <c r="C11" i="13" s="1"/>
  <c r="Q1006" i="11"/>
  <c r="R1006" i="11" s="1"/>
  <c r="AF7" i="6"/>
  <c r="AG7" i="6"/>
  <c r="S423" i="11" l="1"/>
  <c r="S14" i="11"/>
  <c r="S15" i="11"/>
  <c r="S13" i="11"/>
  <c r="S11" i="11"/>
  <c r="D3" i="22" s="1"/>
  <c r="S18" i="11"/>
  <c r="S17" i="11"/>
  <c r="S10" i="11"/>
  <c r="D2" i="22" s="1"/>
  <c r="S12" i="11"/>
  <c r="D4" i="22" s="1"/>
  <c r="S19" i="11"/>
  <c r="S16" i="11"/>
  <c r="S23" i="11"/>
  <c r="S22" i="11"/>
  <c r="S20" i="11"/>
  <c r="S21" i="11"/>
  <c r="S24" i="11"/>
  <c r="S25" i="11"/>
  <c r="S26" i="11"/>
  <c r="S27" i="11"/>
  <c r="S29" i="11"/>
  <c r="S28" i="11"/>
  <c r="S31" i="11"/>
  <c r="S30" i="11"/>
  <c r="S32" i="11"/>
  <c r="S34" i="11"/>
  <c r="S33" i="11"/>
  <c r="S36" i="11"/>
  <c r="S35" i="11"/>
  <c r="S38" i="11"/>
  <c r="S37" i="11"/>
  <c r="S39" i="11"/>
  <c r="S41" i="11"/>
  <c r="S40" i="11"/>
  <c r="S43" i="11"/>
  <c r="S44" i="11"/>
  <c r="S42" i="11"/>
  <c r="S46" i="11"/>
  <c r="S45" i="11"/>
  <c r="S48" i="11"/>
  <c r="S47" i="11"/>
  <c r="S50" i="11"/>
  <c r="S49" i="11"/>
  <c r="S51" i="11"/>
  <c r="S52" i="11"/>
  <c r="S54" i="11"/>
  <c r="S53" i="11"/>
  <c r="S56" i="11"/>
  <c r="S55" i="11"/>
  <c r="S57" i="11"/>
  <c r="S60" i="11"/>
  <c r="S58" i="11"/>
  <c r="S59" i="11"/>
  <c r="S61" i="11"/>
  <c r="S62" i="11"/>
  <c r="S65" i="11"/>
  <c r="S63" i="11"/>
  <c r="S64" i="11"/>
  <c r="S67" i="11"/>
  <c r="S68" i="11"/>
  <c r="S66" i="11"/>
  <c r="S69" i="11"/>
  <c r="S70" i="11"/>
  <c r="S71" i="11"/>
  <c r="S73" i="11"/>
  <c r="S72" i="11"/>
  <c r="S74" i="11"/>
  <c r="S76" i="11"/>
  <c r="S77" i="11"/>
  <c r="S75" i="11"/>
  <c r="S79" i="11"/>
  <c r="S80" i="11"/>
  <c r="S78" i="11"/>
  <c r="S81" i="11"/>
  <c r="S82" i="11"/>
  <c r="S83" i="11"/>
  <c r="S84" i="11"/>
  <c r="S87" i="11"/>
  <c r="S86" i="11"/>
  <c r="S85" i="11"/>
  <c r="S89" i="11"/>
  <c r="S88" i="11"/>
  <c r="S91" i="11"/>
  <c r="S90" i="11"/>
  <c r="S93" i="11"/>
  <c r="S92" i="11"/>
  <c r="S94" i="11"/>
  <c r="S95" i="11"/>
  <c r="S97" i="11"/>
  <c r="S98" i="11"/>
  <c r="S96" i="11"/>
  <c r="S101" i="11"/>
  <c r="S100" i="11"/>
  <c r="S99" i="11"/>
  <c r="S104" i="11"/>
  <c r="S102" i="11"/>
  <c r="S103" i="11"/>
  <c r="S105" i="11"/>
  <c r="S108" i="11"/>
  <c r="S107" i="11"/>
  <c r="S106" i="11"/>
  <c r="S110" i="11"/>
  <c r="S109" i="11"/>
  <c r="S111" i="11"/>
  <c r="S113" i="11"/>
  <c r="S112" i="11"/>
  <c r="S114" i="11"/>
  <c r="S116" i="11"/>
  <c r="S117" i="11"/>
  <c r="S115" i="11"/>
  <c r="S119" i="11"/>
  <c r="S118" i="11"/>
  <c r="S121" i="11"/>
  <c r="S120" i="11"/>
  <c r="S122" i="11"/>
  <c r="S123" i="11"/>
  <c r="S125" i="11"/>
  <c r="S124" i="11"/>
  <c r="S128" i="11"/>
  <c r="S126" i="11"/>
  <c r="S127" i="11"/>
  <c r="S130" i="11"/>
  <c r="S131" i="11"/>
  <c r="S129" i="11"/>
  <c r="S133" i="11"/>
  <c r="S132" i="11"/>
  <c r="S135" i="11"/>
  <c r="S134" i="11"/>
  <c r="S137" i="11"/>
  <c r="S136" i="11"/>
  <c r="S139" i="11"/>
  <c r="S138" i="11"/>
  <c r="S140" i="11"/>
  <c r="S141" i="11"/>
  <c r="S143" i="11"/>
  <c r="S142" i="11"/>
  <c r="S146" i="11"/>
  <c r="S144" i="11"/>
  <c r="S145" i="11"/>
  <c r="S147" i="11"/>
  <c r="S150" i="11"/>
  <c r="S149" i="11"/>
  <c r="S148" i="11"/>
  <c r="S151" i="11"/>
  <c r="S152" i="11"/>
  <c r="S154" i="11"/>
  <c r="S155" i="11"/>
  <c r="S153" i="11"/>
  <c r="S156" i="11"/>
  <c r="S157" i="11"/>
  <c r="S158" i="11"/>
  <c r="S160" i="11"/>
  <c r="S159" i="11"/>
  <c r="S161" i="11"/>
  <c r="S164" i="11"/>
  <c r="S162" i="11"/>
  <c r="S165" i="11"/>
  <c r="S163" i="11"/>
  <c r="S168" i="11"/>
  <c r="S166" i="11"/>
  <c r="S167" i="11"/>
  <c r="S170" i="11"/>
  <c r="S169" i="11"/>
  <c r="S171" i="11"/>
  <c r="S173" i="11"/>
  <c r="S172" i="11"/>
  <c r="S174" i="11"/>
  <c r="S175" i="11"/>
  <c r="S176" i="11"/>
  <c r="S178" i="11"/>
  <c r="S177" i="11"/>
  <c r="S179" i="11"/>
  <c r="S182" i="11"/>
  <c r="S181" i="11"/>
  <c r="S180" i="11"/>
  <c r="S185" i="11"/>
  <c r="S184" i="11"/>
  <c r="S183" i="11"/>
  <c r="S186" i="11"/>
  <c r="S187" i="11"/>
  <c r="S188" i="11"/>
  <c r="S191" i="11"/>
  <c r="S189" i="11"/>
  <c r="S192" i="11"/>
  <c r="S190" i="11"/>
  <c r="S193" i="11"/>
  <c r="S194" i="11"/>
  <c r="S195" i="11"/>
  <c r="S197" i="11"/>
  <c r="S196" i="11"/>
  <c r="S198" i="11"/>
  <c r="S200" i="11"/>
  <c r="S199" i="11"/>
  <c r="S202" i="11"/>
  <c r="S201" i="11"/>
  <c r="S203" i="11"/>
  <c r="S204" i="11"/>
  <c r="S205" i="11"/>
  <c r="S206" i="11"/>
  <c r="S208" i="11"/>
  <c r="S207" i="11"/>
  <c r="S209" i="11"/>
  <c r="S211" i="11"/>
  <c r="S210" i="11"/>
  <c r="S212" i="11"/>
  <c r="S214" i="11"/>
  <c r="S213" i="11"/>
  <c r="S215" i="11"/>
  <c r="S216" i="11"/>
  <c r="S218" i="11"/>
  <c r="S217" i="11"/>
  <c r="S219" i="11"/>
  <c r="S220" i="11"/>
  <c r="S221" i="11"/>
  <c r="S222" i="11"/>
  <c r="S225" i="11"/>
  <c r="S224" i="11"/>
  <c r="S223" i="11"/>
  <c r="S227" i="11"/>
  <c r="S226" i="11"/>
  <c r="S228" i="11"/>
  <c r="S229" i="11"/>
  <c r="S231" i="11"/>
  <c r="S230" i="11"/>
  <c r="S233" i="11"/>
  <c r="S234" i="11"/>
  <c r="S232" i="11"/>
  <c r="S236" i="11"/>
  <c r="S235" i="11"/>
  <c r="S238" i="11"/>
  <c r="S239" i="11"/>
  <c r="S237" i="11"/>
  <c r="S241" i="11"/>
  <c r="S240" i="11"/>
  <c r="S243" i="11"/>
  <c r="S242" i="11"/>
  <c r="S245" i="11"/>
  <c r="S244" i="11"/>
  <c r="S246" i="11"/>
  <c r="S248" i="11"/>
  <c r="S249" i="11"/>
  <c r="S247" i="11"/>
  <c r="S250" i="11"/>
  <c r="S251" i="11"/>
  <c r="S253" i="11"/>
  <c r="S252" i="11"/>
  <c r="S254" i="11"/>
  <c r="S256" i="11"/>
  <c r="S255" i="11"/>
  <c r="S257" i="11"/>
  <c r="S259" i="11"/>
  <c r="S258" i="11"/>
  <c r="S260" i="11"/>
  <c r="S261" i="11"/>
  <c r="S264" i="11"/>
  <c r="S263" i="11"/>
  <c r="S262" i="11"/>
  <c r="S265" i="11"/>
  <c r="S266" i="11"/>
  <c r="S269" i="11"/>
  <c r="S267" i="11"/>
  <c r="S268" i="11"/>
  <c r="S272" i="11"/>
  <c r="S270" i="11"/>
  <c r="S271" i="11"/>
  <c r="S274" i="11"/>
  <c r="S273" i="11"/>
  <c r="S276" i="11"/>
  <c r="S275" i="11"/>
  <c r="S277" i="11"/>
  <c r="S278" i="11"/>
  <c r="S281" i="11"/>
  <c r="S280" i="11"/>
  <c r="S279" i="11"/>
  <c r="S282" i="11"/>
  <c r="S283" i="11"/>
  <c r="S285" i="11"/>
  <c r="S284" i="11"/>
  <c r="S286" i="11"/>
  <c r="S287" i="11"/>
  <c r="S289" i="11"/>
  <c r="S288" i="11"/>
  <c r="S290" i="11"/>
  <c r="S291" i="11"/>
  <c r="S292" i="11"/>
  <c r="S293" i="11"/>
  <c r="S296" i="11"/>
  <c r="S294" i="11"/>
  <c r="S295" i="11"/>
  <c r="S298" i="11"/>
  <c r="S297" i="11"/>
  <c r="S299" i="11"/>
  <c r="S301" i="11"/>
  <c r="S300" i="11"/>
  <c r="S302" i="11"/>
  <c r="S305" i="11"/>
  <c r="S303" i="11"/>
  <c r="S304" i="11"/>
  <c r="S306" i="11"/>
  <c r="S308" i="11"/>
  <c r="S307" i="11"/>
  <c r="S310" i="11"/>
  <c r="S311" i="11"/>
  <c r="S309" i="11"/>
  <c r="S314" i="11"/>
  <c r="S312" i="11"/>
  <c r="S315" i="11"/>
  <c r="S313" i="11"/>
  <c r="S316" i="11"/>
  <c r="S318" i="11"/>
  <c r="S317" i="11"/>
  <c r="S320" i="11"/>
  <c r="S319" i="11"/>
  <c r="S321" i="11"/>
  <c r="S323" i="11"/>
  <c r="S322" i="11"/>
  <c r="S324" i="11"/>
  <c r="S326" i="11"/>
  <c r="S327" i="11"/>
  <c r="S325" i="11"/>
  <c r="S329" i="11"/>
  <c r="S330" i="11"/>
  <c r="S328" i="11"/>
  <c r="S332" i="11"/>
  <c r="S331" i="11"/>
  <c r="S333" i="11"/>
  <c r="S334" i="11"/>
  <c r="S335" i="11"/>
  <c r="S336" i="11"/>
  <c r="S337" i="11"/>
  <c r="S338" i="11"/>
  <c r="S339" i="11"/>
  <c r="S340" i="11"/>
  <c r="S341" i="11"/>
  <c r="S342" i="11"/>
  <c r="S345" i="11"/>
  <c r="S343" i="11"/>
  <c r="S344" i="11"/>
  <c r="S346" i="11"/>
  <c r="S347" i="11"/>
  <c r="S349" i="11"/>
  <c r="S348" i="11"/>
  <c r="S350" i="11"/>
  <c r="S353" i="11"/>
  <c r="S352" i="11"/>
  <c r="S351" i="11"/>
  <c r="S354" i="11"/>
  <c r="S355" i="11"/>
  <c r="S356" i="11"/>
  <c r="S357" i="11"/>
  <c r="S359" i="11"/>
  <c r="S363" i="11"/>
  <c r="S361" i="11"/>
  <c r="S358" i="11"/>
  <c r="S360" i="11"/>
  <c r="S362" i="11"/>
  <c r="S364" i="11"/>
  <c r="S365" i="11"/>
  <c r="S366" i="11"/>
  <c r="S368" i="11"/>
  <c r="S369" i="11"/>
  <c r="S377" i="11"/>
  <c r="S371" i="11"/>
  <c r="S367" i="11"/>
  <c r="S374" i="11"/>
  <c r="S372" i="11"/>
  <c r="S370" i="11"/>
  <c r="S373" i="11"/>
  <c r="S375" i="11"/>
  <c r="S378" i="11"/>
  <c r="S376" i="11"/>
  <c r="S380" i="11"/>
  <c r="S379" i="11"/>
  <c r="S381" i="11"/>
  <c r="S384" i="11"/>
  <c r="S383" i="11"/>
  <c r="S385" i="11"/>
  <c r="S382" i="11"/>
  <c r="S386" i="11"/>
  <c r="S387" i="11"/>
  <c r="S389" i="11"/>
  <c r="S390" i="11"/>
  <c r="S393" i="11"/>
  <c r="S388" i="11"/>
  <c r="S392" i="11"/>
  <c r="S394" i="11"/>
  <c r="S391" i="11"/>
  <c r="S395" i="11"/>
  <c r="S396" i="11"/>
  <c r="S399" i="11"/>
  <c r="S398" i="11"/>
  <c r="S397" i="11"/>
  <c r="S404" i="11"/>
  <c r="S401" i="11"/>
  <c r="S405" i="11"/>
  <c r="S402" i="11"/>
  <c r="S400" i="11"/>
  <c r="S407" i="11"/>
  <c r="S403" i="11"/>
  <c r="S413" i="11"/>
  <c r="S406" i="11"/>
  <c r="S410" i="11"/>
  <c r="S408" i="11"/>
  <c r="S416" i="11"/>
  <c r="S411" i="11"/>
  <c r="S409" i="11"/>
  <c r="S412" i="11"/>
  <c r="S414" i="11"/>
  <c r="S419" i="11"/>
  <c r="S415" i="11"/>
  <c r="S420" i="11"/>
  <c r="S422" i="11"/>
  <c r="S417" i="11"/>
  <c r="S418" i="11"/>
  <c r="S425" i="11"/>
  <c r="S427" i="11"/>
  <c r="S421" i="11"/>
  <c r="S424" i="11"/>
  <c r="S426" i="11"/>
  <c r="S428" i="11"/>
  <c r="S429" i="11"/>
  <c r="S431" i="11"/>
  <c r="S432" i="11"/>
  <c r="S437" i="11"/>
  <c r="S430" i="11"/>
  <c r="S434" i="11"/>
  <c r="S436" i="11"/>
  <c r="S433" i="11"/>
  <c r="S443" i="11"/>
  <c r="S441" i="11"/>
  <c r="S435" i="11"/>
  <c r="S439" i="11"/>
  <c r="S438" i="11"/>
  <c r="S440" i="11"/>
  <c r="S442" i="11"/>
  <c r="S446" i="11"/>
  <c r="S444" i="11"/>
  <c r="S449" i="11"/>
  <c r="S445" i="11"/>
  <c r="S447" i="11"/>
  <c r="S455" i="11"/>
  <c r="S450" i="11"/>
  <c r="S452" i="11"/>
  <c r="S448" i="11"/>
  <c r="S453" i="11"/>
  <c r="S451" i="11"/>
  <c r="S454" i="11"/>
  <c r="S456" i="11"/>
  <c r="S458" i="11"/>
  <c r="S461" i="11"/>
  <c r="S459" i="11"/>
  <c r="S462" i="11"/>
  <c r="S457" i="11"/>
  <c r="S460" i="11"/>
  <c r="S464" i="11"/>
  <c r="S463" i="11"/>
  <c r="S470" i="11"/>
  <c r="S466" i="11"/>
  <c r="S467" i="11"/>
  <c r="S465" i="11"/>
  <c r="S468" i="11"/>
  <c r="S473" i="11"/>
  <c r="S469" i="11"/>
  <c r="S471" i="11"/>
  <c r="S476" i="11"/>
  <c r="S475" i="11"/>
  <c r="S472" i="11"/>
  <c r="S477" i="11"/>
  <c r="S474" i="11"/>
  <c r="S479" i="11"/>
  <c r="S480" i="11"/>
  <c r="S482" i="11"/>
  <c r="S485" i="11"/>
  <c r="S478" i="11"/>
  <c r="S483" i="11"/>
  <c r="S481" i="11"/>
  <c r="S484" i="11"/>
  <c r="S491" i="11"/>
  <c r="S489" i="11"/>
  <c r="S488" i="11"/>
  <c r="S487" i="11"/>
  <c r="S486" i="11"/>
  <c r="S495" i="11"/>
  <c r="S494" i="11"/>
  <c r="S492" i="11"/>
  <c r="S493" i="11"/>
  <c r="S490" i="11"/>
  <c r="S497" i="11"/>
  <c r="S498" i="11"/>
  <c r="S496" i="11"/>
  <c r="S499" i="11"/>
  <c r="S506" i="11"/>
  <c r="S500" i="11"/>
  <c r="S503" i="11"/>
  <c r="S501" i="11"/>
  <c r="S502" i="11"/>
  <c r="S509" i="11"/>
  <c r="S505" i="11"/>
  <c r="S504" i="11"/>
  <c r="S507" i="11"/>
  <c r="S508" i="11"/>
  <c r="S512" i="11"/>
  <c r="S510" i="11"/>
  <c r="S515" i="11"/>
  <c r="S513" i="11"/>
  <c r="S511" i="11"/>
  <c r="S518" i="11"/>
  <c r="S517" i="11"/>
  <c r="S514" i="11"/>
  <c r="S516" i="11"/>
  <c r="S521" i="11"/>
  <c r="S519" i="11"/>
  <c r="S524" i="11"/>
  <c r="S522" i="11"/>
  <c r="S525" i="11"/>
  <c r="S520" i="11"/>
  <c r="S523" i="11"/>
  <c r="S531" i="11"/>
  <c r="S527" i="11"/>
  <c r="S530" i="11"/>
  <c r="S526" i="11"/>
  <c r="S528" i="11"/>
  <c r="S529" i="11"/>
  <c r="S534" i="11"/>
  <c r="S533" i="11"/>
  <c r="S532" i="11"/>
  <c r="S536" i="11"/>
  <c r="S537" i="11"/>
  <c r="S535" i="11"/>
  <c r="S539" i="11"/>
  <c r="S542" i="11"/>
  <c r="S540" i="11"/>
  <c r="S538" i="11"/>
  <c r="S541" i="11"/>
  <c r="S543" i="11"/>
  <c r="S545" i="11"/>
  <c r="S548" i="11"/>
  <c r="S544" i="11"/>
  <c r="S546" i="11"/>
  <c r="S547" i="11"/>
  <c r="S551" i="11"/>
  <c r="S549" i="11"/>
  <c r="S555" i="11"/>
  <c r="S554" i="11"/>
  <c r="S550" i="11"/>
  <c r="S552" i="11"/>
  <c r="S557" i="11"/>
  <c r="S556" i="11"/>
  <c r="S553" i="11"/>
  <c r="S558" i="11"/>
  <c r="S560" i="11"/>
  <c r="S559" i="11"/>
  <c r="S563" i="11"/>
  <c r="S561" i="11"/>
  <c r="S566" i="11"/>
  <c r="S564" i="11"/>
  <c r="S562" i="11"/>
  <c r="S569" i="11"/>
  <c r="S572" i="11"/>
  <c r="S565" i="11"/>
  <c r="S567" i="11"/>
  <c r="S568" i="11"/>
  <c r="S571" i="11"/>
  <c r="S570" i="11"/>
  <c r="S573" i="11"/>
  <c r="S576" i="11"/>
  <c r="S575" i="11"/>
  <c r="S578" i="11"/>
  <c r="S574" i="11"/>
  <c r="S581" i="11"/>
  <c r="S579" i="11"/>
  <c r="S582" i="11"/>
  <c r="S583" i="11"/>
  <c r="S577" i="11"/>
  <c r="S584" i="11"/>
  <c r="S580" i="11"/>
  <c r="S587" i="11"/>
  <c r="S585" i="11"/>
  <c r="S590" i="11"/>
  <c r="S586" i="11"/>
  <c r="S589" i="11"/>
  <c r="S588" i="11"/>
  <c r="S593" i="11"/>
  <c r="S591" i="11"/>
  <c r="S592" i="11"/>
  <c r="S594" i="11"/>
  <c r="S596" i="11"/>
  <c r="S599" i="11"/>
  <c r="S595" i="11"/>
  <c r="S597" i="11"/>
  <c r="S602" i="11"/>
  <c r="S598" i="11"/>
  <c r="S600" i="11"/>
  <c r="S609" i="11"/>
  <c r="S606" i="11"/>
  <c r="S604" i="11"/>
  <c r="S605" i="11"/>
  <c r="S603" i="11"/>
  <c r="S601" i="11"/>
  <c r="S608" i="11"/>
  <c r="S611" i="11"/>
  <c r="S607" i="11"/>
  <c r="S612" i="11"/>
  <c r="S610" i="11"/>
  <c r="S614" i="11"/>
  <c r="S617" i="11"/>
  <c r="S615" i="11"/>
  <c r="S613" i="11"/>
  <c r="S620" i="11"/>
  <c r="S616" i="11"/>
  <c r="S623" i="11"/>
  <c r="S618" i="11"/>
  <c r="S619" i="11"/>
  <c r="S621" i="11"/>
  <c r="S625" i="11"/>
  <c r="S624" i="11"/>
  <c r="S622" i="11"/>
  <c r="S629" i="11"/>
  <c r="S626" i="11"/>
  <c r="S627" i="11"/>
  <c r="S630" i="11"/>
  <c r="S628" i="11"/>
  <c r="S632" i="11"/>
  <c r="S633" i="11"/>
  <c r="S638" i="11"/>
  <c r="S631" i="11"/>
  <c r="S635" i="11"/>
  <c r="S634" i="11"/>
  <c r="S636" i="11"/>
  <c r="S637" i="11"/>
  <c r="S641" i="11"/>
  <c r="S642" i="11"/>
  <c r="S639" i="11"/>
  <c r="S647" i="11"/>
  <c r="S645" i="11"/>
  <c r="S643" i="11"/>
  <c r="S640" i="11"/>
  <c r="S644" i="11"/>
  <c r="S646" i="11"/>
  <c r="S649" i="11"/>
  <c r="S648" i="11"/>
  <c r="S651" i="11"/>
  <c r="S650" i="11"/>
  <c r="S653" i="11"/>
  <c r="S654" i="11"/>
  <c r="S652" i="11"/>
  <c r="S659" i="11"/>
  <c r="S656" i="11"/>
  <c r="S655" i="11"/>
  <c r="S662" i="11"/>
  <c r="S657" i="11"/>
  <c r="S658" i="11"/>
  <c r="S660" i="11"/>
  <c r="S661" i="11"/>
  <c r="S663" i="11"/>
  <c r="S665" i="11"/>
  <c r="S668" i="11"/>
  <c r="S666" i="11"/>
  <c r="S664" i="11"/>
  <c r="S669" i="11"/>
  <c r="S671" i="11"/>
  <c r="S667" i="11"/>
  <c r="S674" i="11"/>
  <c r="S672" i="11"/>
  <c r="S670" i="11"/>
  <c r="S675" i="11"/>
  <c r="S678" i="11"/>
  <c r="S673" i="11"/>
  <c r="S677" i="11"/>
  <c r="S683" i="11"/>
  <c r="S680" i="11"/>
  <c r="S679" i="11"/>
  <c r="S676" i="11"/>
  <c r="S684" i="11"/>
  <c r="S681" i="11"/>
  <c r="S686" i="11"/>
  <c r="S682" i="11"/>
  <c r="S687" i="11"/>
  <c r="S689" i="11"/>
  <c r="S690" i="11"/>
  <c r="S695" i="11"/>
  <c r="S685" i="11"/>
  <c r="S692" i="11"/>
  <c r="S688" i="11"/>
  <c r="S693" i="11"/>
  <c r="S691" i="11"/>
  <c r="S698" i="11"/>
  <c r="S694" i="11"/>
  <c r="S696" i="11"/>
  <c r="S697" i="11"/>
  <c r="S699" i="11"/>
  <c r="S701" i="11"/>
  <c r="S700" i="11"/>
  <c r="S705" i="11"/>
  <c r="S702" i="11"/>
  <c r="S704" i="11"/>
  <c r="S710" i="11"/>
  <c r="S706" i="11"/>
  <c r="S708" i="11"/>
  <c r="S703" i="11"/>
  <c r="S707" i="11"/>
  <c r="S713" i="11"/>
  <c r="S711" i="11"/>
  <c r="S709" i="11"/>
  <c r="S716" i="11"/>
  <c r="S712" i="11"/>
  <c r="S714" i="11"/>
  <c r="S719" i="11"/>
  <c r="S717" i="11"/>
  <c r="S715" i="11"/>
  <c r="S722" i="11"/>
  <c r="S718" i="11"/>
  <c r="S720" i="11"/>
  <c r="S725" i="11"/>
  <c r="S723" i="11"/>
  <c r="S721" i="11"/>
  <c r="S726" i="11"/>
  <c r="S724" i="11"/>
  <c r="S728" i="11"/>
  <c r="S727" i="11"/>
  <c r="S731" i="11"/>
  <c r="S734" i="11"/>
  <c r="S729" i="11"/>
  <c r="S730" i="11"/>
  <c r="S737" i="11"/>
  <c r="S732" i="11"/>
  <c r="S735" i="11"/>
  <c r="S740" i="11"/>
  <c r="S733" i="11"/>
  <c r="S743" i="11"/>
  <c r="S736" i="11"/>
  <c r="S738" i="11"/>
  <c r="S739" i="11"/>
  <c r="S742" i="11"/>
  <c r="S744" i="11"/>
  <c r="S741" i="11"/>
  <c r="S746" i="11"/>
  <c r="S748" i="11"/>
  <c r="S749" i="11"/>
  <c r="S747" i="11"/>
  <c r="S750" i="11"/>
  <c r="S745" i="11"/>
  <c r="S755" i="11"/>
  <c r="S752" i="11"/>
  <c r="S753" i="11"/>
  <c r="S751" i="11"/>
  <c r="S756" i="11"/>
  <c r="S758" i="11"/>
  <c r="S754" i="11"/>
  <c r="S757" i="11"/>
  <c r="S759" i="11"/>
  <c r="S761" i="11"/>
  <c r="S762" i="11"/>
  <c r="S764" i="11"/>
  <c r="S763" i="11"/>
  <c r="S760" i="11"/>
  <c r="S767" i="11"/>
  <c r="S765" i="11"/>
  <c r="S770" i="11"/>
  <c r="S768" i="11"/>
  <c r="S766" i="11"/>
  <c r="S769" i="11"/>
  <c r="S771" i="11"/>
  <c r="S772" i="11"/>
  <c r="S773" i="11"/>
  <c r="S776" i="11"/>
  <c r="S774" i="11"/>
  <c r="S775" i="11"/>
  <c r="S777" i="11"/>
  <c r="S779" i="11"/>
  <c r="S778" i="11"/>
  <c r="S780" i="11"/>
  <c r="S782" i="11"/>
  <c r="S783" i="11"/>
  <c r="S791" i="11"/>
  <c r="S785" i="11"/>
  <c r="S781" i="11"/>
  <c r="S786" i="11"/>
  <c r="S784" i="11"/>
  <c r="S789" i="11"/>
  <c r="S788" i="11"/>
  <c r="S787" i="11"/>
  <c r="S792" i="11"/>
  <c r="S790" i="11"/>
  <c r="S793" i="11"/>
  <c r="S794" i="11"/>
  <c r="S797" i="11"/>
  <c r="S796" i="11"/>
  <c r="S795" i="11"/>
  <c r="S798" i="11"/>
  <c r="S800" i="11"/>
  <c r="S803" i="11"/>
  <c r="S801" i="11"/>
  <c r="S799" i="11"/>
  <c r="S802" i="11"/>
  <c r="S804" i="11"/>
  <c r="S806" i="11"/>
  <c r="S805" i="11"/>
  <c r="S809" i="11"/>
  <c r="S807" i="11"/>
  <c r="S810" i="11"/>
  <c r="S813" i="11"/>
  <c r="S808" i="11"/>
  <c r="S815" i="11"/>
  <c r="S812" i="11"/>
  <c r="S816" i="11"/>
  <c r="S811" i="11"/>
  <c r="S814" i="11"/>
  <c r="S818" i="11"/>
  <c r="S820" i="11"/>
  <c r="S819" i="11"/>
  <c r="S817" i="11"/>
  <c r="S821" i="11"/>
  <c r="S822" i="11"/>
  <c r="S824" i="11"/>
  <c r="S827" i="11"/>
  <c r="S825" i="11"/>
  <c r="S823" i="11"/>
  <c r="S830" i="11"/>
  <c r="S828" i="11"/>
  <c r="S826" i="11"/>
  <c r="S831" i="11"/>
  <c r="S836" i="11"/>
  <c r="S834" i="11"/>
  <c r="S833" i="11"/>
  <c r="S832" i="11"/>
  <c r="S829" i="11"/>
  <c r="S842" i="11"/>
  <c r="S840" i="11"/>
  <c r="S839" i="11"/>
  <c r="S837" i="11"/>
  <c r="S835" i="11"/>
  <c r="S838" i="11"/>
  <c r="S841" i="11"/>
  <c r="S844" i="11"/>
  <c r="S845" i="11"/>
  <c r="S843" i="11"/>
  <c r="S848" i="11"/>
  <c r="S846" i="11"/>
  <c r="S849" i="11"/>
  <c r="S851" i="11"/>
  <c r="S847" i="11"/>
  <c r="S850" i="11"/>
  <c r="S852" i="11"/>
  <c r="S854" i="11"/>
  <c r="S857" i="11"/>
  <c r="S853" i="11"/>
  <c r="S855" i="11"/>
  <c r="S856" i="11"/>
  <c r="S863" i="11"/>
  <c r="S861" i="11"/>
  <c r="S858" i="11"/>
  <c r="S860" i="11"/>
  <c r="S859" i="11"/>
  <c r="S864" i="11"/>
  <c r="S862" i="11"/>
  <c r="S866" i="11"/>
  <c r="S870" i="11"/>
  <c r="S869" i="11"/>
  <c r="S865" i="11"/>
  <c r="S872" i="11"/>
  <c r="S867" i="11"/>
  <c r="S875" i="11"/>
  <c r="S868" i="11"/>
  <c r="S871" i="11"/>
  <c r="S876" i="11"/>
  <c r="S873" i="11"/>
  <c r="S878" i="11"/>
  <c r="S874" i="11"/>
  <c r="S879" i="11"/>
  <c r="S881" i="11"/>
  <c r="S877" i="11"/>
  <c r="S884" i="11"/>
  <c r="S883" i="11"/>
  <c r="S880" i="11"/>
  <c r="S882" i="11"/>
  <c r="S885" i="11"/>
  <c r="S890" i="11"/>
  <c r="S887" i="11"/>
  <c r="S892" i="11"/>
  <c r="S888" i="11"/>
  <c r="S886" i="11"/>
  <c r="S889" i="11"/>
  <c r="S893" i="11"/>
  <c r="S895" i="11"/>
  <c r="S891" i="11"/>
  <c r="S896" i="11"/>
  <c r="S894" i="11"/>
  <c r="S899" i="11"/>
  <c r="S897" i="11"/>
  <c r="S902" i="11"/>
  <c r="S901" i="11"/>
  <c r="S903" i="11"/>
  <c r="S900" i="11"/>
  <c r="S898" i="11"/>
  <c r="S906" i="11"/>
  <c r="S905" i="11"/>
  <c r="S904" i="11"/>
  <c r="S908" i="11"/>
  <c r="S909" i="11"/>
  <c r="S907" i="11"/>
  <c r="S914" i="11"/>
  <c r="S911" i="11"/>
  <c r="S910" i="11"/>
  <c r="S912" i="11"/>
  <c r="S916" i="11"/>
  <c r="S913" i="11"/>
  <c r="S917" i="11"/>
  <c r="S919" i="11"/>
  <c r="S915" i="11"/>
  <c r="S921" i="11"/>
  <c r="S918" i="11"/>
  <c r="S920" i="11"/>
  <c r="S924" i="11"/>
  <c r="S922" i="11"/>
  <c r="S923" i="11"/>
  <c r="S926" i="11"/>
  <c r="S925" i="11"/>
  <c r="S927" i="11"/>
  <c r="S929" i="11"/>
  <c r="S932" i="11"/>
  <c r="S930" i="11"/>
  <c r="S928" i="11"/>
  <c r="S935" i="11"/>
  <c r="S934" i="11"/>
  <c r="S936" i="11"/>
  <c r="S933" i="11"/>
  <c r="S931" i="11"/>
  <c r="S937" i="11"/>
  <c r="S938" i="11"/>
  <c r="S944" i="11"/>
  <c r="S939" i="11"/>
  <c r="S941" i="11"/>
  <c r="S942" i="11"/>
  <c r="S940" i="11"/>
  <c r="S948" i="11"/>
  <c r="S945" i="11"/>
  <c r="S947" i="11"/>
  <c r="S943" i="11"/>
  <c r="S946" i="11"/>
  <c r="S949" i="11"/>
  <c r="S950" i="11"/>
  <c r="S956" i="11"/>
  <c r="S951" i="11"/>
  <c r="S953" i="11"/>
  <c r="S954" i="11"/>
  <c r="S952" i="11"/>
  <c r="S958" i="11"/>
  <c r="S955" i="11"/>
  <c r="S957" i="11"/>
  <c r="S959" i="11"/>
  <c r="S962" i="11"/>
  <c r="S960" i="11"/>
  <c r="S963" i="11"/>
  <c r="S965" i="11"/>
  <c r="S961" i="11"/>
  <c r="S968" i="11"/>
  <c r="S964" i="11"/>
  <c r="S966" i="11"/>
  <c r="S967" i="11"/>
  <c r="S969" i="11"/>
  <c r="S971" i="11"/>
  <c r="S972" i="11"/>
  <c r="S974" i="11"/>
  <c r="S970" i="11"/>
  <c r="S975" i="11"/>
  <c r="S973" i="11"/>
  <c r="S980" i="11"/>
  <c r="S977" i="11"/>
  <c r="S981" i="11"/>
  <c r="S978" i="11"/>
  <c r="S976" i="11"/>
  <c r="S983" i="11"/>
  <c r="S986" i="11"/>
  <c r="S979" i="11"/>
  <c r="S984" i="11"/>
  <c r="S982" i="11"/>
  <c r="S985" i="11"/>
  <c r="S989" i="11"/>
  <c r="S987" i="11"/>
  <c r="S990" i="11"/>
  <c r="S992" i="11"/>
  <c r="S988" i="11"/>
  <c r="S991" i="11"/>
  <c r="S993" i="11"/>
  <c r="S998" i="11"/>
  <c r="S994" i="11"/>
  <c r="S996" i="11"/>
  <c r="S995" i="11"/>
  <c r="S1001" i="11"/>
  <c r="S999" i="11"/>
  <c r="S1002" i="11"/>
  <c r="S997" i="11"/>
  <c r="S1004" i="11"/>
  <c r="S1000" i="11"/>
  <c r="S1007" i="11"/>
  <c r="S1008" i="11"/>
  <c r="S1005" i="11"/>
  <c r="S1006" i="11"/>
  <c r="S1009" i="11"/>
  <c r="S1003" i="11"/>
  <c r="I5" i="12"/>
  <c r="F28" i="13" s="1"/>
  <c r="N103" i="13" s="1"/>
  <c r="O103" i="13" s="1"/>
  <c r="P103" i="13" s="1"/>
  <c r="H5" i="12"/>
  <c r="F27" i="13" s="1"/>
  <c r="J40" i="13" s="1"/>
  <c r="I26" i="5"/>
  <c r="T16" i="9" l="1"/>
  <c r="T12" i="9"/>
  <c r="T9" i="9"/>
  <c r="T15" i="9"/>
  <c r="T11" i="9"/>
  <c r="T8" i="9"/>
  <c r="T14" i="9"/>
  <c r="T10" i="9"/>
  <c r="T7" i="9"/>
  <c r="T13" i="9"/>
  <c r="N101" i="13"/>
  <c r="O101" i="13" s="1"/>
  <c r="P101" i="13" s="1"/>
  <c r="N102" i="13"/>
  <c r="O102" i="13" s="1"/>
  <c r="P102" i="13" s="1"/>
  <c r="K40" i="13"/>
  <c r="M39" i="13" s="1"/>
  <c r="M44" i="13" s="1"/>
  <c r="N99" i="13"/>
  <c r="O99" i="13" s="1"/>
  <c r="P99" i="13" s="1"/>
  <c r="C65" i="13"/>
  <c r="N100" i="13"/>
  <c r="O100" i="13" s="1"/>
  <c r="P100" i="13" s="1"/>
  <c r="F29" i="13"/>
  <c r="C66" i="13" s="1"/>
  <c r="F10" i="13"/>
  <c r="C64" i="13"/>
  <c r="C28" i="13"/>
  <c r="C68" i="13" s="1"/>
  <c r="B31" i="5"/>
  <c r="M8" i="5"/>
  <c r="M40" i="13" l="1"/>
  <c r="M43" i="13" s="1"/>
  <c r="F33" i="13"/>
  <c r="F32" i="13" s="1"/>
  <c r="J70" i="13"/>
  <c r="J71" i="13" s="1"/>
  <c r="C29" i="13"/>
  <c r="J73" i="13" l="1"/>
  <c r="K73" i="13" s="1"/>
  <c r="F67" i="13" s="1"/>
  <c r="K70" i="13"/>
  <c r="F64" i="13" s="1"/>
  <c r="J72" i="13"/>
  <c r="K72" i="13" s="1"/>
  <c r="F66" i="13" s="1"/>
  <c r="C32" i="13"/>
  <c r="C33" i="13" s="1"/>
  <c r="K71" i="13"/>
  <c r="F65" i="13" s="1"/>
  <c r="F11" i="13"/>
  <c r="A478" i="22"/>
  <c r="A450" i="22"/>
  <c r="A290" i="22"/>
  <c r="A434" i="22"/>
  <c r="A266" i="22"/>
  <c r="A430" i="22"/>
  <c r="A406" i="22"/>
  <c r="A422" i="22"/>
  <c r="A342" i="22"/>
  <c r="A306" i="22"/>
  <c r="A350" i="22"/>
  <c r="A474" i="22"/>
  <c r="A438" i="22"/>
  <c r="A370" i="22"/>
  <c r="A366" i="22"/>
  <c r="A486" i="22"/>
  <c r="A258" i="22"/>
  <c r="A298" i="22"/>
  <c r="A327" i="22"/>
  <c r="A394" i="22"/>
  <c r="A314" i="22"/>
  <c r="A454" i="22"/>
  <c r="A321" i="22"/>
  <c r="A294" i="22"/>
  <c r="A322" i="22"/>
  <c r="A390" i="22"/>
  <c r="A274" i="22"/>
  <c r="A310" i="22"/>
  <c r="A334" i="22"/>
  <c r="A398" i="22"/>
  <c r="A346" i="22"/>
  <c r="A271" i="22"/>
  <c r="A414" i="22"/>
  <c r="A358" i="22"/>
  <c r="A401" i="22"/>
  <c r="A270" i="22"/>
  <c r="A302" i="22"/>
  <c r="A254" i="22"/>
  <c r="A382" i="22"/>
  <c r="A466" i="22"/>
  <c r="A282" i="22"/>
  <c r="A482" i="22"/>
  <c r="A315" i="22"/>
  <c r="A305" i="22"/>
  <c r="A279" i="22"/>
  <c r="A263" i="22"/>
  <c r="A364" i="22"/>
  <c r="A273" i="22"/>
  <c r="A462" i="22"/>
  <c r="A407" i="22"/>
  <c r="A423" i="22"/>
  <c r="A490" i="22"/>
  <c r="A494" i="22"/>
  <c r="A278" i="22"/>
  <c r="A286" i="22"/>
  <c r="A303" i="22"/>
  <c r="A353" i="22"/>
  <c r="A333" i="22"/>
  <c r="A371" i="22"/>
  <c r="A351" i="22"/>
  <c r="A426" i="22"/>
  <c r="A471" i="22"/>
  <c r="A300" i="22"/>
  <c r="A354" i="22"/>
  <c r="A374" i="22"/>
  <c r="A375" i="22"/>
  <c r="A386" i="22"/>
  <c r="A338" i="22"/>
  <c r="A348" i="22"/>
  <c r="A331" i="22"/>
  <c r="A455" i="22"/>
  <c r="A391" i="22"/>
  <c r="A262" i="22"/>
  <c r="A330" i="22"/>
  <c r="A362" i="22"/>
  <c r="A339" i="22"/>
  <c r="A380" i="22"/>
  <c r="A312" i="22"/>
  <c r="A487" i="22"/>
  <c r="A335" i="22"/>
  <c r="A299" i="22"/>
  <c r="A412" i="22"/>
  <c r="A385" i="22"/>
  <c r="A252" i="22"/>
  <c r="A257" i="22"/>
  <c r="A428" i="22"/>
  <c r="A359" i="22"/>
  <c r="A268" i="22"/>
  <c r="A347" i="22"/>
  <c r="A311" i="22"/>
  <c r="A378" i="22"/>
  <c r="A369" i="22"/>
  <c r="A343" i="22"/>
  <c r="A442" i="22"/>
  <c r="A460" i="22"/>
  <c r="A275" i="22"/>
  <c r="A318" i="22"/>
  <c r="A446" i="22"/>
  <c r="A326" i="22"/>
  <c r="A328" i="22"/>
  <c r="A492" i="22"/>
  <c r="A444" i="22"/>
  <c r="A284" i="22"/>
  <c r="A301" i="22"/>
  <c r="A393" i="22"/>
  <c r="A395" i="22"/>
  <c r="A439" i="22"/>
  <c r="A498" i="22"/>
  <c r="A410" i="22"/>
  <c r="A289" i="22"/>
  <c r="A433" i="22"/>
  <c r="A287" i="22"/>
  <c r="A497" i="22"/>
  <c r="A481" i="22"/>
  <c r="A403" i="22"/>
  <c r="A418" i="22"/>
  <c r="A451" i="22"/>
  <c r="A296" i="22"/>
  <c r="A493" i="22"/>
  <c r="A323" i="22"/>
  <c r="A377" i="22"/>
  <c r="A181" i="22"/>
  <c r="A404" i="22"/>
  <c r="A402" i="22"/>
  <c r="A295" i="22"/>
  <c r="A387" i="22"/>
  <c r="A329" i="22"/>
  <c r="A337" i="22"/>
  <c r="A396" i="22"/>
  <c r="A458" i="22"/>
  <c r="A449" i="22"/>
  <c r="A408" i="22"/>
  <c r="A457" i="22"/>
  <c r="A424" i="22"/>
  <c r="A267" i="22"/>
  <c r="A452" i="22"/>
  <c r="A367" i="22"/>
  <c r="A405" i="22"/>
  <c r="A436" i="22"/>
  <c r="A440" i="22"/>
  <c r="A411" i="22"/>
  <c r="A389" i="22"/>
  <c r="A463" i="22"/>
  <c r="A417" i="22"/>
  <c r="A320" i="22"/>
  <c r="A255" i="22"/>
  <c r="A470" i="22"/>
  <c r="A357" i="22"/>
  <c r="A379" i="22"/>
  <c r="A355" i="22"/>
  <c r="A265" i="22"/>
  <c r="A291" i="22"/>
  <c r="A319" i="22"/>
  <c r="A161" i="22"/>
  <c r="A154" i="22"/>
  <c r="A184" i="22"/>
  <c r="A138" i="22"/>
  <c r="A229" i="22"/>
  <c r="A212" i="22"/>
  <c r="A199" i="22"/>
  <c r="A221" i="22"/>
  <c r="A419" i="22"/>
  <c r="A461" i="22"/>
  <c r="A91" i="22"/>
  <c r="A95" i="22"/>
  <c r="A30" i="22"/>
  <c r="A234" i="22"/>
  <c r="A219" i="22"/>
  <c r="A151" i="22"/>
  <c r="A24" i="22"/>
  <c r="A38" i="22"/>
  <c r="A88" i="22"/>
  <c r="A195" i="22"/>
  <c r="A64" i="22"/>
  <c r="A80" i="22"/>
  <c r="A66" i="22"/>
  <c r="A9" i="22"/>
  <c r="A126" i="22"/>
  <c r="A196" i="22"/>
  <c r="A98" i="22"/>
  <c r="A448" i="22"/>
  <c r="A400" i="22"/>
  <c r="A26" i="22"/>
  <c r="A384" i="22"/>
  <c r="A145" i="22"/>
  <c r="A285" i="22"/>
  <c r="A134" i="22"/>
  <c r="A122" i="22"/>
  <c r="A32" i="22"/>
  <c r="A200" i="22"/>
  <c r="A191" i="22"/>
  <c r="A75" i="22"/>
  <c r="A239" i="22"/>
  <c r="A149" i="22"/>
  <c r="A232" i="22"/>
  <c r="A167" i="22"/>
  <c r="A57" i="22"/>
  <c r="A376" i="22"/>
  <c r="A96" i="22"/>
  <c r="A73" i="22"/>
  <c r="A67" i="22"/>
  <c r="A238" i="22"/>
  <c r="A168" i="22"/>
  <c r="A158" i="22"/>
  <c r="A46" i="22"/>
  <c r="A152" i="22"/>
  <c r="A146" i="22"/>
  <c r="A72" i="22"/>
  <c r="A336" i="22"/>
  <c r="A269" i="22"/>
  <c r="A113" i="22"/>
  <c r="A491" i="22"/>
  <c r="A392" i="22"/>
  <c r="A124" i="22"/>
  <c r="A447" i="22"/>
  <c r="A228" i="22"/>
  <c r="A197" i="22"/>
  <c r="A4" i="22"/>
  <c r="A41" i="22"/>
  <c r="A489" i="22"/>
  <c r="A150" i="22"/>
  <c r="A251" i="22"/>
  <c r="A45" i="22"/>
  <c r="A70" i="22"/>
  <c r="A130" i="22"/>
  <c r="A40" i="22"/>
  <c r="A162" i="22"/>
  <c r="A198" i="22"/>
  <c r="A292" i="22"/>
  <c r="A280" i="22"/>
  <c r="A78" i="22"/>
  <c r="A112" i="22"/>
  <c r="A87" i="22"/>
  <c r="A28" i="22"/>
  <c r="A193" i="22"/>
  <c r="A61" i="22"/>
  <c r="A501" i="22"/>
  <c r="A272" i="22"/>
  <c r="A368" i="22"/>
  <c r="A381" i="22"/>
  <c r="A356" i="22"/>
  <c r="A147" i="22"/>
  <c r="A309" i="22"/>
  <c r="A180" i="22"/>
  <c r="A89" i="22"/>
  <c r="A114" i="22"/>
  <c r="A468" i="22"/>
  <c r="A157" i="22"/>
  <c r="A119" i="22"/>
  <c r="A22" i="22"/>
  <c r="A81" i="22"/>
  <c r="A244" i="22"/>
  <c r="A209" i="22"/>
  <c r="A171" i="22"/>
  <c r="A109" i="22"/>
  <c r="A169" i="22"/>
  <c r="A65" i="22"/>
  <c r="A42" i="22"/>
  <c r="A60" i="22"/>
  <c r="A115" i="22"/>
  <c r="A111" i="22"/>
  <c r="A133" i="22"/>
  <c r="A43" i="22"/>
  <c r="A90" i="22"/>
  <c r="A71" i="22"/>
  <c r="A118" i="22"/>
  <c r="A208" i="22"/>
  <c r="A210" i="22"/>
  <c r="A204" i="22"/>
  <c r="A52" i="22"/>
  <c r="A170" i="22"/>
  <c r="A201" i="22"/>
  <c r="A13" i="22"/>
  <c r="A82" i="22"/>
  <c r="A102" i="22"/>
  <c r="A215" i="22"/>
  <c r="A409" i="22"/>
  <c r="A307" i="22"/>
  <c r="A476" i="22"/>
  <c r="A164" i="22"/>
  <c r="A59" i="22"/>
  <c r="A425" i="22"/>
  <c r="A260" i="22"/>
  <c r="A74" i="22"/>
  <c r="A100" i="22"/>
  <c r="A62" i="22"/>
  <c r="A129" i="22"/>
  <c r="A54" i="22"/>
  <c r="A27" i="22"/>
  <c r="A11" i="22"/>
  <c r="A16" i="22"/>
  <c r="A93" i="22"/>
  <c r="A141" i="22"/>
  <c r="A21" i="22"/>
  <c r="A256" i="22"/>
  <c r="A261" i="22"/>
  <c r="A469" i="22"/>
  <c r="A103" i="22"/>
  <c r="A56" i="22"/>
  <c r="A341" i="22"/>
  <c r="A465" i="22"/>
  <c r="A500" i="22"/>
  <c r="A325" i="22"/>
  <c r="A79" i="22"/>
  <c r="A332" i="22"/>
  <c r="A360" i="22"/>
  <c r="A499" i="22"/>
  <c r="A467" i="22"/>
  <c r="A383" i="22"/>
  <c r="A84" i="22"/>
  <c r="A86" i="22"/>
  <c r="A44" i="22"/>
  <c r="A132" i="22"/>
  <c r="A304" i="22"/>
  <c r="A48" i="22"/>
  <c r="A34" i="22"/>
  <c r="A429" i="22"/>
  <c r="A416" i="22"/>
  <c r="A372" i="22"/>
  <c r="A459" i="22"/>
  <c r="A297" i="22"/>
  <c r="A324" i="22"/>
  <c r="A264" i="22"/>
  <c r="A399" i="22"/>
  <c r="A488" i="22"/>
  <c r="A223" i="22"/>
  <c r="A283" i="22"/>
  <c r="A345" i="22"/>
  <c r="A222" i="22"/>
  <c r="A243" i="22"/>
  <c r="A174" i="22"/>
  <c r="A135" i="22"/>
  <c r="A186" i="22"/>
  <c r="A225" i="22"/>
  <c r="A123" i="22"/>
  <c r="A127" i="22"/>
  <c r="A218" i="22"/>
  <c r="A495" i="22"/>
  <c r="A25" i="22"/>
  <c r="A117" i="22"/>
  <c r="A110" i="22"/>
  <c r="A190" i="22"/>
  <c r="A431" i="22"/>
  <c r="A220" i="22"/>
  <c r="A496" i="22"/>
  <c r="A2" i="22"/>
  <c r="A473" i="22"/>
  <c r="A464" i="22"/>
  <c r="A432" i="22"/>
  <c r="A363" i="22"/>
  <c r="A313" i="22"/>
  <c r="A480" i="22"/>
  <c r="A308" i="22"/>
  <c r="A365" i="22"/>
  <c r="A276" i="22"/>
  <c r="A344" i="22"/>
  <c r="A484" i="22"/>
  <c r="A236" i="22"/>
  <c r="A217" i="22"/>
  <c r="A139" i="22"/>
  <c r="A125" i="22"/>
  <c r="A35" i="22"/>
  <c r="A485" i="22"/>
  <c r="A441" i="22"/>
  <c r="A281" i="22"/>
  <c r="A23" i="22"/>
  <c r="A3" i="22"/>
  <c r="A253" i="22"/>
  <c r="A443" i="22"/>
  <c r="A105" i="22"/>
  <c r="A421" i="22"/>
  <c r="A361" i="22"/>
  <c r="A237" i="22"/>
  <c r="A456" i="22"/>
  <c r="A259" i="22"/>
  <c r="A317" i="22"/>
  <c r="A316" i="22"/>
  <c r="A397" i="22"/>
  <c r="A144" i="22"/>
  <c r="A77" i="22"/>
  <c r="A211" i="22"/>
  <c r="A194" i="22"/>
  <c r="A55" i="22"/>
  <c r="A63" i="22"/>
  <c r="A213" i="22"/>
  <c r="A227" i="22"/>
  <c r="A214" i="22"/>
  <c r="A18" i="22"/>
  <c r="A249" i="22"/>
  <c r="A178" i="22"/>
  <c r="A51" i="22"/>
  <c r="A131" i="22"/>
  <c r="A19" i="22"/>
  <c r="A435" i="22"/>
  <c r="A288" i="22"/>
  <c r="A349" i="22"/>
  <c r="A445" i="22"/>
  <c r="A188" i="22"/>
  <c r="A293" i="22"/>
  <c r="A437" i="22"/>
  <c r="A120" i="22"/>
  <c r="A226" i="22"/>
  <c r="A415" i="22"/>
  <c r="A185" i="22"/>
  <c r="A472" i="22"/>
  <c r="A388" i="22"/>
  <c r="A483" i="22"/>
  <c r="A413" i="22"/>
  <c r="A477" i="22"/>
  <c r="A475" i="22"/>
  <c r="A277" i="22"/>
  <c r="A352" i="22"/>
  <c r="A453" i="22"/>
  <c r="A427" i="22"/>
  <c r="A373" i="22"/>
  <c r="A340" i="22"/>
  <c r="A479" i="22"/>
  <c r="A420" i="22"/>
  <c r="C420" i="22" l="1"/>
  <c r="C427" i="22"/>
  <c r="C475" i="22"/>
  <c r="C388" i="22"/>
  <c r="C226" i="22"/>
  <c r="AJ226" i="22" s="1"/>
  <c r="C188" i="22"/>
  <c r="C435" i="22"/>
  <c r="C178" i="22"/>
  <c r="AJ178" i="22" s="1"/>
  <c r="C227" i="22"/>
  <c r="C194" i="22"/>
  <c r="C397" i="22"/>
  <c r="C456" i="22"/>
  <c r="C105" i="22"/>
  <c r="C23" i="22"/>
  <c r="C35" i="22"/>
  <c r="AJ35" i="22" s="1"/>
  <c r="C236" i="22"/>
  <c r="AJ236" i="22" s="1"/>
  <c r="C365" i="22"/>
  <c r="C363" i="22"/>
  <c r="C2" i="22"/>
  <c r="AJ2" i="22" s="1"/>
  <c r="C190" i="22"/>
  <c r="AJ190" i="22" s="1"/>
  <c r="C495" i="22"/>
  <c r="C225" i="22"/>
  <c r="C243" i="22"/>
  <c r="AJ243" i="22" s="1"/>
  <c r="C223" i="22"/>
  <c r="AJ223" i="22" s="1"/>
  <c r="C324" i="22"/>
  <c r="C416" i="22"/>
  <c r="C304" i="22"/>
  <c r="C84" i="22"/>
  <c r="AJ84" i="22" s="1"/>
  <c r="C360" i="22"/>
  <c r="C500" i="22"/>
  <c r="C103" i="22"/>
  <c r="AJ103" i="22" s="1"/>
  <c r="C21" i="22"/>
  <c r="AJ21" i="22" s="1"/>
  <c r="C11" i="22"/>
  <c r="C62" i="22"/>
  <c r="C425" i="22"/>
  <c r="C307" i="22"/>
  <c r="C82" i="22"/>
  <c r="C52" i="22"/>
  <c r="C118" i="22"/>
  <c r="AJ118" i="22" s="1"/>
  <c r="C133" i="22"/>
  <c r="AJ133" i="22" s="1"/>
  <c r="C42" i="22"/>
  <c r="AJ42" i="22" s="1"/>
  <c r="C171" i="22"/>
  <c r="C22" i="22"/>
  <c r="C114" i="22"/>
  <c r="AJ114" i="22" s="1"/>
  <c r="C147" i="22"/>
  <c r="AJ147" i="22" s="1"/>
  <c r="C272" i="22"/>
  <c r="C28" i="22"/>
  <c r="AJ28" i="22" s="1"/>
  <c r="C280" i="22"/>
  <c r="C40" i="22"/>
  <c r="C251" i="22"/>
  <c r="C4" i="22"/>
  <c r="C124" i="22"/>
  <c r="AJ124" i="22" s="1"/>
  <c r="C269" i="22"/>
  <c r="C152" i="22"/>
  <c r="C238" i="22"/>
  <c r="AJ238" i="22" s="1"/>
  <c r="C376" i="22"/>
  <c r="C149" i="22"/>
  <c r="C200" i="22"/>
  <c r="C285" i="22"/>
  <c r="C400" i="22"/>
  <c r="C126" i="22"/>
  <c r="C64" i="22"/>
  <c r="C24" i="22"/>
  <c r="AJ24" i="22" s="1"/>
  <c r="C30" i="22"/>
  <c r="AJ30" i="22" s="1"/>
  <c r="C419" i="22"/>
  <c r="C229" i="22"/>
  <c r="C161" i="22"/>
  <c r="C355" i="22"/>
  <c r="C255" i="22"/>
  <c r="C389" i="22"/>
  <c r="C405" i="22"/>
  <c r="C424" i="22"/>
  <c r="C458" i="22"/>
  <c r="C387" i="22"/>
  <c r="C181" i="22"/>
  <c r="C296" i="22"/>
  <c r="C481" i="22"/>
  <c r="C289" i="22"/>
  <c r="C395" i="22"/>
  <c r="C444" i="22"/>
  <c r="C446" i="22"/>
  <c r="C442" i="22"/>
  <c r="C311" i="22"/>
  <c r="C428" i="22"/>
  <c r="C412" i="22"/>
  <c r="C312" i="22"/>
  <c r="C330" i="22"/>
  <c r="C331" i="22"/>
  <c r="C375" i="22"/>
  <c r="C471" i="22"/>
  <c r="C333" i="22"/>
  <c r="C278" i="22"/>
  <c r="C407" i="22"/>
  <c r="C263" i="22"/>
  <c r="C482" i="22"/>
  <c r="C254" i="22"/>
  <c r="C358" i="22"/>
  <c r="C398" i="22"/>
  <c r="C390" i="22"/>
  <c r="C454" i="22"/>
  <c r="C298" i="22"/>
  <c r="C370" i="22"/>
  <c r="C306" i="22"/>
  <c r="C430" i="22"/>
  <c r="C450" i="22"/>
  <c r="C479" i="22"/>
  <c r="C453" i="22"/>
  <c r="C477" i="22"/>
  <c r="C472" i="22"/>
  <c r="C120" i="22"/>
  <c r="C445" i="22"/>
  <c r="C19" i="22"/>
  <c r="AJ19" i="22" s="1"/>
  <c r="C249" i="22"/>
  <c r="AJ249" i="22" s="1"/>
  <c r="C213" i="22"/>
  <c r="C211" i="22"/>
  <c r="C316" i="22"/>
  <c r="C237" i="22"/>
  <c r="AJ237" i="22" s="1"/>
  <c r="C443" i="22"/>
  <c r="C281" i="22"/>
  <c r="C125" i="22"/>
  <c r="AJ125" i="22" s="1"/>
  <c r="C484" i="22"/>
  <c r="C308" i="22"/>
  <c r="C432" i="22"/>
  <c r="C496" i="22"/>
  <c r="C110" i="22"/>
  <c r="AJ110" i="22" s="1"/>
  <c r="C218" i="22"/>
  <c r="C186" i="22"/>
  <c r="AJ186" i="22" s="1"/>
  <c r="C222" i="22"/>
  <c r="AJ222" i="22" s="1"/>
  <c r="C488" i="22"/>
  <c r="C297" i="22"/>
  <c r="C429" i="22"/>
  <c r="C132" i="22"/>
  <c r="C383" i="22"/>
  <c r="C332" i="22"/>
  <c r="C465" i="22"/>
  <c r="C469" i="22"/>
  <c r="C141" i="22"/>
  <c r="AJ141" i="22" s="1"/>
  <c r="C27" i="22"/>
  <c r="C100" i="22"/>
  <c r="C59" i="22"/>
  <c r="AJ59" i="22" s="1"/>
  <c r="C409" i="22"/>
  <c r="C13" i="22"/>
  <c r="C204" i="22"/>
  <c r="AJ204" i="22" s="1"/>
  <c r="C71" i="22"/>
  <c r="AJ71" i="22" s="1"/>
  <c r="C111" i="22"/>
  <c r="AJ111" i="22" s="1"/>
  <c r="C65" i="22"/>
  <c r="C209" i="22"/>
  <c r="C119" i="22"/>
  <c r="AJ119" i="22" s="1"/>
  <c r="C89" i="22"/>
  <c r="AJ89" i="22" s="1"/>
  <c r="C356" i="22"/>
  <c r="C501" i="22"/>
  <c r="C87" i="22"/>
  <c r="AJ87" i="22" s="1"/>
  <c r="C292" i="22"/>
  <c r="C130" i="22"/>
  <c r="C150" i="22"/>
  <c r="AJ150" i="22" s="1"/>
  <c r="C197" i="22"/>
  <c r="AJ197" i="22" s="1"/>
  <c r="C392" i="22"/>
  <c r="C336" i="22"/>
  <c r="C46" i="22"/>
  <c r="AJ46" i="22" s="1"/>
  <c r="C67" i="22"/>
  <c r="AJ67" i="22" s="1"/>
  <c r="C57" i="22"/>
  <c r="AJ57" i="22" s="1"/>
  <c r="C239" i="22"/>
  <c r="C32" i="22"/>
  <c r="C145" i="22"/>
  <c r="AJ145" i="22" s="1"/>
  <c r="C448" i="22"/>
  <c r="C9" i="22"/>
  <c r="C195" i="22"/>
  <c r="AJ195" i="22" s="1"/>
  <c r="C151" i="22"/>
  <c r="AJ151" i="22" s="1"/>
  <c r="C95" i="22"/>
  <c r="AJ95" i="22" s="1"/>
  <c r="C221" i="22"/>
  <c r="C138" i="22"/>
  <c r="C319" i="22"/>
  <c r="C379" i="22"/>
  <c r="C320" i="22"/>
  <c r="C411" i="22"/>
  <c r="C367" i="22"/>
  <c r="C457" i="22"/>
  <c r="C396" i="22"/>
  <c r="C295" i="22"/>
  <c r="C377" i="22"/>
  <c r="C451" i="22"/>
  <c r="C497" i="22"/>
  <c r="C410" i="22"/>
  <c r="C393" i="22"/>
  <c r="C492" i="22"/>
  <c r="C318" i="22"/>
  <c r="C343" i="22"/>
  <c r="C347" i="22"/>
  <c r="C257" i="22"/>
  <c r="C299" i="22"/>
  <c r="C380" i="22"/>
  <c r="C262" i="22"/>
  <c r="C348" i="22"/>
  <c r="C374" i="22"/>
  <c r="C426" i="22"/>
  <c r="C353" i="22"/>
  <c r="C494" i="22"/>
  <c r="C462" i="22"/>
  <c r="C279" i="22"/>
  <c r="C282" i="22"/>
  <c r="C302" i="22"/>
  <c r="C414" i="22"/>
  <c r="C334" i="22"/>
  <c r="C322" i="22"/>
  <c r="C314" i="22"/>
  <c r="C258" i="22"/>
  <c r="C438" i="22"/>
  <c r="C342" i="22"/>
  <c r="C266" i="22"/>
  <c r="C478" i="22"/>
  <c r="C340" i="22"/>
  <c r="C352" i="22"/>
  <c r="C413" i="22"/>
  <c r="C185" i="22"/>
  <c r="C437" i="22"/>
  <c r="C349" i="22"/>
  <c r="C131" i="22"/>
  <c r="AJ131" i="22" s="1"/>
  <c r="C18" i="22"/>
  <c r="C63" i="22"/>
  <c r="C77" i="22"/>
  <c r="AJ77" i="22" s="1"/>
  <c r="C317" i="22"/>
  <c r="C361" i="22"/>
  <c r="C253" i="22"/>
  <c r="C441" i="22"/>
  <c r="C139" i="22"/>
  <c r="C344" i="22"/>
  <c r="C480" i="22"/>
  <c r="C464" i="22"/>
  <c r="C220" i="22"/>
  <c r="AJ220" i="22" s="1"/>
  <c r="C117" i="22"/>
  <c r="C127" i="22"/>
  <c r="AJ127" i="22" s="1"/>
  <c r="C135" i="22"/>
  <c r="AJ135" i="22" s="1"/>
  <c r="C345" i="22"/>
  <c r="C399" i="22"/>
  <c r="C459" i="22"/>
  <c r="C34" i="22"/>
  <c r="AJ34" i="22" s="1"/>
  <c r="C44" i="22"/>
  <c r="AJ44" i="22" s="1"/>
  <c r="C467" i="22"/>
  <c r="C79" i="22"/>
  <c r="AJ79" i="22" s="1"/>
  <c r="C341" i="22"/>
  <c r="C261" i="22"/>
  <c r="C93" i="22"/>
  <c r="C54" i="22"/>
  <c r="C74" i="22"/>
  <c r="AJ74" i="22" s="1"/>
  <c r="C164" i="22"/>
  <c r="AJ164" i="22" s="1"/>
  <c r="C215" i="22"/>
  <c r="AJ215" i="22" s="1"/>
  <c r="C201" i="22"/>
  <c r="AJ201" i="22" s="1"/>
  <c r="C210" i="22"/>
  <c r="AJ210" i="22" s="1"/>
  <c r="C90" i="22"/>
  <c r="AJ90" i="22" s="1"/>
  <c r="C115" i="22"/>
  <c r="C169" i="22"/>
  <c r="AJ169" i="22" s="1"/>
  <c r="C244" i="22"/>
  <c r="AJ244" i="22" s="1"/>
  <c r="C157" i="22"/>
  <c r="AJ157" i="22" s="1"/>
  <c r="C180" i="22"/>
  <c r="C381" i="22"/>
  <c r="C61" i="22"/>
  <c r="AJ61" i="22" s="1"/>
  <c r="C112" i="22"/>
  <c r="AJ112" i="22" s="1"/>
  <c r="C198" i="22"/>
  <c r="C70" i="22"/>
  <c r="AJ70" i="22" s="1"/>
  <c r="C489" i="22"/>
  <c r="C228" i="22"/>
  <c r="AJ228" i="22" s="1"/>
  <c r="C491" i="22"/>
  <c r="C72" i="22"/>
  <c r="AJ72" i="22" s="1"/>
  <c r="C158" i="22"/>
  <c r="AJ158" i="22" s="1"/>
  <c r="C73" i="22"/>
  <c r="AJ73" i="22" s="1"/>
  <c r="C167" i="22"/>
  <c r="C75" i="22"/>
  <c r="C122" i="22"/>
  <c r="AJ122" i="22" s="1"/>
  <c r="C384" i="22"/>
  <c r="C98" i="22"/>
  <c r="AJ98" i="22" s="1"/>
  <c r="C66" i="22"/>
  <c r="AJ66" i="22" s="1"/>
  <c r="C88" i="22"/>
  <c r="AJ88" i="22" s="1"/>
  <c r="C219" i="22"/>
  <c r="C91" i="22"/>
  <c r="C199" i="22"/>
  <c r="AJ199" i="22" s="1"/>
  <c r="C184" i="22"/>
  <c r="AJ184" i="22" s="1"/>
  <c r="C291" i="22"/>
  <c r="C357" i="22"/>
  <c r="C417" i="22"/>
  <c r="C440" i="22"/>
  <c r="C452" i="22"/>
  <c r="C408" i="22"/>
  <c r="C337" i="22"/>
  <c r="C402" i="22"/>
  <c r="C323" i="22"/>
  <c r="C418" i="22"/>
  <c r="C287" i="22"/>
  <c r="C498" i="22"/>
  <c r="C301" i="22"/>
  <c r="C328" i="22"/>
  <c r="C275" i="22"/>
  <c r="C369" i="22"/>
  <c r="C268" i="22"/>
  <c r="C252" i="22"/>
  <c r="C335" i="22"/>
  <c r="C339" i="22"/>
  <c r="C391" i="22"/>
  <c r="C338" i="22"/>
  <c r="C354" i="22"/>
  <c r="C351" i="22"/>
  <c r="C303" i="22"/>
  <c r="C490" i="22"/>
  <c r="C273" i="22"/>
  <c r="C305" i="22"/>
  <c r="C466" i="22"/>
  <c r="C270" i="22"/>
  <c r="C271" i="22"/>
  <c r="C310" i="22"/>
  <c r="C294" i="22"/>
  <c r="C394" i="22"/>
  <c r="C486" i="22"/>
  <c r="C474" i="22"/>
  <c r="C422" i="22"/>
  <c r="C434" i="22"/>
  <c r="C373" i="22"/>
  <c r="C277" i="22"/>
  <c r="C483" i="22"/>
  <c r="C415" i="22"/>
  <c r="C293" i="22"/>
  <c r="C288" i="22"/>
  <c r="C51" i="22"/>
  <c r="AJ51" i="22" s="1"/>
  <c r="C214" i="22"/>
  <c r="C55" i="22"/>
  <c r="AJ55" i="22" s="1"/>
  <c r="C144" i="22"/>
  <c r="AJ144" i="22" s="1"/>
  <c r="C259" i="22"/>
  <c r="C421" i="22"/>
  <c r="C3" i="22"/>
  <c r="AJ3" i="22" s="1"/>
  <c r="C485" i="22"/>
  <c r="C217" i="22"/>
  <c r="AJ217" i="22" s="1"/>
  <c r="C276" i="22"/>
  <c r="C313" i="22"/>
  <c r="C473" i="22"/>
  <c r="C431" i="22"/>
  <c r="C25" i="22"/>
  <c r="AJ25" i="22" s="1"/>
  <c r="C123" i="22"/>
  <c r="AJ123" i="22" s="1"/>
  <c r="C174" i="22"/>
  <c r="AJ174" i="22" s="1"/>
  <c r="C283" i="22"/>
  <c r="C264" i="22"/>
  <c r="C372" i="22"/>
  <c r="C48" i="22"/>
  <c r="AJ48" i="22" s="1"/>
  <c r="C86" i="22"/>
  <c r="AJ86" i="22" s="1"/>
  <c r="C499" i="22"/>
  <c r="C325" i="22"/>
  <c r="C56" i="22"/>
  <c r="AJ56" i="22" s="1"/>
  <c r="C256" i="22"/>
  <c r="C16" i="22"/>
  <c r="AJ16" i="22" s="1"/>
  <c r="C129" i="22"/>
  <c r="AJ129" i="22" s="1"/>
  <c r="C260" i="22"/>
  <c r="C476" i="22"/>
  <c r="C102" i="22"/>
  <c r="AJ102" i="22" s="1"/>
  <c r="C170" i="22"/>
  <c r="AJ170" i="22" s="1"/>
  <c r="C208" i="22"/>
  <c r="AJ208" i="22" s="1"/>
  <c r="C43" i="22"/>
  <c r="AJ43" i="22" s="1"/>
  <c r="C60" i="22"/>
  <c r="C109" i="22"/>
  <c r="AJ109" i="22" s="1"/>
  <c r="C81" i="22"/>
  <c r="AJ81" i="22" s="1"/>
  <c r="C468" i="22"/>
  <c r="C309" i="22"/>
  <c r="C368" i="22"/>
  <c r="C193" i="22"/>
  <c r="AJ193" i="22" s="1"/>
  <c r="C78" i="22"/>
  <c r="AJ78" i="22" s="1"/>
  <c r="C162" i="22"/>
  <c r="C45" i="22"/>
  <c r="AJ45" i="22" s="1"/>
  <c r="C41" i="22"/>
  <c r="AJ41" i="22" s="1"/>
  <c r="C447" i="22"/>
  <c r="C113" i="22"/>
  <c r="AJ113" i="22" s="1"/>
  <c r="C146" i="22"/>
  <c r="AJ146" i="22" s="1"/>
  <c r="C168" i="22"/>
  <c r="AJ168" i="22" s="1"/>
  <c r="C96" i="22"/>
  <c r="AJ96" i="22" s="1"/>
  <c r="C232" i="22"/>
  <c r="AJ232" i="22" s="1"/>
  <c r="C191" i="22"/>
  <c r="AJ191" i="22" s="1"/>
  <c r="C134" i="22"/>
  <c r="AJ134" i="22" s="1"/>
  <c r="C26" i="22"/>
  <c r="AJ26" i="22" s="1"/>
  <c r="C196" i="22"/>
  <c r="AJ196" i="22" s="1"/>
  <c r="C80" i="22"/>
  <c r="AJ80" i="22" s="1"/>
  <c r="C38" i="22"/>
  <c r="AJ38" i="22" s="1"/>
  <c r="C234" i="22"/>
  <c r="AJ234" i="22" s="1"/>
  <c r="C461" i="22"/>
  <c r="C212" i="22"/>
  <c r="C154" i="22"/>
  <c r="AJ154" i="22" s="1"/>
  <c r="C265" i="22"/>
  <c r="C470" i="22"/>
  <c r="C463" i="22"/>
  <c r="C436" i="22"/>
  <c r="C267" i="22"/>
  <c r="C449" i="22"/>
  <c r="C329" i="22"/>
  <c r="C404" i="22"/>
  <c r="C493" i="22"/>
  <c r="C403" i="22"/>
  <c r="C433" i="22"/>
  <c r="C439" i="22"/>
  <c r="C284" i="22"/>
  <c r="C326" i="22"/>
  <c r="C460" i="22"/>
  <c r="C378" i="22"/>
  <c r="C359" i="22"/>
  <c r="C385" i="22"/>
  <c r="C487" i="22"/>
  <c r="C362" i="22"/>
  <c r="C455" i="22"/>
  <c r="C386" i="22"/>
  <c r="C300" i="22"/>
  <c r="C371" i="22"/>
  <c r="C286" i="22"/>
  <c r="C423" i="22"/>
  <c r="C364" i="22"/>
  <c r="C315" i="22"/>
  <c r="C382" i="22"/>
  <c r="C401" i="22"/>
  <c r="C346" i="22"/>
  <c r="C274" i="22"/>
  <c r="C321" i="22"/>
  <c r="C327" i="22"/>
  <c r="C366" i="22"/>
  <c r="C350" i="22"/>
  <c r="C406" i="22"/>
  <c r="C290" i="22"/>
  <c r="AJ18" i="22"/>
  <c r="AJ63" i="22"/>
  <c r="AJ218" i="22"/>
  <c r="AJ115" i="22"/>
  <c r="AJ209" i="22"/>
  <c r="AJ40" i="22"/>
  <c r="AJ152" i="22"/>
  <c r="AJ149" i="22"/>
  <c r="AJ239" i="22"/>
  <c r="AJ32" i="22"/>
  <c r="AJ9" i="22"/>
  <c r="AJ219" i="22"/>
  <c r="AJ91" i="22"/>
  <c r="AJ212" i="22"/>
  <c r="AJ188" i="22"/>
  <c r="AJ214" i="22"/>
  <c r="AJ139" i="22"/>
  <c r="AJ117" i="22"/>
  <c r="AJ11" i="22"/>
  <c r="AJ62" i="22"/>
  <c r="AJ82" i="22"/>
  <c r="AJ60" i="22"/>
  <c r="AJ251" i="22"/>
  <c r="AJ75" i="22"/>
  <c r="AJ229" i="22"/>
  <c r="AJ161" i="22"/>
  <c r="AJ227" i="22"/>
  <c r="AJ194" i="22"/>
  <c r="AJ105" i="22"/>
  <c r="AJ23" i="22"/>
  <c r="AJ27" i="22"/>
  <c r="AJ52" i="22"/>
  <c r="AJ65" i="22"/>
  <c r="AJ198" i="22"/>
  <c r="AJ130" i="22"/>
  <c r="AJ167" i="22"/>
  <c r="AJ221" i="22"/>
  <c r="AJ138" i="22"/>
  <c r="AJ181" i="22"/>
  <c r="AJ185" i="22"/>
  <c r="AJ120" i="22"/>
  <c r="AJ213" i="22"/>
  <c r="AJ211" i="22"/>
  <c r="AJ225" i="22"/>
  <c r="AJ132" i="22"/>
  <c r="AJ93" i="22"/>
  <c r="AJ54" i="22"/>
  <c r="AJ100" i="22"/>
  <c r="AJ13" i="22"/>
  <c r="AJ171" i="22"/>
  <c r="AJ22" i="22"/>
  <c r="AJ180" i="22"/>
  <c r="AJ162" i="22"/>
  <c r="AJ4" i="22"/>
  <c r="AJ200" i="22"/>
  <c r="AJ126" i="22"/>
  <c r="AJ64" i="22"/>
  <c r="A128" i="22"/>
  <c r="A143" i="22"/>
  <c r="A231" i="22"/>
  <c r="A156" i="22"/>
  <c r="A69" i="22"/>
  <c r="A246" i="22"/>
  <c r="A166" i="22"/>
  <c r="A163" i="22"/>
  <c r="A203" i="22"/>
  <c r="A92" i="22"/>
  <c r="A68" i="22"/>
  <c r="A172" i="22"/>
  <c r="A53" i="22"/>
  <c r="A205" i="22"/>
  <c r="A58" i="22"/>
  <c r="A207" i="22"/>
  <c r="A5" i="22"/>
  <c r="A17" i="22"/>
  <c r="A176" i="22"/>
  <c r="A106" i="22"/>
  <c r="A245" i="22"/>
  <c r="A250" i="22"/>
  <c r="A8" i="22"/>
  <c r="A155" i="22"/>
  <c r="A153" i="22"/>
  <c r="A20" i="22"/>
  <c r="A189" i="22"/>
  <c r="A183" i="22"/>
  <c r="A235" i="22"/>
  <c r="A101" i="22"/>
  <c r="A36" i="22"/>
  <c r="A137" i="22"/>
  <c r="A99" i="22"/>
  <c r="A192" i="22"/>
  <c r="A94" i="22"/>
  <c r="A7" i="22"/>
  <c r="A159" i="22"/>
  <c r="A15" i="22"/>
  <c r="A247" i="22"/>
  <c r="A179" i="22"/>
  <c r="A240" i="22"/>
  <c r="A177" i="22"/>
  <c r="A49" i="22"/>
  <c r="A242" i="22"/>
  <c r="A116" i="22"/>
  <c r="A83" i="22"/>
  <c r="A241" i="22"/>
  <c r="A230" i="22"/>
  <c r="A39" i="22"/>
  <c r="A50" i="22"/>
  <c r="A142" i="22"/>
  <c r="A6" i="22"/>
  <c r="A104" i="22"/>
  <c r="A107" i="22"/>
  <c r="A173" i="22"/>
  <c r="A85" i="22"/>
  <c r="A165" i="22"/>
  <c r="A108" i="22"/>
  <c r="A10" i="22"/>
  <c r="A14" i="22"/>
  <c r="A148" i="22"/>
  <c r="A175" i="22"/>
  <c r="A202" i="22"/>
  <c r="A140" i="22"/>
  <c r="A248" i="22"/>
  <c r="A31" i="22"/>
  <c r="A76" i="22"/>
  <c r="A136" i="22"/>
  <c r="A233" i="22"/>
  <c r="A33" i="22"/>
  <c r="A182" i="22"/>
  <c r="A160" i="22"/>
  <c r="A224" i="22"/>
  <c r="A12" i="22"/>
  <c r="A121" i="22"/>
  <c r="A97" i="22"/>
  <c r="A206" i="22"/>
  <c r="A47" i="22"/>
  <c r="A37" i="22"/>
  <c r="A187" i="22"/>
  <c r="A29" i="22"/>
  <c r="A216" i="22"/>
  <c r="C97" i="22" l="1"/>
  <c r="C140" i="22"/>
  <c r="C85" i="22"/>
  <c r="C230" i="22"/>
  <c r="C7" i="22"/>
  <c r="AJ7" i="22" s="1"/>
  <c r="C183" i="22"/>
  <c r="AJ183" i="22" s="1"/>
  <c r="C207" i="22"/>
  <c r="C156" i="22"/>
  <c r="AJ156" i="22" s="1"/>
  <c r="C37" i="22"/>
  <c r="C121" i="22"/>
  <c r="C182" i="22"/>
  <c r="AJ182" i="22" s="1"/>
  <c r="C76" i="22"/>
  <c r="AJ76" i="22" s="1"/>
  <c r="C202" i="22"/>
  <c r="C10" i="22"/>
  <c r="AJ10" i="22" s="1"/>
  <c r="C173" i="22"/>
  <c r="C142" i="22"/>
  <c r="AJ142" i="22" s="1"/>
  <c r="C241" i="22"/>
  <c r="AJ241" i="22" s="1"/>
  <c r="C49" i="22"/>
  <c r="AJ49" i="22" s="1"/>
  <c r="C247" i="22"/>
  <c r="C94" i="22"/>
  <c r="C36" i="22"/>
  <c r="C189" i="22"/>
  <c r="AJ189" i="22" s="1"/>
  <c r="C8" i="22"/>
  <c r="AJ8" i="22" s="1"/>
  <c r="C176" i="22"/>
  <c r="AJ176" i="22" s="1"/>
  <c r="C58" i="22"/>
  <c r="C68" i="22"/>
  <c r="AJ68" i="22" s="1"/>
  <c r="C166" i="22"/>
  <c r="C231" i="22"/>
  <c r="AJ231" i="22" s="1"/>
  <c r="C160" i="22"/>
  <c r="AJ160" i="22" s="1"/>
  <c r="C14" i="22"/>
  <c r="AJ14" i="22" s="1"/>
  <c r="C6" i="22"/>
  <c r="C179" i="22"/>
  <c r="AJ179" i="22" s="1"/>
  <c r="C137" i="22"/>
  <c r="C155" i="22"/>
  <c r="AJ155" i="22" s="1"/>
  <c r="C106" i="22"/>
  <c r="AJ106" i="22" s="1"/>
  <c r="C163" i="22"/>
  <c r="AJ163" i="22" s="1"/>
  <c r="C216" i="22"/>
  <c r="AJ216" i="22" s="1"/>
  <c r="C12" i="22"/>
  <c r="AJ12" i="22" s="1"/>
  <c r="C33" i="22"/>
  <c r="C31" i="22"/>
  <c r="AJ31" i="22" s="1"/>
  <c r="C175" i="22"/>
  <c r="AJ175" i="22" s="1"/>
  <c r="C108" i="22"/>
  <c r="AJ108" i="22" s="1"/>
  <c r="C107" i="22"/>
  <c r="C50" i="22"/>
  <c r="AJ50" i="22" s="1"/>
  <c r="C83" i="22"/>
  <c r="AJ83" i="22" s="1"/>
  <c r="C177" i="22"/>
  <c r="AJ177" i="22" s="1"/>
  <c r="C15" i="22"/>
  <c r="AJ15" i="22" s="1"/>
  <c r="C192" i="22"/>
  <c r="AJ192" i="22" s="1"/>
  <c r="C101" i="22"/>
  <c r="C20" i="22"/>
  <c r="AJ20" i="22" s="1"/>
  <c r="C250" i="22"/>
  <c r="C17" i="22"/>
  <c r="AJ17" i="22" s="1"/>
  <c r="C205" i="22"/>
  <c r="AJ205" i="22" s="1"/>
  <c r="C92" i="22"/>
  <c r="AJ92" i="22" s="1"/>
  <c r="C246" i="22"/>
  <c r="C143" i="22"/>
  <c r="AJ143" i="22" s="1"/>
  <c r="C187" i="22"/>
  <c r="C136" i="22"/>
  <c r="AJ136" i="22" s="1"/>
  <c r="C242" i="22"/>
  <c r="AJ242" i="22" s="1"/>
  <c r="C172" i="22"/>
  <c r="AJ172" i="22" s="1"/>
  <c r="C47" i="22"/>
  <c r="C29" i="22"/>
  <c r="AJ29" i="22" s="1"/>
  <c r="C206" i="22"/>
  <c r="C224" i="22"/>
  <c r="AJ224" i="22" s="1"/>
  <c r="C233" i="22"/>
  <c r="AJ233" i="22" s="1"/>
  <c r="C248" i="22"/>
  <c r="AJ248" i="22" s="1"/>
  <c r="C148" i="22"/>
  <c r="C165" i="22"/>
  <c r="C104" i="22"/>
  <c r="AJ104" i="22" s="1"/>
  <c r="C39" i="22"/>
  <c r="AJ39" i="22" s="1"/>
  <c r="C116" i="22"/>
  <c r="AJ116" i="22" s="1"/>
  <c r="C240" i="22"/>
  <c r="AJ240" i="22" s="1"/>
  <c r="C159" i="22"/>
  <c r="C99" i="22"/>
  <c r="AJ99" i="22" s="1"/>
  <c r="C235" i="22"/>
  <c r="C153" i="22"/>
  <c r="C245" i="22"/>
  <c r="AJ245" i="22" s="1"/>
  <c r="C5" i="22"/>
  <c r="AJ5" i="22" s="1"/>
  <c r="C53" i="22"/>
  <c r="C203" i="22"/>
  <c r="AJ203" i="22" s="1"/>
  <c r="C69" i="22"/>
  <c r="C128" i="22"/>
  <c r="AJ128" i="22" s="1"/>
  <c r="AD370" i="22"/>
  <c r="AJ370" i="22"/>
  <c r="AD493" i="22"/>
  <c r="AJ493" i="22"/>
  <c r="AD381" i="22"/>
  <c r="AJ381" i="22"/>
  <c r="AD383" i="22"/>
  <c r="AJ383" i="22"/>
  <c r="AD443" i="22"/>
  <c r="AJ443" i="22"/>
  <c r="AD445" i="22"/>
  <c r="AJ445" i="22"/>
  <c r="AD305" i="22"/>
  <c r="AJ305" i="22"/>
  <c r="AD391" i="22"/>
  <c r="AJ391" i="22"/>
  <c r="AD395" i="22"/>
  <c r="AJ395" i="22"/>
  <c r="AD436" i="22"/>
  <c r="AJ436" i="22"/>
  <c r="AD265" i="22"/>
  <c r="AJ265" i="22"/>
  <c r="AD399" i="22"/>
  <c r="AJ399" i="22"/>
  <c r="AD308" i="22"/>
  <c r="AJ308" i="22"/>
  <c r="AD340" i="22"/>
  <c r="AJ340" i="22"/>
  <c r="AD334" i="22"/>
  <c r="AJ334" i="22"/>
  <c r="AD362" i="22"/>
  <c r="AJ362" i="22"/>
  <c r="AD257" i="22"/>
  <c r="AJ257" i="22"/>
  <c r="AD343" i="22"/>
  <c r="AJ343" i="22"/>
  <c r="AD405" i="22"/>
  <c r="AJ405" i="22"/>
  <c r="AD430" i="22"/>
  <c r="AJ430" i="22"/>
  <c r="AD394" i="22"/>
  <c r="AJ394" i="22"/>
  <c r="AD303" i="22"/>
  <c r="AJ303" i="22"/>
  <c r="AD380" i="22"/>
  <c r="AJ380" i="22"/>
  <c r="AD497" i="22"/>
  <c r="AJ497" i="22"/>
  <c r="AD500" i="22"/>
  <c r="AJ500" i="22"/>
  <c r="AD304" i="22"/>
  <c r="AJ304" i="22"/>
  <c r="AD264" i="22"/>
  <c r="AJ264" i="22"/>
  <c r="AD464" i="22"/>
  <c r="AJ464" i="22"/>
  <c r="AD361" i="22"/>
  <c r="AJ361" i="22"/>
  <c r="AD293" i="22"/>
  <c r="AJ293" i="22"/>
  <c r="AD453" i="22"/>
  <c r="AJ453" i="22"/>
  <c r="AD258" i="22"/>
  <c r="AJ258" i="22"/>
  <c r="AD414" i="22"/>
  <c r="AJ414" i="22"/>
  <c r="AD466" i="22"/>
  <c r="AJ466" i="22"/>
  <c r="AD273" i="22"/>
  <c r="AJ273" i="22"/>
  <c r="AD331" i="22"/>
  <c r="AJ331" i="22"/>
  <c r="AD311" i="22"/>
  <c r="AJ311" i="22"/>
  <c r="AD284" i="22"/>
  <c r="AJ284" i="22"/>
  <c r="AD323" i="22"/>
  <c r="AJ323" i="22"/>
  <c r="AD396" i="22"/>
  <c r="AJ396" i="22"/>
  <c r="AD417" i="22"/>
  <c r="AJ417" i="22"/>
  <c r="AD495" i="22"/>
  <c r="AJ495" i="22"/>
  <c r="AD421" i="22"/>
  <c r="AJ421" i="22"/>
  <c r="AD486" i="22"/>
  <c r="AJ486" i="22"/>
  <c r="AD364" i="22"/>
  <c r="AJ364" i="22"/>
  <c r="AD300" i="22"/>
  <c r="AJ300" i="22"/>
  <c r="AD262" i="22"/>
  <c r="AJ262" i="22"/>
  <c r="AD275" i="22"/>
  <c r="AJ275" i="22"/>
  <c r="AD498" i="22"/>
  <c r="AJ498" i="22"/>
  <c r="AD418" i="22"/>
  <c r="AJ418" i="22"/>
  <c r="AD457" i="22"/>
  <c r="AJ457" i="22"/>
  <c r="AD463" i="22"/>
  <c r="AJ463" i="22"/>
  <c r="AD269" i="22"/>
  <c r="AJ269" i="22"/>
  <c r="AD368" i="22"/>
  <c r="AJ368" i="22"/>
  <c r="AD256" i="22"/>
  <c r="AJ256" i="22"/>
  <c r="AD332" i="22"/>
  <c r="AJ332" i="22"/>
  <c r="AD416" i="22"/>
  <c r="AJ416" i="22"/>
  <c r="AD276" i="22"/>
  <c r="AJ276" i="22"/>
  <c r="AD253" i="22"/>
  <c r="AJ253" i="22"/>
  <c r="AD483" i="22"/>
  <c r="AJ483" i="22"/>
  <c r="AD450" i="22"/>
  <c r="AJ450" i="22"/>
  <c r="AD298" i="22"/>
  <c r="AJ298" i="22"/>
  <c r="AD398" i="22"/>
  <c r="AJ398" i="22"/>
  <c r="AD263" i="22"/>
  <c r="AJ263" i="22"/>
  <c r="AD339" i="22"/>
  <c r="AJ339" i="22"/>
  <c r="AD359" i="22"/>
  <c r="AJ359" i="22"/>
  <c r="AD460" i="22"/>
  <c r="AJ460" i="22"/>
  <c r="AD387" i="22"/>
  <c r="AJ387" i="22"/>
  <c r="AD411" i="22"/>
  <c r="AJ411" i="22"/>
  <c r="AD292" i="22"/>
  <c r="AJ292" i="22"/>
  <c r="AD309" i="22"/>
  <c r="AJ309" i="22"/>
  <c r="AD480" i="22"/>
  <c r="AJ480" i="22"/>
  <c r="AD437" i="22"/>
  <c r="AJ437" i="22"/>
  <c r="AD478" i="22"/>
  <c r="AJ478" i="22"/>
  <c r="AD350" i="22"/>
  <c r="AJ350" i="22"/>
  <c r="AD390" i="22"/>
  <c r="AJ390" i="22"/>
  <c r="AD462" i="22"/>
  <c r="AJ462" i="22"/>
  <c r="AD353" i="22"/>
  <c r="AJ353" i="22"/>
  <c r="AD374" i="22"/>
  <c r="AJ374" i="22"/>
  <c r="AD335" i="22"/>
  <c r="AJ335" i="22"/>
  <c r="AD439" i="22"/>
  <c r="AJ439" i="22"/>
  <c r="AD404" i="22"/>
  <c r="AJ404" i="22"/>
  <c r="AD291" i="22"/>
  <c r="AJ291" i="22"/>
  <c r="AD400" i="22"/>
  <c r="AJ400" i="22"/>
  <c r="AD336" i="22"/>
  <c r="AJ336" i="22"/>
  <c r="AD489" i="22"/>
  <c r="AJ489" i="22"/>
  <c r="AD260" i="22"/>
  <c r="AJ260" i="22"/>
  <c r="AD261" i="22"/>
  <c r="AJ261" i="22"/>
  <c r="AD429" i="22"/>
  <c r="AJ429" i="22"/>
  <c r="AD488" i="22"/>
  <c r="AJ488" i="22"/>
  <c r="AD363" i="22"/>
  <c r="AJ363" i="22"/>
  <c r="AD317" i="22"/>
  <c r="AJ317" i="22"/>
  <c r="AD388" i="22"/>
  <c r="AJ388" i="22"/>
  <c r="AD420" i="22"/>
  <c r="AJ420" i="22"/>
  <c r="AD346" i="22"/>
  <c r="AJ346" i="22"/>
  <c r="AD254" i="22"/>
  <c r="AJ254" i="22"/>
  <c r="AD279" i="22"/>
  <c r="AJ279" i="22"/>
  <c r="AD371" i="22"/>
  <c r="AJ371" i="22"/>
  <c r="AD268" i="22"/>
  <c r="AJ268" i="22"/>
  <c r="AD328" i="22"/>
  <c r="AJ328" i="22"/>
  <c r="AD337" i="22"/>
  <c r="AJ337" i="22"/>
  <c r="AD440" i="22"/>
  <c r="AJ440" i="22"/>
  <c r="AD306" i="22"/>
  <c r="AJ306" i="22"/>
  <c r="AD426" i="22"/>
  <c r="AJ426" i="22"/>
  <c r="AD428" i="22"/>
  <c r="AJ428" i="22"/>
  <c r="AD403" i="22"/>
  <c r="AJ403" i="22"/>
  <c r="AD402" i="22"/>
  <c r="AJ402" i="22"/>
  <c r="AD468" i="22"/>
  <c r="AJ468" i="22"/>
  <c r="AD476" i="22"/>
  <c r="AJ476" i="22"/>
  <c r="AD325" i="22"/>
  <c r="AJ325" i="22"/>
  <c r="AD472" i="22"/>
  <c r="AJ472" i="22"/>
  <c r="AD366" i="22"/>
  <c r="AJ366" i="22"/>
  <c r="AD282" i="22"/>
  <c r="AJ282" i="22"/>
  <c r="AD451" i="22"/>
  <c r="AJ451" i="22"/>
  <c r="AD313" i="22"/>
  <c r="AJ313" i="22"/>
  <c r="AD373" i="22"/>
  <c r="AJ373" i="22"/>
  <c r="AD358" i="22"/>
  <c r="AJ358" i="22"/>
  <c r="AD354" i="22"/>
  <c r="AJ354" i="22"/>
  <c r="AD444" i="22"/>
  <c r="AJ444" i="22"/>
  <c r="AD320" i="22"/>
  <c r="AJ320" i="22"/>
  <c r="AD448" i="22"/>
  <c r="AJ448" i="22"/>
  <c r="AD307" i="22"/>
  <c r="AJ307" i="22"/>
  <c r="AD422" i="22"/>
  <c r="AJ422" i="22"/>
  <c r="AD454" i="22"/>
  <c r="AJ454" i="22"/>
  <c r="AD401" i="22"/>
  <c r="AJ401" i="22"/>
  <c r="AD482" i="22"/>
  <c r="AJ482" i="22"/>
  <c r="AD490" i="22"/>
  <c r="AJ490" i="22"/>
  <c r="AD330" i="22"/>
  <c r="AJ330" i="22"/>
  <c r="AD369" i="22"/>
  <c r="AJ369" i="22"/>
  <c r="AD301" i="22"/>
  <c r="AJ301" i="22"/>
  <c r="AD377" i="22"/>
  <c r="AJ377" i="22"/>
  <c r="AD449" i="22"/>
  <c r="AJ449" i="22"/>
  <c r="AD255" i="22"/>
  <c r="AJ255" i="22"/>
  <c r="AD285" i="22"/>
  <c r="AJ285" i="22"/>
  <c r="AD441" i="22"/>
  <c r="AJ441" i="22"/>
  <c r="AD259" i="22"/>
  <c r="AJ259" i="22"/>
  <c r="AD294" i="22"/>
  <c r="AJ294" i="22"/>
  <c r="AD423" i="22"/>
  <c r="AJ423" i="22"/>
  <c r="AD375" i="22"/>
  <c r="AJ375" i="22"/>
  <c r="AD385" i="22"/>
  <c r="AJ385" i="22"/>
  <c r="AD326" i="22"/>
  <c r="AJ326" i="22"/>
  <c r="AD289" i="22"/>
  <c r="AJ289" i="22"/>
  <c r="AD296" i="22"/>
  <c r="AJ296" i="22"/>
  <c r="AD424" i="22"/>
  <c r="AJ424" i="22"/>
  <c r="AD357" i="22"/>
  <c r="AJ357" i="22"/>
  <c r="AD425" i="22"/>
  <c r="AJ425" i="22"/>
  <c r="AD469" i="22"/>
  <c r="AJ469" i="22"/>
  <c r="AD499" i="22"/>
  <c r="AJ499" i="22"/>
  <c r="AD459" i="22"/>
  <c r="AJ459" i="22"/>
  <c r="AD345" i="22"/>
  <c r="AJ345" i="22"/>
  <c r="AD473" i="22"/>
  <c r="AJ473" i="22"/>
  <c r="AD477" i="22"/>
  <c r="AJ477" i="22"/>
  <c r="AD434" i="22"/>
  <c r="AJ434" i="22"/>
  <c r="AD314" i="22"/>
  <c r="AJ314" i="22"/>
  <c r="AD271" i="22"/>
  <c r="AJ271" i="22"/>
  <c r="AD494" i="22"/>
  <c r="AJ494" i="22"/>
  <c r="AD487" i="22"/>
  <c r="AJ487" i="22"/>
  <c r="AD347" i="22"/>
  <c r="AJ347" i="22"/>
  <c r="AD446" i="22"/>
  <c r="AJ446" i="22"/>
  <c r="AD329" i="22"/>
  <c r="AJ329" i="22"/>
  <c r="AD389" i="22"/>
  <c r="AJ389" i="22"/>
  <c r="AD419" i="22"/>
  <c r="AJ419" i="22"/>
  <c r="AD392" i="22"/>
  <c r="AJ392" i="22"/>
  <c r="AD484" i="22"/>
  <c r="AJ484" i="22"/>
  <c r="AD456" i="22"/>
  <c r="AJ456" i="22"/>
  <c r="AD415" i="22"/>
  <c r="AJ415" i="22"/>
  <c r="AD290" i="22"/>
  <c r="AJ290" i="22"/>
  <c r="AD474" i="22"/>
  <c r="AJ474" i="22"/>
  <c r="AD274" i="22"/>
  <c r="AJ274" i="22"/>
  <c r="AD407" i="22"/>
  <c r="AJ407" i="22"/>
  <c r="AD351" i="22"/>
  <c r="AJ351" i="22"/>
  <c r="AD386" i="22"/>
  <c r="AJ386" i="22"/>
  <c r="AD412" i="22"/>
  <c r="AJ412" i="22"/>
  <c r="AD410" i="22"/>
  <c r="AJ410" i="22"/>
  <c r="AD408" i="22"/>
  <c r="AJ408" i="22"/>
  <c r="AD319" i="22"/>
  <c r="AJ319" i="22"/>
  <c r="AD384" i="22"/>
  <c r="AJ384" i="22"/>
  <c r="AD376" i="22"/>
  <c r="AJ376" i="22"/>
  <c r="AD501" i="22"/>
  <c r="AJ501" i="22"/>
  <c r="AD360" i="22"/>
  <c r="AJ360" i="22"/>
  <c r="AD372" i="22"/>
  <c r="AJ372" i="22"/>
  <c r="AD283" i="22"/>
  <c r="AJ283" i="22"/>
  <c r="AD431" i="22"/>
  <c r="AJ431" i="22"/>
  <c r="AD365" i="22"/>
  <c r="AJ365" i="22"/>
  <c r="AD316" i="22"/>
  <c r="AJ316" i="22"/>
  <c r="AD413" i="22"/>
  <c r="AJ413" i="22"/>
  <c r="AD352" i="22"/>
  <c r="AJ352" i="22"/>
  <c r="AD438" i="22"/>
  <c r="AJ438" i="22"/>
  <c r="AD322" i="22"/>
  <c r="AJ322" i="22"/>
  <c r="AD302" i="22"/>
  <c r="AJ302" i="22"/>
  <c r="AD315" i="22"/>
  <c r="AJ315" i="22"/>
  <c r="AD278" i="22"/>
  <c r="AJ278" i="22"/>
  <c r="AD312" i="22"/>
  <c r="AJ312" i="22"/>
  <c r="AD442" i="22"/>
  <c r="AJ442" i="22"/>
  <c r="AD393" i="22"/>
  <c r="AJ393" i="22"/>
  <c r="AD295" i="22"/>
  <c r="AJ295" i="22"/>
  <c r="AD452" i="22"/>
  <c r="AJ452" i="22"/>
  <c r="AD355" i="22"/>
  <c r="AJ355" i="22"/>
  <c r="AD491" i="22"/>
  <c r="AJ491" i="22"/>
  <c r="AD272" i="22"/>
  <c r="AJ272" i="22"/>
  <c r="AD344" i="22"/>
  <c r="AJ344" i="22"/>
  <c r="AD281" i="22"/>
  <c r="AJ281" i="22"/>
  <c r="AD288" i="22"/>
  <c r="AJ288" i="22"/>
  <c r="AD342" i="22"/>
  <c r="AJ342" i="22"/>
  <c r="AD270" i="22"/>
  <c r="AJ270" i="22"/>
  <c r="AD333" i="22"/>
  <c r="AJ333" i="22"/>
  <c r="AD338" i="22"/>
  <c r="AJ338" i="22"/>
  <c r="AD252" i="22"/>
  <c r="AJ252" i="22"/>
  <c r="AD492" i="22"/>
  <c r="AJ492" i="22"/>
  <c r="AD287" i="22"/>
  <c r="AJ287" i="22"/>
  <c r="AD267" i="22"/>
  <c r="AJ267" i="22"/>
  <c r="AD379" i="22"/>
  <c r="AJ379" i="22"/>
  <c r="AD461" i="22"/>
  <c r="AJ461" i="22"/>
  <c r="AD280" i="22"/>
  <c r="AJ280" i="22"/>
  <c r="AD409" i="22"/>
  <c r="AJ409" i="22"/>
  <c r="AD465" i="22"/>
  <c r="AJ465" i="22"/>
  <c r="AD324" i="22"/>
  <c r="AJ324" i="22"/>
  <c r="AD432" i="22"/>
  <c r="AJ432" i="22"/>
  <c r="AD485" i="22"/>
  <c r="AJ485" i="22"/>
  <c r="AD397" i="22"/>
  <c r="AJ397" i="22"/>
  <c r="AD277" i="22"/>
  <c r="AJ277" i="22"/>
  <c r="AD406" i="22"/>
  <c r="AJ406" i="22"/>
  <c r="AD321" i="22"/>
  <c r="AJ321" i="22"/>
  <c r="AD382" i="22"/>
  <c r="AJ382" i="22"/>
  <c r="AD455" i="22"/>
  <c r="AJ455" i="22"/>
  <c r="AD299" i="22"/>
  <c r="AJ299" i="22"/>
  <c r="AD378" i="22"/>
  <c r="AJ378" i="22"/>
  <c r="AD481" i="22"/>
  <c r="AJ481" i="22"/>
  <c r="AD458" i="22"/>
  <c r="AJ458" i="22"/>
  <c r="AD470" i="22"/>
  <c r="AJ470" i="22"/>
  <c r="AD496" i="22"/>
  <c r="AJ496" i="22"/>
  <c r="AD349" i="22"/>
  <c r="AJ349" i="22"/>
  <c r="AD427" i="22"/>
  <c r="AJ427" i="22"/>
  <c r="AD266" i="22"/>
  <c r="AJ266" i="22"/>
  <c r="AD327" i="22"/>
  <c r="AJ327" i="22"/>
  <c r="AD310" i="22"/>
  <c r="AJ310" i="22"/>
  <c r="AD286" i="22"/>
  <c r="AJ286" i="22"/>
  <c r="AD471" i="22"/>
  <c r="AJ471" i="22"/>
  <c r="AD348" i="22"/>
  <c r="AJ348" i="22"/>
  <c r="AD318" i="22"/>
  <c r="AJ318" i="22"/>
  <c r="AD433" i="22"/>
  <c r="AJ433" i="22"/>
  <c r="AD367" i="22"/>
  <c r="AJ367" i="22"/>
  <c r="AD447" i="22"/>
  <c r="AJ447" i="22"/>
  <c r="AD356" i="22"/>
  <c r="AJ356" i="22"/>
  <c r="AD341" i="22"/>
  <c r="AJ341" i="22"/>
  <c r="AD467" i="22"/>
  <c r="AJ467" i="22"/>
  <c r="AD297" i="22"/>
  <c r="AJ297" i="22"/>
  <c r="AD435" i="22"/>
  <c r="AJ435" i="22"/>
  <c r="AD475" i="22"/>
  <c r="AJ475" i="22"/>
  <c r="AD479" i="22"/>
  <c r="AJ479" i="22"/>
  <c r="Y184" i="22"/>
  <c r="AD184" i="22"/>
  <c r="Y64" i="22"/>
  <c r="AD64" i="22"/>
  <c r="Y232" i="22"/>
  <c r="AD232" i="22"/>
  <c r="Y124" i="22"/>
  <c r="AD124" i="22"/>
  <c r="Y169" i="22"/>
  <c r="AD169" i="22"/>
  <c r="Y204" i="22"/>
  <c r="AD204" i="22"/>
  <c r="Y54" i="22"/>
  <c r="AD54" i="22"/>
  <c r="Y225" i="22"/>
  <c r="AD225" i="22"/>
  <c r="Y236" i="22"/>
  <c r="AD236" i="22"/>
  <c r="Y213" i="22"/>
  <c r="AD213" i="22"/>
  <c r="Y30" i="22"/>
  <c r="AD30" i="22"/>
  <c r="Y196" i="22"/>
  <c r="AD196" i="22"/>
  <c r="Y191" i="22"/>
  <c r="AD191" i="22"/>
  <c r="Y158" i="22"/>
  <c r="AD158" i="22"/>
  <c r="Y150" i="22"/>
  <c r="AD150" i="22"/>
  <c r="Y193" i="22"/>
  <c r="AD193" i="22"/>
  <c r="Y118" i="22"/>
  <c r="AD118" i="22"/>
  <c r="Y141" i="22"/>
  <c r="AD141" i="22"/>
  <c r="Y48" i="22"/>
  <c r="AD48" i="22"/>
  <c r="Y123" i="22"/>
  <c r="AD123" i="22"/>
  <c r="Y23" i="22"/>
  <c r="AD23" i="22"/>
  <c r="Y194" i="22"/>
  <c r="AD194" i="22"/>
  <c r="Y161" i="22"/>
  <c r="AD161" i="22"/>
  <c r="Y38" i="22"/>
  <c r="AD38" i="22"/>
  <c r="Y122" i="22"/>
  <c r="AD122" i="22"/>
  <c r="Y168" i="22"/>
  <c r="AD168" i="22"/>
  <c r="Y70" i="22"/>
  <c r="AD70" i="22"/>
  <c r="Y61" i="22"/>
  <c r="AD61" i="22"/>
  <c r="Y244" i="22"/>
  <c r="AD244" i="22"/>
  <c r="Y170" i="22"/>
  <c r="AD170" i="22"/>
  <c r="Y44" i="22"/>
  <c r="AD44" i="22"/>
  <c r="Y25" i="22"/>
  <c r="AD25" i="22"/>
  <c r="Y3" i="22"/>
  <c r="AD3" i="22"/>
  <c r="Y55" i="22"/>
  <c r="AD55" i="22"/>
  <c r="Y188" i="22"/>
  <c r="AD188" i="22"/>
  <c r="Y212" i="22"/>
  <c r="AD212" i="22"/>
  <c r="Y239" i="22"/>
  <c r="AD239" i="22"/>
  <c r="Y72" i="22"/>
  <c r="AD72" i="22"/>
  <c r="Y197" i="22"/>
  <c r="AD197" i="22"/>
  <c r="Y78" i="22"/>
  <c r="AD78" i="22"/>
  <c r="Y119" i="22"/>
  <c r="AD119" i="22"/>
  <c r="Y90" i="22"/>
  <c r="AD90" i="22"/>
  <c r="Y16" i="22"/>
  <c r="AD16" i="22"/>
  <c r="Y186" i="22"/>
  <c r="AD186" i="22"/>
  <c r="Y63" i="22"/>
  <c r="AD63" i="22"/>
  <c r="Y199" i="22"/>
  <c r="AD199" i="22"/>
  <c r="Y126" i="22"/>
  <c r="AD126" i="22"/>
  <c r="Y67" i="22"/>
  <c r="AD67" i="22"/>
  <c r="Y4" i="22"/>
  <c r="AD4" i="22"/>
  <c r="Y180" i="22"/>
  <c r="AD180" i="22"/>
  <c r="Y42" i="22"/>
  <c r="AD42" i="22"/>
  <c r="Y13" i="22"/>
  <c r="AD13" i="22"/>
  <c r="Y93" i="22"/>
  <c r="AD93" i="22"/>
  <c r="Y84" i="22"/>
  <c r="AD84" i="22"/>
  <c r="Y35" i="22"/>
  <c r="AD35" i="22"/>
  <c r="Y249" i="22"/>
  <c r="AD249" i="22"/>
  <c r="Y120" i="22"/>
  <c r="AD120" i="22"/>
  <c r="Y138" i="22"/>
  <c r="AD138" i="22"/>
  <c r="Y24" i="22"/>
  <c r="AD24" i="22"/>
  <c r="Y26" i="22"/>
  <c r="AD26" i="22"/>
  <c r="Y167" i="22"/>
  <c r="AD167" i="22"/>
  <c r="Y130" i="22"/>
  <c r="AD130" i="22"/>
  <c r="Y81" i="22"/>
  <c r="AD81" i="22"/>
  <c r="Y52" i="22"/>
  <c r="AD52" i="22"/>
  <c r="Y164" i="22"/>
  <c r="AD164" i="22"/>
  <c r="Y223" i="22"/>
  <c r="AD223" i="22"/>
  <c r="Y110" i="22"/>
  <c r="AD110" i="22"/>
  <c r="Y227" i="22"/>
  <c r="AD227" i="22"/>
  <c r="Y229" i="22"/>
  <c r="AD229" i="22"/>
  <c r="Y195" i="22"/>
  <c r="AD195" i="22"/>
  <c r="Y75" i="22"/>
  <c r="AD75" i="22"/>
  <c r="Y46" i="22"/>
  <c r="AD46" i="22"/>
  <c r="Y60" i="22"/>
  <c r="AD60" i="22"/>
  <c r="Y82" i="22"/>
  <c r="AD82" i="22"/>
  <c r="Y34" i="22"/>
  <c r="AD34" i="22"/>
  <c r="Y117" i="22"/>
  <c r="AD117" i="22"/>
  <c r="Y237" i="22"/>
  <c r="AD237" i="22"/>
  <c r="Y214" i="22"/>
  <c r="AD214" i="22"/>
  <c r="Y91" i="22"/>
  <c r="AD91" i="22"/>
  <c r="Y149" i="22"/>
  <c r="AD149" i="22"/>
  <c r="Y87" i="22"/>
  <c r="AD87" i="22"/>
  <c r="Y209" i="22"/>
  <c r="AD209" i="22"/>
  <c r="Y210" i="22"/>
  <c r="AD210" i="22"/>
  <c r="Y79" i="22"/>
  <c r="AD79" i="22"/>
  <c r="Y218" i="22"/>
  <c r="AD218" i="22"/>
  <c r="Y18" i="22"/>
  <c r="AD18" i="22"/>
  <c r="Y95" i="22"/>
  <c r="AD95" i="22"/>
  <c r="Y146" i="22"/>
  <c r="AD146" i="22"/>
  <c r="Y162" i="22"/>
  <c r="AD162" i="22"/>
  <c r="Y22" i="22"/>
  <c r="AD22" i="22"/>
  <c r="Y111" i="22"/>
  <c r="AD111" i="22"/>
  <c r="Y59" i="22"/>
  <c r="AD59" i="22"/>
  <c r="Y21" i="22"/>
  <c r="AD21" i="22"/>
  <c r="Y132" i="22"/>
  <c r="AD132" i="22"/>
  <c r="Y2" i="22"/>
  <c r="AD2" i="22"/>
  <c r="Y19" i="22"/>
  <c r="AD19" i="22"/>
  <c r="Y185" i="22"/>
  <c r="AD185" i="22"/>
  <c r="Y221" i="22"/>
  <c r="AD221" i="22"/>
  <c r="Y88" i="22"/>
  <c r="AD88" i="22"/>
  <c r="Y145" i="22"/>
  <c r="AD145" i="22"/>
  <c r="Y96" i="22"/>
  <c r="AD96" i="22"/>
  <c r="Y228" i="22"/>
  <c r="AD228" i="22"/>
  <c r="Y198" i="22"/>
  <c r="AD198" i="22"/>
  <c r="Y147" i="22"/>
  <c r="AD147" i="22"/>
  <c r="Y65" i="22"/>
  <c r="AD65" i="22"/>
  <c r="Y102" i="22"/>
  <c r="AD102" i="22"/>
  <c r="Y217" i="22"/>
  <c r="AD217" i="22"/>
  <c r="Y105" i="22"/>
  <c r="AD105" i="22"/>
  <c r="Y178" i="22"/>
  <c r="AD178" i="22"/>
  <c r="Y66" i="22"/>
  <c r="AD66" i="22"/>
  <c r="Y57" i="22"/>
  <c r="AD57" i="22"/>
  <c r="Y112" i="22"/>
  <c r="AD112" i="22"/>
  <c r="Y114" i="22"/>
  <c r="AD114" i="22"/>
  <c r="Y43" i="22"/>
  <c r="AD43" i="22"/>
  <c r="Y62" i="22"/>
  <c r="AD62" i="22"/>
  <c r="Y135" i="22"/>
  <c r="AD135" i="22"/>
  <c r="Y190" i="22"/>
  <c r="AD190" i="22"/>
  <c r="Y51" i="22"/>
  <c r="AD51" i="22"/>
  <c r="Y219" i="22"/>
  <c r="AD219" i="22"/>
  <c r="Y113" i="22"/>
  <c r="AD113" i="22"/>
  <c r="Y45" i="22"/>
  <c r="AD45" i="22"/>
  <c r="Y109" i="22"/>
  <c r="AD109" i="22"/>
  <c r="Y201" i="22"/>
  <c r="AD201" i="22"/>
  <c r="Y74" i="22"/>
  <c r="AD74" i="22"/>
  <c r="Y103" i="22"/>
  <c r="AD103" i="22"/>
  <c r="Y131" i="22"/>
  <c r="AD131" i="22"/>
  <c r="Y151" i="22"/>
  <c r="AD151" i="22"/>
  <c r="Y200" i="22"/>
  <c r="AD200" i="22"/>
  <c r="Y171" i="22"/>
  <c r="AD171" i="22"/>
  <c r="Y71" i="22"/>
  <c r="AD71" i="22"/>
  <c r="Y100" i="22"/>
  <c r="AD100" i="22"/>
  <c r="Y56" i="22"/>
  <c r="AD56" i="22"/>
  <c r="Y243" i="22"/>
  <c r="AD243" i="22"/>
  <c r="Y211" i="22"/>
  <c r="AD211" i="22"/>
  <c r="Y181" i="22"/>
  <c r="AD181" i="22"/>
  <c r="Y80" i="22"/>
  <c r="AD80" i="22"/>
  <c r="Y134" i="22"/>
  <c r="AD134" i="22"/>
  <c r="Y238" i="22"/>
  <c r="AD238" i="22"/>
  <c r="Y41" i="22"/>
  <c r="AD41" i="22"/>
  <c r="Y89" i="22"/>
  <c r="AD89" i="22"/>
  <c r="Y133" i="22"/>
  <c r="AD133" i="22"/>
  <c r="Y27" i="22"/>
  <c r="AD27" i="22"/>
  <c r="Y86" i="22"/>
  <c r="AD86" i="22"/>
  <c r="Y174" i="22"/>
  <c r="AD174" i="22"/>
  <c r="Y226" i="22"/>
  <c r="AD226" i="22"/>
  <c r="Y234" i="22"/>
  <c r="AD234" i="22"/>
  <c r="Y98" i="22"/>
  <c r="AD98" i="22"/>
  <c r="Y73" i="22"/>
  <c r="AD73" i="22"/>
  <c r="Y251" i="22"/>
  <c r="AD251" i="22"/>
  <c r="Y28" i="22"/>
  <c r="AD28" i="22"/>
  <c r="Y157" i="22"/>
  <c r="AD157" i="22"/>
  <c r="Y208" i="22"/>
  <c r="AD208" i="22"/>
  <c r="Y11" i="22"/>
  <c r="AD11" i="22"/>
  <c r="Y127" i="22"/>
  <c r="AD127" i="22"/>
  <c r="Y139" i="22"/>
  <c r="AD139" i="22"/>
  <c r="Y144" i="22"/>
  <c r="AD144" i="22"/>
  <c r="Y154" i="22"/>
  <c r="AD154" i="22"/>
  <c r="Y9" i="22"/>
  <c r="AD9" i="22"/>
  <c r="Y32" i="22"/>
  <c r="AD32" i="22"/>
  <c r="Y152" i="22"/>
  <c r="AD152" i="22"/>
  <c r="Y40" i="22"/>
  <c r="AD40" i="22"/>
  <c r="Y115" i="22"/>
  <c r="AD115" i="22"/>
  <c r="Y215" i="22"/>
  <c r="AD215" i="22"/>
  <c r="Y129" i="22"/>
  <c r="AD129" i="22"/>
  <c r="Y222" i="22"/>
  <c r="AD222" i="22"/>
  <c r="Y220" i="22"/>
  <c r="AD220" i="22"/>
  <c r="Y125" i="22"/>
  <c r="AD125" i="22"/>
  <c r="Y77" i="22"/>
  <c r="AD77" i="22"/>
  <c r="AJ37" i="22"/>
  <c r="AJ94" i="22"/>
  <c r="AJ166" i="22"/>
  <c r="AJ33" i="22"/>
  <c r="AJ101" i="22"/>
  <c r="AJ250" i="22"/>
  <c r="AJ187" i="22"/>
  <c r="AJ97" i="22"/>
  <c r="AJ140" i="22"/>
  <c r="AJ85" i="22"/>
  <c r="AJ6" i="22"/>
  <c r="AJ230" i="22"/>
  <c r="AJ137" i="22"/>
  <c r="AJ207" i="22"/>
  <c r="AJ202" i="22"/>
  <c r="AJ121" i="22"/>
  <c r="AJ173" i="22"/>
  <c r="AJ247" i="22"/>
  <c r="AJ58" i="22"/>
  <c r="AJ47" i="22"/>
  <c r="AJ36" i="22"/>
  <c r="AJ107" i="22"/>
  <c r="AJ246" i="22"/>
  <c r="AJ206" i="22"/>
  <c r="AJ148" i="22"/>
  <c r="AJ165" i="22"/>
  <c r="AJ159" i="22"/>
  <c r="AJ235" i="22"/>
  <c r="AJ153" i="22"/>
  <c r="AJ53" i="22"/>
  <c r="AJ69" i="22"/>
  <c r="Y235" i="22" l="1"/>
  <c r="AD235" i="22"/>
  <c r="Y69" i="22"/>
  <c r="AD69" i="22"/>
  <c r="Y159" i="22"/>
  <c r="AD159" i="22"/>
  <c r="Y233" i="22"/>
  <c r="AD233" i="22"/>
  <c r="Y83" i="22"/>
  <c r="AD83" i="22"/>
  <c r="Y10" i="22"/>
  <c r="AD10" i="22"/>
  <c r="Y108" i="22"/>
  <c r="AD108" i="22"/>
  <c r="Y203" i="22"/>
  <c r="AD203" i="22"/>
  <c r="Y153" i="22"/>
  <c r="AD153" i="22"/>
  <c r="Y240" i="22"/>
  <c r="AD240" i="22"/>
  <c r="Y165" i="22"/>
  <c r="AD165" i="22"/>
  <c r="Y224" i="22"/>
  <c r="AD224" i="22"/>
  <c r="Y205" i="22"/>
  <c r="AD205" i="22"/>
  <c r="Y107" i="22"/>
  <c r="AD107" i="22"/>
  <c r="Y176" i="22"/>
  <c r="AD176" i="22"/>
  <c r="Y182" i="22"/>
  <c r="AD182" i="22"/>
  <c r="Y47" i="22"/>
  <c r="AD47" i="22"/>
  <c r="Y121" i="22"/>
  <c r="AD121" i="22"/>
  <c r="Y202" i="22"/>
  <c r="AD202" i="22"/>
  <c r="Y207" i="22"/>
  <c r="AD207" i="22"/>
  <c r="Y137" i="22"/>
  <c r="AD137" i="22"/>
  <c r="Y230" i="22"/>
  <c r="AD230" i="22"/>
  <c r="Y140" i="22"/>
  <c r="AD140" i="22"/>
  <c r="Y187" i="22"/>
  <c r="AD187" i="22"/>
  <c r="Y101" i="22"/>
  <c r="AD101" i="22"/>
  <c r="Y33" i="22"/>
  <c r="AD33" i="22"/>
  <c r="Y94" i="22"/>
  <c r="AD94" i="22"/>
  <c r="Y53" i="22"/>
  <c r="AD53" i="22"/>
  <c r="Y148" i="22"/>
  <c r="AD148" i="22"/>
  <c r="Y20" i="22"/>
  <c r="AD20" i="22"/>
  <c r="Y31" i="22"/>
  <c r="AD31" i="22"/>
  <c r="Y17" i="22"/>
  <c r="AD17" i="22"/>
  <c r="Y58" i="22"/>
  <c r="AD58" i="22"/>
  <c r="Y68" i="22"/>
  <c r="AD68" i="22"/>
  <c r="Y156" i="22"/>
  <c r="AD156" i="22"/>
  <c r="Y106" i="22"/>
  <c r="AD106" i="22"/>
  <c r="Y7" i="22"/>
  <c r="AD7" i="22"/>
  <c r="Y6" i="22"/>
  <c r="AD6" i="22"/>
  <c r="Y136" i="22"/>
  <c r="AD136" i="22"/>
  <c r="Y143" i="22"/>
  <c r="AD143" i="22"/>
  <c r="Y177" i="22"/>
  <c r="AD177" i="22"/>
  <c r="Y216" i="22"/>
  <c r="AD216" i="22"/>
  <c r="Y142" i="22"/>
  <c r="AD142" i="22"/>
  <c r="Y116" i="22"/>
  <c r="AD116" i="22"/>
  <c r="Y206" i="22"/>
  <c r="AD206" i="22"/>
  <c r="Y36" i="22"/>
  <c r="AD36" i="22"/>
  <c r="Y128" i="22"/>
  <c r="AD128" i="22"/>
  <c r="Y5" i="22"/>
  <c r="AD5" i="22"/>
  <c r="Y99" i="22"/>
  <c r="AD99" i="22"/>
  <c r="Y39" i="22"/>
  <c r="AD39" i="22"/>
  <c r="Y248" i="22"/>
  <c r="AD248" i="22"/>
  <c r="Y29" i="22"/>
  <c r="AD29" i="22"/>
  <c r="Y192" i="22"/>
  <c r="AD192" i="22"/>
  <c r="Y12" i="22"/>
  <c r="AD12" i="22"/>
  <c r="Y241" i="22"/>
  <c r="AD241" i="22"/>
  <c r="Y15" i="22"/>
  <c r="AD15" i="22"/>
  <c r="Y247" i="22"/>
  <c r="AD247" i="22"/>
  <c r="Y189" i="22"/>
  <c r="AD189" i="22"/>
  <c r="Y163" i="22"/>
  <c r="AD163" i="22"/>
  <c r="Y155" i="22"/>
  <c r="AD155" i="22"/>
  <c r="Y179" i="22"/>
  <c r="AD179" i="22"/>
  <c r="Y85" i="22"/>
  <c r="AD85" i="22"/>
  <c r="Y160" i="22"/>
  <c r="AD160" i="22"/>
  <c r="Y92" i="22"/>
  <c r="AD92" i="22"/>
  <c r="Y50" i="22"/>
  <c r="AD50" i="22"/>
  <c r="Y166" i="22"/>
  <c r="AD166" i="22"/>
  <c r="Y76" i="22"/>
  <c r="AD76" i="22"/>
  <c r="Y245" i="22"/>
  <c r="AD245" i="22"/>
  <c r="Y104" i="22"/>
  <c r="AD104" i="22"/>
  <c r="Y246" i="22"/>
  <c r="AD246" i="22"/>
  <c r="Y231" i="22"/>
  <c r="AD231" i="22"/>
  <c r="Y173" i="22"/>
  <c r="AD173" i="22"/>
  <c r="Y49" i="22"/>
  <c r="AD49" i="22"/>
  <c r="Y172" i="22"/>
  <c r="AD172" i="22"/>
  <c r="Y183" i="22"/>
  <c r="AD183" i="22"/>
  <c r="Y242" i="22"/>
  <c r="AD242" i="22"/>
  <c r="Y14" i="22"/>
  <c r="AD14" i="22"/>
  <c r="Y97" i="22"/>
  <c r="AD97" i="22"/>
  <c r="Y250" i="22"/>
  <c r="AD250" i="22"/>
  <c r="Y175" i="22"/>
  <c r="AD175" i="22"/>
  <c r="Y8" i="22"/>
  <c r="AD8" i="22"/>
  <c r="Y37" i="22"/>
  <c r="AD37"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Cosgro</author>
  </authors>
  <commentList>
    <comment ref="R27" authorId="0" shapeId="0" xr:uid="{5C00CD08-F445-4EA3-9012-729925718E73}">
      <text>
        <r>
          <rPr>
            <b/>
            <sz val="9"/>
            <color indexed="81"/>
            <rFont val="Tahoma"/>
            <family val="2"/>
          </rPr>
          <t>Tom Cosgro:</t>
        </r>
        <r>
          <rPr>
            <sz val="9"/>
            <color indexed="81"/>
            <rFont val="Tahoma"/>
            <family val="2"/>
          </rPr>
          <t xml:space="preserve">
Overrode these formulas to allow for Exterior and interior projects on the same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Domanski</author>
  </authors>
  <commentList>
    <comment ref="L8" authorId="0" shapeId="0" xr:uid="{9A911622-E5E0-4B3A-A998-B65FB2E42682}">
      <text>
        <r>
          <rPr>
            <b/>
            <sz val="9"/>
            <color indexed="81"/>
            <rFont val="Tahoma"/>
            <family val="2"/>
          </rPr>
          <t>James Domanski:</t>
        </r>
        <r>
          <rPr>
            <sz val="9"/>
            <color indexed="81"/>
            <rFont val="Tahoma"/>
            <family val="2"/>
          </rPr>
          <t xml:space="preserve">
This was left in for the 2021 update, but is not part of the 2021 TRM. </t>
        </r>
      </text>
    </comment>
    <comment ref="P50" authorId="0" shapeId="0" xr:uid="{54440C56-4419-41C9-B666-04331B82A73D}">
      <text>
        <r>
          <rPr>
            <b/>
            <sz val="9"/>
            <color indexed="81"/>
            <rFont val="Tahoma"/>
            <family val="2"/>
          </rPr>
          <t>James Domanski:</t>
        </r>
        <r>
          <rPr>
            <sz val="9"/>
            <color indexed="81"/>
            <rFont val="Tahoma"/>
            <family val="2"/>
          </rPr>
          <t xml:space="preserve">
Kept in from 2016 TRM, but is not part of the 2021 TRM.</t>
        </r>
      </text>
    </comment>
  </commentList>
</comments>
</file>

<file path=xl/sharedStrings.xml><?xml version="1.0" encoding="utf-8"?>
<sst xmlns="http://schemas.openxmlformats.org/spreadsheetml/2006/main" count="12740" uniqueCount="5060">
  <si>
    <t>PPL Calculator for Lighting Measures</t>
  </si>
  <si>
    <r>
      <rPr>
        <i/>
        <sz val="11"/>
        <rFont val="Arial"/>
        <family val="2"/>
        <scheme val="minor"/>
      </rPr>
      <t xml:space="preserve">For any questions, or assistance using the PALF, please call 1-866-432-5501 or email us at </t>
    </r>
    <r>
      <rPr>
        <u/>
        <sz val="11"/>
        <color theme="10"/>
        <rFont val="Arial"/>
        <family val="2"/>
        <scheme val="minor"/>
      </rPr>
      <t>pplbusiness@clearesult.com</t>
    </r>
  </si>
  <si>
    <t>Description</t>
  </si>
  <si>
    <t xml:space="preserve">This calculator will be used to calculate energy and demand savings for the following Lighting measures - </t>
  </si>
  <si>
    <t>1. Lighting Improvements: Energy efficient replacements for existing fixture or lamp and ballasts in commercial and industrial facilities.</t>
  </si>
  <si>
    <t>3. Lighting Controls: Savings from lighting controls that turn lights on and off automatically, activated by time, light, motion or sound.</t>
  </si>
  <si>
    <t xml:space="preserve">Based on the estimated Energy Savings for the project, it will fall one of the following categories. </t>
  </si>
  <si>
    <t>Deemed TRM Hours</t>
  </si>
  <si>
    <t xml:space="preserve">Energy Savings &lt;120,000 kWh/yr </t>
  </si>
  <si>
    <t>Actual Hours</t>
  </si>
  <si>
    <t xml:space="preserve">Energy Savings &gt; = 120,000 kWh/yr. </t>
  </si>
  <si>
    <t xml:space="preserve">Energy Savings &gt;= 120,000 kWh/yr </t>
  </si>
  <si>
    <t>Create Usage Groups reflecting actual building hours for each distinct area of usage in the building. Usage Groups are required for all lighting projects &gt;= 120,000 kWh/yr in estimated savings and not allowed for projects which fall bellow 120,000 kWh/yr.</t>
  </si>
  <si>
    <t>*inputs: Operating hours, Coincidence Factor, HVAC Interactive Factors, Lighting Controls Factors</t>
  </si>
  <si>
    <r>
      <t>Input Instructions</t>
    </r>
    <r>
      <rPr>
        <b/>
        <sz val="11"/>
        <color rgb="FFFFFF00"/>
        <rFont val="Arial"/>
        <family val="2"/>
      </rPr>
      <t/>
    </r>
  </si>
  <si>
    <t>Use the color coded reference cells. Only yellow cells need input.</t>
  </si>
  <si>
    <t xml:space="preserve">Requires Input </t>
  </si>
  <si>
    <t>Doesn't Need an Input</t>
  </si>
  <si>
    <t>Output Cell</t>
  </si>
  <si>
    <t xml:space="preserve">1. Project Info: </t>
  </si>
  <si>
    <t>Project Info and Summary:</t>
  </si>
  <si>
    <t xml:space="preserve">Begin at the "Project Info" tab to fill in general project information and customer information. Fill in all yellow cells. </t>
  </si>
  <si>
    <t>a) Project and Customer Overview -</t>
  </si>
  <si>
    <t>Contractor:</t>
  </si>
  <si>
    <t xml:space="preserve">Name or Company Name of Trade Ally or Contractor.   </t>
  </si>
  <si>
    <t>Customer Name:</t>
  </si>
  <si>
    <t>Name of customer as corroborated by the submitted W9.</t>
  </si>
  <si>
    <t>Contact Name:</t>
  </si>
  <si>
    <t>Name of on-site contact (plant manager, maintenance staff personnel etc.).</t>
  </si>
  <si>
    <t>Contact Phone:</t>
  </si>
  <si>
    <t>Phone number to reach the on-site contact.</t>
  </si>
  <si>
    <t>Contact Email:</t>
  </si>
  <si>
    <t>Email address to reach on-site contact, if available.</t>
  </si>
  <si>
    <t>Project Site Address:</t>
  </si>
  <si>
    <t xml:space="preserve">Specific address of the site where project will be installed </t>
  </si>
  <si>
    <t>City:</t>
  </si>
  <si>
    <t>Specify the city in which project is located.</t>
  </si>
  <si>
    <t>ZIP Code:</t>
  </si>
  <si>
    <t>Specify the zip code of the project site</t>
  </si>
  <si>
    <t>Installation Date:</t>
  </si>
  <si>
    <t>Enter the date lighting installations were completed.</t>
  </si>
  <si>
    <t>Electric Cost ($/kWh)</t>
  </si>
  <si>
    <t>Rate of electricity for the project site. Can be estimated from utility bills. Click here for additional information.</t>
  </si>
  <si>
    <t>Demand Charge ($/kW)</t>
  </si>
  <si>
    <t>Rate of demand for the project site. Can be estimated from utility bills. See PDF for additional information.</t>
  </si>
  <si>
    <t>Total Project Cost:</t>
  </si>
  <si>
    <t>Total installation cost for the submitted project scope (includes material and labor). 
For projects submitted as “Custom” this can be estimated from a quote.</t>
  </si>
  <si>
    <t>b) Lighting Project Details -</t>
  </si>
  <si>
    <t>Project Type**:</t>
  </si>
  <si>
    <t>Specify whether the project is a Lighting Retrofit or a New Construction project.</t>
  </si>
  <si>
    <t>Building Type:</t>
  </si>
  <si>
    <t>Select the closest facility type from the dropdown list.
If none of the facility types are a close match to the project site, please contact pplbusiness@clearesult.com.</t>
  </si>
  <si>
    <t>Space Cooling Type:</t>
  </si>
  <si>
    <t>Select the cooling type of the space where project will be installed. In most cases, this would default to “Comfort Cooling”. For refrigerated spaces, select the Cooling type based on temperature range. Exterior spaces will generally be “Unconditioned”.</t>
  </si>
  <si>
    <t>Heating Type:</t>
  </si>
  <si>
    <t xml:space="preserve">Specify if the space where project is installed is electrically heated, non-electrically heated, or not heated. </t>
  </si>
  <si>
    <t>The following cells require input only when "Project Type" is "New Construction":</t>
  </si>
  <si>
    <t>New Construction Approach:</t>
  </si>
  <si>
    <r>
      <t xml:space="preserve">Specify if the New Construction project should be evaluated using the “Space-by-Space” method or “Building Area Method”. </t>
    </r>
    <r>
      <rPr>
        <sz val="10"/>
        <color theme="4"/>
        <rFont val="Arial"/>
        <family val="2"/>
        <scheme val="minor"/>
      </rPr>
      <t xml:space="preserve"> </t>
    </r>
  </si>
  <si>
    <t>The following cell requires input only when “New Construction Approach” is Building Area Method:</t>
  </si>
  <si>
    <t>Gross Lighted Floor Area (Sifts) of Building:</t>
  </si>
  <si>
    <t>Enter the gross lighted floor area of the space where project will be installed.</t>
  </si>
  <si>
    <t>**Retrofit: A project where existing and functional equipment is replaced for the purpose of improved energy efficiency.</t>
  </si>
  <si>
    <t>**New Construction: A project resulting in a new building, a new addition to an existing building, or a substantial renovation in an existing building where 50% or more of a space is reconfigured. Some examples of reconfiguration include:</t>
  </si>
  <si>
    <t>-        Conversion of a storage building to an active warehouse</t>
  </si>
  <si>
    <t>-        Interior renovation of an office space that replaces HVAC and lighting equipment.</t>
  </si>
  <si>
    <t xml:space="preserve">Note: A renovation that replaces ceiling tiles and lighting equipment would not qualify as a substantial renovation. </t>
  </si>
  <si>
    <t>c) Project Summary -</t>
  </si>
  <si>
    <t>Lighting:</t>
  </si>
  <si>
    <t>ΔLoad (kW)</t>
  </si>
  <si>
    <t>Estimated reduction in lighting load in kW.</t>
  </si>
  <si>
    <t>Peak Demand Savings (kW)</t>
  </si>
  <si>
    <t>Estimated peak demand savings from lighting fixture retrofit or installation.</t>
  </si>
  <si>
    <t>Annual Energy Savings (kWh)</t>
  </si>
  <si>
    <t>Estimated annual energy savings from lighting fixture retrofit or installation.</t>
  </si>
  <si>
    <t>Controls:</t>
  </si>
  <si>
    <t>Estimated peak demand savings from lighting controls retrofit or installation.</t>
  </si>
  <si>
    <t>Estimated annual energy savings from lighting controls retrofit or installation.</t>
  </si>
  <si>
    <t>Total:</t>
  </si>
  <si>
    <t>Total peak demand savings from lighting fixture and controls retrofit or installation.</t>
  </si>
  <si>
    <t>Total annual energy savings from lighting fixture and controls retrofit or installation.</t>
  </si>
  <si>
    <t xml:space="preserve">2. Fixture and LED Schedule: </t>
  </si>
  <si>
    <t>Fixture and LED Schedule:</t>
  </si>
  <si>
    <t xml:space="preserve">Use the "Fixture and LED Schedule" tab to enter fixture codes and fixture names being either retrofitted or installed (i.e. pre- and post- installation fixtures). </t>
  </si>
  <si>
    <t>a) Fixture Schedule Information (Optional) - This fixture schedule is used to name fixtures and add supporting information related to the fixtures.</t>
  </si>
  <si>
    <t>Fixture Identifier:</t>
  </si>
  <si>
    <t>Add an identifying name for the fixture or set of fixtures.</t>
  </si>
  <si>
    <t>Utility Fixture Code:</t>
  </si>
  <si>
    <t xml:space="preserve">Utility Fixture Codes are standard fixture designations that can be found on the Fixture Identities tab for several fixture types. </t>
  </si>
  <si>
    <t>Watts per Fixture:</t>
  </si>
  <si>
    <t xml:space="preserve">This will populate based on the Utility Fixture Code entered. </t>
  </si>
  <si>
    <t>Fixture Comments:</t>
  </si>
  <si>
    <t>Add any special comments or additional information for the fixture group.</t>
  </si>
  <si>
    <t xml:space="preserve">b) LED Fixture Code Generator - Use this area to create Unique LED Fixture Identifiers for all LED fixtures except screw-in lamps and exit signs (use utility-defined fixture codes for screw-in LEDs (SLED10/1) and Exit Signs (ELED2/1). LED Fixture Codes created here will be used in the Inventory tab. </t>
  </si>
  <si>
    <t>LED Fixture Identifier:</t>
  </si>
  <si>
    <t>Add an identifying name for the non-integrated ballasted LED fixture.</t>
  </si>
  <si>
    <t>LED Fixture Code:</t>
  </si>
  <si>
    <t xml:space="preserve">This field is automatically generated based on inputs. </t>
  </si>
  <si>
    <t>Enter the Watts per fixture, as found on the specification sheets for the fixture.</t>
  </si>
  <si>
    <t>Lamps per Fixture:</t>
  </si>
  <si>
    <t xml:space="preserve">Enter the number of lamps per fixture, as found on the specification sheets for the fixture. For tubular LEDs, enter the number of tubes per fixture. For most hard-wired LEDs, use 1. An exception might be a 4-headed pole light. </t>
  </si>
  <si>
    <t>Screw-In?</t>
  </si>
  <si>
    <t>Select "Yes" if fixture contains screw-In lamp types (including mogul-based) or "No" if it does not. Do not use the LED Fixture Code Generator for screw-in LEDs &lt;= 26W (use utility-defined SLED fixture codes instead).</t>
  </si>
  <si>
    <t>Fixture Description</t>
  </si>
  <si>
    <t>From the drop-down list, select the description that best fits the fixture. For 2x4 troffers, for example, use 48" linear fluorescent tube replacement. If there is not a description that fits your LED fixture, select "Other - Not Listed Above." For screw-ins, select the application it is serving (e.g., High Bay, Street Lamp Luminaire, etc.)</t>
  </si>
  <si>
    <t>c) Custom Cut-Sheet (non-LEDs) - Use this area to create Unique LED Fixture Identifiers for all non-LED fixtures for which there is no utility-defined fixutre code.</t>
  </si>
  <si>
    <t>Add an identifying name for the custom fixture or set of fixtures.</t>
  </si>
  <si>
    <t>This field will populate based on the watts per fixture added.</t>
  </si>
  <si>
    <t>Enter the watts per fixture, as found on the specification sheets for the fixture.</t>
  </si>
  <si>
    <t xml:space="preserve">Fixture Type: </t>
  </si>
  <si>
    <t>Type of fixture (general or screw-in) defines HOU for the fixture.</t>
  </si>
  <si>
    <t xml:space="preserve">Make/Model or Fixture Description: </t>
  </si>
  <si>
    <t>Enter make/model or some other descriptor here.</t>
  </si>
  <si>
    <t xml:space="preserve">Fixture Codes created here will be used in the Inventory tab. </t>
  </si>
  <si>
    <t xml:space="preserve">3. Usage Group Schedule: </t>
  </si>
  <si>
    <t>Usage Groups:</t>
  </si>
  <si>
    <t xml:space="preserve">A Usage Group is defined as a collection of fixtures in a building with approximately the same operating hours and schedules.  Use the "Usage Group" tab to create Usage Groups for projects &gt;120,000 kWh/yr. </t>
  </si>
  <si>
    <t xml:space="preserve">A Usage Group Schedule is made up of 2 components: Annual Operating Hours and the corresponding Air Conditioning Type.  </t>
  </si>
  <si>
    <t xml:space="preserve">Individual Usage Group Schedules should be created for fixture groups that have a different combination of Operating Hours and AC Type. </t>
  </si>
  <si>
    <r>
      <t xml:space="preserve">Usage Groups </t>
    </r>
    <r>
      <rPr>
        <u/>
        <sz val="10"/>
        <color theme="4"/>
        <rFont val="Arial"/>
        <family val="2"/>
        <scheme val="minor"/>
      </rPr>
      <t>must</t>
    </r>
    <r>
      <rPr>
        <sz val="10"/>
        <color theme="4"/>
        <rFont val="Arial"/>
        <family val="2"/>
        <scheme val="minor"/>
      </rPr>
      <t xml:space="preserve"> be created if estimated savings are over &gt;120,000 kWh/yr.  Usage Groups are not allowed on projects with fewer than 120,000 kWh/yr estimated savings.</t>
    </r>
  </si>
  <si>
    <t>For New Construction Projects – Building Area Method Usage Group schedule is not needed for calculating savings.</t>
  </si>
  <si>
    <t>Usage Group Custom Schedule:</t>
  </si>
  <si>
    <t xml:space="preserve">Provide a name for the Usage Group Custom Schedule that needs to be created. This will appear as a dropdown in the Inventory Tab. This worksheet allows a maximum of 5 Custom Usage Groups. Contact pplbusiness@clearesult.com if there are more than 5 groups. </t>
  </si>
  <si>
    <t xml:space="preserve">Air Conditioning Type: </t>
  </si>
  <si>
    <t>Add the air conditioning type for the usage group. In most cases, this would default to “Comfort Cooling”. For refrigerated spaces, select the Cooling type based on temperature range. Exterior spaces will generally be “Unconditioned”.</t>
  </si>
  <si>
    <t xml:space="preserve">Weekday, Saturday, Sunday operating hours: </t>
  </si>
  <si>
    <t xml:space="preserve">Enter Open and Close time for the usage group. </t>
  </si>
  <si>
    <t xml:space="preserve">Holidays observed annually: </t>
  </si>
  <si>
    <t>Enter the number of annual holidays for the usage group</t>
  </si>
  <si>
    <t xml:space="preserve">Yearly Operating Weeks: </t>
  </si>
  <si>
    <t>Enter the approximate number of weeks in a year the facility operates. As an example- for schools the annual operating weeks would be fewer compared to offices that operate through all 52 weeks a year.</t>
  </si>
  <si>
    <t>Unoccupied Peak Weeks:</t>
  </si>
  <si>
    <t>The number of weeks the facility is unoccupied during the months of June, July, and August.</t>
  </si>
  <si>
    <t xml:space="preserve">Annual Operating Hours: </t>
  </si>
  <si>
    <t>These are estimated based on provided information.</t>
  </si>
  <si>
    <r>
      <t xml:space="preserve">Usage Group Size </t>
    </r>
    <r>
      <rPr>
        <i/>
        <sz val="10"/>
        <rFont val="Arial"/>
        <family val="2"/>
        <scheme val="minor"/>
      </rPr>
      <t>NC Only</t>
    </r>
    <r>
      <rPr>
        <sz val="10"/>
        <rFont val="Arial"/>
        <family val="2"/>
        <scheme val="minor"/>
      </rPr>
      <t xml:space="preserve"> (SqFt):</t>
    </r>
  </si>
  <si>
    <r>
      <t xml:space="preserve">If the Project Type is New Construction, enter the approximate square footage of each Usage Group. </t>
    </r>
    <r>
      <rPr>
        <b/>
        <sz val="10"/>
        <rFont val="Arial"/>
        <family val="2"/>
        <scheme val="minor"/>
      </rPr>
      <t>Note: the total square footage of all Usage Groups should equal the overall building square footage.</t>
    </r>
  </si>
  <si>
    <t xml:space="preserve">Note: Usage Groups created here will be used in the Inventory tab. </t>
  </si>
  <si>
    <r>
      <t xml:space="preserve">4. </t>
    </r>
    <r>
      <rPr>
        <b/>
        <sz val="10"/>
        <color rgb="FF00A3E6"/>
        <rFont val="Arial"/>
        <family val="2"/>
        <scheme val="minor"/>
      </rPr>
      <t xml:space="preserve">NC Exterior Lighting Only: </t>
    </r>
  </si>
  <si>
    <t>NC Exterior Lighting Only'!A1</t>
  </si>
  <si>
    <t xml:space="preserve">For Exterior Lighting on New Construction Projects, the NC Exterior Lighting Only tab is required. </t>
  </si>
  <si>
    <t>Exterior Building Area Name:</t>
  </si>
  <si>
    <t>Provide a name for the Exterior Building Area. This will appear as a dropdown list in the Inventory Tab.</t>
  </si>
  <si>
    <t xml:space="preserve">New Construction Space Type: </t>
  </si>
  <si>
    <t>Select the type of space for the corresponding Usage Group from the dropdown list</t>
  </si>
  <si>
    <t xml:space="preserve">NC Space Type Size: </t>
  </si>
  <si>
    <t xml:space="preserve">Enter the area of the space for the Usage Group. The units for the area of space (generally sq.ft.) are noted in the adjacent column. </t>
  </si>
  <si>
    <t xml:space="preserve">5. Inventory: </t>
  </si>
  <si>
    <t>Inventory:</t>
  </si>
  <si>
    <t xml:space="preserve">Use the "Inventory" tab as a Lighting Survey form to create line items of pre- and post-installation fixture type and fixture quantities, and the corresponding Usage Groups. </t>
  </si>
  <si>
    <t xml:space="preserve">Floor and Space Description: </t>
  </si>
  <si>
    <t>Enter information that would help identify the space in which the fixtures will be installed/retrofitted.</t>
  </si>
  <si>
    <t xml:space="preserve">Usage Group Type: </t>
  </si>
  <si>
    <t xml:space="preserve">The Default Building Type or the Usage Groups based on actual hours of operaiton (if created) will appear as a dropdown list. This will automatically select the operating hours and air-conditioning type for the particular fixture line item. </t>
  </si>
  <si>
    <t xml:space="preserve">Pre- and Post- Retrofit Equipment, New Construction Equipment: </t>
  </si>
  <si>
    <t xml:space="preserve">Fixture Code: </t>
  </si>
  <si>
    <t xml:space="preserve">Enter fixture codes that match utility-defined fixture codes, or the Fixture Codes (or Unique Fixture Identifier) created in the Fixture and LED Schedule tab. </t>
  </si>
  <si>
    <t xml:space="preserve">Total Number of Fixtures: </t>
  </si>
  <si>
    <t xml:space="preserve">Enter the quantity of fixtures being installed or retrofitted. Spare fixtures should not be included. </t>
  </si>
  <si>
    <t xml:space="preserve">Control Device Description: </t>
  </si>
  <si>
    <t xml:space="preserve">Select the fixture control type from the dropdown list. </t>
  </si>
  <si>
    <t xml:space="preserve">Energy Savings: </t>
  </si>
  <si>
    <t>The energy savings number will populate for each line item when all necessary fields (in all required tabs) are filled.</t>
  </si>
  <si>
    <t xml:space="preserve">7. Report: </t>
  </si>
  <si>
    <t>Report:</t>
  </si>
  <si>
    <t>This tab shows an automatically generated Report of the Lighting Project with graphical representations of estimated energy savings, and various financial parameters like simple payback and utility incentive.</t>
  </si>
  <si>
    <r>
      <t>8.</t>
    </r>
    <r>
      <rPr>
        <b/>
        <sz val="10"/>
        <color rgb="FF00A3E6"/>
        <rFont val="Arial"/>
        <family val="2"/>
        <scheme val="minor"/>
      </rPr>
      <t xml:space="preserve"> Fixture Identities</t>
    </r>
  </si>
  <si>
    <t>Fixture Identities'!A1</t>
  </si>
  <si>
    <t xml:space="preserve">This is a reference tab for reviewing all Utility-Defined Fixture Codes (per Appendix C) available for use in the calculator. </t>
  </si>
  <si>
    <t>Building Type Selection</t>
  </si>
  <si>
    <t xml:space="preserve">Building Type - Mapping. For retrofit projects, the PALF allows only a limited number of building types. Use the following as a guide. </t>
  </si>
  <si>
    <t xml:space="preserve">If your building is this: </t>
  </si>
  <si>
    <t>Enter this type</t>
  </si>
  <si>
    <t>Automotive facility</t>
  </si>
  <si>
    <t>Miscellaneous / Other</t>
  </si>
  <si>
    <t>Convention center</t>
  </si>
  <si>
    <t>Courthouse</t>
  </si>
  <si>
    <t>Institutional/Public Service</t>
  </si>
  <si>
    <t>Dining: bar lounge/leisure</t>
  </si>
  <si>
    <t>Restaurant</t>
  </si>
  <si>
    <t>Dining: cafeteria/fast food</t>
  </si>
  <si>
    <t>Dining: family</t>
  </si>
  <si>
    <t>Dormitory</t>
  </si>
  <si>
    <t>Education</t>
  </si>
  <si>
    <t>Exercise center</t>
  </si>
  <si>
    <t>Health</t>
  </si>
  <si>
    <t>Exterior</t>
  </si>
  <si>
    <t>Grocery</t>
  </si>
  <si>
    <t>Gymnasium</t>
  </si>
  <si>
    <t>Health-care clinic</t>
  </si>
  <si>
    <t>Hospital</t>
  </si>
  <si>
    <t>Hotel</t>
  </si>
  <si>
    <t>Lodging</t>
  </si>
  <si>
    <t>Library</t>
  </si>
  <si>
    <t>Manufacturing - 1 Shift</t>
  </si>
  <si>
    <t>Industrial/Manufacturing - 1 Shift</t>
  </si>
  <si>
    <t>Manufacturing - 2 Shift</t>
  </si>
  <si>
    <t>Industrial/Manufacturing - 2 Shift</t>
  </si>
  <si>
    <t>Manufacturing - 3 Shift</t>
  </si>
  <si>
    <t>Industrial/Manufacturing - 3 Shift</t>
  </si>
  <si>
    <t>Motel</t>
  </si>
  <si>
    <t>Motion picture theater</t>
  </si>
  <si>
    <t>Multifamily</t>
  </si>
  <si>
    <t>Museum</t>
  </si>
  <si>
    <t>Office</t>
  </si>
  <si>
    <t>Parking garage</t>
  </si>
  <si>
    <t>Parking Garage</t>
  </si>
  <si>
    <t>Penitentiary</t>
  </si>
  <si>
    <t>Performing arts theater</t>
  </si>
  <si>
    <t>Police/fire station</t>
  </si>
  <si>
    <t>Post office</t>
  </si>
  <si>
    <t>Religious building</t>
  </si>
  <si>
    <t>Retail</t>
  </si>
  <si>
    <t>School/university</t>
  </si>
  <si>
    <t>Sports arena</t>
  </si>
  <si>
    <t>Street Lighting</t>
  </si>
  <si>
    <t>Town hall</t>
  </si>
  <si>
    <t>Transportation</t>
  </si>
  <si>
    <t>Warehouse</t>
  </si>
  <si>
    <t>Workshop</t>
  </si>
  <si>
    <t>Determining Electricity Costs for the PALF - double click on document thumbnail below to open PDF file</t>
  </si>
  <si>
    <t>Fixture Codes Explained</t>
  </si>
  <si>
    <t>Fixture codes are used to convey information about a light fixture for energy savings calculation purposes. They are used to translate a lot of information from ordinary language into a simple code. For example, a 2-lamp, 4-ft. fluorescent T8 fixture with 32-watt lamps and an instant start ballast has a fixtured code of F42ILL. Below is some basic information about fluorescent and LED fixture codes.</t>
  </si>
  <si>
    <t>Sample Linear Fluorescent Fixture Code</t>
  </si>
  <si>
    <t>Category</t>
  </si>
  <si>
    <t>Code</t>
  </si>
  <si>
    <t xml:space="preserve">Description </t>
  </si>
  <si>
    <t xml:space="preserve">Fixture Type </t>
  </si>
  <si>
    <t>CF</t>
  </si>
  <si>
    <t>Compact fluorescent</t>
  </si>
  <si>
    <t>CFD</t>
  </si>
  <si>
    <t>Compact fluorescent, double-D shape</t>
  </si>
  <si>
    <t>CFS</t>
  </si>
  <si>
    <t>Compact fluorescent, spiral shape</t>
  </si>
  <si>
    <t>CFT</t>
  </si>
  <si>
    <t>Compact fluorescent, twin tube (incl biax)</t>
  </si>
  <si>
    <t>ECF</t>
  </si>
  <si>
    <t>Exit sign, compact fluorescent</t>
  </si>
  <si>
    <t>EI</t>
  </si>
  <si>
    <t>Exit sign, incandescent</t>
  </si>
  <si>
    <t>ELED</t>
  </si>
  <si>
    <t>Exit sign, LED</t>
  </si>
  <si>
    <t>F</t>
  </si>
  <si>
    <t>Fluorescent</t>
  </si>
  <si>
    <t>FC</t>
  </si>
  <si>
    <t>Fluorescent, circline</t>
  </si>
  <si>
    <t>FU</t>
  </si>
  <si>
    <t>Fluorescent, U-tube</t>
  </si>
  <si>
    <t>H</t>
  </si>
  <si>
    <t>Halogen</t>
  </si>
  <si>
    <t>HLV</t>
  </si>
  <si>
    <t>Halogen, low voltage</t>
  </si>
  <si>
    <t>HPS</t>
  </si>
  <si>
    <t>High pressure sodium</t>
  </si>
  <si>
    <t>I</t>
  </si>
  <si>
    <t>Incandescent</t>
  </si>
  <si>
    <t>LED</t>
  </si>
  <si>
    <t>Light Emitting Diode</t>
  </si>
  <si>
    <t>MH</t>
  </si>
  <si>
    <t>Metal halide</t>
  </si>
  <si>
    <t>MHPS</t>
  </si>
  <si>
    <t>Metal halide, pulse start</t>
  </si>
  <si>
    <t>MV</t>
  </si>
  <si>
    <t>Mercury vapor</t>
  </si>
  <si>
    <t>QL</t>
  </si>
  <si>
    <t>Induction</t>
  </si>
  <si>
    <t>Lamp Type</t>
  </si>
  <si>
    <t>A</t>
  </si>
  <si>
    <t>F25T12 - 25W (4-Ft, T12 Lamp)</t>
  </si>
  <si>
    <t>IL</t>
  </si>
  <si>
    <t>T8, instant start, 32 Watt</t>
  </si>
  <si>
    <t>SIL</t>
  </si>
  <si>
    <t>T8, instant start, 30 Watt</t>
  </si>
  <si>
    <t>SSIL</t>
  </si>
  <si>
    <t>T8, instant start, 28W</t>
  </si>
  <si>
    <t>SRIL</t>
  </si>
  <si>
    <t>T8, Instant start, 25 Watt</t>
  </si>
  <si>
    <t>L</t>
  </si>
  <si>
    <t>T8, rapid start</t>
  </si>
  <si>
    <t>G</t>
  </si>
  <si>
    <t>T5, standard</t>
  </si>
  <si>
    <t>GH</t>
  </si>
  <si>
    <t>T5, standard, ihgh output lamp</t>
  </si>
  <si>
    <t>E</t>
  </si>
  <si>
    <t>T12, energy efficient</t>
  </si>
  <si>
    <t>EJ</t>
  </si>
  <si>
    <t>T12, energy efficient, high output</t>
  </si>
  <si>
    <t>EO</t>
  </si>
  <si>
    <t>T12, energy efficient, instant start</t>
  </si>
  <si>
    <t>EV</t>
  </si>
  <si>
    <t>T12, energy efficient, very high output</t>
  </si>
  <si>
    <t>S</t>
  </si>
  <si>
    <t>T12, standard</t>
  </si>
  <si>
    <t>T12, standard, instant start</t>
  </si>
  <si>
    <t>SH</t>
  </si>
  <si>
    <t>T12, standard, high output</t>
  </si>
  <si>
    <t>SV</t>
  </si>
  <si>
    <t>T12, standard, very high output</t>
  </si>
  <si>
    <t>T</t>
  </si>
  <si>
    <t>T10, standard</t>
  </si>
  <si>
    <t>Ballast Type</t>
  </si>
  <si>
    <t xml:space="preserve">Electronic </t>
  </si>
  <si>
    <t>Standard magnetic</t>
  </si>
  <si>
    <t>Energy efficient magnetic</t>
  </si>
  <si>
    <t>U</t>
  </si>
  <si>
    <t>Premium electronic</t>
  </si>
  <si>
    <t xml:space="preserve">Ballast Light Output </t>
  </si>
  <si>
    <t>R</t>
  </si>
  <si>
    <t>Reduced light output</t>
  </si>
  <si>
    <t>High light output</t>
  </si>
  <si>
    <t>V</t>
  </si>
  <si>
    <t>Very high light output</t>
  </si>
  <si>
    <t>Configuration</t>
  </si>
  <si>
    <t>Tandem wired fixture</t>
  </si>
  <si>
    <t>D</t>
  </si>
  <si>
    <t>Delamped fixture</t>
  </si>
  <si>
    <t>Control System Descriptions and Deemed Savings Value</t>
  </si>
  <si>
    <t>Deemed Savings Value</t>
  </si>
  <si>
    <t>Control Type</t>
  </si>
  <si>
    <t>Light Switch</t>
  </si>
  <si>
    <t>Manual on/off switch</t>
  </si>
  <si>
    <t>Occupancy Sensors</t>
  </si>
  <si>
    <t>Adjust light levels by presence of occupants</t>
  </si>
  <si>
    <t>Time Clocks</t>
  </si>
  <si>
    <t>Adjust light levels by presence of occupants with timer control</t>
  </si>
  <si>
    <t>Energy Management System</t>
  </si>
  <si>
    <t>Photosensors</t>
  </si>
  <si>
    <t>Adjust light levels by presence of natural light</t>
  </si>
  <si>
    <t>Dimmers</t>
  </si>
  <si>
    <t>Adjust individual light levels by occupant's personal preferences</t>
  </si>
  <si>
    <t>Wireless on-off switches</t>
  </si>
  <si>
    <t>Bi-level switches</t>
  </si>
  <si>
    <t>Computer based controls</t>
  </si>
  <si>
    <t>Pre-set scene selection</t>
  </si>
  <si>
    <t>Dimmable ballasts</t>
  </si>
  <si>
    <t>Adjust light levels through commissioning and technology to meet building's and occupant's needs</t>
  </si>
  <si>
    <t>On-off or dimmer switches for non-personal tuning</t>
  </si>
  <si>
    <t>Occupancy and personal tuning/daylighting and occupancy</t>
  </si>
  <si>
    <t>Combination of multiple types of controls</t>
  </si>
  <si>
    <t>How to Complete a Lighting Application for PPL Electric Utilities Business Rebates</t>
  </si>
  <si>
    <t xml:space="preserve">The best way to expedite rebate processing is to have all your paperwork in good order and to use unique LED Fixture Identifiers that help communicate the project's scope of work in the PALF. Because you make up the LED Fixture Identifiers, they can be anything that fits into your inventory tracking system. For example, you can use the make/model numbers that appear on your invoices. </t>
  </si>
  <si>
    <t>Double click on the thumbnail below to open the PDF file</t>
  </si>
  <si>
    <t>Project Info</t>
  </si>
  <si>
    <t>Project Savings Summary</t>
  </si>
  <si>
    <t>Project and Customer Overview</t>
  </si>
  <si>
    <t>Total Savings</t>
  </si>
  <si>
    <t>Total Estimated Incentives</t>
  </si>
  <si>
    <t>Peak Demand
(kW)</t>
  </si>
  <si>
    <t>Energy
(kWh)</t>
  </si>
  <si>
    <t>Customer Contact Name:</t>
  </si>
  <si>
    <t>Customer Contact Phone:</t>
  </si>
  <si>
    <t>Customer Contact Email:</t>
  </si>
  <si>
    <t>Warning: 
Savings exceed 120,000 kWh. Go to Usage Groups tab to assign actual hours of operation.</t>
  </si>
  <si>
    <t>Project Site Name:</t>
  </si>
  <si>
    <t>Warning: Savings exceed 750,000 kWh. Contact the program representative. Metering is required.</t>
  </si>
  <si>
    <t>Installation Date:*</t>
  </si>
  <si>
    <t>Electric Rate ($/kWh)*</t>
  </si>
  <si>
    <t>Demand Rate ($/kW)*</t>
  </si>
  <si>
    <t>Total Project Cost:*</t>
  </si>
  <si>
    <t>Lighting Project
Details</t>
  </si>
  <si>
    <t>Project Type (Retrofit/New Construction):*</t>
  </si>
  <si>
    <t>Retrofit</t>
  </si>
  <si>
    <t>Building Type (Select from list):*</t>
  </si>
  <si>
    <t>Space Cooling Type (Select from list):*</t>
  </si>
  <si>
    <t>Comfort Cooled</t>
  </si>
  <si>
    <t>Heating Type (Select from list):*</t>
  </si>
  <si>
    <t>Non-Electric</t>
  </si>
  <si>
    <t>Rebates are impacted based on the type of heating system. Please try to obtain accurate information, if possible.</t>
  </si>
  <si>
    <t>New Construction Approach (Select from list):*</t>
  </si>
  <si>
    <t>Gross Lighted Floor Area (SqFt) of Building:*</t>
  </si>
  <si>
    <r>
      <rPr>
        <b/>
        <sz val="11"/>
        <color rgb="FF00539F"/>
        <rFont val="Arial"/>
        <family val="2"/>
      </rPr>
      <t xml:space="preserve">Fixture Code Generator </t>
    </r>
    <r>
      <rPr>
        <b/>
        <sz val="11"/>
        <color rgb="FF0070CD"/>
        <rFont val="Arial"/>
        <family val="2"/>
      </rPr>
      <t xml:space="preserve">
Use this sheet to generate fixture codes for LEDs and other types of lighting. </t>
    </r>
    <r>
      <rPr>
        <b/>
        <sz val="11"/>
        <color rgb="FFFF0000"/>
        <rFont val="Arial"/>
        <family val="2"/>
      </rPr>
      <t xml:space="preserve">All projects using LEDs must complete the LED Fixture Code Generator Table. </t>
    </r>
  </si>
  <si>
    <t>Utility Fixture Codes - Unique Identifiers</t>
  </si>
  <si>
    <t xml:space="preserve">(Optional) Use this section to create Unique Fixture Identifiers (UFI) for fixtures which have an existing utility-defined fixture code (e.g., screw-in LEDs up to 26 watts, exit signs, fluorescent lamp systems, HID, or any code that appears on the “Fixture Identities" tab). Cross reference each UFI on spec sheets and invoice line items. Do not use this area for LED fixtures other than screw-in LEDs up to 26W (e.g., SLED9/1) or exit signs (e.g., ELED2/1). </t>
  </si>
  <si>
    <t>Fixture Schedule Information 
For fixtures having defined codes in the "Fixture Identities" Tab</t>
  </si>
  <si>
    <t>#</t>
  </si>
  <si>
    <t>Unique Fixture Identifier 
(Cut Sheet Code)*</t>
  </si>
  <si>
    <t>Utility Fixture Code*</t>
  </si>
  <si>
    <t>Watts per fixture</t>
  </si>
  <si>
    <t>Lamps Per Fixture</t>
  </si>
  <si>
    <t>Make/Model (or Fixture Description)</t>
  </si>
  <si>
    <t>F42SSILL</t>
  </si>
  <si>
    <t>LED Fixture Codes</t>
  </si>
  <si>
    <r>
      <rPr>
        <b/>
        <sz val="10"/>
        <color rgb="FFFF0000"/>
        <rFont val="Arial"/>
        <family val="2"/>
      </rPr>
      <t xml:space="preserve">(Required for LED Fixtures) </t>
    </r>
    <r>
      <rPr>
        <b/>
        <sz val="10"/>
        <color rgb="FF6A6A6A"/>
        <rFont val="Arial"/>
        <family val="2"/>
      </rPr>
      <t xml:space="preserve">Complete this area to create Unique LED Fixture Identifiers for all LED fixtures including screw-in and E39 mogul-based lamps </t>
    </r>
    <r>
      <rPr>
        <b/>
        <sz val="10"/>
        <color rgb="FF6A6A6A"/>
        <rFont val="Calibri"/>
        <family val="2"/>
      </rPr>
      <t xml:space="preserve">&gt; </t>
    </r>
    <r>
      <rPr>
        <b/>
        <sz val="10"/>
        <color rgb="FF6A6A6A"/>
        <rFont val="Arial"/>
        <family val="2"/>
      </rPr>
      <t xml:space="preserve">26W. Do not use this area for fixtures having utility-defined fixture codes (e.g., screw-in LEDs </t>
    </r>
    <r>
      <rPr>
        <b/>
        <sz val="10"/>
        <color rgb="FF6A6A6A"/>
        <rFont val="Calibri"/>
        <family val="2"/>
      </rPr>
      <t>≤</t>
    </r>
    <r>
      <rPr>
        <b/>
        <sz val="10"/>
        <color rgb="FF6A6A6A"/>
        <rFont val="Arial"/>
        <family val="2"/>
      </rPr>
      <t xml:space="preserve"> 26W). </t>
    </r>
    <r>
      <rPr>
        <b/>
        <sz val="10"/>
        <color rgb="FFFF0000"/>
        <rFont val="Arial"/>
        <family val="2"/>
      </rPr>
      <t xml:space="preserve">You must populate columns E through H. </t>
    </r>
    <r>
      <rPr>
        <b/>
        <sz val="10"/>
        <color rgb="FF6A6A6A"/>
        <rFont val="Arial"/>
        <family val="2"/>
      </rPr>
      <t>If the fixture is a linear LED or LED Channel Sinage Include length of LED in LED Length.</t>
    </r>
  </si>
  <si>
    <t>LED Schedule Information</t>
  </si>
  <si>
    <t>LED Fixture Identifier 
(Click for Explanation)*</t>
  </si>
  <si>
    <t>LED Fixture Code</t>
  </si>
  <si>
    <t>Watts per Fixture*</t>
  </si>
  <si>
    <t>Lamps Per Fixture*</t>
  </si>
  <si>
    <t>Screw-In?*</t>
  </si>
  <si>
    <t>Fixture Type*</t>
  </si>
  <si>
    <t>Ex</t>
  </si>
  <si>
    <t>LED35</t>
  </si>
  <si>
    <t>LED41LT-35</t>
  </si>
  <si>
    <t>No</t>
  </si>
  <si>
    <t>48" Linear Fluorescent Tube Replacement</t>
  </si>
  <si>
    <t>DLC Wallpack for Rear Doors</t>
  </si>
  <si>
    <t>LED150_Pole</t>
  </si>
  <si>
    <t>LED2OP/A-150</t>
  </si>
  <si>
    <t>Outdoor Pole/Arm-Mounted Luminaires</t>
  </si>
  <si>
    <t>Acme Brand Model PWLED150</t>
  </si>
  <si>
    <t>Custom</t>
  </si>
  <si>
    <t>Refrigerated Display Case Luminaires</t>
  </si>
  <si>
    <t>Custom Cut-Sheet (All other non-LEDs)</t>
  </si>
  <si>
    <t>Use this area to create Unique Fixture Identifiers for all other non-LED fixtures for which there is no utility-defined fixture code.</t>
  </si>
  <si>
    <t>Custom Cut Sheet Schedule Information</t>
  </si>
  <si>
    <t>Unique Fixture Identifier*</t>
  </si>
  <si>
    <t>Custom Fixture Code</t>
  </si>
  <si>
    <t>Lighting Survery Form</t>
  </si>
  <si>
    <t>Fixture Inputs</t>
  </si>
  <si>
    <t>Pre-Retrofit Equipment</t>
  </si>
  <si>
    <t>Energy Savings (kWh)</t>
  </si>
  <si>
    <t>Demand Savings (kW)</t>
  </si>
  <si>
    <t>Uncapped Total Incentive</t>
  </si>
  <si>
    <t>Capped Total Incentive</t>
  </si>
  <si>
    <t>Exterior (Y/N)</t>
  </si>
  <si>
    <t>Space Description</t>
  </si>
  <si>
    <t>Usage Group Type</t>
  </si>
  <si>
    <t>Fixture Code</t>
  </si>
  <si>
    <t>Total # of Fixtures</t>
  </si>
  <si>
    <t>Fixture Identifer (Schedule Tab) or Fixture Code (Fix Identities Tab)</t>
  </si>
  <si>
    <t>Control Device Description
(select from list, click for description)</t>
  </si>
  <si>
    <t>Ex.</t>
  </si>
  <si>
    <t>N</t>
  </si>
  <si>
    <t>Classroom</t>
  </si>
  <si>
    <t>F44EE</t>
  </si>
  <si>
    <t>None</t>
  </si>
  <si>
    <t>F42ILL</t>
  </si>
  <si>
    <t>S_LS</t>
  </si>
  <si>
    <t>Y</t>
  </si>
  <si>
    <t>Exterior (Dusk to Dawn)</t>
  </si>
  <si>
    <t>MH250/1</t>
  </si>
  <si>
    <t>CFT50/1-BX</t>
  </si>
  <si>
    <t>F62SS</t>
  </si>
  <si>
    <t>F62SVS</t>
  </si>
  <si>
    <t>MH1000/1</t>
  </si>
  <si>
    <t>Daylighting - Time Clocks</t>
  </si>
  <si>
    <t>Line 
Item</t>
  </si>
  <si>
    <t>Measure Quantity</t>
  </si>
  <si>
    <t>Description/Product Style</t>
  </si>
  <si>
    <t>Incentive</t>
  </si>
  <si>
    <t>Project End Date</t>
  </si>
  <si>
    <t>Calculator Version</t>
  </si>
  <si>
    <t>Project Type</t>
  </si>
  <si>
    <t>Floor</t>
  </si>
  <si>
    <t>Room Description / Space Description</t>
  </si>
  <si>
    <t>Interior or Exterior</t>
  </si>
  <si>
    <t>Building Type</t>
  </si>
  <si>
    <t>Space Cooling Type</t>
  </si>
  <si>
    <t>Primary Heating Type</t>
  </si>
  <si>
    <t>Base Fixture 
Quantity</t>
  </si>
  <si>
    <t>As Found Fixture Code</t>
  </si>
  <si>
    <t>Base Watts per Fixture</t>
  </si>
  <si>
    <t>Base kW per Space</t>
  </si>
  <si>
    <t>Base Lighting Control Type</t>
  </si>
  <si>
    <t>New Construction Baseline Quantity</t>
  </si>
  <si>
    <t>New Construction Baseline Fixture Watts</t>
  </si>
  <si>
    <t>New Construction Baseline kW per Space</t>
  </si>
  <si>
    <t>New Fixture 
Quantity</t>
  </si>
  <si>
    <t>Post Fixture Measure Code</t>
  </si>
  <si>
    <t>New Watts per 
Fixture</t>
  </si>
  <si>
    <t>Post kW per Space</t>
  </si>
  <si>
    <t>New Lighting Control 
Type</t>
  </si>
  <si>
    <t>Annual Hours</t>
  </si>
  <si>
    <t>Factor 5 Change in Connected Load</t>
  </si>
  <si>
    <t>Coincidence 
Factor</t>
  </si>
  <si>
    <t xml:space="preserve">Interactive Factor Demand </t>
  </si>
  <si>
    <t xml:space="preserve">Interactive Factor Energy </t>
  </si>
  <si>
    <t>Base Controls 
Factor Energy(SVGbase)</t>
  </si>
  <si>
    <t>New Controls 
Factor Demand</t>
  </si>
  <si>
    <t>Lighting Savings Peak kW</t>
  </si>
  <si>
    <t>Lighting Savings Energy kWh</t>
  </si>
  <si>
    <t>Control Savings Peak kW</t>
  </si>
  <si>
    <t>Control Savings Energy kWh</t>
  </si>
  <si>
    <t>Total kW Saved</t>
  </si>
  <si>
    <t>Total kWh Saved</t>
  </si>
  <si>
    <t>Lumens Per Watt</t>
  </si>
  <si>
    <t>LED Channel Sinage Legnth</t>
  </si>
  <si>
    <t>Manufacturer/Model</t>
  </si>
  <si>
    <t>LIGHTING INVENTORY</t>
  </si>
  <si>
    <t>PROJECT SUMMARY</t>
  </si>
  <si>
    <t>Lighting</t>
  </si>
  <si>
    <t>Controls</t>
  </si>
  <si>
    <t>Total</t>
  </si>
  <si>
    <t>Baseline</t>
  </si>
  <si>
    <t>Using Non-Integrated Ballast LED Fixtures?
Click here to configure LED fixture codes.</t>
  </si>
  <si>
    <t>Using Custom Cut-Sheet Fixtures?
Click here to create custom fixture codes.</t>
  </si>
  <si>
    <t>Using Custom Controls Savings Factors?
Click here to create custom SVG values.</t>
  </si>
  <si>
    <r>
      <t>Δ</t>
    </r>
    <r>
      <rPr>
        <b/>
        <sz val="9.9"/>
        <color theme="1"/>
        <rFont val="Calibri"/>
        <family val="2"/>
      </rPr>
      <t xml:space="preserve"> </t>
    </r>
    <r>
      <rPr>
        <b/>
        <sz val="11"/>
        <color theme="1"/>
        <rFont val="Arial"/>
        <family val="2"/>
        <scheme val="minor"/>
      </rPr>
      <t>Load
(kW)</t>
    </r>
  </si>
  <si>
    <t>SAVINGS</t>
  </si>
  <si>
    <t>PRE-RETROFIT DETAILS</t>
  </si>
  <si>
    <t>BASELINE DETAILS</t>
  </si>
  <si>
    <t>POST-INSTALLATION DETAILS</t>
  </si>
  <si>
    <t>ASSUMPTIONS</t>
  </si>
  <si>
    <t>LIGHTING</t>
  </si>
  <si>
    <t>CONTROLS</t>
  </si>
  <si>
    <t>TOTAL</t>
  </si>
  <si>
    <t>Line Item</t>
  </si>
  <si>
    <t>Space Designation</t>
  </si>
  <si>
    <t>Optional Space Details
(e.g. Room Number)</t>
  </si>
  <si>
    <t>Fixture Wattage</t>
  </si>
  <si>
    <t>Fixture Quantity</t>
  </si>
  <si>
    <t>Line Item Wattage</t>
  </si>
  <si>
    <t>HOU
Type</t>
  </si>
  <si>
    <t>Fixture Tag or ID (Opt.)</t>
  </si>
  <si>
    <t>HOU</t>
  </si>
  <si>
    <r>
      <t>IF</t>
    </r>
    <r>
      <rPr>
        <b/>
        <vertAlign val="subscript"/>
        <sz val="11"/>
        <color theme="0"/>
        <rFont val="Arial"/>
        <family val="2"/>
        <scheme val="minor"/>
      </rPr>
      <t>energy</t>
    </r>
  </si>
  <si>
    <r>
      <t>IF</t>
    </r>
    <r>
      <rPr>
        <b/>
        <vertAlign val="subscript"/>
        <sz val="11"/>
        <color theme="0"/>
        <rFont val="Arial"/>
        <family val="2"/>
        <scheme val="minor"/>
      </rPr>
      <t>demand</t>
    </r>
  </si>
  <si>
    <t>Custom NC Facility Type (optional)</t>
  </si>
  <si>
    <r>
      <t>SVG</t>
    </r>
    <r>
      <rPr>
        <b/>
        <vertAlign val="subscript"/>
        <sz val="11"/>
        <color theme="0"/>
        <rFont val="Arial"/>
        <family val="2"/>
        <scheme val="minor"/>
      </rPr>
      <t>base</t>
    </r>
  </si>
  <si>
    <r>
      <t>SVG</t>
    </r>
    <r>
      <rPr>
        <b/>
        <vertAlign val="subscript"/>
        <sz val="11"/>
        <color theme="0"/>
        <rFont val="Arial"/>
        <family val="2"/>
        <scheme val="minor"/>
      </rPr>
      <t>ee</t>
    </r>
  </si>
  <si>
    <t>Δ Load
(kW)</t>
  </si>
  <si>
    <t>Controls Installed Counter</t>
  </si>
  <si>
    <t>Fixture Type Code</t>
  </si>
  <si>
    <t>Lamps Installed Counter</t>
  </si>
  <si>
    <t>Signage Length</t>
  </si>
  <si>
    <t>CFL Fixture</t>
  </si>
  <si>
    <t>Example</t>
  </si>
  <si>
    <t>F82EHS</t>
  </si>
  <si>
    <t>F43LL</t>
  </si>
  <si>
    <t>A/A1</t>
  </si>
  <si>
    <t>O_OS</t>
  </si>
  <si>
    <t>CFL Screw In</t>
  </si>
  <si>
    <t>Circular Fluorescent Bulbs</t>
  </si>
  <si>
    <t>Cold Cathode CFL</t>
  </si>
  <si>
    <t>Custom from Cut Sheet</t>
  </si>
  <si>
    <t>Delamp</t>
  </si>
  <si>
    <t>Exit Sign</t>
  </si>
  <si>
    <t>Induction Fluorescent</t>
  </si>
  <si>
    <t>LED Fixture</t>
  </si>
  <si>
    <t>LED Screw-In</t>
  </si>
  <si>
    <t>LED Linear Replacement</t>
  </si>
  <si>
    <t>T5 Linear Fluorescent</t>
  </si>
  <si>
    <t>T8 Linear Fluorescent</t>
  </si>
  <si>
    <t>U-Tube Fluorescent</t>
  </si>
  <si>
    <t>T5LinFlour</t>
  </si>
  <si>
    <t>T8LinFlour</t>
  </si>
  <si>
    <t>UTubeFlour</t>
  </si>
  <si>
    <t>LED Exit</t>
  </si>
  <si>
    <t>LEDSrewKit</t>
  </si>
  <si>
    <t>HPT8LinearDelamp</t>
  </si>
  <si>
    <t>T8LEDLinear</t>
  </si>
  <si>
    <t>T8LEDLinearDelamp</t>
  </si>
  <si>
    <t>LED10WDIRDI</t>
  </si>
  <si>
    <t>LED12WDirDI</t>
  </si>
  <si>
    <t>LED13WDI</t>
  </si>
  <si>
    <t>LED14WDIRDI</t>
  </si>
  <si>
    <t>LED18WALampDI</t>
  </si>
  <si>
    <t>LED7WALampDI</t>
  </si>
  <si>
    <t>LED8WDIRDI</t>
  </si>
  <si>
    <t>LED9WALampDI</t>
  </si>
  <si>
    <t>OccSensor</t>
  </si>
  <si>
    <t>NCOLPD.08</t>
  </si>
  <si>
    <t>NCOLPD.09</t>
  </si>
  <si>
    <t>NCRLPD1.2</t>
  </si>
  <si>
    <t>NCRLPD1.3</t>
  </si>
  <si>
    <t>NCRLPD1.4</t>
  </si>
  <si>
    <t>LEDCoolerDisplay</t>
  </si>
  <si>
    <t>LEDFreezerDisplay</t>
  </si>
  <si>
    <t>PLControls</t>
  </si>
  <si>
    <t>StreetLight</t>
  </si>
  <si>
    <t>LEDTSIG1</t>
  </si>
  <si>
    <t>LEDTSIG2</t>
  </si>
  <si>
    <t>LEDTSIG3</t>
  </si>
  <si>
    <t>LEDTSIG4</t>
  </si>
  <si>
    <t>LEDTSIG5</t>
  </si>
  <si>
    <t>LEDTSIG6</t>
  </si>
  <si>
    <t>LEDTSIG7</t>
  </si>
  <si>
    <t>LEDTSIG8</t>
  </si>
  <si>
    <t>LEDTSIG9</t>
  </si>
  <si>
    <t>LEDTSIG10</t>
  </si>
  <si>
    <t>LEDTSIG11</t>
  </si>
  <si>
    <t>LEDTSIG12</t>
  </si>
  <si>
    <t>LEDPSIG1</t>
  </si>
  <si>
    <t>LEDPSIG2</t>
  </si>
  <si>
    <t>LEDPSIG3</t>
  </si>
  <si>
    <t>LEDPSIG4</t>
  </si>
  <si>
    <t>LEDPSIG5</t>
  </si>
  <si>
    <t>LEDPSIG6</t>
  </si>
  <si>
    <t>LEDPSIG7</t>
  </si>
  <si>
    <t>LEDPSIG8</t>
  </si>
  <si>
    <t>LEDPSIG9</t>
  </si>
  <si>
    <t>LEDPSIG10</t>
  </si>
  <si>
    <t>ChanSign</t>
  </si>
  <si>
    <t>CustLGHT</t>
  </si>
  <si>
    <t>INCCORRECT</t>
  </si>
  <si>
    <t>INCADJUST</t>
  </si>
  <si>
    <t>2016 TRM Appendix C: Lighting Audit &amp; Design Tool for Commercial and Industrial Projects</t>
  </si>
  <si>
    <t>GENERAL INFORMATION</t>
  </si>
  <si>
    <t>KEY:</t>
  </si>
  <si>
    <t>Input Field</t>
  </si>
  <si>
    <t>Example Cell</t>
  </si>
  <si>
    <t>Cell Creating Error
in Calculations</t>
  </si>
  <si>
    <t>Calculated Value</t>
  </si>
  <si>
    <t>Intermediate Calc.</t>
  </si>
  <si>
    <r>
      <t xml:space="preserve"> </t>
    </r>
    <r>
      <rPr>
        <b/>
        <sz val="15"/>
        <color theme="0"/>
        <rFont val="Calibri"/>
        <family val="2"/>
      </rPr>
      <t xml:space="preserve">❶ </t>
    </r>
    <r>
      <rPr>
        <b/>
        <i/>
        <sz val="15"/>
        <color theme="0"/>
        <rFont val="Arial"/>
        <family val="2"/>
        <scheme val="minor"/>
      </rPr>
      <t>Project / Site Information</t>
    </r>
  </si>
  <si>
    <t>Provide basic project information below.</t>
  </si>
  <si>
    <t>If you have opted to use custom HOU/CF values, you can create up to 6 custom lighting operation schedules for varying space types using the table below. Enter the on/off times of the facility lighting for each day in 24-hr. format. The first column shows an example of a facility that is open from 8AM to 5PM on weekdays, and 24 hours on the weekends for reference.</t>
  </si>
  <si>
    <t xml:space="preserve">Applicant Name: </t>
  </si>
  <si>
    <t xml:space="preserve">Facility Name: </t>
  </si>
  <si>
    <t>Schedule Designation</t>
  </si>
  <si>
    <t>TRM</t>
  </si>
  <si>
    <t>***This is used to correctly count the number of hours for both exterior fixtures (scheduled on during the day) and interior fixtures (scheduled off during the day)</t>
  </si>
  <si>
    <t xml:space="preserve">Installation Address: </t>
  </si>
  <si>
    <t>On</t>
  </si>
  <si>
    <t>Off</t>
  </si>
  <si>
    <t>Screw-In</t>
  </si>
  <si>
    <t>General</t>
  </si>
  <si>
    <t xml:space="preserve">City: </t>
  </si>
  <si>
    <t xml:space="preserve">State: </t>
  </si>
  <si>
    <t>PA</t>
  </si>
  <si>
    <t xml:space="preserve">Zip: </t>
  </si>
  <si>
    <t>Monday</t>
  </si>
  <si>
    <t xml:space="preserve">Utility: </t>
  </si>
  <si>
    <t>PPL</t>
  </si>
  <si>
    <t xml:space="preserve">Account No.: </t>
  </si>
  <si>
    <t>Tuesday</t>
  </si>
  <si>
    <t xml:space="preserve">Contact Name &amp; Title: </t>
  </si>
  <si>
    <t>Wednesday</t>
  </si>
  <si>
    <t xml:space="preserve">Phone: </t>
  </si>
  <si>
    <t>Thursday</t>
  </si>
  <si>
    <t xml:space="preserve">Email: </t>
  </si>
  <si>
    <t>Friday</t>
  </si>
  <si>
    <t>Saturday</t>
  </si>
  <si>
    <t xml:space="preserve">Facility Type: </t>
  </si>
  <si>
    <t>Sunday</t>
  </si>
  <si>
    <t xml:space="preserve">Construction Type: </t>
  </si>
  <si>
    <t>Holidays Observed Annually</t>
  </si>
  <si>
    <r>
      <t>Facility Size (ft</t>
    </r>
    <r>
      <rPr>
        <b/>
        <vertAlign val="superscript"/>
        <sz val="11"/>
        <color theme="1"/>
        <rFont val="Arial"/>
        <family val="2"/>
        <scheme val="minor"/>
      </rPr>
      <t>2</t>
    </r>
    <r>
      <rPr>
        <b/>
        <sz val="11"/>
        <color theme="1"/>
        <rFont val="Arial"/>
        <family val="2"/>
        <scheme val="minor"/>
      </rPr>
      <t xml:space="preserve">): </t>
    </r>
  </si>
  <si>
    <t xml:space="preserve">Heating Fuel Type: </t>
  </si>
  <si>
    <t>Yearly Operating Weeks</t>
  </si>
  <si>
    <t xml:space="preserve">Installation Date: </t>
  </si>
  <si>
    <t xml:space="preserve">HOU/CF Source: </t>
  </si>
  <si>
    <t>Unoccupied Peak Weeks</t>
  </si>
  <si>
    <t>Interior</t>
  </si>
  <si>
    <t xml:space="preserve">Is this a Small Business Direct Install Project? </t>
  </si>
  <si>
    <t>Hours of Use</t>
  </si>
  <si>
    <t>Coincidence Factor</t>
  </si>
  <si>
    <t>Intermediate CF Calculations</t>
  </si>
  <si>
    <t>Create up to 20 custom space types using the table below. These space types will be used on the "Lighting Inventory" form to describe where fixtures were installed.</t>
  </si>
  <si>
    <t>Custom Coincidence Factor Calculations</t>
  </si>
  <si>
    <t xml:space="preserve">Calculation Method: </t>
  </si>
  <si>
    <t xml:space="preserve">Allowable Watts: </t>
  </si>
  <si>
    <t>Wattage Allowance per Unit</t>
  </si>
  <si>
    <t>Space Type</t>
  </si>
  <si>
    <t>Schedule</t>
  </si>
  <si>
    <t>Cooling Type</t>
  </si>
  <si>
    <t>Qty. of Units</t>
  </si>
  <si>
    <t>Units</t>
  </si>
  <si>
    <t>&lt;Name Your Space Type&gt;</t>
  </si>
  <si>
    <t>LOOKUPS</t>
  </si>
  <si>
    <t>Row Number for Data Export</t>
  </si>
  <si>
    <t>Letter for Pre Cut Sheet</t>
  </si>
  <si>
    <t>HOU, CF, and IF
by Facility Type</t>
  </si>
  <si>
    <t>Screw-Based
CFL &amp; LED</t>
  </si>
  <si>
    <t>Other General Service Lighting</t>
  </si>
  <si>
    <t>All Bulb Types
0% Electric Heat</t>
  </si>
  <si>
    <t>All Bulb Types
100% Electric Heat</t>
  </si>
  <si>
    <t>IF by Space
Cooling Type</t>
  </si>
  <si>
    <t>SVG by
Control Type</t>
  </si>
  <si>
    <t>Schedule Names</t>
  </si>
  <si>
    <t>LED Code Builder</t>
  </si>
  <si>
    <t>Space-by-Space LPD Option Configurator
Adapted from IECC 2015 Table C405.4.2</t>
  </si>
  <si>
    <t>B</t>
  </si>
  <si>
    <t>C</t>
  </si>
  <si>
    <t>Facility Type</t>
  </si>
  <si>
    <r>
      <t>IF</t>
    </r>
    <r>
      <rPr>
        <vertAlign val="subscript"/>
        <sz val="11"/>
        <color theme="0"/>
        <rFont val="Arial"/>
        <family val="2"/>
        <scheme val="minor"/>
      </rPr>
      <t>energy</t>
    </r>
  </si>
  <si>
    <r>
      <t>IF</t>
    </r>
    <r>
      <rPr>
        <vertAlign val="subscript"/>
        <sz val="11"/>
        <color theme="0"/>
        <rFont val="Arial"/>
        <family val="2"/>
        <scheme val="minor"/>
      </rPr>
      <t>demand</t>
    </r>
  </si>
  <si>
    <t>SVG</t>
  </si>
  <si>
    <t>DLC Listing Type</t>
  </si>
  <si>
    <t>Length</t>
  </si>
  <si>
    <t>Unit</t>
  </si>
  <si>
    <t>Facility for Visually Impaired</t>
  </si>
  <si>
    <t>Post Office</t>
  </si>
  <si>
    <t>Other</t>
  </si>
  <si>
    <t>Available List</t>
  </si>
  <si>
    <t>24" Linear Fluorescent Tube Replacement, Type A</t>
  </si>
  <si>
    <t>LTA</t>
  </si>
  <si>
    <t xml:space="preserve">Freezer (-35F - 20F) </t>
  </si>
  <si>
    <t>24" Linear Fluorescent Tube Replacement, Type B</t>
  </si>
  <si>
    <t>LTB</t>
  </si>
  <si>
    <t>Exterior, Photocell-Controlled</t>
  </si>
  <si>
    <t>Med. Temp. Refrg. (20F - 40F)</t>
  </si>
  <si>
    <t>Occupancy - Time Clocks</t>
  </si>
  <si>
    <t>O_TC</t>
  </si>
  <si>
    <t>24" Linear Fluorescent Tube Replacement, Type C</t>
  </si>
  <si>
    <t>LTC</t>
  </si>
  <si>
    <t>Airport Concourse</t>
  </si>
  <si>
    <t>High Temp. Refrg. (40F - 60F)</t>
  </si>
  <si>
    <t>Occupancy - Energy Management System</t>
  </si>
  <si>
    <t>O_EMS</t>
  </si>
  <si>
    <t>36" Linear Fluorescent Tube Replacement, Type A</t>
  </si>
  <si>
    <t>Atrium, &lt; 40 ft. in height</t>
  </si>
  <si>
    <t>Unconditioned</t>
  </si>
  <si>
    <t>Daylighting - Photosensors</t>
  </si>
  <si>
    <t>DL_PS</t>
  </si>
  <si>
    <t>36" Linear Fluorescent Tube Replacement, Type B</t>
  </si>
  <si>
    <t>Atrium, &gt;= 40 ft. in height</t>
  </si>
  <si>
    <t>DL_TC</t>
  </si>
  <si>
    <t>36" Linear Fluorescent Tube Replacement, Type C</t>
  </si>
  <si>
    <t>Audience Seating Area</t>
  </si>
  <si>
    <t>J</t>
  </si>
  <si>
    <t>Personal Tuning - Dimmers</t>
  </si>
  <si>
    <t>PT_DIM</t>
  </si>
  <si>
    <t>48" Linear Fluorescent Tube Replacement, Type A</t>
  </si>
  <si>
    <t>Baggage/Carousel</t>
  </si>
  <si>
    <t>K</t>
  </si>
  <si>
    <t>Personal Tuning - Wireless on-off switches</t>
  </si>
  <si>
    <t>PT_WS</t>
  </si>
  <si>
    <t>48" Linear Fluorescent Tube Replacement, Type B</t>
  </si>
  <si>
    <t>Bank Activity Area</t>
  </si>
  <si>
    <t>Personal Tuning - Bi-level switches</t>
  </si>
  <si>
    <t>PT_BLS</t>
  </si>
  <si>
    <t>48" Linear Fluorescent Tube Replacement, Type C</t>
  </si>
  <si>
    <t>Chapel</t>
  </si>
  <si>
    <t>M</t>
  </si>
  <si>
    <t>IF for Comfort Cooled Spaces by 
Heating Fuel Type</t>
  </si>
  <si>
    <t>Personal Tuning - Computer based controls</t>
  </si>
  <si>
    <t>PT_CC</t>
  </si>
  <si>
    <t>96" Linear Fluorescent Tube Replacement, Type A</t>
  </si>
  <si>
    <t>Class I Facility Playing Area</t>
  </si>
  <si>
    <t>Personal Tuning - Pre-set scene selection</t>
  </si>
  <si>
    <t>PT_PSS</t>
  </si>
  <si>
    <t>Space Types</t>
  </si>
  <si>
    <t>96" Linear Fluorescent Tube Replacement, Type B</t>
  </si>
  <si>
    <t>Class II Facility Playing Area</t>
  </si>
  <si>
    <t>O</t>
  </si>
  <si>
    <t>Multi-Family Common Areas</t>
  </si>
  <si>
    <t>IT_DIM</t>
  </si>
  <si>
    <t>96" Linear Fluorescent Tube Replacement, Type C</t>
  </si>
  <si>
    <t>Class III Facility Playing Area</t>
  </si>
  <si>
    <t>P</t>
  </si>
  <si>
    <t>Troffer LED Panel</t>
  </si>
  <si>
    <t>TLP</t>
  </si>
  <si>
    <t>Class IV Facility Playing Area</t>
  </si>
  <si>
    <t>Q</t>
  </si>
  <si>
    <t>Electric</t>
  </si>
  <si>
    <t>MT</t>
  </si>
  <si>
    <t>High-Bay Luminaires</t>
  </si>
  <si>
    <t>HBR</t>
  </si>
  <si>
    <t>Unknown</t>
  </si>
  <si>
    <t>&lt;Name your custom Control type&gt;</t>
  </si>
  <si>
    <t>C_1</t>
  </si>
  <si>
    <t>OP/A</t>
  </si>
  <si>
    <t>Computer Room</t>
  </si>
  <si>
    <t>C_2</t>
  </si>
  <si>
    <t>Outdoor Wall-Mounted Luminaires</t>
  </si>
  <si>
    <t>OW</t>
  </si>
  <si>
    <t>Conference/Multipurpose Room</t>
  </si>
  <si>
    <t>C_3</t>
  </si>
  <si>
    <t>RDL</t>
  </si>
  <si>
    <t>Convention Center/Exhibit Space</t>
  </si>
  <si>
    <t>C_4</t>
  </si>
  <si>
    <t>Street Lamp Luminaires</t>
  </si>
  <si>
    <t>ST</t>
  </si>
  <si>
    <t>Copy/Print Room</t>
  </si>
  <si>
    <t>TRM Interior</t>
  </si>
  <si>
    <t>C_5</t>
  </si>
  <si>
    <t>Corridor</t>
  </si>
  <si>
    <t>W</t>
  </si>
  <si>
    <t>TRM Exterior</t>
  </si>
  <si>
    <t>Custom control types and corresponding SVG assumptions may be substituted when EDC data gathering (metering) produces more accurate/reliable SVG estimates.</t>
  </si>
  <si>
    <t>Courtroom</t>
  </si>
  <si>
    <t>X</t>
  </si>
  <si>
    <t>TRM Refrigeration</t>
  </si>
  <si>
    <t>-</t>
  </si>
  <si>
    <t>Detailed Manufacturing Area</t>
  </si>
  <si>
    <t>TRM Exit</t>
  </si>
  <si>
    <t>Dining Area</t>
  </si>
  <si>
    <t>Z</t>
  </si>
  <si>
    <t>Values written in blue were not collected as part of the Commercial Light Metering Study and have been populated with 2015 TRM values.
Values in cells with blue shading will not populate unless EDC is specified in cell D18 of the "General Information" tab.</t>
  </si>
  <si>
    <t>Dormitory/Living Quarters</t>
  </si>
  <si>
    <t>AA</t>
  </si>
  <si>
    <t>Dressing Room</t>
  </si>
  <si>
    <t>AB</t>
  </si>
  <si>
    <t>Dressing/Fitting Room</t>
  </si>
  <si>
    <t>AC</t>
  </si>
  <si>
    <t>Lighting Power Allowances
Space-by-Space Method</t>
  </si>
  <si>
    <t>Lighting Power Allowances
Building Area Method</t>
  </si>
  <si>
    <t>New Construction SVG Accountability</t>
  </si>
  <si>
    <t>Electrical/Mechanical Room</t>
  </si>
  <si>
    <t>AD</t>
  </si>
  <si>
    <t>Elevator Lobby</t>
  </si>
  <si>
    <t>AE</t>
  </si>
  <si>
    <t>IECC 2015 Available Space Types for Selected Building Type</t>
  </si>
  <si>
    <t>LPD Allowance</t>
  </si>
  <si>
    <t>IECC 2015 Building Type</t>
  </si>
  <si>
    <t>LPD</t>
  </si>
  <si>
    <t>SWE Facility Type</t>
  </si>
  <si>
    <t>% Req.</t>
  </si>
  <si>
    <t>NC SVG</t>
  </si>
  <si>
    <t>Emergency Vehicle Garage</t>
  </si>
  <si>
    <t>AF</t>
  </si>
  <si>
    <t>Equipment Room</t>
  </si>
  <si>
    <t>AG</t>
  </si>
  <si>
    <t>NEW CONSTRUCTION WHOLE BUILDING</t>
  </si>
  <si>
    <t>Exam/Treatment Room</t>
  </si>
  <si>
    <t>AH</t>
  </si>
  <si>
    <t>Extra High Bay Area, Greater than 50' Ceiling</t>
  </si>
  <si>
    <t>AI</t>
  </si>
  <si>
    <t>Fellowship Hall</t>
  </si>
  <si>
    <t>AJ</t>
  </si>
  <si>
    <t>Fire Station/Sleeping Quarters</t>
  </si>
  <si>
    <t>AK</t>
  </si>
  <si>
    <t>Food Preparation Area</t>
  </si>
  <si>
    <t>AL</t>
  </si>
  <si>
    <t>General Exhibition Area</t>
  </si>
  <si>
    <t>AM</t>
  </si>
  <si>
    <t>Guest Room</t>
  </si>
  <si>
    <t>AN</t>
  </si>
  <si>
    <t>Gymnasium Exercise Area</t>
  </si>
  <si>
    <t>AO</t>
  </si>
  <si>
    <t>Gymnasium Play Area</t>
  </si>
  <si>
    <t>AP</t>
  </si>
  <si>
    <t>High Bay Area, 25' to 50' Ceiling</t>
  </si>
  <si>
    <t>AQ</t>
  </si>
  <si>
    <t>Fire Station</t>
  </si>
  <si>
    <t>Imaging Room</t>
  </si>
  <si>
    <t>AR</t>
  </si>
  <si>
    <t>Laboratory</t>
  </si>
  <si>
    <t>AS</t>
  </si>
  <si>
    <t>Laundry/Washing Area</t>
  </si>
  <si>
    <t>AT</t>
  </si>
  <si>
    <t>Library Reading Area</t>
  </si>
  <si>
    <t>AU</t>
  </si>
  <si>
    <t>Library Stacks</t>
  </si>
  <si>
    <t>AV</t>
  </si>
  <si>
    <t>&lt;Name your custom Facility type&gt;</t>
  </si>
  <si>
    <t>Loading dock, interior</t>
  </si>
  <si>
    <t>AW</t>
  </si>
  <si>
    <t>Lobby</t>
  </si>
  <si>
    <t>AX</t>
  </si>
  <si>
    <t>Locker Room</t>
  </si>
  <si>
    <t>AY</t>
  </si>
  <si>
    <t>Lounge/Breakroom</t>
  </si>
  <si>
    <t>AZ</t>
  </si>
  <si>
    <t>Low Bay Area, Less than 25' Ceiling</t>
  </si>
  <si>
    <t>BA</t>
  </si>
  <si>
    <t>% Req. column dictates the percentage of the total area of each building type found to be a space type requiring occupancy sensors by code per the Commercial Light Metering Study.</t>
  </si>
  <si>
    <t>Mall Concourse</t>
  </si>
  <si>
    <t>BB</t>
  </si>
  <si>
    <t>Medical Supply Room</t>
  </si>
  <si>
    <t>BC</t>
  </si>
  <si>
    <t>Nursery</t>
  </si>
  <si>
    <t>BD</t>
  </si>
  <si>
    <t>Custom facility types and corresponding SVG assumptions may be substituted when default assumptions are not reflective of code baseline conditions.</t>
  </si>
  <si>
    <t>Nurse's Station</t>
  </si>
  <si>
    <t>BE</t>
  </si>
  <si>
    <t>Office, Enclosed</t>
  </si>
  <si>
    <t>BF</t>
  </si>
  <si>
    <t>Office, Open</t>
  </si>
  <si>
    <t>BG</t>
  </si>
  <si>
    <t>Operating Room</t>
  </si>
  <si>
    <t>BH</t>
  </si>
  <si>
    <t>Parking Area, Interior</t>
  </si>
  <si>
    <t>BI</t>
  </si>
  <si>
    <t>Police station</t>
  </si>
  <si>
    <t>Patient Room</t>
  </si>
  <si>
    <t>BJ</t>
  </si>
  <si>
    <t>Pharmacy Area</t>
  </si>
  <si>
    <t>BK</t>
  </si>
  <si>
    <t>Physical Therapy Room</t>
  </si>
  <si>
    <t>BL</t>
  </si>
  <si>
    <t>Recovery Room</t>
  </si>
  <si>
    <t>BM</t>
  </si>
  <si>
    <t>Recreation Room</t>
  </si>
  <si>
    <t>BN</t>
  </si>
  <si>
    <t>Restoration Room</t>
  </si>
  <si>
    <t>BO</t>
  </si>
  <si>
    <t>Restroom</t>
  </si>
  <si>
    <t>BP</t>
  </si>
  <si>
    <t>Sales Area</t>
  </si>
  <si>
    <t>BQ</t>
  </si>
  <si>
    <t>Seating Area, General</t>
  </si>
  <si>
    <t>BR</t>
  </si>
  <si>
    <t>Sorting Room</t>
  </si>
  <si>
    <t>BS</t>
  </si>
  <si>
    <t>Stairway</t>
  </si>
  <si>
    <t>BT</t>
  </si>
  <si>
    <t>Values written in blue were added for functionality reasons and are not directly from ASHRAE.</t>
  </si>
  <si>
    <t>Storage Area for Medium to Bulky (Palletized) Items</t>
  </si>
  <si>
    <t>BU</t>
  </si>
  <si>
    <t>Storage Area for Smaller Hand-Carried Items</t>
  </si>
  <si>
    <t>BV</t>
  </si>
  <si>
    <t>Storage Room</t>
  </si>
  <si>
    <t>BW</t>
  </si>
  <si>
    <t>Terminal Ticket Counter</t>
  </si>
  <si>
    <t>BX</t>
  </si>
  <si>
    <t>Vehicular Maintenance Area</t>
  </si>
  <si>
    <t>BY</t>
  </si>
  <si>
    <t>BZ</t>
  </si>
  <si>
    <t>Worship/Pulpit/Choir Area</t>
  </si>
  <si>
    <t>CA</t>
  </si>
  <si>
    <t>Exterior Space Types</t>
  </si>
  <si>
    <t>CB</t>
  </si>
  <si>
    <t>Base Site Allowance</t>
  </si>
  <si>
    <t>Site</t>
  </si>
  <si>
    <t>CC</t>
  </si>
  <si>
    <t>Uncovered Parking Areas and Drives</t>
  </si>
  <si>
    <t>CD</t>
  </si>
  <si>
    <t>Building Grounds, Walkways less than 10' Wide</t>
  </si>
  <si>
    <t>Linear Ft</t>
  </si>
  <si>
    <t>CE</t>
  </si>
  <si>
    <t>Building Grounds, Walkways 10' Wide or Greater</t>
  </si>
  <si>
    <t>Building Grounds, Stairways</t>
  </si>
  <si>
    <t>CG</t>
  </si>
  <si>
    <t>Building Grounds, Pedestrian Tunnels</t>
  </si>
  <si>
    <t>CH</t>
  </si>
  <si>
    <t>Building Entrances, Main Entries</t>
  </si>
  <si>
    <t>Linear Foot of Door Width</t>
  </si>
  <si>
    <t>CI</t>
  </si>
  <si>
    <t>Building Entrances, Other Doors</t>
  </si>
  <si>
    <t>CJ</t>
  </si>
  <si>
    <t>Building Entrances, Entry Canopies</t>
  </si>
  <si>
    <t>CK</t>
  </si>
  <si>
    <t>Sales Canopies</t>
  </si>
  <si>
    <t>CL</t>
  </si>
  <si>
    <t>Outdoor Sales, Open Areas</t>
  </si>
  <si>
    <t>CM</t>
  </si>
  <si>
    <t>Outdoor Sales, Street Frontage</t>
  </si>
  <si>
    <t>Linear Foot of Frontage</t>
  </si>
  <si>
    <t>CN</t>
  </si>
  <si>
    <t>Building Facades</t>
  </si>
  <si>
    <t>S.F. of gross above-grade wall area</t>
  </si>
  <si>
    <t>CO</t>
  </si>
  <si>
    <t>ATM and Night Depositories, First Location</t>
  </si>
  <si>
    <t>Location</t>
  </si>
  <si>
    <t>CP</t>
  </si>
  <si>
    <t>ATM and Night Depositories, Additional Locations</t>
  </si>
  <si>
    <t>CQ</t>
  </si>
  <si>
    <t>Entrances &amp; Gatehouse Inspection Stations at Guarded Facilities</t>
  </si>
  <si>
    <t>CR</t>
  </si>
  <si>
    <t>Loading Areas for Law Enforcement and Emergency Vehicles</t>
  </si>
  <si>
    <t>CS</t>
  </si>
  <si>
    <t>Drive-Up Windows &amp; Doors</t>
  </si>
  <si>
    <t>Drive Through</t>
  </si>
  <si>
    <t>CT</t>
  </si>
  <si>
    <t>Parking Near 24-Hour Retail Entrances</t>
  </si>
  <si>
    <t>Main Entry</t>
  </si>
  <si>
    <t>CU</t>
  </si>
  <si>
    <t>CV</t>
  </si>
  <si>
    <t>Individual Lighting Power Allocances for Building Exteriors
Adapted from IECC 2015 Table C405.4.2(2)</t>
  </si>
  <si>
    <t>CW</t>
  </si>
  <si>
    <t>CX</t>
  </si>
  <si>
    <t>Zone 1</t>
  </si>
  <si>
    <t>Zone 2</t>
  </si>
  <si>
    <t>Zone 3</t>
  </si>
  <si>
    <t>Zone 4</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</si>
  <si>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</si>
  <si>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</si>
  <si>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</si>
  <si>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</si>
  <si>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</si>
  <si>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</si>
  <si>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</si>
  <si>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</si>
  <si>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</si>
  <si>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</si>
  <si>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</si>
  <si>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</si>
  <si>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</si>
  <si>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</si>
  <si>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</si>
  <si>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</si>
  <si>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</si>
  <si>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</si>
  <si>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</si>
  <si>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</si>
  <si>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</si>
  <si>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</si>
  <si>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</si>
  <si>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</si>
  <si>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</si>
  <si>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</si>
  <si>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</si>
  <si>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</si>
  <si>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</si>
  <si>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</si>
  <si>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</si>
  <si>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</si>
  <si>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</si>
  <si>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</si>
  <si>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</si>
  <si>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</si>
  <si>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EK</t>
  </si>
  <si>
    <t>EL</t>
  </si>
  <si>
    <t>EM</t>
  </si>
  <si>
    <t>EN</t>
  </si>
  <si>
    <t>EP</t>
  </si>
  <si>
    <t>EQ</t>
  </si>
  <si>
    <t>ER</t>
  </si>
  <si>
    <t>ES</t>
  </si>
  <si>
    <t>ET</t>
  </si>
  <si>
    <t>EU</t>
  </si>
  <si>
    <t>EW</t>
  </si>
  <si>
    <t>EX</t>
  </si>
  <si>
    <t>EY</t>
  </si>
  <si>
    <t>EZ</t>
  </si>
  <si>
    <t>FA</t>
  </si>
  <si>
    <t>FB</t>
  </si>
  <si>
    <t>FD</t>
  </si>
  <si>
    <t>FE</t>
  </si>
  <si>
    <t>FF</t>
  </si>
  <si>
    <t>FG</t>
  </si>
  <si>
    <t>FH</t>
  </si>
  <si>
    <t>FI</t>
  </si>
  <si>
    <t>FJ</t>
  </si>
  <si>
    <t>FK</t>
  </si>
  <si>
    <t>FL</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</si>
  <si>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</si>
  <si>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</si>
  <si>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</si>
  <si>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</si>
  <si>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</si>
  <si>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</si>
  <si>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</si>
  <si>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</si>
  <si>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</si>
  <si>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</si>
  <si>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</si>
  <si>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</si>
  <si>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</si>
  <si>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</si>
  <si>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</si>
  <si>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</si>
  <si>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</si>
  <si>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</si>
  <si>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</si>
  <si>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</si>
  <si>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</si>
  <si>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</si>
  <si>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</si>
  <si>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</si>
  <si>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</si>
  <si>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</si>
  <si>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</si>
  <si>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</si>
  <si>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</si>
  <si>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</si>
  <si>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</si>
  <si>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</si>
  <si>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</si>
  <si>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</si>
  <si>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</si>
  <si>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</si>
  <si>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</si>
  <si>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</si>
  <si>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</si>
  <si>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</si>
  <si>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</si>
  <si>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</si>
  <si>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</si>
  <si>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</si>
  <si>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</si>
  <si>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</si>
  <si>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</si>
  <si>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</si>
  <si>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</si>
  <si>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</si>
  <si>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</si>
  <si>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</si>
  <si>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</si>
  <si>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</si>
  <si>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</si>
  <si>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</si>
  <si>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</si>
  <si>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</si>
  <si>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</si>
  <si>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</si>
  <si>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</si>
  <si>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</si>
  <si>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</si>
  <si>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</si>
  <si>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</si>
  <si>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</si>
  <si>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</si>
  <si>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</si>
  <si>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</si>
  <si>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</si>
  <si>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</si>
  <si>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</si>
  <si>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</si>
  <si>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</si>
  <si>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</si>
  <si>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</si>
  <si>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</si>
  <si>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</si>
  <si>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</si>
  <si>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</si>
  <si>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</si>
  <si>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</si>
  <si>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</si>
  <si>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</si>
  <si>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</si>
  <si>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</si>
  <si>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</si>
  <si>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</si>
  <si>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</si>
  <si>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</si>
  <si>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</si>
  <si>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</si>
  <si>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</si>
  <si>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</si>
  <si>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</si>
  <si>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</si>
  <si>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</si>
  <si>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</si>
  <si>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</si>
  <si>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</si>
  <si>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</si>
  <si>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</si>
  <si>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</si>
  <si>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</si>
  <si>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</si>
  <si>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</si>
  <si>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</si>
  <si>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</si>
  <si>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</si>
  <si>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</si>
  <si>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</si>
  <si>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</si>
  <si>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</si>
  <si>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</si>
  <si>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</si>
  <si>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</si>
  <si>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</si>
  <si>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</si>
  <si>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</si>
  <si>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</si>
  <si>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</si>
  <si>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</si>
  <si>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</si>
  <si>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</si>
  <si>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</si>
  <si>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</si>
  <si>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</si>
  <si>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</si>
  <si>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</si>
  <si>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</si>
  <si>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</si>
  <si>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</si>
  <si>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</si>
  <si>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</si>
  <si>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</si>
  <si>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</si>
  <si>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</si>
  <si>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</si>
  <si>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</si>
  <si>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</si>
  <si>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</si>
  <si>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</si>
  <si>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</si>
  <si>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</si>
  <si>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</si>
  <si>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</si>
  <si>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</si>
  <si>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</si>
  <si>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LH</t>
  </si>
  <si>
    <t>LI</t>
  </si>
  <si>
    <t>LJ</t>
  </si>
  <si>
    <t>LK</t>
  </si>
  <si>
    <t>LL</t>
  </si>
  <si>
    <t>LM</t>
  </si>
  <si>
    <t>LN</t>
  </si>
  <si>
    <t>LO</t>
  </si>
  <si>
    <t>LP</t>
  </si>
  <si>
    <t>LQ</t>
  </si>
  <si>
    <t>LR</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</si>
  <si>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</si>
  <si>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</si>
  <si>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</si>
  <si>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</si>
  <si>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</si>
  <si>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</si>
  <si>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</si>
  <si>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</si>
  <si>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</si>
  <si>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</si>
  <si>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</si>
  <si>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</si>
  <si>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</si>
  <si>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</si>
  <si>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</si>
  <si>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</si>
  <si>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</si>
  <si>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</si>
  <si>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</si>
  <si>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</si>
  <si>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</si>
  <si>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</si>
  <si>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</si>
  <si>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</si>
  <si>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</si>
  <si>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</si>
  <si>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</si>
  <si>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</si>
  <si>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</si>
  <si>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</si>
  <si>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</si>
  <si>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NA</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</si>
  <si>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</si>
  <si>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</si>
  <si>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</si>
  <si>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</si>
  <si>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</si>
  <si>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</si>
  <si>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</si>
  <si>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</si>
  <si>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</si>
  <si>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</si>
  <si>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</si>
  <si>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</si>
  <si>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</si>
  <si>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</si>
  <si>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</si>
  <si>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</si>
  <si>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</si>
  <si>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</si>
  <si>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</si>
  <si>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</si>
  <si>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</si>
  <si>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</si>
  <si>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</si>
  <si>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</si>
  <si>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</si>
  <si>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</si>
  <si>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</si>
  <si>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</si>
  <si>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</si>
  <si>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</si>
  <si>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</si>
  <si>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</si>
  <si>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</si>
  <si>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</si>
  <si>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</si>
  <si>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</si>
  <si>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</si>
  <si>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</si>
  <si>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</si>
  <si>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</si>
  <si>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</si>
  <si>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</si>
  <si>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</si>
  <si>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</si>
  <si>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</si>
  <si>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</si>
  <si>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</si>
  <si>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OX</t>
  </si>
  <si>
    <t>OY</t>
  </si>
  <si>
    <t>OZ</t>
  </si>
  <si>
    <t>PB</t>
  </si>
  <si>
    <t>PC</t>
  </si>
  <si>
    <t>PD</t>
  </si>
  <si>
    <t>PE</t>
  </si>
  <si>
    <t>PF</t>
  </si>
  <si>
    <t>PG</t>
  </si>
  <si>
    <t>PH</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</si>
  <si>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</si>
  <si>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</si>
  <si>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</si>
  <si>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</si>
  <si>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</si>
  <si>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</si>
  <si>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</si>
  <si>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</si>
  <si>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</si>
  <si>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</si>
  <si>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</si>
  <si>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</si>
  <si>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</si>
  <si>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</si>
  <si>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</si>
  <si>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</si>
  <si>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</si>
  <si>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</si>
  <si>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</si>
  <si>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</si>
  <si>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</si>
  <si>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</si>
  <si>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</si>
  <si>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</si>
  <si>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</si>
  <si>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</si>
  <si>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</si>
  <si>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</si>
  <si>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</si>
  <si>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</si>
  <si>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</si>
  <si>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</si>
  <si>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</si>
  <si>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</si>
  <si>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</si>
  <si>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</si>
  <si>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</si>
  <si>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</si>
  <si>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</si>
  <si>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</si>
  <si>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</si>
  <si>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</si>
  <si>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</si>
  <si>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</si>
  <si>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</si>
  <si>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</si>
  <si>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</si>
  <si>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</si>
  <si>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</si>
  <si>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</si>
  <si>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</si>
  <si>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</si>
  <si>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</si>
  <si>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</si>
  <si>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</si>
  <si>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</si>
  <si>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</si>
  <si>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</si>
  <si>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</si>
  <si>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</si>
  <si>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</si>
  <si>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RS</t>
  </si>
  <si>
    <t>RT</t>
  </si>
  <si>
    <t>RU</t>
  </si>
  <si>
    <t>RV</t>
  </si>
  <si>
    <t>RW</t>
  </si>
  <si>
    <t>RX</t>
  </si>
  <si>
    <t>RY</t>
  </si>
  <si>
    <t>RZ</t>
  </si>
  <si>
    <t>SA</t>
  </si>
  <si>
    <t>SB</t>
  </si>
  <si>
    <t>SC</t>
  </si>
  <si>
    <t>SD</t>
  </si>
  <si>
    <t>SE</t>
  </si>
  <si>
    <t>SF</t>
  </si>
  <si>
    <t>SG</t>
  </si>
  <si>
    <t>SI</t>
  </si>
  <si>
    <t>SJ</t>
  </si>
  <si>
    <t>SK</t>
  </si>
  <si>
    <t>SL</t>
  </si>
  <si>
    <t>SM</t>
  </si>
  <si>
    <t>SN</t>
  </si>
  <si>
    <t>SO</t>
  </si>
  <si>
    <t>SP</t>
  </si>
  <si>
    <t>SQ</t>
  </si>
  <si>
    <t>SR</t>
  </si>
  <si>
    <t>SS</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</si>
  <si>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</si>
  <si>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</si>
  <si>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</si>
  <si>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</si>
  <si>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</si>
  <si>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</si>
  <si>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</si>
  <si>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</si>
  <si>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</si>
  <si>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</si>
  <si>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</si>
  <si>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</si>
  <si>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</si>
  <si>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</si>
  <si>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</si>
  <si>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</si>
  <si>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</si>
  <si>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</si>
  <si>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</si>
  <si>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</si>
  <si>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</si>
  <si>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</si>
  <si>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</si>
  <si>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</si>
  <si>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</si>
  <si>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</si>
  <si>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</si>
  <si>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</si>
  <si>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</si>
  <si>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</si>
  <si>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</si>
  <si>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</si>
  <si>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</si>
  <si>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</si>
  <si>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</si>
  <si>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</si>
  <si>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</si>
  <si>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</si>
  <si>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</si>
  <si>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</si>
  <si>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</si>
  <si>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</si>
  <si>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</si>
  <si>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</si>
  <si>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</si>
  <si>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</si>
  <si>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</si>
  <si>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</si>
  <si>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</si>
  <si>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</si>
  <si>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</si>
  <si>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</si>
  <si>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</si>
  <si>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</si>
  <si>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</si>
  <si>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</si>
  <si>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</si>
  <si>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</si>
  <si>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</si>
  <si>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</si>
  <si>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</si>
  <si>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</si>
  <si>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</si>
  <si>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</si>
  <si>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</si>
  <si>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</si>
  <si>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</si>
  <si>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</si>
  <si>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</si>
  <si>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</si>
  <si>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</si>
  <si>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</si>
  <si>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</si>
  <si>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</si>
  <si>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</si>
  <si>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</si>
  <si>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</si>
  <si>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</si>
  <si>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</si>
  <si>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</si>
  <si>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</si>
  <si>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</si>
  <si>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</si>
  <si>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</si>
  <si>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</si>
  <si>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</si>
  <si>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</si>
  <si>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</si>
  <si>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</si>
  <si>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</si>
  <si>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</si>
  <si>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</si>
  <si>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</si>
  <si>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</si>
  <si>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</si>
  <si>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</si>
  <si>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</si>
  <si>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</si>
  <si>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</si>
  <si>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</si>
  <si>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</si>
  <si>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</si>
  <si>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</si>
  <si>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</si>
  <si>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</si>
  <si>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</si>
  <si>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</si>
  <si>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</si>
  <si>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</si>
  <si>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</si>
  <si>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</si>
  <si>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</si>
  <si>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</si>
  <si>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</si>
  <si>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</si>
  <si>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</si>
  <si>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</si>
  <si>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</si>
  <si>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</si>
  <si>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</si>
  <si>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</si>
  <si>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</si>
  <si>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</si>
  <si>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</si>
  <si>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</si>
  <si>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</si>
  <si>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</si>
  <si>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</si>
  <si>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</si>
  <si>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</si>
  <si>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</si>
  <si>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</si>
  <si>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</si>
  <si>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</si>
  <si>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</si>
  <si>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</si>
  <si>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</si>
  <si>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</si>
  <si>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</si>
  <si>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</si>
  <si>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</si>
  <si>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</si>
  <si>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</si>
  <si>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</si>
  <si>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</si>
  <si>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</si>
  <si>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</si>
  <si>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</si>
  <si>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</si>
  <si>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</si>
  <si>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</si>
  <si>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</si>
  <si>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</si>
  <si>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</si>
  <si>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</si>
  <si>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</si>
  <si>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</si>
  <si>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</si>
  <si>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</si>
  <si>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</si>
  <si>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</si>
  <si>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</si>
  <si>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</si>
  <si>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</si>
  <si>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</si>
  <si>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</si>
  <si>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</si>
  <si>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</si>
  <si>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</si>
  <si>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</si>
  <si>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</si>
  <si>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</si>
  <si>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</si>
  <si>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</si>
  <si>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</si>
  <si>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</si>
  <si>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</si>
  <si>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</si>
  <si>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</si>
  <si>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</si>
  <si>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</si>
  <si>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</si>
  <si>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</si>
  <si>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</si>
  <si>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</si>
  <si>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</si>
  <si>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</si>
  <si>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</si>
  <si>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</si>
  <si>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</si>
  <si>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</si>
  <si>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</si>
  <si>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</si>
  <si>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</si>
  <si>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</si>
  <si>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</si>
  <si>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</si>
  <si>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</si>
  <si>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</si>
  <si>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</si>
  <si>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</si>
  <si>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</si>
  <si>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</si>
  <si>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</si>
  <si>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</si>
  <si>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</si>
  <si>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</si>
  <si>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</si>
  <si>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</si>
  <si>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</si>
  <si>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</si>
  <si>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</si>
  <si>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</si>
  <si>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</si>
  <si>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</si>
  <si>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</si>
  <si>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</si>
  <si>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</si>
  <si>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</si>
  <si>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</si>
  <si>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</si>
  <si>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</si>
  <si>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</si>
  <si>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</si>
  <si>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</si>
  <si>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</si>
  <si>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</si>
  <si>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</si>
  <si>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</si>
  <si>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</si>
  <si>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</si>
  <si>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</si>
  <si>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</si>
  <si>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</si>
  <si>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</si>
  <si>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</si>
  <si>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</si>
  <si>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</si>
  <si>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</si>
  <si>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</si>
  <si>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</si>
  <si>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</si>
  <si>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</si>
  <si>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</si>
  <si>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</si>
  <si>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</si>
  <si>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</si>
  <si>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</si>
  <si>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</si>
  <si>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</si>
  <si>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</si>
  <si>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</si>
  <si>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</si>
  <si>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</si>
  <si>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</si>
  <si>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</si>
  <si>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</si>
  <si>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</si>
  <si>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</si>
  <si>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</si>
  <si>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</si>
  <si>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</si>
  <si>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</si>
  <si>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</si>
  <si>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</si>
  <si>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</si>
  <si>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</si>
  <si>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</si>
  <si>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</si>
  <si>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</si>
  <si>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</si>
  <si>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</si>
  <si>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</si>
  <si>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</si>
  <si>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</si>
  <si>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</si>
  <si>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</si>
  <si>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</si>
  <si>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</si>
  <si>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</si>
  <si>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</si>
  <si>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</si>
  <si>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</si>
  <si>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</si>
  <si>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</si>
  <si>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</si>
  <si>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</si>
  <si>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</si>
  <si>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</si>
  <si>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</si>
  <si>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</si>
  <si>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</si>
  <si>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</si>
  <si>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</si>
  <si>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</si>
  <si>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</si>
  <si>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</si>
  <si>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</si>
  <si>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</si>
  <si>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</si>
  <si>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</si>
  <si>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</si>
  <si>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</si>
  <si>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</si>
  <si>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</si>
  <si>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</si>
  <si>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</si>
  <si>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</si>
  <si>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</si>
  <si>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</si>
  <si>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</si>
  <si>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</si>
  <si>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</si>
  <si>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</si>
  <si>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</si>
  <si>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</si>
  <si>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</si>
  <si>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</si>
  <si>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</si>
  <si>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</si>
  <si>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</si>
  <si>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</si>
  <si>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</si>
  <si>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</si>
  <si>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</si>
  <si>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</si>
  <si>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</si>
  <si>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</si>
  <si>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</si>
  <si>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</si>
  <si>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</si>
  <si>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</si>
  <si>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</si>
  <si>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</si>
  <si>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</si>
  <si>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</si>
  <si>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</si>
  <si>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</si>
  <si>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</si>
  <si>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</si>
  <si>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</si>
  <si>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</si>
  <si>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</si>
  <si>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</si>
  <si>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</si>
  <si>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</si>
  <si>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</si>
  <si>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</si>
  <si>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</si>
  <si>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</si>
  <si>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</si>
  <si>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</si>
  <si>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</si>
  <si>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</si>
  <si>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</si>
  <si>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</si>
  <si>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</si>
  <si>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</si>
  <si>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</si>
  <si>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</si>
  <si>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</si>
  <si>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</si>
  <si>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</si>
  <si>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</si>
  <si>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</si>
  <si>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</si>
  <si>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</si>
  <si>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</si>
  <si>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</si>
  <si>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</si>
  <si>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</si>
  <si>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</si>
  <si>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</si>
  <si>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</si>
  <si>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</si>
  <si>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</si>
  <si>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</si>
  <si>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</si>
  <si>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</si>
  <si>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</si>
  <si>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</si>
  <si>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</si>
  <si>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</si>
  <si>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</si>
  <si>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</si>
  <si>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</si>
  <si>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</si>
  <si>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</si>
  <si>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</si>
  <si>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</si>
  <si>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</si>
  <si>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</si>
  <si>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</si>
  <si>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</si>
  <si>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</si>
  <si>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</si>
  <si>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</si>
  <si>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</si>
  <si>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</si>
  <si>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</si>
  <si>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</si>
  <si>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</si>
  <si>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</si>
  <si>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</si>
  <si>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</si>
  <si>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</si>
  <si>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</si>
  <si>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</si>
  <si>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</si>
  <si>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</si>
  <si>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</si>
  <si>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</si>
  <si>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</si>
  <si>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</si>
  <si>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</si>
  <si>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</si>
  <si>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</si>
  <si>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</si>
  <si>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</si>
  <si>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</si>
  <si>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</si>
  <si>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</si>
  <si>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</si>
  <si>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</si>
  <si>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</si>
  <si>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</si>
  <si>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</si>
  <si>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</si>
  <si>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</si>
  <si>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</si>
  <si>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</si>
  <si>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</si>
  <si>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</si>
  <si>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</si>
  <si>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</si>
  <si>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</si>
  <si>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</si>
  <si>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</si>
  <si>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</si>
  <si>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</si>
  <si>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</si>
  <si>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</si>
  <si>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</si>
  <si>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</si>
  <si>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</si>
  <si>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</si>
  <si>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</si>
  <si>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</si>
  <si>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</si>
  <si>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</si>
  <si>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</si>
  <si>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</si>
  <si>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</si>
  <si>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</si>
  <si>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</si>
  <si>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</si>
  <si>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</si>
  <si>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</si>
  <si>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</si>
  <si>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</si>
  <si>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</si>
  <si>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</si>
  <si>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</si>
  <si>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</si>
  <si>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</si>
  <si>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</si>
  <si>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</si>
  <si>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</si>
  <si>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</si>
  <si>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</si>
  <si>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</si>
  <si>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</si>
  <si>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</si>
  <si>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</si>
  <si>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</si>
  <si>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</si>
  <si>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</si>
  <si>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</si>
  <si>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</si>
  <si>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</si>
  <si>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</si>
  <si>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</si>
  <si>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</si>
  <si>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</si>
  <si>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</si>
  <si>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Default Space Type:</t>
  </si>
  <si>
    <t>Default Air Conditioning Type:</t>
  </si>
  <si>
    <t>Default Operating Hours
(Screw-Based):</t>
  </si>
  <si>
    <t>Default Operating Hours
(Other Service Lighting):</t>
  </si>
  <si>
    <t>Usage Group Schedules</t>
  </si>
  <si>
    <t>Usage Group Custom Schedule Name*</t>
  </si>
  <si>
    <t>Air Conditioning Type
(select from list)*</t>
  </si>
  <si>
    <t>Weekday</t>
  </si>
  <si>
    <t>Holidays Observed Annually*</t>
  </si>
  <si>
    <t>Yearly Operating Weeks*</t>
  </si>
  <si>
    <t>Yearly Unoccupied Peak Weeks*</t>
  </si>
  <si>
    <t>Annual Operating Hours</t>
  </si>
  <si>
    <r>
      <t xml:space="preserve">Usage Group Size
</t>
    </r>
    <r>
      <rPr>
        <b/>
        <i/>
        <sz val="10"/>
        <color theme="0"/>
        <rFont val="Arial"/>
        <family val="2"/>
        <scheme val="minor"/>
      </rPr>
      <t xml:space="preserve">NC Only </t>
    </r>
    <r>
      <rPr>
        <b/>
        <sz val="10"/>
        <color theme="0"/>
        <rFont val="Arial"/>
        <family val="2"/>
        <scheme val="minor"/>
      </rPr>
      <t>(SqFt)*</t>
    </r>
  </si>
  <si>
    <t>Open*</t>
  </si>
  <si>
    <t>Close*</t>
  </si>
  <si>
    <t>2021 TRM Appendix C: Lighting Audit &amp; Design Tool for Commercial and Industrial Projects</t>
  </si>
  <si>
    <t>MANUAL</t>
  </si>
  <si>
    <r>
      <t>T</t>
    </r>
    <r>
      <rPr>
        <b/>
        <sz val="10.5"/>
        <color theme="1"/>
        <rFont val="Arial"/>
        <family val="2"/>
        <scheme val="minor"/>
      </rPr>
      <t xml:space="preserve">ABLE </t>
    </r>
    <r>
      <rPr>
        <b/>
        <sz val="12"/>
        <color theme="1"/>
        <rFont val="Arial"/>
        <family val="2"/>
        <scheme val="minor"/>
      </rPr>
      <t>O</t>
    </r>
    <r>
      <rPr>
        <b/>
        <sz val="10.5"/>
        <color theme="1"/>
        <rFont val="Arial"/>
        <family val="2"/>
        <scheme val="minor"/>
      </rPr>
      <t xml:space="preserve">F </t>
    </r>
    <r>
      <rPr>
        <b/>
        <sz val="12"/>
        <color theme="1"/>
        <rFont val="Arial"/>
        <family val="2"/>
        <scheme val="minor"/>
      </rPr>
      <t>C</t>
    </r>
    <r>
      <rPr>
        <b/>
        <sz val="10.5"/>
        <color theme="1"/>
        <rFont val="Arial"/>
        <family val="2"/>
        <scheme val="minor"/>
      </rPr>
      <t>ONTENTS</t>
    </r>
  </si>
  <si>
    <t>I.</t>
  </si>
  <si>
    <t>Purpose</t>
  </si>
  <si>
    <t>II.</t>
  </si>
  <si>
    <t>Organization</t>
  </si>
  <si>
    <t>III.</t>
  </si>
  <si>
    <t>User Guide</t>
  </si>
  <si>
    <t>IV.</t>
  </si>
  <si>
    <t>Notes</t>
  </si>
  <si>
    <t>V.</t>
  </si>
  <si>
    <t>Disclaimer</t>
  </si>
  <si>
    <r>
      <t>I. P</t>
    </r>
    <r>
      <rPr>
        <b/>
        <sz val="10.5"/>
        <color theme="1"/>
        <rFont val="Arial"/>
        <family val="2"/>
        <scheme val="minor"/>
      </rPr>
      <t>URPOSE</t>
    </r>
  </si>
  <si>
    <t>The purpose of the Lighting Audit &amp; Design Tool is two-fold:</t>
  </si>
  <si>
    <t>1. To document the pre- and post-installation cases of the lighting retrofit.</t>
  </si>
  <si>
    <t>2. To facilitate the calculation of energy and demand reductions for large lighting installations.</t>
  </si>
  <si>
    <r>
      <t>II. O</t>
    </r>
    <r>
      <rPr>
        <b/>
        <sz val="10.5"/>
        <color theme="1"/>
        <rFont val="Arial"/>
        <family val="2"/>
        <scheme val="minor"/>
      </rPr>
      <t>RGANIZATION</t>
    </r>
  </si>
  <si>
    <t>The Lighting Audit &amp; Design Tool is organized into 8 sheets.</t>
  </si>
  <si>
    <t>(1) Manual</t>
  </si>
  <si>
    <r>
      <t>F</t>
    </r>
    <r>
      <rPr>
        <sz val="10.5"/>
        <color theme="1" tint="0.499984740745262"/>
        <rFont val="Arial"/>
        <family val="2"/>
        <scheme val="minor"/>
      </rPr>
      <t xml:space="preserve">OR </t>
    </r>
    <r>
      <rPr>
        <sz val="12"/>
        <color theme="1" tint="0.499984740745262"/>
        <rFont val="Arial"/>
        <family val="2"/>
        <scheme val="minor"/>
      </rPr>
      <t>R</t>
    </r>
    <r>
      <rPr>
        <sz val="10.5"/>
        <color theme="1" tint="0.499984740745262"/>
        <rFont val="Arial"/>
        <family val="2"/>
        <scheme val="minor"/>
      </rPr>
      <t xml:space="preserve">EFERENCE </t>
    </r>
    <r>
      <rPr>
        <sz val="12"/>
        <color theme="1" tint="0.499984740745262"/>
        <rFont val="Arial"/>
        <family val="2"/>
        <scheme val="minor"/>
      </rPr>
      <t>O</t>
    </r>
    <r>
      <rPr>
        <sz val="10.5"/>
        <color theme="1" tint="0.499984740745262"/>
        <rFont val="Arial"/>
        <family val="2"/>
        <scheme val="minor"/>
      </rPr>
      <t>NLY</t>
    </r>
  </si>
  <si>
    <t>The "Manual" sheet contains the instructions for using the Lighting Audit &amp; Design Tool.</t>
  </si>
  <si>
    <t>(2) Changelog</t>
  </si>
  <si>
    <t>The "Changelog" sheet provides an itemized list of major changes from the previous version of the tool.</t>
  </si>
  <si>
    <t>(3) Glossary</t>
  </si>
  <si>
    <t>The "Glossary" sheet defines key inputs and outputs by column heading for all tabs accepting user inputs. This sheet should be consulted in the event that the user cannot determine what is being asked or presented in any of the fields requiring input or providing outputs.</t>
  </si>
  <si>
    <t>(4) General Information</t>
  </si>
  <si>
    <r>
      <t>U</t>
    </r>
    <r>
      <rPr>
        <sz val="10.5"/>
        <color theme="5" tint="-0.249977111117893"/>
        <rFont val="Arial"/>
        <family val="2"/>
        <scheme val="minor"/>
      </rPr>
      <t xml:space="preserve">SER </t>
    </r>
    <r>
      <rPr>
        <sz val="12"/>
        <color theme="5" tint="-0.249977111117893"/>
        <rFont val="Arial"/>
        <family val="2"/>
        <scheme val="minor"/>
      </rPr>
      <t>I</t>
    </r>
    <r>
      <rPr>
        <sz val="10.5"/>
        <color theme="5" tint="-0.249977111117893"/>
        <rFont val="Arial"/>
        <family val="2"/>
        <scheme val="minor"/>
      </rPr>
      <t xml:space="preserve">NPUT </t>
    </r>
    <r>
      <rPr>
        <sz val="12"/>
        <color theme="5" tint="-0.249977111117893"/>
        <rFont val="Arial"/>
        <family val="2"/>
        <scheme val="minor"/>
      </rPr>
      <t>R</t>
    </r>
    <r>
      <rPr>
        <sz val="10.5"/>
        <color theme="5" tint="-0.249977111117893"/>
        <rFont val="Arial"/>
        <family val="2"/>
        <scheme val="minor"/>
      </rPr>
      <t>EQUIRED</t>
    </r>
  </si>
  <si>
    <t>The "General Information" sheet is where the user identifies facility-specific details of the project that have an effect on the calculation of gross savings. Facility-specific details include such things as contact information, electric utility, building area information, and operating schedule.</t>
  </si>
  <si>
    <t>(5) Lighting Inventory</t>
  </si>
  <si>
    <t>The "Lighting Inventory" sheet is the main worksheet that calculates energy savings and peak demand reduction for the user-specified lighting fixture and controls improvements. This form follows the conventions and equations described in the PA TRM and facilitates the calculation of gross savings for implementation and evaluation purposes. All key variable are entered on this sheet.</t>
  </si>
  <si>
    <t>(6) Fixture Identities</t>
  </si>
  <si>
    <r>
      <t>F</t>
    </r>
    <r>
      <rPr>
        <sz val="10.5"/>
        <color theme="1" tint="0.499984740745262"/>
        <rFont val="Arial"/>
        <family val="2"/>
        <scheme val="minor"/>
      </rPr>
      <t>OR</t>
    </r>
    <r>
      <rPr>
        <sz val="12"/>
        <color theme="1" tint="0.499984740745262"/>
        <rFont val="Arial"/>
        <family val="2"/>
        <scheme val="minor"/>
      </rPr>
      <t xml:space="preserve"> R</t>
    </r>
    <r>
      <rPr>
        <sz val="10.5"/>
        <color theme="1" tint="0.499984740745262"/>
        <rFont val="Arial"/>
        <family val="2"/>
        <scheme val="minor"/>
      </rPr>
      <t>EFERENCE</t>
    </r>
    <r>
      <rPr>
        <sz val="12"/>
        <color theme="1" tint="0.499984740745262"/>
        <rFont val="Arial"/>
        <family val="2"/>
        <scheme val="minor"/>
      </rPr>
      <t xml:space="preserve"> O</t>
    </r>
    <r>
      <rPr>
        <sz val="10.5"/>
        <color theme="1" tint="0.499984740745262"/>
        <rFont val="Arial"/>
        <family val="2"/>
        <scheme val="minor"/>
      </rPr>
      <t>NLY</t>
    </r>
    <r>
      <rPr>
        <sz val="12"/>
        <color theme="1" tint="0.499984740745262"/>
        <rFont val="Arial"/>
        <family val="2"/>
        <scheme val="minor"/>
      </rPr>
      <t xml:space="preserve"> / </t>
    </r>
    <r>
      <rPr>
        <sz val="12"/>
        <color theme="5" tint="-0.249977111117893"/>
        <rFont val="Arial"/>
        <family val="2"/>
        <scheme val="minor"/>
      </rPr>
      <t>U</t>
    </r>
    <r>
      <rPr>
        <sz val="10.5"/>
        <color theme="5" tint="-0.249977111117893"/>
        <rFont val="Arial"/>
        <family val="2"/>
        <scheme val="minor"/>
      </rPr>
      <t>SER</t>
    </r>
    <r>
      <rPr>
        <sz val="12"/>
        <color theme="5" tint="-0.249977111117893"/>
        <rFont val="Arial"/>
        <family val="2"/>
        <scheme val="minor"/>
      </rPr>
      <t xml:space="preserve"> I</t>
    </r>
    <r>
      <rPr>
        <sz val="10.5"/>
        <color theme="5" tint="-0.249977111117893"/>
        <rFont val="Arial"/>
        <family val="2"/>
        <scheme val="minor"/>
      </rPr>
      <t>NPUT</t>
    </r>
    <r>
      <rPr>
        <sz val="12"/>
        <color theme="5" tint="-0.249977111117893"/>
        <rFont val="Arial"/>
        <family val="2"/>
        <scheme val="minor"/>
      </rPr>
      <t xml:space="preserve"> R</t>
    </r>
    <r>
      <rPr>
        <sz val="10.5"/>
        <color theme="5" tint="-0.249977111117893"/>
        <rFont val="Arial"/>
        <family val="2"/>
        <scheme val="minor"/>
      </rPr>
      <t>EQUIRED</t>
    </r>
    <r>
      <rPr>
        <sz val="12"/>
        <color theme="5" tint="-0.249977111117893"/>
        <rFont val="Arial"/>
        <family val="2"/>
        <scheme val="minor"/>
      </rPr>
      <t xml:space="preserve"> F</t>
    </r>
    <r>
      <rPr>
        <sz val="10.5"/>
        <color theme="5" tint="-0.249977111117893"/>
        <rFont val="Arial"/>
        <family val="2"/>
        <scheme val="minor"/>
      </rPr>
      <t>OR</t>
    </r>
    <r>
      <rPr>
        <sz val="12"/>
        <color theme="5" tint="-0.249977111117893"/>
        <rFont val="Arial"/>
        <family val="2"/>
        <scheme val="minor"/>
      </rPr>
      <t xml:space="preserve"> C</t>
    </r>
    <r>
      <rPr>
        <sz val="10.5"/>
        <color theme="5" tint="-0.249977111117893"/>
        <rFont val="Arial"/>
        <family val="2"/>
        <scheme val="minor"/>
      </rPr>
      <t>USTOM</t>
    </r>
    <r>
      <rPr>
        <sz val="12"/>
        <color theme="5" tint="-0.249977111117893"/>
        <rFont val="Arial"/>
        <family val="2"/>
        <scheme val="minor"/>
      </rPr>
      <t xml:space="preserve"> A</t>
    </r>
    <r>
      <rPr>
        <sz val="10.5"/>
        <color theme="5" tint="-0.249977111117893"/>
        <rFont val="Arial"/>
        <family val="2"/>
        <scheme val="minor"/>
      </rPr>
      <t>ND</t>
    </r>
    <r>
      <rPr>
        <sz val="12"/>
        <color theme="5" tint="-0.249977111117893"/>
        <rFont val="Arial"/>
        <family val="2"/>
        <scheme val="minor"/>
      </rPr>
      <t xml:space="preserve"> LED F</t>
    </r>
    <r>
      <rPr>
        <sz val="10.5"/>
        <color theme="5" tint="-0.249977111117893"/>
        <rFont val="Arial"/>
        <family val="2"/>
        <scheme val="minor"/>
      </rPr>
      <t>IXTURES</t>
    </r>
  </si>
  <si>
    <t>The "Fixture Identities" sheet contains the master list of fixtures recognized by the Lighting Audit &amp; Design Tool. Each allowable fixture has a unique fixture code, description, and stipulated wattage value. The sheet has filtering functions enabled so users can search for specific fixture codes by any of the associated parameters. The sheet also has input fields for custom fixture codes and non-integrated ballast LEDs that must be accompanied by cut sheets. Note that inclusion of a fixture in this table does not guarantee compliance with specific program requirements.</t>
  </si>
  <si>
    <t>(7) Summary</t>
  </si>
  <si>
    <t>The "Summary" sheet contains an overview of the customer information, the quantities of measures installed, and the associated total savings achieved by the project.</t>
  </si>
  <si>
    <t>(8) Lookups</t>
  </si>
  <si>
    <t>The "Lookups" sheet contains reference tables that are used by the tool to assign associated values to selected parameters within the sheets where user input is required.</t>
  </si>
  <si>
    <r>
      <t>III. U</t>
    </r>
    <r>
      <rPr>
        <b/>
        <sz val="10.5"/>
        <color theme="1"/>
        <rFont val="Arial"/>
        <family val="2"/>
        <scheme val="minor"/>
      </rPr>
      <t xml:space="preserve">SER </t>
    </r>
    <r>
      <rPr>
        <b/>
        <sz val="12"/>
        <color theme="1"/>
        <rFont val="Arial"/>
        <family val="2"/>
        <scheme val="minor"/>
      </rPr>
      <t>G</t>
    </r>
    <r>
      <rPr>
        <b/>
        <sz val="10.5"/>
        <color theme="1"/>
        <rFont val="Arial"/>
        <family val="2"/>
        <scheme val="minor"/>
      </rPr>
      <t>UIDE</t>
    </r>
  </si>
  <si>
    <t>1. This tool is required for projects over 20 kW of connected load savings to facilitate calculation of savings pursuant to the PA TRM. Use of this tool for projects under 20 kW should conform to EDC program rules. Consult the TRM for clarification on rules for calculating savings.</t>
  </si>
  <si>
    <r>
      <t xml:space="preserve">2. Begin at the </t>
    </r>
    <r>
      <rPr>
        <sz val="12"/>
        <color rgb="FF0070CD"/>
        <rFont val="Arial"/>
        <family val="2"/>
        <scheme val="minor"/>
      </rPr>
      <t>"Project / Site Information"</t>
    </r>
    <r>
      <rPr>
        <i/>
        <sz val="12"/>
        <color rgb="FF0070CD"/>
        <rFont val="Arial"/>
        <family val="2"/>
        <scheme val="minor"/>
      </rPr>
      <t xml:space="preserve"> </t>
    </r>
    <r>
      <rPr>
        <sz val="12"/>
        <color theme="1"/>
        <rFont val="Arial"/>
        <family val="2"/>
        <scheme val="minor"/>
      </rPr>
      <t xml:space="preserve">portion of the </t>
    </r>
    <r>
      <rPr>
        <b/>
        <sz val="12"/>
        <color theme="1"/>
        <rFont val="Arial"/>
        <family val="2"/>
        <scheme val="minor"/>
      </rPr>
      <t>"General Information"</t>
    </r>
    <r>
      <rPr>
        <sz val="12"/>
        <color theme="1"/>
        <rFont val="Arial"/>
        <family val="2"/>
        <scheme val="minor"/>
      </rPr>
      <t xml:space="preserve"> tab, filling in all orange cells. For more detailed information on any of the requirements of the input cells available in this section, select the heading from the full list below, or use the search function in the </t>
    </r>
    <r>
      <rPr>
        <b/>
        <sz val="12"/>
        <color theme="1"/>
        <rFont val="Arial"/>
        <family val="2"/>
        <scheme val="minor"/>
      </rPr>
      <t>"Glossary"</t>
    </r>
    <r>
      <rPr>
        <sz val="12"/>
        <color theme="1"/>
        <rFont val="Arial"/>
        <family val="2"/>
        <scheme val="minor"/>
      </rPr>
      <t xml:space="preserve"> tab.</t>
    </r>
  </si>
  <si>
    <t>G:D13</t>
  </si>
  <si>
    <t>Applicant Name</t>
  </si>
  <si>
    <t>For cell D13, "Applicant Name", specify the name of the applicant as corroborated by the submitted W9.</t>
  </si>
  <si>
    <t>Phone</t>
  </si>
  <si>
    <t>For cell D20, "Phone", designate the phone number where the designated contact can be reached.</t>
  </si>
  <si>
    <t>G:D14</t>
  </si>
  <si>
    <t>Facility Name</t>
  </si>
  <si>
    <t>For cell D14, "Facility Name", specify a name of the facility in question for reference in the event that the applicant will be submitting applications for multiple facilities within one program year.</t>
  </si>
  <si>
    <t>Email</t>
  </si>
  <si>
    <t>For cell D21, "Email", designate the email address where the designated contact can be reached.</t>
  </si>
  <si>
    <t>G:D16</t>
  </si>
  <si>
    <t>Address</t>
  </si>
  <si>
    <t>For cell D16, "Address", specify the address at which the project takes place.</t>
  </si>
  <si>
    <t>For cell D23, "ASHRAE Facility Type", select the option from the drop-down menu that best describes the usage of the facility.</t>
  </si>
  <si>
    <t>G:D17</t>
  </si>
  <si>
    <t>City</t>
  </si>
  <si>
    <t>For cell D17, "City", specify the city in which the facility is located.</t>
  </si>
  <si>
    <t>Construction Type</t>
  </si>
  <si>
    <t>For cell D24, "Construction Type", specify whether this project is for a lighting retrofit project or for new construction.</t>
  </si>
  <si>
    <t>G:H17</t>
  </si>
  <si>
    <t>State</t>
  </si>
  <si>
    <t>For cell H17, "State", specify the state in which the facility is located.</t>
  </si>
  <si>
    <t>Facility Size</t>
  </si>
  <si>
    <t>For cell D25, "Facility Size", specify the total square footage of the facility at which the project occurs. This field is optional for retrofit applications.</t>
  </si>
  <si>
    <t>G:J17</t>
  </si>
  <si>
    <t>Zip</t>
  </si>
  <si>
    <t>For cell J17, "Zip", specify the zip code in which the facility is located.</t>
  </si>
  <si>
    <t>Installation Date</t>
  </si>
  <si>
    <t>For cell I25, "Heating Fuel Type", specify whether the facility is serviced by gas or electric heat.</t>
  </si>
  <si>
    <t>G:D18</t>
  </si>
  <si>
    <t>Utility</t>
  </si>
  <si>
    <t>For cell D18, "Utility", specify the electric distribution company who services the facility.</t>
  </si>
  <si>
    <t>HOU/CF Source</t>
  </si>
  <si>
    <t>For cell D26, "Installation Date", specify the completion (or expected completion) date of the project.</t>
  </si>
  <si>
    <t>G:H18</t>
  </si>
  <si>
    <t>Account No.</t>
  </si>
  <si>
    <t>For cell H18, "Account No.", specify the account number on record with electric distributing company. If this is a pre-application for a new construction project, and service has not yet been connect, input "TBD".</t>
  </si>
  <si>
    <t>Facility for the Visually Impaired</t>
  </si>
  <si>
    <t>For cell I26, "HOU/CF Source", specify whether this project will be evaluated using TRM-deemed hours of use and coincidence factors, or if custom operating schedules will be designated.</t>
  </si>
  <si>
    <t>G:D19</t>
  </si>
  <si>
    <t>Contact Name and Title</t>
  </si>
  <si>
    <t>For cell D19, "Contact Name and Title", designate the person who should be contacted in the event that there are any questions regarding this application.</t>
  </si>
  <si>
    <t>Exterior Lighting Zone</t>
  </si>
  <si>
    <t>G:I27</t>
  </si>
  <si>
    <t>Small Business Direct Install</t>
  </si>
  <si>
    <t>For cell I27, indicate whether or not this is a small business direct install project. Selecting "Yes" will disable the T12 baseline adjustment feature.</t>
  </si>
  <si>
    <t>G:D20</t>
  </si>
  <si>
    <t>G:D21</t>
  </si>
  <si>
    <t>G:D23</t>
  </si>
  <si>
    <t>ASHRAE Facility Type</t>
  </si>
  <si>
    <t>G:D24</t>
  </si>
  <si>
    <t>G:D25</t>
  </si>
  <si>
    <t>G:D26</t>
  </si>
  <si>
    <t>G:I26</t>
  </si>
  <si>
    <t>For cell I26, "HOU/CF Source", specify whether this project will be evaluated using TRM-specified hours of use and coincidence factors, or if custom operating schedules will be designated.</t>
  </si>
  <si>
    <t>G:I28</t>
  </si>
  <si>
    <t>For cell I28, "Does this facility service the visually impaired?", specify whether this facility services people with visual impairments. This is needed to determine the appropriate ASHRAE LPD.</t>
  </si>
  <si>
    <t>G:I29</t>
  </si>
  <si>
    <t>For cell I29, "Which exterior lighting zone describes your project?", specify the ASHRAE Exterior Lighting Zone to which this building belongs. This is needed to determine the appropriate ASHRAE minimum LPD allowance for exterior fixtures.</t>
  </si>
  <si>
    <t>F:K9</t>
  </si>
  <si>
    <t>For cell K9, input the cut sheet verified wattage for the custom LED fixture.</t>
  </si>
  <si>
    <t>F:F932</t>
  </si>
  <si>
    <t>For cell F932, input the description of the custom lighting fixture as corresponds to the submitted cut sheet.</t>
  </si>
  <si>
    <t>F:K932</t>
  </si>
  <si>
    <t>For cell K932, input the cut sheet verified wattage of the custom fixture.</t>
  </si>
  <si>
    <t>F:M932</t>
  </si>
  <si>
    <t>For cell M932, input the load shape under which the custom fixture type should be evaluated. Only screw-in LEDs and CFLs should be listed as "Screw-in". All other bulb types should be evaluated under the "General" lighting load shape.</t>
  </si>
  <si>
    <r>
      <t xml:space="preserve">3. Use the </t>
    </r>
    <r>
      <rPr>
        <sz val="12"/>
        <color rgb="FF0070CD"/>
        <rFont val="Arial"/>
        <family val="2"/>
        <scheme val="minor"/>
      </rPr>
      <t>"Space Type Details"</t>
    </r>
    <r>
      <rPr>
        <i/>
        <sz val="12"/>
        <color rgb="FF0070CD"/>
        <rFont val="Arial"/>
        <family val="2"/>
        <scheme val="minor"/>
      </rPr>
      <t xml:space="preserve"> </t>
    </r>
    <r>
      <rPr>
        <sz val="12"/>
        <color theme="1"/>
        <rFont val="Arial"/>
        <family val="2"/>
        <scheme val="minor"/>
      </rPr>
      <t xml:space="preserve">portion of the </t>
    </r>
    <r>
      <rPr>
        <b/>
        <sz val="12"/>
        <color theme="1"/>
        <rFont val="Arial"/>
        <family val="2"/>
        <scheme val="minor"/>
      </rPr>
      <t>"General Information"</t>
    </r>
    <r>
      <rPr>
        <sz val="12"/>
        <color theme="1"/>
        <rFont val="Arial"/>
        <family val="2"/>
        <scheme val="minor"/>
      </rPr>
      <t xml:space="preserve"> tab to group fixtures into spaces with similar usages, hours of operation, and cooling type. For more detailed information on any of the requirements of the input cells available, or any of the calculated values in this section, select the heading from the full list below, or use the search function in the </t>
    </r>
    <r>
      <rPr>
        <b/>
        <sz val="12"/>
        <color theme="1"/>
        <rFont val="Arial"/>
        <family val="2"/>
        <scheme val="minor"/>
      </rPr>
      <t>"Glossary"</t>
    </r>
    <r>
      <rPr>
        <sz val="12"/>
        <color theme="1"/>
        <rFont val="Arial"/>
        <family val="2"/>
        <scheme val="minor"/>
      </rPr>
      <t xml:space="preserve"> tab.</t>
    </r>
  </si>
  <si>
    <t>G:D38</t>
  </si>
  <si>
    <t>Calculation Method</t>
  </si>
  <si>
    <t>Cell D38, "Calculation Method", is only applicable in the event that the application is for a New Construction project. In this case, specify whether the project should be evaluated using the "Space-by-Space Method" or the "Building Area Method".</t>
  </si>
  <si>
    <t>G:C42</t>
  </si>
  <si>
    <t>For cells C42 through C61, "Space Designation", provide a name for  the space described in the details of subsequent columns.</t>
  </si>
  <si>
    <t>G:D42</t>
  </si>
  <si>
    <t>For cells D42 through D61, "Space Type", select the option from the drop-down menu that best describes the usage of the designated space type. These space types will be the only spaces available on the lighting inventory sheet, so be sure to include all spaces included in the project.</t>
  </si>
  <si>
    <t>G:J42</t>
  </si>
  <si>
    <t>For cells J42 through J61, "Schedule", which schedule will be used to evaluate this space type. The user can either select to use TRM-deemed values, or a custom schedule as created in the table below. Note that in the event of custom schedules, the user will need to create the custom schedules in step 4 before they are available for selection in step 3.</t>
  </si>
  <si>
    <t>G:N42</t>
  </si>
  <si>
    <t>For cells N42 through N61, "Cooling Type", select the option from the drop-down menu that best describes the cooling type of the designated space type.</t>
  </si>
  <si>
    <t>G:O42</t>
  </si>
  <si>
    <t>Heating Fuel Type</t>
  </si>
  <si>
    <t>For cells O42 through O61, "Heating Fuel Type", select the option from the drop-down menu that best describes the heating fuel type of the designated space type.</t>
  </si>
  <si>
    <t>G:P42</t>
  </si>
  <si>
    <t>For cells P42 through P61, "Qty. of Units", specify the number of units (defined in column Q) included in the designated space type.</t>
  </si>
  <si>
    <t>G:R42</t>
  </si>
  <si>
    <t>Cells R42 through R61, "Units", display the ASHRAE designated units for calculating wattage allowance for the space type selected.</t>
  </si>
  <si>
    <t>G:U42</t>
  </si>
  <si>
    <t>Wattage Allowance Per Unit</t>
  </si>
  <si>
    <t>Cells U42 through U61, "Wattage Allowance per Unit", display the ASHRAE designated allowable wattage per the unit described in column Q for calculating wattage allowance for the space type selected.</t>
  </si>
  <si>
    <t>G:O38</t>
  </si>
  <si>
    <t>Allowable Watts</t>
  </si>
  <si>
    <t>Cell O38, "Allowable Watts", displays the ASHRAE allowable total wattage for the facility based on the space details provided.</t>
  </si>
  <si>
    <t>G:X42</t>
  </si>
  <si>
    <t>Atrium Height</t>
  </si>
  <si>
    <t>Cells X42 through X61, "Atrium Height", for atrium space types enter the height of the atrium in feet.</t>
  </si>
  <si>
    <r>
      <t xml:space="preserve">4. Use the </t>
    </r>
    <r>
      <rPr>
        <sz val="12"/>
        <color rgb="FF0070CD"/>
        <rFont val="Arial"/>
        <family val="2"/>
        <scheme val="minor"/>
      </rPr>
      <t>"Custom Lighting Operation Schedules"</t>
    </r>
    <r>
      <rPr>
        <i/>
        <sz val="12"/>
        <color rgb="FF0070CD"/>
        <rFont val="Arial"/>
        <family val="2"/>
        <scheme val="minor"/>
      </rPr>
      <t xml:space="preserve"> </t>
    </r>
    <r>
      <rPr>
        <sz val="12"/>
        <color theme="1"/>
        <rFont val="Arial"/>
        <family val="2"/>
        <scheme val="minor"/>
      </rPr>
      <t xml:space="preserve">portion of the </t>
    </r>
    <r>
      <rPr>
        <b/>
        <sz val="12"/>
        <color theme="1"/>
        <rFont val="Arial"/>
        <family val="2"/>
        <scheme val="minor"/>
      </rPr>
      <t>"General Information"</t>
    </r>
    <r>
      <rPr>
        <sz val="12"/>
        <color theme="1"/>
        <rFont val="Arial"/>
        <family val="2"/>
        <scheme val="minor"/>
      </rPr>
      <t xml:space="preserve"> tab to create custom HOU and CF assumptions in the event that the TRM-deemed values are not a good fit. For more detailed information on any of the requirements of the input cells available, or any of the calculated values in this section, select the heading from the full list below, or use the search function in the</t>
    </r>
    <r>
      <rPr>
        <b/>
        <sz val="12"/>
        <color theme="1"/>
        <rFont val="Arial"/>
        <family val="2"/>
        <scheme val="minor"/>
      </rPr>
      <t xml:space="preserve"> "Glossary"</t>
    </r>
    <r>
      <rPr>
        <sz val="12"/>
        <color theme="1"/>
        <rFont val="Arial"/>
        <family val="2"/>
        <scheme val="minor"/>
      </rPr>
      <t xml:space="preserve"> tab.</t>
    </r>
  </si>
  <si>
    <t>G:S15</t>
  </si>
  <si>
    <t>For cells R15 through AD15, "Schedule Designation", specify a name for the custom schedule being designated in the cells below.</t>
  </si>
  <si>
    <t>G:S17</t>
  </si>
  <si>
    <t>Each row in the "On" column represents the time at which the lights are turned on for the specified scheduled during the specified day of the week. The time should be entered in 24-hr. format.</t>
  </si>
  <si>
    <t>G:T17</t>
  </si>
  <si>
    <t>Each row in the "Off" column represents the time at which the lights are turned off for the specified scheduled during the specified day of the week. The time should be entered in 24-hr. format.</t>
  </si>
  <si>
    <t>G:S27</t>
  </si>
  <si>
    <t>Each "Hours of Use" cell calculates the annual hours of use associated with the custom schedule input in the cells above. As the formula for calculating Hours of Use in this fashion is hours*day*weeks, and (24)* (7) * (52) does NOT equal 8,760, the HOU includes an adjustment factor to appropriately annualize the usage based on this calculation method.</t>
  </si>
  <si>
    <t>G:S28</t>
  </si>
  <si>
    <t>Each "Coincidence Factor" cell calculates the percentage of the designated peak hours that the lights will be operational according to the custom schedule input in the cells above. Intermediate calculations for this cell can be found starting in row 57.</t>
  </si>
  <si>
    <t>G:AG27</t>
  </si>
  <si>
    <t>Screw-In HOU</t>
  </si>
  <si>
    <t>Cell AF27, "Screw-In Hours of Use", displays the TRM-deemed hours of use associated with screw-in bulbs for the building type selected.</t>
  </si>
  <si>
    <t>G:AG28</t>
  </si>
  <si>
    <t>Screw-In CF</t>
  </si>
  <si>
    <t>Cell AF28, "Screw-In CF", displays the TRM-deemed coincidence factor associated with screw-in bulbs for the building type selected.</t>
  </si>
  <si>
    <t>G:AH27</t>
  </si>
  <si>
    <t>General HOU</t>
  </si>
  <si>
    <t>Cell AG27, "General Hours of Use", displays the TRM-deemed hours of use associated with general service bulbs for the building type selected.</t>
  </si>
  <si>
    <t>G:AH28</t>
  </si>
  <si>
    <t>General CF</t>
  </si>
  <si>
    <t>Cell AG28, "General Coincidence Factor", displays the TRM-deemed coincidence factor associated with general service bulbs for the building type selected.</t>
  </si>
  <si>
    <t>G:S24</t>
  </si>
  <si>
    <t>For each "Holidays Observed Annually" cell, specify the number of days the facility shuts down completely for the given schedule.</t>
  </si>
  <si>
    <t>G:S25</t>
  </si>
  <si>
    <t>For each "Yearly Operating Weeks" cell, specify the number of weeks the facility operates at the given custom schedule.</t>
  </si>
  <si>
    <t>G:S26</t>
  </si>
  <si>
    <t>For each "Unoccupied Peak Weeks" cell, specify the number of weeks the facility is closed during the months of June, July, and August for the given custom schedule.</t>
  </si>
  <si>
    <r>
      <t xml:space="preserve">5. Once all information has been input into the </t>
    </r>
    <r>
      <rPr>
        <b/>
        <sz val="12"/>
        <color theme="1"/>
        <rFont val="Arial"/>
        <family val="2"/>
        <scheme val="minor"/>
      </rPr>
      <t>"General Information"</t>
    </r>
    <r>
      <rPr>
        <sz val="12"/>
        <color theme="1"/>
        <rFont val="Arial"/>
        <family val="2"/>
        <scheme val="minor"/>
      </rPr>
      <t xml:space="preserve"> tab, move onto the </t>
    </r>
    <r>
      <rPr>
        <b/>
        <sz val="12"/>
        <color theme="1"/>
        <rFont val="Arial"/>
        <family val="2"/>
        <scheme val="minor"/>
      </rPr>
      <t>"Lighting Inventory"</t>
    </r>
    <r>
      <rPr>
        <sz val="12"/>
        <color theme="1"/>
        <rFont val="Arial"/>
        <family val="2"/>
        <scheme val="minor"/>
      </rPr>
      <t xml:space="preserve"> tab.</t>
    </r>
  </si>
  <si>
    <t>a)</t>
  </si>
  <si>
    <t>Complete the orange cells for each line item. Each line item represents fixtures in a discrete area sharing a common baseline fixture, retrofit fixture, controls type, hours of use, coincidence factor, and space cooling type. Fixtures with different entries for any of these categories must be on separate lines. Each line entry must be definitive enough to allow verification of fixture counts in well delineated and discrete areas.</t>
  </si>
  <si>
    <t>L:C1</t>
  </si>
  <si>
    <t>b)</t>
  </si>
  <si>
    <r>
      <t xml:space="preserve">For Column C, </t>
    </r>
    <r>
      <rPr>
        <sz val="12"/>
        <color rgb="FF0070CD"/>
        <rFont val="Arial"/>
        <family val="2"/>
        <scheme val="minor"/>
      </rPr>
      <t>"Space Type"</t>
    </r>
    <r>
      <rPr>
        <sz val="12"/>
        <color theme="1"/>
        <rFont val="Arial"/>
        <family val="2"/>
        <scheme val="minor"/>
      </rPr>
      <t xml:space="preserve">, select the space designation previously defined on the </t>
    </r>
    <r>
      <rPr>
        <b/>
        <sz val="12"/>
        <color theme="1"/>
        <rFont val="Arial"/>
        <family val="2"/>
        <scheme val="minor"/>
      </rPr>
      <t>"General Information"</t>
    </r>
    <r>
      <rPr>
        <sz val="12"/>
        <color theme="1"/>
        <rFont val="Arial"/>
        <family val="2"/>
        <scheme val="minor"/>
      </rPr>
      <t xml:space="preserve"> tab where the specified fixtures where be installed. This will auto-populate the corresponding IF</t>
    </r>
    <r>
      <rPr>
        <vertAlign val="subscript"/>
        <sz val="12"/>
        <color theme="1"/>
        <rFont val="Arial"/>
        <family val="2"/>
        <scheme val="minor"/>
      </rPr>
      <t>energy</t>
    </r>
    <r>
      <rPr>
        <sz val="12"/>
        <color theme="1"/>
        <rFont val="Arial"/>
        <family val="2"/>
        <scheme val="minor"/>
      </rPr>
      <t xml:space="preserve"> and IF</t>
    </r>
    <r>
      <rPr>
        <vertAlign val="subscript"/>
        <sz val="12"/>
        <color theme="1"/>
        <rFont val="Arial"/>
        <family val="2"/>
        <scheme val="minor"/>
      </rPr>
      <t>demand</t>
    </r>
    <r>
      <rPr>
        <sz val="12"/>
        <color theme="1"/>
        <rFont val="Arial"/>
        <family val="2"/>
        <scheme val="minor"/>
      </rPr>
      <t xml:space="preserve"> values in Columns V and W. </t>
    </r>
    <r>
      <rPr>
        <sz val="12"/>
        <color theme="5" tint="-0.249977111117893"/>
        <rFont val="Arial"/>
        <family val="2"/>
        <scheme val="minor"/>
      </rPr>
      <t xml:space="preserve">Only space types previously defined on the </t>
    </r>
    <r>
      <rPr>
        <b/>
        <sz val="12"/>
        <color theme="5" tint="-0.249977111117893"/>
        <rFont val="Arial"/>
        <family val="2"/>
        <scheme val="minor"/>
      </rPr>
      <t>"General Information"</t>
    </r>
    <r>
      <rPr>
        <sz val="12"/>
        <color theme="5" tint="-0.249977111117893"/>
        <rFont val="Arial"/>
        <family val="2"/>
        <scheme val="minor"/>
      </rPr>
      <t xml:space="preserve"> tab will be available for selection in Column C.</t>
    </r>
  </si>
  <si>
    <t>L:D1</t>
  </si>
  <si>
    <t>c)</t>
  </si>
  <si>
    <r>
      <t xml:space="preserve">Column D, </t>
    </r>
    <r>
      <rPr>
        <sz val="12"/>
        <color rgb="FF0070CD"/>
        <rFont val="Arial"/>
        <family val="2"/>
        <scheme val="minor"/>
      </rPr>
      <t>"Space Details"</t>
    </r>
    <r>
      <rPr>
        <sz val="12"/>
        <color theme="1"/>
        <rFont val="Arial"/>
        <family val="2"/>
        <scheme val="minor"/>
      </rPr>
      <t>, is optional and can be used to differentiate different zones within previously defined space types in the event that multiple line items are present for a single space type.</t>
    </r>
  </si>
  <si>
    <t>L:E1</t>
  </si>
  <si>
    <t>d)</t>
  </si>
  <si>
    <r>
      <t xml:space="preserve">For Column E, </t>
    </r>
    <r>
      <rPr>
        <sz val="12"/>
        <color rgb="FF0070CD"/>
        <rFont val="Arial"/>
        <family val="2"/>
        <scheme val="minor"/>
      </rPr>
      <t>"Fixture Code"</t>
    </r>
    <r>
      <rPr>
        <sz val="12"/>
        <color theme="1"/>
        <rFont val="Arial"/>
        <family val="2"/>
        <scheme val="minor"/>
      </rPr>
      <t xml:space="preserve">, input the appropriate fixture code found in the </t>
    </r>
    <r>
      <rPr>
        <b/>
        <sz val="12"/>
        <color theme="1"/>
        <rFont val="Arial"/>
        <family val="2"/>
        <scheme val="minor"/>
      </rPr>
      <t>"Fixture Identities"</t>
    </r>
    <r>
      <rPr>
        <sz val="12"/>
        <color theme="1"/>
        <rFont val="Arial"/>
        <family val="2"/>
        <scheme val="minor"/>
      </rPr>
      <t xml:space="preserve"> tab that most accurately represents the pre-retrofit fixture in question. The </t>
    </r>
    <r>
      <rPr>
        <b/>
        <sz val="12"/>
        <color theme="1"/>
        <rFont val="Arial"/>
        <family val="2"/>
        <scheme val="minor"/>
      </rPr>
      <t>"Fixture Identities"</t>
    </r>
    <r>
      <rPr>
        <sz val="12"/>
        <color theme="1"/>
        <rFont val="Arial"/>
        <family val="2"/>
        <scheme val="minor"/>
      </rPr>
      <t xml:space="preserve"> tab can be filtered by fixture code, lighting category, subcategory, lamp code, description, ballast type, tube length (for linear fluorescents), lamp quantity, lamp wattage, fixture wattage, code-required baseline fixture, and HOU type for easily locating the appropriate fixture. If a fixture code is not listed in the </t>
    </r>
    <r>
      <rPr>
        <b/>
        <sz val="12"/>
        <color theme="1"/>
        <rFont val="Arial"/>
        <family val="2"/>
        <scheme val="minor"/>
      </rPr>
      <t>"Fixture Identities"</t>
    </r>
    <r>
      <rPr>
        <sz val="12"/>
        <color theme="1"/>
        <rFont val="Arial"/>
        <family val="2"/>
        <scheme val="minor"/>
      </rPr>
      <t xml:space="preserve"> list, custom cut sheets can be input starting at row 932 of the </t>
    </r>
    <r>
      <rPr>
        <b/>
        <sz val="12"/>
        <color theme="1"/>
        <rFont val="Arial"/>
        <family val="2"/>
        <scheme val="minor"/>
      </rPr>
      <t>"Fixture Identities"</t>
    </r>
    <r>
      <rPr>
        <sz val="12"/>
        <color theme="1"/>
        <rFont val="Arial"/>
        <family val="2"/>
        <scheme val="minor"/>
      </rPr>
      <t xml:space="preserve"> sheet. Custom cut sheets must be accompanied by a manufacturer's specification sheet for wattage confirmation. Fixture code selection in Column E of the </t>
    </r>
    <r>
      <rPr>
        <b/>
        <sz val="12"/>
        <color theme="1"/>
        <rFont val="Arial"/>
        <family val="2"/>
        <scheme val="minor"/>
      </rPr>
      <t>"Lighting Inventory"</t>
    </r>
    <r>
      <rPr>
        <sz val="12"/>
        <color theme="1"/>
        <rFont val="Arial"/>
        <family val="2"/>
        <scheme val="minor"/>
      </rPr>
      <t xml:space="preserve"> tab will auto-populate the corresponding Fixture Wattage, Baseline Fixture Code, and Baseline Fixture Wattage in Columns F, J, and K. </t>
    </r>
    <r>
      <rPr>
        <sz val="12"/>
        <color theme="5" tint="-0.249977111117893"/>
        <rFont val="Arial"/>
        <family val="2"/>
        <scheme val="minor"/>
      </rPr>
      <t>Column E will not be available for input in the event that this is a new construction project.</t>
    </r>
  </si>
  <si>
    <t>L:G1</t>
  </si>
  <si>
    <t>e)</t>
  </si>
  <si>
    <r>
      <t xml:space="preserve">For Column G, </t>
    </r>
    <r>
      <rPr>
        <sz val="12"/>
        <color rgb="FF0070CD"/>
        <rFont val="Arial"/>
        <family val="2"/>
        <scheme val="minor"/>
      </rPr>
      <t>"Fixture Qty."</t>
    </r>
    <r>
      <rPr>
        <sz val="12"/>
        <color theme="1"/>
        <rFont val="Arial"/>
        <family val="2"/>
        <scheme val="minor"/>
      </rPr>
      <t xml:space="preserve">, input the quantity of fixtures removed. This will auto-populate the line item wattage and baseline line item wattage in Columns H and L. </t>
    </r>
    <r>
      <rPr>
        <sz val="12"/>
        <color theme="5" tint="-0.249977111117893"/>
        <rFont val="Arial"/>
        <family val="2"/>
        <scheme val="minor"/>
      </rPr>
      <t>Column G will not be available for input in the event that this is a new construction project.</t>
    </r>
  </si>
  <si>
    <t>L:I1</t>
  </si>
  <si>
    <t>f)</t>
  </si>
  <si>
    <r>
      <t xml:space="preserve">For Column I, </t>
    </r>
    <r>
      <rPr>
        <sz val="12"/>
        <color rgb="FF0070CD"/>
        <rFont val="Arial"/>
        <family val="2"/>
        <scheme val="minor"/>
      </rPr>
      <t>"Control Type"</t>
    </r>
    <r>
      <rPr>
        <sz val="12"/>
        <color theme="1"/>
        <rFont val="Arial"/>
        <family val="2"/>
        <scheme val="minor"/>
      </rPr>
      <t>, input the control strategy code that best describes the lighting control strategy employed prior to commencement of the project. This will auto-populate the SVG</t>
    </r>
    <r>
      <rPr>
        <vertAlign val="subscript"/>
        <sz val="12"/>
        <color theme="1"/>
        <rFont val="Arial"/>
        <family val="2"/>
        <scheme val="minor"/>
      </rPr>
      <t>base</t>
    </r>
    <r>
      <rPr>
        <sz val="12"/>
        <color theme="1"/>
        <rFont val="Arial"/>
        <family val="2"/>
        <scheme val="minor"/>
      </rPr>
      <t xml:space="preserve"> value in Column AC. </t>
    </r>
    <r>
      <rPr>
        <sz val="12"/>
        <color theme="5" tint="-0.249977111117893"/>
        <rFont val="Arial"/>
        <family val="2"/>
        <scheme val="minor"/>
      </rPr>
      <t>Column I will not be available for input in the event that this is a new construction project.</t>
    </r>
    <r>
      <rPr>
        <sz val="12"/>
        <color theme="1"/>
        <rFont val="Arial"/>
        <family val="2"/>
        <scheme val="minor"/>
      </rPr>
      <t xml:space="preserve"> Controls supported by this tool include:</t>
    </r>
  </si>
  <si>
    <t>1. S_LS - Light Switch for Switch Strategy</t>
  </si>
  <si>
    <t>2. O_OS - Occupancy Sensors for Occupancy Strategy</t>
  </si>
  <si>
    <t>3. O_TC - Time Clocks for Occupancy Strategy</t>
  </si>
  <si>
    <t>4. O_EMS - Energy Management System for Occupancy Strategy</t>
  </si>
  <si>
    <t>5. DL_PS - Photosensors for Daylighting Strategy</t>
  </si>
  <si>
    <t>6. DL_TC - Time Clocks for Daylighting Strategy</t>
  </si>
  <si>
    <t>7. PT_DIM - Dimmers for Personal Tuning Strategy</t>
  </si>
  <si>
    <t>8. PT_WS - Wireless on-off switches for Personal Tuning Strategy</t>
  </si>
  <si>
    <t>9. PT_BLS - Bi-level switches for Personal Tuning Strategy</t>
  </si>
  <si>
    <t>10. PT_CC - Computer based controls for Personal Tuning Strategy</t>
  </si>
  <si>
    <t>11. PT_PSS - Pre-set scene selection for Personal Tuning Strategy</t>
  </si>
  <si>
    <t>12. IT_DIM - Dimmable ballasts for Institutional Tuning Strategy</t>
  </si>
  <si>
    <t>13. IT_DIM - On-off or dimmer switches for Institutional Tuning Strategy</t>
  </si>
  <si>
    <t>14. MT - Multiple Types (Occupancy and personal; tuning/daylighting and other combinations)</t>
  </si>
  <si>
    <t>L:M1</t>
  </si>
  <si>
    <t>g)</t>
  </si>
  <si>
    <r>
      <t xml:space="preserve">For Column M, </t>
    </r>
    <r>
      <rPr>
        <sz val="12"/>
        <color rgb="FF0070CD"/>
        <rFont val="Arial"/>
        <family val="2"/>
        <scheme val="minor"/>
      </rPr>
      <t>"Fixture Code"</t>
    </r>
    <r>
      <rPr>
        <sz val="12"/>
        <color theme="1"/>
        <rFont val="Arial"/>
        <family val="2"/>
        <scheme val="minor"/>
      </rPr>
      <t xml:space="preserve">, input the appropriate fixture code found in the </t>
    </r>
    <r>
      <rPr>
        <b/>
        <sz val="12"/>
        <color theme="1"/>
        <rFont val="Arial"/>
        <family val="2"/>
        <scheme val="minor"/>
      </rPr>
      <t>"Fixture Identities"</t>
    </r>
    <r>
      <rPr>
        <sz val="12"/>
        <color theme="1"/>
        <rFont val="Arial"/>
        <family val="2"/>
        <scheme val="minor"/>
      </rPr>
      <t xml:space="preserve"> tab that most accurately represents the post-retrofit fixture in question. The </t>
    </r>
    <r>
      <rPr>
        <b/>
        <sz val="12"/>
        <color theme="1"/>
        <rFont val="Arial"/>
        <family val="2"/>
        <scheme val="minor"/>
      </rPr>
      <t>"Fixture Identities"</t>
    </r>
    <r>
      <rPr>
        <sz val="12"/>
        <color theme="1"/>
        <rFont val="Arial"/>
        <family val="2"/>
        <scheme val="minor"/>
      </rPr>
      <t xml:space="preserve"> tab can be filtered by fixture code, lighting category, subcategory, lamp code, description, ballast type, tube length (for linear fluorescents), lamp quantity, lamp wattage, fixture wattage, code-required baseline fixture, and HOU type for easily locating the appropriate fixture. If a fixture code is not listed in the </t>
    </r>
    <r>
      <rPr>
        <b/>
        <sz val="12"/>
        <color theme="1"/>
        <rFont val="Arial"/>
        <family val="2"/>
        <scheme val="minor"/>
      </rPr>
      <t>"Fixture Identities"</t>
    </r>
    <r>
      <rPr>
        <sz val="12"/>
        <color theme="1"/>
        <rFont val="Arial"/>
        <family val="2"/>
        <scheme val="minor"/>
      </rPr>
      <t xml:space="preserve"> list, custom cut sheets can be input starting at row 922 of the </t>
    </r>
    <r>
      <rPr>
        <b/>
        <sz val="12"/>
        <color theme="1"/>
        <rFont val="Arial"/>
        <family val="2"/>
        <scheme val="minor"/>
      </rPr>
      <t>"Fixture Identities"</t>
    </r>
    <r>
      <rPr>
        <sz val="12"/>
        <color theme="1"/>
        <rFont val="Arial"/>
        <family val="2"/>
        <scheme val="minor"/>
      </rPr>
      <t xml:space="preserve"> sheet. Custom cut sheets must be accompanied by a manufacturer's specification sheet for wattage confirmation. Fixture code selection in Column M of the </t>
    </r>
    <r>
      <rPr>
        <b/>
        <sz val="12"/>
        <color theme="1"/>
        <rFont val="Arial"/>
        <family val="2"/>
        <scheme val="minor"/>
      </rPr>
      <t>"Lighting Inventory"</t>
    </r>
    <r>
      <rPr>
        <sz val="12"/>
        <color theme="1"/>
        <rFont val="Arial"/>
        <family val="2"/>
        <scheme val="minor"/>
      </rPr>
      <t xml:space="preserve"> tab will auto-populate the corresponding Fixture Wattage in Column P.</t>
    </r>
  </si>
  <si>
    <t>L:O1</t>
  </si>
  <si>
    <t>h)</t>
  </si>
  <si>
    <r>
      <t xml:space="preserve">Column O, </t>
    </r>
    <r>
      <rPr>
        <sz val="12"/>
        <color rgb="FF0070CD"/>
        <rFont val="Arial"/>
        <family val="2"/>
        <scheme val="minor"/>
      </rPr>
      <t>"Fixture Tag or ID"</t>
    </r>
    <r>
      <rPr>
        <sz val="12"/>
        <color theme="1"/>
        <rFont val="Arial"/>
        <family val="2"/>
        <scheme val="minor"/>
      </rPr>
      <t>, is optional and can be used to link fixtures to invoices or fixture codes on a fixture schedule of supplemental drawings or plans.</t>
    </r>
  </si>
  <si>
    <t>L:Q1</t>
  </si>
  <si>
    <t>i)</t>
  </si>
  <si>
    <r>
      <t xml:space="preserve">For Column Q, </t>
    </r>
    <r>
      <rPr>
        <sz val="12"/>
        <color rgb="FF0070CD"/>
        <rFont val="Arial"/>
        <family val="2"/>
        <scheme val="minor"/>
      </rPr>
      <t>"Fixture Qty."</t>
    </r>
    <r>
      <rPr>
        <sz val="12"/>
        <color theme="1"/>
        <rFont val="Arial"/>
        <family val="2"/>
        <scheme val="minor"/>
      </rPr>
      <t>, input the quantity of fixtures installed. This will auto-populate the line item wattage in Column R.</t>
    </r>
  </si>
  <si>
    <t>L:S1</t>
  </si>
  <si>
    <t>j)</t>
  </si>
  <si>
    <r>
      <t xml:space="preserve">For Column S, </t>
    </r>
    <r>
      <rPr>
        <sz val="12"/>
        <color rgb="FF0070CD"/>
        <rFont val="Arial"/>
        <family val="2"/>
        <scheme val="minor"/>
      </rPr>
      <t>"Control Type"</t>
    </r>
    <r>
      <rPr>
        <sz val="12"/>
        <color theme="1"/>
        <rFont val="Arial"/>
        <family val="2"/>
        <scheme val="minor"/>
      </rPr>
      <t>, input the control strategy code that best describes the lighting control strategy employed after the completion of the project. This will auto-populate the SVG</t>
    </r>
    <r>
      <rPr>
        <vertAlign val="subscript"/>
        <sz val="12"/>
        <color theme="1"/>
        <rFont val="Arial"/>
        <family val="2"/>
        <scheme val="minor"/>
      </rPr>
      <t>base</t>
    </r>
    <r>
      <rPr>
        <sz val="12"/>
        <color theme="1"/>
        <rFont val="Arial"/>
        <family val="2"/>
        <scheme val="minor"/>
      </rPr>
      <t xml:space="preserve"> value in Column AC.</t>
    </r>
  </si>
  <si>
    <t>k)</t>
  </si>
  <si>
    <t>Repeat steps a through j to complete each line. For further clarification on a specific field or column, please see the "Glossary" sheet or consult the TRM. If additional assistance is required, please contact the program manager.</t>
  </si>
  <si>
    <r>
      <t>IV. G</t>
    </r>
    <r>
      <rPr>
        <b/>
        <sz val="10.5"/>
        <color theme="1"/>
        <rFont val="Arial"/>
        <family val="2"/>
        <scheme val="minor"/>
      </rPr>
      <t xml:space="preserve">ENERAL </t>
    </r>
    <r>
      <rPr>
        <b/>
        <sz val="12"/>
        <color theme="1"/>
        <rFont val="Arial"/>
        <family val="2"/>
        <scheme val="minor"/>
      </rPr>
      <t>N</t>
    </r>
    <r>
      <rPr>
        <b/>
        <sz val="10.5"/>
        <color theme="1"/>
        <rFont val="Arial"/>
        <family val="2"/>
        <scheme val="minor"/>
      </rPr>
      <t>OTE</t>
    </r>
  </si>
  <si>
    <t>It is worth noting that magnetic ballasts cannot be manufactured after July 1, 2010 based on the Energy Policy and Conservation Act of 2000. This makes assumptions as to future savings and the Total Resource Cost of the retrofit unclear.</t>
  </si>
  <si>
    <r>
      <t>V. D</t>
    </r>
    <r>
      <rPr>
        <b/>
        <sz val="10.5"/>
        <color theme="1"/>
        <rFont val="Arial"/>
        <family val="2"/>
        <scheme val="minor"/>
      </rPr>
      <t>ISCLAIMER</t>
    </r>
  </si>
  <si>
    <t>This tool allows for custom entries for several fields. This document does not modify any requirements of the PA TRM. If any discrepancy between the TRM and this document exist, the TRM should be followed.</t>
  </si>
  <si>
    <t>L:F1</t>
  </si>
  <si>
    <t>Column F, "Fixture Wattage", displays the TRM-deemed wattage matching the selected fixture code for the pre-retrofit fixture. This field is only available for retrofit applications.</t>
  </si>
  <si>
    <t>L:H1</t>
  </si>
  <si>
    <t>Column H, "Line Item Wattage", diplays the total wattage of the pre-retrofit scenario for the full quantity of fixture presented on the corresponding line. This field is only available for retrofit applications.</t>
  </si>
  <si>
    <t>L:J1</t>
  </si>
  <si>
    <t>Column J, "Fixture Code", diplays the baseline fixture code linked to the pre-retrofit fixture code to which the installed fixtures will be compared. The baseline codes for comparison are dictated by EPACT 2005 and EISA 2007 standards. This field is only available for retrofit applications.</t>
  </si>
  <si>
    <t>L:K1</t>
  </si>
  <si>
    <t>For retrofit applications, Column K, "Fixture Wattage", displays the TRM-deemed wattage matching the appropriate baseline fixture code for the pre-retrofit fixture. For new construction applications, Column K, "Allowable LPD", displays the ASHRAE designated allowable LPD for the line item provided.</t>
  </si>
  <si>
    <t>L:L1</t>
  </si>
  <si>
    <t>For retrofit applications, Column L, "Line Item Wattage", displays the total wattage of the baseline scenario for the full quantity of fixture presented on the corresponding line. For new construction applications, Column L, "Allowable Watts", displays the ASHRAE allowable total wattage for the line item based on the space details provided.</t>
  </si>
  <si>
    <t>L:N1</t>
  </si>
  <si>
    <t>Column N, "HOU Type", displays the load shape corresponding to the fixture type selected. The load shape will be either "General Service Lighting" or "Screw-in".</t>
  </si>
  <si>
    <t>L:P1</t>
  </si>
  <si>
    <t>Column P, "Fixture Wattage", displays the TRM-deemed wattage matching the selected fixture code for the as-built fixture.</t>
  </si>
  <si>
    <t>L:R1</t>
  </si>
  <si>
    <t>Column R, "Line Item Wattage", displays the total wattage of the as-built scenario for the full quantity of fixture presented on the corresponding line.</t>
  </si>
  <si>
    <t>L:T1</t>
  </si>
  <si>
    <t>Column T, "HOU", displays the appropriate hours of use to be used for the line item based on the fixture code and schedule inputs.</t>
  </si>
  <si>
    <t>L:U1</t>
  </si>
  <si>
    <t>Column U, "CF", displays the appropriate coincidence factor to be used for the line item based on the fixture code and schedule inputs.</t>
  </si>
  <si>
    <t>L:V1</t>
  </si>
  <si>
    <t>Column V, "Ifenergy", diplays the appropriate energy interactive factor to be used for the line item based on the space type and cooling details.</t>
  </si>
  <si>
    <t>L:W1</t>
  </si>
  <si>
    <t>Column W, "Ifdemand", displays the appropriate demand interactive factor to be used for the line item based on the space type and cooling details.</t>
  </si>
  <si>
    <t>L:X1</t>
  </si>
  <si>
    <t>Column X, "SVGbase", displays the appropriate baseline savings factor associated with pre-retrofit controls to be used for the line item based on the control type selection. For new construction, this value is a factor of the percentage of area required by code to have sensors.</t>
  </si>
  <si>
    <t>L:Y1</t>
  </si>
  <si>
    <t>Column Y, "SVGee", displays the appropriate as-built savings factor associated with as-built controls to be used for the line item based on the control type selection.</t>
  </si>
  <si>
    <t>L:Z1</t>
  </si>
  <si>
    <r>
      <t>Column Z, "</t>
    </r>
    <r>
      <rPr>
        <sz val="12"/>
        <color theme="0" tint="-4.9989318521683403E-2"/>
        <rFont val="Calibri"/>
        <family val="2"/>
      </rPr>
      <t>Δ</t>
    </r>
    <r>
      <rPr>
        <sz val="12"/>
        <color theme="0" tint="-4.9989318521683403E-2"/>
        <rFont val="Arial"/>
        <family val="2"/>
        <scheme val="minor"/>
      </rPr>
      <t xml:space="preserve"> Load", presents the difference in installed watts between the pre-installation and post-installation lighting scenarios separate from the change in control strategies due to the line item details.</t>
    </r>
  </si>
  <si>
    <t>L:AA</t>
  </si>
  <si>
    <t>Column AA, "Peak Demand", presents the fraction of connected load reduction (associated with the lighting only) expected to be coincident with the PJM peak demand period due to the line item details.</t>
  </si>
  <si>
    <t>L:AB</t>
  </si>
  <si>
    <t>Column AB, "Energy", presents the total annual energy saved by the lighting improvement separate from the change in control strategies due to the line item details.</t>
  </si>
  <si>
    <t>L:AC</t>
  </si>
  <si>
    <t>Column AC, "Peak Demand", presents the fraction of connected load reduction (associated with the controls only) expected to be coincident with the PJM peak demand period due to the line item details.</t>
  </si>
  <si>
    <t>L:AD</t>
  </si>
  <si>
    <t>Column AD, "Energy", presents the total annual energy saved by the change in control strategies due to the line item details.</t>
  </si>
  <si>
    <t>L:AE</t>
  </si>
  <si>
    <t>Column AE, "Peak Demand", presents the summation of the lighting and controls peak demand savings for the line item.</t>
  </si>
  <si>
    <t>L:AF</t>
  </si>
  <si>
    <t>Column AF, "Energy", presents the summation of the lighting and controls energy savings for the line item.</t>
  </si>
  <si>
    <t>CHANGELOG</t>
  </si>
  <si>
    <t>Version 12 (Effective June 3, 2010)</t>
  </si>
  <si>
    <t>1)</t>
  </si>
  <si>
    <t>Released with TRM Order in June 2010</t>
  </si>
  <si>
    <t>Version 13 (Submitted October 27, 2010. Effective June 1, 2011)</t>
  </si>
  <si>
    <t>Created Changelog</t>
  </si>
  <si>
    <t>2)</t>
  </si>
  <si>
    <t>Revised "Manual" and "Glossary" to improve user guide and increase usability</t>
  </si>
  <si>
    <t>3)</t>
  </si>
  <si>
    <t>Revised "Manual" and "Glossary" to reflect new changes to the TRM</t>
  </si>
  <si>
    <t>4)</t>
  </si>
  <si>
    <t>Added Stipulated Usage Group EFLH Table in the "User Input" sheet</t>
  </si>
  <si>
    <t>5)</t>
  </si>
  <si>
    <t>Added new building types with corresponding EFLH and CF values</t>
  </si>
  <si>
    <t>6)</t>
  </si>
  <si>
    <t>Combined "Wattage Table" and "Extension Table" into one sheet (see column I of the Wattage Table)</t>
  </si>
  <si>
    <t>7)</t>
  </si>
  <si>
    <t>Revised fixtures codes and descriptions in Standard Wattage Table</t>
  </si>
  <si>
    <t>8)</t>
  </si>
  <si>
    <t>Renamed "Fixture Code Generator" to "Fixture Code Locator" and corrected some programming glitches</t>
  </si>
  <si>
    <t>Version 14 (Submitted January 19, 2011. Effective June 1, 2011)</t>
  </si>
  <si>
    <t>In "Manual", section 7.B, the threshold was corrected to 10%, not 15%</t>
  </si>
  <si>
    <t>In "User Input", Table 5 was revised to reflect TRM Table 3-2</t>
  </si>
  <si>
    <t>In "User Input", added note to list source for Tables 3 and 5</t>
  </si>
  <si>
    <t>In "Glossary", added definitions for "pre-installation" and "post-installation"</t>
  </si>
  <si>
    <t>In "Lighting Form", the EFLH table was updated to reflect TRM Table 3-5</t>
  </si>
  <si>
    <t>Version 15 (Submitted September 13, 2011 for 2012 Tentative Order)</t>
  </si>
  <si>
    <t>Global change, replaced all instances of EFLH with HOU</t>
  </si>
  <si>
    <t>In "User Input", removed old Table 5 to eliminate stipulated hours for usage groups.</t>
  </si>
  <si>
    <t>In "User Input", added Table 3 to allow custom SVG factor input</t>
  </si>
  <si>
    <t>Version 16 (Submitted December 4, 2011 for 2012 Final Order)</t>
  </si>
  <si>
    <t>In "Manual", updated language regarding usage groups.</t>
  </si>
  <si>
    <t>In "Glossary", removed all references to the old 50 kW threshold.</t>
  </si>
  <si>
    <t>In "Lighting Form", updated the HOU table to reflect the 2012 TRM (Table 3-4).</t>
  </si>
  <si>
    <t>In "User Input", added column for custom CF for each usage group.</t>
  </si>
  <si>
    <t>Version 17 (Submitted August 31, 2012 for 2013 Tentative Order)</t>
  </si>
  <si>
    <t xml:space="preserve">In "Lighting Form", updated HOU and CF values lookup table to reflect the 2013 TRM table.  </t>
  </si>
  <si>
    <t>In "Lighting Form", added new building types with corresponding EFLH and CF values to reflect the 2013 TRM table.</t>
  </si>
  <si>
    <t>In "Lighting Form", updated Control Technologies and Savings Factors values lookup table to reflect 2013 TRM table.</t>
  </si>
  <si>
    <t xml:space="preserve">Revised "Manual" and "Glossary" to reflect new changes to the 2013 TRM </t>
  </si>
  <si>
    <t>Version 18 (Submitted December 3, 2012 for 2013 Final Order)</t>
  </si>
  <si>
    <t xml:space="preserve">Revised "Manual" to reflect new changes to the 2013 TRM </t>
  </si>
  <si>
    <t xml:space="preserve">Version 19 (Submitted August 29, 2013 for 2014 Tentative Order)  </t>
  </si>
  <si>
    <t>Created "Fixtures Form" and "Controls Form" to calculate energy and peak demand savings for lighting fixtures and controls measures separately to be consistent with TRM protocols.</t>
  </si>
  <si>
    <t xml:space="preserve">Created separate tabs for "Fixtures User Input" and "Controls User Input" for user input options   </t>
  </si>
  <si>
    <t xml:space="preserve">Added new fixture codes in the "Wattage Table" (cells 157 to 178 and cells 651 to 669) </t>
  </si>
  <si>
    <t>Revised "Manual" and "Glossary" to reflect new changes to the TRM and Appendix C</t>
  </si>
  <si>
    <t xml:space="preserve">Version 20 (Submitted December 05, 2013 for 2014 Final Order)   </t>
  </si>
  <si>
    <t>Updated "Fixture Code Locator" to be compatible with Pulse-Start Metal Halide entries.</t>
  </si>
  <si>
    <t>Updated header fields on "Lighting Controls Form" to create autonomy between Lighting Controls and Fixture information.</t>
  </si>
  <si>
    <t>Revised "Fixture Code Legend" to reflect new changes to the TRM and Appendix C.</t>
  </si>
  <si>
    <t>Revised "Manual" and "Glossary" to reflect new changes to the TRM and Appendix C.</t>
  </si>
  <si>
    <t>Updated energy and peak demand savings algorithms in the Fixtures Form tab.</t>
  </si>
  <si>
    <t xml:space="preserve"> </t>
  </si>
  <si>
    <t xml:space="preserve">Version 21 (Submitted August 21, 2014 for 2015 Tentative Order)   </t>
  </si>
  <si>
    <t>Updated Wattage Table for additional fixtures.</t>
  </si>
  <si>
    <t>Included LED Traffic and Pedestrian Signal Upgrades in the Prescriptive Table (values inserted in cells directly rather than pulled from "Wattage Table").</t>
  </si>
  <si>
    <t>Updated "Maunal" hyperlinks to match worksheet titles and made all hyperlinks functional.</t>
  </si>
  <si>
    <t>Cleaned up "Glossary" to ensure all cell and column references match.</t>
  </si>
  <si>
    <t xml:space="preserve">Version 22 (Submitted March 16, 2015 for 2016 Tentative Order)   </t>
  </si>
  <si>
    <t>Overhauled setup, formatting, and interface for enhanced usability.</t>
  </si>
  <si>
    <t>Included "key" describing which cells are available for input and which should not be changed.</t>
  </si>
  <si>
    <t>Updated tool to be compatible with "New Construction" as well as "Retrofit" projects.</t>
  </si>
  <si>
    <t>Updated tool to be compatible with custom operating schedules.</t>
  </si>
  <si>
    <t>Combined controls and fixtures inputs into one tab.</t>
  </si>
  <si>
    <t>Added functionality to compare installed fixtures to code required baseline.</t>
  </si>
  <si>
    <t>Revised HOU, CF, and IF assumptions to reflect new changes to the TRM.</t>
  </si>
  <si>
    <t>Revised "Wattage Table", now called "Fixture Identities", to reflect new changes to the TRM and Appendix C.</t>
  </si>
  <si>
    <t>9)</t>
  </si>
  <si>
    <t>Transformed "Glossary" into a searchable database for easier navigation.</t>
  </si>
  <si>
    <t>10)</t>
  </si>
  <si>
    <t>Version 23 (Submitted March 10, 2017 for 2016 TRM Errata corrections)</t>
  </si>
  <si>
    <t xml:space="preserve">Cells R28:AD28 (Lighting Operation Schedule section) have been corrected to enable accurate coincidence factor calculations for custom schedule designations. </t>
  </si>
  <si>
    <t>Data validation for array Fixture Identities F9:F28 (Description) has been changed to reference Lookups V9:V15 (formerly V9:V14), where a "Custom" option was added to the array along with a corresponding Fixture Code of "C."</t>
  </si>
  <si>
    <t>Range Name "LED_Codes" has been extended by 1 row to include Lookups V15:X15</t>
  </si>
  <si>
    <t>HOU Type was converted to a user-defined field by adding Data Validation criteria to array Fixture Identities M9:M28, enabling user to select General or Screw-In (mirroring the inputs for other custom fixtures near the bottom of the Fixture Identities worksheet)</t>
  </si>
  <si>
    <t>Data Validation criteria for array Fixture Identities K9:K28 was changed from Whole Number to Decimal to enable non-integer fixture wattages</t>
  </si>
  <si>
    <t>Cell P35 on the Lookups worksheet has been changed from “Miscellaneous” to “Miscellaneous / Other”</t>
  </si>
  <si>
    <t xml:space="preserve">Cell P25 on Lookups has been changed to Building Type (from Control Type) </t>
  </si>
  <si>
    <t>Capabilities for user-defined/custom SVGbase (new construction) and SVG ee (controls) inputs have been added to the tool by appending the lookup arrays and adding a column for custom facility types to the Lighting Inventory worksheet. Data validation rules on the Lighting Inventory worksheet have been updated accordingly.</t>
  </si>
  <si>
    <t>Non-Integral Ballast LED Fixture Codes table (Lookups) renamed to LED Code Builder</t>
  </si>
  <si>
    <t>Cell D21 on Summary worksheet has been changed to sum the two cells above (lighting and controls), rather than summing only the lighting savings (note that cell E21 does not include controls because connected load is not impacted by controls).</t>
  </si>
  <si>
    <t>See PA PUC Secretarial Letter Re: Technical Reference Manual 2016 errata for additional context and related TRM changes</t>
  </si>
  <si>
    <t>Version 24 (Submitted June 28, 2019 for 2021 Final Order)</t>
  </si>
  <si>
    <t>Adjusted custom hours of use and coincidence factor module to accommodate dusk-to-dawn lighting.</t>
  </si>
  <si>
    <t>Made active link on "Lighting Inventory" tab to configure custom SVG values.</t>
  </si>
  <si>
    <t>Decremented baseline incandescent lamp wattages for non-specialty lamps to be in compliance with EISA.</t>
  </si>
  <si>
    <t>Corrected error in which columns J, K, and L of the "Lighting Inventory" tab did not populate for new construction projects utilizing "Whole Building Method".</t>
  </si>
  <si>
    <t>Added 36" and 96" linear LED options to the LED Fixture Builder. Updated "Tube Length" calculation on the "Fixture Identities" sheet to properly report lengths for 36" and 96" lamps.</t>
  </si>
  <si>
    <r>
      <t xml:space="preserve">Expanded functionality to allow for multiple deemed space types (i.e. interior, exterior, refrigeration, and exit). </t>
    </r>
    <r>
      <rPr>
        <b/>
        <sz val="12"/>
        <rFont val="Arial"/>
        <family val="2"/>
        <scheme val="minor"/>
      </rPr>
      <t>This is facilitated by using either the "Deemed" or "Mixed" modes in General Information cell I26.</t>
    </r>
  </si>
  <si>
    <t>Adjusted LPD baseline values to be consistent with IECC 2015 as sourced from https://codes.iccsafe.org/public/document/IECC2015/chapter-4-ce-commercial-energy-efficiency.</t>
  </si>
  <si>
    <t>Adjusted energy savings algorithm to ignore baseline SVG factor in the event that both the pre-retrofit and post-retrofit cases both employ either method of Daylighting controls. This adjustment was made in order to correct the issue through which known photocell operating hours were further discounted by the Photocell SVG factor.</t>
  </si>
  <si>
    <t>Revised "Glossary" sheet to reflect correct name of "Fixture Identities" sheet.</t>
  </si>
  <si>
    <t>11)</t>
  </si>
  <si>
    <t>Revised and expanded "LED_Codes" named range to include LED Linear Fluorescent Tube Replacement "Type" in the Description. Revised "Code" for same fixtures to append Type to the end of the Code (i.e., LTA, LTB, LTC).</t>
  </si>
  <si>
    <t>12)</t>
  </si>
  <si>
    <t>Revised Screw-Based CFL &amp; LED/Other General Service Lighting Exterior and Parking Garage HOU for consistency with new TRM.</t>
  </si>
  <si>
    <t>13)</t>
  </si>
  <si>
    <t>Revised New Construction SVG Accountability "% Req." assumptions for consistency with IECC 2015.</t>
  </si>
  <si>
    <t>14)</t>
  </si>
  <si>
    <t>Added "Small Business Direct Install" input on the "General Information" worksheet. When "Yes" is selected, the T12 baseline adjustment will be disabled.</t>
  </si>
  <si>
    <t>15)</t>
  </si>
  <si>
    <t>Added data validation to "Space Designation" on the "General Information" sheet to prevent duplicate entry.</t>
  </si>
  <si>
    <t>16)</t>
  </si>
  <si>
    <t>Corrected TRM-based HOU/CF/IF for street lighting "Facility Type." If "Street Lighting" is the selected facility, "Schedule" and "Cooling Type" choices are limited appropriately.</t>
  </si>
  <si>
    <t>17)</t>
  </si>
  <si>
    <t>Expanded "LED_Codes" to include "Troffer LED Panel"</t>
  </si>
  <si>
    <t>18)</t>
  </si>
  <si>
    <t>Corrected functionality for New Construction exterior lighting projects. Tool now properly populates appropriate baseline requirements.</t>
  </si>
  <si>
    <t>19)</t>
  </si>
  <si>
    <t>Added "Exterior, Photocell-Controlled" facility type with dusk-to-dawn operating hours.</t>
  </si>
  <si>
    <t>20)</t>
  </si>
  <si>
    <t>Added additional input for Atrium space types to capture atrium height. This is required to determine New Construction LPD requirement.</t>
  </si>
  <si>
    <t>21)</t>
  </si>
  <si>
    <t>Revised tool to require "Heating Fuel Type" at the space type-level. Tool now accommodates multiple heating fuel types within a single project.</t>
  </si>
  <si>
    <t>Version 25 (Submitted October, 2020 for 2021 TRM Update Amendment)</t>
  </si>
  <si>
    <t>Released with TRM Order in October, 2020</t>
  </si>
  <si>
    <t xml:space="preserve">2) </t>
  </si>
  <si>
    <t>Re-released without change with 2021 TRM Update Amendment Final Order in February, 2021</t>
  </si>
  <si>
    <t>Use this worksheet only for New Construction (NC) projects that include exterior fixtures.</t>
  </si>
  <si>
    <t>Exterior Building Area Name*</t>
  </si>
  <si>
    <t>New Construction Space Type
(Select from list)*</t>
  </si>
  <si>
    <t>NC Space Type Size*</t>
  </si>
  <si>
    <t>NC Space Type Unit</t>
  </si>
  <si>
    <t>Energy Efficiency Assessment</t>
  </si>
  <si>
    <t>Est. Project Cost</t>
  </si>
  <si>
    <t>Est. Annual Energy Savings</t>
  </si>
  <si>
    <t>Est. Utility Incentive</t>
  </si>
  <si>
    <t>Simple Payback (years)</t>
  </si>
  <si>
    <t>Utility Rate(s):</t>
  </si>
  <si>
    <t>Project Description:</t>
  </si>
  <si>
    <t>Estimated Project Cost</t>
  </si>
  <si>
    <t>Energy Savings</t>
  </si>
  <si>
    <t>Est. kW Savings</t>
  </si>
  <si>
    <t>Est. kWh Savings</t>
  </si>
  <si>
    <t>Est. Project Cost after Incentive</t>
  </si>
  <si>
    <t>Payback &amp; Return on Investment</t>
  </si>
  <si>
    <t>Cost of Waiting</t>
  </si>
  <si>
    <t>Monthly</t>
  </si>
  <si>
    <t>Return on Investment</t>
  </si>
  <si>
    <t>Annually</t>
  </si>
  <si>
    <t>CLEAResult makes this tool available to participants in our Energy Efficiency programs. CLEAResult makes no warranties, whether expressed or implied, nor assumes any legal liability or responsibility for the accuracy, completeness, or usefulness of the contents of this Energy Efficiency Assessment. These calculations are based on the rates and estimated operating hours displayed above. These calculations are not exact and should only be used to formulate a decision on whether or not to pursue a lighting retrofit.</t>
  </si>
  <si>
    <t>Existing</t>
  </si>
  <si>
    <t>Post-Retrofit</t>
  </si>
  <si>
    <t>kW</t>
  </si>
  <si>
    <t>kWh</t>
  </si>
  <si>
    <t>Y-Axis</t>
  </si>
  <si>
    <t>X-Axis</t>
  </si>
  <si>
    <t>ANNUAL COST
OF WAITING!</t>
  </si>
  <si>
    <t>Annual Cost
After Retrofit</t>
  </si>
  <si>
    <t>Annual Cost
Before Retrofit</t>
  </si>
  <si>
    <t>Totals:</t>
  </si>
  <si>
    <t>Est. Demand Reduction (kW) :</t>
  </si>
  <si>
    <t>Est. Total Year 1 Cash Flow :</t>
  </si>
  <si>
    <t>Est. Energy Reduction (kWh) :</t>
  </si>
  <si>
    <t>Est. Total Year 5 Cash Flow :</t>
  </si>
  <si>
    <t>Est. Annual $ Savings :</t>
  </si>
  <si>
    <t>Est. Total Year 10 Cash Flow :</t>
  </si>
  <si>
    <t>Est. Project Cost :</t>
  </si>
  <si>
    <t>Est. Total Year 15 Cash Flow :</t>
  </si>
  <si>
    <t>Est. Program Incentive :</t>
  </si>
  <si>
    <t>Year 1</t>
  </si>
  <si>
    <t>Year 5</t>
  </si>
  <si>
    <t>Year 10</t>
  </si>
  <si>
    <t>Year 15</t>
  </si>
  <si>
    <t>Annual Carbon Impact</t>
  </si>
  <si>
    <t>Your energy efficiency opportunity's estimated energy savings is roughly equivalent to the annual carbon dioxide emissions reduction of:</t>
  </si>
  <si>
    <t>CO2 Equivalency Type</t>
  </si>
  <si>
    <t>CO2 (Tons)</t>
  </si>
  <si>
    <t>Equivalency</t>
  </si>
  <si>
    <t xml:space="preserve">Acres of Forest               </t>
  </si>
  <si>
    <t xml:space="preserve">Recyc. Tons of Waste               </t>
  </si>
  <si>
    <t xml:space="preserve">Passenger Vehicles               </t>
  </si>
  <si>
    <t xml:space="preserve">Homes Worth of Elec.               </t>
  </si>
  <si>
    <t xml:space="preserve">Tanker Trucks of Gas               </t>
  </si>
  <si>
    <t>NOTES</t>
  </si>
  <si>
    <t xml:space="preserve">This sheet is for reference only. You can sort and filter this table to find fixture codes. To create fixture codes not on this form, use the "Fixture and LED Schedule" tab. For more information about fixture codes, click here. </t>
  </si>
  <si>
    <t>FIXTURE SEARCH</t>
  </si>
  <si>
    <t>Use drop-down arrows in each column heading to filter by parameter. If your application contains non-integrated ballast LED fixtures, the fixtures will need to be configured starting on row 9. If your application contains custom cut-sheet
accompanied fixtures, the fixtures will need to be configured starting on row 922. All custom and non-integrated ballast LED fixtures require cut sheets for fixture configuration verification.</t>
  </si>
  <si>
    <t>Fixture Code*</t>
  </si>
  <si>
    <t>Lighting Category</t>
  </si>
  <si>
    <t>Subcategory</t>
  </si>
  <si>
    <t>Lamp
Code</t>
  </si>
  <si>
    <t>Ballast</t>
  </si>
  <si>
    <t>Tube
Length</t>
  </si>
  <si>
    <t>Watts Per Lamp</t>
  </si>
  <si>
    <t>Watts Per Fixture*</t>
  </si>
  <si>
    <t>Baseline
Fixture</t>
  </si>
  <si>
    <t>Electronic</t>
  </si>
  <si>
    <t>N/A</t>
  </si>
  <si>
    <t>SLED2/1</t>
  </si>
  <si>
    <t>LED 2W</t>
  </si>
  <si>
    <t xml:space="preserve">Screw In - Light Emitting Diode Lamp, (1) 2W </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</si>
  <si>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</si>
  <si>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</si>
  <si>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</si>
  <si>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</si>
  <si>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</si>
  <si>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</si>
  <si>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</si>
  <si>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</si>
  <si>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</si>
  <si>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</si>
  <si>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</si>
  <si>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</si>
  <si>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</si>
  <si>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</si>
  <si>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</si>
  <si>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</si>
  <si>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</si>
  <si>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</si>
  <si>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SLED9/1</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</si>
  <si>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</si>
  <si>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</si>
  <si>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</si>
  <si>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</si>
  <si>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</si>
  <si>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</si>
  <si>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</si>
  <si>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</si>
  <si>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</si>
  <si>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</si>
  <si>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</si>
  <si>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</si>
  <si>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</si>
  <si>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</si>
  <si>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</si>
  <si>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</si>
  <si>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</si>
  <si>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</si>
  <si>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</si>
  <si>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</si>
  <si>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</si>
  <si>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</si>
  <si>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</si>
  <si>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</si>
  <si>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</si>
  <si>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</si>
  <si>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</si>
  <si>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</si>
  <si>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</si>
  <si>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</si>
  <si>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</si>
  <si>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</si>
  <si>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</si>
  <si>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</si>
  <si>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</si>
  <si>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</si>
  <si>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</si>
  <si>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</si>
  <si>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</si>
  <si>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</si>
  <si>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</si>
  <si>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</si>
  <si>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</si>
  <si>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</si>
  <si>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</si>
  <si>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</si>
  <si>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CFD10W</t>
  </si>
  <si>
    <t>Compact Fluorescent, 2D, (1) 10W lamp</t>
  </si>
  <si>
    <t>Mag-STD</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</si>
  <si>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</si>
  <si>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</si>
  <si>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</si>
  <si>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</si>
  <si>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</si>
  <si>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</si>
  <si>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</si>
  <si>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</si>
  <si>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</si>
  <si>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</si>
  <si>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</si>
  <si>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</si>
  <si>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</si>
  <si>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</si>
  <si>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</si>
  <si>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</si>
  <si>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</si>
  <si>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</si>
  <si>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</si>
  <si>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</si>
  <si>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</si>
  <si>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</si>
  <si>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</si>
  <si>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</si>
  <si>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</si>
  <si>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</si>
  <si>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</si>
  <si>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</si>
  <si>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</si>
  <si>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</si>
  <si>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</si>
  <si>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</si>
  <si>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</si>
  <si>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</si>
  <si>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</si>
  <si>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</si>
  <si>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</si>
  <si>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</si>
  <si>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</si>
  <si>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</si>
  <si>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</si>
  <si>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</si>
  <si>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</si>
  <si>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</si>
  <si>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CFQ18/1-L</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</si>
  <si>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</si>
  <si>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</si>
  <si>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</si>
  <si>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</si>
  <si>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</si>
  <si>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</si>
  <si>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</si>
  <si>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</si>
  <si>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</si>
  <si>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</si>
  <si>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</si>
  <si>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</si>
  <si>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</si>
  <si>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</si>
  <si>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</si>
  <si>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</si>
  <si>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</si>
  <si>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</si>
  <si>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</si>
  <si>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</si>
  <si>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</si>
  <si>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</si>
  <si>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</si>
  <si>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</si>
  <si>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</si>
  <si>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</si>
  <si>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</si>
  <si>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</si>
  <si>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</si>
  <si>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</si>
  <si>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</si>
  <si>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</si>
  <si>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</si>
  <si>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</si>
  <si>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</si>
  <si>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</si>
  <si>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</si>
  <si>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</si>
  <si>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</si>
  <si>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</si>
  <si>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</si>
  <si>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</si>
  <si>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</si>
  <si>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</si>
  <si>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</si>
  <si>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</si>
  <si>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</si>
  <si>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</si>
  <si>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</si>
  <si>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</si>
  <si>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</si>
  <si>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</si>
  <si>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</si>
  <si>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</si>
  <si>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</si>
  <si>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</si>
  <si>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</si>
  <si>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</si>
  <si>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</si>
  <si>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</si>
  <si>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</si>
  <si>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</si>
  <si>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</si>
  <si>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</si>
  <si>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</si>
  <si>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</si>
  <si>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</si>
  <si>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</si>
  <si>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</si>
  <si>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</si>
  <si>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</si>
  <si>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</si>
  <si>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</si>
  <si>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</si>
  <si>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</si>
  <si>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</si>
  <si>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</si>
  <si>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</si>
  <si>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</si>
  <si>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</si>
  <si>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</si>
  <si>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</si>
  <si>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</si>
  <si>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</si>
  <si>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</si>
  <si>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</si>
  <si>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</si>
  <si>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</si>
  <si>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</si>
  <si>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</si>
  <si>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</si>
  <si>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</si>
  <si>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</si>
  <si>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</si>
  <si>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</si>
  <si>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</si>
  <si>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</si>
  <si>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</si>
  <si>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</si>
  <si>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</si>
  <si>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</si>
  <si>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</si>
  <si>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</si>
  <si>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</si>
  <si>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</si>
  <si>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</si>
  <si>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</si>
  <si>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</si>
  <si>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</si>
  <si>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</si>
  <si>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</si>
  <si>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</si>
  <si>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</si>
  <si>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</si>
  <si>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</si>
  <si>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</si>
  <si>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</si>
  <si>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</si>
  <si>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</si>
  <si>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</si>
  <si>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</si>
  <si>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</si>
  <si>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</si>
  <si>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</si>
  <si>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</si>
  <si>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</si>
  <si>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</si>
  <si>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</si>
  <si>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</si>
  <si>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</si>
  <si>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</si>
  <si>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</si>
  <si>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</si>
  <si>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</si>
  <si>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</si>
  <si>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</si>
  <si>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</si>
  <si>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</si>
  <si>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</si>
  <si>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</si>
  <si>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</si>
  <si>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</si>
  <si>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</si>
  <si>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</si>
  <si>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</si>
  <si>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</si>
  <si>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</si>
  <si>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</si>
  <si>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</si>
  <si>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</si>
  <si>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</si>
  <si>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</si>
  <si>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</si>
  <si>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</si>
  <si>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</si>
  <si>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</si>
  <si>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</si>
  <si>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</si>
  <si>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</si>
  <si>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</si>
  <si>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</si>
  <si>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</si>
  <si>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</si>
  <si>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</si>
  <si>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</si>
  <si>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</si>
  <si>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</si>
  <si>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</si>
  <si>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</si>
  <si>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</si>
  <si>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</si>
  <si>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</si>
  <si>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</si>
  <si>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</si>
  <si>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</si>
  <si>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</si>
  <si>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</si>
  <si>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</si>
  <si>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</si>
  <si>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</si>
  <si>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</si>
  <si>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</si>
  <si>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</si>
  <si>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</si>
  <si>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</si>
  <si>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</si>
  <si>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</si>
  <si>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</si>
  <si>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</si>
  <si>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</si>
  <si>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</si>
  <si>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</si>
  <si>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</si>
  <si>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</si>
  <si>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</si>
  <si>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</si>
  <si>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</si>
  <si>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</si>
  <si>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</si>
  <si>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</si>
  <si>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</si>
  <si>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</si>
  <si>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</si>
  <si>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</si>
  <si>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</si>
  <si>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r>
      <t>Compact Fluorescent, twin or multi, (</t>
    </r>
    <r>
      <rPr>
        <sz val="11"/>
        <color indexed="10"/>
        <rFont val="Arial"/>
        <family val="2"/>
        <scheme val="minor"/>
      </rPr>
      <t>6</t>
    </r>
    <r>
      <rPr>
        <sz val="11"/>
        <rFont val="Arial"/>
        <family val="2"/>
        <scheme val="minor"/>
      </rPr>
      <t>) 32W lamp</t>
    </r>
  </si>
  <si>
    <t>CFT36/6-BX</t>
  </si>
  <si>
    <t>Compact Fluorescent, Biax, (6) 36W lamp</t>
  </si>
  <si>
    <t>CFT36/6-L</t>
  </si>
  <si>
    <t>Compact Fluorescent, long Twin, (6) 36W lamp</t>
  </si>
  <si>
    <r>
      <t>CFT36/6-L</t>
    </r>
    <r>
      <rPr>
        <sz val="11"/>
        <color indexed="10"/>
        <rFont val="Arial"/>
        <family val="2"/>
        <scheme val="minor"/>
      </rPr>
      <t>H</t>
    </r>
  </si>
  <si>
    <t>Compact Fluorescent, long Twin, (6) 36W lamp/ High Ballast Factor</t>
  </si>
  <si>
    <t>CFT36/6-LH</t>
  </si>
  <si>
    <t>CFT40/6-BX</t>
  </si>
  <si>
    <t>Compact Fluorescent, Biax, (6) 40W lamp</t>
  </si>
  <si>
    <t>CFT40/6-L</t>
  </si>
  <si>
    <t>Compact Fluorescent, long Twin, (6) 40W lamp</t>
  </si>
  <si>
    <r>
      <t>CFT40/6-L</t>
    </r>
    <r>
      <rPr>
        <sz val="11"/>
        <color indexed="10"/>
        <rFont val="Arial"/>
        <family val="2"/>
        <scheme val="minor"/>
      </rPr>
      <t>H</t>
    </r>
  </si>
  <si>
    <t>Compact Fluorescent, long Twin, (6) 40W lamp/ High Ballast Factor</t>
  </si>
  <si>
    <t>CFT40/6-LH</t>
  </si>
  <si>
    <t>CFT50/6-BX</t>
  </si>
  <si>
    <t>Compact Fluorescent, Biax, (6) 50W lamp</t>
  </si>
  <si>
    <t>CFT55/6-BX</t>
  </si>
  <si>
    <t>Compact Fluorescent, Biax, (6) 55W lamp</t>
  </si>
  <si>
    <t>CFT55/6-L</t>
  </si>
  <si>
    <t>Compact Fluorescent, long Twin, (6) 55W lamp</t>
  </si>
  <si>
    <r>
      <t>CFT55/6-L</t>
    </r>
    <r>
      <rPr>
        <sz val="11"/>
        <color indexed="10"/>
        <rFont val="Arial"/>
        <family val="2"/>
        <scheme val="minor"/>
      </rPr>
      <t>H</t>
    </r>
  </si>
  <si>
    <t>Compact Fluorescent, long Twin, (6) 55W lamp/ High Ballast Factor</t>
  </si>
  <si>
    <t>CFT55/6-LH</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</si>
  <si>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</si>
  <si>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</si>
  <si>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</si>
  <si>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</si>
  <si>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</si>
  <si>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</si>
  <si>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</si>
  <si>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</si>
  <si>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</si>
  <si>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</si>
  <si>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r>
      <t>CFT36/8-L</t>
    </r>
    <r>
      <rPr>
        <sz val="11"/>
        <color indexed="10"/>
        <rFont val="Arial"/>
        <family val="2"/>
        <scheme val="minor"/>
      </rPr>
      <t>H</t>
    </r>
  </si>
  <si>
    <t>Compact Fluorescent, long Twin, (8) 36W lamp/ High Ballast Factor</t>
  </si>
  <si>
    <t>CFT36/8-LH</t>
  </si>
  <si>
    <t>CFT40/8-BX</t>
  </si>
  <si>
    <t>Compact Fluorescent, Biax, (8) 40W lamp</t>
  </si>
  <si>
    <t>CFT40/8-L</t>
  </si>
  <si>
    <t>Compact Fluorescent, long Twin, (8) 40W lamp</t>
  </si>
  <si>
    <r>
      <t>CFT40/8-L</t>
    </r>
    <r>
      <rPr>
        <sz val="11"/>
        <color indexed="10"/>
        <rFont val="Arial"/>
        <family val="2"/>
        <scheme val="minor"/>
      </rPr>
      <t>H</t>
    </r>
  </si>
  <si>
    <t>Compact Fluorescent, long Twin, (8) 40W lamp/ High Ballast Factor</t>
  </si>
  <si>
    <t>CFT40/8-LH</t>
  </si>
  <si>
    <t>CFT50/8-BX</t>
  </si>
  <si>
    <t>Compact Fluorescent, Biax, (8) 50W lamp</t>
  </si>
  <si>
    <t>CFT55/8-BX</t>
  </si>
  <si>
    <t>Compact Fluorescent, Biax, (8) 55W lamp</t>
  </si>
  <si>
    <t>CFT55/8-L</t>
  </si>
  <si>
    <t>Compact Fluorescent, long Twin, (8) 55W lamp</t>
  </si>
  <si>
    <r>
      <t>CFT55/8-L</t>
    </r>
    <r>
      <rPr>
        <sz val="11"/>
        <color indexed="10"/>
        <rFont val="Arial"/>
        <family val="2"/>
        <scheme val="minor"/>
      </rPr>
      <t>H</t>
    </r>
  </si>
  <si>
    <t>Compact Fluorescent, long Twin, (8) 55W lamp/ High Ballast Factor</t>
  </si>
  <si>
    <t>CFT55/8-LH</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</si>
  <si>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</si>
  <si>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</si>
  <si>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</si>
  <si>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</si>
  <si>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</si>
  <si>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</si>
  <si>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</si>
  <si>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</si>
  <si>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</si>
  <si>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</si>
  <si>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</si>
  <si>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</si>
  <si>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</si>
  <si>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</si>
  <si>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</si>
  <si>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</si>
  <si>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</si>
  <si>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</si>
  <si>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</si>
  <si>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</si>
  <si>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</si>
  <si>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</si>
  <si>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</si>
  <si>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</si>
  <si>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</si>
  <si>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</si>
  <si>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</si>
  <si>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</si>
  <si>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</si>
  <si>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</si>
  <si>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</si>
  <si>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</si>
  <si>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</si>
  <si>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</si>
  <si>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</si>
  <si>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</si>
  <si>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</si>
  <si>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</si>
  <si>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</si>
  <si>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</si>
  <si>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</si>
  <si>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</si>
  <si>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</si>
  <si>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</si>
  <si>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</si>
  <si>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</si>
  <si>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</si>
  <si>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</si>
  <si>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</si>
  <si>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</si>
  <si>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</si>
  <si>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</si>
  <si>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</si>
  <si>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</si>
  <si>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</si>
  <si>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</si>
  <si>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</si>
  <si>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</si>
  <si>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</si>
  <si>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</si>
  <si>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</si>
  <si>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</si>
  <si>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</si>
  <si>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</si>
  <si>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</si>
  <si>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</si>
  <si>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</si>
  <si>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</si>
  <si>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</si>
  <si>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</si>
  <si>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</si>
  <si>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</si>
  <si>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</si>
  <si>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</si>
  <si>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</si>
  <si>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</si>
  <si>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</si>
  <si>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</si>
  <si>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</si>
  <si>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</si>
  <si>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</si>
  <si>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</si>
  <si>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</si>
  <si>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</si>
  <si>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</si>
  <si>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</si>
  <si>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</si>
  <si>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</si>
  <si>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</si>
  <si>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</si>
  <si>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</si>
  <si>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</si>
  <si>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</si>
  <si>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</si>
  <si>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</si>
  <si>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</si>
  <si>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</si>
  <si>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</si>
  <si>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</si>
  <si>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</si>
  <si>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</si>
  <si>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</si>
  <si>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</si>
  <si>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</si>
  <si>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</si>
  <si>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</si>
  <si>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</si>
  <si>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</si>
  <si>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</si>
  <si>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</si>
  <si>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</si>
  <si>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</si>
  <si>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</si>
  <si>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</si>
  <si>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</si>
  <si>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</si>
  <si>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</si>
  <si>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</si>
  <si>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</si>
  <si>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</si>
  <si>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</si>
  <si>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</si>
  <si>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</si>
  <si>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</si>
  <si>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</si>
  <si>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</si>
  <si>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</si>
  <si>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</si>
  <si>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</si>
  <si>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</si>
  <si>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</si>
  <si>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</si>
  <si>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</si>
  <si>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</si>
  <si>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</si>
  <si>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</si>
  <si>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</si>
  <si>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</si>
  <si>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</si>
  <si>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</si>
  <si>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</si>
  <si>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</si>
  <si>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</si>
  <si>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</si>
  <si>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</si>
  <si>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</si>
  <si>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</si>
  <si>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</si>
  <si>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</si>
  <si>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</si>
  <si>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</si>
  <si>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</si>
  <si>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</si>
  <si>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</si>
  <si>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</si>
  <si>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</si>
  <si>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</si>
  <si>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</si>
  <si>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</si>
  <si>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</si>
  <si>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</si>
  <si>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</si>
  <si>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</si>
  <si>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</si>
  <si>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</si>
  <si>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</si>
  <si>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</si>
  <si>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</si>
  <si>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</si>
  <si>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</si>
  <si>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</si>
  <si>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</si>
  <si>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</si>
  <si>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</si>
  <si>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</si>
  <si>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</si>
  <si>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</si>
  <si>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</si>
  <si>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</si>
  <si>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</si>
  <si>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</si>
  <si>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</si>
  <si>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</si>
  <si>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</si>
  <si>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</si>
  <si>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</si>
  <si>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</si>
  <si>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</si>
  <si>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</si>
  <si>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</si>
  <si>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</si>
  <si>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</si>
  <si>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</si>
  <si>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</si>
  <si>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</si>
  <si>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</si>
  <si>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</si>
  <si>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</si>
  <si>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</si>
  <si>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</si>
  <si>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</si>
  <si>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</si>
  <si>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</si>
  <si>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</si>
  <si>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</si>
  <si>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</si>
  <si>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</si>
  <si>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</si>
  <si>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</si>
  <si>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</si>
  <si>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</si>
  <si>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</si>
  <si>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</si>
  <si>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</si>
  <si>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</si>
  <si>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</si>
  <si>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</si>
  <si>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</si>
  <si>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</si>
  <si>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</si>
  <si>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</si>
  <si>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</si>
  <si>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</si>
  <si>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</si>
  <si>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</si>
  <si>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</si>
  <si>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</si>
  <si>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</si>
  <si>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</si>
  <si>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</si>
  <si>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</si>
  <si>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</si>
  <si>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</si>
  <si>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</si>
  <si>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</si>
  <si>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</si>
  <si>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</si>
  <si>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</si>
  <si>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</si>
  <si>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</si>
  <si>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</si>
  <si>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</si>
  <si>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</si>
  <si>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</si>
  <si>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</si>
  <si>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</si>
  <si>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</si>
  <si>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</si>
  <si>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</si>
  <si>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</si>
  <si>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</si>
  <si>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</si>
  <si>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</si>
  <si>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</si>
  <si>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</si>
  <si>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</si>
  <si>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</si>
  <si>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</si>
  <si>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</si>
  <si>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</si>
  <si>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</si>
  <si>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</si>
  <si>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F41ILL/T4-R</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</si>
  <si>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</si>
  <si>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</si>
  <si>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</si>
  <si>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</si>
  <si>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</si>
  <si>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</si>
  <si>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</si>
  <si>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</si>
  <si>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</si>
  <si>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</si>
  <si>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</si>
  <si>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</si>
  <si>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</si>
  <si>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</si>
  <si>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</si>
  <si>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</si>
  <si>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</si>
  <si>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</si>
  <si>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</si>
  <si>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</si>
  <si>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</si>
  <si>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</si>
  <si>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</si>
  <si>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</si>
  <si>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</si>
  <si>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</si>
  <si>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</si>
  <si>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</si>
  <si>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</si>
  <si>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</si>
  <si>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</si>
  <si>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</si>
  <si>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</si>
  <si>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</si>
  <si>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</si>
  <si>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</si>
  <si>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</si>
  <si>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</si>
  <si>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</si>
  <si>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</si>
  <si>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</si>
  <si>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</si>
  <si>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</si>
  <si>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</si>
  <si>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</si>
  <si>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</si>
  <si>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</si>
  <si>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</si>
  <si>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</si>
  <si>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</si>
  <si>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</si>
  <si>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Fluorescent, (2) 48", T-8 lamp, Instant Start Ballast, NLO (BF: .85-.95)</t>
  </si>
  <si>
    <t>F42SILL</t>
  </si>
  <si>
    <t>Fluorescent, (2) 48", Super T-8 lamp, Instant Start Ballast, NLO (BF: .85-.95)</t>
  </si>
  <si>
    <r>
      <t>F4</t>
    </r>
    <r>
      <rPr>
        <sz val="11"/>
        <color indexed="10"/>
        <rFont val="Arial"/>
        <family val="2"/>
        <scheme val="minor"/>
      </rPr>
      <t>2</t>
    </r>
    <r>
      <rPr>
        <sz val="11"/>
        <rFont val="Arial"/>
        <family val="2"/>
        <scheme val="minor"/>
      </rPr>
      <t>SILL/T4</t>
    </r>
  </si>
  <si>
    <t>Fluorescent, (2) 48", Super T-8 lamp, Instant Start Ballast, NLO (BF: .85-.95), Tandem 4 Lamp Ballast</t>
  </si>
  <si>
    <t>F42SILL/T4</t>
  </si>
  <si>
    <t>F42SILL-R</t>
  </si>
  <si>
    <t>Fluorescent, (2) 48", Super T-8 lamp, Instant Start Ballast, RLO (BF&lt;0.85)</t>
  </si>
  <si>
    <r>
      <t>F4</t>
    </r>
    <r>
      <rPr>
        <sz val="11"/>
        <color indexed="10"/>
        <rFont val="Arial"/>
        <family val="2"/>
        <scheme val="minor"/>
      </rPr>
      <t>2</t>
    </r>
    <r>
      <rPr>
        <sz val="11"/>
        <rFont val="Arial"/>
        <family val="2"/>
        <scheme val="minor"/>
      </rPr>
      <t>SILL/T4-R</t>
    </r>
  </si>
  <si>
    <t>Fluorescent, (2) 48", Super T-8 lamp, IS Ballast, RLO (BF&lt;0.85), Tandem 4 Lamp Ballast</t>
  </si>
  <si>
    <t>F42SILL/T4-R</t>
  </si>
  <si>
    <t>F42SILL-H</t>
  </si>
  <si>
    <t>Fluorescent, (2) 48", Super T-8 lamp, Instant Start Ballast, HLO (BF:.96-2.2)</t>
  </si>
  <si>
    <r>
      <t>F4</t>
    </r>
    <r>
      <rPr>
        <sz val="11"/>
        <color indexed="10"/>
        <rFont val="Arial"/>
        <family val="2"/>
        <scheme val="minor"/>
      </rPr>
      <t>2</t>
    </r>
    <r>
      <rPr>
        <sz val="11"/>
        <rFont val="Arial"/>
        <family val="2"/>
        <scheme val="minor"/>
      </rPr>
      <t>SSILL/T4</t>
    </r>
  </si>
  <si>
    <t>F42SSILL/T4</t>
  </si>
  <si>
    <t>F42SSILL-R</t>
  </si>
  <si>
    <r>
      <t>F4</t>
    </r>
    <r>
      <rPr>
        <sz val="11"/>
        <color indexed="10"/>
        <rFont val="Arial"/>
        <family val="2"/>
        <scheme val="minor"/>
      </rPr>
      <t>2</t>
    </r>
    <r>
      <rPr>
        <sz val="11"/>
        <rFont val="Arial"/>
        <family val="2"/>
        <scheme val="minor"/>
      </rPr>
      <t>SSILL/T4-R</t>
    </r>
  </si>
  <si>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</si>
  <si>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</si>
  <si>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</si>
  <si>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</si>
  <si>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</si>
  <si>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</si>
  <si>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</si>
  <si>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</si>
  <si>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</si>
  <si>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</si>
  <si>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</si>
  <si>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</si>
  <si>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</si>
  <si>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</si>
  <si>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</si>
  <si>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</si>
  <si>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</si>
  <si>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</si>
  <si>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</si>
  <si>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</si>
  <si>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</si>
  <si>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</si>
  <si>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</si>
  <si>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</si>
  <si>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</si>
  <si>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</si>
  <si>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</si>
  <si>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</si>
  <si>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</si>
  <si>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</si>
  <si>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</si>
  <si>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</si>
  <si>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</si>
  <si>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</si>
  <si>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</si>
  <si>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</si>
  <si>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</si>
  <si>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</si>
  <si>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</si>
  <si>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</si>
  <si>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</si>
  <si>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</si>
  <si>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</si>
  <si>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</si>
  <si>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</si>
  <si>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</si>
  <si>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</si>
  <si>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</si>
  <si>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</si>
  <si>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</si>
  <si>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</si>
  <si>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</si>
  <si>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</si>
  <si>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</si>
  <si>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</si>
  <si>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</si>
  <si>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</si>
  <si>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</si>
  <si>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</si>
  <si>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</si>
  <si>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</si>
  <si>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</si>
  <si>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</si>
  <si>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</si>
  <si>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</si>
  <si>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</si>
  <si>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</si>
  <si>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</si>
  <si>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</si>
  <si>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</si>
  <si>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</si>
  <si>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</si>
  <si>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</si>
  <si>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</si>
  <si>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</si>
  <si>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</si>
  <si>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</si>
  <si>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</si>
  <si>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</si>
  <si>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</si>
  <si>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</si>
  <si>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</si>
  <si>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</si>
  <si>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</si>
  <si>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</si>
  <si>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</si>
  <si>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</si>
  <si>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</si>
  <si>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</si>
  <si>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</si>
  <si>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</si>
  <si>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</si>
  <si>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</si>
  <si>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</si>
  <si>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</si>
  <si>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</si>
  <si>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</si>
  <si>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</si>
  <si>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</si>
  <si>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</si>
  <si>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</si>
  <si>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</si>
  <si>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</si>
  <si>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</si>
  <si>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</si>
  <si>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</si>
  <si>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</si>
  <si>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</si>
  <si>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</si>
  <si>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</si>
  <si>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</si>
  <si>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</si>
  <si>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</si>
  <si>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</si>
  <si>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</si>
  <si>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</si>
  <si>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</si>
  <si>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</si>
  <si>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</si>
  <si>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</si>
  <si>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</si>
  <si>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</si>
  <si>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</si>
  <si>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</si>
  <si>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</si>
  <si>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</si>
  <si>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</si>
  <si>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</si>
  <si>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</si>
  <si>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</si>
  <si>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</si>
  <si>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</si>
  <si>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</si>
  <si>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</si>
  <si>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</si>
  <si>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</si>
  <si>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</si>
  <si>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</si>
  <si>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</si>
  <si>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</si>
  <si>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</si>
  <si>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</si>
  <si>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</si>
  <si>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</si>
  <si>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</si>
  <si>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</si>
  <si>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</si>
  <si>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</si>
  <si>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</si>
  <si>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</si>
  <si>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</si>
  <si>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</si>
  <si>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</si>
  <si>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</si>
  <si>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</si>
  <si>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</si>
  <si>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</si>
  <si>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</si>
  <si>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</si>
  <si>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</si>
  <si>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</si>
  <si>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</si>
  <si>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</si>
  <si>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</si>
  <si>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</si>
  <si>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</si>
  <si>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</si>
  <si>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</si>
  <si>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</si>
  <si>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</si>
  <si>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</si>
  <si>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</si>
  <si>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</si>
  <si>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</si>
  <si>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</si>
  <si>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</si>
  <si>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</si>
  <si>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</si>
  <si>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</si>
  <si>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</si>
  <si>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</si>
  <si>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</si>
  <si>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</si>
  <si>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</si>
  <si>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</si>
  <si>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</si>
  <si>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</si>
  <si>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</si>
  <si>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</si>
  <si>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</si>
  <si>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</si>
  <si>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</si>
  <si>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</si>
  <si>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</si>
  <si>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</si>
  <si>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</si>
  <si>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</si>
  <si>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</si>
  <si>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</si>
  <si>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</si>
  <si>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</si>
  <si>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</si>
  <si>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</si>
  <si>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</si>
  <si>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</si>
  <si>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</si>
  <si>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</si>
  <si>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</si>
  <si>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</si>
  <si>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</si>
  <si>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</si>
  <si>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</si>
  <si>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r>
      <t>Fluorescent, (</t>
    </r>
    <r>
      <rPr>
        <sz val="11"/>
        <color indexed="10"/>
        <rFont val="Arial"/>
        <family val="2"/>
        <scheme val="minor"/>
      </rPr>
      <t>2</t>
    </r>
    <r>
      <rPr>
        <sz val="11"/>
        <rFont val="Arial"/>
        <family val="2"/>
        <scheme val="minor"/>
      </rPr>
      <t>) 36", STD HO T5 lamp</t>
    </r>
  </si>
  <si>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</si>
  <si>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</si>
  <si>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</si>
  <si>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</si>
  <si>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</si>
  <si>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</si>
  <si>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</si>
  <si>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</si>
  <si>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</si>
  <si>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</si>
  <si>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</si>
  <si>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</si>
  <si>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</si>
  <si>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</si>
  <si>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</si>
  <si>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</si>
  <si>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</si>
  <si>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</si>
  <si>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</si>
  <si>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</si>
  <si>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</si>
  <si>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</si>
  <si>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</si>
  <si>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</si>
  <si>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</si>
  <si>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</si>
  <si>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</si>
  <si>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</si>
  <si>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</si>
  <si>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</si>
  <si>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</si>
  <si>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</si>
  <si>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</si>
  <si>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</si>
  <si>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</si>
  <si>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</si>
  <si>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</si>
  <si>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</si>
  <si>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</si>
  <si>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</si>
  <si>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</si>
  <si>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</si>
  <si>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</si>
  <si>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</si>
  <si>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</si>
  <si>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</si>
  <si>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</si>
  <si>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</si>
  <si>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</si>
  <si>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</si>
  <si>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</si>
  <si>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</si>
  <si>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</si>
  <si>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</si>
  <si>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</si>
  <si>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</si>
  <si>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</si>
  <si>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</si>
  <si>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</si>
  <si>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</si>
  <si>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</si>
  <si>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</si>
  <si>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</si>
  <si>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</si>
  <si>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</si>
  <si>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</si>
  <si>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</si>
  <si>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</si>
  <si>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</si>
  <si>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</si>
  <si>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</si>
  <si>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</si>
  <si>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</si>
  <si>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</si>
  <si>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</si>
  <si>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</si>
  <si>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</si>
  <si>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</si>
  <si>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</si>
  <si>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</si>
  <si>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</si>
  <si>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</si>
  <si>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</si>
  <si>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</si>
  <si>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</si>
  <si>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</si>
  <si>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</si>
  <si>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</si>
  <si>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</si>
  <si>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</si>
  <si>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</si>
  <si>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</si>
  <si>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</si>
  <si>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</si>
  <si>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</si>
  <si>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</si>
  <si>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</si>
  <si>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</si>
  <si>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</si>
  <si>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</si>
  <si>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</si>
  <si>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</si>
  <si>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</si>
  <si>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</si>
  <si>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</si>
  <si>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</si>
  <si>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</si>
  <si>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</si>
  <si>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</si>
  <si>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</si>
  <si>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</si>
  <si>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</si>
  <si>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</si>
  <si>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</si>
  <si>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</si>
  <si>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</si>
  <si>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</si>
  <si>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</si>
  <si>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</si>
  <si>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</si>
  <si>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</si>
  <si>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</si>
  <si>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</si>
  <si>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</si>
  <si>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</si>
  <si>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</si>
  <si>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</si>
  <si>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</si>
  <si>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</si>
  <si>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</si>
  <si>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</si>
  <si>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</si>
  <si>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</si>
  <si>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</si>
  <si>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</si>
  <si>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</si>
  <si>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</si>
  <si>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</si>
  <si>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</si>
  <si>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</si>
  <si>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</si>
  <si>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</si>
  <si>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</si>
  <si>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</si>
  <si>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</si>
  <si>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</si>
  <si>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</si>
  <si>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</si>
  <si>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</si>
  <si>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</si>
  <si>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</si>
  <si>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</si>
  <si>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</si>
  <si>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</si>
  <si>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</si>
  <si>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</si>
  <si>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</si>
  <si>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</si>
  <si>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</si>
  <si>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</si>
  <si>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</si>
  <si>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</si>
  <si>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</si>
  <si>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</si>
  <si>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</si>
  <si>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</si>
  <si>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</si>
  <si>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</si>
  <si>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</si>
  <si>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</si>
  <si>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</si>
  <si>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</si>
  <si>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</si>
  <si>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</si>
  <si>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</si>
  <si>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</si>
  <si>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</si>
  <si>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</si>
  <si>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</si>
  <si>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</si>
  <si>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</si>
  <si>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</si>
  <si>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</si>
  <si>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</si>
  <si>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</si>
  <si>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</si>
  <si>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</si>
  <si>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</si>
  <si>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</si>
  <si>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</si>
  <si>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</si>
  <si>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</si>
  <si>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</si>
  <si>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</si>
  <si>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</si>
  <si>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</si>
  <si>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</si>
  <si>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</si>
  <si>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</si>
  <si>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</si>
  <si>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</si>
  <si>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</si>
  <si>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</si>
  <si>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</si>
  <si>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</si>
  <si>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</si>
  <si>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</si>
  <si>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</si>
  <si>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</si>
  <si>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</si>
  <si>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</si>
  <si>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</si>
  <si>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</si>
  <si>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</si>
  <si>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</si>
  <si>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</si>
  <si>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</si>
  <si>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</si>
  <si>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</si>
  <si>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</si>
  <si>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</si>
  <si>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</si>
  <si>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</si>
  <si>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</si>
  <si>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</si>
  <si>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</si>
  <si>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</si>
  <si>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</si>
  <si>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</si>
  <si>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</si>
  <si>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</si>
  <si>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</si>
  <si>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</si>
  <si>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</si>
  <si>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</si>
  <si>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</si>
  <si>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</si>
  <si>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</si>
  <si>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</si>
  <si>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</si>
  <si>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</si>
  <si>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</si>
  <si>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</si>
  <si>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</si>
  <si>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</si>
  <si>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</si>
  <si>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</si>
  <si>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</si>
  <si>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</si>
  <si>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</si>
  <si>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</si>
  <si>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</si>
  <si>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</si>
  <si>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</si>
  <si>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</si>
  <si>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</si>
  <si>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</si>
  <si>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</si>
  <si>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</si>
  <si>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</si>
  <si>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</si>
  <si>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</si>
  <si>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</si>
  <si>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</si>
  <si>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</si>
  <si>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</si>
  <si>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</si>
  <si>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</si>
  <si>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</si>
  <si>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</si>
  <si>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</si>
  <si>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</si>
  <si>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</si>
  <si>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</si>
  <si>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</si>
  <si>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</si>
  <si>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</si>
  <si>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</si>
  <si>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</si>
  <si>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</si>
  <si>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</si>
  <si>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</si>
  <si>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</si>
  <si>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</si>
  <si>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</si>
  <si>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</si>
  <si>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</si>
  <si>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</si>
  <si>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</si>
  <si>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</si>
  <si>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</si>
  <si>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</si>
  <si>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</si>
  <si>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</si>
  <si>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</si>
  <si>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</si>
  <si>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</si>
  <si>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</si>
  <si>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</si>
  <si>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</si>
  <si>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</si>
  <si>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</si>
  <si>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</si>
  <si>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</si>
  <si>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</si>
  <si>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</si>
  <si>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</si>
  <si>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</si>
  <si>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</si>
  <si>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</si>
  <si>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</si>
  <si>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</si>
  <si>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</si>
  <si>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</si>
  <si>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</si>
  <si>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</si>
  <si>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</si>
  <si>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</si>
  <si>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</si>
  <si>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</si>
  <si>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</si>
  <si>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</si>
  <si>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</si>
  <si>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</si>
  <si>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</si>
  <si>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</si>
  <si>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</si>
  <si>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</si>
  <si>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</si>
  <si>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</si>
  <si>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</si>
  <si>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</si>
  <si>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</si>
  <si>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</si>
  <si>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</si>
  <si>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</si>
  <si>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</si>
  <si>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</si>
  <si>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</si>
  <si>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</si>
  <si>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</si>
  <si>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</si>
  <si>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</si>
  <si>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</si>
  <si>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</si>
  <si>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</si>
  <si>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</si>
  <si>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</si>
  <si>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</si>
  <si>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</si>
  <si>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</si>
  <si>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</si>
  <si>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</si>
  <si>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</si>
  <si>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</si>
  <si>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</si>
  <si>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</si>
  <si>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</si>
  <si>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</si>
  <si>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</si>
  <si>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</si>
  <si>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</si>
  <si>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</si>
  <si>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</si>
  <si>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</si>
  <si>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</si>
  <si>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</si>
  <si>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</si>
  <si>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</si>
  <si>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</si>
  <si>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</si>
  <si>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</si>
  <si>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</si>
  <si>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</si>
  <si>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</si>
  <si>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</si>
  <si>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</si>
  <si>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</si>
  <si>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</si>
  <si>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</si>
  <si>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</si>
  <si>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</si>
  <si>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</si>
  <si>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</si>
  <si>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</si>
  <si>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</si>
  <si>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</si>
  <si>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</si>
  <si>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</si>
  <si>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</si>
  <si>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</si>
  <si>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</si>
  <si>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</si>
  <si>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</si>
  <si>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</si>
  <si>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</si>
  <si>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</si>
  <si>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</si>
  <si>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</si>
  <si>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</si>
  <si>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</si>
  <si>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</si>
  <si>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</si>
  <si>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</si>
  <si>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</si>
  <si>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</si>
  <si>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</si>
  <si>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</si>
  <si>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</si>
  <si>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r>
      <t>Fluorescent, (</t>
    </r>
    <r>
      <rPr>
        <sz val="11"/>
        <color indexed="10"/>
        <rFont val="Arial"/>
        <family val="2"/>
        <scheme val="minor"/>
      </rPr>
      <t>4</t>
    </r>
    <r>
      <rPr>
        <sz val="11"/>
        <rFont val="Arial"/>
        <family val="2"/>
        <scheme val="minor"/>
      </rPr>
      <t>) 96", STD HO lamp</t>
    </r>
  </si>
  <si>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</si>
  <si>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</si>
  <si>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</si>
  <si>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</si>
  <si>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</si>
  <si>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</si>
  <si>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</si>
  <si>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</si>
  <si>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</si>
  <si>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</si>
  <si>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</si>
  <si>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</si>
  <si>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</si>
  <si>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</si>
  <si>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</si>
  <si>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</si>
  <si>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</si>
  <si>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</si>
  <si>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</si>
  <si>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</si>
  <si>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</si>
  <si>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</si>
  <si>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</si>
  <si>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</si>
  <si>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</si>
  <si>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</si>
  <si>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</si>
  <si>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</si>
  <si>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</si>
  <si>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</si>
  <si>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</si>
  <si>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</si>
  <si>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</si>
  <si>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</si>
  <si>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</si>
  <si>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</si>
  <si>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</si>
  <si>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</si>
  <si>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</si>
  <si>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</si>
  <si>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</si>
  <si>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</si>
  <si>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</si>
  <si>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</si>
  <si>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</si>
  <si>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</si>
  <si>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</si>
  <si>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</si>
  <si>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</si>
  <si>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</si>
  <si>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</si>
  <si>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</si>
  <si>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</si>
  <si>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</si>
  <si>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</si>
  <si>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</si>
  <si>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</si>
  <si>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</si>
  <si>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</si>
  <si>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</si>
  <si>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</si>
  <si>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</si>
  <si>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</si>
  <si>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</si>
  <si>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</si>
  <si>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</si>
  <si>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</si>
  <si>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</si>
  <si>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</si>
  <si>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</si>
  <si>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</si>
  <si>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22/32</t>
  </si>
  <si>
    <t>FC32/1</t>
  </si>
  <si>
    <t>Fluorescent, Circline, (1) 32W lamp, preheat ballast</t>
  </si>
  <si>
    <t>FC32/40/1</t>
  </si>
  <si>
    <t>FC32/40T9</t>
  </si>
  <si>
    <t>Fluorescent, Circlite, (1) 32W/40W lamp, preheat ballast</t>
  </si>
  <si>
    <t>32/40</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</si>
  <si>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</si>
  <si>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</si>
  <si>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</si>
  <si>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</si>
  <si>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</si>
  <si>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</si>
  <si>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</si>
  <si>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</si>
  <si>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</si>
  <si>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</si>
  <si>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</si>
  <si>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</si>
  <si>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</si>
  <si>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Fluorescent, (0) 48" lamp, Completely delamped fixture with (1) hot ballast</t>
  </si>
  <si>
    <t>F40EE/D2</t>
  </si>
  <si>
    <t>Fluorescent, (0) 48" lamp, Completely delamped fixture with (2) hot ballast</t>
  </si>
  <si>
    <t>ECF5/1</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</si>
  <si>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</si>
  <si>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</si>
  <si>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</si>
  <si>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</si>
  <si>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</si>
  <si>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</si>
  <si>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</si>
  <si>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</si>
  <si>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</si>
  <si>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</si>
  <si>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</si>
  <si>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</si>
  <si>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</si>
  <si>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</si>
  <si>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</si>
  <si>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</si>
  <si>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</si>
  <si>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</si>
  <si>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</si>
  <si>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</si>
  <si>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</si>
  <si>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</si>
  <si>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</si>
  <si>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</si>
  <si>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</si>
  <si>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</si>
  <si>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</si>
  <si>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</si>
  <si>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</si>
  <si>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</si>
  <si>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</si>
  <si>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</si>
  <si>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</si>
  <si>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</si>
  <si>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</si>
  <si>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</si>
  <si>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</si>
  <si>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</si>
  <si>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</si>
  <si>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</si>
  <si>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</si>
  <si>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</si>
  <si>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</si>
  <si>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</si>
  <si>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</si>
  <si>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</si>
  <si>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</si>
  <si>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</si>
  <si>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</si>
  <si>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</si>
  <si>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</si>
  <si>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</si>
  <si>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</si>
  <si>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</si>
  <si>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</si>
  <si>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</si>
  <si>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</si>
  <si>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</si>
  <si>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</si>
  <si>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</si>
  <si>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</si>
  <si>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</si>
  <si>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</si>
  <si>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</si>
  <si>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</si>
  <si>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</si>
  <si>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</si>
  <si>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</si>
  <si>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</si>
  <si>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</si>
  <si>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</si>
  <si>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</si>
  <si>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</si>
  <si>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</si>
  <si>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</si>
  <si>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</si>
  <si>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</si>
  <si>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</si>
  <si>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</si>
  <si>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</si>
  <si>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</si>
  <si>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</si>
  <si>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</si>
  <si>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</si>
  <si>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</si>
  <si>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</si>
  <si>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</si>
  <si>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</si>
  <si>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</si>
  <si>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</si>
  <si>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</si>
  <si>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</si>
  <si>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</si>
  <si>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</si>
  <si>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</si>
  <si>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</si>
  <si>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</si>
  <si>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</si>
  <si>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</si>
  <si>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</si>
  <si>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</si>
  <si>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</si>
  <si>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</si>
  <si>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</si>
  <si>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</si>
  <si>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</si>
  <si>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</si>
  <si>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</si>
  <si>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</si>
  <si>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</si>
  <si>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</si>
  <si>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</si>
  <si>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</si>
  <si>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</si>
  <si>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</si>
  <si>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</si>
  <si>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</si>
  <si>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</si>
  <si>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</si>
  <si>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</si>
  <si>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</si>
  <si>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</si>
  <si>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</si>
  <si>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</si>
  <si>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</si>
  <si>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</si>
  <si>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</si>
  <si>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</si>
  <si>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</si>
  <si>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</si>
  <si>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</si>
  <si>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</si>
  <si>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</si>
  <si>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</si>
  <si>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</si>
  <si>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</si>
  <si>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</si>
  <si>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</si>
  <si>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</si>
  <si>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</si>
  <si>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</si>
  <si>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</si>
  <si>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</si>
  <si>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</si>
  <si>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</si>
  <si>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</si>
  <si>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</si>
  <si>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</si>
  <si>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</si>
  <si>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</si>
  <si>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</si>
  <si>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</si>
  <si>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</si>
  <si>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</si>
  <si>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</si>
  <si>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</si>
  <si>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</si>
  <si>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</si>
  <si>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</si>
  <si>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</si>
  <si>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</si>
  <si>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</si>
  <si>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</si>
  <si>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</si>
  <si>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</si>
  <si>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</si>
  <si>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</si>
  <si>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</si>
  <si>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</si>
  <si>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</si>
  <si>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</si>
  <si>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</si>
  <si>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</si>
  <si>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</si>
  <si>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</si>
  <si>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</si>
  <si>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</si>
  <si>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</si>
  <si>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</si>
  <si>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</si>
  <si>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</si>
  <si>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</si>
  <si>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</si>
  <si>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</si>
  <si>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</si>
  <si>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</si>
  <si>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</si>
  <si>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</si>
  <si>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</si>
  <si>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</si>
  <si>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</si>
  <si>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</si>
  <si>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</si>
  <si>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</si>
  <si>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</si>
  <si>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</si>
  <si>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</si>
  <si>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</si>
  <si>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</si>
  <si>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</si>
  <si>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</si>
  <si>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</si>
  <si>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</si>
  <si>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</si>
  <si>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</si>
  <si>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</si>
  <si>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</si>
  <si>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</si>
  <si>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</si>
  <si>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</si>
  <si>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</si>
  <si>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</si>
  <si>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</si>
  <si>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</si>
  <si>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</si>
  <si>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</si>
  <si>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</si>
  <si>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</si>
  <si>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</si>
  <si>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</si>
  <si>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</si>
  <si>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</si>
  <si>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</si>
  <si>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</si>
  <si>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</si>
  <si>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</si>
  <si>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</si>
  <si>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</si>
  <si>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</si>
  <si>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</si>
  <si>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</si>
  <si>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</si>
  <si>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</si>
  <si>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</si>
  <si>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</si>
  <si>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</si>
  <si>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</si>
  <si>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</si>
  <si>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</si>
  <si>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</si>
  <si>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</si>
  <si>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</si>
  <si>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</si>
  <si>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</si>
  <si>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</si>
  <si>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</si>
  <si>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</si>
  <si>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</si>
  <si>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</si>
  <si>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</si>
  <si>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</si>
  <si>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</si>
  <si>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</si>
  <si>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</si>
  <si>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</si>
  <si>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</si>
  <si>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</si>
  <si>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</si>
  <si>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</si>
  <si>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</si>
  <si>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</si>
  <si>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</si>
  <si>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</si>
  <si>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</si>
  <si>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</si>
  <si>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</si>
  <si>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</si>
  <si>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</si>
  <si>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</si>
  <si>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</si>
  <si>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</si>
  <si>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</si>
  <si>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</si>
  <si>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</si>
  <si>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</si>
  <si>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</si>
  <si>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</si>
  <si>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</si>
  <si>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</si>
  <si>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</si>
  <si>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</si>
  <si>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</si>
  <si>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</si>
  <si>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</si>
  <si>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</si>
  <si>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</si>
  <si>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</si>
  <si>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</si>
  <si>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</si>
  <si>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</si>
  <si>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</si>
  <si>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</si>
  <si>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</si>
  <si>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</si>
  <si>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</si>
  <si>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</si>
  <si>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</si>
  <si>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</si>
  <si>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</si>
  <si>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</si>
  <si>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</si>
  <si>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</si>
  <si>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</si>
  <si>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</si>
  <si>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</si>
  <si>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</si>
  <si>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</si>
  <si>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</si>
  <si>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</si>
  <si>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</si>
  <si>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</si>
  <si>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</si>
  <si>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</si>
  <si>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</si>
  <si>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</si>
  <si>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</si>
  <si>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</si>
  <si>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</si>
  <si>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</si>
  <si>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</si>
  <si>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</si>
  <si>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</si>
  <si>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</si>
  <si>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</si>
  <si>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</si>
  <si>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</si>
  <si>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</si>
  <si>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</si>
  <si>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</si>
  <si>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</si>
  <si>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</si>
  <si>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</si>
  <si>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</si>
  <si>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</si>
  <si>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</si>
  <si>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</si>
  <si>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</si>
  <si>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</si>
  <si>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</si>
  <si>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</si>
  <si>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</si>
  <si>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</si>
  <si>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</si>
  <si>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</si>
  <si>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</si>
  <si>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</si>
  <si>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</si>
  <si>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</si>
  <si>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</si>
  <si>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</si>
  <si>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</si>
  <si>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</si>
  <si>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</si>
  <si>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</si>
  <si>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</si>
  <si>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</si>
  <si>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</si>
  <si>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</si>
  <si>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</si>
  <si>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</si>
  <si>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</si>
  <si>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</si>
  <si>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</si>
  <si>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</si>
  <si>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</si>
  <si>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</si>
  <si>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</si>
  <si>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</si>
  <si>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</si>
  <si>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</si>
  <si>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</si>
  <si>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</si>
  <si>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</si>
  <si>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</si>
  <si>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</si>
  <si>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</si>
  <si>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</si>
  <si>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</si>
  <si>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</si>
  <si>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</si>
  <si>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</si>
  <si>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</si>
  <si>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</si>
  <si>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</si>
  <si>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</si>
  <si>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</si>
  <si>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</si>
  <si>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</si>
  <si>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</si>
  <si>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</si>
  <si>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</si>
  <si>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</si>
  <si>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</si>
  <si>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</si>
  <si>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</si>
  <si>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</si>
  <si>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</si>
  <si>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</si>
  <si>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</si>
  <si>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</si>
  <si>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</si>
  <si>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</si>
  <si>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</si>
  <si>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</si>
  <si>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</si>
  <si>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</si>
  <si>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</si>
  <si>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</si>
  <si>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</si>
  <si>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</si>
  <si>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</si>
  <si>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</si>
  <si>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</si>
  <si>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</si>
  <si>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</si>
  <si>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</si>
  <si>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</si>
  <si>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</si>
  <si>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</si>
  <si>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</si>
  <si>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</si>
  <si>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</si>
  <si>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</si>
  <si>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</si>
  <si>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</si>
  <si>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</si>
  <si>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</si>
  <si>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</si>
  <si>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</si>
  <si>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</si>
  <si>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</si>
  <si>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</si>
  <si>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</si>
  <si>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</si>
  <si>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</si>
  <si>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</si>
  <si>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</si>
  <si>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</si>
  <si>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</si>
  <si>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</si>
  <si>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</si>
  <si>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</si>
  <si>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</si>
  <si>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</si>
  <si>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</si>
  <si>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</si>
  <si>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</si>
  <si>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</si>
  <si>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</si>
  <si>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</si>
  <si>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</si>
  <si>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</si>
  <si>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</si>
  <si>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</si>
  <si>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</si>
  <si>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</si>
  <si>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</si>
  <si>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</si>
  <si>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</si>
  <si>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</si>
  <si>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</si>
  <si>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</si>
  <si>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</si>
  <si>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</si>
  <si>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</si>
  <si>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</si>
  <si>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</si>
  <si>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</si>
  <si>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</si>
  <si>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QL55</t>
  </si>
  <si>
    <t>QL Induction, (1) 55W lamp</t>
  </si>
  <si>
    <t>Generator</t>
  </si>
  <si>
    <t>QL85/1</t>
  </si>
  <si>
    <t>QL85</t>
  </si>
  <si>
    <t>QL Induction, (1) 85W lamp</t>
  </si>
  <si>
    <t>QL165/1</t>
  </si>
  <si>
    <t>QL165</t>
  </si>
  <si>
    <t>QL Induction, (1) 165W lamp</t>
  </si>
  <si>
    <t>MH100/1</t>
  </si>
  <si>
    <t>High Intensity Discharge</t>
  </si>
  <si>
    <t>Metal Halide</t>
  </si>
  <si>
    <t>MH100</t>
  </si>
  <si>
    <t>Metal Halide, (1) 100W lamp</t>
  </si>
  <si>
    <t>CWA</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</si>
  <si>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</si>
  <si>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</si>
  <si>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</si>
  <si>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</si>
  <si>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</si>
  <si>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</si>
  <si>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</si>
  <si>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</si>
  <si>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</si>
  <si>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</si>
  <si>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</si>
  <si>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</si>
  <si>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</si>
  <si>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</si>
  <si>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</si>
  <si>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</si>
  <si>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</si>
  <si>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</si>
  <si>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</si>
  <si>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</si>
  <si>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</si>
  <si>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</si>
  <si>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</si>
  <si>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</si>
  <si>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</si>
  <si>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</si>
  <si>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</si>
  <si>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</si>
  <si>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</si>
  <si>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</si>
  <si>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</si>
  <si>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</si>
  <si>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</si>
  <si>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</si>
  <si>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</si>
  <si>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</si>
  <si>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</si>
  <si>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</si>
  <si>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</si>
  <si>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</si>
  <si>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</si>
  <si>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</si>
  <si>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</si>
  <si>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</si>
  <si>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</si>
  <si>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</si>
  <si>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</si>
  <si>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</si>
  <si>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</si>
  <si>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</si>
  <si>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</si>
  <si>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</si>
  <si>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</si>
  <si>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</si>
  <si>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</si>
  <si>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</si>
  <si>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</si>
  <si>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</si>
  <si>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</si>
  <si>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</si>
  <si>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</si>
  <si>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</si>
  <si>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</si>
  <si>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</si>
  <si>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</si>
  <si>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</si>
  <si>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</si>
  <si>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</si>
  <si>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</si>
  <si>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</si>
  <si>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</si>
  <si>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</si>
  <si>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</si>
  <si>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</si>
  <si>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</si>
  <si>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</si>
  <si>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</si>
  <si>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</si>
  <si>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</si>
  <si>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</si>
  <si>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</si>
  <si>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</si>
  <si>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</si>
  <si>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</si>
  <si>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</si>
  <si>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</si>
  <si>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</si>
  <si>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</si>
  <si>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</si>
  <si>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</si>
  <si>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SCWA</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</si>
  <si>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</si>
  <si>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</si>
  <si>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</si>
  <si>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</si>
  <si>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</si>
  <si>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</si>
  <si>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</si>
  <si>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</si>
  <si>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</si>
  <si>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</si>
  <si>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</si>
  <si>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</si>
  <si>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</si>
  <si>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</si>
  <si>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</si>
  <si>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</si>
  <si>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</si>
  <si>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</si>
  <si>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</si>
  <si>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</si>
  <si>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</si>
  <si>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</si>
  <si>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</si>
  <si>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</si>
  <si>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High Pressure Sodium</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</si>
  <si>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</si>
  <si>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</si>
  <si>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</si>
  <si>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</si>
  <si>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</si>
  <si>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</si>
  <si>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</si>
  <si>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</si>
  <si>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</si>
  <si>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</si>
  <si>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</si>
  <si>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</si>
  <si>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</si>
  <si>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</si>
  <si>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</si>
  <si>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</si>
  <si>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</si>
  <si>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</si>
  <si>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</si>
  <si>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</si>
  <si>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</si>
  <si>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</si>
  <si>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</si>
  <si>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</si>
  <si>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</si>
  <si>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</si>
  <si>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</si>
  <si>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</si>
  <si>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</si>
  <si>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</si>
  <si>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</si>
  <si>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</si>
  <si>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</si>
  <si>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</si>
  <si>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</si>
  <si>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</si>
  <si>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</si>
  <si>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</si>
  <si>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</si>
  <si>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</si>
  <si>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</si>
  <si>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</si>
  <si>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Mercury Vapor</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</si>
  <si>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</si>
  <si>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</si>
  <si>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</si>
  <si>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</si>
  <si>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</si>
  <si>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</si>
  <si>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</si>
  <si>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</si>
  <si>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</si>
  <si>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</si>
  <si>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</si>
  <si>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</si>
  <si>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</si>
  <si>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</si>
  <si>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</si>
  <si>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</si>
  <si>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</si>
  <si>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</si>
  <si>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</si>
  <si>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</si>
  <si>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</si>
  <si>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</si>
  <si>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</si>
  <si>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</si>
  <si>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</si>
  <si>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</si>
  <si>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</si>
  <si>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</si>
  <si>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Cut Sheet 1</t>
  </si>
  <si>
    <t>Custom, From Cut Sheet</t>
  </si>
  <si>
    <t>Edit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</si>
  <si>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</si>
  <si>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</si>
  <si>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</si>
  <si>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</si>
  <si>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</si>
  <si>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</si>
  <si>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</si>
  <si>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</si>
  <si>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</si>
  <si>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</si>
  <si>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</si>
  <si>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</si>
  <si>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</si>
  <si>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</si>
  <si>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</si>
  <si>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</si>
  <si>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</si>
  <si>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</si>
  <si>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</si>
  <si>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Cut Sheet 21</t>
  </si>
  <si>
    <t>Cut Sheet 22</t>
  </si>
  <si>
    <t>Cut Sheet 23</t>
  </si>
  <si>
    <t>Cut Sheet 24</t>
  </si>
  <si>
    <t>Cut Sheet 25</t>
  </si>
  <si>
    <t>Cut Sheet 26</t>
  </si>
  <si>
    <t>Cut Sheet 27</t>
  </si>
  <si>
    <t>Cut Sheet 28</t>
  </si>
  <si>
    <t>Cut Sheet 29</t>
  </si>
  <si>
    <t>Cut Sheet 30</t>
  </si>
  <si>
    <t>Cut Sheet 31</t>
  </si>
  <si>
    <t>Cut Sheet 32</t>
  </si>
  <si>
    <t>Cut Sheet 33</t>
  </si>
  <si>
    <t>Cut Sheet 34</t>
  </si>
  <si>
    <t>Cut Sheet 35</t>
  </si>
  <si>
    <t>Cut Sheet 36</t>
  </si>
  <si>
    <t>Cut Sheet 37</t>
  </si>
  <si>
    <t>Cut Sheet 38</t>
  </si>
  <si>
    <t>Cut Sheet 39</t>
  </si>
  <si>
    <t>Cut Sheet 40</t>
  </si>
  <si>
    <t>Cut Sheet 41</t>
  </si>
  <si>
    <t>Cut Sheet 42</t>
  </si>
  <si>
    <t>Cut Sheet 43</t>
  </si>
  <si>
    <t>Cut Sheet 44</t>
  </si>
  <si>
    <t>Cut Sheet 45</t>
  </si>
  <si>
    <t>Cut Sheet 46</t>
  </si>
  <si>
    <t>Cut Sheet 47</t>
  </si>
  <si>
    <t>Cut Sheet 48</t>
  </si>
  <si>
    <t>Cut Sheet 49</t>
  </si>
  <si>
    <t>Cut Sheet 50</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</si>
  <si>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</si>
  <si>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</si>
  <si>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</si>
  <si>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</si>
  <si>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</si>
  <si>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</si>
  <si>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</si>
  <si>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</si>
  <si>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</si>
  <si>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</si>
  <si>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</si>
  <si>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</si>
  <si>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</si>
  <si>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</si>
  <si>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</si>
  <si>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</si>
  <si>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</si>
  <si>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</si>
  <si>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</si>
  <si>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</si>
  <si>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</si>
  <si>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</si>
  <si>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</si>
  <si>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</si>
  <si>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</si>
  <si>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</si>
  <si>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</si>
  <si>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</si>
  <si>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</si>
  <si>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</si>
  <si>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</si>
  <si>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</si>
  <si>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</si>
  <si>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</si>
  <si>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</si>
  <si>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</si>
  <si>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</si>
  <si>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</si>
  <si>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</si>
  <si>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</si>
  <si>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</si>
  <si>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</si>
  <si>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</si>
  <si>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</si>
  <si>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</si>
  <si>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</si>
  <si>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</si>
  <si>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</si>
  <si>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</si>
  <si>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</si>
  <si>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</si>
  <si>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</si>
  <si>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</si>
  <si>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</si>
  <si>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</si>
  <si>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</si>
  <si>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</si>
  <si>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</si>
  <si>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</si>
  <si>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</si>
  <si>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</si>
  <si>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</si>
  <si>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</si>
  <si>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</si>
  <si>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</si>
  <si>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</si>
  <si>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</si>
  <si>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</si>
  <si>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</si>
  <si>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</si>
  <si>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</si>
  <si>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</si>
  <si>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</si>
  <si>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</si>
  <si>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</si>
  <si>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</si>
  <si>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</si>
  <si>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</si>
  <si>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</si>
  <si>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</si>
  <si>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</si>
  <si>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</si>
  <si>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</si>
  <si>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</si>
  <si>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</si>
  <si>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</si>
  <si>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</si>
  <si>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</si>
  <si>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</si>
  <si>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</si>
  <si>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</si>
  <si>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</si>
  <si>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</si>
  <si>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</si>
  <si>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</si>
  <si>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</si>
  <si>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Savings Methodologies</t>
  </si>
  <si>
    <t>Nomenclature</t>
  </si>
  <si>
    <t>Term</t>
  </si>
  <si>
    <t>Value</t>
  </si>
  <si>
    <t>kW_base</t>
  </si>
  <si>
    <t>Lighting Improvement - Connected load of the baseline lighting as defined by project classification 
New Construction - The baseline space or building connected load as calculated by multiplying the space or building area by the appropriate Lighting Power Density (LPD) values specified</t>
  </si>
  <si>
    <t>See Fixture Identities tab. For New Construction, see Tables 5 to 7</t>
  </si>
  <si>
    <t>kW_ee</t>
  </si>
  <si>
    <t>Connected load of the post-retrofit or energy–efficient lighting system</t>
  </si>
  <si>
    <t>See Fixture Identities tab.</t>
  </si>
  <si>
    <t>kW_controlled</t>
  </si>
  <si>
    <t>Total lighting load connected to the new control in kilowatts. Savings are per control</t>
  </si>
  <si>
    <t>Customer Input</t>
  </si>
  <si>
    <t>SVG_base</t>
  </si>
  <si>
    <t>Savings factor for existing lighting control (percent of time the lights are off)</t>
  </si>
  <si>
    <t>See Table 1. For New Construction see Table 8</t>
  </si>
  <si>
    <t>SVG_ee</t>
  </si>
  <si>
    <t xml:space="preserve">Savings factor for installed lighting control (percent of time the lights are off)  </t>
  </si>
  <si>
    <t xml:space="preserve">Demand Coincidence Factor </t>
  </si>
  <si>
    <t>See Tables 2 and 3</t>
  </si>
  <si>
    <t>Average annual operating hours of the baseline lighting equipment, which if applied to full connected load will yield annual energy use.</t>
  </si>
  <si>
    <t>IF_energy</t>
  </si>
  <si>
    <t>Interactive Energy Factor – applies to C&amp;I interior lighting in space that has air conditioning or refrigeration only. This represents the secondary energy savings in cooling required which results from decreased indoor lighting wattage.</t>
  </si>
  <si>
    <t>See Tables 4a and 4b</t>
  </si>
  <si>
    <t>IF_demand</t>
  </si>
  <si>
    <t xml:space="preserve"> Interactive Demand Factor – applies to C&amp;I interior lighting in space that has air conditioning or refrigeration only. This represents the secondary demand savings in cooling required which results from decreased indoor lighting wattage.</t>
  </si>
  <si>
    <t>Lighting Improvements</t>
  </si>
  <si>
    <r>
      <rPr>
        <u/>
        <sz val="10"/>
        <color theme="1"/>
        <rFont val="Arial"/>
        <family val="2"/>
      </rPr>
      <t>Methodology</t>
    </r>
    <r>
      <rPr>
        <sz val="10"/>
        <color theme="1"/>
        <rFont val="Arial"/>
        <family val="2"/>
      </rPr>
      <t xml:space="preserve">: For all lighting fixture improvements (without control improvements), the following algorithms apply:
</t>
    </r>
  </si>
  <si>
    <t>New Construction Lighting</t>
  </si>
  <si>
    <r>
      <t xml:space="preserve">Methodology: For all new construction projects analyzed using the </t>
    </r>
    <r>
      <rPr>
        <b/>
        <sz val="10"/>
        <color theme="1"/>
        <rFont val="Arial"/>
        <family val="2"/>
      </rPr>
      <t>ASHRAE 90.1-2007 Building Area Method</t>
    </r>
    <r>
      <rPr>
        <sz val="10"/>
        <color theme="1"/>
        <rFont val="Arial"/>
        <family val="2"/>
      </rPr>
      <t>, the following algorithms apply:
For all new construction projects analyzed using the AHRAE 90.1-2007 Space-by-Space Method, the following algorithms apply:</t>
    </r>
  </si>
  <si>
    <t>Lighting Controls</t>
  </si>
  <si>
    <r>
      <rPr>
        <u/>
        <sz val="10"/>
        <color theme="1"/>
        <rFont val="Arial"/>
        <family val="2"/>
      </rPr>
      <t>Methodology</t>
    </r>
    <r>
      <rPr>
        <sz val="10"/>
        <color theme="1"/>
        <rFont val="Arial"/>
        <family val="2"/>
      </rPr>
      <t>: For all lighting control improvements, the following algorithms apply:</t>
    </r>
  </si>
  <si>
    <t>Table 1: Lighting Controls Savings Factors (SVG_base, SVG_ee)</t>
  </si>
  <si>
    <t>Strategy</t>
  </si>
  <si>
    <t>Definition</t>
  </si>
  <si>
    <t>Technology</t>
  </si>
  <si>
    <t>Savings %</t>
  </si>
  <si>
    <t>Switch</t>
  </si>
  <si>
    <t>Manual On/Off Switch</t>
  </si>
  <si>
    <t>Occupancy</t>
  </si>
  <si>
    <t>Adjusting light levels according to the presence of occupants</t>
  </si>
  <si>
    <t>Daylighting</t>
  </si>
  <si>
    <t>Adjusting light levels automatically in response to the presence of natural light</t>
  </si>
  <si>
    <t>Personal Tuning</t>
  </si>
  <si>
    <t>Adjusting individual light levels by occupants according to their personal preferences; applies, for example, to private offices, workstation-specific lighting in open-plan offices, and classrooms</t>
  </si>
  <si>
    <t>Institutional Tuning</t>
  </si>
  <si>
    <t>Adjustment of light levels through commissioning and technology to meet location specific needs or building policies; or provision of switches or controls for areas or groups of occupants; examples of the former include high-end trim dimming (also known as ballast tuning or reduction of ballast factor), task tuning and lumen maintenance</t>
  </si>
  <si>
    <t>Multiple Types</t>
  </si>
  <si>
    <t>Includes combination of any of the types described above. Occupancy and personal tuning, daylighting and occupancy are most common.</t>
  </si>
  <si>
    <t>Occupancy and personal tuning</t>
  </si>
  <si>
    <t>daylighting and occupancy</t>
  </si>
  <si>
    <t>Table 2: Hours and CF for Screw Based Bulbs</t>
  </si>
  <si>
    <t>Industrial Manufacturing – 1 Shift</t>
  </si>
  <si>
    <t>Industrial Manufacturing – 2 Shift</t>
  </si>
  <si>
    <t>Industrial Manufacturing – 3 Shift</t>
  </si>
  <si>
    <t>Miscellaneous/Other</t>
  </si>
  <si>
    <t>Parking Garages</t>
  </si>
  <si>
    <t>Table 3: Hours and CF for General Service Lighting</t>
  </si>
  <si>
    <t>Table 4a: HVAC-Lighting Interactive Factors - Comfort Cooling (IF_energy, IF_Demand)</t>
  </si>
  <si>
    <t>Heating Fuel</t>
  </si>
  <si>
    <t>Non-Electric Heat</t>
  </si>
  <si>
    <t>Electric Heat</t>
  </si>
  <si>
    <t>Table 4b: HVAC-Lighting Interactive Factors - Refrigerated, Unconditioned Spaces (IF_energy, IF_Demand)</t>
  </si>
  <si>
    <t>Values</t>
  </si>
  <si>
    <t>Freezer spaces (-35 °F – 20 °F) = 0.50</t>
  </si>
  <si>
    <t>Medium-temperature refrigerated spaces (20 °F – 40 °F) = 0.29</t>
  </si>
  <si>
    <t>High-temperature refrigerated spaces (40 °F – 60 °F) = 0.18</t>
  </si>
  <si>
    <t>Un-cooled space = 0</t>
  </si>
  <si>
    <t>Table 5: Lighting Power Densities from ASHRAE 90.1-2007 Building Area Method</t>
  </si>
  <si>
    <t>Building Area Type</t>
  </si>
  <si>
    <r>
      <t>LPD (W/ft</t>
    </r>
    <r>
      <rPr>
        <b/>
        <vertAlign val="superscript"/>
        <sz val="9"/>
        <color theme="0"/>
        <rFont val="Arial"/>
        <family val="2"/>
      </rPr>
      <t>2</t>
    </r>
    <r>
      <rPr>
        <b/>
        <sz val="9"/>
        <color theme="0"/>
        <rFont val="Arial"/>
        <family val="2"/>
      </rPr>
      <t>)</t>
    </r>
  </si>
  <si>
    <t>Manufacturing facility</t>
  </si>
  <si>
    <t>Table 6: Lighting Power Densities from ASHRAE 90.1-2007 Space-by-Space Method</t>
  </si>
  <si>
    <t>Common Space Type</t>
  </si>
  <si>
    <t>Office-Enclosed</t>
  </si>
  <si>
    <t>Office-Open Plan</t>
  </si>
  <si>
    <t>Conference/Meeting/Multipurpose</t>
  </si>
  <si>
    <t>Classroom/Lecture/Training</t>
  </si>
  <si>
    <t>For Penitentiary</t>
  </si>
  <si>
    <t>For Hotel</t>
  </si>
  <si>
    <t>For Performing Arts Theater</t>
  </si>
  <si>
    <t>For Motion Picture Theater</t>
  </si>
  <si>
    <t>Audience/Seating Area</t>
  </si>
  <si>
    <t>For Gymnasium</t>
  </si>
  <si>
    <t>For Exercise Center</t>
  </si>
  <si>
    <t>For Convention Center</t>
  </si>
  <si>
    <t>For Religious Buildings</t>
  </si>
  <si>
    <t>For Sports Arena</t>
  </si>
  <si>
    <t>For Transportation</t>
  </si>
  <si>
    <t>Atrium—First Three Floors</t>
  </si>
  <si>
    <t>Atrium—Each Additional Floor</t>
  </si>
  <si>
    <t>Lounge/Recreation</t>
  </si>
  <si>
    <t>For Hospital</t>
  </si>
  <si>
    <t>For Motel</t>
  </si>
  <si>
    <t>For Bar Lounge/Leisure Dining</t>
  </si>
  <si>
    <t>For Family Dining</t>
  </si>
  <si>
    <t>Food Preparation</t>
  </si>
  <si>
    <t>Restrooms</t>
  </si>
  <si>
    <t>Dressing/Locker/Fitting Room</t>
  </si>
  <si>
    <t>Corridor/Transition</t>
  </si>
  <si>
    <t>For Manufacturing Facility</t>
  </si>
  <si>
    <t>Stairs—Active</t>
  </si>
  <si>
    <t>Active Storage</t>
  </si>
  <si>
    <t>Inactive Storage</t>
  </si>
  <si>
    <t>For Museum</t>
  </si>
  <si>
    <t>Electrical/Mechanical</t>
  </si>
  <si>
    <t>Building Specific Space Types</t>
  </si>
  <si>
    <t>Gymnasium/Exercise Center</t>
  </si>
  <si>
    <t>Playing Area</t>
  </si>
  <si>
    <t>Exercise Area</t>
  </si>
  <si>
    <t>Courthouse/Police Station/Penitentiary</t>
  </si>
  <si>
    <t>Confinement Cells</t>
  </si>
  <si>
    <t>Judges Chambers</t>
  </si>
  <si>
    <t>Fire Stations</t>
  </si>
  <si>
    <t>Fire Station Engine Room</t>
  </si>
  <si>
    <t>Sleeping Quarters</t>
  </si>
  <si>
    <t>Post Office-Sorting Area</t>
  </si>
  <si>
    <t>Convention Center-Exhibit Space</t>
  </si>
  <si>
    <t>Card File and Cataloging</t>
  </si>
  <si>
    <t>Stacks</t>
  </si>
  <si>
    <t>Reading Area</t>
  </si>
  <si>
    <t>Emergency</t>
  </si>
  <si>
    <t>Recovery</t>
  </si>
  <si>
    <t>Nurse Station</t>
  </si>
  <si>
    <t>Exam/Treatment</t>
  </si>
  <si>
    <t>Pharmacy</t>
  </si>
  <si>
    <t>Medical Supply</t>
  </si>
  <si>
    <t>Physical Therapy</t>
  </si>
  <si>
    <t>Radiology</t>
  </si>
  <si>
    <t>Laundry—Washing</t>
  </si>
  <si>
    <t>Automotive—Service/Repair</t>
  </si>
  <si>
    <t>Manufacturing</t>
  </si>
  <si>
    <t>Low (&lt;25 ft. Floor to Ceiling Height)</t>
  </si>
  <si>
    <t>High (&gt;25 ft. Floor to Ceiling Height)</t>
  </si>
  <si>
    <t>Detailed Manufacturing</t>
  </si>
  <si>
    <t>Control Room</t>
  </si>
  <si>
    <t>Hotel/Motel Guest Rooms</t>
  </si>
  <si>
    <t>Dormitory—Living Quarters</t>
  </si>
  <si>
    <t>General Exhibition</t>
  </si>
  <si>
    <t>Restoration</t>
  </si>
  <si>
    <t>Bank/Office—Banking Activity Area</t>
  </si>
  <si>
    <t>Religious Buildings</t>
  </si>
  <si>
    <t>Worship Pulpit, Choir</t>
  </si>
  <si>
    <t xml:space="preserve">Sales Area </t>
  </si>
  <si>
    <t>Sports Arena</t>
  </si>
  <si>
    <t>Ring Sports Area</t>
  </si>
  <si>
    <t>Court Sports Area</t>
  </si>
  <si>
    <t>Indoor Playing Field Area</t>
  </si>
  <si>
    <t>Fine Material Storage</t>
  </si>
  <si>
    <t>Medium/Bulky Material Storage</t>
  </si>
  <si>
    <t>Parking Garage—Garage Area</t>
  </si>
  <si>
    <t>Airport—Concourse</t>
  </si>
  <si>
    <t>Air/Train/Bus—Baggage Area</t>
  </si>
  <si>
    <t>Terminal—Ticket Counter</t>
  </si>
  <si>
    <t xml:space="preserve">Table 7: Baseline Exterior Lighting Power Densities </t>
  </si>
  <si>
    <t>Building Exterior</t>
  </si>
  <si>
    <t>Uncovered Parking Area</t>
  </si>
  <si>
    <t>Parking Lots and Drives</t>
  </si>
  <si>
    <r>
      <t>0.15 W/ft</t>
    </r>
    <r>
      <rPr>
        <vertAlign val="superscript"/>
        <sz val="9"/>
        <color theme="1"/>
        <rFont val="Arial"/>
        <family val="2"/>
      </rPr>
      <t>2</t>
    </r>
  </si>
  <si>
    <t>Building Grounds</t>
  </si>
  <si>
    <t>Walkways less than 10 ft. wide</t>
  </si>
  <si>
    <t>1.0 W/linear foot</t>
  </si>
  <si>
    <t>Walkways 10 ft. wide or greater</t>
  </si>
  <si>
    <r>
      <t>0.2 W/ft</t>
    </r>
    <r>
      <rPr>
        <vertAlign val="superscript"/>
        <sz val="9"/>
        <color theme="1"/>
        <rFont val="Arial"/>
        <family val="2"/>
      </rPr>
      <t>2</t>
    </r>
  </si>
  <si>
    <t>Plaza areas</t>
  </si>
  <si>
    <t>Special feature areas</t>
  </si>
  <si>
    <t>Stairways</t>
  </si>
  <si>
    <r>
      <t>1.0 W/ft</t>
    </r>
    <r>
      <rPr>
        <vertAlign val="superscript"/>
        <sz val="9"/>
        <color theme="1"/>
        <rFont val="Arial"/>
        <family val="2"/>
      </rPr>
      <t>2</t>
    </r>
  </si>
  <si>
    <t>Building Entrances and Exits</t>
  </si>
  <si>
    <t>Main entries</t>
  </si>
  <si>
    <t>30 W/linear foot of door width</t>
  </si>
  <si>
    <t>Other doors</t>
  </si>
  <si>
    <t>20 W/linear foot of door width</t>
  </si>
  <si>
    <t>Canopies and Overhangs</t>
  </si>
  <si>
    <t>Free standing and attached and overhangs</t>
  </si>
  <si>
    <r>
      <t>1.25 W/ft</t>
    </r>
    <r>
      <rPr>
        <vertAlign val="superscript"/>
        <sz val="9"/>
        <color theme="1"/>
        <rFont val="Arial"/>
        <family val="2"/>
      </rPr>
      <t>2</t>
    </r>
  </si>
  <si>
    <t>Outdoor sales</t>
  </si>
  <si>
    <t>Open areas (including vehicle sales lots)</t>
  </si>
  <si>
    <r>
      <t>0.5 W/ft</t>
    </r>
    <r>
      <rPr>
        <vertAlign val="superscript"/>
        <sz val="9"/>
        <color theme="1"/>
        <rFont val="Arial"/>
        <family val="2"/>
      </rPr>
      <t>2</t>
    </r>
  </si>
  <si>
    <t>Street frontage for vehicle sales lots in addition to “open area” allowance</t>
  </si>
  <si>
    <t>20 W/linear foot</t>
  </si>
  <si>
    <t>Building facades</t>
  </si>
  <si>
    <r>
      <t>0.2 W/ft</t>
    </r>
    <r>
      <rPr>
        <vertAlign val="superscript"/>
        <sz val="9"/>
        <color theme="1"/>
        <rFont val="Arial"/>
        <family val="2"/>
      </rPr>
      <t xml:space="preserve">2 </t>
    </r>
    <r>
      <rPr>
        <sz val="9"/>
        <color theme="1"/>
        <rFont val="Arial"/>
        <family val="2"/>
      </rPr>
      <t>for</t>
    </r>
    <r>
      <rPr>
        <vertAlign val="superscript"/>
        <sz val="9"/>
        <color theme="1"/>
        <rFont val="Arial"/>
        <family val="2"/>
      </rPr>
      <t xml:space="preserve"> </t>
    </r>
    <r>
      <rPr>
        <sz val="9"/>
        <color theme="1"/>
        <rFont val="Arial"/>
        <family val="2"/>
      </rPr>
      <t>each illuminated wall or surface or 5.0 W/linear foot for each illuminated wall or surface length</t>
    </r>
  </si>
  <si>
    <t>Automated teller machines and night depositories</t>
  </si>
  <si>
    <t>270 W per location plus 90 W per additional ATM per location</t>
  </si>
  <si>
    <t>Entrances and gatehouse inspection stations at guarded facilities</t>
  </si>
  <si>
    <r>
      <t>1.25 W/ft</t>
    </r>
    <r>
      <rPr>
        <vertAlign val="superscript"/>
        <sz val="9"/>
        <color theme="1"/>
        <rFont val="Arial"/>
        <family val="2"/>
      </rPr>
      <t>2</t>
    </r>
    <r>
      <rPr>
        <sz val="9"/>
        <color theme="1"/>
        <rFont val="Arial"/>
        <family val="2"/>
      </rPr>
      <t xml:space="preserve"> of uncovered area</t>
    </r>
  </si>
  <si>
    <t>Loading areas for law enforcement, fire, ambulance, and other emergency service vehicles</t>
  </si>
  <si>
    <r>
      <t>0.5 W/ft</t>
    </r>
    <r>
      <rPr>
        <vertAlign val="superscript"/>
        <sz val="9"/>
        <color theme="1"/>
        <rFont val="Arial"/>
        <family val="2"/>
      </rPr>
      <t>2</t>
    </r>
    <r>
      <rPr>
        <sz val="9"/>
        <color theme="1"/>
        <rFont val="Arial"/>
        <family val="2"/>
      </rPr>
      <t xml:space="preserve"> of uncovered area</t>
    </r>
  </si>
  <si>
    <t>Drive-through windows at fast food restaurants</t>
  </si>
  <si>
    <t>400 W per drive-through</t>
  </si>
  <si>
    <t>Parking near 24-hour retail entrances</t>
  </si>
  <si>
    <t>800 W per main entry</t>
  </si>
  <si>
    <t>Table 8: Baseline Savings Controls Factors for New Construction ONLY</t>
  </si>
  <si>
    <r>
      <t>SVG</t>
    </r>
    <r>
      <rPr>
        <b/>
        <vertAlign val="subscript"/>
        <sz val="9"/>
        <color theme="0"/>
        <rFont val="Times New Roman"/>
        <family val="1"/>
      </rPr>
      <t>base</t>
    </r>
  </si>
  <si>
    <t>Industrial/Manufacturing – 1 Shift</t>
  </si>
  <si>
    <t>Industrial/Manufacturing – 2 Shift</t>
  </si>
  <si>
    <t>Industrial/Manufacturing – 3 Shift</t>
  </si>
  <si>
    <t>Miscellaneous</t>
  </si>
  <si>
    <t>GLOSSARY</t>
  </si>
  <si>
    <t>Not sure what to put into a certain cell? Let us help you! Search by tab name and cell number, or use the filtering function on the table below to find the cell in question.</t>
  </si>
  <si>
    <t xml:space="preserve"> Tab Name:</t>
  </si>
  <si>
    <t>Instructions:</t>
  </si>
  <si>
    <t>Fixture Idnetities</t>
  </si>
  <si>
    <t xml:space="preserve"> Cell Reference (i.e. G13):</t>
  </si>
  <si>
    <t>K9</t>
  </si>
  <si>
    <t>Tab</t>
  </si>
  <si>
    <t>Cell</t>
  </si>
  <si>
    <t>Field Type</t>
  </si>
  <si>
    <t>Heading</t>
  </si>
  <si>
    <t>Availability</t>
  </si>
  <si>
    <t>General Information</t>
  </si>
  <si>
    <t>D13</t>
  </si>
  <si>
    <t>The name of the applicant as corroborated by the submitted W9.</t>
  </si>
  <si>
    <t>D14</t>
  </si>
  <si>
    <t>A name of the facility for reference in the event that the applicant will be submitting applications for multiple facilities within one program year.</t>
  </si>
  <si>
    <t>D16</t>
  </si>
  <si>
    <t>The address at which the project takes place.</t>
  </si>
  <si>
    <t>D17</t>
  </si>
  <si>
    <t>The city in which the facility is located.</t>
  </si>
  <si>
    <t>H17</t>
  </si>
  <si>
    <t>The state in which the facility is located.</t>
  </si>
  <si>
    <t>J17</t>
  </si>
  <si>
    <t>The zip code in which the facility is located.</t>
  </si>
  <si>
    <t>D18</t>
  </si>
  <si>
    <t>The electric distribution company who services the facility.</t>
  </si>
  <si>
    <t>H18</t>
  </si>
  <si>
    <t>The account number on record with electric distributing company. If this is a pre-application for a new construction project, and service has not yet been connect, input "TBD".</t>
  </si>
  <si>
    <t>D19</t>
  </si>
  <si>
    <t>The person who should be contacted in the event that there are any questions regarding this application.</t>
  </si>
  <si>
    <t>D20</t>
  </si>
  <si>
    <t>The phone number where the designated contact can be reached.</t>
  </si>
  <si>
    <t>D21</t>
  </si>
  <si>
    <t>The email address where the designated contact can be reached.</t>
  </si>
  <si>
    <t>D23</t>
  </si>
  <si>
    <t>The Facility Type that best describes the usage of the facility.</t>
  </si>
  <si>
    <t>D24</t>
  </si>
  <si>
    <t>The type of project, whether it is a retrofit or new construction.</t>
  </si>
  <si>
    <t>D25</t>
  </si>
  <si>
    <t>The total square footage of the facility at which the project occurs. This field is optional for retrofit applications.</t>
  </si>
  <si>
    <t>Only if "New Construction" is selected as the construction type in Cell D24.</t>
  </si>
  <si>
    <t>D26</t>
  </si>
  <si>
    <t>The completion (or expected completion) date of the project.</t>
  </si>
  <si>
    <t>I26</t>
  </si>
  <si>
    <t>The preferred source of HOU and CF assumptions. Note that if "Deemed" is selected, the calculator will assume a single designated Facilty Type for determining hours of use and coincidence factors.</t>
  </si>
  <si>
    <t>I27</t>
  </si>
  <si>
    <t>Indicate whether or not this is a small business direct install project. Selecting "Yes" will disable the T12 baseline adjustment feature.</t>
  </si>
  <si>
    <t>I29</t>
  </si>
  <si>
    <t>Which exterior lighting zone describes your project?</t>
  </si>
  <si>
    <t>The ASHRAE exterior lighting zone associated with the facility for New Construction LPD calculations. This cell is only available for input if this is a new construction project.</t>
  </si>
  <si>
    <t>D38</t>
  </si>
  <si>
    <t>The ASHRAE evaluation method for New Construction projects that should be used for this project. This cell is only available for input if this is a new construction project.</t>
  </si>
  <si>
    <t>C42</t>
  </si>
  <si>
    <t>The user-defined name of the space that will be defined in the subsequent columns.</t>
  </si>
  <si>
    <t>D42</t>
  </si>
  <si>
    <t>The ASHRAE Space Type that best describes the usage of the space. These space types will be the only spaces available on the lighting inventory sheet, so be sure to include all spaces included in the project.</t>
  </si>
  <si>
    <t>J42</t>
  </si>
  <si>
    <t>The schedule that corresponds to the selected space type. Note that in the event of custom schedules, the user will need to create the custom schedules in step 5 before they are available for selection in step 4.</t>
  </si>
  <si>
    <t>N42</t>
  </si>
  <si>
    <t>The type of cooling employed in the selected space type.</t>
  </si>
  <si>
    <t>O42</t>
  </si>
  <si>
    <t>The heating fuel source in the selected space type.</t>
  </si>
  <si>
    <t>P42</t>
  </si>
  <si>
    <t>For cells P41 through P60, "Qty. of Units", specify the number of units (described in column R) included in the designated space type.</t>
  </si>
  <si>
    <t>R42</t>
  </si>
  <si>
    <t>The ASHRAE designated units for which an allowable wattage is specified for the space type selected.</t>
  </si>
  <si>
    <t>U42</t>
  </si>
  <si>
    <t>The ASHRAE designated allowable wattager per the unit specified for the space type selected. This will be used as the baseline for savings calculations in the event that this is a New Construction project.</t>
  </si>
  <si>
    <t>X42</t>
  </si>
  <si>
    <t>For atrium space types, the height of the atrium in feet.</t>
  </si>
  <si>
    <t>Only if "New Construction" is selected as the construction type in Cell D24 and Space Designation is "Atrium, &lt; 40 ft. in height" or "Atrium, &gt;= 40 ft. in height."</t>
  </si>
  <si>
    <t>O38</t>
  </si>
  <si>
    <t>The ASHRAE allowable total wattage for the facility based on the space details provided.</t>
  </si>
  <si>
    <t>R15</t>
  </si>
  <si>
    <t>The name for the custom schedule being designated in the cells below.</t>
  </si>
  <si>
    <t>Only if "Deemed" is selected as the HOU/CF Source in Cell I26.</t>
  </si>
  <si>
    <t>R17</t>
  </si>
  <si>
    <t>The time at which the lights are turned on for the specified scheduled during the specified day of the week. The time should be entered in 24-hr. format.</t>
  </si>
  <si>
    <t>S17</t>
  </si>
  <si>
    <t>The time at which the lights are turned off for the specified scheduled during the specified day of the week. The time should be entered in 24-hr. format. For overnight hours of use, add 24 to the ending time (i.e. if the facility is a restaurant that closes at 3AM, the ending time will be 27).</t>
  </si>
  <si>
    <t>S27</t>
  </si>
  <si>
    <t>The annual hours of use associated with the custom schedule input in the cells above. As the formula for calculating Hours of Use in this fashion is hours*day*weeks, and (24)* (7) * (52) does NOT equal 8,760, the HOU includes an adjustment factor to appropriately annualize the usage based on this calculation method.</t>
  </si>
  <si>
    <t>S28</t>
  </si>
  <si>
    <t>The percentage of the designated peak hours that the lights will be operational according to the custom schedule input in the cells above. Intermediate calculations for this cell can be found starting in row 57.</t>
  </si>
  <si>
    <t>AG27</t>
  </si>
  <si>
    <t>The TRM-deemed hours of use associated with screw-in bulbs for the building type selected.</t>
  </si>
  <si>
    <t>AG28</t>
  </si>
  <si>
    <t>The TRM-deemed coincidence factor associated with screw-in bulbs for the building type selected.</t>
  </si>
  <si>
    <t>AH27</t>
  </si>
  <si>
    <t>The TRM-deemed hours of use associated with general service bulbs for the building type selected.</t>
  </si>
  <si>
    <t>AH28</t>
  </si>
  <si>
    <t>The TRM-deemed coincidence factor associated with general service bulbs for the building type selected.</t>
  </si>
  <si>
    <t>S24</t>
  </si>
  <si>
    <t>The number of days the facility shuts down completely.</t>
  </si>
  <si>
    <t>S25</t>
  </si>
  <si>
    <t>The number of weeks the facility operates at the custom schedules provided.</t>
  </si>
  <si>
    <t>S26</t>
  </si>
  <si>
    <t>The number of weeks the facility is unoccupied during the months of June, July, and Augsust.</t>
  </si>
  <si>
    <t>Only if "Yearly Operating Weeks" is less than 52 in Cell V28.</t>
  </si>
  <si>
    <t>Lighting Inventory</t>
  </si>
  <si>
    <t>C13</t>
  </si>
  <si>
    <t>The space type previously defined on the "General Information" tab where the specified fixtures where be installed. Only space types previously defined on the "General Information" tab will be available for selection in Column C.</t>
  </si>
  <si>
    <t>Space Details</t>
  </si>
  <si>
    <t>The specified details used to delineate fixture types within the same space type.</t>
  </si>
  <si>
    <t>E13</t>
  </si>
  <si>
    <t>Fixture Code (Pre)</t>
  </si>
  <si>
    <t>The appropriate fixture code found in the "Fixture Search" tab that most accurately represents the pre-retrofit fixture in question.</t>
  </si>
  <si>
    <t>Only if "Retrofit" is selected as the construction type in Cell D24 of the "General Information" tab.</t>
  </si>
  <si>
    <t>F13</t>
  </si>
  <si>
    <t>Fixture Wattage (Pre)</t>
  </si>
  <si>
    <t>The TRM-deemed wattage matching the selected fixture code for the pre-retrofit fixture.</t>
  </si>
  <si>
    <t>G13</t>
  </si>
  <si>
    <t>Fixture Quantity (Pre)</t>
  </si>
  <si>
    <t>The quantity of fixtures removed as part of the retrofit.</t>
  </si>
  <si>
    <t>H13</t>
  </si>
  <si>
    <t>Line Item Wattage (Pre)</t>
  </si>
  <si>
    <t>The total wattage of the pre-retrofit scenario for the full quantity of fixture presented on the corresponding line.</t>
  </si>
  <si>
    <t>I13</t>
  </si>
  <si>
    <t>Control Type (Pre)</t>
  </si>
  <si>
    <t>The control technology utilized in the pre-installation case.</t>
  </si>
  <si>
    <t>J13</t>
  </si>
  <si>
    <t>Fixture Code (Baseline)</t>
  </si>
  <si>
    <t>The code-required baseline fixture code linked to the pre-retrofit fixture code to which the installed fixtures will be compared.</t>
  </si>
  <si>
    <t>K13</t>
  </si>
  <si>
    <t>Fixture Wattage (Baseline)</t>
  </si>
  <si>
    <t>The TRM-deemed wattage matching the appropriate baseline fixture code for the pre-retrofit fixture.</t>
  </si>
  <si>
    <t>Allowable LPD</t>
  </si>
  <si>
    <t>The ASHRAE designated allowable LPD for the line item provided. This will be used as the baseline for savings calculations in the event that this is a New Construction project.</t>
  </si>
  <si>
    <t>Only if "New Construction" is selected as the construction type in Cell D24 of the "General Information" tab.</t>
  </si>
  <si>
    <t>L13</t>
  </si>
  <si>
    <t>Line Item Wattage (Baseline)</t>
  </si>
  <si>
    <t>The total wattage of the baseline scenario for the full quantity of fixture presented on the corresponding line.</t>
  </si>
  <si>
    <t>Allowable Power</t>
  </si>
  <si>
    <t>The ASHRAE allowable total wattage for the line item based on the space details provided.</t>
  </si>
  <si>
    <t>M13</t>
  </si>
  <si>
    <t>Fixture Code (Post)</t>
  </si>
  <si>
    <t>The appropriate fixture code found in the "Fixture Search" tab that most accurately represents the post-construction fixture in question.</t>
  </si>
  <si>
    <t>N13</t>
  </si>
  <si>
    <t>HOU Type</t>
  </si>
  <si>
    <t>The load shape corresponding to the fixture type selected.</t>
  </si>
  <si>
    <t>O13</t>
  </si>
  <si>
    <t>Fixture Tag or ID</t>
  </si>
  <si>
    <t>The fixture designation presented on either the invoices or supplemental plans.</t>
  </si>
  <si>
    <t>P13</t>
  </si>
  <si>
    <t>Fixture Wattage (Post)</t>
  </si>
  <si>
    <t>The TRM-deemed wattage matching the selected fixture code for the as-built fixture.</t>
  </si>
  <si>
    <t>Q13</t>
  </si>
  <si>
    <t>Fixture Quantity. (Post)</t>
  </si>
  <si>
    <t>The quantity of fixtures removed as part of the project.</t>
  </si>
  <si>
    <t>R13</t>
  </si>
  <si>
    <t>Line Item Wattage (Post)</t>
  </si>
  <si>
    <t>The total wattage of the as-built scenario for the full quantity of fixture presented on the corresponding line.</t>
  </si>
  <si>
    <t>S13</t>
  </si>
  <si>
    <t>Control Type (Post)</t>
  </si>
  <si>
    <t>The control technology utilized in the as-built case.</t>
  </si>
  <si>
    <t>T13</t>
  </si>
  <si>
    <t>The appropriate hours of use to be used for the line item based on the fixture code and schedule inputs.</t>
  </si>
  <si>
    <t>U13</t>
  </si>
  <si>
    <t>The appropriate coincidence factor to be used for the line item based on the fixture code and schedule inputs.</t>
  </si>
  <si>
    <t>V13</t>
  </si>
  <si>
    <r>
      <t>IF</t>
    </r>
    <r>
      <rPr>
        <vertAlign val="subscript"/>
        <sz val="12"/>
        <color theme="1"/>
        <rFont val="Arial"/>
        <family val="2"/>
        <scheme val="minor"/>
      </rPr>
      <t>energy</t>
    </r>
  </si>
  <si>
    <t>The appropriate energy interactive factor to be used for the line item based on the space type and cooling details.</t>
  </si>
  <si>
    <t>W13</t>
  </si>
  <si>
    <r>
      <t>IF</t>
    </r>
    <r>
      <rPr>
        <vertAlign val="subscript"/>
        <sz val="12"/>
        <color theme="1"/>
        <rFont val="Arial"/>
        <family val="2"/>
        <scheme val="minor"/>
      </rPr>
      <t>demand</t>
    </r>
  </si>
  <si>
    <t>The appropriate demand interactive factor to be used for the line item based on the space type and cooling details.</t>
  </si>
  <si>
    <t>X13</t>
  </si>
  <si>
    <r>
      <t>SVG</t>
    </r>
    <r>
      <rPr>
        <vertAlign val="subscript"/>
        <sz val="12"/>
        <color theme="1"/>
        <rFont val="Arial"/>
        <family val="2"/>
        <scheme val="minor"/>
      </rPr>
      <t>base</t>
    </r>
  </si>
  <si>
    <t>The appropriate baseline savings factor associated with pre-retrofit controls to be used for the line item based on the control type selection. For new construction, this value is a factor of the percentage of area required by code to have sensors.</t>
  </si>
  <si>
    <t>Y13</t>
  </si>
  <si>
    <r>
      <t>SVG</t>
    </r>
    <r>
      <rPr>
        <vertAlign val="subscript"/>
        <sz val="12"/>
        <color theme="1"/>
        <rFont val="Arial"/>
        <family val="2"/>
        <scheme val="minor"/>
      </rPr>
      <t>ee</t>
    </r>
  </si>
  <si>
    <t>The appropriate as-built savings factor associated with as-built controls to be used for the line item based on the control type selection.</t>
  </si>
  <si>
    <t>Z13</t>
  </si>
  <si>
    <r>
      <rPr>
        <sz val="12"/>
        <color theme="1"/>
        <rFont val="Calibri"/>
        <family val="2"/>
      </rPr>
      <t>Δ</t>
    </r>
    <r>
      <rPr>
        <sz val="12"/>
        <color theme="1"/>
        <rFont val="Arial"/>
        <family val="2"/>
        <scheme val="minor"/>
      </rPr>
      <t xml:space="preserve"> Load (Lighting)</t>
    </r>
  </si>
  <si>
    <t>The difference in installed watts between the pre-installation and post-installation lighting scenarios separate from the change in control strategies due to the line item details.</t>
  </si>
  <si>
    <t>AA13</t>
  </si>
  <si>
    <r>
      <rPr>
        <sz val="12"/>
        <color theme="1"/>
        <rFont val="Calibri"/>
        <family val="2"/>
      </rPr>
      <t>Peak Demand</t>
    </r>
    <r>
      <rPr>
        <sz val="12"/>
        <color theme="1"/>
        <rFont val="Arial"/>
        <family val="2"/>
        <scheme val="minor"/>
      </rPr>
      <t xml:space="preserve"> (Lighting)</t>
    </r>
  </si>
  <si>
    <t>The fraction of connected load reduction (associated with the lighting only) expected to be coincident with the PJM peak demand period due to the line item details.</t>
  </si>
  <si>
    <t>AB13</t>
  </si>
  <si>
    <t>Energy (Lighting)</t>
  </si>
  <si>
    <t>The total annual energy saved by the lighting improvement separate from the change in control strategies due to the line item details.</t>
  </si>
  <si>
    <t>AC13</t>
  </si>
  <si>
    <t>Peak Demand (Controls)</t>
  </si>
  <si>
    <t>The fraction of connected load reduction (associated with the controls only) expected to be coincident with the PJM peak demand period due to the line item details.</t>
  </si>
  <si>
    <t>AD13</t>
  </si>
  <si>
    <t>Energy (Controls)</t>
  </si>
  <si>
    <t>The total annual energy saved by the change in control strategies due to the line item details.</t>
  </si>
  <si>
    <t>AE13</t>
  </si>
  <si>
    <t>Peak Demand (Total)</t>
  </si>
  <si>
    <t>The summation of the lighting and controls peak demand savings for the line item.</t>
  </si>
  <si>
    <t>AF13</t>
  </si>
  <si>
    <t>Energy (Total)</t>
  </si>
  <si>
    <t>The summation of the lighting and controls energy savings for the line item.</t>
  </si>
  <si>
    <t>Z7</t>
  </si>
  <si>
    <r>
      <t xml:space="preserve">Summary: </t>
    </r>
    <r>
      <rPr>
        <sz val="12"/>
        <color theme="1"/>
        <rFont val="Calibri"/>
        <family val="2"/>
      </rPr>
      <t>Δ</t>
    </r>
    <r>
      <rPr>
        <sz val="12"/>
        <color theme="1"/>
        <rFont val="Arial"/>
        <family val="2"/>
        <scheme val="minor"/>
      </rPr>
      <t xml:space="preserve"> Load (Lighting)</t>
    </r>
  </si>
  <si>
    <t>The summation of the change in connected lighting load of all line items.</t>
  </si>
  <si>
    <t>AA7</t>
  </si>
  <si>
    <r>
      <rPr>
        <sz val="12"/>
        <color theme="1"/>
        <rFont val="Calibri"/>
        <family val="2"/>
      </rPr>
      <t>Summary: Peak Demand</t>
    </r>
    <r>
      <rPr>
        <sz val="12"/>
        <color theme="1"/>
        <rFont val="Arial"/>
        <family val="2"/>
        <scheme val="minor"/>
      </rPr>
      <t xml:space="preserve"> (Lighting)</t>
    </r>
  </si>
  <si>
    <t>The summation of the peak demand savings due to lighting only of all line items.</t>
  </si>
  <si>
    <t>AB7</t>
  </si>
  <si>
    <t>Summary: Energy (Lighting)</t>
  </si>
  <si>
    <t>The summation of the energy savings due to lighting only of all line items.</t>
  </si>
  <si>
    <t>AC7</t>
  </si>
  <si>
    <t>Summary: Peak Demand (Controls)</t>
  </si>
  <si>
    <t>The summation of the peak demand savings due to controls only of all line items.</t>
  </si>
  <si>
    <t>AD7</t>
  </si>
  <si>
    <t>Summary: Energy (Controls)</t>
  </si>
  <si>
    <t>The summation of the energy savings due to controls only of all line items.</t>
  </si>
  <si>
    <t>AE7</t>
  </si>
  <si>
    <t>Summary: Peak Demand (Total)</t>
  </si>
  <si>
    <t>The summation of the total peak demand savings associated with both lighting and controls upgrades for all line items.</t>
  </si>
  <si>
    <t>AF7</t>
  </si>
  <si>
    <t>Summary: Energy (Total)</t>
  </si>
  <si>
    <t>The summation of the total energy savings associated with both lighting and controls upgrades for all line items.</t>
  </si>
  <si>
    <t>Fixture Identities</t>
  </si>
  <si>
    <t>Watts per Fixture</t>
  </si>
  <si>
    <t>The cut sheet verified wattage for the custom LED fixture.</t>
  </si>
  <si>
    <t>F932</t>
  </si>
  <si>
    <t>The description of the custom lighting fixture as corresponds to the submitted cut sheet.</t>
  </si>
  <si>
    <t>K932</t>
  </si>
  <si>
    <t>The cut sheet verified wattage of the custom fixture.</t>
  </si>
  <si>
    <t>M932</t>
  </si>
  <si>
    <t>The load shape under which the custom fixture type should be evaluated.</t>
  </si>
  <si>
    <t>SUMMARY</t>
  </si>
  <si>
    <t>Project / Site Information</t>
  </si>
  <si>
    <t>.</t>
  </si>
  <si>
    <t xml:space="preserve">Customer Contact: </t>
  </si>
  <si>
    <t xml:space="preserve">Building Type: </t>
  </si>
  <si>
    <t xml:space="preserve">Facility Size: </t>
  </si>
  <si>
    <t>Change in Connected Load</t>
  </si>
  <si>
    <t>Peak Demand Savings</t>
  </si>
  <si>
    <t>Annual Energy Savings</t>
  </si>
  <si>
    <t>Lighting Only</t>
  </si>
  <si>
    <t>Controls Only</t>
  </si>
  <si>
    <t>Fixture and Sensor Summary</t>
  </si>
  <si>
    <t>Fixtures Installed:</t>
  </si>
  <si>
    <t xml:space="preserve">Wattage Controlled by
Newly Installed Lighting Controls: </t>
  </si>
  <si>
    <t>Lamps Installed:</t>
  </si>
  <si>
    <t>Fixtures Removed:</t>
  </si>
  <si>
    <t>Lamps Removed:</t>
  </si>
  <si>
    <t>yHFuel_Type</t>
  </si>
  <si>
    <t>yTimes</t>
  </si>
  <si>
    <t>yLighting_Category</t>
  </si>
  <si>
    <t>ySubcategory</t>
  </si>
  <si>
    <t>24 Hrs</t>
  </si>
  <si>
    <t>Version Log</t>
  </si>
  <si>
    <t>Original Author:</t>
  </si>
  <si>
    <t>PA SWE</t>
  </si>
  <si>
    <t>QA/QC Engineer(s):</t>
  </si>
  <si>
    <t>Primary Developer:</t>
  </si>
  <si>
    <t>Jeremy Selwyn, PE</t>
  </si>
  <si>
    <t>Senior Engineer Approval:</t>
  </si>
  <si>
    <t>Version</t>
  </si>
  <si>
    <t>Date</t>
  </si>
  <si>
    <t>Reason for Change</t>
  </si>
  <si>
    <t>Change Description</t>
  </si>
  <si>
    <t>Contact, Department</t>
  </si>
  <si>
    <t>Initial Draft</t>
  </si>
  <si>
    <t>Initial Draft Release</t>
  </si>
  <si>
    <t>Jeremy Selwyn, Engineering</t>
  </si>
  <si>
    <t>Second Draft</t>
  </si>
  <si>
    <t>Incorporating Catalyst Uploads plus formatting improvements</t>
  </si>
  <si>
    <t>Jeremy Selwyn, Engineering
Kyle Shank, IT</t>
  </si>
  <si>
    <t>Third Draft</t>
  </si>
  <si>
    <t>Added Data validation to the fixture codes on the inventory, added in 24hr &amp; closed options to Usage Group Schedule, Added 120 MWH warning message</t>
  </si>
  <si>
    <t>Fourth Draft</t>
  </si>
  <si>
    <t>Added line-by-line Savings to the Inventory worksheet, removed excess fields from Project Info area, added temperature to freezer &amp; refrigerator definitions</t>
  </si>
  <si>
    <t>Fifth Draft</t>
  </si>
  <si>
    <t>Removed macros and added conditional formatting instead.</t>
  </si>
  <si>
    <t>Sixth Draft</t>
  </si>
  <si>
    <t>Approved by Cadmus/Warren. Minor Formatting changes, new Catalyst Upload form, added cell protections</t>
  </si>
  <si>
    <t>Seventh draft</t>
  </si>
  <si>
    <t>Bug fixes in HOU &amp; Usage groups</t>
  </si>
  <si>
    <t>Initial Release</t>
  </si>
  <si>
    <t>Exterior HOU Fix, Methodology &amp; Instructions Added.</t>
  </si>
  <si>
    <t>Catalyst Upload</t>
  </si>
  <si>
    <t>Minor correction to Catalyst Upload form</t>
  </si>
  <si>
    <t>Kyle Shank, IT</t>
  </si>
  <si>
    <t>Bug Fixes</t>
  </si>
  <si>
    <t>Fixed Proposed fixture and added some input fields, Branding</t>
  </si>
  <si>
    <t>Fixed long list of bugs…</t>
  </si>
  <si>
    <t>Andrew Nagy, Engineering</t>
  </si>
  <si>
    <t>Fixed Bug with New Construction HOU. Added in SqFt to the Usage Group Tab</t>
  </si>
  <si>
    <t>Fixed upload form bugs</t>
  </si>
  <si>
    <t>Formatting &amp; added the screw-in dropdown to the LED schedule</t>
  </si>
  <si>
    <t>Minor Updates</t>
  </si>
  <si>
    <t>Addition of PPL Account number and rounding of exterior hours</t>
  </si>
  <si>
    <t>Tom Cosgro, Engineering</t>
  </si>
  <si>
    <t>1.8.5</t>
  </si>
  <si>
    <t>Errata Updates &amp; Cadmus Comments</t>
  </si>
  <si>
    <t>Updates based on the 2017 TRM Errata and Cadmus Evaluation Comments</t>
  </si>
  <si>
    <t>Update Fixture Code Generator functionality per Cadmus Clarification; Added LPD as "Adjustment Factor" to CR Import Sheet; Added "Exterior Photosensor" control type to Control Device choices</t>
  </si>
  <si>
    <t>Erich Yaeger, Engineering
Jeannie Sikora, Engineering</t>
  </si>
  <si>
    <r>
      <rPr>
        <b/>
        <u/>
        <sz val="11"/>
        <color theme="1"/>
        <rFont val="Arial"/>
        <family val="2"/>
        <scheme val="minor"/>
      </rPr>
      <t>Documentation of Changes to TRM Appendix C</t>
    </r>
    <r>
      <rPr>
        <u/>
        <sz val="11"/>
        <color theme="1"/>
        <rFont val="Arial"/>
        <family val="2"/>
        <scheme val="minor"/>
      </rPr>
      <t xml:space="preserve">
Fixture Identities Tab</t>
    </r>
    <r>
      <rPr>
        <sz val="11"/>
        <color theme="1"/>
        <rFont val="Arial"/>
        <family val="2"/>
        <scheme val="minor"/>
      </rPr>
      <t xml:space="preserve"> - Expanded LED Fixture Code Generation capability to 50 rows for user interface. 
 - Rows 9 through 931 remain unchanged from Appendix C. 
 - Rows 932 through 961 are now used to generate LED fixture codes according to the Appendix C protocol. 
 - Rows 962 through 989 correspond to Rows 932 through 959 in Appendix C "Fixture Identities" sheet. 
 - Appendix C "Fixture Identities" Rows 960 through 981 have been removed from the PALF "Fixture Identities" worksheet. 
 - Rows 990 through 997 in the PALF "Fixture Identities" Tab correspond to the Appendix C "Fixture Identities" sheet Rows 982 through 989.
</t>
    </r>
    <r>
      <rPr>
        <u/>
        <sz val="11"/>
        <color theme="1"/>
        <rFont val="Arial"/>
        <family val="2"/>
        <scheme val="minor"/>
      </rPr>
      <t>General Information Tab</t>
    </r>
    <r>
      <rPr>
        <sz val="11"/>
        <color theme="1"/>
        <rFont val="Arial"/>
        <family val="2"/>
        <scheme val="minor"/>
      </rPr>
      <t xml:space="preserve">
 - Hardcoded "PA" in Cell H17
 - Hardcoded "PPL" in Cell D18
 - Linked "Facility Type" and "Construction Type" fields (Cells D23 and D24) to named ranges from the Project Info and Summary sheet
 - Cell I26 updated with logic to display "Custom" HOU if the project savings are greater than 120,000 kWh to adhere to Cadmus memo (7/12/2016).
 - Cells C41 through P47 linked to the Usage Groups sheet
 - Schedule Designation fields (Cells R15 through AE26) linked to the Usage Groups sheet
 - Linked Cells R27 through AD27 (Hours of Use calculation) to corrected calculation that counts hours for exterior fixtures in addition to interior
 - Added logic in Cells AF27 and AG27 to determine if project is New Construction type
 - Altered logic to allow users selecting the Building Area Method (BAM) to apply multiple usage groups when savings &gt; 120 MWh to adhere to the Cadmus Memo.
 - Hard-coded one Usage Group such that "Exterior" is a default usage group on all projects. This reduces the possible number of user-defined usage groups to 5; Appendix C has 6. The change allows users to put interior and exterior lighting on a single PA Lighting Form. </t>
    </r>
  </si>
  <si>
    <r>
      <rPr>
        <u/>
        <sz val="11"/>
        <color theme="1"/>
        <rFont val="Arial"/>
        <family val="2"/>
        <scheme val="minor"/>
      </rPr>
      <t>Lighting Inventory Tab</t>
    </r>
    <r>
      <rPr>
        <sz val="11"/>
        <color theme="1"/>
        <rFont val="Arial"/>
        <family val="2"/>
        <scheme val="minor"/>
      </rPr>
      <t xml:space="preserve">
 - Added a "Dusk to Dawn Photosensor" control type (EX_PS) to the dropdowns available in Columns I and S (Control Type). EX_PS is mapped to SVG of 0%. 
 - Added logic to formulas in Columns J and K (Baseline Fixture Code and Fixture Wattage) to determine New Construction calculation type (Space-by-Space or Building Area Method)
 - Added logic to formulas in Columns T, U, X, and Y to check if the fixture is an Exit Sign and display deemed parameters if so.
 - Column X ("Custom NC Facility Type") is not included.
</t>
    </r>
    <r>
      <rPr>
        <u/>
        <sz val="11"/>
        <color theme="1"/>
        <rFont val="Arial"/>
        <family val="2"/>
        <scheme val="minor"/>
      </rPr>
      <t xml:space="preserve">LookupsTab: </t>
    </r>
    <r>
      <rPr>
        <sz val="11"/>
        <color theme="1"/>
        <rFont val="Arial"/>
        <family val="2"/>
        <scheme val="minor"/>
      </rPr>
      <t>Added "EX_PS" control type for "Exterior Photocell" to eliminate common error of users selecting "Daylighting-Photosensors" for exterior lighting.</t>
    </r>
  </si>
  <si>
    <t xml:space="preserve">Bug Fixes </t>
  </si>
  <si>
    <t>Fixture Code Generator</t>
  </si>
  <si>
    <t>Erich Yeager, Engineering</t>
  </si>
  <si>
    <t>2.2.1</t>
  </si>
  <si>
    <t>Instructional Language</t>
  </si>
  <si>
    <t xml:space="preserve">Added information to the instructions tab to help guide new users. Updated broken hyperlinks. </t>
  </si>
  <si>
    <t>Jeannie Sikora, Engineering</t>
  </si>
  <si>
    <t>2.2.2</t>
  </si>
  <si>
    <t>Remove Acct Number</t>
  </si>
  <si>
    <t>Removed Customer PPL Account Number field from Project Info and Summary</t>
  </si>
  <si>
    <t>Michael Stevenson, Engineering</t>
  </si>
  <si>
    <t>2.2.3</t>
  </si>
  <si>
    <t>Unhide Lighting Inventory tab</t>
  </si>
  <si>
    <t>Unhid the Lighting inventory tab so that customers can see their kW usage in the PUC version within the PALF</t>
  </si>
  <si>
    <t>2.2.4</t>
  </si>
  <si>
    <t>Revised baseline wattage for T 12 U-tube fluorescents</t>
  </si>
  <si>
    <t>3.1.0</t>
  </si>
  <si>
    <t>TRM Appendix C Update</t>
  </si>
  <si>
    <r>
      <rPr>
        <b/>
        <u/>
        <sz val="11"/>
        <color theme="1"/>
        <rFont val="Arial"/>
        <family val="2"/>
        <scheme val="minor"/>
      </rPr>
      <t>2021: TRM Appendix C Update</t>
    </r>
    <r>
      <rPr>
        <sz val="11"/>
        <color theme="1"/>
        <rFont val="Arial"/>
        <family val="2"/>
        <scheme val="minor"/>
      </rPr>
      <t xml:space="preserve">
 </t>
    </r>
  </si>
  <si>
    <t>Baseline Fixture Code</t>
  </si>
  <si>
    <t xml:space="preserve">2. New Construction Lighting: Savings for new construction lighting systems that exceed IECC 2015 minimum efficiency requirements. </t>
  </si>
  <si>
    <t>The savings methodologies, constants, default inputs and eligibility requirements for all measures are from Pennsylvania Public Utility Commission, Technical Reference Manual, February 2021 Revision.</t>
  </si>
  <si>
    <t>A project with default inputs* from 2021 PA TRM for operating hours. If facility type doesn't match 2021 PA TRM facility types, select "Miscellaneous/Other" building type or develop actual hours in the Usage Groups tab, per customer interview.</t>
  </si>
  <si>
    <t>4.0.0</t>
  </si>
  <si>
    <t>Phase IV Launch</t>
  </si>
  <si>
    <t>Final clean up for Phase IV launch</t>
  </si>
  <si>
    <t>Total Uncapped Incentives</t>
  </si>
  <si>
    <t>James Domanski, Engineering</t>
  </si>
  <si>
    <t>Exterior Photocell controlled</t>
  </si>
  <si>
    <t>4.0.1</t>
  </si>
  <si>
    <t>Updated Data Export tab, fixed data validation with Project Summary, Update NC Exterior Lighting picklist</t>
  </si>
  <si>
    <t>4.0.2</t>
  </si>
  <si>
    <t>Bug Fix</t>
  </si>
  <si>
    <t>Fixed issue with HOU and CF calculation. Fixed lookup to NC building area method LPDs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</si>
</sst>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6" formatCode="&quot;$&quot;#,##0_);[Red]\(&quot;$&quot;#,##0\)"/>
    <numFmt numFmtId="44" formatCode="_(&quot;$&quot;* #,##0.00_);_(&quot;$&quot;* \(#,##0.00\);_(&quot;$&quot;* &quot;-&quot;??_);_(@_)"/>
    <numFmt numFmtId="43" formatCode="_(* #,##0.00_);_(* \(#,##0.00\);_(* &quot;-&quot;??_);_(@_)"/>
    <numFmt numFmtId="164" formatCode="00000"/>
    <numFmt numFmtId="165" formatCode="0.0"/>
    <numFmt numFmtId="166" formatCode="[&lt;=9999999]###\-####;\(###\)\ ###\-####"/>
    <numFmt numFmtId="167" formatCode="#,###.00&quot; kW&quot;;[Red]\-#,###.00&quot; kW&quot;;&quot;-&quot;"/>
    <numFmt numFmtId="168" formatCode="#,###&quot; kWh&quot;;[Red]\-#,###&quot; kWh&quot;;&quot;-&quot;"/>
    <numFmt numFmtId="169" formatCode="&quot;$&quot;#,##0;[Red]&quot;$&quot;#,##0"/>
    <numFmt numFmtId="170" formatCode="0.000"/>
    <numFmt numFmtId="171" formatCode="#,##0&quot; kW&quot;"/>
    <numFmt numFmtId="172" formatCode="_(* #,##0.00_);_(* \(#,##0.00\);_(* \-??_);_(@_)"/>
    <numFmt numFmtId="173" formatCode="_(\$* #,##0.00_);_(\$* \(#,##0.00\);_(\$* \-??_);_(@_)"/>
    <numFmt numFmtId="174" formatCode="_(* #,##0_);_(* \(#,##0\);_(* \-_);_(@_)"/>
    <numFmt numFmtId="175" formatCode="\$#,##0.00"/>
    <numFmt numFmtId="176" formatCode="\$#,##0.0000"/>
    <numFmt numFmtId="177" formatCode="_(\$* #,##0_);_(\$* \(#,##0\);_(\$* \-??_);_(@_)"/>
    <numFmt numFmtId="178" formatCode="mmmm\ d&quot;, &quot;yyyy;@"/>
    <numFmt numFmtId="179" formatCode="\$#,##0"/>
    <numFmt numFmtId="180" formatCode="_(\$* #,##0_);_(\$* \(#,##0\);_(\$* \-_);_(@_)"/>
    <numFmt numFmtId="181" formatCode="#,##0.0"/>
    <numFmt numFmtId="182" formatCode="0.0000000000"/>
    <numFmt numFmtId="183" formatCode="m\-d\-yy"/>
    <numFmt numFmtId="184" formatCode="_(* #,##0.0_);_(* \(#,##0.00\);_(* &quot;-&quot;??_);_(@_)"/>
    <numFmt numFmtId="185" formatCode="General_)"/>
    <numFmt numFmtId="186" formatCode="&quot;fl&quot;#,##0_);\(&quot;fl&quot;#,##0\)"/>
    <numFmt numFmtId="187" formatCode="&quot;fl&quot;#,##0_);[Red]\(&quot;fl&quot;#,##0\)"/>
    <numFmt numFmtId="188" formatCode="&quot;$&quot;#,##0"/>
    <numFmt numFmtId="189" formatCode="_-* #,##0_-;\-* #,##0_-;_-* &quot;-&quot;_-;_-@_-"/>
    <numFmt numFmtId="190" formatCode="_-* #,##0.0_-;\-* #,##0.0_-;_-* &quot;-&quot;??_-;_-@_-"/>
    <numFmt numFmtId="191" formatCode="#,##0.00&quot; $&quot;;\-#,##0.00&quot; $&quot;"/>
    <numFmt numFmtId="192" formatCode="0.00_)"/>
    <numFmt numFmtId="193" formatCode="dd"/>
    <numFmt numFmtId="194" formatCode="_(&quot;$&quot;* #,##0.00000_);_(&quot;$&quot;* \(#,##0.00000\);_(&quot;$&quot;* &quot;-&quot;??_);_(@_)"/>
    <numFmt numFmtId="195" formatCode="_(&quot;$&quot;* #,##0.0000_);_(&quot;$&quot;* \(#,##0.0000\);_(&quot;$&quot;* &quot;-&quot;??_);_(@_)"/>
    <numFmt numFmtId="196" formatCode="[$-409]h:mm\ AM/PM;@"/>
    <numFmt numFmtId="197" formatCode="_(* #,##0_);_(* \(#,##0\);_(* &quot;-&quot;??_);_(@_)"/>
    <numFmt numFmtId="198" formatCode="_(* #,##0.0000_);_(* \(#,##0.0000\);_(* &quot;-&quot;??_);_(@_)"/>
    <numFmt numFmtId="199" formatCode="#00000"/>
    <numFmt numFmtId="200" formatCode="\$#,##0.0000&quot; / kWh&quot;"/>
    <numFmt numFmtId="201" formatCode="&quot;$&quot;#,##0.0000&quot; / kW&quot;"/>
    <numFmt numFmtId="202" formatCode="0.00000000"/>
    <numFmt numFmtId="203" formatCode="0.0000000"/>
    <numFmt numFmtId="204" formatCode="#,##0.000"/>
    <numFmt numFmtId="205" formatCode="&quot;$&quot;#,##0.00"/>
  </numFmts>
  <fonts count="228">
    <font>
      <sz val="11"/>
      <color theme="1"/>
      <name val="Arial"/>
      <family val="2"/>
      <scheme val="minor"/>
    </font>
    <font>
      <sz val="11"/>
      <color theme="1"/>
      <name val="Arial"/>
      <family val="2"/>
      <scheme val="minor"/>
    </font>
    <font>
      <b/>
      <sz val="11"/>
      <color theme="0"/>
      <name val="Arial"/>
      <family val="2"/>
      <scheme val="minor"/>
    </font>
    <font>
      <sz val="11"/>
      <color rgb="FFFF0000"/>
      <name val="Arial"/>
      <family val="2"/>
      <scheme val="minor"/>
    </font>
    <font>
      <b/>
      <sz val="11"/>
      <color theme="1"/>
      <name val="Arial"/>
      <family val="2"/>
      <scheme val="minor"/>
    </font>
    <font>
      <sz val="11"/>
      <color theme="0"/>
      <name val="Arial"/>
      <family val="2"/>
      <scheme val="minor"/>
    </font>
    <font>
      <b/>
      <sz val="11"/>
      <color rgb="FFFF0000"/>
      <name val="Arial"/>
      <family val="2"/>
      <scheme val="minor"/>
    </font>
    <font>
      <b/>
      <sz val="12"/>
      <color theme="1"/>
      <name val="Arial"/>
      <family val="2"/>
      <scheme val="minor"/>
    </font>
    <font>
      <sz val="12"/>
      <color theme="1"/>
      <name val="Arial"/>
      <family val="2"/>
      <scheme val="minor"/>
    </font>
    <font>
      <b/>
      <sz val="17"/>
      <color theme="1"/>
      <name val="Arial"/>
      <family val="2"/>
      <scheme val="minor"/>
    </font>
    <font>
      <sz val="12"/>
      <color theme="0"/>
      <name val="Arial"/>
      <family val="2"/>
      <scheme val="minor"/>
    </font>
    <font>
      <b/>
      <sz val="12"/>
      <color theme="0"/>
      <name val="Arial"/>
      <family val="2"/>
      <scheme val="minor"/>
    </font>
    <font>
      <b/>
      <sz val="10.5"/>
      <color theme="1"/>
      <name val="Arial"/>
      <family val="2"/>
      <scheme val="minor"/>
    </font>
    <font>
      <u/>
      <sz val="11"/>
      <color theme="10"/>
      <name val="Arial"/>
      <family val="2"/>
      <scheme val="minor"/>
    </font>
    <font>
      <u/>
      <sz val="12"/>
      <color theme="10"/>
      <name val="Arial"/>
      <family val="2"/>
      <scheme val="minor"/>
    </font>
    <font>
      <sz val="12"/>
      <color theme="1" tint="0.499984740745262"/>
      <name val="Arial"/>
      <family val="2"/>
      <scheme val="minor"/>
    </font>
    <font>
      <sz val="10.5"/>
      <color theme="1" tint="0.499984740745262"/>
      <name val="Arial"/>
      <family val="2"/>
      <scheme val="minor"/>
    </font>
    <font>
      <sz val="12"/>
      <color theme="5" tint="-0.249977111117893"/>
      <name val="Arial"/>
      <family val="2"/>
      <scheme val="minor"/>
    </font>
    <font>
      <sz val="10.5"/>
      <color theme="5" tint="-0.249977111117893"/>
      <name val="Arial"/>
      <family val="2"/>
      <scheme val="minor"/>
    </font>
    <font>
      <sz val="12"/>
      <color rgb="FF0070CD"/>
      <name val="Arial"/>
      <family val="2"/>
      <scheme val="minor"/>
    </font>
    <font>
      <i/>
      <sz val="12"/>
      <color rgb="FF0070CD"/>
      <name val="Arial"/>
      <family val="2"/>
      <scheme val="minor"/>
    </font>
    <font>
      <sz val="12"/>
      <color theme="0" tint="-4.9989318521683403E-2"/>
      <name val="Arial"/>
      <family val="2"/>
      <scheme val="minor"/>
    </font>
    <font>
      <sz val="12"/>
      <color theme="1" tint="0.34998626667073579"/>
      <name val="Arial"/>
      <family val="2"/>
      <scheme val="minor"/>
    </font>
    <font>
      <vertAlign val="subscript"/>
      <sz val="12"/>
      <color theme="1"/>
      <name val="Arial"/>
      <family val="2"/>
      <scheme val="minor"/>
    </font>
    <font>
      <b/>
      <sz val="12"/>
      <color theme="5" tint="-0.249977111117893"/>
      <name val="Arial"/>
      <family val="2"/>
      <scheme val="minor"/>
    </font>
    <font>
      <sz val="10"/>
      <name val="Arial"/>
      <family val="2"/>
    </font>
    <font>
      <sz val="11"/>
      <name val="Arial"/>
      <family val="2"/>
      <scheme val="minor"/>
    </font>
    <font>
      <sz val="12"/>
      <color theme="0" tint="-4.9989318521683403E-2"/>
      <name val="Calibri"/>
      <family val="2"/>
    </font>
    <font>
      <i/>
      <sz val="13"/>
      <color theme="0"/>
      <name val="Arial"/>
      <family val="2"/>
      <scheme val="minor"/>
    </font>
    <font>
      <b/>
      <u/>
      <sz val="12"/>
      <name val="Arial"/>
      <family val="2"/>
      <scheme val="minor"/>
    </font>
    <font>
      <sz val="12"/>
      <name val="Arial"/>
      <family val="2"/>
      <scheme val="minor"/>
    </font>
    <font>
      <b/>
      <i/>
      <sz val="12"/>
      <color rgb="FF0070CD"/>
      <name val="Arial"/>
      <family val="2"/>
      <scheme val="minor"/>
    </font>
    <font>
      <b/>
      <sz val="12"/>
      <color rgb="FFFF0000"/>
      <name val="Arial"/>
      <family val="2"/>
      <scheme val="minor"/>
    </font>
    <font>
      <sz val="12"/>
      <color theme="1"/>
      <name val="Calibri"/>
      <family val="2"/>
    </font>
    <font>
      <b/>
      <sz val="14"/>
      <color theme="1"/>
      <name val="Arial"/>
      <family val="2"/>
      <scheme val="minor"/>
    </font>
    <font>
      <sz val="10"/>
      <color theme="1"/>
      <name val="Arial"/>
      <family val="2"/>
      <scheme val="minor"/>
    </font>
    <font>
      <sz val="10"/>
      <color theme="0"/>
      <name val="Arial"/>
      <family val="2"/>
      <scheme val="minor"/>
    </font>
    <font>
      <b/>
      <sz val="10"/>
      <name val="Arial"/>
      <family val="2"/>
      <scheme val="minor"/>
    </font>
    <font>
      <sz val="10"/>
      <color theme="1" tint="0.34998626667073579"/>
      <name val="Arial"/>
      <family val="2"/>
      <scheme val="minor"/>
    </font>
    <font>
      <b/>
      <sz val="13"/>
      <color rgb="FFC00000"/>
      <name val="Arial"/>
      <family val="2"/>
      <scheme val="minor"/>
    </font>
    <font>
      <b/>
      <i/>
      <sz val="15"/>
      <color theme="0"/>
      <name val="Arial"/>
      <family val="2"/>
      <scheme val="minor"/>
    </font>
    <font>
      <b/>
      <i/>
      <sz val="14"/>
      <color theme="1"/>
      <name val="Arial"/>
      <family val="2"/>
      <scheme val="minor"/>
    </font>
    <font>
      <b/>
      <i/>
      <sz val="11"/>
      <color rgb="FF0070CD"/>
      <name val="Arial"/>
      <family val="2"/>
      <scheme val="minor"/>
    </font>
    <font>
      <i/>
      <sz val="11"/>
      <color rgb="FFFF0000"/>
      <name val="Arial"/>
      <family val="2"/>
      <scheme val="minor"/>
    </font>
    <font>
      <b/>
      <vertAlign val="superscript"/>
      <sz val="11"/>
      <color theme="1"/>
      <name val="Arial"/>
      <family val="2"/>
      <scheme val="minor"/>
    </font>
    <font>
      <i/>
      <sz val="10"/>
      <color theme="0"/>
      <name val="Arial"/>
      <family val="2"/>
      <scheme val="minor"/>
    </font>
    <font>
      <b/>
      <i/>
      <sz val="11"/>
      <color theme="0"/>
      <name val="Arial"/>
      <family val="2"/>
      <scheme val="minor"/>
    </font>
    <font>
      <b/>
      <sz val="10"/>
      <color theme="1"/>
      <name val="Arial"/>
      <family val="2"/>
      <scheme val="minor"/>
    </font>
    <font>
      <i/>
      <sz val="11"/>
      <color theme="0"/>
      <name val="Arial"/>
      <family val="2"/>
      <scheme val="minor"/>
    </font>
    <font>
      <b/>
      <i/>
      <sz val="10"/>
      <color theme="0"/>
      <name val="Arial"/>
      <family val="2"/>
      <scheme val="minor"/>
    </font>
    <font>
      <i/>
      <sz val="11"/>
      <color theme="1" tint="0.34998626667073579"/>
      <name val="Arial"/>
      <family val="2"/>
      <scheme val="minor"/>
    </font>
    <font>
      <sz val="11"/>
      <color theme="1" tint="0.34998626667073579"/>
      <name val="Arial"/>
      <family val="2"/>
      <scheme val="minor"/>
    </font>
    <font>
      <b/>
      <sz val="11"/>
      <color theme="1" tint="0.34998626667073579"/>
      <name val="Arial"/>
      <family val="2"/>
      <scheme val="minor"/>
    </font>
    <font>
      <b/>
      <i/>
      <sz val="11"/>
      <color theme="1"/>
      <name val="Arial"/>
      <family val="2"/>
      <scheme val="minor"/>
    </font>
    <font>
      <b/>
      <sz val="15"/>
      <color theme="1"/>
      <name val="Arial"/>
      <family val="2"/>
      <scheme val="minor"/>
    </font>
    <font>
      <b/>
      <i/>
      <sz val="12"/>
      <color rgb="FFFF0000"/>
      <name val="Arial"/>
      <family val="2"/>
      <scheme val="minor"/>
    </font>
    <font>
      <b/>
      <sz val="11"/>
      <color theme="1"/>
      <name val="Calibri"/>
      <family val="2"/>
    </font>
    <font>
      <b/>
      <sz val="9.9"/>
      <color theme="1"/>
      <name val="Calibri"/>
      <family val="2"/>
    </font>
    <font>
      <sz val="13"/>
      <color theme="1"/>
      <name val="Arial"/>
      <family val="2"/>
      <scheme val="minor"/>
    </font>
    <font>
      <b/>
      <i/>
      <sz val="13"/>
      <color rgb="FFFF0000"/>
      <name val="Arial"/>
      <family val="2"/>
      <scheme val="minor"/>
    </font>
    <font>
      <b/>
      <vertAlign val="subscript"/>
      <sz val="11"/>
      <color theme="0"/>
      <name val="Arial"/>
      <family val="2"/>
      <scheme val="minor"/>
    </font>
    <font>
      <sz val="11"/>
      <color theme="0" tint="-4.9989318521683403E-2"/>
      <name val="Arial"/>
      <family val="2"/>
      <scheme val="minor"/>
    </font>
    <font>
      <b/>
      <sz val="14"/>
      <name val="Arial"/>
      <family val="2"/>
    </font>
    <font>
      <b/>
      <sz val="12"/>
      <name val="Arial"/>
      <family val="2"/>
    </font>
    <font>
      <b/>
      <sz val="11"/>
      <name val="Arial"/>
      <family val="2"/>
      <scheme val="minor"/>
    </font>
    <font>
      <sz val="11"/>
      <color indexed="10"/>
      <name val="Arial"/>
      <family val="2"/>
      <scheme val="minor"/>
    </font>
    <font>
      <b/>
      <i/>
      <sz val="12"/>
      <color theme="1"/>
      <name val="Arial"/>
      <family val="2"/>
      <scheme val="minor"/>
    </font>
    <font>
      <vertAlign val="subscript"/>
      <sz val="11"/>
      <color theme="0"/>
      <name val="Arial"/>
      <family val="2"/>
      <scheme val="minor"/>
    </font>
    <font>
      <sz val="10"/>
      <color rgb="FF0070CD"/>
      <name val="Arial"/>
      <family val="2"/>
      <scheme val="minor"/>
    </font>
    <font>
      <i/>
      <sz val="10"/>
      <color rgb="FF0070CD"/>
      <name val="Arial"/>
      <family val="2"/>
      <scheme val="minor"/>
    </font>
    <font>
      <b/>
      <sz val="11"/>
      <color rgb="FF0070CD"/>
      <name val="Arial"/>
      <family val="2"/>
      <scheme val="minor"/>
    </font>
    <font>
      <i/>
      <sz val="11"/>
      <color theme="1" tint="0.499984740745262"/>
      <name val="Arial"/>
      <family val="2"/>
      <scheme val="minor"/>
    </font>
    <font>
      <b/>
      <sz val="15"/>
      <color theme="0"/>
      <name val="Calibri"/>
      <family val="2"/>
    </font>
    <font>
      <i/>
      <sz val="11"/>
      <color theme="1"/>
      <name val="Arial"/>
      <family val="2"/>
      <scheme val="minor"/>
    </font>
    <font>
      <b/>
      <sz val="13"/>
      <color theme="0"/>
      <name val="Arial"/>
      <family val="2"/>
      <scheme val="minor"/>
    </font>
    <font>
      <b/>
      <sz val="11"/>
      <color theme="0"/>
      <name val="Calibri"/>
      <family val="2"/>
    </font>
    <font>
      <sz val="13"/>
      <color theme="0"/>
      <name val="Arial"/>
      <family val="2"/>
      <scheme val="minor"/>
    </font>
    <font>
      <b/>
      <i/>
      <sz val="12"/>
      <color theme="0"/>
      <name val="Arial"/>
      <family val="2"/>
      <scheme val="minor"/>
    </font>
    <font>
      <b/>
      <sz val="12"/>
      <color theme="0" tint="-4.9989318521683403E-2"/>
      <name val="Arial"/>
      <family val="2"/>
      <scheme val="minor"/>
    </font>
    <font>
      <b/>
      <u/>
      <sz val="12"/>
      <color theme="1"/>
      <name val="Arial"/>
      <family val="2"/>
      <scheme val="minor"/>
    </font>
    <font>
      <b/>
      <sz val="11"/>
      <color rgb="FFFA7D00"/>
      <name val="Arial"/>
      <family val="2"/>
      <scheme val="minor"/>
    </font>
    <font>
      <sz val="11"/>
      <color indexed="8"/>
      <name val="Calibri"/>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11"/>
      <color indexed="8"/>
      <name val="Arial"/>
      <family val="2"/>
      <charset val="1"/>
    </font>
    <font>
      <b/>
      <sz val="14"/>
      <name val="Arial"/>
      <family val="2"/>
      <charset val="1"/>
    </font>
    <font>
      <b/>
      <sz val="20"/>
      <name val="Arial"/>
      <family val="2"/>
      <charset val="1"/>
    </font>
    <font>
      <b/>
      <sz val="10"/>
      <name val="Arial"/>
      <family val="2"/>
      <charset val="1"/>
    </font>
    <font>
      <sz val="10"/>
      <color indexed="8"/>
      <name val="Arial"/>
      <family val="2"/>
      <charset val="1"/>
    </font>
    <font>
      <sz val="10"/>
      <color indexed="29"/>
      <name val="Arial"/>
      <family val="2"/>
      <charset val="1"/>
    </font>
    <font>
      <b/>
      <sz val="12"/>
      <name val="Arial"/>
      <family val="2"/>
      <charset val="1"/>
    </font>
    <font>
      <sz val="12"/>
      <name val="Arial"/>
      <family val="2"/>
      <charset val="1"/>
    </font>
    <font>
      <b/>
      <sz val="10"/>
      <color indexed="8"/>
      <name val="Arial"/>
      <family val="2"/>
      <charset val="1"/>
    </font>
    <font>
      <sz val="11"/>
      <name val="Arial"/>
      <family val="2"/>
      <charset val="1"/>
    </font>
    <font>
      <sz val="11"/>
      <color indexed="10"/>
      <name val="Arial"/>
      <family val="2"/>
      <charset val="1"/>
    </font>
    <font>
      <b/>
      <sz val="12"/>
      <color indexed="8"/>
      <name val="Arial"/>
      <family val="2"/>
      <charset val="1"/>
    </font>
    <font>
      <sz val="12"/>
      <color indexed="8"/>
      <name val="Arial"/>
      <family val="2"/>
      <charset val="1"/>
    </font>
    <font>
      <b/>
      <sz val="20"/>
      <color indexed="8"/>
      <name val="Arial"/>
      <family val="2"/>
      <charset val="1"/>
    </font>
    <font>
      <b/>
      <sz val="14"/>
      <color indexed="8"/>
      <name val="Arial"/>
      <family val="2"/>
      <charset val="1"/>
    </font>
    <font>
      <b/>
      <sz val="12"/>
      <color indexed="8"/>
      <name val="Arial"/>
      <family val="2"/>
    </font>
    <font>
      <sz val="16"/>
      <color indexed="8"/>
      <name val="Arial"/>
      <family val="2"/>
      <charset val="1"/>
    </font>
    <font>
      <i/>
      <sz val="10"/>
      <color indexed="8"/>
      <name val="Arial"/>
      <family val="2"/>
      <charset val="1"/>
    </font>
    <font>
      <b/>
      <sz val="12"/>
      <color indexed="10"/>
      <name val="Arial"/>
      <family val="2"/>
      <charset val="1"/>
    </font>
    <font>
      <b/>
      <sz val="12"/>
      <color indexed="9"/>
      <name val="Arial"/>
      <family val="2"/>
      <charset val="1"/>
    </font>
    <font>
      <i/>
      <sz val="12"/>
      <color indexed="8"/>
      <name val="Arial"/>
      <family val="2"/>
      <charset val="1"/>
    </font>
    <font>
      <u/>
      <sz val="16"/>
      <color theme="5"/>
      <name val="Arial"/>
      <family val="2"/>
    </font>
    <font>
      <sz val="8"/>
      <name val="Arial"/>
      <family val="2"/>
    </font>
    <font>
      <sz val="11"/>
      <color indexed="9"/>
      <name val="Calibri"/>
      <family val="2"/>
    </font>
    <font>
      <sz val="10"/>
      <name val="Geneva"/>
    </font>
    <font>
      <sz val="11"/>
      <color indexed="20"/>
      <name val="Calibri"/>
      <family val="2"/>
    </font>
    <font>
      <sz val="9"/>
      <name val="Times New Roman"/>
      <family val="1"/>
    </font>
    <font>
      <sz val="10"/>
      <name val="Courier"/>
      <family val="3"/>
    </font>
    <font>
      <b/>
      <sz val="11"/>
      <color indexed="52"/>
      <name val="Calibri"/>
      <family val="2"/>
    </font>
    <font>
      <b/>
      <sz val="11"/>
      <color indexed="9"/>
      <name val="Calibri"/>
      <family val="2"/>
    </font>
    <font>
      <b/>
      <sz val="24"/>
      <color indexed="8"/>
      <name val="Arial"/>
      <family val="2"/>
    </font>
    <font>
      <sz val="11"/>
      <name val="??"/>
      <family val="3"/>
      <charset val="129"/>
    </font>
    <font>
      <sz val="10"/>
      <color indexed="8"/>
      <name val="Arial"/>
      <family val="2"/>
    </font>
    <font>
      <i/>
      <sz val="11"/>
      <color indexed="23"/>
      <name val="Calibri"/>
      <family val="2"/>
    </font>
    <font>
      <sz val="11"/>
      <color indexed="17"/>
      <name val="Calibri"/>
      <family val="2"/>
    </font>
    <font>
      <b/>
      <u/>
      <sz val="11"/>
      <color indexed="37"/>
      <name val="Arial"/>
      <family val="2"/>
    </font>
    <font>
      <b/>
      <sz val="15"/>
      <color indexed="56"/>
      <name val="Calibri"/>
      <family val="2"/>
    </font>
    <font>
      <b/>
      <sz val="13"/>
      <color indexed="56"/>
      <name val="Calibri"/>
      <family val="2"/>
    </font>
    <font>
      <b/>
      <sz val="11"/>
      <color indexed="56"/>
      <name val="Calibri"/>
      <family val="2"/>
    </font>
    <font>
      <sz val="10"/>
      <color indexed="12"/>
      <name val="Arial"/>
      <family val="2"/>
    </font>
    <font>
      <sz val="11"/>
      <color indexed="62"/>
      <name val="Calibri"/>
      <family val="2"/>
    </font>
    <font>
      <sz val="11"/>
      <color indexed="52"/>
      <name val="Calibri"/>
      <family val="2"/>
    </font>
    <font>
      <sz val="11"/>
      <color indexed="60"/>
      <name val="Calibri"/>
      <family val="2"/>
    </font>
    <font>
      <b/>
      <i/>
      <sz val="16"/>
      <name val="Helv"/>
    </font>
    <font>
      <sz val="10"/>
      <color indexed="8"/>
      <name val="MS Sans Serif"/>
      <family val="2"/>
    </font>
    <font>
      <sz val="10"/>
      <name val="Helv"/>
    </font>
    <font>
      <b/>
      <sz val="8"/>
      <name val="Arial"/>
      <family val="2"/>
    </font>
    <font>
      <b/>
      <sz val="11"/>
      <color indexed="63"/>
      <name val="Calibri"/>
      <family val="2"/>
    </font>
    <font>
      <i/>
      <sz val="8"/>
      <name val="Arial"/>
      <family val="2"/>
    </font>
    <font>
      <b/>
      <sz val="18"/>
      <color indexed="56"/>
      <name val="Cambria"/>
      <family val="2"/>
    </font>
    <font>
      <sz val="8"/>
      <color indexed="12"/>
      <name val="Arial"/>
      <family val="2"/>
    </font>
    <font>
      <sz val="11"/>
      <color indexed="10"/>
      <name val="Calibri"/>
      <family val="2"/>
    </font>
    <font>
      <sz val="10"/>
      <color theme="1"/>
      <name val="Arial"/>
      <family val="2"/>
    </font>
    <font>
      <sz val="10"/>
      <color theme="1"/>
      <name val="Calibri"/>
      <family val="2"/>
    </font>
    <font>
      <b/>
      <sz val="10"/>
      <color theme="1"/>
      <name val="Arial"/>
      <family val="2"/>
    </font>
    <font>
      <b/>
      <sz val="12"/>
      <color theme="4"/>
      <name val="Arial"/>
      <family val="2"/>
      <charset val="1"/>
    </font>
    <font>
      <sz val="10"/>
      <name val="Arial"/>
      <family val="2"/>
      <scheme val="minor"/>
    </font>
    <font>
      <sz val="10"/>
      <color theme="0"/>
      <name val="Arial"/>
      <family val="2"/>
    </font>
    <font>
      <b/>
      <i/>
      <sz val="10"/>
      <color theme="1"/>
      <name val="Arial"/>
      <family val="2"/>
      <scheme val="minor"/>
    </font>
    <font>
      <i/>
      <sz val="10"/>
      <color theme="1"/>
      <name val="Arial"/>
      <family val="2"/>
      <scheme val="minor"/>
    </font>
    <font>
      <u/>
      <sz val="10"/>
      <color theme="8"/>
      <name val="Arial"/>
      <family val="2"/>
    </font>
    <font>
      <b/>
      <sz val="10"/>
      <color rgb="FFFF0000"/>
      <name val="Arial"/>
      <family val="2"/>
      <charset val="1"/>
    </font>
    <font>
      <i/>
      <sz val="10"/>
      <color theme="1"/>
      <name val="Arial"/>
      <family val="2"/>
    </font>
    <font>
      <sz val="9"/>
      <color theme="1"/>
      <name val="Arial"/>
      <family val="2"/>
    </font>
    <font>
      <sz val="9"/>
      <color theme="1"/>
      <name val="Arial"/>
      <family val="2"/>
      <scheme val="minor"/>
    </font>
    <font>
      <u/>
      <sz val="10"/>
      <color theme="1"/>
      <name val="Arial"/>
      <family val="2"/>
    </font>
    <font>
      <vertAlign val="superscript"/>
      <sz val="9"/>
      <color theme="1"/>
      <name val="Arial"/>
      <family val="2"/>
    </font>
    <font>
      <i/>
      <sz val="10"/>
      <name val="Arial"/>
      <family val="2"/>
      <scheme val="minor"/>
    </font>
    <font>
      <sz val="10"/>
      <color rgb="FF000000"/>
      <name val="Arial"/>
      <family val="2"/>
      <scheme val="minor"/>
    </font>
    <font>
      <sz val="10"/>
      <color theme="4"/>
      <name val="Arial"/>
      <family val="2"/>
      <scheme val="minor"/>
    </font>
    <font>
      <i/>
      <sz val="11"/>
      <name val="Arial"/>
      <family val="2"/>
      <scheme val="minor"/>
    </font>
    <font>
      <b/>
      <sz val="11"/>
      <color rgb="FFFFFF00"/>
      <name val="Arial"/>
      <family val="2"/>
    </font>
    <font>
      <u/>
      <sz val="10"/>
      <color theme="4"/>
      <name val="Arial"/>
      <family val="2"/>
      <scheme val="minor"/>
    </font>
    <font>
      <b/>
      <u/>
      <sz val="18"/>
      <color rgb="FF054B56"/>
      <name val="Arial"/>
      <family val="2"/>
      <scheme val="minor"/>
    </font>
    <font>
      <u/>
      <sz val="10"/>
      <color rgb="FF054B56"/>
      <name val="Arial"/>
      <family val="2"/>
      <scheme val="minor"/>
    </font>
    <font>
      <sz val="10"/>
      <color rgb="FF005673"/>
      <name val="Arial"/>
      <family val="2"/>
      <scheme val="minor"/>
    </font>
    <font>
      <sz val="10"/>
      <color rgb="FF595959"/>
      <name val="Arial"/>
      <family val="2"/>
      <scheme val="minor"/>
    </font>
    <font>
      <sz val="10"/>
      <color theme="5"/>
      <name val="Arial"/>
      <family val="2"/>
      <scheme val="minor"/>
    </font>
    <font>
      <b/>
      <sz val="18"/>
      <color rgb="FF00539F"/>
      <name val="Arial"/>
      <family val="2"/>
      <scheme val="minor"/>
    </font>
    <font>
      <b/>
      <sz val="14"/>
      <color rgb="FF00539F"/>
      <name val="Arial"/>
      <family val="2"/>
      <scheme val="minor"/>
    </font>
    <font>
      <b/>
      <sz val="10"/>
      <color rgb="FF00A3E6"/>
      <name val="Arial"/>
      <family val="2"/>
      <scheme val="minor"/>
    </font>
    <font>
      <b/>
      <sz val="10"/>
      <color rgb="FF353535"/>
      <name val="Arial"/>
      <family val="2"/>
      <scheme val="minor"/>
    </font>
    <font>
      <sz val="10"/>
      <color rgb="FF353535"/>
      <name val="Arial"/>
      <family val="2"/>
      <scheme val="minor"/>
    </font>
    <font>
      <i/>
      <sz val="10"/>
      <color rgb="FF353535"/>
      <name val="Arial"/>
      <family val="2"/>
      <scheme val="minor"/>
    </font>
    <font>
      <b/>
      <sz val="10"/>
      <color theme="0"/>
      <name val="Arial"/>
      <family val="2"/>
    </font>
    <font>
      <b/>
      <sz val="16"/>
      <color rgb="FF00539F"/>
      <name val="Arial"/>
      <family val="2"/>
    </font>
    <font>
      <b/>
      <sz val="11"/>
      <color theme="0"/>
      <name val="Arial"/>
      <family val="2"/>
    </font>
    <font>
      <b/>
      <sz val="9"/>
      <color theme="0"/>
      <name val="Arial"/>
      <family val="2"/>
    </font>
    <font>
      <b/>
      <sz val="10"/>
      <color theme="0"/>
      <name val="Arial"/>
      <family val="2"/>
      <scheme val="minor"/>
    </font>
    <font>
      <b/>
      <sz val="10"/>
      <color rgb="FF6A6A6A"/>
      <name val="Arial"/>
      <family val="2"/>
      <scheme val="minor"/>
    </font>
    <font>
      <b/>
      <vertAlign val="subscript"/>
      <sz val="9"/>
      <color theme="0"/>
      <name val="Times New Roman"/>
      <family val="1"/>
    </font>
    <font>
      <b/>
      <vertAlign val="superscript"/>
      <sz val="9"/>
      <color theme="0"/>
      <name val="Arial"/>
      <family val="2"/>
    </font>
    <font>
      <sz val="10"/>
      <color theme="0"/>
      <name val="Calibri"/>
      <family val="2"/>
    </font>
    <font>
      <b/>
      <sz val="14"/>
      <color rgb="FF00539F"/>
      <name val="Arial"/>
      <family val="2"/>
    </font>
    <font>
      <b/>
      <sz val="14"/>
      <color rgb="FF00539F"/>
      <name val="Arial"/>
      <family val="2"/>
      <charset val="1"/>
    </font>
    <font>
      <sz val="10"/>
      <color theme="0"/>
      <name val="Arial"/>
      <family val="2"/>
      <charset val="1"/>
    </font>
    <font>
      <b/>
      <sz val="10"/>
      <color theme="0"/>
      <name val="Arial"/>
      <family val="2"/>
      <charset val="1"/>
    </font>
    <font>
      <i/>
      <sz val="10"/>
      <color theme="0"/>
      <name val="Arial"/>
      <family val="2"/>
    </font>
    <font>
      <b/>
      <sz val="10"/>
      <color rgb="FF6A6A6A"/>
      <name val="Arial"/>
      <family val="2"/>
    </font>
    <font>
      <b/>
      <sz val="12"/>
      <color theme="0"/>
      <name val="Arial"/>
      <family val="2"/>
    </font>
    <font>
      <b/>
      <sz val="10"/>
      <color rgb="FF000000"/>
      <name val="Arial"/>
      <family val="2"/>
      <scheme val="minor"/>
    </font>
    <font>
      <sz val="11"/>
      <color theme="0"/>
      <name val="Arial"/>
      <family val="2"/>
      <charset val="1"/>
    </font>
    <font>
      <sz val="11"/>
      <color theme="0" tint="-0.34998626667073579"/>
      <name val="Arial"/>
      <family val="2"/>
      <charset val="1"/>
    </font>
    <font>
      <b/>
      <sz val="11"/>
      <color theme="0" tint="-0.34998626667073579"/>
      <name val="Arial"/>
      <family val="2"/>
      <charset val="1"/>
    </font>
    <font>
      <b/>
      <sz val="24"/>
      <color rgb="FF0070CD"/>
      <name val="Arial"/>
      <family val="2"/>
      <charset val="1"/>
    </font>
    <font>
      <b/>
      <sz val="20"/>
      <color rgb="FF0070CD"/>
      <name val="Arial"/>
      <family val="2"/>
      <charset val="1"/>
    </font>
    <font>
      <b/>
      <sz val="40"/>
      <color rgb="FF0070CD"/>
      <name val="Arial"/>
      <family val="2"/>
      <charset val="1"/>
    </font>
    <font>
      <sz val="12"/>
      <color theme="0"/>
      <name val="Arial"/>
      <family val="2"/>
      <charset val="1"/>
    </font>
    <font>
      <b/>
      <sz val="12"/>
      <color rgb="FF0070CD"/>
      <name val="Arial"/>
      <family val="2"/>
      <charset val="1"/>
    </font>
    <font>
      <i/>
      <sz val="11"/>
      <color indexed="8"/>
      <name val="Arial"/>
      <family val="2"/>
    </font>
    <font>
      <b/>
      <sz val="10"/>
      <color rgb="FF6A6A6A"/>
      <name val="Calibri"/>
      <family val="2"/>
    </font>
    <font>
      <b/>
      <sz val="10"/>
      <color rgb="FFFF0000"/>
      <name val="Arial"/>
      <family val="2"/>
    </font>
    <font>
      <b/>
      <sz val="11"/>
      <color rgb="FF0070CD"/>
      <name val="Arial"/>
      <family val="2"/>
    </font>
    <font>
      <b/>
      <sz val="11"/>
      <color rgb="FF00539F"/>
      <name val="Arial"/>
      <family val="2"/>
    </font>
    <font>
      <sz val="8"/>
      <color theme="1"/>
      <name val="Arial"/>
      <family val="2"/>
    </font>
    <font>
      <b/>
      <sz val="11"/>
      <color rgb="FFFF0000"/>
      <name val="Arial"/>
      <family val="2"/>
    </font>
    <font>
      <b/>
      <sz val="10"/>
      <color theme="4"/>
      <name val="Arial"/>
      <family val="2"/>
      <scheme val="minor"/>
    </font>
    <font>
      <b/>
      <sz val="14"/>
      <color theme="4"/>
      <name val="Arial"/>
      <family val="2"/>
    </font>
    <font>
      <b/>
      <sz val="14"/>
      <color theme="4"/>
      <name val="Arial"/>
      <family val="2"/>
      <charset val="1"/>
    </font>
    <font>
      <u/>
      <sz val="11"/>
      <color theme="1"/>
      <name val="Arial"/>
      <family val="2"/>
      <scheme val="minor"/>
    </font>
    <font>
      <b/>
      <u/>
      <sz val="11"/>
      <color theme="1"/>
      <name val="Arial"/>
      <family val="2"/>
      <scheme val="minor"/>
    </font>
    <font>
      <sz val="9"/>
      <color indexed="81"/>
      <name val="Tahoma"/>
      <family val="2"/>
    </font>
    <font>
      <b/>
      <sz val="9"/>
      <color indexed="81"/>
      <name val="Tahoma"/>
      <family val="2"/>
    </font>
    <font>
      <b/>
      <sz val="10"/>
      <color rgb="FF00539F"/>
      <name val="Arial"/>
      <family val="2"/>
      <scheme val="minor"/>
    </font>
    <font>
      <b/>
      <sz val="10"/>
      <color theme="5"/>
      <name val="Arial"/>
      <family val="2"/>
      <scheme val="minor"/>
    </font>
    <font>
      <b/>
      <i/>
      <sz val="10"/>
      <color theme="1" tint="0.34998626667073579"/>
      <name val="Arial"/>
      <family val="2"/>
    </font>
    <font>
      <i/>
      <sz val="10"/>
      <color theme="1" tint="0.34998626667073579"/>
      <name val="Arial"/>
      <family val="2"/>
    </font>
    <font>
      <u/>
      <sz val="12"/>
      <color theme="4"/>
      <name val="Arial"/>
      <family val="2"/>
      <scheme val="minor"/>
    </font>
    <font>
      <b/>
      <sz val="10"/>
      <color rgb="FF00539F"/>
      <name val="Arial"/>
      <family val="2"/>
    </font>
    <font>
      <b/>
      <sz val="9"/>
      <name val="Arial"/>
      <family val="2"/>
      <charset val="1"/>
    </font>
    <font>
      <sz val="9"/>
      <name val="Arial"/>
      <family val="2"/>
      <charset val="1"/>
    </font>
    <font>
      <i/>
      <sz val="12"/>
      <color theme="1"/>
      <name val="Arial"/>
      <family val="2"/>
      <scheme val="minor"/>
    </font>
    <font>
      <b/>
      <sz val="12"/>
      <name val="Arial"/>
      <family val="2"/>
      <scheme val="minor"/>
    </font>
    <font>
      <b/>
      <i/>
      <sz val="11"/>
      <color theme="0" tint="-4.9989318521683403E-2"/>
      <name val="Arial"/>
      <family val="2"/>
      <scheme val="minor"/>
    </font>
    <font>
      <b/>
      <i/>
      <sz val="11"/>
      <name val="Arial"/>
      <family val="2"/>
      <scheme val="minor"/>
    </font>
    <font>
      <b/>
      <sz val="11"/>
      <color rgb="FF000000"/>
      <name val="Calibri"/>
      <family val="2"/>
    </font>
    <font>
      <sz val="8"/>
      <name val="Arial"/>
      <family val="2"/>
      <scheme val="minor"/>
    </font>
  </fonts>
  <fills count="80">
    <fill>
      <patternFill patternType="none"/>
    </fill>
    <fill>
      <patternFill patternType="gray125"/>
    </fill>
    <fill>
      <patternFill patternType="solid">
        <fgColor theme="0" tint="-4.9989318521683403E-2"/>
        <bgColor indexed="64"/>
      </patternFill>
    </fill>
    <fill>
      <patternFill patternType="solid">
        <fgColor rgb="FF77BC1F"/>
        <bgColor indexed="64"/>
      </patternFill>
    </fill>
    <fill>
      <patternFill patternType="solid">
        <fgColor rgb="FF0070CD"/>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rgb="FFFF000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bgColor indexed="64"/>
      </patternFill>
    </fill>
    <fill>
      <patternFill patternType="solid">
        <fgColor theme="0" tint="-0.34998626667073579"/>
        <bgColor indexed="64"/>
      </patternFill>
    </fill>
    <fill>
      <patternFill patternType="darkUp">
        <bgColor theme="0" tint="-4.9989318521683403E-2"/>
      </patternFill>
    </fill>
    <fill>
      <patternFill patternType="solid">
        <fgColor rgb="FFF2F2F2"/>
      </patternFill>
    </fill>
    <fill>
      <patternFill patternType="solid">
        <fgColor indexed="9"/>
        <bgColor indexed="64"/>
      </patternFill>
    </fill>
    <fill>
      <patternFill patternType="solid">
        <fgColor indexed="9"/>
        <bgColor indexed="26"/>
      </patternFill>
    </fill>
    <fill>
      <patternFill patternType="solid">
        <fgColor indexed="22"/>
        <bgColor indexed="64"/>
      </patternFill>
    </fill>
    <fill>
      <patternFill patternType="solid">
        <fgColor theme="0" tint="-0.249977111117893"/>
        <bgColor indexed="64"/>
      </patternFill>
    </fill>
    <fill>
      <patternFill patternType="solid">
        <fgColor rgb="FFFFFFCC"/>
      </patternFill>
    </fill>
    <fill>
      <patternFill patternType="solid">
        <fgColor theme="0"/>
        <bgColor indexed="26"/>
      </patternFill>
    </fill>
    <fill>
      <patternFill patternType="solid">
        <fgColor theme="0"/>
        <bgColor indexed="64"/>
      </patternFill>
    </fill>
    <fill>
      <patternFill patternType="solid">
        <fgColor theme="9" tint="0.59999389629810485"/>
        <bgColor indexed="26"/>
      </patternFill>
    </fill>
    <fill>
      <patternFill patternType="solid">
        <fgColor theme="0"/>
        <b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79998168889431442"/>
        <bgColor indexed="26"/>
      </patternFill>
    </fill>
    <fill>
      <patternFill patternType="solid">
        <fgColor theme="8" tint="0.79998168889431442"/>
        <bgColor indexed="44"/>
      </patternFill>
    </fill>
    <fill>
      <patternFill patternType="solid">
        <fgColor theme="0" tint="-0.14999847407452621"/>
        <bgColor indexed="46"/>
      </patternFill>
    </fill>
    <fill>
      <patternFill patternType="solid">
        <fgColor rgb="FFFFFFFF"/>
        <bgColor rgb="FF000000"/>
      </patternFill>
    </fill>
    <fill>
      <patternFill patternType="solid">
        <fgColor rgb="FFFFF8CA"/>
        <bgColor indexed="64"/>
      </patternFill>
    </fill>
    <fill>
      <patternFill patternType="solid">
        <fgColor rgb="FFFFF8CA"/>
        <bgColor indexed="26"/>
      </patternFill>
    </fill>
    <fill>
      <patternFill patternType="solid">
        <fgColor rgb="FFFFF8CA"/>
        <bgColor indexed="44"/>
      </patternFill>
    </fill>
    <fill>
      <patternFill patternType="solid">
        <fgColor theme="0" tint="-0.14999847407452621"/>
        <bgColor indexed="44"/>
      </patternFill>
    </fill>
    <fill>
      <patternFill patternType="solid">
        <fgColor theme="0" tint="-0.14999847407452621"/>
        <bgColor indexed="26"/>
      </patternFill>
    </fill>
    <fill>
      <patternFill patternType="solid">
        <fgColor rgb="FF00539F"/>
        <bgColor indexed="64"/>
      </patternFill>
    </fill>
    <fill>
      <patternFill patternType="solid">
        <fgColor rgb="FF353535"/>
        <bgColor indexed="64"/>
      </patternFill>
    </fill>
    <fill>
      <patternFill patternType="solid">
        <fgColor rgb="FF6A6A6A"/>
        <bgColor indexed="64"/>
      </patternFill>
    </fill>
    <fill>
      <patternFill patternType="solid">
        <fgColor rgb="FF00539F"/>
        <bgColor indexed="26"/>
      </patternFill>
    </fill>
    <fill>
      <patternFill patternType="solid">
        <fgColor rgb="FF6A6A6A"/>
        <bgColor indexed="26"/>
      </patternFill>
    </fill>
    <fill>
      <patternFill patternType="solid">
        <fgColor rgb="FF6A6A6A"/>
        <bgColor indexed="46"/>
      </patternFill>
    </fill>
    <fill>
      <patternFill patternType="solid">
        <fgColor rgb="FF6A6A6A"/>
        <bgColor indexed="22"/>
      </patternFill>
    </fill>
    <fill>
      <patternFill patternType="solid">
        <fgColor rgb="FF6A6A6A"/>
        <bgColor indexed="27"/>
      </patternFill>
    </fill>
    <fill>
      <patternFill patternType="solid">
        <fgColor rgb="FFF7F4F2"/>
        <bgColor indexed="64"/>
      </patternFill>
    </fill>
    <fill>
      <patternFill patternType="solid">
        <fgColor rgb="FFFFF8CA"/>
        <bgColor indexed="46"/>
      </patternFill>
    </fill>
    <fill>
      <patternFill patternType="solid">
        <fgColor theme="0" tint="-0.249977111117893"/>
        <bgColor indexed="26"/>
      </patternFill>
    </fill>
    <fill>
      <patternFill patternType="solid">
        <fgColor rgb="FF0070CD"/>
        <bgColor indexed="26"/>
      </patternFill>
    </fill>
    <fill>
      <patternFill patternType="solid">
        <fgColor rgb="FF0070CD"/>
        <bgColor indexed="31"/>
      </patternFill>
    </fill>
    <fill>
      <patternFill patternType="solid">
        <fgColor rgb="FF0070CD"/>
        <bgColor indexed="23"/>
      </patternFill>
    </fill>
    <fill>
      <patternFill patternType="solid">
        <fgColor rgb="FFD6ECF2"/>
        <bgColor indexed="31"/>
      </patternFill>
    </fill>
    <fill>
      <patternFill patternType="solid">
        <fgColor theme="0"/>
        <bgColor indexed="22"/>
      </patternFill>
    </fill>
    <fill>
      <patternFill patternType="solid">
        <fgColor theme="7"/>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FF00"/>
        <bgColor indexed="64"/>
      </patternFill>
    </fill>
  </fills>
  <borders count="220">
    <border>
      <left/>
      <right/>
      <top/>
      <bottom/>
      <diagonal/>
    </border>
    <border>
      <left/>
      <right/>
      <top/>
      <bottom style="medium">
        <color rgb="FF0070CD"/>
      </bottom>
      <diagonal/>
    </border>
    <border>
      <left/>
      <right/>
      <top/>
      <bottom style="dotted">
        <color rgb="FF0070C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rgb="FF808080"/>
      </bottom>
      <diagonal/>
    </border>
    <border>
      <left/>
      <right/>
      <top style="thin">
        <color rgb="FF808080"/>
      </top>
      <bottom style="thin">
        <color rgb="FF808080"/>
      </bottom>
      <diagonal/>
    </border>
    <border>
      <left/>
      <right/>
      <top style="thin">
        <color rgb="FF808080"/>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style="medium">
        <color indexed="64"/>
      </top>
      <bottom style="thin">
        <color indexed="64"/>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auto="1"/>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bottom style="thin">
        <color auto="1"/>
      </bottom>
      <diagonal/>
    </border>
    <border>
      <left/>
      <right style="thin">
        <color theme="1" tint="0.499984740745262"/>
      </right>
      <top style="medium">
        <color theme="1" tint="0.499984740745262"/>
      </top>
      <bottom style="thin">
        <color theme="1" tint="0.499984740745262"/>
      </bottom>
      <diagonal/>
    </border>
    <border>
      <left style="thin">
        <color theme="1" tint="0.499984740745262"/>
      </left>
      <right/>
      <top style="medium">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medium">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auto="1"/>
      </right>
      <top style="medium">
        <color indexed="64"/>
      </top>
      <bottom/>
      <diagonal/>
    </border>
    <border>
      <left/>
      <right/>
      <top style="thin">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diagonal/>
    </border>
    <border>
      <left style="medium">
        <color theme="1" tint="0.499984740745262"/>
      </left>
      <right style="medium">
        <color theme="1" tint="0.499984740745262"/>
      </right>
      <top/>
      <bottom style="medium">
        <color theme="1" tint="0.499984740745262"/>
      </bottom>
      <diagonal/>
    </border>
    <border>
      <left/>
      <right/>
      <top style="medium">
        <color theme="1" tint="0.499984740745262"/>
      </top>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style="thin">
        <color indexed="64"/>
      </right>
      <top/>
      <bottom/>
      <diagonal/>
    </border>
    <border>
      <left style="thin">
        <color auto="1"/>
      </left>
      <right/>
      <top/>
      <bottom/>
      <diagonal/>
    </border>
    <border>
      <left style="thin">
        <color indexed="64"/>
      </left>
      <right style="medium">
        <color indexed="8"/>
      </right>
      <top style="medium">
        <color indexed="8"/>
      </top>
      <bottom/>
      <diagonal/>
    </border>
    <border>
      <left style="medium">
        <color indexed="64"/>
      </left>
      <right style="thin">
        <color indexed="64"/>
      </right>
      <top/>
      <bottom/>
      <diagonal/>
    </border>
    <border>
      <left/>
      <right style="thin">
        <color auto="1"/>
      </right>
      <top/>
      <bottom/>
      <diagonal/>
    </border>
    <border>
      <left style="medium">
        <color indexed="64"/>
      </left>
      <right style="medium">
        <color indexed="64"/>
      </right>
      <top style="medium">
        <color indexed="64"/>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indexed="64"/>
      </right>
      <top style="thin">
        <color indexed="64"/>
      </top>
      <bottom/>
      <diagonal/>
    </border>
    <border>
      <left style="thin">
        <color auto="1"/>
      </left>
      <right style="thin">
        <color auto="1"/>
      </right>
      <top style="medium">
        <color auto="1"/>
      </top>
      <bottom/>
      <diagonal/>
    </border>
    <border>
      <left/>
      <right style="thin">
        <color indexed="64"/>
      </right>
      <top style="medium">
        <color auto="1"/>
      </top>
      <bottom/>
      <diagonal/>
    </border>
    <border>
      <left/>
      <right style="thin">
        <color indexed="64"/>
      </right>
      <top/>
      <bottom style="medium">
        <color indexed="64"/>
      </bottom>
      <diagonal/>
    </border>
    <border>
      <left style="thin">
        <color auto="1"/>
      </left>
      <right style="thin">
        <color indexed="64"/>
      </right>
      <top/>
      <bottom style="medium">
        <color auto="1"/>
      </bottom>
      <diagonal/>
    </border>
    <border>
      <left style="thin">
        <color auto="1"/>
      </left>
      <right style="medium">
        <color indexed="64"/>
      </right>
      <top style="medium">
        <color auto="1"/>
      </top>
      <bottom/>
      <diagonal/>
    </border>
    <border>
      <left style="thin">
        <color auto="1"/>
      </left>
      <right style="medium">
        <color indexed="64"/>
      </right>
      <top/>
      <bottom style="medium">
        <color auto="1"/>
      </bottom>
      <diagonal/>
    </border>
    <border>
      <left style="thin">
        <color auto="1"/>
      </left>
      <right/>
      <top style="thin">
        <color auto="1"/>
      </top>
      <bottom style="thin">
        <color auto="1"/>
      </bottom>
      <diagonal/>
    </border>
    <border>
      <left style="medium">
        <color auto="1"/>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8"/>
      </right>
      <top/>
      <bottom style="thin">
        <color indexed="8"/>
      </bottom>
      <diagonal/>
    </border>
    <border>
      <left/>
      <right/>
      <top/>
      <bottom style="thin">
        <color indexed="8"/>
      </bottom>
      <diagonal/>
    </border>
    <border>
      <left style="thin">
        <color indexed="64"/>
      </left>
      <right style="thin">
        <color indexed="8"/>
      </right>
      <top/>
      <bottom style="thin">
        <color indexed="8"/>
      </bottom>
      <diagonal/>
    </border>
    <border>
      <left/>
      <right/>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medium">
        <color auto="1"/>
      </right>
      <top style="thin">
        <color auto="1"/>
      </top>
      <bottom/>
      <diagonal/>
    </border>
    <border>
      <left style="medium">
        <color indexed="64"/>
      </left>
      <right/>
      <top style="thin">
        <color auto="1"/>
      </top>
      <bottom style="medium">
        <color indexed="64"/>
      </bottom>
      <diagonal/>
    </border>
    <border>
      <left style="medium">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8"/>
      </right>
      <top style="thin">
        <color indexed="64"/>
      </top>
      <bottom style="medium">
        <color indexed="8"/>
      </bottom>
      <diagonal/>
    </border>
    <border>
      <left style="medium">
        <color indexed="8"/>
      </left>
      <right/>
      <top style="thin">
        <color auto="1"/>
      </top>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8"/>
      </bottom>
      <diagonal/>
    </border>
    <border>
      <left style="medium">
        <color indexed="8"/>
      </left>
      <right style="thin">
        <color indexed="8"/>
      </right>
      <top style="thin">
        <color indexed="64"/>
      </top>
      <bottom/>
      <diagonal/>
    </border>
    <border>
      <left style="thin">
        <color indexed="8"/>
      </left>
      <right/>
      <top style="thin">
        <color indexed="8"/>
      </top>
      <bottom/>
      <diagonal/>
    </border>
    <border>
      <left style="thin">
        <color indexed="8"/>
      </left>
      <right style="medium">
        <color indexed="64"/>
      </right>
      <top style="thin">
        <color indexed="64"/>
      </top>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right/>
      <top style="thin">
        <color indexed="8"/>
      </top>
      <bottom/>
      <diagonal/>
    </border>
    <border>
      <left style="medium">
        <color indexed="64"/>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8"/>
      </bottom>
      <diagonal/>
    </border>
    <border>
      <left style="thin">
        <color indexed="64"/>
      </left>
      <right style="medium">
        <color indexed="8"/>
      </right>
      <top style="thin">
        <color indexed="8"/>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auto="1"/>
      </bottom>
      <diagonal/>
    </border>
    <border>
      <left style="thin">
        <color auto="1"/>
      </left>
      <right/>
      <top style="thin">
        <color auto="1"/>
      </top>
      <bottom style="medium">
        <color auto="1"/>
      </bottom>
      <diagonal/>
    </border>
    <border>
      <left/>
      <right style="medium">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auto="1"/>
      </top>
      <bottom style="medium">
        <color indexed="64"/>
      </bottom>
      <diagonal/>
    </border>
    <border>
      <left/>
      <right/>
      <top style="thin">
        <color indexed="64"/>
      </top>
      <bottom style="medium">
        <color indexed="64"/>
      </bottom>
      <diagonal/>
    </border>
    <border>
      <left/>
      <right/>
      <top/>
      <bottom style="thin">
        <color auto="1"/>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style="dotted">
        <color auto="1"/>
      </right>
      <top style="medium">
        <color indexed="64"/>
      </top>
      <bottom style="thin">
        <color auto="1"/>
      </bottom>
      <diagonal/>
    </border>
    <border>
      <left style="dotted">
        <color auto="1"/>
      </left>
      <right style="dotted">
        <color auto="1"/>
      </right>
      <top/>
      <bottom style="thin">
        <color auto="1"/>
      </bottom>
      <diagonal/>
    </border>
    <border>
      <left style="dotted">
        <color auto="1"/>
      </left>
      <right style="medium">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medium">
        <color auto="1"/>
      </right>
      <top style="thin">
        <color auto="1"/>
      </top>
      <bottom style="thin">
        <color auto="1"/>
      </bottom>
      <diagonal/>
    </border>
    <border>
      <left/>
      <right style="dotted">
        <color auto="1"/>
      </right>
      <top/>
      <bottom style="thin">
        <color auto="1"/>
      </bottom>
      <diagonal/>
    </border>
    <border>
      <left/>
      <right style="dotted">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dotted">
        <color auto="1"/>
      </left>
      <right style="medium">
        <color auto="1"/>
      </right>
      <top style="thin">
        <color auto="1"/>
      </top>
      <bottom style="medium">
        <color auto="1"/>
      </bottom>
      <diagonal/>
    </border>
  </borders>
  <cellStyleXfs count="2404">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25" fillId="0" borderId="0"/>
    <xf numFmtId="0" fontId="1" fillId="0" borderId="0"/>
    <xf numFmtId="0" fontId="25" fillId="0" borderId="0"/>
    <xf numFmtId="0" fontId="25" fillId="0" borderId="0"/>
    <xf numFmtId="0" fontId="25" fillId="0" borderId="0"/>
    <xf numFmtId="0" fontId="25" fillId="0" borderId="0"/>
    <xf numFmtId="0" fontId="80" fillId="14" borderId="62" applyNumberFormat="0" applyAlignment="0" applyProtection="0"/>
    <xf numFmtId="0" fontId="81" fillId="0" borderId="0"/>
    <xf numFmtId="172" fontId="81"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84"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84" fillId="0" borderId="0" applyFill="0" applyBorder="0" applyAlignment="0" applyProtection="0"/>
    <xf numFmtId="43" fontId="25"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43" fontId="25" fillId="0" borderId="0" applyFont="0" applyFill="0" applyBorder="0" applyAlignment="0" applyProtection="0"/>
    <xf numFmtId="43" fontId="81"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43" fontId="81"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3" fontId="84"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81" fillId="0" borderId="0" applyFont="0" applyFill="0" applyBorder="0" applyAlignment="0" applyProtection="0"/>
    <xf numFmtId="173" fontId="84" fillId="0" borderId="0" applyFill="0" applyBorder="0" applyAlignment="0" applyProtection="0"/>
    <xf numFmtId="44" fontId="25" fillId="0" borderId="0" applyFont="0" applyFill="0" applyBorder="0" applyAlignment="0" applyProtection="0"/>
    <xf numFmtId="44" fontId="81" fillId="0" borderId="0" applyFont="0" applyFill="0" applyBorder="0" applyAlignment="0" applyProtection="0"/>
    <xf numFmtId="173" fontId="84" fillId="0" borderId="0" applyFill="0" applyBorder="0" applyAlignment="0" applyProtection="0"/>
    <xf numFmtId="44" fontId="81" fillId="0" borderId="0" applyFon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37" fontId="88" fillId="0" borderId="0"/>
    <xf numFmtId="0" fontId="89" fillId="0" borderId="0"/>
    <xf numFmtId="0" fontId="90" fillId="0" borderId="0"/>
    <xf numFmtId="0" fontId="90" fillId="0" borderId="0"/>
    <xf numFmtId="0" fontId="90" fillId="0" borderId="0"/>
    <xf numFmtId="0" fontId="25" fillId="0" borderId="0"/>
    <xf numFmtId="0" fontId="25" fillId="0" borderId="0"/>
    <xf numFmtId="0" fontId="90" fillId="0" borderId="0"/>
    <xf numFmtId="0" fontId="25" fillId="0" borderId="0"/>
    <xf numFmtId="0" fontId="90" fillId="0" borderId="0"/>
    <xf numFmtId="0" fontId="1" fillId="0" borderId="0"/>
    <xf numFmtId="0" fontId="1"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4"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1" fillId="0" borderId="0" applyFont="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25"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165" fontId="113" fillId="0" borderId="0" applyFont="0" applyFill="0" applyBorder="0" applyAlignment="0" applyProtection="0">
      <alignment horizontal="right"/>
    </xf>
    <xf numFmtId="2" fontId="113" fillId="0" borderId="0" applyFont="0" applyFill="0" applyBorder="0" applyAlignment="0" applyProtection="0">
      <alignment horizontal="right"/>
    </xf>
    <xf numFmtId="0" fontId="1" fillId="24" borderId="0" applyNumberFormat="0" applyBorder="0" applyAlignment="0" applyProtection="0"/>
    <xf numFmtId="0" fontId="8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8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8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81" fillId="27" borderId="0" applyNumberFormat="0" applyBorder="0" applyAlignment="0" applyProtection="0"/>
    <xf numFmtId="0" fontId="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1" fillId="32" borderId="0" applyNumberFormat="0" applyBorder="0" applyAlignment="0" applyProtection="0"/>
    <xf numFmtId="0" fontId="81" fillId="32" borderId="0" applyNumberFormat="0" applyBorder="0" applyAlignment="0" applyProtection="0"/>
    <xf numFmtId="0" fontId="1" fillId="32" borderId="0" applyNumberFormat="0" applyBorder="0" applyAlignment="0" applyProtection="0"/>
    <xf numFmtId="0" fontId="81" fillId="27" borderId="0" applyNumberFormat="0" applyBorder="0" applyAlignment="0" applyProtection="0"/>
    <xf numFmtId="0" fontId="81" fillId="30" borderId="0" applyNumberFormat="0" applyBorder="0" applyAlignment="0" applyProtection="0"/>
    <xf numFmtId="0" fontId="81" fillId="33" borderId="0" applyNumberFormat="0" applyBorder="0" applyAlignment="0" applyProtection="0"/>
    <xf numFmtId="0" fontId="114" fillId="34" borderId="0" applyNumberFormat="0" applyBorder="0" applyAlignment="0" applyProtection="0"/>
    <xf numFmtId="0" fontId="114" fillId="31" borderId="0" applyNumberFormat="0" applyBorder="0" applyAlignment="0" applyProtection="0"/>
    <xf numFmtId="0" fontId="5" fillId="32" borderId="0" applyNumberFormat="0" applyBorder="0" applyAlignment="0" applyProtection="0"/>
    <xf numFmtId="0" fontId="114" fillId="32"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114" fillId="35" borderId="0" applyNumberFormat="0" applyBorder="0" applyAlignment="0" applyProtection="0"/>
    <xf numFmtId="0" fontId="5" fillId="35" borderId="0" applyNumberFormat="0" applyBorder="0" applyAlignment="0" applyProtection="0"/>
    <xf numFmtId="0" fontId="114" fillId="36" borderId="0" applyNumberFormat="0" applyBorder="0" applyAlignment="0" applyProtection="0"/>
    <xf numFmtId="0" fontId="5" fillId="37" borderId="0" applyNumberFormat="0" applyBorder="0" applyAlignment="0" applyProtection="0"/>
    <xf numFmtId="0" fontId="114" fillId="37" borderId="0" applyNumberFormat="0" applyBorder="0" applyAlignment="0" applyProtection="0"/>
    <xf numFmtId="0" fontId="5" fillId="37"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114" fillId="41" borderId="0" applyNumberFormat="0" applyBorder="0" applyAlignment="0" applyProtection="0"/>
    <xf numFmtId="182" fontId="115" fillId="42" borderId="67">
      <alignment horizontal="center" vertical="center"/>
    </xf>
    <xf numFmtId="183" fontId="83" fillId="42" borderId="67">
      <alignment horizontal="center" vertical="center"/>
    </xf>
    <xf numFmtId="0" fontId="116" fillId="25" borderId="0" applyNumberFormat="0" applyBorder="0" applyAlignment="0" applyProtection="0"/>
    <xf numFmtId="184" fontId="117" fillId="0" borderId="0" applyFill="0" applyBorder="0" applyAlignment="0"/>
    <xf numFmtId="185" fontId="117" fillId="0" borderId="0" applyFill="0" applyBorder="0" applyAlignment="0"/>
    <xf numFmtId="170" fontId="117" fillId="0" borderId="0" applyFill="0" applyBorder="0" applyAlignment="0"/>
    <xf numFmtId="186" fontId="117" fillId="0" borderId="0" applyFill="0" applyBorder="0" applyAlignment="0"/>
    <xf numFmtId="187"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19" fillId="43" borderId="68" applyNumberFormat="0" applyAlignment="0" applyProtection="0"/>
    <xf numFmtId="0" fontId="120" fillId="44" borderId="69" applyNumberFormat="0" applyAlignment="0" applyProtection="0"/>
    <xf numFmtId="184" fontId="1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25" fillId="0" borderId="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5" fillId="0" borderId="0" applyFont="0" applyFill="0" applyBorder="0" applyAlignment="0" applyProtection="0"/>
    <xf numFmtId="3" fontId="113" fillId="0" borderId="0" applyFont="0" applyFill="0" applyBorder="0" applyAlignment="0" applyProtection="0">
      <alignment horizontal="right"/>
    </xf>
    <xf numFmtId="185" fontId="11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2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73" fontId="25" fillId="0" borderId="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73"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8" fontId="113" fillId="0" borderId="0"/>
    <xf numFmtId="6" fontId="122" fillId="0" borderId="0">
      <protection locked="0"/>
    </xf>
    <xf numFmtId="14" fontId="123" fillId="0" borderId="0" applyFill="0" applyBorder="0" applyAlignment="0"/>
    <xf numFmtId="189" fontId="25" fillId="0" borderId="70">
      <alignment vertical="center"/>
    </xf>
    <xf numFmtId="184" fontId="117" fillId="0" borderId="0" applyFill="0" applyBorder="0" applyAlignment="0"/>
    <xf numFmtId="185"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24" fillId="0" borderId="0" applyNumberFormat="0" applyFill="0" applyBorder="0" applyAlignment="0" applyProtection="0"/>
    <xf numFmtId="190" fontId="25" fillId="0" borderId="0">
      <protection locked="0"/>
    </xf>
    <xf numFmtId="0" fontId="125" fillId="26" borderId="0" applyNumberFormat="0" applyBorder="0" applyAlignment="0" applyProtection="0"/>
    <xf numFmtId="38" fontId="113" fillId="17" borderId="0" applyNumberFormat="0" applyBorder="0" applyAlignment="0" applyProtection="0"/>
    <xf numFmtId="38" fontId="113" fillId="17" borderId="0" applyNumberFormat="0" applyBorder="0" applyAlignment="0" applyProtection="0"/>
    <xf numFmtId="0" fontId="126" fillId="0" borderId="0" applyNumberFormat="0" applyFill="0" applyBorder="0" applyAlignment="0" applyProtection="0"/>
    <xf numFmtId="0" fontId="63" fillId="0" borderId="37" applyNumberFormat="0" applyAlignment="0" applyProtection="0">
      <alignment horizontal="left" vertical="center"/>
    </xf>
    <xf numFmtId="0" fontId="63" fillId="0" borderId="66">
      <alignment horizontal="left" vertical="center"/>
    </xf>
    <xf numFmtId="0" fontId="63" fillId="0" borderId="66">
      <alignment horizontal="left" vertical="center"/>
    </xf>
    <xf numFmtId="0" fontId="127" fillId="0" borderId="71" applyNumberFormat="0" applyFill="0" applyAlignment="0" applyProtection="0"/>
    <xf numFmtId="0" fontId="128" fillId="0" borderId="72" applyNumberFormat="0" applyFill="0" applyAlignment="0" applyProtection="0"/>
    <xf numFmtId="0" fontId="129" fillId="0" borderId="73" applyNumberFormat="0" applyFill="0" applyAlignment="0" applyProtection="0"/>
    <xf numFmtId="0" fontId="129" fillId="0" borderId="0" applyNumberFormat="0" applyFill="0" applyBorder="0" applyAlignment="0" applyProtection="0"/>
    <xf numFmtId="191" fontId="25" fillId="0" borderId="0">
      <protection locked="0"/>
    </xf>
    <xf numFmtId="191" fontId="25" fillId="0" borderId="0">
      <protection locked="0"/>
    </xf>
    <xf numFmtId="0" fontId="130" fillId="0" borderId="74" applyNumberFormat="0" applyFill="0" applyAlignment="0" applyProtection="0"/>
    <xf numFmtId="10" fontId="113" fillId="45" borderId="63" applyNumberFormat="0" applyBorder="0" applyAlignment="0" applyProtection="0"/>
    <xf numFmtId="10" fontId="113" fillId="45" borderId="63" applyNumberFormat="0" applyBorder="0" applyAlignment="0" applyProtection="0"/>
    <xf numFmtId="0" fontId="131" fillId="29" borderId="68" applyNumberFormat="0" applyAlignment="0" applyProtection="0"/>
    <xf numFmtId="184" fontId="117" fillId="0" borderId="0" applyFill="0" applyBorder="0" applyAlignment="0"/>
    <xf numFmtId="185"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32" fillId="0" borderId="75" applyNumberFormat="0" applyFill="0" applyAlignment="0" applyProtection="0"/>
    <xf numFmtId="0" fontId="133" fillId="46" borderId="0" applyNumberFormat="0" applyBorder="0" applyAlignment="0" applyProtection="0"/>
    <xf numFmtId="192" fontId="134"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5" fillId="0" borderId="0"/>
    <xf numFmtId="0" fontId="135" fillId="0" borderId="0"/>
    <xf numFmtId="0" fontId="25" fillId="0" borderId="0"/>
    <xf numFmtId="0" fontId="13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1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5" fillId="0" borderId="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0"/>
    <xf numFmtId="0" fontId="1" fillId="0" borderId="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81" fillId="19" borderId="64" applyNumberFormat="0" applyFont="0" applyAlignment="0" applyProtection="0"/>
    <xf numFmtId="0" fontId="25" fillId="47" borderId="76" applyNumberFormat="0" applyFont="0" applyAlignment="0" applyProtection="0"/>
    <xf numFmtId="0" fontId="81" fillId="19" borderId="64" applyNumberFormat="0" applyFont="0" applyAlignment="0" applyProtection="0"/>
    <xf numFmtId="0" fontId="137" fillId="0" borderId="65" applyFill="0" applyProtection="0">
      <alignment horizontal="right" wrapText="1"/>
    </xf>
    <xf numFmtId="0" fontId="138" fillId="43" borderId="77" applyNumberFormat="0" applyAlignment="0" applyProtection="0"/>
    <xf numFmtId="187" fontId="117" fillId="0" borderId="0" applyFont="0" applyFill="0" applyBorder="0" applyAlignment="0" applyProtection="0"/>
    <xf numFmtId="193"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2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8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4" fontId="117" fillId="0" borderId="0" applyFill="0" applyBorder="0" applyAlignment="0"/>
    <xf numFmtId="185"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39" fillId="0" borderId="0" applyFill="0" applyBorder="0" applyProtection="0">
      <alignment horizontal="left" wrapText="1"/>
    </xf>
    <xf numFmtId="49" fontId="123" fillId="0" borderId="0" applyFill="0" applyBorder="0" applyAlignment="0"/>
    <xf numFmtId="194" fontId="25" fillId="0" borderId="0" applyFill="0" applyBorder="0" applyAlignment="0"/>
    <xf numFmtId="195" fontId="25" fillId="0" borderId="0" applyFill="0" applyBorder="0" applyAlignment="0"/>
    <xf numFmtId="0" fontId="140" fillId="0" borderId="0" applyNumberFormat="0" applyFill="0" applyBorder="0" applyAlignment="0" applyProtection="0"/>
    <xf numFmtId="191" fontId="25" fillId="0" borderId="78">
      <protection locked="0"/>
    </xf>
    <xf numFmtId="37" fontId="113" fillId="48" borderId="0" applyNumberFormat="0" applyBorder="0" applyAlignment="0" applyProtection="0"/>
    <xf numFmtId="37" fontId="113" fillId="48" borderId="0" applyNumberFormat="0" applyBorder="0" applyAlignment="0" applyProtection="0"/>
    <xf numFmtId="37" fontId="113" fillId="0" borderId="0"/>
    <xf numFmtId="3" fontId="141" fillId="0" borderId="74" applyProtection="0"/>
    <xf numFmtId="0" fontId="142" fillId="0" borderId="0" applyNumberFormat="0" applyFill="0" applyBorder="0" applyAlignment="0" applyProtection="0"/>
    <xf numFmtId="43" fontId="1" fillId="0" borderId="0" applyFont="0" applyFill="0" applyBorder="0" applyAlignment="0" applyProtection="0"/>
  </cellStyleXfs>
  <cellXfs count="1267">
    <xf numFmtId="0" fontId="0" fillId="0" borderId="0" xfId="0"/>
    <xf numFmtId="0" fontId="8" fillId="2" borderId="0" xfId="0" applyFont="1" applyFill="1"/>
    <xf numFmtId="0" fontId="9" fillId="3" borderId="0" xfId="0" applyFont="1" applyFill="1" applyAlignment="1">
      <alignment horizontal="left" vertical="center"/>
    </xf>
    <xf numFmtId="0" fontId="7" fillId="3" borderId="0" xfId="0" applyFont="1" applyFill="1"/>
    <xf numFmtId="0" fontId="10" fillId="4" borderId="0" xfId="0" applyFont="1" applyFill="1"/>
    <xf numFmtId="0" fontId="11" fillId="4" borderId="0" xfId="0" applyFont="1" applyFill="1"/>
    <xf numFmtId="0" fontId="28" fillId="4" borderId="0" xfId="0" applyFont="1" applyFill="1" applyAlignment="1">
      <alignment horizontal="left" vertical="center"/>
    </xf>
    <xf numFmtId="0" fontId="0" fillId="3" borderId="0" xfId="0" applyFill="1"/>
    <xf numFmtId="0" fontId="9" fillId="3" borderId="0" xfId="0" applyFont="1" applyFill="1"/>
    <xf numFmtId="0" fontId="0" fillId="2" borderId="0" xfId="0" applyFill="1"/>
    <xf numFmtId="0" fontId="51" fillId="8" borderId="0" xfId="0" applyFont="1" applyFill="1"/>
    <xf numFmtId="0" fontId="51" fillId="8" borderId="25" xfId="0" applyFont="1" applyFill="1" applyBorder="1"/>
    <xf numFmtId="0" fontId="51" fillId="8" borderId="27" xfId="0" applyFont="1" applyFill="1" applyBorder="1" applyAlignment="1">
      <alignment horizontal="center"/>
    </xf>
    <xf numFmtId="0" fontId="51" fillId="8" borderId="28" xfId="0" applyFont="1" applyFill="1" applyBorder="1" applyAlignment="1">
      <alignment horizontal="center"/>
    </xf>
    <xf numFmtId="0" fontId="51" fillId="8" borderId="30" xfId="0" applyFont="1" applyFill="1" applyBorder="1" applyAlignment="1">
      <alignment horizontal="center"/>
    </xf>
    <xf numFmtId="0" fontId="51" fillId="8" borderId="31" xfId="0" applyFont="1" applyFill="1" applyBorder="1" applyAlignment="1">
      <alignment horizontal="center"/>
    </xf>
    <xf numFmtId="0" fontId="2" fillId="4" borderId="17" xfId="0" applyFont="1" applyFill="1" applyBorder="1" applyAlignment="1">
      <alignment horizontal="center" wrapText="1"/>
    </xf>
    <xf numFmtId="0" fontId="2" fillId="4" borderId="13" xfId="0" applyFont="1" applyFill="1" applyBorder="1" applyAlignment="1">
      <alignment horizontal="center" wrapText="1"/>
    </xf>
    <xf numFmtId="0" fontId="2" fillId="4" borderId="18" xfId="0" applyFont="1" applyFill="1" applyBorder="1" applyAlignment="1">
      <alignment horizontal="center" wrapText="1"/>
    </xf>
    <xf numFmtId="0" fontId="0" fillId="4" borderId="0" xfId="0" applyFill="1"/>
    <xf numFmtId="0" fontId="41" fillId="2" borderId="0" xfId="0" applyFont="1" applyFill="1" applyAlignment="1">
      <alignment horizontal="center"/>
    </xf>
    <xf numFmtId="0" fontId="51" fillId="8" borderId="40" xfId="0" applyFont="1" applyFill="1" applyBorder="1" applyAlignment="1">
      <alignment horizontal="center"/>
    </xf>
    <xf numFmtId="0" fontId="51" fillId="8" borderId="41" xfId="0" applyFont="1" applyFill="1" applyBorder="1" applyAlignment="1">
      <alignment horizontal="center"/>
    </xf>
    <xf numFmtId="0" fontId="51" fillId="8" borderId="44" xfId="0" applyFont="1" applyFill="1" applyBorder="1" applyAlignment="1">
      <alignment horizontal="center"/>
    </xf>
    <xf numFmtId="0" fontId="51" fillId="8" borderId="45" xfId="0" applyFont="1" applyFill="1" applyBorder="1" applyAlignment="1">
      <alignment horizontal="center"/>
    </xf>
    <xf numFmtId="0" fontId="51" fillId="8" borderId="46" xfId="0" applyFont="1" applyFill="1" applyBorder="1" applyAlignment="1">
      <alignment horizontal="center"/>
    </xf>
    <xf numFmtId="0" fontId="51" fillId="8" borderId="42" xfId="0" applyFont="1" applyFill="1" applyBorder="1" applyAlignment="1">
      <alignment horizontal="center"/>
    </xf>
    <xf numFmtId="0" fontId="2" fillId="4" borderId="12" xfId="0" applyFont="1" applyFill="1" applyBorder="1" applyAlignment="1">
      <alignment horizontal="center" wrapText="1"/>
    </xf>
    <xf numFmtId="0" fontId="2" fillId="4" borderId="20" xfId="0" applyFont="1" applyFill="1" applyBorder="1" applyAlignment="1">
      <alignment horizontal="center" wrapText="1"/>
    </xf>
    <xf numFmtId="0" fontId="40" fillId="0" borderId="0" xfId="0" applyFont="1" applyAlignment="1">
      <alignment horizontal="center" vertical="center"/>
    </xf>
    <xf numFmtId="0" fontId="41" fillId="0" borderId="0" xfId="0" applyFont="1" applyAlignment="1">
      <alignment horizontal="center"/>
    </xf>
    <xf numFmtId="0" fontId="73" fillId="0" borderId="0" xfId="0" applyFont="1" applyAlignment="1">
      <alignment horizontal="left" vertical="center" wrapText="1"/>
    </xf>
    <xf numFmtId="0" fontId="0" fillId="0" borderId="0" xfId="0" applyAlignment="1">
      <alignment horizontal="center"/>
    </xf>
    <xf numFmtId="0" fontId="0" fillId="2" borderId="3" xfId="0" applyFill="1" applyBorder="1"/>
    <xf numFmtId="0" fontId="35" fillId="2" borderId="4" xfId="0" applyFont="1" applyFill="1" applyBorder="1"/>
    <xf numFmtId="0" fontId="36" fillId="2" borderId="4" xfId="0" applyFont="1" applyFill="1" applyBorder="1"/>
    <xf numFmtId="0" fontId="38" fillId="2" borderId="4" xfId="0" applyFont="1" applyFill="1" applyBorder="1"/>
    <xf numFmtId="0" fontId="39" fillId="2" borderId="4" xfId="0" applyFont="1" applyFill="1" applyBorder="1" applyAlignment="1">
      <alignment vertical="center"/>
    </xf>
    <xf numFmtId="0" fontId="0" fillId="2" borderId="4" xfId="0" applyFill="1" applyBorder="1"/>
    <xf numFmtId="0" fontId="0" fillId="2" borderId="5" xfId="0" applyFill="1" applyBorder="1"/>
    <xf numFmtId="0" fontId="41" fillId="2" borderId="6" xfId="0" applyFont="1" applyFill="1" applyBorder="1" applyAlignment="1">
      <alignment horizontal="center"/>
    </xf>
    <xf numFmtId="0" fontId="41" fillId="2" borderId="7" xfId="0" applyFont="1" applyFill="1" applyBorder="1" applyAlignment="1">
      <alignment horizontal="center"/>
    </xf>
    <xf numFmtId="0" fontId="42" fillId="2" borderId="0" xfId="0" applyFont="1" applyFill="1" applyAlignment="1">
      <alignment horizontal="center" vertical="top"/>
    </xf>
    <xf numFmtId="0" fontId="35" fillId="2" borderId="16" xfId="0" applyFont="1" applyFill="1" applyBorder="1" applyAlignment="1">
      <alignment horizontal="left"/>
    </xf>
    <xf numFmtId="0" fontId="4" fillId="2" borderId="6" xfId="0" applyFont="1" applyFill="1" applyBorder="1" applyAlignment="1">
      <alignment horizontal="right"/>
    </xf>
    <xf numFmtId="0" fontId="0" fillId="2" borderId="7" xfId="0" applyFill="1" applyBorder="1"/>
    <xf numFmtId="0" fontId="4" fillId="2" borderId="16" xfId="0" applyFont="1" applyFill="1" applyBorder="1" applyAlignment="1">
      <alignment horizontal="right"/>
    </xf>
    <xf numFmtId="0" fontId="4" fillId="2" borderId="0" xfId="0" applyFont="1" applyFill="1" applyAlignment="1">
      <alignment horizontal="right"/>
    </xf>
    <xf numFmtId="0" fontId="35" fillId="2" borderId="0" xfId="0" applyFont="1" applyFill="1" applyAlignment="1">
      <alignment horizontal="left"/>
    </xf>
    <xf numFmtId="0" fontId="0" fillId="2" borderId="0" xfId="0" applyFill="1" applyAlignment="1">
      <alignment horizontal="right"/>
    </xf>
    <xf numFmtId="0" fontId="0" fillId="2" borderId="6" xfId="0" applyFill="1" applyBorder="1"/>
    <xf numFmtId="0" fontId="42" fillId="2" borderId="0" xfId="0" applyFont="1" applyFill="1" applyAlignment="1">
      <alignment horizontal="center" vertical="top" wrapText="1"/>
    </xf>
    <xf numFmtId="14" fontId="4" fillId="2" borderId="0" xfId="0" applyNumberFormat="1" applyFont="1" applyFill="1" applyAlignment="1">
      <alignment horizontal="right" indent="1"/>
    </xf>
    <xf numFmtId="14" fontId="0" fillId="2" borderId="0" xfId="0" applyNumberFormat="1" applyFill="1" applyAlignment="1">
      <alignment horizontal="right" indent="1"/>
    </xf>
    <xf numFmtId="0" fontId="0" fillId="2" borderId="0" xfId="0" applyFill="1" applyAlignment="1">
      <alignment horizontal="right" indent="1"/>
    </xf>
    <xf numFmtId="0" fontId="73" fillId="2" borderId="7" xfId="0" applyFont="1" applyFill="1" applyBorder="1" applyAlignment="1">
      <alignment vertical="center" wrapText="1"/>
    </xf>
    <xf numFmtId="0" fontId="4" fillId="2" borderId="0" xfId="0" applyFont="1" applyFill="1" applyAlignment="1">
      <alignment horizontal="right" indent="1"/>
    </xf>
    <xf numFmtId="0" fontId="42" fillId="2" borderId="0" xfId="0" applyFont="1" applyFill="1" applyAlignment="1">
      <alignment vertical="top" wrapText="1"/>
    </xf>
    <xf numFmtId="14" fontId="4" fillId="2" borderId="0" xfId="0" applyNumberFormat="1" applyFont="1" applyFill="1" applyAlignment="1">
      <alignment horizontal="right"/>
    </xf>
    <xf numFmtId="0" fontId="35" fillId="2" borderId="0" xfId="0" applyFont="1" applyFill="1"/>
    <xf numFmtId="14" fontId="0" fillId="2" borderId="0" xfId="0" applyNumberFormat="1" applyFill="1" applyAlignment="1">
      <alignment horizontal="left"/>
    </xf>
    <xf numFmtId="14" fontId="43" fillId="2" borderId="0" xfId="0" applyNumberFormat="1" applyFont="1" applyFill="1"/>
    <xf numFmtId="0" fontId="4" fillId="2" borderId="0" xfId="0" applyFont="1" applyFill="1" applyAlignment="1">
      <alignment horizontal="center"/>
    </xf>
    <xf numFmtId="0" fontId="4" fillId="2" borderId="6" xfId="0" applyFont="1" applyFill="1" applyBorder="1"/>
    <xf numFmtId="0" fontId="35" fillId="10" borderId="15" xfId="0" applyFont="1" applyFill="1" applyBorder="1" applyAlignment="1" applyProtection="1">
      <alignment horizontal="left"/>
      <protection locked="0"/>
    </xf>
    <xf numFmtId="164" fontId="35" fillId="10" borderId="15" xfId="0" applyNumberFormat="1" applyFont="1" applyFill="1" applyBorder="1" applyAlignment="1" applyProtection="1">
      <alignment horizontal="left"/>
      <protection locked="0"/>
    </xf>
    <xf numFmtId="0" fontId="55" fillId="0" borderId="0" xfId="0" applyFont="1" applyAlignment="1">
      <alignment vertical="center" wrapText="1"/>
    </xf>
    <xf numFmtId="0" fontId="59" fillId="0" borderId="0" xfId="0" applyFont="1" applyAlignment="1">
      <alignment vertical="center" wrapText="1"/>
    </xf>
    <xf numFmtId="0" fontId="58" fillId="0" borderId="0" xfId="0" applyFont="1" applyAlignment="1">
      <alignment horizontal="center"/>
    </xf>
    <xf numFmtId="0" fontId="4" fillId="3" borderId="39" xfId="0" applyFont="1" applyFill="1" applyBorder="1" applyAlignment="1">
      <alignment horizontal="center" wrapText="1"/>
    </xf>
    <xf numFmtId="0" fontId="75" fillId="4" borderId="17" xfId="0" applyFont="1" applyFill="1" applyBorder="1" applyAlignment="1">
      <alignment horizontal="center" wrapText="1"/>
    </xf>
    <xf numFmtId="0" fontId="5" fillId="0" borderId="0" xfId="0" applyFont="1"/>
    <xf numFmtId="0" fontId="76" fillId="0" borderId="0" xfId="0" applyFont="1"/>
    <xf numFmtId="0" fontId="2" fillId="0" borderId="0" xfId="0" applyFont="1" applyAlignment="1">
      <alignment horizontal="center" wrapText="1"/>
    </xf>
    <xf numFmtId="0" fontId="8" fillId="0" borderId="0" xfId="0" applyFont="1"/>
    <xf numFmtId="0" fontId="63" fillId="0" borderId="0" xfId="3" applyFont="1" applyAlignment="1">
      <alignment horizontal="center"/>
    </xf>
    <xf numFmtId="0" fontId="61" fillId="0" borderId="0" xfId="0" applyFont="1"/>
    <xf numFmtId="0" fontId="5" fillId="2" borderId="7" xfId="0" applyFont="1" applyFill="1" applyBorder="1"/>
    <xf numFmtId="169" fontId="0" fillId="2" borderId="0" xfId="0" applyNumberFormat="1" applyFill="1" applyAlignment="1">
      <alignment horizontal="center"/>
    </xf>
    <xf numFmtId="169" fontId="7" fillId="2" borderId="0" xfId="0" applyNumberFormat="1" applyFont="1" applyFill="1" applyAlignment="1">
      <alignment horizontal="center"/>
    </xf>
    <xf numFmtId="0" fontId="4" fillId="2" borderId="0" xfId="0" applyFont="1" applyFill="1" applyAlignment="1">
      <alignment horizontal="right" vertical="center"/>
    </xf>
    <xf numFmtId="3" fontId="70" fillId="2" borderId="0" xfId="0" applyNumberFormat="1" applyFont="1" applyFill="1" applyAlignment="1">
      <alignment horizontal="left" vertical="center"/>
    </xf>
    <xf numFmtId="0" fontId="71" fillId="2" borderId="0" xfId="0" applyFont="1" applyFill="1" applyAlignment="1">
      <alignment vertical="top" wrapText="1"/>
    </xf>
    <xf numFmtId="0" fontId="5" fillId="0" borderId="0" xfId="0" applyFont="1" applyAlignment="1">
      <alignment horizontal="center"/>
    </xf>
    <xf numFmtId="0" fontId="35" fillId="0" borderId="0" xfId="0" applyFont="1"/>
    <xf numFmtId="0" fontId="35" fillId="0" borderId="0" xfId="0" applyFont="1" applyAlignment="1">
      <alignment horizontal="center"/>
    </xf>
    <xf numFmtId="0" fontId="5" fillId="4" borderId="0" xfId="0" applyFont="1" applyFill="1"/>
    <xf numFmtId="0" fontId="5" fillId="12" borderId="17" xfId="0" applyFont="1" applyFill="1" applyBorder="1" applyAlignment="1">
      <alignment horizontal="center"/>
    </xf>
    <xf numFmtId="165" fontId="35" fillId="0" borderId="0" xfId="0" applyNumberFormat="1" applyFont="1"/>
    <xf numFmtId="2" fontId="52" fillId="8" borderId="52" xfId="0" applyNumberFormat="1" applyFont="1" applyFill="1" applyBorder="1"/>
    <xf numFmtId="2" fontId="52" fillId="8" borderId="33" xfId="0" applyNumberFormat="1" applyFont="1" applyFill="1" applyBorder="1"/>
    <xf numFmtId="2" fontId="52" fillId="8" borderId="47" xfId="0" applyNumberFormat="1" applyFont="1" applyFill="1" applyBorder="1"/>
    <xf numFmtId="0" fontId="42" fillId="2" borderId="7" xfId="0" applyFont="1" applyFill="1" applyBorder="1" applyAlignment="1">
      <alignment horizontal="center" vertical="top" wrapText="1"/>
    </xf>
    <xf numFmtId="0" fontId="4" fillId="2" borderId="7" xfId="0" applyFont="1" applyFill="1" applyBorder="1" applyAlignment="1">
      <alignment horizontal="center"/>
    </xf>
    <xf numFmtId="165" fontId="45" fillId="2" borderId="7" xfId="0" applyNumberFormat="1" applyFont="1" applyFill="1" applyBorder="1" applyAlignment="1">
      <alignment horizontal="center"/>
    </xf>
    <xf numFmtId="165" fontId="35" fillId="2" borderId="7" xfId="0" applyNumberFormat="1" applyFont="1" applyFill="1" applyBorder="1" applyAlignment="1">
      <alignment horizontal="center"/>
    </xf>
    <xf numFmtId="0" fontId="52" fillId="8" borderId="57" xfId="0" applyFont="1" applyFill="1" applyBorder="1" applyAlignment="1">
      <alignment horizontal="center"/>
    </xf>
    <xf numFmtId="0" fontId="52" fillId="8" borderId="58" xfId="0" applyFont="1" applyFill="1" applyBorder="1" applyAlignment="1">
      <alignment horizontal="center"/>
    </xf>
    <xf numFmtId="0" fontId="52" fillId="8" borderId="59" xfId="0" applyFont="1" applyFill="1" applyBorder="1" applyAlignment="1">
      <alignment horizontal="center"/>
    </xf>
    <xf numFmtId="171" fontId="70" fillId="2" borderId="0" xfId="0" applyNumberFormat="1" applyFont="1" applyFill="1" applyAlignment="1">
      <alignment horizontal="left"/>
    </xf>
    <xf numFmtId="0" fontId="91" fillId="16" borderId="0" xfId="3" applyFont="1" applyFill="1" applyAlignment="1">
      <alignment vertical="center"/>
    </xf>
    <xf numFmtId="0" fontId="91" fillId="16" borderId="0" xfId="3" applyFont="1" applyFill="1" applyAlignment="1" applyProtection="1">
      <alignment vertical="center"/>
      <protection hidden="1"/>
    </xf>
    <xf numFmtId="0" fontId="95" fillId="16" borderId="0" xfId="3" applyFont="1" applyFill="1" applyAlignment="1" applyProtection="1">
      <alignment vertical="center"/>
      <protection hidden="1"/>
    </xf>
    <xf numFmtId="0" fontId="93" fillId="16" borderId="0" xfId="3" applyFont="1" applyFill="1" applyAlignment="1" applyProtection="1">
      <alignment horizontal="left" vertical="center"/>
      <protection hidden="1"/>
    </xf>
    <xf numFmtId="0" fontId="98" fillId="16" borderId="0" xfId="3" applyFont="1" applyFill="1" applyAlignment="1" applyProtection="1">
      <alignment vertical="center"/>
      <protection hidden="1"/>
    </xf>
    <xf numFmtId="0" fontId="97" fillId="16" borderId="0" xfId="3" applyFont="1" applyFill="1" applyAlignment="1" applyProtection="1">
      <alignment vertical="center"/>
      <protection hidden="1"/>
    </xf>
    <xf numFmtId="0" fontId="99" fillId="16" borderId="0" xfId="3" applyFont="1" applyFill="1" applyAlignment="1" applyProtection="1">
      <alignment vertical="center"/>
      <protection hidden="1"/>
    </xf>
    <xf numFmtId="0" fontId="97" fillId="16" borderId="0" xfId="3" applyFont="1" applyFill="1" applyAlignment="1" applyProtection="1">
      <alignment horizontal="left" vertical="center"/>
      <protection hidden="1"/>
    </xf>
    <xf numFmtId="0" fontId="103" fillId="16" borderId="0" xfId="3" applyFont="1" applyFill="1" applyAlignment="1" applyProtection="1">
      <alignment vertical="center"/>
      <protection hidden="1"/>
    </xf>
    <xf numFmtId="0" fontId="25" fillId="0" borderId="0" xfId="3"/>
    <xf numFmtId="0" fontId="107" fillId="16" borderId="0" xfId="3" applyFont="1" applyFill="1" applyAlignment="1" applyProtection="1">
      <alignment vertical="center"/>
      <protection hidden="1"/>
    </xf>
    <xf numFmtId="0" fontId="101" fillId="16" borderId="0" xfId="3" applyFont="1" applyFill="1" applyAlignment="1" applyProtection="1">
      <alignment vertical="center"/>
      <protection hidden="1"/>
    </xf>
    <xf numFmtId="0" fontId="101" fillId="16" borderId="0" xfId="3" applyFont="1" applyFill="1" applyAlignment="1">
      <alignment vertical="center"/>
    </xf>
    <xf numFmtId="0" fontId="100" fillId="16" borderId="0" xfId="3" applyFont="1" applyFill="1" applyAlignment="1">
      <alignment vertical="center"/>
    </xf>
    <xf numFmtId="0" fontId="100" fillId="16" borderId="0" xfId="3" applyFont="1" applyFill="1" applyAlignment="1" applyProtection="1">
      <alignment vertical="center"/>
      <protection hidden="1"/>
    </xf>
    <xf numFmtId="3" fontId="91" fillId="16" borderId="0" xfId="3" applyNumberFormat="1" applyFont="1" applyFill="1" applyAlignment="1">
      <alignment horizontal="center" vertical="center"/>
    </xf>
    <xf numFmtId="4" fontId="91" fillId="16" borderId="0" xfId="3" applyNumberFormat="1" applyFont="1" applyFill="1" applyAlignment="1">
      <alignment horizontal="center" vertical="center"/>
    </xf>
    <xf numFmtId="181" fontId="91" fillId="16" borderId="0" xfId="3" applyNumberFormat="1" applyFont="1" applyFill="1" applyAlignment="1">
      <alignment horizontal="center" vertical="center"/>
    </xf>
    <xf numFmtId="0" fontId="4" fillId="0" borderId="0" xfId="0" applyFont="1"/>
    <xf numFmtId="0" fontId="0" fillId="21" borderId="0" xfId="0" applyFill="1" applyAlignment="1">
      <alignment vertical="top"/>
    </xf>
    <xf numFmtId="0" fontId="0" fillId="21" borderId="0" xfId="0" applyFill="1"/>
    <xf numFmtId="0" fontId="4" fillId="21" borderId="0" xfId="0" applyFont="1" applyFill="1" applyAlignment="1">
      <alignment horizontal="left" vertical="top"/>
    </xf>
    <xf numFmtId="0" fontId="4" fillId="21" borderId="0" xfId="0" applyFont="1" applyFill="1" applyAlignment="1">
      <alignment horizontal="left" vertical="top" indent="18"/>
    </xf>
    <xf numFmtId="0" fontId="4" fillId="21" borderId="0" xfId="0" applyFont="1" applyFill="1" applyAlignment="1">
      <alignment horizontal="left" vertical="top" wrapText="1" indent="18"/>
    </xf>
    <xf numFmtId="0" fontId="0" fillId="21" borderId="0" xfId="0" applyFill="1" applyAlignment="1">
      <alignment vertical="top" wrapText="1"/>
    </xf>
    <xf numFmtId="0" fontId="4" fillId="21" borderId="0" xfId="0" applyFont="1" applyFill="1" applyAlignment="1">
      <alignment vertical="top"/>
    </xf>
    <xf numFmtId="0" fontId="4" fillId="21" borderId="0" xfId="0" applyFont="1" applyFill="1"/>
    <xf numFmtId="0" fontId="90" fillId="20" borderId="0" xfId="3" applyFont="1" applyFill="1" applyAlignment="1" applyProtection="1">
      <alignment vertical="center"/>
      <protection hidden="1"/>
    </xf>
    <xf numFmtId="0" fontId="92" fillId="23" borderId="0" xfId="3" applyFont="1" applyFill="1" applyAlignment="1" applyProtection="1">
      <alignment horizontal="left" vertical="center"/>
      <protection hidden="1"/>
    </xf>
    <xf numFmtId="0" fontId="95" fillId="20" borderId="0" xfId="3" applyFont="1" applyFill="1" applyAlignment="1" applyProtection="1">
      <alignment vertical="center"/>
      <protection hidden="1"/>
    </xf>
    <xf numFmtId="0" fontId="93" fillId="23" borderId="0" xfId="3" applyFont="1" applyFill="1" applyAlignment="1" applyProtection="1">
      <alignment horizontal="left" vertical="center"/>
      <protection hidden="1"/>
    </xf>
    <xf numFmtId="0" fontId="143" fillId="15" borderId="0" xfId="10" applyFont="1" applyFill="1" applyProtection="1">
      <protection hidden="1"/>
    </xf>
    <xf numFmtId="196" fontId="0" fillId="0" borderId="0" xfId="0" applyNumberFormat="1"/>
    <xf numFmtId="0" fontId="98" fillId="16" borderId="0" xfId="3" applyFont="1" applyFill="1" applyAlignment="1" applyProtection="1">
      <alignment vertical="center" wrapText="1"/>
      <protection hidden="1"/>
    </xf>
    <xf numFmtId="0" fontId="35" fillId="21" borderId="0" xfId="0" applyFont="1" applyFill="1"/>
    <xf numFmtId="0" fontId="25" fillId="16" borderId="0" xfId="3" applyFill="1" applyAlignment="1" applyProtection="1">
      <alignment vertical="center"/>
      <protection hidden="1"/>
    </xf>
    <xf numFmtId="0" fontId="25" fillId="16" borderId="0" xfId="3" applyFill="1" applyAlignment="1" applyProtection="1">
      <alignment horizontal="right" vertical="center"/>
      <protection hidden="1"/>
    </xf>
    <xf numFmtId="0" fontId="25" fillId="16" borderId="0" xfId="3" applyFill="1" applyAlignment="1" applyProtection="1">
      <alignment horizontal="left" vertical="center"/>
      <protection hidden="1"/>
    </xf>
    <xf numFmtId="0" fontId="25" fillId="16" borderId="0" xfId="3" applyFill="1" applyAlignment="1" applyProtection="1">
      <alignment horizontal="right" vertical="center" indent="1"/>
      <protection hidden="1"/>
    </xf>
    <xf numFmtId="0" fontId="25" fillId="21" borderId="0" xfId="3" applyFill="1" applyAlignment="1" applyProtection="1">
      <alignment horizontal="right" vertical="center" indent="1"/>
      <protection hidden="1"/>
    </xf>
    <xf numFmtId="0" fontId="148" fillId="21" borderId="0" xfId="3" applyFont="1" applyFill="1" applyAlignment="1" applyProtection="1">
      <alignment horizontal="right" vertical="center" indent="1"/>
      <protection hidden="1"/>
    </xf>
    <xf numFmtId="0" fontId="25" fillId="21" borderId="0" xfId="3" applyFill="1" applyAlignment="1" applyProtection="1">
      <alignment vertical="center"/>
      <protection hidden="1"/>
    </xf>
    <xf numFmtId="0" fontId="25" fillId="23" borderId="0" xfId="3" applyFill="1" applyAlignment="1" applyProtection="1">
      <alignment vertical="center"/>
      <protection hidden="1"/>
    </xf>
    <xf numFmtId="3" fontId="25" fillId="16" borderId="0" xfId="3" applyNumberFormat="1" applyFill="1" applyAlignment="1" applyProtection="1">
      <alignment vertical="center"/>
      <protection hidden="1"/>
    </xf>
    <xf numFmtId="9" fontId="25" fillId="16" borderId="0" xfId="3" applyNumberFormat="1" applyFill="1" applyAlignment="1" applyProtection="1">
      <alignment vertical="center"/>
      <protection hidden="1"/>
    </xf>
    <xf numFmtId="0" fontId="25" fillId="16" borderId="0" xfId="3" applyFill="1" applyAlignment="1" applyProtection="1">
      <alignment vertical="center" wrapText="1"/>
      <protection hidden="1"/>
    </xf>
    <xf numFmtId="0" fontId="151" fillId="16" borderId="0" xfId="137" applyNumberFormat="1" applyFont="1" applyFill="1" applyBorder="1" applyAlignment="1" applyProtection="1">
      <alignment vertical="center"/>
      <protection hidden="1"/>
    </xf>
    <xf numFmtId="0" fontId="25" fillId="20" borderId="0" xfId="3" applyFill="1" applyAlignment="1" applyProtection="1">
      <alignment vertical="center"/>
      <protection hidden="1"/>
    </xf>
    <xf numFmtId="0" fontId="25" fillId="20" borderId="0" xfId="3" applyFill="1" applyAlignment="1" applyProtection="1">
      <alignment horizontal="left" vertical="center"/>
      <protection hidden="1"/>
    </xf>
    <xf numFmtId="0" fontId="152" fillId="16" borderId="0" xfId="3" applyFont="1" applyFill="1" applyAlignment="1" applyProtection="1">
      <alignment horizontal="left" vertical="center"/>
      <protection hidden="1"/>
    </xf>
    <xf numFmtId="0" fontId="35" fillId="49" borderId="79" xfId="0" applyFont="1" applyFill="1" applyBorder="1" applyAlignment="1">
      <alignment horizontal="center" vertical="center" wrapText="1"/>
    </xf>
    <xf numFmtId="0" fontId="96" fillId="16" borderId="0" xfId="3" applyFont="1" applyFill="1" applyAlignment="1" applyProtection="1">
      <alignment horizontal="left" vertical="center"/>
      <protection hidden="1"/>
    </xf>
    <xf numFmtId="3" fontId="0" fillId="0" borderId="0" xfId="0" applyNumberFormat="1"/>
    <xf numFmtId="181" fontId="0" fillId="0" borderId="0" xfId="0" applyNumberFormat="1"/>
    <xf numFmtId="197" fontId="0" fillId="0" borderId="0" xfId="2403" applyNumberFormat="1" applyFont="1" applyFill="1" applyProtection="1"/>
    <xf numFmtId="198" fontId="0" fillId="0" borderId="0" xfId="2403" applyNumberFormat="1" applyFont="1" applyFill="1" applyProtection="1"/>
    <xf numFmtId="197" fontId="0" fillId="0" borderId="0" xfId="0" applyNumberFormat="1"/>
    <xf numFmtId="0" fontId="4" fillId="0" borderId="80" xfId="0" applyFont="1" applyBorder="1"/>
    <xf numFmtId="0" fontId="4" fillId="0" borderId="83" xfId="0" applyFont="1" applyBorder="1"/>
    <xf numFmtId="3" fontId="47" fillId="5" borderId="17" xfId="0" applyNumberFormat="1" applyFont="1" applyFill="1" applyBorder="1" applyAlignment="1">
      <alignment horizontal="center"/>
    </xf>
    <xf numFmtId="3" fontId="47" fillId="5" borderId="18" xfId="0" applyNumberFormat="1" applyFont="1" applyFill="1" applyBorder="1" applyAlignment="1">
      <alignment horizontal="center"/>
    </xf>
    <xf numFmtId="0" fontId="0" fillId="2" borderId="84" xfId="0" applyFill="1" applyBorder="1" applyAlignment="1">
      <alignment horizontal="center"/>
    </xf>
    <xf numFmtId="0" fontId="0" fillId="0" borderId="0" xfId="0" applyAlignment="1">
      <alignment wrapText="1"/>
    </xf>
    <xf numFmtId="0" fontId="4" fillId="0" borderId="0" xfId="0" applyFont="1" applyAlignment="1">
      <alignment horizontal="center"/>
    </xf>
    <xf numFmtId="0" fontId="154" fillId="0" borderId="0" xfId="0" applyFont="1" applyAlignment="1">
      <alignment horizontal="left" vertical="center" wrapText="1"/>
    </xf>
    <xf numFmtId="0" fontId="154" fillId="0" borderId="0" xfId="0" applyFont="1" applyAlignment="1">
      <alignment horizontal="center" vertical="center" wrapText="1"/>
    </xf>
    <xf numFmtId="0" fontId="147" fillId="0" borderId="0" xfId="0" applyFont="1" applyAlignment="1">
      <alignment wrapText="1"/>
    </xf>
    <xf numFmtId="0" fontId="150" fillId="0" borderId="0" xfId="0" applyFont="1"/>
    <xf numFmtId="0" fontId="158" fillId="0" borderId="0" xfId="0" applyFont="1" applyAlignment="1">
      <alignment wrapText="1"/>
    </xf>
    <xf numFmtId="0" fontId="147" fillId="0" borderId="0" xfId="0" applyFont="1"/>
    <xf numFmtId="0" fontId="160" fillId="0" borderId="0" xfId="0" applyFont="1" applyAlignment="1">
      <alignment horizontal="left" vertical="center" indent="6"/>
    </xf>
    <xf numFmtId="0" fontId="35" fillId="0" borderId="0" xfId="0" applyFont="1" applyAlignment="1">
      <alignment wrapText="1"/>
    </xf>
    <xf numFmtId="0" fontId="0" fillId="0" borderId="0" xfId="0" applyAlignment="1">
      <alignment horizontal="left"/>
    </xf>
    <xf numFmtId="0" fontId="37" fillId="0" borderId="0" xfId="2" quotePrefix="1" applyFont="1"/>
    <xf numFmtId="0" fontId="165" fillId="54" borderId="0" xfId="0" applyFont="1" applyFill="1" applyAlignment="1">
      <alignment horizontal="left"/>
    </xf>
    <xf numFmtId="0" fontId="35" fillId="54" borderId="0" xfId="0" applyFont="1" applyFill="1"/>
    <xf numFmtId="0" fontId="147" fillId="54" borderId="0" xfId="2232" applyFont="1" applyFill="1" applyAlignment="1" applyProtection="1">
      <alignment horizontal="left" vertical="center" wrapText="1"/>
      <protection hidden="1"/>
    </xf>
    <xf numFmtId="0" fontId="165" fillId="54" borderId="0" xfId="2232" applyFont="1" applyFill="1" applyAlignment="1" applyProtection="1">
      <alignment vertical="center"/>
      <protection hidden="1"/>
    </xf>
    <xf numFmtId="0" fontId="166" fillId="0" borderId="0" xfId="2232" applyFont="1" applyAlignment="1">
      <alignment vertical="center"/>
    </xf>
    <xf numFmtId="0" fontId="147" fillId="0" borderId="0" xfId="3" applyFont="1" applyAlignment="1" applyProtection="1">
      <alignment horizontal="right" vertical="center" wrapText="1"/>
      <protection hidden="1"/>
    </xf>
    <xf numFmtId="0" fontId="167" fillId="0" borderId="0" xfId="0" applyFont="1" applyAlignment="1">
      <alignment vertical="center"/>
    </xf>
    <xf numFmtId="0" fontId="35" fillId="0" borderId="0" xfId="0" applyFont="1" applyAlignment="1">
      <alignment vertical="top" wrapText="1"/>
    </xf>
    <xf numFmtId="0" fontId="35" fillId="0" borderId="0" xfId="0" applyFont="1" applyAlignment="1">
      <alignment vertical="center"/>
    </xf>
    <xf numFmtId="0" fontId="147" fillId="0" borderId="0" xfId="0" applyFont="1" applyAlignment="1">
      <alignment horizontal="left" vertical="center" wrapText="1"/>
    </xf>
    <xf numFmtId="0" fontId="168" fillId="0" borderId="0" xfId="0" applyFont="1" applyAlignment="1">
      <alignment horizontal="left" vertical="top" wrapText="1"/>
    </xf>
    <xf numFmtId="0" fontId="35" fillId="0" borderId="0" xfId="0" applyFont="1" applyAlignment="1">
      <alignment horizontal="left" indent="1"/>
    </xf>
    <xf numFmtId="0" fontId="159" fillId="0" borderId="0" xfId="0" applyFont="1" applyAlignment="1">
      <alignment horizontal="left" indent="1"/>
    </xf>
    <xf numFmtId="0" fontId="160" fillId="0" borderId="0" xfId="0" applyFont="1" applyAlignment="1">
      <alignment horizontal="left" indent="1"/>
    </xf>
    <xf numFmtId="0" fontId="164" fillId="54" borderId="0" xfId="0" applyFont="1" applyFill="1"/>
    <xf numFmtId="0" fontId="150" fillId="0" borderId="0" xfId="0" applyFont="1" applyAlignment="1">
      <alignment horizontal="left" indent="2"/>
    </xf>
    <xf numFmtId="0" fontId="169" fillId="54" borderId="0" xfId="0" applyFont="1" applyFill="1"/>
    <xf numFmtId="0" fontId="35" fillId="60" borderId="0" xfId="0" applyFont="1" applyFill="1"/>
    <xf numFmtId="0" fontId="35" fillId="60" borderId="0" xfId="0" applyFont="1" applyFill="1" applyAlignment="1">
      <alignment vertical="top" wrapText="1"/>
    </xf>
    <xf numFmtId="0" fontId="170" fillId="54" borderId="0" xfId="2232" applyFont="1" applyFill="1" applyAlignment="1" applyProtection="1">
      <alignment vertical="center"/>
      <protection hidden="1"/>
    </xf>
    <xf numFmtId="0" fontId="171" fillId="0" borderId="0" xfId="2" quotePrefix="1" applyFont="1"/>
    <xf numFmtId="0" fontId="172" fillId="0" borderId="0" xfId="0" applyFont="1" applyAlignment="1">
      <alignment vertical="center"/>
    </xf>
    <xf numFmtId="0" fontId="173" fillId="0" borderId="0" xfId="0" applyFont="1"/>
    <xf numFmtId="0" fontId="172" fillId="0" borderId="0" xfId="0" applyFont="1"/>
    <xf numFmtId="0" fontId="172" fillId="0" borderId="0" xfId="0" applyFont="1" applyAlignment="1">
      <alignment horizontal="left"/>
    </xf>
    <xf numFmtId="0" fontId="173" fillId="0" borderId="0" xfId="0" applyFont="1" applyAlignment="1">
      <alignment vertical="center"/>
    </xf>
    <xf numFmtId="0" fontId="174" fillId="0" borderId="0" xfId="0" applyFont="1"/>
    <xf numFmtId="0" fontId="0" fillId="61" borderId="0" xfId="0" applyFill="1"/>
    <xf numFmtId="0" fontId="180" fillId="0" borderId="0" xfId="0" applyFont="1" applyAlignment="1">
      <alignment horizontal="left" vertical="top"/>
    </xf>
    <xf numFmtId="0" fontId="184" fillId="15" borderId="0" xfId="10" applyFont="1" applyFill="1" applyProtection="1">
      <protection hidden="1"/>
    </xf>
    <xf numFmtId="0" fontId="143" fillId="49" borderId="79" xfId="10" applyFont="1" applyFill="1" applyBorder="1" applyAlignment="1" applyProtection="1">
      <alignment horizontal="center"/>
      <protection hidden="1"/>
    </xf>
    <xf numFmtId="0" fontId="150" fillId="0" borderId="0" xfId="0" applyFont="1" applyAlignment="1">
      <alignment horizontal="left" wrapText="1"/>
    </xf>
    <xf numFmtId="0" fontId="190" fillId="16" borderId="0" xfId="3" applyFont="1" applyFill="1" applyAlignment="1" applyProtection="1">
      <alignment vertical="center"/>
      <protection hidden="1"/>
    </xf>
    <xf numFmtId="0" fontId="192" fillId="16" borderId="0" xfId="3" applyFont="1" applyFill="1" applyAlignment="1" applyProtection="1">
      <alignment vertical="center"/>
      <protection hidden="1"/>
    </xf>
    <xf numFmtId="0" fontId="193" fillId="16" borderId="0" xfId="3" applyFont="1" applyFill="1" applyAlignment="1" applyProtection="1">
      <alignment vertical="center"/>
      <protection hidden="1"/>
    </xf>
    <xf numFmtId="0" fontId="193" fillId="70" borderId="0" xfId="3" applyFont="1" applyFill="1" applyAlignment="1" applyProtection="1">
      <alignment vertical="center"/>
      <protection hidden="1"/>
    </xf>
    <xf numFmtId="179" fontId="193" fillId="70" borderId="0" xfId="3" applyNumberFormat="1" applyFont="1" applyFill="1" applyAlignment="1" applyProtection="1">
      <alignment vertical="center"/>
      <protection hidden="1"/>
    </xf>
    <xf numFmtId="0" fontId="193" fillId="70" borderId="0" xfId="3" applyFont="1" applyFill="1" applyAlignment="1" applyProtection="1">
      <alignment horizontal="center" vertical="center"/>
      <protection hidden="1"/>
    </xf>
    <xf numFmtId="172" fontId="193" fillId="70" borderId="0" xfId="3" applyNumberFormat="1" applyFont="1" applyFill="1" applyAlignment="1" applyProtection="1">
      <alignment vertical="center"/>
      <protection hidden="1"/>
    </xf>
    <xf numFmtId="174" fontId="193" fillId="70" borderId="0" xfId="3" applyNumberFormat="1" applyFont="1" applyFill="1" applyAlignment="1" applyProtection="1">
      <alignment vertical="center"/>
      <protection hidden="1"/>
    </xf>
    <xf numFmtId="0" fontId="193" fillId="70" borderId="0" xfId="3" applyFont="1" applyFill="1" applyAlignment="1" applyProtection="1">
      <alignment vertical="center" wrapText="1"/>
      <protection hidden="1"/>
    </xf>
    <xf numFmtId="0" fontId="192" fillId="70" borderId="0" xfId="3" applyFont="1" applyFill="1" applyAlignment="1" applyProtection="1">
      <alignment vertical="center"/>
      <protection hidden="1"/>
    </xf>
    <xf numFmtId="179" fontId="193" fillId="16" borderId="0" xfId="3" applyNumberFormat="1" applyFont="1" applyFill="1" applyAlignment="1" applyProtection="1">
      <alignment vertical="center"/>
      <protection hidden="1"/>
    </xf>
    <xf numFmtId="0" fontId="194" fillId="16" borderId="0" xfId="3" applyFont="1" applyFill="1" applyAlignment="1" applyProtection="1">
      <alignment horizontal="center" vertical="center"/>
      <protection hidden="1"/>
    </xf>
    <xf numFmtId="3" fontId="193" fillId="16" borderId="0" xfId="3" applyNumberFormat="1" applyFont="1" applyFill="1" applyAlignment="1" applyProtection="1">
      <alignment horizontal="center" vertical="center"/>
      <protection hidden="1"/>
    </xf>
    <xf numFmtId="4" fontId="193" fillId="16" borderId="0" xfId="3" applyNumberFormat="1" applyFont="1" applyFill="1" applyAlignment="1" applyProtection="1">
      <alignment horizontal="center" vertical="center"/>
      <protection hidden="1"/>
    </xf>
    <xf numFmtId="181" fontId="193" fillId="16" borderId="0" xfId="3" applyNumberFormat="1" applyFont="1" applyFill="1" applyAlignment="1" applyProtection="1">
      <alignment horizontal="center" vertical="center"/>
      <protection hidden="1"/>
    </xf>
    <xf numFmtId="3" fontId="91" fillId="16" borderId="0" xfId="3" applyNumberFormat="1" applyFont="1" applyFill="1" applyAlignment="1" applyProtection="1">
      <alignment horizontal="center" vertical="center"/>
      <protection hidden="1"/>
    </xf>
    <xf numFmtId="0" fontId="91" fillId="71" borderId="0" xfId="3" applyFont="1" applyFill="1" applyAlignment="1" applyProtection="1">
      <alignment vertical="center"/>
      <protection hidden="1"/>
    </xf>
    <xf numFmtId="0" fontId="198" fillId="72" borderId="0" xfId="3" applyFont="1" applyFill="1" applyAlignment="1" applyProtection="1">
      <alignment horizontal="left" vertical="center" indent="1"/>
      <protection hidden="1"/>
    </xf>
    <xf numFmtId="3" fontId="106" fillId="16" borderId="80" xfId="3" applyNumberFormat="1" applyFont="1" applyFill="1" applyBorder="1" applyAlignment="1" applyProtection="1">
      <alignment horizontal="right" vertical="center"/>
      <protection hidden="1"/>
    </xf>
    <xf numFmtId="177" fontId="106" fillId="22" borderId="80" xfId="3" applyNumberFormat="1" applyFont="1" applyFill="1" applyBorder="1" applyAlignment="1" applyProtection="1">
      <alignment horizontal="center" vertical="center"/>
      <protection hidden="1"/>
    </xf>
    <xf numFmtId="0" fontId="103" fillId="16" borderId="0" xfId="3" applyFont="1" applyFill="1" applyAlignment="1" applyProtection="1">
      <alignment horizontal="left" vertical="center" indent="1"/>
      <protection hidden="1"/>
    </xf>
    <xf numFmtId="0" fontId="199" fillId="16" borderId="0" xfId="3" applyFont="1" applyFill="1" applyAlignment="1" applyProtection="1">
      <alignment vertical="center"/>
      <protection hidden="1"/>
    </xf>
    <xf numFmtId="0" fontId="91" fillId="16" borderId="0" xfId="3" applyFont="1" applyFill="1" applyAlignment="1" applyProtection="1">
      <alignment horizontal="left" vertical="center"/>
      <protection hidden="1"/>
    </xf>
    <xf numFmtId="0" fontId="146" fillId="16" borderId="0" xfId="3" applyFont="1" applyFill="1" applyAlignment="1" applyProtection="1">
      <alignment horizontal="left" vertical="center"/>
      <protection hidden="1"/>
    </xf>
    <xf numFmtId="0" fontId="101" fillId="16" borderId="0" xfId="3" applyFont="1" applyFill="1" applyAlignment="1" applyProtection="1">
      <alignment horizontal="left" vertical="center"/>
      <protection hidden="1"/>
    </xf>
    <xf numFmtId="0" fontId="199" fillId="16" borderId="0" xfId="3" applyFont="1" applyFill="1" applyAlignment="1" applyProtection="1">
      <alignment horizontal="left" vertical="center"/>
      <protection hidden="1"/>
    </xf>
    <xf numFmtId="0" fontId="103" fillId="74" borderId="0" xfId="3" applyFont="1" applyFill="1" applyAlignment="1" applyProtection="1">
      <alignment horizontal="left" vertical="center" indent="1"/>
      <protection hidden="1"/>
    </xf>
    <xf numFmtId="10" fontId="103" fillId="16" borderId="80" xfId="3" applyNumberFormat="1" applyFont="1" applyFill="1" applyBorder="1" applyAlignment="1" applyProtection="1">
      <alignment vertical="center"/>
      <protection hidden="1"/>
    </xf>
    <xf numFmtId="177" fontId="103" fillId="16" borderId="80" xfId="3" applyNumberFormat="1" applyFont="1" applyFill="1" applyBorder="1" applyAlignment="1" applyProtection="1">
      <alignment vertical="center"/>
      <protection hidden="1"/>
    </xf>
    <xf numFmtId="177" fontId="109" fillId="16" borderId="80" xfId="3" applyNumberFormat="1" applyFont="1" applyFill="1" applyBorder="1" applyAlignment="1" applyProtection="1">
      <alignment vertical="center"/>
      <protection hidden="1"/>
    </xf>
    <xf numFmtId="0" fontId="102" fillId="75" borderId="0" xfId="3" applyFont="1" applyFill="1" applyAlignment="1" applyProtection="1">
      <alignment horizontal="right" vertical="center" indent="1"/>
      <protection hidden="1"/>
    </xf>
    <xf numFmtId="0" fontId="102" fillId="75" borderId="0" xfId="3" applyFont="1" applyFill="1" applyAlignment="1" applyProtection="1">
      <alignment horizontal="center" vertical="center"/>
      <protection hidden="1"/>
    </xf>
    <xf numFmtId="0" fontId="103" fillId="75" borderId="0" xfId="3" applyFont="1" applyFill="1" applyAlignment="1" applyProtection="1">
      <alignment vertical="center"/>
      <protection hidden="1"/>
    </xf>
    <xf numFmtId="201" fontId="103" fillId="16" borderId="0" xfId="3" applyNumberFormat="1" applyFont="1" applyFill="1" applyAlignment="1">
      <alignment horizontal="left" vertical="center"/>
    </xf>
    <xf numFmtId="200" fontId="103" fillId="16" borderId="0" xfId="3" applyNumberFormat="1" applyFont="1" applyFill="1" applyAlignment="1">
      <alignment horizontal="left" vertical="center"/>
    </xf>
    <xf numFmtId="14" fontId="25" fillId="16" borderId="0" xfId="3" applyNumberFormat="1" applyFill="1" applyAlignment="1" applyProtection="1">
      <alignment horizontal="right" vertical="center" indent="1"/>
      <protection hidden="1"/>
    </xf>
    <xf numFmtId="3" fontId="153" fillId="49" borderId="80" xfId="9" applyNumberFormat="1" applyFont="1" applyFill="1" applyBorder="1" applyAlignment="1" applyProtection="1">
      <alignment horizontal="center"/>
      <protection hidden="1"/>
    </xf>
    <xf numFmtId="0" fontId="35" fillId="21" borderId="0" xfId="0" applyFont="1" applyFill="1" applyAlignment="1">
      <alignment horizontal="left" indent="1"/>
    </xf>
    <xf numFmtId="0" fontId="35" fillId="21" borderId="0" xfId="0" applyFont="1" applyFill="1" applyAlignment="1">
      <alignment horizontal="center"/>
    </xf>
    <xf numFmtId="9" fontId="35" fillId="21" borderId="0" xfId="0" applyNumberFormat="1" applyFont="1" applyFill="1" applyAlignment="1">
      <alignment horizontal="center"/>
    </xf>
    <xf numFmtId="0" fontId="0" fillId="21" borderId="0" xfId="0" applyFill="1" applyAlignment="1">
      <alignment horizontal="center"/>
    </xf>
    <xf numFmtId="0" fontId="150" fillId="0" borderId="0" xfId="0" applyFont="1" applyAlignment="1">
      <alignment horizontal="left"/>
    </xf>
    <xf numFmtId="0" fontId="175" fillId="62" borderId="0" xfId="10" applyFont="1" applyFill="1" applyAlignment="1" applyProtection="1">
      <alignment horizontal="center" vertical="center" wrapText="1"/>
      <protection hidden="1"/>
    </xf>
    <xf numFmtId="0" fontId="0" fillId="21" borderId="0" xfId="0" applyFill="1" applyAlignment="1">
      <alignment horizontal="center" vertical="top" wrapText="1"/>
    </xf>
    <xf numFmtId="0" fontId="207" fillId="21" borderId="0" xfId="0" applyFont="1" applyFill="1"/>
    <xf numFmtId="0" fontId="208" fillId="0" borderId="0" xfId="3" applyFont="1" applyAlignment="1">
      <alignment horizontal="left"/>
    </xf>
    <xf numFmtId="0" fontId="209" fillId="23" borderId="0" xfId="3" applyFont="1" applyFill="1" applyAlignment="1" applyProtection="1">
      <alignment horizontal="left" vertical="center"/>
      <protection hidden="1"/>
    </xf>
    <xf numFmtId="0" fontId="147" fillId="57" borderId="38" xfId="3" applyFont="1" applyFill="1" applyBorder="1" applyAlignment="1" applyProtection="1">
      <alignment horizontal="left" vertical="center" wrapText="1" indent="1"/>
      <protection hidden="1"/>
    </xf>
    <xf numFmtId="0" fontId="37" fillId="57" borderId="8" xfId="3" applyFont="1" applyFill="1" applyBorder="1" applyAlignment="1" applyProtection="1">
      <alignment horizontal="left" vertical="center" wrapText="1" indent="1"/>
      <protection hidden="1"/>
    </xf>
    <xf numFmtId="0" fontId="0" fillId="76" borderId="86" xfId="0" applyFill="1" applyBorder="1" applyAlignment="1">
      <alignment horizontal="left" vertical="top" wrapText="1" indent="1"/>
    </xf>
    <xf numFmtId="0" fontId="0" fillId="21" borderId="86" xfId="0" applyFill="1" applyBorder="1" applyAlignment="1">
      <alignment horizontal="left" vertical="center" wrapText="1" indent="1"/>
    </xf>
    <xf numFmtId="165" fontId="0" fillId="21" borderId="23" xfId="0" applyNumberFormat="1" applyFill="1" applyBorder="1" applyAlignment="1">
      <alignment horizontal="center" vertical="center"/>
    </xf>
    <xf numFmtId="3" fontId="153" fillId="49" borderId="83" xfId="9" applyNumberFormat="1" applyFont="1" applyFill="1" applyBorder="1" applyAlignment="1" applyProtection="1">
      <alignment horizontal="center"/>
      <protection hidden="1"/>
    </xf>
    <xf numFmtId="0" fontId="25" fillId="0" borderId="0" xfId="1027"/>
    <xf numFmtId="0" fontId="13" fillId="21" borderId="0" xfId="2" applyFill="1" applyBorder="1" applyAlignment="1" applyProtection="1">
      <alignment vertical="center"/>
      <protection hidden="1"/>
    </xf>
    <xf numFmtId="0" fontId="13" fillId="0" borderId="0" xfId="2" quotePrefix="1" applyAlignment="1">
      <alignment wrapText="1"/>
    </xf>
    <xf numFmtId="0" fontId="13" fillId="0" borderId="0" xfId="2" quotePrefix="1"/>
    <xf numFmtId="0" fontId="214" fillId="0" borderId="0" xfId="0" applyFont="1"/>
    <xf numFmtId="0" fontId="47" fillId="55" borderId="0" xfId="0" applyFont="1" applyFill="1"/>
    <xf numFmtId="0" fontId="179" fillId="60" borderId="0" xfId="0" applyFont="1" applyFill="1"/>
    <xf numFmtId="0" fontId="179" fillId="60" borderId="0" xfId="0" applyFont="1" applyFill="1" applyAlignment="1">
      <alignment vertical="top" wrapText="1"/>
    </xf>
    <xf numFmtId="0" fontId="35" fillId="55" borderId="0" xfId="0" applyFont="1" applyFill="1"/>
    <xf numFmtId="0" fontId="35" fillId="55" borderId="0" xfId="0" applyFont="1" applyFill="1" applyAlignment="1">
      <alignment vertical="top" wrapText="1"/>
    </xf>
    <xf numFmtId="0" fontId="47" fillId="55" borderId="0" xfId="0" applyFont="1" applyFill="1" applyAlignment="1">
      <alignment wrapText="1"/>
    </xf>
    <xf numFmtId="0" fontId="215" fillId="0" borderId="0" xfId="0" applyFont="1"/>
    <xf numFmtId="0" fontId="2" fillId="12" borderId="95" xfId="0" applyFont="1" applyFill="1" applyBorder="1" applyAlignment="1">
      <alignment horizontal="center" wrapText="1"/>
    </xf>
    <xf numFmtId="0" fontId="2" fillId="12" borderId="94" xfId="0" applyFont="1" applyFill="1" applyBorder="1" applyAlignment="1">
      <alignment horizontal="center"/>
    </xf>
    <xf numFmtId="0" fontId="2" fillId="12" borderId="95" xfId="0" applyFont="1" applyFill="1" applyBorder="1" applyAlignment="1">
      <alignment horizontal="center"/>
    </xf>
    <xf numFmtId="0" fontId="25" fillId="0" borderId="0" xfId="1025"/>
    <xf numFmtId="0" fontId="219" fillId="0" borderId="0" xfId="1025" applyFont="1"/>
    <xf numFmtId="14" fontId="185" fillId="23" borderId="0" xfId="3" applyNumberFormat="1" applyFont="1" applyFill="1" applyAlignment="1" applyProtection="1">
      <alignment horizontal="left" vertical="center"/>
      <protection hidden="1"/>
    </xf>
    <xf numFmtId="0" fontId="185" fillId="23" borderId="0" xfId="3" applyFont="1" applyFill="1" applyAlignment="1" applyProtection="1">
      <alignment horizontal="left" vertical="center" indent="1"/>
      <protection hidden="1"/>
    </xf>
    <xf numFmtId="0" fontId="220" fillId="23" borderId="0" xfId="3" applyFont="1" applyFill="1" applyAlignment="1" applyProtection="1">
      <alignment horizontal="left" vertical="center" indent="1"/>
      <protection hidden="1"/>
    </xf>
    <xf numFmtId="0" fontId="220" fillId="23" borderId="0" xfId="3" applyFont="1" applyFill="1" applyAlignment="1" applyProtection="1">
      <alignment horizontal="left" vertical="center"/>
      <protection hidden="1"/>
    </xf>
    <xf numFmtId="14" fontId="220" fillId="23" borderId="0" xfId="3" applyNumberFormat="1" applyFont="1" applyFill="1" applyAlignment="1" applyProtection="1">
      <alignment horizontal="left" vertical="center"/>
      <protection hidden="1"/>
    </xf>
    <xf numFmtId="0" fontId="221" fillId="20" borderId="0" xfId="3" applyFont="1" applyFill="1" applyAlignment="1" applyProtection="1">
      <alignment vertical="center"/>
      <protection hidden="1"/>
    </xf>
    <xf numFmtId="0" fontId="68" fillId="2" borderId="90" xfId="0" applyFont="1" applyFill="1" applyBorder="1" applyAlignment="1">
      <alignment horizontal="left" vertical="center" wrapText="1"/>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8" fillId="3" borderId="0" xfId="0" applyFont="1" applyFill="1"/>
    <xf numFmtId="0" fontId="29" fillId="0" borderId="0" xfId="3" applyFont="1"/>
    <xf numFmtId="0" fontId="30" fillId="0" borderId="0" xfId="3" applyFont="1" applyAlignment="1">
      <alignment horizontal="right"/>
    </xf>
    <xf numFmtId="0" fontId="30" fillId="0" borderId="0" xfId="3" applyFont="1" applyAlignment="1">
      <alignment horizontal="left"/>
    </xf>
    <xf numFmtId="0" fontId="30" fillId="0" borderId="0" xfId="3" applyFont="1"/>
    <xf numFmtId="0" fontId="8" fillId="0" borderId="0" xfId="4" applyFont="1" applyAlignment="1">
      <alignment horizontal="right"/>
    </xf>
    <xf numFmtId="0" fontId="79" fillId="0" borderId="0" xfId="3" applyFont="1"/>
    <xf numFmtId="0" fontId="8" fillId="0" borderId="0" xfId="0" applyFont="1" applyAlignment="1">
      <alignment horizontal="right"/>
    </xf>
    <xf numFmtId="0" fontId="222" fillId="0" borderId="0" xfId="0" applyFont="1"/>
    <xf numFmtId="0" fontId="30" fillId="0" borderId="0" xfId="0" applyFont="1"/>
    <xf numFmtId="0" fontId="30" fillId="0" borderId="0" xfId="4" applyFont="1" applyAlignment="1">
      <alignment horizontal="right"/>
    </xf>
    <xf numFmtId="0" fontId="30" fillId="0" borderId="0" xfId="0" applyFont="1" applyAlignment="1">
      <alignment horizontal="right"/>
    </xf>
    <xf numFmtId="0" fontId="0" fillId="0" borderId="0" xfId="0" applyAlignment="1">
      <alignment horizontal="center" vertical="center" wrapText="1"/>
    </xf>
    <xf numFmtId="0" fontId="0" fillId="0" borderId="0" xfId="0" applyAlignment="1">
      <alignment horizontal="center" vertical="center"/>
    </xf>
    <xf numFmtId="0" fontId="46" fillId="4" borderId="6" xfId="0" applyFont="1" applyFill="1" applyBorder="1" applyAlignment="1">
      <alignment horizontal="center" vertical="center" wrapText="1"/>
    </xf>
    <xf numFmtId="0" fontId="46" fillId="4" borderId="0" xfId="0" applyFont="1" applyFill="1" applyAlignment="1">
      <alignment horizontal="center" vertical="center" wrapText="1"/>
    </xf>
    <xf numFmtId="0" fontId="36" fillId="0" borderId="0" xfId="0" applyFont="1"/>
    <xf numFmtId="0" fontId="8" fillId="0" borderId="1" xfId="0" applyFont="1" applyBorder="1"/>
    <xf numFmtId="0" fontId="7" fillId="0" borderId="0" xfId="0" applyFont="1"/>
    <xf numFmtId="0" fontId="14" fillId="0" borderId="0" xfId="2" applyFont="1"/>
    <xf numFmtId="0" fontId="8" fillId="0" borderId="2" xfId="0" applyFont="1" applyBorder="1"/>
    <xf numFmtId="0" fontId="15" fillId="0" borderId="0" xfId="0" applyFont="1"/>
    <xf numFmtId="0" fontId="17" fillId="0" borderId="0" xfId="0" applyFont="1"/>
    <xf numFmtId="0" fontId="8" fillId="0" borderId="0" xfId="0" applyFont="1" applyAlignment="1">
      <alignment horizontal="left" vertical="top" wrapText="1"/>
    </xf>
    <xf numFmtId="0" fontId="10" fillId="0" borderId="0" xfId="0" applyFont="1"/>
    <xf numFmtId="0" fontId="10" fillId="0" borderId="0" xfId="0" applyFont="1" applyAlignment="1">
      <alignment horizontal="left" vertical="top" wrapText="1"/>
    </xf>
    <xf numFmtId="0" fontId="10" fillId="0" borderId="0" xfId="0" applyFont="1" applyAlignment="1">
      <alignment horizontal="right" vertical="top" wrapText="1"/>
    </xf>
    <xf numFmtId="0" fontId="22" fillId="0" borderId="0" xfId="0" applyFont="1" applyAlignment="1">
      <alignment horizontal="left"/>
    </xf>
    <xf numFmtId="0" fontId="10" fillId="0" borderId="0" xfId="0" applyFont="1" applyAlignment="1">
      <alignment vertical="top" wrapText="1"/>
    </xf>
    <xf numFmtId="0" fontId="8" fillId="0" borderId="0" xfId="0" applyFont="1" applyAlignment="1">
      <alignment vertical="top" wrapText="1"/>
    </xf>
    <xf numFmtId="0" fontId="19" fillId="0" borderId="0" xfId="0" applyFont="1" applyAlignment="1">
      <alignment horizontal="left"/>
    </xf>
    <xf numFmtId="0" fontId="21" fillId="0" borderId="0" xfId="0" applyFont="1" applyAlignment="1">
      <alignment vertical="top" wrapText="1"/>
    </xf>
    <xf numFmtId="0" fontId="22" fillId="0" borderId="0" xfId="0" applyFont="1"/>
    <xf numFmtId="0" fontId="21" fillId="0" borderId="0" xfId="0" applyFont="1" applyAlignment="1">
      <alignment horizontal="left" vertical="top" wrapText="1"/>
    </xf>
    <xf numFmtId="0" fontId="19" fillId="0" borderId="0" xfId="0" applyFont="1" applyAlignment="1">
      <alignment horizontal="right" vertical="top" wrapText="1"/>
    </xf>
    <xf numFmtId="0" fontId="19" fillId="0" borderId="0" xfId="0" applyFont="1"/>
    <xf numFmtId="0" fontId="10" fillId="0" borderId="0" xfId="0" applyFont="1" applyAlignment="1">
      <alignment vertical="top"/>
    </xf>
    <xf numFmtId="0" fontId="19" fillId="0" borderId="0" xfId="0" applyFont="1" applyAlignment="1">
      <alignment horizontal="left" vertical="top" wrapText="1"/>
    </xf>
    <xf numFmtId="0" fontId="21" fillId="0" borderId="0" xfId="0" applyFont="1" applyAlignment="1">
      <alignment horizontal="right" vertical="top" wrapText="1"/>
    </xf>
    <xf numFmtId="0" fontId="21"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horizontal="right" vertical="top" wrapText="1"/>
    </xf>
    <xf numFmtId="0" fontId="21" fillId="0" borderId="0" xfId="0" applyFont="1"/>
    <xf numFmtId="0" fontId="21" fillId="0" borderId="0" xfId="0" applyFont="1" applyAlignment="1">
      <alignment horizontal="right" vertical="top"/>
    </xf>
    <xf numFmtId="0" fontId="21" fillId="0" borderId="0" xfId="0" applyFont="1" applyAlignment="1">
      <alignment vertical="top"/>
    </xf>
    <xf numFmtId="0" fontId="8" fillId="0" borderId="0" xfId="0" applyFont="1" applyAlignment="1">
      <alignment vertical="top"/>
    </xf>
    <xf numFmtId="0" fontId="13" fillId="0" borderId="0" xfId="2" applyFill="1"/>
    <xf numFmtId="0" fontId="35" fillId="2" borderId="0" xfId="0" applyFont="1" applyFill="1" applyAlignment="1">
      <alignment horizontal="left" indent="1"/>
    </xf>
    <xf numFmtId="0" fontId="68" fillId="0" borderId="0" xfId="0" applyFont="1" applyAlignment="1">
      <alignment horizontal="left" indent="1"/>
    </xf>
    <xf numFmtId="0" fontId="69" fillId="0" borderId="0" xfId="0" applyFont="1" applyAlignment="1">
      <alignment horizontal="center" vertical="center" wrapText="1"/>
    </xf>
    <xf numFmtId="0" fontId="69" fillId="0" borderId="0" xfId="0" applyFont="1" applyAlignment="1">
      <alignment vertical="center" wrapText="1"/>
    </xf>
    <xf numFmtId="0" fontId="46" fillId="0" borderId="0" xfId="0" applyFont="1" applyAlignment="1">
      <alignment vertical="center" wrapText="1"/>
    </xf>
    <xf numFmtId="0" fontId="42" fillId="2" borderId="0" xfId="0" applyFont="1" applyFill="1" applyAlignment="1">
      <alignment vertical="center" wrapText="1"/>
    </xf>
    <xf numFmtId="0" fontId="224" fillId="2" borderId="0" xfId="0" applyFont="1" applyFill="1" applyAlignment="1">
      <alignment vertical="center" wrapText="1"/>
    </xf>
    <xf numFmtId="0" fontId="225" fillId="2" borderId="0" xfId="0" applyFont="1" applyFill="1" applyAlignment="1">
      <alignment vertical="center" wrapText="1"/>
    </xf>
    <xf numFmtId="0" fontId="64" fillId="2" borderId="0" xfId="0" applyFont="1" applyFill="1" applyAlignment="1">
      <alignment horizontal="right"/>
    </xf>
    <xf numFmtId="0" fontId="26" fillId="2" borderId="0" xfId="0" applyFont="1" applyFill="1"/>
    <xf numFmtId="0" fontId="0" fillId="3" borderId="0" xfId="0" applyFill="1" applyAlignment="1">
      <alignment horizontal="center"/>
    </xf>
    <xf numFmtId="0" fontId="8" fillId="0" borderId="0" xfId="0" applyFont="1" applyAlignment="1">
      <alignment horizontal="left"/>
    </xf>
    <xf numFmtId="0" fontId="8" fillId="0" borderId="0" xfId="0" applyFont="1" applyAlignment="1">
      <alignment horizontal="center"/>
    </xf>
    <xf numFmtId="0" fontId="8" fillId="3" borderId="0" xfId="0" applyFont="1" applyFill="1" applyAlignment="1">
      <alignment horizontal="left"/>
    </xf>
    <xf numFmtId="0" fontId="7" fillId="3" borderId="0" xfId="0" applyFont="1" applyFill="1" applyAlignment="1">
      <alignment horizontal="center"/>
    </xf>
    <xf numFmtId="0" fontId="7" fillId="3" borderId="0" xfId="0" applyFont="1" applyFill="1" applyAlignment="1">
      <alignment horizontal="left"/>
    </xf>
    <xf numFmtId="0" fontId="10" fillId="4" borderId="0" xfId="0" applyFont="1" applyFill="1" applyAlignment="1">
      <alignment horizontal="left"/>
    </xf>
    <xf numFmtId="0" fontId="11" fillId="4" borderId="0" xfId="0" applyFont="1" applyFill="1" applyAlignment="1">
      <alignment horizontal="center"/>
    </xf>
    <xf numFmtId="0" fontId="11" fillId="4" borderId="0" xfId="0" applyFont="1" applyFill="1" applyAlignment="1">
      <alignment horizontal="left"/>
    </xf>
    <xf numFmtId="0" fontId="7" fillId="2" borderId="6" xfId="0" applyFont="1" applyFill="1" applyBorder="1" applyAlignment="1">
      <alignment horizontal="left"/>
    </xf>
    <xf numFmtId="0" fontId="7" fillId="2" borderId="0" xfId="0" applyFont="1" applyFill="1" applyAlignment="1">
      <alignment horizontal="left"/>
    </xf>
    <xf numFmtId="0" fontId="7" fillId="2" borderId="0" xfId="0" applyFont="1" applyFill="1" applyAlignment="1">
      <alignment horizontal="center"/>
    </xf>
    <xf numFmtId="0" fontId="7" fillId="2" borderId="7" xfId="0" applyFont="1" applyFill="1" applyBorder="1" applyAlignment="1">
      <alignment horizontal="left"/>
    </xf>
    <xf numFmtId="0" fontId="78" fillId="2" borderId="0" xfId="0" applyFont="1" applyFill="1" applyAlignment="1">
      <alignment horizontal="center"/>
    </xf>
    <xf numFmtId="0" fontId="7" fillId="2" borderId="0" xfId="0" applyFont="1" applyFill="1" applyAlignment="1" applyProtection="1">
      <alignment horizontal="center"/>
      <protection locked="0"/>
    </xf>
    <xf numFmtId="0" fontId="8" fillId="2" borderId="90" xfId="0" applyFont="1" applyFill="1" applyBorder="1" applyAlignment="1">
      <alignment horizontal="left"/>
    </xf>
    <xf numFmtId="0" fontId="8" fillId="2" borderId="91" xfId="0" applyFont="1" applyFill="1" applyBorder="1" applyAlignment="1">
      <alignment horizontal="left"/>
    </xf>
    <xf numFmtId="0" fontId="8" fillId="2" borderId="91" xfId="0" applyFont="1" applyFill="1" applyBorder="1" applyAlignment="1">
      <alignment horizontal="center"/>
    </xf>
    <xf numFmtId="0" fontId="8" fillId="2" borderId="92" xfId="0" applyFont="1" applyFill="1" applyBorder="1" applyAlignment="1">
      <alignment horizontal="left"/>
    </xf>
    <xf numFmtId="0" fontId="11" fillId="4" borderId="10" xfId="0" applyFont="1" applyFill="1" applyBorder="1" applyAlignment="1">
      <alignment horizontal="center"/>
    </xf>
    <xf numFmtId="0" fontId="11" fillId="4" borderId="11" xfId="0" applyFont="1" applyFill="1" applyBorder="1" applyAlignment="1">
      <alignment horizontal="center"/>
    </xf>
    <xf numFmtId="0" fontId="36" fillId="0" borderId="0" xfId="0" applyFont="1" applyAlignment="1">
      <alignment horizontal="center"/>
    </xf>
    <xf numFmtId="0" fontId="0" fillId="2" borderId="104" xfId="0" applyFill="1" applyBorder="1" applyAlignment="1">
      <alignment horizontal="left"/>
    </xf>
    <xf numFmtId="165" fontId="35" fillId="2" borderId="0" xfId="0" applyNumberFormat="1" applyFont="1" applyFill="1" applyAlignment="1">
      <alignment horizontal="center"/>
    </xf>
    <xf numFmtId="0" fontId="5" fillId="3" borderId="0" xfId="0" applyFont="1" applyFill="1"/>
    <xf numFmtId="0" fontId="0" fillId="77" borderId="0" xfId="0" applyFill="1" applyAlignment="1">
      <alignment horizontal="center" vertical="center" wrapText="1"/>
    </xf>
    <xf numFmtId="0" fontId="0" fillId="78" borderId="0" xfId="0" applyFill="1" applyAlignment="1">
      <alignment horizontal="center" vertical="center" wrapText="1"/>
    </xf>
    <xf numFmtId="2" fontId="0" fillId="0" borderId="0" xfId="0" applyNumberFormat="1" applyAlignment="1">
      <alignment horizontal="center" vertical="center" wrapText="1"/>
    </xf>
    <xf numFmtId="2" fontId="26" fillId="0" borderId="0" xfId="0" applyNumberFormat="1" applyFont="1" applyAlignment="1">
      <alignment horizontal="center" vertical="center"/>
    </xf>
    <xf numFmtId="14" fontId="0" fillId="0" borderId="0" xfId="0" applyNumberFormat="1" applyAlignment="1">
      <alignment horizontal="center" vertical="center"/>
    </xf>
    <xf numFmtId="202" fontId="0" fillId="0" borderId="0" xfId="0" applyNumberFormat="1" applyAlignment="1">
      <alignment horizontal="center" vertical="center"/>
    </xf>
    <xf numFmtId="203"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8" fillId="4" borderId="0" xfId="0" applyFont="1" applyFill="1" applyAlignment="1">
      <alignment horizontal="center"/>
    </xf>
    <xf numFmtId="0" fontId="4" fillId="0" borderId="0" xfId="0" applyFont="1" applyAlignment="1">
      <alignment horizontal="center" wrapText="1"/>
    </xf>
    <xf numFmtId="0" fontId="5" fillId="60" borderId="0" xfId="0" applyFont="1" applyFill="1" applyAlignment="1">
      <alignment horizontal="center" wrapText="1"/>
    </xf>
    <xf numFmtId="0" fontId="187" fillId="67" borderId="23" xfId="3" applyFont="1" applyFill="1" applyBorder="1" applyAlignment="1" applyProtection="1">
      <alignment horizontal="centerContinuous" vertical="center"/>
      <protection hidden="1"/>
    </xf>
    <xf numFmtId="0" fontId="94" fillId="53" borderId="111" xfId="3" applyFont="1" applyFill="1" applyBorder="1" applyAlignment="1" applyProtection="1">
      <alignment horizontal="center" vertical="center"/>
      <protection hidden="1"/>
    </xf>
    <xf numFmtId="0" fontId="90" fillId="51" borderId="113" xfId="3" applyFont="1" applyFill="1" applyBorder="1" applyAlignment="1" applyProtection="1">
      <alignment vertical="center" wrapText="1"/>
      <protection locked="0"/>
    </xf>
    <xf numFmtId="0" fontId="0" fillId="2" borderId="90" xfId="0" applyFill="1" applyBorder="1"/>
    <xf numFmtId="0" fontId="35" fillId="2" borderId="91" xfId="0" applyFont="1" applyFill="1" applyBorder="1"/>
    <xf numFmtId="0" fontId="36" fillId="2" borderId="91" xfId="0" applyFont="1" applyFill="1" applyBorder="1"/>
    <xf numFmtId="0" fontId="38" fillId="2" borderId="91" xfId="0" applyFont="1" applyFill="1" applyBorder="1"/>
    <xf numFmtId="0" fontId="39" fillId="2" borderId="91" xfId="0" applyFont="1" applyFill="1" applyBorder="1" applyAlignment="1">
      <alignment vertical="center"/>
    </xf>
    <xf numFmtId="0" fontId="0" fillId="2" borderId="91" xfId="0" applyFill="1" applyBorder="1"/>
    <xf numFmtId="0" fontId="0" fillId="2" borderId="92" xfId="0" applyFill="1" applyBorder="1"/>
    <xf numFmtId="0" fontId="73" fillId="2" borderId="91" xfId="0" applyFont="1" applyFill="1" applyBorder="1"/>
    <xf numFmtId="0" fontId="73" fillId="2" borderId="91" xfId="0" applyFont="1" applyFill="1" applyBorder="1" applyAlignment="1">
      <alignment vertical="center" wrapText="1"/>
    </xf>
    <xf numFmtId="0" fontId="73" fillId="2" borderId="92" xfId="0" applyFont="1" applyFill="1" applyBorder="1" applyAlignment="1">
      <alignment vertical="center" wrapText="1"/>
    </xf>
    <xf numFmtId="0" fontId="4" fillId="2" borderId="91" xfId="0" applyFont="1" applyFill="1" applyBorder="1"/>
    <xf numFmtId="165" fontId="0" fillId="2" borderId="91" xfId="0" applyNumberFormat="1" applyFill="1" applyBorder="1"/>
    <xf numFmtId="0" fontId="35" fillId="2" borderId="122" xfId="0" applyFont="1" applyFill="1" applyBorder="1" applyAlignment="1">
      <alignment horizontal="left" indent="1"/>
    </xf>
    <xf numFmtId="9" fontId="35" fillId="2" borderId="121" xfId="0" applyNumberFormat="1" applyFont="1" applyFill="1" applyBorder="1" applyAlignment="1">
      <alignment horizontal="center"/>
    </xf>
    <xf numFmtId="0" fontId="69" fillId="0" borderId="90" xfId="0" applyFont="1" applyBorder="1" applyAlignment="1">
      <alignment vertical="center" wrapText="1"/>
    </xf>
    <xf numFmtId="0" fontId="69" fillId="0" borderId="91" xfId="0" applyFont="1" applyBorder="1" applyAlignment="1">
      <alignment vertical="center" wrapText="1"/>
    </xf>
    <xf numFmtId="0" fontId="69" fillId="0" borderId="92" xfId="0" applyFont="1" applyBorder="1" applyAlignment="1">
      <alignment vertical="center" wrapText="1"/>
    </xf>
    <xf numFmtId="0" fontId="35" fillId="2" borderId="12" xfId="0" applyFont="1" applyFill="1" applyBorder="1" applyAlignment="1">
      <alignment horizontal="left"/>
    </xf>
    <xf numFmtId="0" fontId="0" fillId="2" borderId="104" xfId="0" applyFill="1" applyBorder="1" applyAlignment="1">
      <alignment horizontal="center"/>
    </xf>
    <xf numFmtId="0" fontId="36" fillId="12" borderId="17" xfId="0" applyFont="1" applyFill="1" applyBorder="1" applyAlignment="1">
      <alignment horizontal="center"/>
    </xf>
    <xf numFmtId="0" fontId="35" fillId="0" borderId="120" xfId="0" applyFont="1" applyBorder="1"/>
    <xf numFmtId="0" fontId="0" fillId="2" borderId="87" xfId="0" applyFill="1" applyBorder="1"/>
    <xf numFmtId="0" fontId="0" fillId="2" borderId="88" xfId="0" applyFill="1" applyBorder="1"/>
    <xf numFmtId="0" fontId="0" fillId="2" borderId="89" xfId="0" applyFill="1" applyBorder="1"/>
    <xf numFmtId="0" fontId="7" fillId="2" borderId="91" xfId="0" applyFont="1" applyFill="1" applyBorder="1" applyAlignment="1">
      <alignment horizontal="center"/>
    </xf>
    <xf numFmtId="167" fontId="7" fillId="2" borderId="91" xfId="0" applyNumberFormat="1" applyFont="1" applyFill="1" applyBorder="1" applyAlignment="1">
      <alignment horizontal="center"/>
    </xf>
    <xf numFmtId="168" fontId="7" fillId="2" borderId="91" xfId="0" applyNumberFormat="1" applyFont="1" applyFill="1" applyBorder="1" applyAlignment="1">
      <alignment horizontal="center"/>
    </xf>
    <xf numFmtId="0" fontId="4" fillId="21" borderId="132" xfId="0" applyFont="1" applyFill="1" applyBorder="1" applyAlignment="1">
      <alignment horizontal="center" vertical="center"/>
    </xf>
    <xf numFmtId="0" fontId="4" fillId="21" borderId="132" xfId="0" applyFont="1" applyFill="1" applyBorder="1" applyAlignment="1">
      <alignment horizontal="center" vertical="center" wrapText="1"/>
    </xf>
    <xf numFmtId="0" fontId="4" fillId="21" borderId="131" xfId="0" applyFont="1" applyFill="1" applyBorder="1" applyAlignment="1">
      <alignment horizontal="center" vertical="center"/>
    </xf>
    <xf numFmtId="165" fontId="0" fillId="21" borderId="96" xfId="0" applyNumberFormat="1" applyFill="1" applyBorder="1" applyAlignment="1">
      <alignment horizontal="center" vertical="center"/>
    </xf>
    <xf numFmtId="0" fontId="0" fillId="76" borderId="131" xfId="0" applyFill="1" applyBorder="1" applyAlignment="1">
      <alignment horizontal="left" vertical="top" wrapText="1" indent="1"/>
    </xf>
    <xf numFmtId="0" fontId="191" fillId="0" borderId="120" xfId="0" applyFont="1" applyBorder="1" applyAlignment="1">
      <alignment vertical="center"/>
    </xf>
    <xf numFmtId="0" fontId="35" fillId="55" borderId="120" xfId="0" applyFont="1" applyFill="1" applyBorder="1"/>
    <xf numFmtId="0" fontId="35" fillId="49" borderId="120" xfId="0" applyFont="1" applyFill="1" applyBorder="1"/>
    <xf numFmtId="0" fontId="147" fillId="56" borderId="120" xfId="3" applyFont="1" applyFill="1" applyBorder="1" applyAlignment="1" applyProtection="1">
      <alignment horizontal="right" vertical="center"/>
      <protection locked="0"/>
    </xf>
    <xf numFmtId="0" fontId="147" fillId="56" borderId="136" xfId="3" applyFont="1" applyFill="1" applyBorder="1" applyAlignment="1" applyProtection="1">
      <alignment horizontal="right" vertical="center"/>
      <protection locked="0"/>
    </xf>
    <xf numFmtId="0" fontId="147" fillId="0" borderId="119" xfId="0" applyFont="1" applyBorder="1" applyAlignment="1">
      <alignment horizontal="left" vertical="center" wrapText="1"/>
    </xf>
    <xf numFmtId="0" fontId="147" fillId="0" borderId="118" xfId="0" applyFont="1" applyBorder="1" applyAlignment="1">
      <alignment horizontal="left" vertical="center" wrapText="1"/>
    </xf>
    <xf numFmtId="0" fontId="147" fillId="56" borderId="120" xfId="3" applyFont="1" applyFill="1" applyBorder="1" applyAlignment="1" applyProtection="1">
      <alignment horizontal="right" vertical="center"/>
      <protection hidden="1"/>
    </xf>
    <xf numFmtId="0" fontId="147" fillId="57" borderId="120" xfId="3" applyFont="1" applyFill="1" applyBorder="1" applyAlignment="1" applyProtection="1">
      <alignment horizontal="right" vertical="center" wrapText="1"/>
      <protection hidden="1"/>
    </xf>
    <xf numFmtId="0" fontId="147" fillId="58" borderId="120" xfId="3" applyFont="1" applyFill="1" applyBorder="1" applyAlignment="1" applyProtection="1">
      <alignment horizontal="right" vertical="center" wrapText="1"/>
      <protection hidden="1"/>
    </xf>
    <xf numFmtId="0" fontId="147" fillId="59" borderId="120" xfId="3" applyFont="1" applyFill="1" applyBorder="1" applyAlignment="1" applyProtection="1">
      <alignment horizontal="right" vertical="center"/>
      <protection locked="0"/>
    </xf>
    <xf numFmtId="0" fontId="35" fillId="55" borderId="120" xfId="0" applyFont="1" applyFill="1" applyBorder="1" applyAlignment="1">
      <alignment horizontal="right" vertical="center"/>
    </xf>
    <xf numFmtId="0" fontId="35" fillId="49" borderId="120" xfId="0" applyFont="1" applyFill="1" applyBorder="1" applyAlignment="1">
      <alignment horizontal="right" vertical="center"/>
    </xf>
    <xf numFmtId="0" fontId="35" fillId="0" borderId="114" xfId="0" applyFont="1" applyBorder="1"/>
    <xf numFmtId="0" fontId="147" fillId="57" borderId="132" xfId="3" applyFont="1" applyFill="1" applyBorder="1" applyAlignment="1" applyProtection="1">
      <alignment horizontal="right" vertical="center" wrapText="1"/>
      <protection hidden="1"/>
    </xf>
    <xf numFmtId="0" fontId="147" fillId="2" borderId="133" xfId="0" applyFont="1" applyFill="1" applyBorder="1" applyAlignment="1">
      <alignment horizontal="left" indent="1"/>
    </xf>
    <xf numFmtId="0" fontId="147" fillId="2" borderId="123" xfId="0" applyFont="1" applyFill="1" applyBorder="1" applyAlignment="1">
      <alignment horizontal="left" indent="1"/>
    </xf>
    <xf numFmtId="0" fontId="147" fillId="2" borderId="137" xfId="0" applyFont="1" applyFill="1" applyBorder="1" applyAlignment="1">
      <alignment horizontal="left" indent="1"/>
    </xf>
    <xf numFmtId="0" fontId="147" fillId="2" borderId="138" xfId="0" applyFont="1" applyFill="1" applyBorder="1" applyAlignment="1">
      <alignment horizontal="left" indent="1"/>
    </xf>
    <xf numFmtId="0" fontId="147" fillId="2" borderId="139" xfId="0" applyFont="1" applyFill="1" applyBorder="1" applyAlignment="1">
      <alignment horizontal="left" indent="1"/>
    </xf>
    <xf numFmtId="0" fontId="35" fillId="2" borderId="122" xfId="0" applyFont="1" applyFill="1" applyBorder="1" applyAlignment="1">
      <alignment horizontal="left" vertical="top"/>
    </xf>
    <xf numFmtId="0" fontId="35" fillId="2" borderId="122" xfId="0" applyFont="1" applyFill="1" applyBorder="1" applyAlignment="1">
      <alignment horizontal="left" vertical="top" indent="1"/>
    </xf>
    <xf numFmtId="0" fontId="35" fillId="2" borderId="122" xfId="0" applyFont="1" applyFill="1" applyBorder="1" applyAlignment="1">
      <alignment horizontal="left" wrapText="1" indent="1"/>
    </xf>
    <xf numFmtId="0" fontId="35" fillId="2" borderId="122" xfId="0" applyFont="1" applyFill="1" applyBorder="1" applyAlignment="1">
      <alignment vertical="top"/>
    </xf>
    <xf numFmtId="0" fontId="25" fillId="51" borderId="119" xfId="3" applyFill="1" applyBorder="1" applyAlignment="1" applyProtection="1">
      <alignment horizontal="center" vertical="center"/>
      <protection locked="0"/>
    </xf>
    <xf numFmtId="0" fontId="13" fillId="51" borderId="119" xfId="2" applyFill="1" applyBorder="1" applyAlignment="1" applyProtection="1">
      <alignment horizontal="center" vertical="center"/>
      <protection locked="0"/>
    </xf>
    <xf numFmtId="199" fontId="25" fillId="51" borderId="141" xfId="3" applyNumberFormat="1" applyFill="1" applyBorder="1" applyAlignment="1" applyProtection="1">
      <alignment horizontal="center" vertical="center"/>
      <protection locked="0"/>
    </xf>
    <xf numFmtId="0" fontId="25" fillId="51" borderId="141" xfId="3" applyFill="1" applyBorder="1" applyAlignment="1" applyProtection="1">
      <alignment horizontal="center" vertical="center"/>
      <protection locked="0"/>
    </xf>
    <xf numFmtId="14" fontId="25" fillId="51" borderId="141" xfId="3" applyNumberFormat="1" applyFill="1" applyBorder="1" applyAlignment="1" applyProtection="1">
      <alignment horizontal="center" vertical="center"/>
      <protection locked="0"/>
    </xf>
    <xf numFmtId="0" fontId="25" fillId="20" borderId="120" xfId="3" applyFill="1" applyBorder="1" applyAlignment="1" applyProtection="1">
      <alignment horizontal="right" vertical="center"/>
      <protection hidden="1"/>
    </xf>
    <xf numFmtId="0" fontId="25" fillId="16" borderId="136" xfId="3" applyFill="1" applyBorder="1" applyAlignment="1" applyProtection="1">
      <alignment horizontal="right" vertical="center"/>
      <protection hidden="1"/>
    </xf>
    <xf numFmtId="0" fontId="25" fillId="64" borderId="119" xfId="3" applyFill="1" applyBorder="1" applyAlignment="1" applyProtection="1">
      <alignment horizontal="center" vertical="center" textRotation="90"/>
      <protection hidden="1"/>
    </xf>
    <xf numFmtId="0" fontId="25" fillId="23" borderId="126" xfId="3" applyFill="1" applyBorder="1" applyAlignment="1" applyProtection="1">
      <alignment horizontal="right" vertical="center" wrapText="1"/>
      <protection hidden="1"/>
    </xf>
    <xf numFmtId="0" fontId="25" fillId="23" borderId="118" xfId="3" applyFill="1" applyBorder="1" applyAlignment="1" applyProtection="1">
      <alignment horizontal="right" vertical="center" wrapText="1"/>
      <protection hidden="1"/>
    </xf>
    <xf numFmtId="3" fontId="25" fillId="51" borderId="119" xfId="3" applyNumberFormat="1" applyFill="1" applyBorder="1" applyAlignment="1" applyProtection="1">
      <alignment horizontal="center" vertical="center"/>
      <protection locked="0"/>
    </xf>
    <xf numFmtId="0" fontId="145" fillId="49" borderId="118" xfId="10" applyFont="1" applyFill="1" applyBorder="1" applyAlignment="1" applyProtection="1">
      <alignment horizontal="center" vertical="center" wrapText="1"/>
      <protection hidden="1"/>
    </xf>
    <xf numFmtId="0" fontId="175" fillId="62" borderId="120" xfId="10" applyFont="1" applyFill="1" applyBorder="1" applyAlignment="1" applyProtection="1">
      <alignment horizontal="center" vertical="center" wrapText="1"/>
      <protection hidden="1"/>
    </xf>
    <xf numFmtId="0" fontId="175" fillId="62" borderId="141" xfId="10" applyFont="1" applyFill="1" applyBorder="1" applyAlignment="1" applyProtection="1">
      <alignment horizontal="center" vertical="center" wrapText="1"/>
      <protection hidden="1"/>
    </xf>
    <xf numFmtId="0" fontId="175" fillId="62" borderId="136" xfId="10" applyFont="1" applyFill="1" applyBorder="1" applyAlignment="1" applyProtection="1">
      <alignment horizontal="center" vertical="center" wrapText="1"/>
      <protection hidden="1"/>
    </xf>
    <xf numFmtId="0" fontId="143" fillId="49" borderId="118" xfId="10" applyFont="1" applyFill="1" applyBorder="1" applyAlignment="1" applyProtection="1">
      <alignment horizontal="center"/>
      <protection hidden="1"/>
    </xf>
    <xf numFmtId="0" fontId="35" fillId="50" borderId="118" xfId="10" applyFont="1" applyFill="1" applyBorder="1" applyAlignment="1" applyProtection="1">
      <alignment horizontal="center"/>
      <protection locked="0"/>
    </xf>
    <xf numFmtId="0" fontId="147" fillId="50" borderId="119" xfId="8" applyFont="1" applyFill="1" applyBorder="1" applyAlignment="1" applyProtection="1">
      <alignment horizontal="center"/>
      <protection locked="0"/>
    </xf>
    <xf numFmtId="3" fontId="153" fillId="49" borderId="141" xfId="9" applyNumberFormat="1" applyFont="1" applyFill="1" applyBorder="1" applyAlignment="1" applyProtection="1">
      <alignment horizontal="center"/>
      <protection hidden="1"/>
    </xf>
    <xf numFmtId="3" fontId="153" fillId="49" borderId="142" xfId="9" applyNumberFormat="1" applyFont="1" applyFill="1" applyBorder="1" applyAlignment="1" applyProtection="1">
      <alignment horizontal="center"/>
      <protection hidden="1"/>
    </xf>
    <xf numFmtId="0" fontId="143" fillId="50" borderId="119" xfId="10" applyFont="1" applyFill="1" applyBorder="1" applyAlignment="1" applyProtection="1">
      <alignment horizontal="center"/>
      <protection locked="0"/>
    </xf>
    <xf numFmtId="3" fontId="153" fillId="49" borderId="131" xfId="9" applyNumberFormat="1" applyFont="1" applyFill="1" applyBorder="1" applyAlignment="1" applyProtection="1">
      <alignment horizontal="center"/>
      <protection hidden="1"/>
    </xf>
    <xf numFmtId="3" fontId="153" fillId="49" borderId="125" xfId="9" applyNumberFormat="1" applyFont="1" applyFill="1" applyBorder="1" applyAlignment="1" applyProtection="1">
      <alignment horizontal="center"/>
      <protection hidden="1"/>
    </xf>
    <xf numFmtId="0" fontId="145" fillId="49" borderId="120" xfId="10" applyFont="1" applyFill="1" applyBorder="1" applyAlignment="1" applyProtection="1">
      <alignment horizontal="center" vertical="center" wrapText="1"/>
      <protection hidden="1"/>
    </xf>
    <xf numFmtId="0" fontId="5" fillId="62" borderId="120" xfId="2" applyFont="1" applyFill="1" applyBorder="1" applyAlignment="1" applyProtection="1">
      <alignment horizontal="center" vertical="center" wrapText="1"/>
      <protection hidden="1"/>
    </xf>
    <xf numFmtId="0" fontId="205" fillId="49" borderId="118" xfId="10" applyFont="1" applyFill="1" applyBorder="1" applyAlignment="1" applyProtection="1">
      <alignment horizontal="center"/>
      <protection hidden="1"/>
    </xf>
    <xf numFmtId="0" fontId="188" fillId="62" borderId="120" xfId="10" applyFont="1" applyFill="1" applyBorder="1" applyAlignment="1" applyProtection="1">
      <alignment horizontal="center"/>
      <protection hidden="1"/>
    </xf>
    <xf numFmtId="0" fontId="143" fillId="50" borderId="126" xfId="10" applyFont="1" applyFill="1" applyBorder="1" applyAlignment="1" applyProtection="1">
      <alignment horizontal="center"/>
      <protection locked="0"/>
    </xf>
    <xf numFmtId="0" fontId="143" fillId="50" borderId="120" xfId="10" applyFont="1" applyFill="1" applyBorder="1" applyAlignment="1" applyProtection="1">
      <alignment horizontal="center"/>
      <protection locked="0"/>
    </xf>
    <xf numFmtId="0" fontId="143" fillId="49" borderId="136" xfId="10" applyFont="1" applyFill="1" applyBorder="1" applyAlignment="1" applyProtection="1">
      <alignment horizontal="center"/>
      <protection hidden="1"/>
    </xf>
    <xf numFmtId="0" fontId="143" fillId="50" borderId="120" xfId="10" applyFont="1" applyFill="1" applyBorder="1" applyAlignment="1" applyProtection="1">
      <alignment horizontal="center" wrapText="1"/>
      <protection locked="0"/>
    </xf>
    <xf numFmtId="0" fontId="187" fillId="66" borderId="145" xfId="3" applyFont="1" applyFill="1" applyBorder="1" applyAlignment="1" applyProtection="1">
      <alignment horizontal="centerContinuous" vertical="center"/>
      <protection hidden="1"/>
    </xf>
    <xf numFmtId="0" fontId="187" fillId="66" borderId="146" xfId="3" applyFont="1" applyFill="1" applyBorder="1" applyAlignment="1" applyProtection="1">
      <alignment horizontal="centerContinuous" vertical="center"/>
      <protection hidden="1"/>
    </xf>
    <xf numFmtId="0" fontId="187" fillId="66" borderId="147" xfId="3" applyFont="1" applyFill="1" applyBorder="1" applyAlignment="1" applyProtection="1">
      <alignment horizontal="centerContinuous" vertical="center"/>
      <protection hidden="1"/>
    </xf>
    <xf numFmtId="0" fontId="187" fillId="66" borderId="148" xfId="3" applyFont="1" applyFill="1" applyBorder="1" applyAlignment="1" applyProtection="1">
      <alignment horizontal="centerContinuous" vertical="center"/>
      <protection hidden="1"/>
    </xf>
    <xf numFmtId="0" fontId="187" fillId="67" borderId="145" xfId="3" applyFont="1" applyFill="1" applyBorder="1" applyAlignment="1" applyProtection="1">
      <alignment horizontal="centerContinuous" vertical="center"/>
      <protection hidden="1"/>
    </xf>
    <xf numFmtId="0" fontId="187" fillId="67" borderId="149" xfId="3" applyFont="1" applyFill="1" applyBorder="1" applyAlignment="1" applyProtection="1">
      <alignment horizontal="centerContinuous" vertical="center"/>
      <protection hidden="1"/>
    </xf>
    <xf numFmtId="0" fontId="186" fillId="65" borderId="150" xfId="3" applyFont="1" applyFill="1" applyBorder="1" applyAlignment="1" applyProtection="1">
      <alignment horizontal="center" vertical="center" wrapText="1"/>
      <protection hidden="1"/>
    </xf>
    <xf numFmtId="0" fontId="186" fillId="64" borderId="151" xfId="3" applyFont="1" applyFill="1" applyBorder="1" applyAlignment="1" applyProtection="1">
      <alignment horizontal="center" vertical="center" wrapText="1"/>
      <protection hidden="1"/>
    </xf>
    <xf numFmtId="0" fontId="186" fillId="64" borderId="152" xfId="3" applyFont="1" applyFill="1" applyBorder="1" applyAlignment="1" applyProtection="1">
      <alignment horizontal="center" vertical="center" wrapText="1"/>
      <protection hidden="1"/>
    </xf>
    <xf numFmtId="0" fontId="186" fillId="66" borderId="153" xfId="3" applyFont="1" applyFill="1" applyBorder="1" applyAlignment="1" applyProtection="1">
      <alignment horizontal="center" vertical="center" wrapText="1"/>
      <protection hidden="1"/>
    </xf>
    <xf numFmtId="0" fontId="186" fillId="66" borderId="154" xfId="3" applyFont="1" applyFill="1" applyBorder="1" applyAlignment="1" applyProtection="1">
      <alignment horizontal="center" vertical="center" wrapText="1"/>
      <protection hidden="1"/>
    </xf>
    <xf numFmtId="0" fontId="36" fillId="66" borderId="155" xfId="2" applyNumberFormat="1" applyFont="1" applyFill="1" applyBorder="1" applyAlignment="1" applyProtection="1">
      <alignment horizontal="center" vertical="center" wrapText="1"/>
      <protection hidden="1"/>
    </xf>
    <xf numFmtId="0" fontId="186" fillId="66" borderId="156" xfId="3" applyFont="1" applyFill="1" applyBorder="1" applyAlignment="1" applyProtection="1">
      <alignment horizontal="center" vertical="center" wrapText="1"/>
      <protection hidden="1"/>
    </xf>
    <xf numFmtId="0" fontId="186" fillId="67" borderId="157" xfId="3" applyFont="1" applyFill="1" applyBorder="1" applyAlignment="1" applyProtection="1">
      <alignment horizontal="center" vertical="center" wrapText="1"/>
      <protection hidden="1"/>
    </xf>
    <xf numFmtId="0" fontId="186" fillId="67" borderId="158" xfId="3" applyFont="1" applyFill="1" applyBorder="1" applyAlignment="1" applyProtection="1">
      <alignment horizontal="center" vertical="center" wrapText="1"/>
      <protection hidden="1"/>
    </xf>
    <xf numFmtId="0" fontId="216" fillId="53" borderId="159" xfId="3" applyFont="1" applyFill="1" applyBorder="1" applyAlignment="1" applyProtection="1">
      <alignment horizontal="center" vertical="center"/>
      <protection hidden="1"/>
    </xf>
    <xf numFmtId="0" fontId="217" fillId="53" borderId="159" xfId="3" applyFont="1" applyFill="1" applyBorder="1" applyAlignment="1" applyProtection="1">
      <alignment horizontal="center" vertical="center"/>
      <protection hidden="1"/>
    </xf>
    <xf numFmtId="0" fontId="217" fillId="59" borderId="159" xfId="3" applyFont="1" applyFill="1" applyBorder="1" applyAlignment="1" applyProtection="1">
      <alignment horizontal="center" vertical="center"/>
      <protection hidden="1"/>
    </xf>
    <xf numFmtId="0" fontId="217" fillId="49" borderId="159" xfId="3" applyFont="1" applyFill="1" applyBorder="1" applyAlignment="1" applyProtection="1">
      <alignment horizontal="center" vertical="center"/>
      <protection hidden="1"/>
    </xf>
    <xf numFmtId="0" fontId="217" fillId="49" borderId="159" xfId="3" applyFont="1" applyFill="1" applyBorder="1" applyAlignment="1" applyProtection="1">
      <alignment horizontal="center" vertical="center" wrapText="1"/>
      <protection hidden="1"/>
    </xf>
    <xf numFmtId="0" fontId="217" fillId="58" borderId="159" xfId="3" applyFont="1" applyFill="1" applyBorder="1" applyAlignment="1" applyProtection="1">
      <alignment horizontal="center" vertical="center"/>
      <protection hidden="1"/>
    </xf>
    <xf numFmtId="0" fontId="90" fillId="50" borderId="109" xfId="3" applyFont="1" applyFill="1" applyBorder="1" applyAlignment="1" applyProtection="1">
      <alignment horizontal="center" vertical="center"/>
      <protection locked="0"/>
    </xf>
    <xf numFmtId="0" fontId="90" fillId="51" borderId="107" xfId="3" applyFont="1" applyFill="1" applyBorder="1" applyAlignment="1" applyProtection="1">
      <alignment horizontal="center" vertical="center"/>
      <protection locked="0"/>
    </xf>
    <xf numFmtId="0" fontId="95" fillId="50" borderId="159" xfId="3" applyFont="1" applyFill="1" applyBorder="1" applyAlignment="1" applyProtection="1">
      <alignment horizontal="center" vertical="center" wrapText="1"/>
      <protection locked="0"/>
    </xf>
    <xf numFmtId="0" fontId="90" fillId="50" borderId="108" xfId="3" applyFont="1" applyFill="1" applyBorder="1" applyAlignment="1" applyProtection="1">
      <alignment horizontal="center" vertical="center"/>
      <protection locked="0"/>
    </xf>
    <xf numFmtId="0" fontId="90" fillId="51" borderId="160" xfId="3" applyFont="1" applyFill="1" applyBorder="1" applyAlignment="1" applyProtection="1">
      <alignment horizontal="center" vertical="center"/>
      <protection locked="0"/>
    </xf>
    <xf numFmtId="0" fontId="95" fillId="50" borderId="161" xfId="3" applyFont="1" applyFill="1" applyBorder="1" applyAlignment="1" applyProtection="1">
      <alignment horizontal="center" vertical="center" wrapText="1"/>
      <protection locked="0"/>
    </xf>
    <xf numFmtId="0" fontId="94" fillId="53" borderId="162" xfId="3" applyFont="1" applyFill="1" applyBorder="1" applyAlignment="1" applyProtection="1">
      <alignment horizontal="center" vertical="center"/>
      <protection hidden="1"/>
    </xf>
    <xf numFmtId="0" fontId="90" fillId="51" borderId="163" xfId="3" applyFont="1" applyFill="1" applyBorder="1" applyAlignment="1" applyProtection="1">
      <alignment vertical="center" wrapText="1"/>
      <protection locked="0"/>
    </xf>
    <xf numFmtId="0" fontId="90" fillId="50" borderId="165" xfId="3" applyFont="1" applyFill="1" applyBorder="1" applyAlignment="1" applyProtection="1">
      <alignment horizontal="center" vertical="center"/>
      <protection locked="0"/>
    </xf>
    <xf numFmtId="0" fontId="90" fillId="51" borderId="166" xfId="3" applyFont="1" applyFill="1" applyBorder="1" applyAlignment="1" applyProtection="1">
      <alignment horizontal="center" vertical="center"/>
      <protection locked="0"/>
    </xf>
    <xf numFmtId="0" fontId="90" fillId="50" borderId="167" xfId="3" applyFont="1" applyFill="1" applyBorder="1" applyAlignment="1" applyProtection="1">
      <alignment horizontal="center" vertical="center"/>
      <protection locked="0"/>
    </xf>
    <xf numFmtId="0" fontId="90" fillId="51" borderId="168" xfId="3" applyFont="1" applyFill="1" applyBorder="1" applyAlignment="1" applyProtection="1">
      <alignment horizontal="center" vertical="center"/>
      <protection locked="0"/>
    </xf>
    <xf numFmtId="0" fontId="95" fillId="50" borderId="169" xfId="3" applyFont="1" applyFill="1" applyBorder="1" applyAlignment="1" applyProtection="1">
      <alignment horizontal="center" vertical="center" wrapText="1"/>
      <protection locked="0"/>
    </xf>
    <xf numFmtId="0" fontId="90" fillId="51" borderId="170" xfId="3" applyFont="1" applyFill="1" applyBorder="1" applyAlignment="1" applyProtection="1">
      <alignment vertical="center" wrapText="1"/>
      <protection locked="0"/>
    </xf>
    <xf numFmtId="0" fontId="90" fillId="52" borderId="170" xfId="3" applyFont="1" applyFill="1" applyBorder="1" applyAlignment="1" applyProtection="1">
      <alignment vertical="center" wrapText="1"/>
      <protection locked="0"/>
    </xf>
    <xf numFmtId="0" fontId="90" fillId="52" borderId="171" xfId="3" applyFont="1" applyFill="1" applyBorder="1" applyAlignment="1" applyProtection="1">
      <alignment vertical="center" wrapText="1"/>
      <protection locked="0"/>
    </xf>
    <xf numFmtId="0" fontId="56" fillId="3" borderId="109" xfId="0" applyFont="1" applyFill="1" applyBorder="1" applyAlignment="1">
      <alignment horizontal="center" wrapText="1"/>
    </xf>
    <xf numFmtId="0" fontId="4" fillId="3" borderId="107" xfId="0" applyFont="1" applyFill="1" applyBorder="1" applyAlignment="1">
      <alignment horizontal="center" wrapText="1"/>
    </xf>
    <xf numFmtId="0" fontId="4" fillId="3" borderId="109" xfId="0" applyFont="1" applyFill="1" applyBorder="1" applyAlignment="1">
      <alignment horizontal="center" wrapText="1"/>
    </xf>
    <xf numFmtId="4" fontId="4" fillId="3" borderId="172" xfId="0" applyNumberFormat="1" applyFont="1" applyFill="1" applyBorder="1" applyAlignment="1">
      <alignment horizontal="center"/>
    </xf>
    <xf numFmtId="4" fontId="4" fillId="3" borderId="173" xfId="0" applyNumberFormat="1" applyFont="1" applyFill="1" applyBorder="1" applyAlignment="1">
      <alignment horizontal="center"/>
    </xf>
    <xf numFmtId="3" fontId="4" fillId="3" borderId="174" xfId="0" applyNumberFormat="1" applyFont="1" applyFill="1" applyBorder="1" applyAlignment="1">
      <alignment horizontal="center"/>
    </xf>
    <xf numFmtId="0" fontId="226" fillId="0" borderId="166" xfId="0" applyFont="1" applyBorder="1" applyAlignment="1">
      <alignment horizontal="left"/>
    </xf>
    <xf numFmtId="0" fontId="5" fillId="4" borderId="175" xfId="0" applyFont="1" applyFill="1" applyBorder="1" applyAlignment="1">
      <alignment horizontal="center"/>
    </xf>
    <xf numFmtId="0" fontId="5" fillId="6" borderId="159" xfId="0" applyFont="1" applyFill="1" applyBorder="1" applyAlignment="1">
      <alignment horizontal="left" indent="1"/>
    </xf>
    <xf numFmtId="0" fontId="5" fillId="6" borderId="176" xfId="0" applyFont="1" applyFill="1" applyBorder="1"/>
    <xf numFmtId="0" fontId="5" fillId="6" borderId="175" xfId="0" applyFont="1" applyFill="1" applyBorder="1" applyAlignment="1">
      <alignment horizontal="center"/>
    </xf>
    <xf numFmtId="0" fontId="5" fillId="6" borderId="159" xfId="0" applyFont="1" applyFill="1" applyBorder="1" applyAlignment="1">
      <alignment horizontal="center"/>
    </xf>
    <xf numFmtId="3" fontId="5" fillId="6" borderId="159" xfId="0" applyNumberFormat="1" applyFont="1" applyFill="1" applyBorder="1" applyAlignment="1">
      <alignment horizontal="center"/>
    </xf>
    <xf numFmtId="0" fontId="5" fillId="6" borderId="176" xfId="0" applyFont="1" applyFill="1" applyBorder="1" applyAlignment="1">
      <alignment horizontal="center"/>
    </xf>
    <xf numFmtId="3" fontId="5" fillId="6" borderId="177" xfId="0" applyNumberFormat="1" applyFont="1" applyFill="1" applyBorder="1" applyAlignment="1">
      <alignment horizontal="center"/>
    </xf>
    <xf numFmtId="3" fontId="5" fillId="6" borderId="176" xfId="0" applyNumberFormat="1" applyFont="1" applyFill="1" applyBorder="1" applyAlignment="1">
      <alignment horizontal="center"/>
    </xf>
    <xf numFmtId="0" fontId="5" fillId="6" borderId="178" xfId="0" applyFont="1" applyFill="1" applyBorder="1" applyAlignment="1">
      <alignment horizontal="center"/>
    </xf>
    <xf numFmtId="3" fontId="5" fillId="6" borderId="175" xfId="0" applyNumberFormat="1" applyFont="1" applyFill="1" applyBorder="1" applyAlignment="1">
      <alignment horizontal="center"/>
    </xf>
    <xf numFmtId="2" fontId="5" fillId="6" borderId="179" xfId="0" applyNumberFormat="1" applyFont="1" applyFill="1" applyBorder="1" applyAlignment="1">
      <alignment horizontal="center"/>
    </xf>
    <xf numFmtId="2" fontId="5" fillId="6" borderId="180" xfId="0" applyNumberFormat="1" applyFont="1" applyFill="1" applyBorder="1" applyAlignment="1">
      <alignment horizontal="center"/>
    </xf>
    <xf numFmtId="0" fontId="5" fillId="6" borderId="180" xfId="0" applyFont="1" applyFill="1" applyBorder="1" applyAlignment="1">
      <alignment horizontal="center"/>
    </xf>
    <xf numFmtId="2" fontId="5" fillId="6" borderId="181" xfId="0" applyNumberFormat="1" applyFont="1" applyFill="1" applyBorder="1" applyAlignment="1">
      <alignment horizontal="center"/>
    </xf>
    <xf numFmtId="4" fontId="5" fillId="6" borderId="182" xfId="0" applyNumberFormat="1" applyFont="1" applyFill="1" applyBorder="1" applyAlignment="1">
      <alignment horizontal="center"/>
    </xf>
    <xf numFmtId="2" fontId="5" fillId="6" borderId="182" xfId="0" applyNumberFormat="1" applyFont="1" applyFill="1" applyBorder="1" applyAlignment="1">
      <alignment horizontal="center"/>
    </xf>
    <xf numFmtId="0" fontId="0" fillId="10" borderId="180" xfId="0" applyFill="1" applyBorder="1" applyAlignment="1">
      <alignment horizontal="left" indent="1"/>
    </xf>
    <xf numFmtId="0" fontId="0" fillId="10" borderId="181" xfId="0" applyFill="1" applyBorder="1"/>
    <xf numFmtId="0" fontId="0" fillId="10" borderId="182" xfId="0" applyFill="1" applyBorder="1" applyAlignment="1">
      <alignment horizontal="center"/>
    </xf>
    <xf numFmtId="0" fontId="0" fillId="5" borderId="180" xfId="0" applyFill="1" applyBorder="1" applyAlignment="1">
      <alignment horizontal="center"/>
    </xf>
    <xf numFmtId="0" fontId="0" fillId="10" borderId="180" xfId="0" applyFill="1" applyBorder="1" applyAlignment="1">
      <alignment horizontal="center"/>
    </xf>
    <xf numFmtId="3" fontId="0" fillId="5" borderId="180" xfId="0" applyNumberFormat="1" applyFill="1" applyBorder="1" applyAlignment="1">
      <alignment horizontal="center"/>
    </xf>
    <xf numFmtId="0" fontId="0" fillId="10" borderId="181" xfId="0" applyFill="1" applyBorder="1" applyAlignment="1">
      <alignment horizontal="center"/>
    </xf>
    <xf numFmtId="0" fontId="0" fillId="5" borderId="182" xfId="0" applyFill="1" applyBorder="1" applyAlignment="1">
      <alignment horizontal="center"/>
    </xf>
    <xf numFmtId="181" fontId="0" fillId="5" borderId="177" xfId="0" applyNumberFormat="1" applyFill="1" applyBorder="1" applyAlignment="1">
      <alignment horizontal="center"/>
    </xf>
    <xf numFmtId="3" fontId="0" fillId="5" borderId="181" xfId="0" applyNumberFormat="1" applyFill="1" applyBorder="1" applyAlignment="1">
      <alignment horizontal="center"/>
    </xf>
    <xf numFmtId="0" fontId="0" fillId="10" borderId="183" xfId="0" applyFill="1" applyBorder="1" applyAlignment="1">
      <alignment horizontal="center"/>
    </xf>
    <xf numFmtId="3" fontId="0" fillId="5" borderId="182" xfId="0" applyNumberFormat="1" applyFill="1" applyBorder="1" applyAlignment="1">
      <alignment horizontal="center"/>
    </xf>
    <xf numFmtId="2" fontId="0" fillId="5" borderId="180" xfId="0" applyNumberFormat="1" applyFill="1" applyBorder="1" applyAlignment="1">
      <alignment horizontal="center"/>
    </xf>
    <xf numFmtId="0" fontId="0" fillId="10" borderId="179" xfId="0" applyFill="1" applyBorder="1" applyAlignment="1" applyProtection="1">
      <alignment horizontal="center"/>
      <protection locked="0"/>
    </xf>
    <xf numFmtId="2" fontId="0" fillId="5" borderId="181" xfId="0" applyNumberFormat="1" applyFill="1" applyBorder="1" applyAlignment="1">
      <alignment horizontal="center"/>
    </xf>
    <xf numFmtId="4" fontId="0" fillId="5" borderId="182" xfId="0" applyNumberFormat="1" applyFill="1" applyBorder="1" applyAlignment="1">
      <alignment horizontal="center"/>
    </xf>
    <xf numFmtId="2" fontId="0" fillId="5" borderId="182" xfId="0" applyNumberFormat="1" applyFill="1" applyBorder="1" applyAlignment="1">
      <alignment horizontal="center"/>
    </xf>
    <xf numFmtId="0" fontId="226" fillId="7" borderId="180" xfId="0" applyFont="1" applyFill="1" applyBorder="1" applyAlignment="1">
      <alignment horizontal="left"/>
    </xf>
    <xf numFmtId="0" fontId="226" fillId="0" borderId="180" xfId="0" applyFont="1" applyBorder="1" applyAlignment="1" applyProtection="1">
      <alignment horizontal="left"/>
      <protection locked="0"/>
    </xf>
    <xf numFmtId="0" fontId="56" fillId="0" borderId="180" xfId="0" applyFont="1" applyBorder="1" applyAlignment="1" applyProtection="1">
      <alignment horizontal="left"/>
      <protection locked="0"/>
    </xf>
    <xf numFmtId="0" fontId="226" fillId="7" borderId="180" xfId="0" applyFont="1" applyFill="1" applyBorder="1" applyAlignment="1" applyProtection="1">
      <alignment horizontal="left"/>
      <protection locked="0"/>
    </xf>
    <xf numFmtId="0" fontId="0" fillId="10" borderId="184" xfId="0" applyFill="1" applyBorder="1" applyAlignment="1" applyProtection="1">
      <alignment horizontal="center"/>
      <protection locked="0"/>
    </xf>
    <xf numFmtId="0" fontId="48" fillId="6" borderId="182" xfId="0" applyFont="1" applyFill="1" applyBorder="1" applyAlignment="1">
      <alignment horizontal="center"/>
    </xf>
    <xf numFmtId="0" fontId="48" fillId="6" borderId="179" xfId="0" applyFont="1" applyFill="1" applyBorder="1" applyAlignment="1">
      <alignment horizontal="center"/>
    </xf>
    <xf numFmtId="0" fontId="0" fillId="2" borderId="182" xfId="0" applyFill="1" applyBorder="1" applyAlignment="1">
      <alignment horizontal="center"/>
    </xf>
    <xf numFmtId="0" fontId="0" fillId="2" borderId="181" xfId="0" applyFill="1" applyBorder="1" applyAlignment="1">
      <alignment horizontal="center"/>
    </xf>
    <xf numFmtId="0" fontId="0" fillId="2" borderId="130" xfId="0" applyFill="1" applyBorder="1" applyAlignment="1">
      <alignment horizontal="center"/>
    </xf>
    <xf numFmtId="0" fontId="0" fillId="2" borderId="177" xfId="0" applyFill="1" applyBorder="1" applyAlignment="1">
      <alignment horizontal="center"/>
    </xf>
    <xf numFmtId="0" fontId="0" fillId="2" borderId="179" xfId="0" applyFill="1" applyBorder="1" applyAlignment="1">
      <alignment horizontal="center"/>
    </xf>
    <xf numFmtId="1" fontId="45" fillId="6" borderId="182" xfId="0" applyNumberFormat="1" applyFont="1" applyFill="1" applyBorder="1" applyAlignment="1">
      <alignment horizontal="center"/>
    </xf>
    <xf numFmtId="1" fontId="45" fillId="6" borderId="179" xfId="0" applyNumberFormat="1" applyFont="1" applyFill="1" applyBorder="1" applyAlignment="1">
      <alignment horizontal="center"/>
    </xf>
    <xf numFmtId="165" fontId="35" fillId="10" borderId="182" xfId="0" applyNumberFormat="1" applyFont="1" applyFill="1" applyBorder="1" applyAlignment="1">
      <alignment horizontal="center"/>
    </xf>
    <xf numFmtId="165" fontId="35" fillId="10" borderId="186" xfId="0" applyNumberFormat="1" applyFont="1" applyFill="1" applyBorder="1" applyAlignment="1">
      <alignment horizontal="center"/>
    </xf>
    <xf numFmtId="1" fontId="35" fillId="13" borderId="182" xfId="0" applyNumberFormat="1" applyFont="1" applyFill="1" applyBorder="1" applyAlignment="1">
      <alignment horizontal="center"/>
    </xf>
    <xf numFmtId="1" fontId="35" fillId="13" borderId="181" xfId="0" applyNumberFormat="1" applyFont="1" applyFill="1" applyBorder="1" applyAlignment="1">
      <alignment horizontal="center"/>
    </xf>
    <xf numFmtId="4" fontId="47" fillId="5" borderId="115" xfId="0" applyNumberFormat="1" applyFont="1" applyFill="1" applyBorder="1" applyAlignment="1">
      <alignment horizontal="center"/>
    </xf>
    <xf numFmtId="4" fontId="47" fillId="5" borderId="117" xfId="0" applyNumberFormat="1" applyFont="1" applyFill="1" applyBorder="1" applyAlignment="1">
      <alignment horizontal="center"/>
    </xf>
    <xf numFmtId="0" fontId="45" fillId="6" borderId="180" xfId="0" applyFont="1" applyFill="1" applyBorder="1" applyAlignment="1">
      <alignment horizontal="center"/>
    </xf>
    <xf numFmtId="0" fontId="4" fillId="10" borderId="180" xfId="0" applyFont="1" applyFill="1" applyBorder="1" applyAlignment="1">
      <alignment horizontal="center"/>
    </xf>
    <xf numFmtId="0" fontId="35" fillId="10" borderId="180" xfId="0" applyFont="1" applyFill="1" applyBorder="1" applyAlignment="1">
      <alignment horizontal="center"/>
    </xf>
    <xf numFmtId="0" fontId="4" fillId="10" borderId="180" xfId="0" applyFont="1" applyFill="1" applyBorder="1" applyAlignment="1" applyProtection="1">
      <alignment horizontal="center"/>
      <protection locked="0"/>
    </xf>
    <xf numFmtId="0" fontId="35" fillId="10" borderId="180" xfId="0" applyFont="1" applyFill="1" applyBorder="1" applyAlignment="1" applyProtection="1">
      <alignment horizontal="center"/>
      <protection locked="0"/>
    </xf>
    <xf numFmtId="0" fontId="226" fillId="0" borderId="180" xfId="0" applyFont="1" applyBorder="1" applyAlignment="1">
      <alignment horizontal="left"/>
    </xf>
    <xf numFmtId="0" fontId="5" fillId="12" borderId="192" xfId="0" applyFont="1" applyFill="1" applyBorder="1" applyAlignment="1">
      <alignment horizontal="center"/>
    </xf>
    <xf numFmtId="0" fontId="5" fillId="12" borderId="193" xfId="0" applyFont="1" applyFill="1" applyBorder="1" applyAlignment="1">
      <alignment horizontal="center"/>
    </xf>
    <xf numFmtId="0" fontId="5" fillId="12" borderId="194" xfId="0" applyFont="1" applyFill="1" applyBorder="1" applyAlignment="1">
      <alignment horizontal="center"/>
    </xf>
    <xf numFmtId="0" fontId="5" fillId="12" borderId="195" xfId="0" applyFont="1" applyFill="1" applyBorder="1" applyAlignment="1">
      <alignment horizontal="center"/>
    </xf>
    <xf numFmtId="0" fontId="5" fillId="12" borderId="196" xfId="0" applyFont="1" applyFill="1" applyBorder="1" applyAlignment="1">
      <alignment horizontal="center"/>
    </xf>
    <xf numFmtId="0" fontId="5" fillId="12" borderId="13" xfId="0" applyFont="1" applyFill="1" applyBorder="1" applyAlignment="1">
      <alignment horizontal="center"/>
    </xf>
    <xf numFmtId="0" fontId="5" fillId="12" borderId="18" xfId="0" applyFont="1" applyFill="1" applyBorder="1" applyAlignment="1">
      <alignment horizontal="center"/>
    </xf>
    <xf numFmtId="0" fontId="0" fillId="2" borderId="192" xfId="0" applyFill="1" applyBorder="1" applyAlignment="1">
      <alignment horizontal="left"/>
    </xf>
    <xf numFmtId="0" fontId="5" fillId="12" borderId="22" xfId="0" applyFont="1" applyFill="1" applyBorder="1" applyAlignment="1">
      <alignment horizontal="center"/>
    </xf>
    <xf numFmtId="0" fontId="35" fillId="2" borderId="186" xfId="0" applyFont="1" applyFill="1" applyBorder="1" applyAlignment="1">
      <alignment horizontal="left" indent="1"/>
    </xf>
    <xf numFmtId="3" fontId="35" fillId="2" borderId="182" xfId="0" applyNumberFormat="1" applyFont="1" applyFill="1" applyBorder="1" applyAlignment="1">
      <alignment horizontal="center"/>
    </xf>
    <xf numFmtId="2" fontId="35" fillId="2" borderId="181" xfId="0" applyNumberFormat="1" applyFont="1" applyFill="1" applyBorder="1" applyAlignment="1">
      <alignment horizontal="center"/>
    </xf>
    <xf numFmtId="3" fontId="35" fillId="2" borderId="177" xfId="0" applyNumberFormat="1" applyFont="1" applyFill="1" applyBorder="1" applyAlignment="1">
      <alignment horizontal="center"/>
    </xf>
    <xf numFmtId="2" fontId="35" fillId="2" borderId="179" xfId="0" applyNumberFormat="1" applyFont="1" applyFill="1" applyBorder="1" applyAlignment="1">
      <alignment horizontal="center"/>
    </xf>
    <xf numFmtId="170" fontId="35" fillId="2" borderId="182" xfId="0" applyNumberFormat="1" applyFont="1" applyFill="1" applyBorder="1" applyAlignment="1">
      <alignment horizontal="center"/>
    </xf>
    <xf numFmtId="170" fontId="35" fillId="2" borderId="181" xfId="0" applyNumberFormat="1" applyFont="1" applyFill="1" applyBorder="1" applyAlignment="1">
      <alignment horizontal="center"/>
    </xf>
    <xf numFmtId="170" fontId="35" fillId="2" borderId="177" xfId="0" applyNumberFormat="1" applyFont="1" applyFill="1" applyBorder="1" applyAlignment="1">
      <alignment horizontal="center"/>
    </xf>
    <xf numFmtId="0" fontId="35" fillId="2" borderId="182" xfId="0" applyFont="1" applyFill="1" applyBorder="1" applyAlignment="1">
      <alignment horizontal="left" indent="1"/>
    </xf>
    <xf numFmtId="4" fontId="35" fillId="5" borderId="180" xfId="0" applyNumberFormat="1" applyFont="1" applyFill="1" applyBorder="1" applyAlignment="1">
      <alignment horizontal="center"/>
    </xf>
    <xf numFmtId="2" fontId="35" fillId="5" borderId="181" xfId="0" applyNumberFormat="1" applyFont="1" applyFill="1" applyBorder="1" applyAlignment="1">
      <alignment horizontal="center"/>
    </xf>
    <xf numFmtId="0" fontId="35" fillId="2" borderId="180" xfId="0" applyFont="1" applyFill="1" applyBorder="1" applyAlignment="1">
      <alignment horizontal="center"/>
    </xf>
    <xf numFmtId="9" fontId="35" fillId="2" borderId="181" xfId="0" applyNumberFormat="1" applyFont="1" applyFill="1" applyBorder="1" applyAlignment="1">
      <alignment horizontal="center"/>
    </xf>
    <xf numFmtId="0" fontId="35" fillId="2" borderId="185" xfId="0" applyFont="1" applyFill="1" applyBorder="1" applyAlignment="1">
      <alignment horizontal="center"/>
    </xf>
    <xf numFmtId="2" fontId="35" fillId="2" borderId="180" xfId="0" applyNumberFormat="1" applyFont="1" applyFill="1" applyBorder="1" applyAlignment="1">
      <alignment horizontal="center"/>
    </xf>
    <xf numFmtId="0" fontId="35" fillId="2" borderId="183" xfId="0" applyFont="1" applyFill="1" applyBorder="1" applyAlignment="1">
      <alignment horizontal="left" indent="1"/>
    </xf>
    <xf numFmtId="3" fontId="68" fillId="2" borderId="182" xfId="0" applyNumberFormat="1" applyFont="1" applyFill="1" applyBorder="1" applyAlignment="1">
      <alignment horizontal="center"/>
    </xf>
    <xf numFmtId="2" fontId="68" fillId="2" borderId="181" xfId="0" applyNumberFormat="1" applyFont="1" applyFill="1" applyBorder="1" applyAlignment="1">
      <alignment horizontal="center"/>
    </xf>
    <xf numFmtId="3" fontId="68" fillId="2" borderId="177" xfId="0" applyNumberFormat="1" applyFont="1" applyFill="1" applyBorder="1" applyAlignment="1">
      <alignment horizontal="center"/>
    </xf>
    <xf numFmtId="2" fontId="68" fillId="2" borderId="179" xfId="0" applyNumberFormat="1" applyFont="1" applyFill="1" applyBorder="1" applyAlignment="1">
      <alignment horizontal="center"/>
    </xf>
    <xf numFmtId="0" fontId="35" fillId="0" borderId="182" xfId="0" applyFont="1" applyBorder="1" applyAlignment="1">
      <alignment horizontal="left" indent="1"/>
    </xf>
    <xf numFmtId="0" fontId="35" fillId="0" borderId="177" xfId="0" applyFont="1" applyBorder="1" applyAlignment="1">
      <alignment horizontal="left" indent="1"/>
    </xf>
    <xf numFmtId="2" fontId="35" fillId="0" borderId="180" xfId="0" applyNumberFormat="1" applyFont="1" applyBorder="1" applyAlignment="1">
      <alignment horizontal="center"/>
    </xf>
    <xf numFmtId="2" fontId="35" fillId="0" borderId="179" xfId="0" applyNumberFormat="1" applyFont="1" applyBorder="1" applyAlignment="1">
      <alignment horizontal="center"/>
    </xf>
    <xf numFmtId="0" fontId="35" fillId="0" borderId="186" xfId="0" applyFont="1" applyBorder="1" applyAlignment="1">
      <alignment horizontal="center"/>
    </xf>
    <xf numFmtId="0" fontId="35" fillId="2" borderId="115" xfId="0" applyFont="1" applyFill="1" applyBorder="1" applyAlignment="1">
      <alignment horizontal="left" indent="1"/>
    </xf>
    <xf numFmtId="2" fontId="35" fillId="2" borderId="116" xfId="0" applyNumberFormat="1" applyFont="1" applyFill="1" applyBorder="1" applyAlignment="1">
      <alignment horizontal="center"/>
    </xf>
    <xf numFmtId="2" fontId="35" fillId="2" borderId="117" xfId="0" applyNumberFormat="1" applyFont="1" applyFill="1" applyBorder="1" applyAlignment="1">
      <alignment horizontal="center"/>
    </xf>
    <xf numFmtId="204" fontId="35" fillId="2" borderId="180" xfId="0" applyNumberFormat="1" applyFont="1" applyFill="1" applyBorder="1" applyAlignment="1">
      <alignment horizontal="center"/>
    </xf>
    <xf numFmtId="204" fontId="35" fillId="2" borderId="181" xfId="0" applyNumberFormat="1" applyFont="1" applyFill="1" applyBorder="1" applyAlignment="1">
      <alignment horizontal="center"/>
    </xf>
    <xf numFmtId="0" fontId="0" fillId="2" borderId="192" xfId="0" applyFill="1" applyBorder="1" applyAlignment="1">
      <alignment horizontal="center"/>
    </xf>
    <xf numFmtId="204" fontId="35" fillId="2" borderId="116" xfId="0" applyNumberFormat="1" applyFont="1" applyFill="1" applyBorder="1" applyAlignment="1">
      <alignment horizontal="center"/>
    </xf>
    <xf numFmtId="204" fontId="35" fillId="2" borderId="117" xfId="0" applyNumberFormat="1" applyFont="1" applyFill="1" applyBorder="1" applyAlignment="1">
      <alignment horizontal="center"/>
    </xf>
    <xf numFmtId="0" fontId="47" fillId="50" borderId="193" xfId="0" applyFont="1" applyFill="1" applyBorder="1" applyAlignment="1" applyProtection="1">
      <alignment horizontal="center"/>
      <protection locked="0"/>
    </xf>
    <xf numFmtId="9" fontId="35" fillId="5" borderId="197" xfId="1" applyFont="1" applyFill="1" applyBorder="1" applyAlignment="1" applyProtection="1">
      <alignment horizontal="center"/>
      <protection locked="0"/>
    </xf>
    <xf numFmtId="9" fontId="35" fillId="50" borderId="194" xfId="1" applyFont="1" applyFill="1" applyBorder="1" applyAlignment="1" applyProtection="1">
      <alignment horizontal="center"/>
      <protection locked="0"/>
    </xf>
    <xf numFmtId="0" fontId="47" fillId="50" borderId="182" xfId="0" applyFont="1" applyFill="1" applyBorder="1" applyAlignment="1" applyProtection="1">
      <alignment horizontal="center"/>
      <protection locked="0"/>
    </xf>
    <xf numFmtId="9" fontId="35" fillId="5" borderId="180" xfId="1" applyFont="1" applyFill="1" applyBorder="1" applyAlignment="1" applyProtection="1">
      <alignment horizontal="center"/>
      <protection locked="0"/>
    </xf>
    <xf numFmtId="9" fontId="35" fillId="50" borderId="181" xfId="1" applyFont="1" applyFill="1" applyBorder="1" applyAlignment="1" applyProtection="1">
      <alignment horizontal="center"/>
      <protection locked="0"/>
    </xf>
    <xf numFmtId="0" fontId="35" fillId="2" borderId="198" xfId="0" applyFont="1" applyFill="1" applyBorder="1" applyAlignment="1">
      <alignment horizontal="left" indent="1"/>
    </xf>
    <xf numFmtId="3" fontId="35" fillId="5" borderId="199" xfId="0" applyNumberFormat="1" applyFont="1" applyFill="1" applyBorder="1" applyAlignment="1">
      <alignment horizontal="center"/>
    </xf>
    <xf numFmtId="2" fontId="35" fillId="2" borderId="148" xfId="0" applyNumberFormat="1" applyFont="1" applyFill="1" applyBorder="1" applyAlignment="1">
      <alignment horizontal="center"/>
    </xf>
    <xf numFmtId="3" fontId="35" fillId="5" borderId="142" xfId="0" applyNumberFormat="1" applyFont="1" applyFill="1" applyBorder="1" applyAlignment="1">
      <alignment horizontal="center"/>
    </xf>
    <xf numFmtId="2" fontId="35" fillId="2" borderId="141" xfId="0" applyNumberFormat="1" applyFont="1" applyFill="1" applyBorder="1" applyAlignment="1">
      <alignment horizontal="center"/>
    </xf>
    <xf numFmtId="0" fontId="35" fillId="2" borderId="200" xfId="0" applyFont="1" applyFill="1" applyBorder="1" applyAlignment="1">
      <alignment horizontal="left" indent="1"/>
    </xf>
    <xf numFmtId="3" fontId="35" fillId="2" borderId="115" xfId="0" applyNumberFormat="1" applyFont="1" applyFill="1" applyBorder="1" applyAlignment="1">
      <alignment horizontal="center"/>
    </xf>
    <xf numFmtId="3" fontId="35" fillId="2" borderId="201" xfId="0" applyNumberFormat="1" applyFont="1" applyFill="1" applyBorder="1" applyAlignment="1">
      <alignment horizontal="center"/>
    </xf>
    <xf numFmtId="2" fontId="35" fillId="2" borderId="184" xfId="0" applyNumberFormat="1" applyFont="1" applyFill="1" applyBorder="1" applyAlignment="1">
      <alignment horizontal="center"/>
    </xf>
    <xf numFmtId="0" fontId="35" fillId="2" borderId="202" xfId="0" applyFont="1" applyFill="1" applyBorder="1" applyAlignment="1">
      <alignment horizontal="left" indent="1"/>
    </xf>
    <xf numFmtId="3" fontId="35" fillId="2" borderId="193" xfId="0" applyNumberFormat="1" applyFont="1" applyFill="1" applyBorder="1" applyAlignment="1">
      <alignment horizontal="center"/>
    </xf>
    <xf numFmtId="2" fontId="35" fillId="2" borderId="194" xfId="0" applyNumberFormat="1" applyFont="1" applyFill="1" applyBorder="1" applyAlignment="1">
      <alignment horizontal="center"/>
    </xf>
    <xf numFmtId="3" fontId="35" fillId="2" borderId="195" xfId="0" applyNumberFormat="1" applyFont="1" applyFill="1" applyBorder="1" applyAlignment="1">
      <alignment horizontal="center"/>
    </xf>
    <xf numFmtId="2" fontId="35" fillId="2" borderId="196" xfId="0" applyNumberFormat="1" applyFont="1" applyFill="1" applyBorder="1" applyAlignment="1">
      <alignment horizontal="center"/>
    </xf>
    <xf numFmtId="170" fontId="35" fillId="2" borderId="193" xfId="0" applyNumberFormat="1" applyFont="1" applyFill="1" applyBorder="1" applyAlignment="1">
      <alignment horizontal="center"/>
    </xf>
    <xf numFmtId="170" fontId="35" fillId="2" borderId="194" xfId="0" applyNumberFormat="1" applyFont="1" applyFill="1" applyBorder="1" applyAlignment="1">
      <alignment horizontal="center"/>
    </xf>
    <xf numFmtId="170" fontId="35" fillId="2" borderId="195" xfId="0" applyNumberFormat="1" applyFont="1" applyFill="1" applyBorder="1" applyAlignment="1">
      <alignment horizontal="center"/>
    </xf>
    <xf numFmtId="0" fontId="47" fillId="50" borderId="115" xfId="0" applyFont="1" applyFill="1" applyBorder="1" applyAlignment="1" applyProtection="1">
      <alignment horizontal="center"/>
      <protection locked="0"/>
    </xf>
    <xf numFmtId="9" fontId="35" fillId="5" borderId="116" xfId="1" applyFont="1" applyFill="1" applyBorder="1" applyAlignment="1" applyProtection="1">
      <alignment horizontal="center"/>
      <protection locked="0"/>
    </xf>
    <xf numFmtId="0" fontId="35" fillId="2" borderId="116" xfId="0" applyFont="1" applyFill="1" applyBorder="1" applyAlignment="1">
      <alignment horizontal="center"/>
    </xf>
    <xf numFmtId="0" fontId="35" fillId="2" borderId="189" xfId="0" applyFont="1" applyFill="1" applyBorder="1" applyAlignment="1">
      <alignment horizontal="center"/>
    </xf>
    <xf numFmtId="0" fontId="35" fillId="2" borderId="139" xfId="0" applyFont="1" applyFill="1" applyBorder="1" applyAlignment="1">
      <alignment horizontal="left" indent="1"/>
    </xf>
    <xf numFmtId="170" fontId="35" fillId="2" borderId="115" xfId="0" applyNumberFormat="1" applyFont="1" applyFill="1" applyBorder="1" applyAlignment="1">
      <alignment horizontal="center"/>
    </xf>
    <xf numFmtId="170" fontId="35" fillId="2" borderId="117" xfId="0" applyNumberFormat="1" applyFont="1" applyFill="1" applyBorder="1" applyAlignment="1">
      <alignment horizontal="center"/>
    </xf>
    <xf numFmtId="170" fontId="35" fillId="2" borderId="201" xfId="0" applyNumberFormat="1" applyFont="1" applyFill="1" applyBorder="1" applyAlignment="1">
      <alignment horizontal="center"/>
    </xf>
    <xf numFmtId="0" fontId="5" fillId="12" borderId="182" xfId="0" applyFont="1" applyFill="1" applyBorder="1" applyAlignment="1">
      <alignment horizontal="center"/>
    </xf>
    <xf numFmtId="0" fontId="5" fillId="12" borderId="180" xfId="0" applyFont="1" applyFill="1" applyBorder="1" applyAlignment="1">
      <alignment horizontal="center"/>
    </xf>
    <xf numFmtId="0" fontId="5" fillId="12" borderId="181" xfId="0" applyFont="1" applyFill="1" applyBorder="1" applyAlignment="1">
      <alignment horizontal="center"/>
    </xf>
    <xf numFmtId="9" fontId="35" fillId="2" borderId="180" xfId="1" applyFont="1" applyFill="1" applyBorder="1" applyAlignment="1">
      <alignment horizontal="center"/>
    </xf>
    <xf numFmtId="9" fontId="35" fillId="2" borderId="181" xfId="1" applyFont="1" applyFill="1" applyBorder="1" applyAlignment="1">
      <alignment horizontal="center"/>
    </xf>
    <xf numFmtId="165" fontId="35" fillId="5" borderId="180" xfId="0" applyNumberFormat="1" applyFont="1" applyFill="1" applyBorder="1" applyAlignment="1">
      <alignment horizontal="center"/>
    </xf>
    <xf numFmtId="165" fontId="35" fillId="2" borderId="181" xfId="0" applyNumberFormat="1" applyFont="1" applyFill="1" applyBorder="1" applyAlignment="1">
      <alignment horizontal="left"/>
    </xf>
    <xf numFmtId="0" fontId="35" fillId="2" borderId="21" xfId="0" applyFont="1" applyFill="1" applyBorder="1" applyAlignment="1">
      <alignment horizontal="left"/>
    </xf>
    <xf numFmtId="0" fontId="35" fillId="2" borderId="19" xfId="0" applyFont="1" applyFill="1" applyBorder="1" applyAlignment="1">
      <alignment horizontal="left"/>
    </xf>
    <xf numFmtId="0" fontId="35" fillId="2" borderId="13" xfId="0" applyFont="1" applyFill="1" applyBorder="1" applyAlignment="1">
      <alignment horizontal="center"/>
    </xf>
    <xf numFmtId="0" fontId="35" fillId="2" borderId="18" xfId="0" applyFont="1" applyFill="1" applyBorder="1" applyAlignment="1">
      <alignment horizontal="left" indent="1"/>
    </xf>
    <xf numFmtId="165" fontId="35" fillId="2" borderId="180" xfId="0" applyNumberFormat="1" applyFont="1" applyFill="1" applyBorder="1" applyAlignment="1">
      <alignment horizontal="center"/>
    </xf>
    <xf numFmtId="0" fontId="35" fillId="2" borderId="183" xfId="0" applyFont="1" applyFill="1" applyBorder="1" applyAlignment="1">
      <alignment horizontal="left"/>
    </xf>
    <xf numFmtId="0" fontId="35" fillId="2" borderId="187" xfId="0" applyFont="1" applyFill="1" applyBorder="1" applyAlignment="1">
      <alignment horizontal="left"/>
    </xf>
    <xf numFmtId="0" fontId="35" fillId="2" borderId="177" xfId="0" applyFont="1" applyFill="1" applyBorder="1" applyAlignment="1">
      <alignment horizontal="left"/>
    </xf>
    <xf numFmtId="0" fontId="35" fillId="2" borderId="181" xfId="0" applyFont="1" applyFill="1" applyBorder="1" applyAlignment="1">
      <alignment horizontal="left" indent="1"/>
    </xf>
    <xf numFmtId="0" fontId="68" fillId="2" borderId="183" xfId="0" applyFont="1" applyFill="1" applyBorder="1" applyAlignment="1">
      <alignment horizontal="left"/>
    </xf>
    <xf numFmtId="0" fontId="68" fillId="2" borderId="187" xfId="0" applyFont="1" applyFill="1" applyBorder="1" applyAlignment="1">
      <alignment horizontal="left"/>
    </xf>
    <xf numFmtId="0" fontId="68" fillId="2" borderId="177" xfId="0" applyFont="1" applyFill="1" applyBorder="1" applyAlignment="1">
      <alignment horizontal="left"/>
    </xf>
    <xf numFmtId="0" fontId="68" fillId="2" borderId="180" xfId="0" applyFont="1" applyFill="1" applyBorder="1" applyAlignment="1">
      <alignment horizontal="center"/>
    </xf>
    <xf numFmtId="0" fontId="68" fillId="2" borderId="181" xfId="0" applyFont="1" applyFill="1" applyBorder="1" applyAlignment="1">
      <alignment horizontal="left" indent="1"/>
    </xf>
    <xf numFmtId="0" fontId="35" fillId="79" borderId="199" xfId="0" applyFont="1" applyFill="1" applyBorder="1" applyAlignment="1">
      <alignment horizontal="left" indent="1"/>
    </xf>
    <xf numFmtId="9" fontId="35" fillId="79" borderId="136" xfId="1" applyFont="1" applyFill="1" applyBorder="1" applyAlignment="1">
      <alignment horizontal="center"/>
    </xf>
    <xf numFmtId="9" fontId="35" fillId="79" borderId="181" xfId="1" applyFont="1" applyFill="1" applyBorder="1" applyAlignment="1">
      <alignment horizontal="center"/>
    </xf>
    <xf numFmtId="9" fontId="35" fillId="2" borderId="136" xfId="1" applyFont="1" applyFill="1" applyBorder="1" applyAlignment="1">
      <alignment horizontal="center"/>
    </xf>
    <xf numFmtId="9" fontId="35" fillId="50" borderId="197" xfId="1" applyFont="1" applyFill="1" applyBorder="1" applyAlignment="1" applyProtection="1">
      <alignment horizontal="center"/>
      <protection locked="0"/>
    </xf>
    <xf numFmtId="9" fontId="35" fillId="2" borderId="203" xfId="1" applyFont="1" applyFill="1" applyBorder="1" applyAlignment="1" applyProtection="1">
      <alignment horizontal="center"/>
    </xf>
    <xf numFmtId="9" fontId="35" fillId="50" borderId="180" xfId="1" applyFont="1" applyFill="1" applyBorder="1" applyAlignment="1" applyProtection="1">
      <alignment horizontal="center"/>
      <protection locked="0"/>
    </xf>
    <xf numFmtId="9" fontId="35" fillId="2" borderId="185" xfId="1" applyFont="1" applyFill="1" applyBorder="1" applyAlignment="1" applyProtection="1">
      <alignment horizontal="center"/>
    </xf>
    <xf numFmtId="0" fontId="47" fillId="50" borderId="199" xfId="0" applyFont="1" applyFill="1" applyBorder="1" applyAlignment="1" applyProtection="1">
      <alignment horizontal="center"/>
      <protection locked="0"/>
    </xf>
    <xf numFmtId="9" fontId="35" fillId="50" borderId="136" xfId="1" applyFont="1" applyFill="1" applyBorder="1" applyAlignment="1" applyProtection="1">
      <alignment horizontal="center"/>
      <protection locked="0"/>
    </xf>
    <xf numFmtId="9" fontId="35" fillId="2" borderId="138" xfId="1" applyFont="1" applyFill="1" applyBorder="1" applyAlignment="1" applyProtection="1">
      <alignment horizontal="center"/>
    </xf>
    <xf numFmtId="0" fontId="69" fillId="2" borderId="180" xfId="0" applyFont="1" applyFill="1" applyBorder="1" applyAlignment="1">
      <alignment horizontal="center" vertical="center" wrapText="1"/>
    </xf>
    <xf numFmtId="0" fontId="35" fillId="2" borderId="139" xfId="0" applyFont="1" applyFill="1" applyBorder="1" applyAlignment="1">
      <alignment horizontal="left"/>
    </xf>
    <xf numFmtId="0" fontId="35" fillId="2" borderId="190" xfId="0" applyFont="1" applyFill="1" applyBorder="1" applyAlignment="1">
      <alignment horizontal="left"/>
    </xf>
    <xf numFmtId="0" fontId="35" fillId="2" borderId="201" xfId="0" applyFont="1" applyFill="1" applyBorder="1" applyAlignment="1">
      <alignment horizontal="left"/>
    </xf>
    <xf numFmtId="0" fontId="69" fillId="2" borderId="116" xfId="0" applyFont="1" applyFill="1" applyBorder="1" applyAlignment="1">
      <alignment horizontal="center" vertical="center" wrapText="1"/>
    </xf>
    <xf numFmtId="0" fontId="35" fillId="0" borderId="199" xfId="0" applyFont="1" applyBorder="1" applyAlignment="1">
      <alignment horizontal="left" indent="1"/>
    </xf>
    <xf numFmtId="0" fontId="35" fillId="0" borderId="142" xfId="0" applyFont="1" applyBorder="1" applyAlignment="1">
      <alignment horizontal="left" indent="1"/>
    </xf>
    <xf numFmtId="2" fontId="35" fillId="0" borderId="136" xfId="0" applyNumberFormat="1" applyFont="1" applyBorder="1" applyAlignment="1">
      <alignment horizontal="center"/>
    </xf>
    <xf numFmtId="2" fontId="35" fillId="0" borderId="141" xfId="0" applyNumberFormat="1" applyFont="1" applyBorder="1" applyAlignment="1">
      <alignment horizontal="center"/>
    </xf>
    <xf numFmtId="0" fontId="36" fillId="12" borderId="13" xfId="0" applyFont="1" applyFill="1" applyBorder="1" applyAlignment="1">
      <alignment horizontal="center"/>
    </xf>
    <xf numFmtId="2" fontId="36" fillId="12" borderId="13" xfId="0" applyNumberFormat="1" applyFont="1" applyFill="1" applyBorder="1" applyAlignment="1">
      <alignment horizontal="center" wrapText="1"/>
    </xf>
    <xf numFmtId="0" fontId="36" fillId="12" borderId="18" xfId="0" applyFont="1" applyFill="1" applyBorder="1" applyAlignment="1">
      <alignment horizontal="center" wrapText="1"/>
    </xf>
    <xf numFmtId="0" fontId="35" fillId="0" borderId="182" xfId="0" applyFont="1" applyBorder="1"/>
    <xf numFmtId="0" fontId="35" fillId="0" borderId="180" xfId="0" applyFont="1" applyBorder="1"/>
    <xf numFmtId="2" fontId="35" fillId="0" borderId="180" xfId="0" applyNumberFormat="1" applyFont="1" applyBorder="1"/>
    <xf numFmtId="0" fontId="35" fillId="0" borderId="181" xfId="0" applyFont="1" applyBorder="1" applyAlignment="1">
      <alignment horizontal="center"/>
    </xf>
    <xf numFmtId="2" fontId="35" fillId="0" borderId="181" xfId="0" applyNumberFormat="1" applyFont="1" applyBorder="1" applyAlignment="1">
      <alignment horizontal="center"/>
    </xf>
    <xf numFmtId="0" fontId="35" fillId="0" borderId="115" xfId="0" applyFont="1" applyBorder="1"/>
    <xf numFmtId="0" fontId="35" fillId="0" borderId="116" xfId="0" applyFont="1" applyBorder="1"/>
    <xf numFmtId="2" fontId="35" fillId="0" borderId="116" xfId="0" applyNumberFormat="1" applyFont="1" applyBorder="1"/>
    <xf numFmtId="0" fontId="35" fillId="0" borderId="117" xfId="0" applyFont="1" applyBorder="1" applyAlignment="1">
      <alignment horizontal="center"/>
    </xf>
    <xf numFmtId="165" fontId="35" fillId="2" borderId="116" xfId="0" applyNumberFormat="1" applyFont="1" applyFill="1" applyBorder="1" applyAlignment="1">
      <alignment horizontal="center"/>
    </xf>
    <xf numFmtId="165" fontId="35" fillId="2" borderId="117" xfId="0" applyNumberFormat="1" applyFont="1" applyFill="1" applyBorder="1" applyAlignment="1">
      <alignment horizontal="left"/>
    </xf>
    <xf numFmtId="0" fontId="36" fillId="12" borderId="13" xfId="0" applyFont="1" applyFill="1" applyBorder="1" applyAlignment="1">
      <alignment horizontal="center" wrapText="1"/>
    </xf>
    <xf numFmtId="0" fontId="35" fillId="50" borderId="180" xfId="0" applyFont="1" applyFill="1" applyBorder="1" applyAlignment="1">
      <alignment horizontal="left" vertical="center" wrapText="1"/>
    </xf>
    <xf numFmtId="0" fontId="35" fillId="50" borderId="180" xfId="0" applyFont="1" applyFill="1" applyBorder="1" applyAlignment="1">
      <alignment horizontal="center" vertical="center" wrapText="1"/>
    </xf>
    <xf numFmtId="3" fontId="35" fillId="50" borderId="179" xfId="0" applyNumberFormat="1" applyFont="1" applyFill="1" applyBorder="1" applyAlignment="1">
      <alignment horizontal="center" vertical="center"/>
    </xf>
    <xf numFmtId="0" fontId="35" fillId="49" borderId="197" xfId="0" applyFont="1" applyFill="1" applyBorder="1" applyAlignment="1">
      <alignment horizontal="center" vertical="center" wrapText="1"/>
    </xf>
    <xf numFmtId="0" fontId="198" fillId="72" borderId="191" xfId="3" applyFont="1" applyFill="1" applyBorder="1" applyAlignment="1" applyProtection="1">
      <alignment horizontal="left" vertical="center" indent="1"/>
      <protection hidden="1"/>
    </xf>
    <xf numFmtId="177" fontId="106" fillId="16" borderId="196" xfId="3" applyNumberFormat="1" applyFont="1" applyFill="1" applyBorder="1" applyAlignment="1" applyProtection="1">
      <alignment horizontal="center" vertical="center"/>
      <protection hidden="1"/>
    </xf>
    <xf numFmtId="177" fontId="106" fillId="16" borderId="196" xfId="3" applyNumberFormat="1" applyFont="1" applyFill="1" applyBorder="1" applyAlignment="1" applyProtection="1">
      <alignment vertical="center"/>
      <protection hidden="1"/>
    </xf>
    <xf numFmtId="0" fontId="198" fillId="72" borderId="187" xfId="3" applyFont="1" applyFill="1" applyBorder="1" applyAlignment="1" applyProtection="1">
      <alignment horizontal="left" vertical="center" indent="1"/>
      <protection hidden="1"/>
    </xf>
    <xf numFmtId="4" fontId="106" fillId="16" borderId="179" xfId="3" applyNumberFormat="1" applyFont="1" applyFill="1" applyBorder="1" applyAlignment="1" applyProtection="1">
      <alignment vertical="center"/>
      <protection hidden="1"/>
    </xf>
    <xf numFmtId="0" fontId="103" fillId="74" borderId="191" xfId="3" applyFont="1" applyFill="1" applyBorder="1" applyAlignment="1" applyProtection="1">
      <alignment horizontal="left" vertical="center" indent="1"/>
      <protection hidden="1"/>
    </xf>
    <xf numFmtId="177" fontId="103" fillId="16" borderId="196" xfId="3" applyNumberFormat="1" applyFont="1" applyFill="1" applyBorder="1" applyAlignment="1" applyProtection="1">
      <alignment vertical="center"/>
      <protection hidden="1"/>
    </xf>
    <xf numFmtId="9" fontId="103" fillId="74" borderId="191" xfId="1" applyFont="1" applyFill="1" applyBorder="1" applyAlignment="1" applyProtection="1">
      <alignment horizontal="left" vertical="center" indent="1"/>
      <protection hidden="1"/>
    </xf>
    <xf numFmtId="4" fontId="103" fillId="16" borderId="196" xfId="3" applyNumberFormat="1" applyFont="1" applyFill="1" applyBorder="1" applyAlignment="1" applyProtection="1">
      <alignment vertical="center"/>
      <protection hidden="1"/>
    </xf>
    <xf numFmtId="0" fontId="103" fillId="74" borderId="187" xfId="3" applyFont="1" applyFill="1" applyBorder="1" applyAlignment="1" applyProtection="1">
      <alignment horizontal="left" vertical="center" indent="1"/>
      <protection hidden="1"/>
    </xf>
    <xf numFmtId="177" fontId="103" fillId="16" borderId="179" xfId="3" applyNumberFormat="1" applyFont="1" applyFill="1" applyBorder="1" applyAlignment="1" applyProtection="1">
      <alignment vertical="center"/>
      <protection hidden="1"/>
    </xf>
    <xf numFmtId="3" fontId="103" fillId="16" borderId="179" xfId="3" applyNumberFormat="1" applyFont="1" applyFill="1" applyBorder="1" applyAlignment="1" applyProtection="1">
      <alignment vertical="center"/>
      <protection hidden="1"/>
    </xf>
    <xf numFmtId="177" fontId="109" fillId="16" borderId="179" xfId="3" applyNumberFormat="1" applyFont="1" applyFill="1" applyBorder="1" applyAlignment="1" applyProtection="1">
      <alignment vertical="center"/>
      <protection hidden="1"/>
    </xf>
    <xf numFmtId="0" fontId="102" fillId="74" borderId="204" xfId="3" applyFont="1" applyFill="1" applyBorder="1" applyAlignment="1" applyProtection="1">
      <alignment horizontal="right" vertical="center" indent="1"/>
      <protection hidden="1"/>
    </xf>
    <xf numFmtId="4" fontId="103" fillId="16" borderId="205" xfId="3" applyNumberFormat="1" applyFont="1" applyFill="1" applyBorder="1" applyAlignment="1" applyProtection="1">
      <alignment horizontal="right" vertical="center"/>
      <protection hidden="1"/>
    </xf>
    <xf numFmtId="180" fontId="103" fillId="16" borderId="205" xfId="3" applyNumberFormat="1" applyFont="1" applyFill="1" applyBorder="1" applyAlignment="1" applyProtection="1">
      <alignment vertical="center"/>
      <protection hidden="1"/>
    </xf>
    <xf numFmtId="0" fontId="102" fillId="74" borderId="206" xfId="3" applyFont="1" applyFill="1" applyBorder="1" applyAlignment="1" applyProtection="1">
      <alignment horizontal="right" vertical="center" indent="1"/>
      <protection hidden="1"/>
    </xf>
    <xf numFmtId="3" fontId="103" fillId="16" borderId="207" xfId="3" applyNumberFormat="1" applyFont="1" applyFill="1" applyBorder="1" applyAlignment="1" applyProtection="1">
      <alignment horizontal="right" vertical="center"/>
      <protection hidden="1"/>
    </xf>
    <xf numFmtId="180" fontId="103" fillId="16" borderId="207" xfId="3" applyNumberFormat="1" applyFont="1" applyFill="1" applyBorder="1" applyAlignment="1" applyProtection="1">
      <alignment vertical="center"/>
      <protection hidden="1"/>
    </xf>
    <xf numFmtId="177" fontId="103" fillId="16" borderId="207" xfId="3" applyNumberFormat="1" applyFont="1" applyFill="1" applyBorder="1" applyAlignment="1" applyProtection="1">
      <alignment vertical="center"/>
      <protection hidden="1"/>
    </xf>
    <xf numFmtId="0" fontId="102" fillId="74" borderId="208" xfId="3" applyFont="1" applyFill="1" applyBorder="1" applyAlignment="1" applyProtection="1">
      <alignment horizontal="right" vertical="center" indent="1"/>
      <protection hidden="1"/>
    </xf>
    <xf numFmtId="180" fontId="103" fillId="16" borderId="209" xfId="3" applyNumberFormat="1" applyFont="1" applyFill="1" applyBorder="1" applyAlignment="1" applyProtection="1">
      <alignment vertical="center"/>
      <protection hidden="1"/>
    </xf>
    <xf numFmtId="177" fontId="103" fillId="16" borderId="209" xfId="3" applyNumberFormat="1" applyFont="1" applyFill="1" applyBorder="1" applyAlignment="1" applyProtection="1">
      <alignment vertical="center"/>
      <protection hidden="1"/>
    </xf>
    <xf numFmtId="0" fontId="11" fillId="60" borderId="180" xfId="5" applyFont="1" applyFill="1" applyBorder="1" applyAlignment="1">
      <alignment horizontal="center" vertical="center"/>
    </xf>
    <xf numFmtId="0" fontId="11" fillId="60" borderId="180" xfId="5" applyFont="1" applyFill="1" applyBorder="1" applyAlignment="1">
      <alignment horizontal="center" vertical="center" wrapText="1"/>
    </xf>
    <xf numFmtId="0" fontId="11" fillId="60" borderId="180" xfId="5" applyFont="1" applyFill="1" applyBorder="1" applyAlignment="1">
      <alignment horizontal="center" vertical="center" shrinkToFit="1"/>
    </xf>
    <xf numFmtId="0" fontId="11" fillId="60" borderId="180" xfId="5" quotePrefix="1" applyFont="1" applyFill="1" applyBorder="1" applyAlignment="1">
      <alignment horizontal="center" vertical="center" wrapText="1"/>
    </xf>
    <xf numFmtId="165" fontId="11" fillId="60" borderId="180" xfId="5" quotePrefix="1" applyNumberFormat="1" applyFont="1" applyFill="1" applyBorder="1" applyAlignment="1">
      <alignment horizontal="center" vertical="center" wrapText="1"/>
    </xf>
    <xf numFmtId="0" fontId="26" fillId="68" borderId="180" xfId="6" applyFont="1" applyFill="1" applyBorder="1" applyAlignment="1">
      <alignment horizontal="center"/>
    </xf>
    <xf numFmtId="0" fontId="26" fillId="68" borderId="180" xfId="7" applyFont="1" applyFill="1" applyBorder="1" applyAlignment="1">
      <alignment horizontal="left" indent="1"/>
    </xf>
    <xf numFmtId="0" fontId="26" fillId="68" borderId="180" xfId="7" applyFont="1" applyFill="1" applyBorder="1" applyAlignment="1">
      <alignment horizontal="center" shrinkToFit="1"/>
    </xf>
    <xf numFmtId="0" fontId="26" fillId="68" borderId="180" xfId="7" applyFont="1" applyFill="1" applyBorder="1" applyAlignment="1">
      <alignment horizontal="center"/>
    </xf>
    <xf numFmtId="0" fontId="26" fillId="68" borderId="180" xfId="7" applyFont="1" applyFill="1" applyBorder="1" applyAlignment="1" applyProtection="1">
      <alignment horizontal="center"/>
      <protection hidden="1"/>
    </xf>
    <xf numFmtId="0" fontId="26" fillId="68" borderId="180" xfId="5" applyFont="1" applyFill="1" applyBorder="1" applyAlignment="1">
      <alignment horizontal="center"/>
    </xf>
    <xf numFmtId="0" fontId="26" fillId="2" borderId="180" xfId="6" applyFont="1" applyFill="1" applyBorder="1" applyAlignment="1">
      <alignment horizontal="center"/>
    </xf>
    <xf numFmtId="0" fontId="26" fillId="2" borderId="180" xfId="7" applyFont="1" applyFill="1" applyBorder="1" applyAlignment="1">
      <alignment horizontal="left" indent="1"/>
    </xf>
    <xf numFmtId="0" fontId="1" fillId="2" borderId="180" xfId="7" applyFont="1" applyFill="1" applyBorder="1" applyAlignment="1">
      <alignment horizontal="center" shrinkToFit="1"/>
    </xf>
    <xf numFmtId="0" fontId="26" fillId="2" borderId="180" xfId="7" applyFont="1" applyFill="1" applyBorder="1" applyAlignment="1">
      <alignment horizontal="center"/>
    </xf>
    <xf numFmtId="0" fontId="26" fillId="2" borderId="180" xfId="5" applyFont="1" applyFill="1" applyBorder="1" applyAlignment="1">
      <alignment horizontal="center"/>
    </xf>
    <xf numFmtId="0" fontId="26" fillId="2" borderId="180" xfId="8" applyFont="1" applyFill="1" applyBorder="1" applyAlignment="1">
      <alignment horizontal="center"/>
    </xf>
    <xf numFmtId="0" fontId="26" fillId="2" borderId="180" xfId="5" applyFont="1" applyFill="1" applyBorder="1" applyAlignment="1">
      <alignment horizontal="left" indent="1"/>
    </xf>
    <xf numFmtId="0" fontId="26" fillId="2" borderId="180" xfId="5" applyFont="1" applyFill="1" applyBorder="1" applyAlignment="1">
      <alignment horizontal="center" shrinkToFit="1"/>
    </xf>
    <xf numFmtId="0" fontId="3" fillId="2" borderId="180" xfId="5" applyFont="1" applyFill="1" applyBorder="1" applyAlignment="1">
      <alignment horizontal="center"/>
    </xf>
    <xf numFmtId="0" fontId="26" fillId="2" borderId="180" xfId="7" applyFont="1" applyFill="1" applyBorder="1" applyAlignment="1">
      <alignment horizontal="center" shrinkToFit="1"/>
    </xf>
    <xf numFmtId="0" fontId="6" fillId="2" borderId="180" xfId="5" applyFont="1" applyFill="1" applyBorder="1" applyAlignment="1">
      <alignment horizontal="center"/>
    </xf>
    <xf numFmtId="1" fontId="26" fillId="2" borderId="180" xfId="5" applyNumberFormat="1" applyFont="1" applyFill="1" applyBorder="1" applyAlignment="1">
      <alignment horizontal="center"/>
    </xf>
    <xf numFmtId="0" fontId="1" fillId="2" borderId="180" xfId="5" applyFont="1" applyFill="1" applyBorder="1" applyAlignment="1">
      <alignment horizontal="center"/>
    </xf>
    <xf numFmtId="0" fontId="26" fillId="10" borderId="180" xfId="5" applyFont="1" applyFill="1" applyBorder="1" applyAlignment="1" applyProtection="1">
      <alignment horizontal="left" indent="1"/>
      <protection locked="0"/>
    </xf>
    <xf numFmtId="0" fontId="26" fillId="10" borderId="180" xfId="5" applyFont="1" applyFill="1" applyBorder="1" applyAlignment="1" applyProtection="1">
      <alignment horizontal="center"/>
      <protection locked="0"/>
    </xf>
    <xf numFmtId="0" fontId="26" fillId="2" borderId="180" xfId="5" applyFont="1" applyFill="1" applyBorder="1" applyAlignment="1" applyProtection="1">
      <alignment horizontal="center"/>
      <protection locked="0"/>
    </xf>
    <xf numFmtId="0" fontId="0" fillId="2" borderId="180" xfId="0" applyFill="1" applyBorder="1" applyAlignment="1">
      <alignment horizontal="center"/>
    </xf>
    <xf numFmtId="0" fontId="145" fillId="0" borderId="180" xfId="0" applyFont="1" applyBorder="1" applyAlignment="1">
      <alignment horizontal="center"/>
    </xf>
    <xf numFmtId="0" fontId="154" fillId="0" borderId="180" xfId="0" applyFont="1" applyBorder="1" applyAlignment="1">
      <alignment horizontal="left" vertical="center" wrapText="1"/>
    </xf>
    <xf numFmtId="0" fontId="154" fillId="0" borderId="197" xfId="0" applyFont="1" applyBorder="1" applyAlignment="1">
      <alignment vertical="center" wrapText="1"/>
    </xf>
    <xf numFmtId="0" fontId="154" fillId="0" borderId="180" xfId="0" applyFont="1" applyBorder="1" applyAlignment="1">
      <alignment vertical="center" wrapText="1"/>
    </xf>
    <xf numFmtId="0" fontId="178" fillId="62" borderId="180" xfId="0" applyFont="1" applyFill="1" applyBorder="1" applyAlignment="1">
      <alignment horizontal="center" vertical="center" wrapText="1"/>
    </xf>
    <xf numFmtId="9" fontId="154" fillId="0" borderId="180" xfId="0" applyNumberFormat="1" applyFont="1" applyBorder="1" applyAlignment="1">
      <alignment horizontal="center" vertical="center" wrapText="1"/>
    </xf>
    <xf numFmtId="0" fontId="154" fillId="0" borderId="180" xfId="0" applyFont="1" applyBorder="1" applyAlignment="1">
      <alignment horizontal="justify" vertical="center"/>
    </xf>
    <xf numFmtId="3" fontId="154" fillId="0" borderId="180" xfId="0" applyNumberFormat="1" applyFont="1" applyBorder="1" applyAlignment="1">
      <alignment horizontal="center" vertical="center"/>
    </xf>
    <xf numFmtId="0" fontId="154" fillId="0" borderId="180" xfId="0" applyFont="1" applyBorder="1" applyAlignment="1">
      <alignment horizontal="center" vertical="center"/>
    </xf>
    <xf numFmtId="0" fontId="154" fillId="0" borderId="180" xfId="0" applyFont="1" applyBorder="1" applyAlignment="1">
      <alignment horizontal="left" vertical="center"/>
    </xf>
    <xf numFmtId="3" fontId="154" fillId="0" borderId="180" xfId="0" applyNumberFormat="1" applyFont="1" applyBorder="1" applyAlignment="1">
      <alignment horizontal="center" vertical="center" wrapText="1"/>
    </xf>
    <xf numFmtId="0" fontId="154" fillId="0" borderId="180" xfId="0" applyFont="1" applyBorder="1" applyAlignment="1">
      <alignment horizontal="center" vertical="center" wrapText="1"/>
    </xf>
    <xf numFmtId="0" fontId="154" fillId="0" borderId="136" xfId="0" applyFont="1" applyBorder="1" applyAlignment="1">
      <alignment horizontal="left" vertical="center" wrapText="1"/>
    </xf>
    <xf numFmtId="0" fontId="154" fillId="0" borderId="136" xfId="0" applyFont="1" applyBorder="1" applyAlignment="1">
      <alignment horizontal="center" vertical="center" wrapText="1"/>
    </xf>
    <xf numFmtId="0" fontId="154" fillId="0" borderId="180" xfId="0" applyFont="1" applyBorder="1" applyAlignment="1">
      <alignment horizontal="left" vertical="center" wrapText="1" indent="4"/>
    </xf>
    <xf numFmtId="0" fontId="7" fillId="10" borderId="191" xfId="0" applyFont="1" applyFill="1" applyBorder="1" applyAlignment="1" applyProtection="1">
      <alignment horizontal="center"/>
      <protection locked="0"/>
    </xf>
    <xf numFmtId="0" fontId="8" fillId="0" borderId="211" xfId="0" applyFont="1" applyBorder="1" applyAlignment="1">
      <alignment horizontal="center"/>
    </xf>
    <xf numFmtId="0" fontId="8" fillId="0" borderId="211" xfId="0" applyFont="1" applyBorder="1" applyAlignment="1">
      <alignment horizontal="left"/>
    </xf>
    <xf numFmtId="0" fontId="8" fillId="0" borderId="211" xfId="0" applyFont="1" applyBorder="1" applyAlignment="1">
      <alignment horizontal="left" wrapText="1"/>
    </xf>
    <xf numFmtId="0" fontId="8" fillId="0" borderId="212" xfId="0" applyFont="1" applyBorder="1" applyAlignment="1">
      <alignment horizontal="center"/>
    </xf>
    <xf numFmtId="0" fontId="8" fillId="0" borderId="214" xfId="0" applyFont="1" applyBorder="1" applyAlignment="1">
      <alignment horizontal="center"/>
    </xf>
    <xf numFmtId="0" fontId="8" fillId="0" borderId="214" xfId="0" applyFont="1" applyBorder="1" applyAlignment="1">
      <alignment horizontal="left"/>
    </xf>
    <xf numFmtId="0" fontId="8" fillId="0" borderId="214" xfId="0" applyFont="1" applyBorder="1" applyAlignment="1">
      <alignment horizontal="left" wrapText="1"/>
    </xf>
    <xf numFmtId="0" fontId="8" fillId="0" borderId="215" xfId="0" applyFont="1" applyBorder="1" applyAlignment="1">
      <alignment horizontal="left" wrapText="1"/>
    </xf>
    <xf numFmtId="0" fontId="8" fillId="0" borderId="215" xfId="0" applyFont="1" applyBorder="1" applyAlignment="1">
      <alignment horizontal="center" wrapText="1"/>
    </xf>
    <xf numFmtId="0" fontId="8" fillId="0" borderId="215" xfId="0" applyFont="1" applyBorder="1" applyAlignment="1">
      <alignment horizontal="center"/>
    </xf>
    <xf numFmtId="0" fontId="8" fillId="10" borderId="183" xfId="0" applyFont="1" applyFill="1" applyBorder="1" applyAlignment="1">
      <alignment horizontal="left"/>
    </xf>
    <xf numFmtId="0" fontId="8" fillId="10" borderId="213" xfId="0" applyFont="1" applyFill="1" applyBorder="1" applyAlignment="1">
      <alignment horizontal="left"/>
    </xf>
    <xf numFmtId="0" fontId="8" fillId="10" borderId="214" xfId="0" applyFont="1" applyFill="1" applyBorder="1" applyAlignment="1">
      <alignment horizontal="center"/>
    </xf>
    <xf numFmtId="0" fontId="8" fillId="10" borderId="214" xfId="0" applyFont="1" applyFill="1" applyBorder="1" applyAlignment="1">
      <alignment horizontal="left"/>
    </xf>
    <xf numFmtId="0" fontId="8" fillId="10" borderId="214" xfId="0" applyFont="1" applyFill="1" applyBorder="1" applyAlignment="1">
      <alignment horizontal="left" wrapText="1"/>
    </xf>
    <xf numFmtId="0" fontId="8" fillId="10" borderId="215" xfId="0" applyFont="1" applyFill="1" applyBorder="1" applyAlignment="1">
      <alignment horizontal="left" wrapText="1"/>
    </xf>
    <xf numFmtId="0" fontId="8" fillId="0" borderId="218" xfId="0" applyFont="1" applyBorder="1" applyAlignment="1">
      <alignment horizontal="center"/>
    </xf>
    <xf numFmtId="0" fontId="8" fillId="0" borderId="218" xfId="0" applyFont="1" applyBorder="1" applyAlignment="1">
      <alignment horizontal="left"/>
    </xf>
    <xf numFmtId="0" fontId="8" fillId="0" borderId="218" xfId="0" applyFont="1" applyBorder="1" applyAlignment="1">
      <alignment horizontal="left" wrapText="1"/>
    </xf>
    <xf numFmtId="0" fontId="8" fillId="0" borderId="219" xfId="0" applyFont="1" applyBorder="1" applyAlignment="1">
      <alignment horizontal="center"/>
    </xf>
    <xf numFmtId="0" fontId="70" fillId="2" borderId="191" xfId="0" applyFont="1" applyFill="1" applyBorder="1"/>
    <xf numFmtId="3" fontId="70" fillId="2" borderId="191" xfId="0" applyNumberFormat="1" applyFont="1" applyFill="1" applyBorder="1" applyAlignment="1">
      <alignment horizontal="left"/>
    </xf>
    <xf numFmtId="0" fontId="4" fillId="9" borderId="105" xfId="0" applyFont="1" applyFill="1" applyBorder="1" applyAlignment="1">
      <alignment horizontal="center"/>
    </xf>
    <xf numFmtId="167" fontId="0" fillId="9" borderId="105" xfId="0" applyNumberFormat="1" applyFill="1" applyBorder="1" applyAlignment="1">
      <alignment horizontal="center"/>
    </xf>
    <xf numFmtId="0" fontId="0" fillId="9" borderId="105" xfId="0" applyFill="1" applyBorder="1" applyAlignment="1">
      <alignment horizontal="center"/>
    </xf>
    <xf numFmtId="0" fontId="7" fillId="3" borderId="105" xfId="0" applyFont="1" applyFill="1" applyBorder="1" applyAlignment="1">
      <alignment horizontal="center"/>
    </xf>
    <xf numFmtId="167" fontId="7" fillId="3" borderId="105" xfId="0" applyNumberFormat="1" applyFont="1" applyFill="1" applyBorder="1" applyAlignment="1">
      <alignment horizontal="center"/>
    </xf>
    <xf numFmtId="0" fontId="0" fillId="21" borderId="191" xfId="0" applyFill="1" applyBorder="1" applyAlignment="1">
      <alignment vertical="top" wrapText="1"/>
    </xf>
    <xf numFmtId="0" fontId="0" fillId="21" borderId="191" xfId="0" applyFill="1" applyBorder="1" applyAlignment="1">
      <alignment vertical="top"/>
    </xf>
    <xf numFmtId="0" fontId="0" fillId="21" borderId="85" xfId="0" applyFill="1" applyBorder="1" applyAlignment="1">
      <alignment vertical="top" wrapText="1"/>
    </xf>
    <xf numFmtId="0" fontId="0" fillId="21" borderId="85" xfId="0" applyFill="1" applyBorder="1" applyAlignment="1">
      <alignment vertical="top"/>
    </xf>
    <xf numFmtId="0" fontId="4" fillId="21" borderId="195" xfId="0" applyFont="1" applyFill="1" applyBorder="1" applyAlignment="1">
      <alignment horizontal="center" vertical="center"/>
    </xf>
    <xf numFmtId="165" fontId="0" fillId="21" borderId="93" xfId="0" applyNumberFormat="1" applyFill="1" applyBorder="1" applyAlignment="1">
      <alignment horizontal="center" vertical="center"/>
    </xf>
    <xf numFmtId="14" fontId="0" fillId="21" borderId="105" xfId="0" applyNumberFormat="1" applyFill="1" applyBorder="1" applyAlignment="1">
      <alignment horizontal="left" vertical="center" indent="1"/>
    </xf>
    <xf numFmtId="14" fontId="0" fillId="21" borderId="105" xfId="0" applyNumberFormat="1" applyFill="1" applyBorder="1" applyAlignment="1">
      <alignment horizontal="center" vertical="center" wrapText="1"/>
    </xf>
    <xf numFmtId="0" fontId="0" fillId="21" borderId="105" xfId="0" applyFill="1" applyBorder="1" applyAlignment="1">
      <alignment horizontal="left" vertical="center" wrapText="1" indent="1"/>
    </xf>
    <xf numFmtId="0" fontId="0" fillId="21" borderId="103" xfId="0" applyFill="1" applyBorder="1" applyAlignment="1">
      <alignment horizontal="left" vertical="center" indent="1"/>
    </xf>
    <xf numFmtId="0" fontId="0" fillId="21" borderId="105" xfId="0" applyFill="1" applyBorder="1" applyAlignment="1">
      <alignment horizontal="center" vertical="center" wrapText="1"/>
    </xf>
    <xf numFmtId="0" fontId="0" fillId="21" borderId="103" xfId="0" applyFill="1" applyBorder="1" applyAlignment="1">
      <alignment horizontal="left" vertical="center" wrapText="1" indent="1"/>
    </xf>
    <xf numFmtId="0" fontId="0" fillId="21" borderId="105" xfId="0" applyFill="1" applyBorder="1" applyAlignment="1">
      <alignment horizontal="left" vertical="center" indent="1"/>
    </xf>
    <xf numFmtId="14" fontId="0" fillId="21" borderId="110" xfId="0" applyNumberFormat="1" applyFill="1" applyBorder="1" applyAlignment="1">
      <alignment horizontal="left" vertical="center" indent="1"/>
    </xf>
    <xf numFmtId="0" fontId="0" fillId="21" borderId="110" xfId="0" applyFill="1" applyBorder="1" applyAlignment="1">
      <alignment horizontal="center" vertical="center" wrapText="1"/>
    </xf>
    <xf numFmtId="0" fontId="0" fillId="21" borderId="110" xfId="0" applyFill="1" applyBorder="1" applyAlignment="1">
      <alignment horizontal="left" vertical="center" wrapText="1" indent="1"/>
    </xf>
    <xf numFmtId="0" fontId="0" fillId="21" borderId="85" xfId="0" applyFill="1" applyBorder="1" applyAlignment="1">
      <alignment horizontal="center" vertical="top"/>
    </xf>
    <xf numFmtId="14" fontId="0" fillId="21" borderId="105" xfId="0" applyNumberFormat="1" applyFill="1" applyBorder="1" applyAlignment="1">
      <alignment vertical="top"/>
    </xf>
    <xf numFmtId="0" fontId="0" fillId="21" borderId="105" xfId="0" applyFill="1" applyBorder="1" applyAlignment="1">
      <alignment horizontal="center" vertical="top" wrapText="1"/>
    </xf>
    <xf numFmtId="0" fontId="0" fillId="21" borderId="105" xfId="0" applyFill="1" applyBorder="1" applyAlignment="1">
      <alignment horizontal="left" vertical="top" wrapText="1"/>
    </xf>
    <xf numFmtId="0" fontId="0" fillId="21" borderId="105" xfId="0" applyFill="1" applyBorder="1" applyAlignment="1">
      <alignment vertical="top"/>
    </xf>
    <xf numFmtId="0" fontId="0" fillId="21" borderId="110" xfId="0" applyFill="1" applyBorder="1" applyAlignment="1">
      <alignment horizontal="center" vertical="center" wrapText="1"/>
    </xf>
    <xf numFmtId="0" fontId="175" fillId="62" borderId="119" xfId="10" applyFont="1" applyFill="1" applyBorder="1" applyAlignment="1" applyProtection="1">
      <alignment horizontal="center" vertical="center" wrapText="1"/>
      <protection hidden="1"/>
    </xf>
    <xf numFmtId="0" fontId="189" fillId="15" borderId="0" xfId="10" applyFont="1" applyFill="1" applyAlignment="1" applyProtection="1">
      <alignment horizontal="left" vertical="center" wrapText="1"/>
      <protection hidden="1"/>
    </xf>
    <xf numFmtId="0" fontId="189" fillId="15" borderId="114" xfId="10" applyFont="1" applyFill="1" applyBorder="1" applyAlignment="1" applyProtection="1">
      <alignment horizontal="left" vertical="center" wrapText="1"/>
      <protection hidden="1"/>
    </xf>
    <xf numFmtId="0" fontId="35" fillId="50" borderId="119" xfId="10" applyFont="1" applyFill="1" applyBorder="1" applyAlignment="1" applyProtection="1">
      <alignment horizontal="left"/>
      <protection locked="0"/>
    </xf>
    <xf numFmtId="0" fontId="184" fillId="20" borderId="0" xfId="3" applyFont="1" applyFill="1" applyAlignment="1" applyProtection="1">
      <alignment vertical="center"/>
      <protection hidden="1"/>
    </xf>
    <xf numFmtId="0" fontId="25" fillId="16" borderId="120" xfId="3" applyFill="1" applyBorder="1" applyAlignment="1" applyProtection="1">
      <alignment horizontal="right" vertical="center"/>
      <protection hidden="1"/>
    </xf>
    <xf numFmtId="0" fontId="179" fillId="21" borderId="0" xfId="0" applyFont="1" applyFill="1" applyAlignment="1" applyProtection="1">
      <alignment vertical="center"/>
      <protection hidden="1"/>
    </xf>
    <xf numFmtId="0" fontId="183" fillId="21" borderId="0" xfId="0" applyFont="1" applyFill="1" applyAlignment="1" applyProtection="1">
      <alignment horizontal="center" wrapText="1"/>
      <protection hidden="1"/>
    </xf>
    <xf numFmtId="0" fontId="183" fillId="60" borderId="136" xfId="0" applyFont="1" applyFill="1" applyBorder="1" applyAlignment="1" applyProtection="1">
      <alignment horizontal="center" wrapText="1"/>
      <protection hidden="1"/>
    </xf>
    <xf numFmtId="0" fontId="183" fillId="60" borderId="141" xfId="0" applyFont="1" applyFill="1" applyBorder="1" applyAlignment="1" applyProtection="1">
      <alignment horizontal="center" wrapText="1"/>
      <protection hidden="1"/>
    </xf>
    <xf numFmtId="4" fontId="36" fillId="21" borderId="0" xfId="0" applyNumberFormat="1" applyFont="1" applyFill="1" applyAlignment="1" applyProtection="1">
      <alignment horizontal="center" vertical="center"/>
      <protection hidden="1"/>
    </xf>
    <xf numFmtId="3" fontId="36" fillId="21" borderId="0" xfId="0" applyNumberFormat="1" applyFont="1" applyFill="1" applyAlignment="1" applyProtection="1">
      <alignment horizontal="center" vertical="center"/>
      <protection hidden="1"/>
    </xf>
    <xf numFmtId="4" fontId="36" fillId="60" borderId="180" xfId="0" applyNumberFormat="1" applyFont="1" applyFill="1" applyBorder="1" applyAlignment="1" applyProtection="1">
      <alignment horizontal="center" vertical="center"/>
      <protection hidden="1"/>
    </xf>
    <xf numFmtId="3" fontId="36" fillId="60" borderId="180" xfId="0" applyNumberFormat="1" applyFont="1" applyFill="1" applyBorder="1" applyAlignment="1" applyProtection="1">
      <alignment horizontal="center" vertical="center"/>
      <protection hidden="1"/>
    </xf>
    <xf numFmtId="205" fontId="183" fillId="60" borderId="180" xfId="0" applyNumberFormat="1" applyFont="1" applyFill="1" applyBorder="1" applyAlignment="1" applyProtection="1">
      <alignment horizontal="center" vertical="center" wrapText="1"/>
      <protection hidden="1"/>
    </xf>
    <xf numFmtId="166" fontId="25" fillId="16" borderId="0" xfId="3" applyNumberFormat="1" applyFill="1" applyAlignment="1" applyProtection="1">
      <alignment vertical="center"/>
      <protection hidden="1"/>
    </xf>
    <xf numFmtId="0" fontId="143" fillId="21" borderId="0" xfId="0" applyFont="1" applyFill="1" applyProtection="1">
      <protection hidden="1"/>
    </xf>
    <xf numFmtId="0" fontId="148" fillId="21" borderId="0" xfId="0" applyFont="1" applyFill="1" applyProtection="1">
      <protection hidden="1"/>
    </xf>
    <xf numFmtId="0" fontId="25" fillId="64" borderId="126" xfId="3" applyFill="1" applyBorder="1" applyAlignment="1" applyProtection="1">
      <alignment horizontal="right" vertical="center"/>
      <protection hidden="1"/>
    </xf>
    <xf numFmtId="0" fontId="25" fillId="64" borderId="126" xfId="3" applyFill="1" applyBorder="1" applyAlignment="1" applyProtection="1">
      <alignment horizontal="center" vertical="center"/>
      <protection hidden="1"/>
    </xf>
    <xf numFmtId="0" fontId="13" fillId="0" borderId="0" xfId="2" applyProtection="1">
      <protection hidden="1"/>
    </xf>
    <xf numFmtId="0" fontId="25" fillId="16" borderId="0" xfId="3" applyFill="1" applyAlignment="1" applyProtection="1">
      <alignment horizontal="center" vertical="center"/>
      <protection hidden="1"/>
    </xf>
    <xf numFmtId="176" fontId="25" fillId="50" borderId="119" xfId="3" applyNumberFormat="1" applyFill="1" applyBorder="1" applyAlignment="1" applyProtection="1">
      <alignment horizontal="center" vertical="center"/>
      <protection locked="0"/>
    </xf>
    <xf numFmtId="175" fontId="25" fillId="50" borderId="141" xfId="3" applyNumberFormat="1" applyFill="1" applyBorder="1" applyAlignment="1" applyProtection="1">
      <alignment horizontal="center" vertical="center"/>
      <protection locked="0"/>
    </xf>
    <xf numFmtId="0" fontId="25" fillId="51" borderId="119" xfId="3" applyFill="1" applyBorder="1" applyAlignment="1" applyProtection="1">
      <alignment horizontal="center" vertical="center" wrapText="1"/>
      <protection locked="0"/>
    </xf>
    <xf numFmtId="0" fontId="144" fillId="21" borderId="0" xfId="10" applyFont="1" applyFill="1" applyProtection="1">
      <protection hidden="1"/>
    </xf>
    <xf numFmtId="0" fontId="143" fillId="21" borderId="0" xfId="10" applyFont="1" applyFill="1" applyProtection="1">
      <protection hidden="1"/>
    </xf>
    <xf numFmtId="0" fontId="144" fillId="21" borderId="0" xfId="10" applyFont="1" applyFill="1" applyAlignment="1" applyProtection="1">
      <alignment wrapText="1"/>
      <protection hidden="1"/>
    </xf>
    <xf numFmtId="0" fontId="188" fillId="62" borderId="126" xfId="10" applyFont="1" applyFill="1" applyBorder="1" applyAlignment="1" applyProtection="1">
      <alignment horizontal="center"/>
      <protection hidden="1"/>
    </xf>
    <xf numFmtId="0" fontId="45" fillId="62" borderId="119" xfId="10" applyFont="1" applyFill="1" applyBorder="1" applyAlignment="1" applyProtection="1">
      <alignment horizontal="left"/>
      <protection hidden="1"/>
    </xf>
    <xf numFmtId="0" fontId="143" fillId="21" borderId="23" xfId="10" applyFont="1" applyFill="1" applyBorder="1" applyProtection="1">
      <protection hidden="1"/>
    </xf>
    <xf numFmtId="3" fontId="217" fillId="49" borderId="159" xfId="3" applyNumberFormat="1" applyFont="1" applyFill="1" applyBorder="1" applyAlignment="1" applyProtection="1">
      <alignment horizontal="center" vertical="center" wrapText="1"/>
      <protection hidden="1"/>
    </xf>
    <xf numFmtId="0" fontId="108" fillId="16" borderId="0" xfId="3" applyFont="1" applyFill="1" applyAlignment="1" applyProtection="1">
      <alignment vertical="center"/>
      <protection hidden="1"/>
    </xf>
    <xf numFmtId="0" fontId="95" fillId="18" borderId="0" xfId="3" applyFont="1" applyFill="1" applyAlignment="1" applyProtection="1">
      <alignment horizontal="center" vertical="center" wrapText="1"/>
      <protection hidden="1"/>
    </xf>
    <xf numFmtId="4" fontId="95" fillId="18" borderId="79" xfId="3" applyNumberFormat="1" applyFont="1" applyFill="1" applyBorder="1" applyAlignment="1" applyProtection="1">
      <alignment horizontal="center" vertical="center" wrapText="1"/>
      <protection hidden="1"/>
    </xf>
    <xf numFmtId="3" fontId="95" fillId="18" borderId="79" xfId="3" applyNumberFormat="1" applyFont="1" applyFill="1" applyBorder="1" applyAlignment="1" applyProtection="1">
      <alignment horizontal="center" vertical="center" wrapText="1"/>
      <protection hidden="1"/>
    </xf>
    <xf numFmtId="0" fontId="95" fillId="18" borderId="106" xfId="3" applyFont="1" applyFill="1" applyBorder="1" applyAlignment="1" applyProtection="1">
      <alignment horizontal="center" vertical="center" wrapText="1"/>
      <protection hidden="1"/>
    </xf>
    <xf numFmtId="0" fontId="90" fillId="16" borderId="0" xfId="3" applyFont="1" applyFill="1" applyAlignment="1" applyProtection="1">
      <alignment vertical="center"/>
      <protection hidden="1"/>
    </xf>
    <xf numFmtId="3" fontId="95" fillId="18" borderId="107" xfId="3" applyNumberFormat="1" applyFont="1" applyFill="1" applyBorder="1" applyAlignment="1" applyProtection="1">
      <alignment horizontal="center" vertical="center" wrapText="1"/>
      <protection hidden="1"/>
    </xf>
    <xf numFmtId="4" fontId="95" fillId="18" borderId="107" xfId="3" applyNumberFormat="1" applyFont="1" applyFill="1" applyBorder="1" applyAlignment="1" applyProtection="1">
      <alignment horizontal="center" vertical="center" wrapText="1"/>
      <protection hidden="1"/>
    </xf>
    <xf numFmtId="0" fontId="25" fillId="69" borderId="112" xfId="3" applyFill="1" applyBorder="1" applyAlignment="1" applyProtection="1">
      <alignment horizontal="center" vertical="center"/>
      <protection locked="0"/>
    </xf>
    <xf numFmtId="0" fontId="90" fillId="51" borderId="135" xfId="3" applyFont="1" applyFill="1" applyBorder="1" applyAlignment="1" applyProtection="1">
      <alignment horizontal="center" vertical="center" wrapText="1"/>
      <protection locked="0"/>
    </xf>
    <xf numFmtId="0" fontId="25" fillId="69" borderId="146" xfId="3" applyFill="1" applyBorder="1" applyAlignment="1" applyProtection="1">
      <alignment horizontal="center" vertical="center"/>
      <protection locked="0"/>
    </xf>
    <xf numFmtId="0" fontId="90" fillId="51" borderId="164" xfId="3" applyFont="1" applyFill="1" applyBorder="1" applyAlignment="1" applyProtection="1">
      <alignment horizontal="center" vertical="center" wrapText="1"/>
      <protection locked="0"/>
    </xf>
    <xf numFmtId="0" fontId="90" fillId="51" borderId="161" xfId="3" applyFont="1" applyFill="1" applyBorder="1" applyAlignment="1" applyProtection="1">
      <alignment horizontal="center" vertical="center" wrapText="1"/>
      <protection locked="0"/>
    </xf>
    <xf numFmtId="0" fontId="35" fillId="21" borderId="0" xfId="0" applyFont="1" applyFill="1" applyProtection="1">
      <protection hidden="1"/>
    </xf>
    <xf numFmtId="0" fontId="149" fillId="49" borderId="180" xfId="0" applyFont="1" applyFill="1" applyBorder="1" applyAlignment="1" applyProtection="1">
      <alignment horizontal="center" vertical="center" wrapText="1"/>
      <protection hidden="1"/>
    </xf>
    <xf numFmtId="0" fontId="150" fillId="49" borderId="180" xfId="0" applyFont="1" applyFill="1" applyBorder="1" applyAlignment="1" applyProtection="1">
      <alignment horizontal="center" vertical="center" wrapText="1"/>
      <protection hidden="1"/>
    </xf>
    <xf numFmtId="0" fontId="150" fillId="49" borderId="180" xfId="0" applyFont="1" applyFill="1" applyBorder="1" applyAlignment="1" applyProtection="1">
      <alignment horizontal="center" vertical="center"/>
      <protection hidden="1"/>
    </xf>
    <xf numFmtId="0" fontId="179" fillId="62" borderId="180" xfId="0" applyFont="1" applyFill="1" applyBorder="1" applyAlignment="1" applyProtection="1">
      <alignment horizontal="center" vertical="center"/>
      <protection hidden="1"/>
    </xf>
    <xf numFmtId="3" fontId="35" fillId="49" borderId="136" xfId="0" applyNumberFormat="1" applyFont="1" applyFill="1" applyBorder="1" applyAlignment="1" applyProtection="1">
      <alignment horizontal="center" vertical="center"/>
      <protection hidden="1"/>
    </xf>
    <xf numFmtId="0" fontId="35" fillId="50" borderId="180" xfId="0" applyFont="1" applyFill="1" applyBorder="1" applyAlignment="1" applyProtection="1">
      <alignment horizontal="center" vertical="center" wrapText="1"/>
      <protection hidden="1"/>
    </xf>
    <xf numFmtId="3" fontId="35" fillId="49" borderId="79" xfId="0" applyNumberFormat="1" applyFont="1" applyFill="1" applyBorder="1" applyAlignment="1" applyProtection="1">
      <alignment horizontal="center" vertical="center"/>
      <protection hidden="1"/>
    </xf>
    <xf numFmtId="3" fontId="35" fillId="50" borderId="180" xfId="0" applyNumberFormat="1" applyFont="1" applyFill="1" applyBorder="1" applyAlignment="1" applyProtection="1">
      <alignment horizontal="center" vertical="center" wrapText="1"/>
      <protection hidden="1"/>
    </xf>
    <xf numFmtId="3" fontId="35" fillId="49" borderId="197" xfId="0" applyNumberFormat="1" applyFont="1" applyFill="1" applyBorder="1" applyAlignment="1" applyProtection="1">
      <alignment horizontal="center" vertical="center"/>
      <protection hidden="1"/>
    </xf>
    <xf numFmtId="0" fontId="35" fillId="50" borderId="180" xfId="0" applyFont="1" applyFill="1" applyBorder="1" applyAlignment="1" applyProtection="1">
      <alignment horizontal="left" vertical="center" wrapText="1"/>
      <protection locked="0"/>
    </xf>
    <xf numFmtId="0" fontId="35" fillId="50" borderId="180" xfId="0" applyFont="1" applyFill="1" applyBorder="1" applyAlignment="1" applyProtection="1">
      <alignment horizontal="center" vertical="center"/>
      <protection locked="0"/>
    </xf>
    <xf numFmtId="196" fontId="35" fillId="50" borderId="180" xfId="0" applyNumberFormat="1" applyFont="1" applyFill="1" applyBorder="1" applyAlignment="1" applyProtection="1">
      <alignment horizontal="center" vertical="center"/>
      <protection locked="0"/>
    </xf>
    <xf numFmtId="0" fontId="35" fillId="50" borderId="179" xfId="0" applyFont="1" applyFill="1" applyBorder="1" applyAlignment="1" applyProtection="1">
      <alignment horizontal="center" vertical="center"/>
      <protection locked="0"/>
    </xf>
    <xf numFmtId="0" fontId="35" fillId="50" borderId="180" xfId="0" applyFont="1" applyFill="1" applyBorder="1" applyAlignment="1" applyProtection="1">
      <alignment horizontal="center" vertical="center" wrapText="1"/>
      <protection locked="0"/>
    </xf>
    <xf numFmtId="0" fontId="0" fillId="21" borderId="110" xfId="0" applyFill="1" applyBorder="1" applyAlignment="1">
      <alignment horizontal="center" vertical="center" wrapText="1"/>
    </xf>
    <xf numFmtId="0" fontId="0" fillId="21" borderId="110" xfId="0" applyFill="1" applyBorder="1" applyAlignment="1">
      <alignment horizontal="center" vertical="center" wrapText="1"/>
    </xf>
    <xf numFmtId="14" fontId="0" fillId="21" borderId="86" xfId="0" applyNumberFormat="1" applyFill="1" applyBorder="1" applyAlignment="1">
      <alignment horizontal="left" vertical="center" wrapText="1" indent="1"/>
    </xf>
    <xf numFmtId="0" fontId="37" fillId="57" borderId="8" xfId="3" applyFont="1" applyFill="1" applyBorder="1" applyAlignment="1" applyProtection="1">
      <alignment horizontal="center" vertical="center" wrapText="1"/>
      <protection hidden="1"/>
    </xf>
    <xf numFmtId="0" fontId="37" fillId="57" borderId="38" xfId="3" applyFont="1" applyFill="1" applyBorder="1" applyAlignment="1" applyProtection="1">
      <alignment horizontal="center" vertical="center" wrapText="1"/>
      <protection hidden="1"/>
    </xf>
    <xf numFmtId="0" fontId="35" fillId="2" borderId="140" xfId="0" applyFont="1" applyFill="1" applyBorder="1" applyAlignment="1">
      <alignment horizontal="left" vertical="top"/>
    </xf>
    <xf numFmtId="0" fontId="35" fillId="2" borderId="129" xfId="0" applyFont="1" applyFill="1" applyBorder="1" applyAlignment="1">
      <alignment horizontal="left" vertical="top"/>
    </xf>
    <xf numFmtId="0" fontId="35" fillId="2" borderId="82" xfId="0" applyFont="1" applyFill="1" applyBorder="1" applyAlignment="1">
      <alignment horizontal="left" vertical="top"/>
    </xf>
    <xf numFmtId="0" fontId="35" fillId="0" borderId="0" xfId="0" applyFont="1" applyAlignment="1">
      <alignment horizontal="left" vertical="top" wrapText="1"/>
    </xf>
    <xf numFmtId="0" fontId="35" fillId="0" borderId="0" xfId="0" applyFont="1" applyAlignment="1">
      <alignment horizontal="left" wrapText="1"/>
    </xf>
    <xf numFmtId="0" fontId="147" fillId="2" borderId="137" xfId="0" applyFont="1" applyFill="1" applyBorder="1" applyAlignment="1">
      <alignment horizontal="left" indent="1"/>
    </xf>
    <xf numFmtId="0" fontId="147" fillId="2" borderId="138" xfId="0" applyFont="1" applyFill="1" applyBorder="1" applyAlignment="1">
      <alignment horizontal="left" indent="1"/>
    </xf>
    <xf numFmtId="0" fontId="147" fillId="2" borderId="139" xfId="0" applyFont="1" applyFill="1" applyBorder="1" applyAlignment="1">
      <alignment horizontal="left" indent="1"/>
    </xf>
    <xf numFmtId="0" fontId="147" fillId="2" borderId="127" xfId="0" applyFont="1" applyFill="1" applyBorder="1" applyAlignment="1">
      <alignment horizontal="left" indent="1"/>
    </xf>
    <xf numFmtId="0" fontId="47" fillId="0" borderId="0" xfId="0" applyFont="1" applyAlignment="1">
      <alignment horizontal="left" vertical="top" wrapText="1"/>
    </xf>
    <xf numFmtId="0" fontId="147" fillId="2" borderId="123" xfId="0" applyFont="1" applyFill="1" applyBorder="1" applyAlignment="1">
      <alignment horizontal="left" indent="1"/>
    </xf>
    <xf numFmtId="0" fontId="147" fillId="2" borderId="124" xfId="0" applyFont="1" applyFill="1" applyBorder="1" applyAlignment="1">
      <alignment horizontal="left" indent="1"/>
    </xf>
    <xf numFmtId="0" fontId="147" fillId="2" borderId="6" xfId="0" applyFont="1" applyFill="1" applyBorder="1" applyAlignment="1">
      <alignment horizontal="left" indent="1"/>
    </xf>
    <xf numFmtId="0" fontId="147" fillId="2" borderId="7" xfId="0" applyFont="1" applyFill="1" applyBorder="1" applyAlignment="1">
      <alignment horizontal="left" indent="1"/>
    </xf>
    <xf numFmtId="0" fontId="172" fillId="0" borderId="0" xfId="0" applyFont="1" applyAlignment="1">
      <alignment horizontal="left" vertical="top" wrapText="1"/>
    </xf>
    <xf numFmtId="0" fontId="172" fillId="0" borderId="114" xfId="0" applyFont="1" applyBorder="1" applyAlignment="1">
      <alignment horizontal="left" wrapText="1"/>
    </xf>
    <xf numFmtId="0" fontId="147" fillId="0" borderId="120" xfId="0" applyFont="1" applyBorder="1" applyAlignment="1">
      <alignment horizontal="left" vertical="center" wrapText="1"/>
    </xf>
    <xf numFmtId="0" fontId="147" fillId="0" borderId="132" xfId="0" applyFont="1" applyBorder="1" applyAlignment="1">
      <alignment horizontal="left" vertical="center" wrapText="1"/>
    </xf>
    <xf numFmtId="0" fontId="150" fillId="0" borderId="0" xfId="0" applyFont="1" applyAlignment="1">
      <alignment horizontal="left"/>
    </xf>
    <xf numFmtId="0" fontId="147" fillId="0" borderId="120" xfId="0" applyFont="1" applyBorder="1" applyAlignment="1">
      <alignment horizontal="left" vertical="center"/>
    </xf>
    <xf numFmtId="0" fontId="147" fillId="0" borderId="126" xfId="3" applyFont="1" applyBorder="1" applyAlignment="1" applyProtection="1">
      <alignment horizontal="left" wrapText="1"/>
      <protection hidden="1"/>
    </xf>
    <xf numFmtId="0" fontId="13" fillId="0" borderId="0" xfId="2" applyAlignment="1">
      <alignment horizontal="left"/>
    </xf>
    <xf numFmtId="0" fontId="158" fillId="23" borderId="126" xfId="3" applyFont="1" applyFill="1" applyBorder="1" applyAlignment="1" applyProtection="1">
      <alignment horizontal="left" wrapText="1"/>
      <protection hidden="1"/>
    </xf>
    <xf numFmtId="0" fontId="147" fillId="0" borderId="114" xfId="3" applyFont="1" applyBorder="1" applyAlignment="1" applyProtection="1">
      <alignment horizontal="left" wrapText="1"/>
      <protection hidden="1"/>
    </xf>
    <xf numFmtId="0" fontId="147" fillId="0" borderId="119" xfId="0" applyFont="1" applyBorder="1" applyAlignment="1">
      <alignment horizontal="left" vertical="center" wrapText="1"/>
    </xf>
    <xf numFmtId="0" fontId="147" fillId="0" borderId="118" xfId="0" applyFont="1" applyBorder="1" applyAlignment="1">
      <alignment horizontal="left" vertical="center" wrapText="1"/>
    </xf>
    <xf numFmtId="0" fontId="13" fillId="0" borderId="119" xfId="2" applyBorder="1" applyAlignment="1">
      <alignment horizontal="left" vertical="center" wrapText="1"/>
    </xf>
    <xf numFmtId="0" fontId="13" fillId="0" borderId="118" xfId="2" applyBorder="1" applyAlignment="1">
      <alignment horizontal="left" vertical="center" wrapText="1"/>
    </xf>
    <xf numFmtId="0" fontId="47" fillId="54" borderId="119" xfId="0" applyFont="1" applyFill="1" applyBorder="1" applyAlignment="1">
      <alignment horizontal="left" vertical="center"/>
    </xf>
    <xf numFmtId="0" fontId="47" fillId="54" borderId="118" xfId="0" applyFont="1" applyFill="1" applyBorder="1" applyAlignment="1">
      <alignment horizontal="left" vertical="center"/>
    </xf>
    <xf numFmtId="0" fontId="191" fillId="0" borderId="120" xfId="0" applyFont="1" applyBorder="1" applyAlignment="1">
      <alignment horizontal="left" vertical="center" wrapText="1"/>
    </xf>
    <xf numFmtId="0" fontId="150" fillId="0" borderId="0" xfId="0" applyFont="1" applyAlignment="1">
      <alignment horizontal="left" wrapText="1"/>
    </xf>
    <xf numFmtId="0" fontId="172" fillId="0" borderId="0" xfId="0" applyFont="1" applyAlignment="1">
      <alignment horizontal="left" wrapText="1"/>
    </xf>
    <xf numFmtId="0" fontId="175" fillId="63" borderId="136" xfId="3" applyFont="1" applyFill="1" applyBorder="1" applyAlignment="1" applyProtection="1">
      <alignment horizontal="center" vertical="center" textRotation="90" wrapText="1"/>
      <protection hidden="1"/>
    </xf>
    <xf numFmtId="0" fontId="175" fillId="63" borderId="79" xfId="3" applyFont="1" applyFill="1" applyBorder="1" applyAlignment="1" applyProtection="1">
      <alignment horizontal="center" vertical="center" textRotation="90" wrapText="1"/>
      <protection hidden="1"/>
    </xf>
    <xf numFmtId="0" fontId="175" fillId="63" borderId="132" xfId="3" applyFont="1" applyFill="1" applyBorder="1" applyAlignment="1" applyProtection="1">
      <alignment horizontal="center" vertical="center" textRotation="90" wrapText="1"/>
      <protection hidden="1"/>
    </xf>
    <xf numFmtId="0" fontId="148" fillId="16" borderId="0" xfId="3" applyFont="1" applyFill="1" applyAlignment="1" applyProtection="1">
      <alignment horizontal="left" vertical="center" wrapText="1"/>
      <protection hidden="1"/>
    </xf>
    <xf numFmtId="0" fontId="179" fillId="60" borderId="180" xfId="0" applyFont="1" applyFill="1" applyBorder="1" applyAlignment="1" applyProtection="1">
      <alignment horizontal="center" vertical="center" wrapText="1"/>
      <protection hidden="1"/>
    </xf>
    <xf numFmtId="0" fontId="184" fillId="20" borderId="114" xfId="3" applyFont="1" applyFill="1" applyBorder="1" applyAlignment="1" applyProtection="1">
      <alignment horizontal="center" vertical="center"/>
      <protection hidden="1"/>
    </xf>
    <xf numFmtId="0" fontId="179" fillId="60" borderId="132" xfId="0" applyFont="1" applyFill="1" applyBorder="1" applyAlignment="1" applyProtection="1">
      <alignment horizontal="center" vertical="center"/>
      <protection hidden="1"/>
    </xf>
    <xf numFmtId="0" fontId="179" fillId="60" borderId="131" xfId="0" applyFont="1" applyFill="1" applyBorder="1" applyAlignment="1" applyProtection="1">
      <alignment horizontal="center" vertical="center"/>
      <protection hidden="1"/>
    </xf>
    <xf numFmtId="205" fontId="183" fillId="60" borderId="180" xfId="0" applyNumberFormat="1" applyFont="1" applyFill="1" applyBorder="1" applyAlignment="1" applyProtection="1">
      <alignment horizontal="center" vertical="center" wrapText="1"/>
      <protection hidden="1"/>
    </xf>
    <xf numFmtId="0" fontId="184" fillId="20" borderId="0" xfId="3" applyFont="1" applyFill="1" applyAlignment="1" applyProtection="1">
      <alignment horizontal="center" vertical="center"/>
      <protection hidden="1"/>
    </xf>
    <xf numFmtId="0" fontId="35" fillId="50" borderId="119" xfId="10" applyFont="1" applyFill="1" applyBorder="1" applyAlignment="1" applyProtection="1">
      <alignment horizontal="left"/>
      <protection locked="0"/>
    </xf>
    <xf numFmtId="0" fontId="35" fillId="50" borderId="126" xfId="10" applyFont="1" applyFill="1" applyBorder="1" applyAlignment="1" applyProtection="1">
      <alignment horizontal="left"/>
      <protection locked="0"/>
    </xf>
    <xf numFmtId="0" fontId="175" fillId="60" borderId="136" xfId="10" applyFont="1" applyFill="1" applyBorder="1" applyAlignment="1" applyProtection="1">
      <alignment horizontal="center" vertical="center" textRotation="90"/>
      <protection hidden="1"/>
    </xf>
    <xf numFmtId="0" fontId="175" fillId="60" borderId="79" xfId="10" applyFont="1" applyFill="1" applyBorder="1" applyAlignment="1" applyProtection="1">
      <alignment horizontal="center" vertical="center" textRotation="90"/>
      <protection hidden="1"/>
    </xf>
    <xf numFmtId="0" fontId="175" fillId="60" borderId="132" xfId="10" applyFont="1" applyFill="1" applyBorder="1" applyAlignment="1" applyProtection="1">
      <alignment horizontal="center" vertical="center" textRotation="90"/>
      <protection hidden="1"/>
    </xf>
    <xf numFmtId="0" fontId="175" fillId="62" borderId="119" xfId="10" applyFont="1" applyFill="1" applyBorder="1" applyAlignment="1" applyProtection="1">
      <alignment horizontal="center" vertical="center" wrapText="1"/>
      <protection hidden="1"/>
    </xf>
    <xf numFmtId="0" fontId="175" fillId="62" borderId="126" xfId="10" applyFont="1" applyFill="1" applyBorder="1" applyAlignment="1" applyProtection="1">
      <alignment horizontal="center" vertical="center" wrapText="1"/>
      <protection hidden="1"/>
    </xf>
    <xf numFmtId="0" fontId="189" fillId="15" borderId="0" xfId="10" applyFont="1" applyFill="1" applyAlignment="1" applyProtection="1">
      <alignment horizontal="left" vertical="center" wrapText="1"/>
      <protection hidden="1"/>
    </xf>
    <xf numFmtId="0" fontId="189" fillId="15" borderId="114" xfId="10" applyFont="1" applyFill="1" applyBorder="1" applyAlignment="1" applyProtection="1">
      <alignment horizontal="left" vertical="center" wrapText="1"/>
      <protection hidden="1"/>
    </xf>
    <xf numFmtId="0" fontId="175" fillId="60" borderId="136" xfId="10" applyFont="1" applyFill="1" applyBorder="1" applyAlignment="1" applyProtection="1">
      <alignment horizontal="center" vertical="center" textRotation="90" wrapText="1"/>
      <protection hidden="1"/>
    </xf>
    <xf numFmtId="0" fontId="175" fillId="60" borderId="23" xfId="10" applyFont="1" applyFill="1" applyBorder="1" applyAlignment="1" applyProtection="1">
      <alignment horizontal="center" vertical="center" textRotation="90"/>
      <protection hidden="1"/>
    </xf>
    <xf numFmtId="0" fontId="175" fillId="60" borderId="0" xfId="10" applyFont="1" applyFill="1" applyAlignment="1" applyProtection="1">
      <alignment horizontal="center" vertical="center" textRotation="90"/>
      <protection hidden="1"/>
    </xf>
    <xf numFmtId="0" fontId="203" fillId="21" borderId="0" xfId="10" applyFont="1" applyFill="1" applyAlignment="1" applyProtection="1">
      <alignment horizontal="left" wrapText="1"/>
      <protection hidden="1"/>
    </xf>
    <xf numFmtId="0" fontId="187" fillId="66" borderId="140" xfId="3" applyFont="1" applyFill="1" applyBorder="1" applyAlignment="1" applyProtection="1">
      <alignment horizontal="center" vertical="center" wrapText="1"/>
      <protection hidden="1"/>
    </xf>
    <xf numFmtId="0" fontId="187" fillId="66" borderId="82" xfId="3" applyFont="1" applyFill="1" applyBorder="1" applyAlignment="1" applyProtection="1">
      <alignment horizontal="center" vertical="center" wrapText="1"/>
      <protection hidden="1"/>
    </xf>
    <xf numFmtId="0" fontId="186" fillId="65" borderId="143" xfId="3" applyFont="1" applyFill="1" applyBorder="1" applyAlignment="1" applyProtection="1">
      <alignment horizontal="center" vertical="center" wrapText="1"/>
      <protection hidden="1"/>
    </xf>
    <xf numFmtId="0" fontId="186" fillId="65" borderId="81" xfId="3" applyFont="1" applyFill="1" applyBorder="1" applyAlignment="1" applyProtection="1">
      <alignment horizontal="center" vertical="center" wrapText="1"/>
      <protection hidden="1"/>
    </xf>
    <xf numFmtId="0" fontId="175" fillId="63" borderId="136" xfId="3" applyFont="1" applyFill="1" applyBorder="1" applyAlignment="1" applyProtection="1">
      <alignment horizontal="center" vertical="center" textRotation="90"/>
      <protection hidden="1"/>
    </xf>
    <xf numFmtId="0" fontId="175" fillId="63" borderId="79" xfId="3" applyFont="1" applyFill="1" applyBorder="1" applyAlignment="1" applyProtection="1">
      <alignment horizontal="center" vertical="center" textRotation="90"/>
      <protection hidden="1"/>
    </xf>
    <xf numFmtId="0" fontId="175" fillId="63" borderId="80" xfId="3" applyFont="1" applyFill="1" applyBorder="1" applyAlignment="1" applyProtection="1">
      <alignment horizontal="center" vertical="center" textRotation="90"/>
      <protection hidden="1"/>
    </xf>
    <xf numFmtId="0" fontId="187" fillId="64" borderId="144" xfId="3" applyFont="1" applyFill="1" applyBorder="1" applyAlignment="1" applyProtection="1">
      <alignment horizontal="center" vertical="center" wrapText="1"/>
      <protection hidden="1"/>
    </xf>
    <xf numFmtId="0" fontId="187" fillId="64" borderId="23" xfId="3" applyFont="1" applyFill="1" applyBorder="1" applyAlignment="1" applyProtection="1">
      <alignment horizontal="center" vertical="center" wrapText="1"/>
      <protection hidden="1"/>
    </xf>
    <xf numFmtId="0" fontId="187" fillId="64" borderId="138" xfId="3" applyFont="1" applyFill="1" applyBorder="1" applyAlignment="1" applyProtection="1">
      <alignment horizontal="center" vertical="center" wrapText="1"/>
      <protection hidden="1"/>
    </xf>
    <xf numFmtId="0" fontId="51" fillId="8" borderId="53" xfId="0" applyFont="1" applyFill="1" applyBorder="1" applyAlignment="1">
      <alignment horizontal="center" vertical="center" textRotation="90"/>
    </xf>
    <xf numFmtId="0" fontId="51" fillId="8" borderId="54" xfId="0" applyFont="1" applyFill="1" applyBorder="1" applyAlignment="1">
      <alignment horizontal="center" vertical="center" textRotation="90"/>
    </xf>
    <xf numFmtId="0" fontId="51" fillId="8" borderId="55" xfId="0" applyFont="1" applyFill="1" applyBorder="1" applyAlignment="1">
      <alignment horizontal="center" vertical="center" textRotation="90"/>
    </xf>
    <xf numFmtId="165" fontId="35" fillId="5" borderId="179" xfId="0" applyNumberFormat="1" applyFont="1" applyFill="1" applyBorder="1" applyAlignment="1">
      <alignment horizontal="center"/>
    </xf>
    <xf numFmtId="165" fontId="35" fillId="5" borderId="187" xfId="0" applyNumberFormat="1" applyFont="1" applyFill="1" applyBorder="1" applyAlignment="1">
      <alignment horizontal="center"/>
    </xf>
    <xf numFmtId="165" fontId="35" fillId="5" borderId="177" xfId="0" applyNumberFormat="1" applyFont="1" applyFill="1" applyBorder="1" applyAlignment="1">
      <alignment horizontal="center"/>
    </xf>
    <xf numFmtId="0" fontId="35" fillId="10" borderId="180" xfId="0" applyFont="1" applyFill="1" applyBorder="1" applyAlignment="1" applyProtection="1">
      <alignment horizontal="center"/>
      <protection locked="0"/>
    </xf>
    <xf numFmtId="0" fontId="35" fillId="10" borderId="180" xfId="0" applyFont="1" applyFill="1" applyBorder="1" applyAlignment="1" applyProtection="1">
      <alignment horizontal="left" indent="1"/>
      <protection locked="0"/>
    </xf>
    <xf numFmtId="3" fontId="35" fillId="10" borderId="180" xfId="0" applyNumberFormat="1" applyFont="1" applyFill="1" applyBorder="1" applyAlignment="1" applyProtection="1">
      <alignment horizontal="center"/>
      <protection locked="0"/>
    </xf>
    <xf numFmtId="0" fontId="4" fillId="2" borderId="0" xfId="0" applyFont="1" applyFill="1" applyAlignment="1">
      <alignment horizontal="center"/>
    </xf>
    <xf numFmtId="0" fontId="35" fillId="10" borderId="180" xfId="0" applyFont="1" applyFill="1" applyBorder="1" applyAlignment="1">
      <alignment horizontal="left" indent="1"/>
    </xf>
    <xf numFmtId="0" fontId="35" fillId="10" borderId="180" xfId="0" applyFont="1" applyFill="1" applyBorder="1" applyAlignment="1">
      <alignment horizontal="center"/>
    </xf>
    <xf numFmtId="3" fontId="35" fillId="5" borderId="179" xfId="0" applyNumberFormat="1" applyFont="1" applyFill="1" applyBorder="1" applyAlignment="1">
      <alignment horizontal="center"/>
    </xf>
    <xf numFmtId="3" fontId="35" fillId="5" borderId="187" xfId="0" applyNumberFormat="1" applyFont="1" applyFill="1" applyBorder="1" applyAlignment="1">
      <alignment horizontal="center"/>
    </xf>
    <xf numFmtId="3" fontId="35" fillId="5" borderId="177" xfId="0" applyNumberFormat="1" applyFont="1" applyFill="1" applyBorder="1" applyAlignment="1">
      <alignment horizontal="center"/>
    </xf>
    <xf numFmtId="1" fontId="51" fillId="8" borderId="26" xfId="0" applyNumberFormat="1" applyFont="1" applyFill="1" applyBorder="1" applyAlignment="1">
      <alignment horizontal="center"/>
    </xf>
    <xf numFmtId="1" fontId="51" fillId="8" borderId="44" xfId="0" applyNumberFormat="1" applyFont="1" applyFill="1" applyBorder="1" applyAlignment="1">
      <alignment horizontal="center"/>
    </xf>
    <xf numFmtId="1" fontId="51" fillId="8" borderId="40" xfId="0" applyNumberFormat="1" applyFont="1" applyFill="1" applyBorder="1" applyAlignment="1">
      <alignment horizontal="center"/>
    </xf>
    <xf numFmtId="1" fontId="51" fillId="8" borderId="29" xfId="0" applyNumberFormat="1" applyFont="1" applyFill="1" applyBorder="1" applyAlignment="1">
      <alignment horizontal="center"/>
    </xf>
    <xf numFmtId="1" fontId="51" fillId="8" borderId="45" xfId="0" applyNumberFormat="1" applyFont="1" applyFill="1" applyBorder="1" applyAlignment="1">
      <alignment horizontal="center"/>
    </xf>
    <xf numFmtId="1" fontId="51" fillId="8" borderId="42" xfId="0" applyNumberFormat="1" applyFont="1" applyFill="1" applyBorder="1" applyAlignment="1">
      <alignment horizontal="center"/>
    </xf>
    <xf numFmtId="0" fontId="51" fillId="8" borderId="29" xfId="0" applyFont="1" applyFill="1" applyBorder="1" applyAlignment="1">
      <alignment horizontal="center"/>
    </xf>
    <xf numFmtId="0" fontId="51" fillId="8" borderId="45" xfId="0" applyFont="1" applyFill="1" applyBorder="1" applyAlignment="1">
      <alignment horizontal="center"/>
    </xf>
    <xf numFmtId="0" fontId="51" fillId="8" borderId="42" xfId="0" applyFont="1" applyFill="1" applyBorder="1" applyAlignment="1">
      <alignment horizontal="center"/>
    </xf>
    <xf numFmtId="3" fontId="35" fillId="10" borderId="180" xfId="0" applyNumberFormat="1" applyFont="1" applyFill="1" applyBorder="1" applyAlignment="1">
      <alignment horizontal="center"/>
    </xf>
    <xf numFmtId="0" fontId="52" fillId="8" borderId="32" xfId="0" applyFont="1" applyFill="1" applyBorder="1" applyAlignment="1">
      <alignment horizontal="center"/>
    </xf>
    <xf numFmtId="0" fontId="52" fillId="8" borderId="52" xfId="0" applyFont="1" applyFill="1" applyBorder="1" applyAlignment="1">
      <alignment horizontal="center"/>
    </xf>
    <xf numFmtId="0" fontId="52" fillId="8" borderId="43" xfId="0" applyFont="1" applyFill="1" applyBorder="1" applyAlignment="1">
      <alignment horizontal="center"/>
    </xf>
    <xf numFmtId="0" fontId="50" fillId="8" borderId="60" xfId="0" applyFont="1" applyFill="1" applyBorder="1" applyAlignment="1">
      <alignment horizontal="center"/>
    </xf>
    <xf numFmtId="0" fontId="50" fillId="8" borderId="56" xfId="0" applyFont="1" applyFill="1" applyBorder="1" applyAlignment="1">
      <alignment horizontal="center"/>
    </xf>
    <xf numFmtId="0" fontId="50" fillId="8" borderId="61" xfId="0" applyFont="1" applyFill="1" applyBorder="1" applyAlignment="1">
      <alignment horizontal="center"/>
    </xf>
    <xf numFmtId="0" fontId="0" fillId="8" borderId="24" xfId="0" applyFill="1" applyBorder="1" applyAlignment="1">
      <alignment horizontal="center"/>
    </xf>
    <xf numFmtId="0" fontId="0" fillId="8" borderId="0" xfId="0" applyFill="1" applyAlignment="1">
      <alignment horizontal="center"/>
    </xf>
    <xf numFmtId="0" fontId="40" fillId="4" borderId="3" xfId="0" applyFont="1" applyFill="1" applyBorder="1" applyAlignment="1">
      <alignment horizontal="center" vertical="center"/>
    </xf>
    <xf numFmtId="0" fontId="40" fillId="4" borderId="4" xfId="0" applyFont="1" applyFill="1" applyBorder="1" applyAlignment="1">
      <alignment horizontal="center" vertical="center"/>
    </xf>
    <xf numFmtId="0" fontId="40" fillId="4" borderId="5" xfId="0" applyFont="1" applyFill="1" applyBorder="1" applyAlignment="1">
      <alignment horizontal="center" vertical="center"/>
    </xf>
    <xf numFmtId="0" fontId="40" fillId="4" borderId="90" xfId="0" applyFont="1" applyFill="1" applyBorder="1" applyAlignment="1">
      <alignment horizontal="center" vertical="center"/>
    </xf>
    <xf numFmtId="0" fontId="40" fillId="4" borderId="91" xfId="0" applyFont="1" applyFill="1" applyBorder="1" applyAlignment="1">
      <alignment horizontal="center" vertical="center"/>
    </xf>
    <xf numFmtId="0" fontId="40" fillId="4" borderId="92" xfId="0" applyFont="1" applyFill="1" applyBorder="1" applyAlignment="1">
      <alignment horizontal="center" vertical="center"/>
    </xf>
    <xf numFmtId="3" fontId="47" fillId="5" borderId="12" xfId="0" applyNumberFormat="1" applyFont="1" applyFill="1" applyBorder="1" applyAlignment="1">
      <alignment horizontal="center"/>
    </xf>
    <xf numFmtId="3" fontId="47" fillId="5" borderId="22" xfId="0" applyNumberFormat="1" applyFont="1" applyFill="1" applyBorder="1" applyAlignment="1">
      <alignment horizontal="center"/>
    </xf>
    <xf numFmtId="0" fontId="0" fillId="2" borderId="179" xfId="0" applyFill="1" applyBorder="1" applyAlignment="1">
      <alignment horizontal="center"/>
    </xf>
    <xf numFmtId="0" fontId="0" fillId="2" borderId="185" xfId="0" applyFill="1" applyBorder="1" applyAlignment="1">
      <alignment horizontal="center"/>
    </xf>
    <xf numFmtId="165" fontId="35" fillId="10" borderId="183" xfId="0" applyNumberFormat="1" applyFont="1" applyFill="1" applyBorder="1" applyAlignment="1">
      <alignment horizontal="center"/>
    </xf>
    <xf numFmtId="165" fontId="35" fillId="10" borderId="185" xfId="0" applyNumberFormat="1" applyFont="1" applyFill="1" applyBorder="1" applyAlignment="1">
      <alignment horizontal="center"/>
    </xf>
    <xf numFmtId="4" fontId="47" fillId="5" borderId="139" xfId="0" applyNumberFormat="1" applyFont="1" applyFill="1" applyBorder="1" applyAlignment="1">
      <alignment horizontal="center"/>
    </xf>
    <xf numFmtId="4" fontId="47" fillId="5" borderId="189" xfId="0" applyNumberFormat="1" applyFont="1" applyFill="1" applyBorder="1" applyAlignment="1">
      <alignment horizontal="center"/>
    </xf>
    <xf numFmtId="1" fontId="35" fillId="10" borderId="187" xfId="0" applyNumberFormat="1" applyFont="1" applyFill="1" applyBorder="1" applyAlignment="1">
      <alignment horizontal="center"/>
    </xf>
    <xf numFmtId="1" fontId="35" fillId="10" borderId="185" xfId="0" applyNumberFormat="1" applyFont="1" applyFill="1" applyBorder="1" applyAlignment="1">
      <alignment horizontal="center"/>
    </xf>
    <xf numFmtId="1" fontId="35" fillId="10" borderId="183" xfId="0" applyNumberFormat="1" applyFont="1" applyFill="1" applyBorder="1" applyAlignment="1">
      <alignment horizontal="center"/>
    </xf>
    <xf numFmtId="1" fontId="35" fillId="10" borderId="23" xfId="0" applyNumberFormat="1" applyFont="1" applyFill="1" applyBorder="1" applyAlignment="1">
      <alignment horizontal="center"/>
    </xf>
    <xf numFmtId="1" fontId="35" fillId="10" borderId="138" xfId="0" applyNumberFormat="1" applyFont="1" applyFill="1" applyBorder="1" applyAlignment="1">
      <alignment horizontal="center"/>
    </xf>
    <xf numFmtId="1" fontId="35" fillId="10" borderId="188" xfId="0" applyNumberFormat="1" applyFont="1" applyFill="1" applyBorder="1" applyAlignment="1">
      <alignment horizontal="center"/>
    </xf>
    <xf numFmtId="1" fontId="47" fillId="2" borderId="139" xfId="0" applyNumberFormat="1" applyFont="1" applyFill="1" applyBorder="1" applyAlignment="1">
      <alignment horizontal="center"/>
    </xf>
    <xf numFmtId="1" fontId="47" fillId="2" borderId="189" xfId="0" applyNumberFormat="1" applyFont="1" applyFill="1" applyBorder="1" applyAlignment="1">
      <alignment horizontal="center"/>
    </xf>
    <xf numFmtId="4" fontId="47" fillId="5" borderId="190" xfId="0" applyNumberFormat="1" applyFont="1" applyFill="1" applyBorder="1" applyAlignment="1">
      <alignment horizontal="center"/>
    </xf>
    <xf numFmtId="3" fontId="47" fillId="5" borderId="21" xfId="0" applyNumberFormat="1" applyFont="1" applyFill="1" applyBorder="1" applyAlignment="1">
      <alignment horizontal="center"/>
    </xf>
    <xf numFmtId="4" fontId="47" fillId="5" borderId="90" xfId="0" applyNumberFormat="1" applyFont="1" applyFill="1" applyBorder="1" applyAlignment="1">
      <alignment horizontal="center"/>
    </xf>
    <xf numFmtId="4" fontId="47" fillId="5" borderId="91" xfId="0" applyNumberFormat="1" applyFont="1" applyFill="1" applyBorder="1" applyAlignment="1">
      <alignment horizontal="center"/>
    </xf>
    <xf numFmtId="4" fontId="47" fillId="5" borderId="92" xfId="0" applyNumberFormat="1" applyFont="1" applyFill="1" applyBorder="1" applyAlignment="1">
      <alignment horizontal="center"/>
    </xf>
    <xf numFmtId="165" fontId="35" fillId="10" borderId="133" xfId="0" applyNumberFormat="1" applyFont="1" applyFill="1" applyBorder="1" applyAlignment="1">
      <alignment horizontal="center"/>
    </xf>
    <xf numFmtId="165" fontId="35" fillId="10" borderId="134" xfId="0" applyNumberFormat="1" applyFont="1" applyFill="1" applyBorder="1" applyAlignment="1">
      <alignment horizontal="center"/>
    </xf>
    <xf numFmtId="1" fontId="35" fillId="10" borderId="133" xfId="0" applyNumberFormat="1" applyFont="1" applyFill="1" applyBorder="1" applyAlignment="1">
      <alignment horizontal="center"/>
    </xf>
    <xf numFmtId="1" fontId="35" fillId="10" borderId="114" xfId="0" applyNumberFormat="1" applyFont="1" applyFill="1" applyBorder="1" applyAlignment="1">
      <alignment horizontal="center"/>
    </xf>
    <xf numFmtId="1" fontId="35" fillId="10" borderId="134" xfId="0" applyNumberFormat="1" applyFont="1" applyFill="1" applyBorder="1" applyAlignment="1">
      <alignment horizontal="center"/>
    </xf>
    <xf numFmtId="0" fontId="35" fillId="10" borderId="15" xfId="0" applyFont="1" applyFill="1" applyBorder="1" applyAlignment="1" applyProtection="1">
      <alignment horizontal="left"/>
      <protection locked="0"/>
    </xf>
    <xf numFmtId="0" fontId="4" fillId="2" borderId="16" xfId="0" applyFont="1" applyFill="1" applyBorder="1" applyAlignment="1">
      <alignment horizontal="right"/>
    </xf>
    <xf numFmtId="0" fontId="4" fillId="2" borderId="0" xfId="0" applyFont="1" applyFill="1" applyAlignment="1">
      <alignment horizontal="right"/>
    </xf>
    <xf numFmtId="1" fontId="35" fillId="10" borderId="14" xfId="0" applyNumberFormat="1" applyFont="1" applyFill="1" applyBorder="1" applyAlignment="1" applyProtection="1">
      <alignment horizontal="left"/>
      <protection locked="0"/>
    </xf>
    <xf numFmtId="0" fontId="35" fillId="10" borderId="14" xfId="0" applyFont="1" applyFill="1" applyBorder="1" applyAlignment="1" applyProtection="1">
      <alignment horizontal="left"/>
      <protection locked="0"/>
    </xf>
    <xf numFmtId="166" fontId="35" fillId="10" borderId="15" xfId="0" applyNumberFormat="1" applyFont="1" applyFill="1" applyBorder="1" applyAlignment="1" applyProtection="1">
      <alignment horizontal="left"/>
      <protection locked="0"/>
    </xf>
    <xf numFmtId="3" fontId="49" fillId="6" borderId="183" xfId="0" applyNumberFormat="1" applyFont="1" applyFill="1" applyBorder="1" applyAlignment="1">
      <alignment horizontal="center"/>
    </xf>
    <xf numFmtId="3" fontId="49" fillId="6" borderId="187" xfId="0" applyNumberFormat="1" applyFont="1" applyFill="1" applyBorder="1" applyAlignment="1">
      <alignment horizontal="center"/>
    </xf>
    <xf numFmtId="3" fontId="35" fillId="10" borderId="14" xfId="0" applyNumberFormat="1" applyFont="1" applyFill="1" applyBorder="1" applyAlignment="1" applyProtection="1">
      <alignment horizontal="left"/>
      <protection locked="0"/>
    </xf>
    <xf numFmtId="1" fontId="35" fillId="10" borderId="6" xfId="0" applyNumberFormat="1" applyFont="1" applyFill="1" applyBorder="1" applyAlignment="1">
      <alignment horizontal="center"/>
    </xf>
    <xf numFmtId="1" fontId="35" fillId="10" borderId="0" xfId="0" applyNumberFormat="1" applyFont="1" applyFill="1" applyAlignment="1">
      <alignment horizontal="center"/>
    </xf>
    <xf numFmtId="1" fontId="35" fillId="10" borderId="7" xfId="0" applyNumberFormat="1" applyFont="1" applyFill="1" applyBorder="1" applyAlignment="1">
      <alignment horizontal="center"/>
    </xf>
    <xf numFmtId="4" fontId="49" fillId="6" borderId="139" xfId="0" applyNumberFormat="1" applyFont="1" applyFill="1" applyBorder="1" applyAlignment="1">
      <alignment horizontal="center"/>
    </xf>
    <xf numFmtId="4" fontId="49" fillId="6" borderId="190" xfId="0" applyNumberFormat="1" applyFont="1" applyFill="1" applyBorder="1" applyAlignment="1">
      <alignment horizontal="center"/>
    </xf>
    <xf numFmtId="3" fontId="49" fillId="6" borderId="12" xfId="0" applyNumberFormat="1" applyFont="1" applyFill="1" applyBorder="1" applyAlignment="1">
      <alignment horizontal="center"/>
    </xf>
    <xf numFmtId="3" fontId="49" fillId="6" borderId="22" xfId="0" applyNumberFormat="1" applyFont="1" applyFill="1" applyBorder="1" applyAlignment="1">
      <alignment horizontal="center"/>
    </xf>
    <xf numFmtId="14" fontId="35" fillId="10" borderId="15" xfId="0" applyNumberFormat="1" applyFont="1" applyFill="1" applyBorder="1" applyAlignment="1" applyProtection="1">
      <alignment horizontal="left"/>
      <protection locked="0"/>
    </xf>
    <xf numFmtId="0" fontId="35" fillId="10" borderId="14" xfId="0" applyFont="1" applyFill="1" applyBorder="1" applyAlignment="1">
      <alignment horizontal="left"/>
    </xf>
    <xf numFmtId="0" fontId="42" fillId="2" borderId="0" xfId="0" applyFont="1" applyFill="1" applyAlignment="1">
      <alignment horizontal="center" vertical="top" wrapText="1"/>
    </xf>
    <xf numFmtId="0" fontId="46" fillId="6" borderId="17" xfId="0" applyFont="1" applyFill="1" applyBorder="1" applyAlignment="1">
      <alignment horizontal="center"/>
    </xf>
    <xf numFmtId="0" fontId="46" fillId="6" borderId="20" xfId="0" applyFont="1" applyFill="1" applyBorder="1" applyAlignment="1">
      <alignment horizontal="center"/>
    </xf>
    <xf numFmtId="0" fontId="47" fillId="10" borderId="12" xfId="0" quotePrefix="1" applyFont="1" applyFill="1" applyBorder="1" applyAlignment="1">
      <alignment horizontal="center"/>
    </xf>
    <xf numFmtId="0" fontId="47" fillId="10" borderId="22" xfId="0" quotePrefix="1" applyFont="1" applyFill="1" applyBorder="1" applyAlignment="1">
      <alignment horizontal="center"/>
    </xf>
    <xf numFmtId="0" fontId="0" fillId="2" borderId="133" xfId="0" applyFill="1" applyBorder="1" applyAlignment="1">
      <alignment horizontal="center"/>
    </xf>
    <xf numFmtId="0" fontId="0" fillId="2" borderId="125" xfId="0" applyFill="1" applyBorder="1" applyAlignment="1">
      <alignment horizontal="center"/>
    </xf>
    <xf numFmtId="3" fontId="49" fillId="6" borderId="188" xfId="0" applyNumberFormat="1" applyFont="1" applyFill="1" applyBorder="1" applyAlignment="1">
      <alignment horizontal="center"/>
    </xf>
    <xf numFmtId="3" fontId="49" fillId="6" borderId="23" xfId="0" applyNumberFormat="1" applyFont="1" applyFill="1" applyBorder="1" applyAlignment="1">
      <alignment horizontal="center"/>
    </xf>
    <xf numFmtId="181" fontId="47" fillId="5" borderId="12" xfId="0" applyNumberFormat="1" applyFont="1" applyFill="1" applyBorder="1" applyAlignment="1">
      <alignment horizontal="center"/>
    </xf>
    <xf numFmtId="181" fontId="47" fillId="5" borderId="22" xfId="0" applyNumberFormat="1" applyFont="1" applyFill="1" applyBorder="1" applyAlignment="1">
      <alignment horizontal="center"/>
    </xf>
    <xf numFmtId="3" fontId="45" fillId="6" borderId="180" xfId="0" applyNumberFormat="1" applyFont="1" applyFill="1" applyBorder="1" applyAlignment="1">
      <alignment horizontal="center"/>
    </xf>
    <xf numFmtId="0" fontId="35" fillId="10" borderId="191" xfId="0" applyFont="1" applyFill="1" applyBorder="1" applyAlignment="1" applyProtection="1">
      <alignment horizontal="left"/>
      <protection locked="0"/>
    </xf>
    <xf numFmtId="0" fontId="34" fillId="2" borderId="4" xfId="0" applyFont="1" applyFill="1" applyBorder="1" applyAlignment="1">
      <alignment horizontal="right" vertical="center" indent="1"/>
    </xf>
    <xf numFmtId="0" fontId="34" fillId="2" borderId="91" xfId="0" applyFont="1" applyFill="1" applyBorder="1" applyAlignment="1">
      <alignment horizontal="right" vertical="center" indent="1"/>
    </xf>
    <xf numFmtId="0" fontId="35" fillId="10" borderId="13" xfId="0" applyFont="1" applyFill="1" applyBorder="1" applyAlignment="1">
      <alignment horizontal="center"/>
    </xf>
    <xf numFmtId="0" fontId="36" fillId="6" borderId="13" xfId="0" applyFont="1" applyFill="1" applyBorder="1" applyAlignment="1">
      <alignment horizontal="center"/>
    </xf>
    <xf numFmtId="0" fontId="37" fillId="7" borderId="13" xfId="0" applyFont="1" applyFill="1" applyBorder="1" applyAlignment="1">
      <alignment horizontal="center" vertical="center" wrapText="1"/>
    </xf>
    <xf numFmtId="0" fontId="37" fillId="7" borderId="116" xfId="0" applyFont="1" applyFill="1" applyBorder="1" applyAlignment="1">
      <alignment horizontal="center" vertical="center" wrapText="1"/>
    </xf>
    <xf numFmtId="0" fontId="35" fillId="5" borderId="116" xfId="0" applyFont="1" applyFill="1" applyBorder="1" applyAlignment="1">
      <alignment horizontal="center"/>
    </xf>
    <xf numFmtId="0" fontId="38" fillId="8" borderId="116" xfId="0" applyFont="1" applyFill="1" applyBorder="1" applyAlignment="1">
      <alignment horizontal="center"/>
    </xf>
    <xf numFmtId="0" fontId="42" fillId="2" borderId="0" xfId="0" applyFont="1" applyFill="1" applyAlignment="1">
      <alignment horizontal="center" vertical="top"/>
    </xf>
    <xf numFmtId="0" fontId="47" fillId="10" borderId="19" xfId="0" quotePrefix="1" applyFont="1" applyFill="1" applyBorder="1" applyAlignment="1">
      <alignment horizontal="center"/>
    </xf>
    <xf numFmtId="0" fontId="47" fillId="10" borderId="20" xfId="0" applyFont="1" applyFill="1" applyBorder="1" applyAlignment="1">
      <alignment horizontal="center"/>
    </xf>
    <xf numFmtId="0" fontId="47" fillId="10" borderId="17" xfId="0" quotePrefix="1" applyFont="1" applyFill="1" applyBorder="1" applyAlignment="1">
      <alignment horizontal="center"/>
    </xf>
    <xf numFmtId="0" fontId="47" fillId="10" borderId="18" xfId="0" applyFont="1" applyFill="1" applyBorder="1" applyAlignment="1">
      <alignment horizontal="center"/>
    </xf>
    <xf numFmtId="0" fontId="4" fillId="2" borderId="17" xfId="0" applyFont="1" applyFill="1" applyBorder="1" applyAlignment="1">
      <alignment horizontal="center"/>
    </xf>
    <xf numFmtId="0" fontId="4" fillId="2" borderId="18" xfId="0" applyFont="1" applyFill="1" applyBorder="1" applyAlignment="1">
      <alignment horizontal="center"/>
    </xf>
    <xf numFmtId="0" fontId="47" fillId="10" borderId="21" xfId="0" quotePrefix="1" applyFont="1" applyFill="1" applyBorder="1" applyAlignment="1">
      <alignment horizontal="center"/>
    </xf>
    <xf numFmtId="49" fontId="147" fillId="10" borderId="15" xfId="0" applyNumberFormat="1" applyFont="1" applyFill="1" applyBorder="1" applyAlignment="1" applyProtection="1">
      <alignment horizontal="left"/>
      <protection locked="0"/>
    </xf>
    <xf numFmtId="3" fontId="35" fillId="5" borderId="180" xfId="0" applyNumberFormat="1" applyFont="1" applyFill="1" applyBorder="1" applyAlignment="1">
      <alignment horizontal="center"/>
    </xf>
    <xf numFmtId="0" fontId="4" fillId="2" borderId="0" xfId="0" applyFont="1" applyFill="1" applyAlignment="1">
      <alignment horizontal="center" wrapText="1"/>
    </xf>
    <xf numFmtId="0" fontId="4" fillId="2" borderId="191" xfId="0" applyFont="1" applyFill="1" applyBorder="1" applyAlignment="1">
      <alignment horizontal="center" wrapText="1"/>
    </xf>
    <xf numFmtId="165" fontId="35" fillId="5" borderId="180" xfId="0" applyNumberFormat="1" applyFont="1" applyFill="1" applyBorder="1" applyAlignment="1">
      <alignment horizontal="center"/>
    </xf>
    <xf numFmtId="165" fontId="45" fillId="6" borderId="179" xfId="0" applyNumberFormat="1" applyFont="1" applyFill="1" applyBorder="1" applyAlignment="1">
      <alignment horizontal="center"/>
    </xf>
    <xf numFmtId="165" fontId="45" fillId="6" borderId="187" xfId="0" applyNumberFormat="1" applyFont="1" applyFill="1" applyBorder="1" applyAlignment="1">
      <alignment horizontal="center"/>
    </xf>
    <xf numFmtId="165" fontId="45" fillId="6" borderId="177" xfId="0" applyNumberFormat="1" applyFont="1" applyFill="1" applyBorder="1" applyAlignment="1">
      <alignment horizontal="center"/>
    </xf>
    <xf numFmtId="0" fontId="45" fillId="6" borderId="180" xfId="0" applyFont="1" applyFill="1" applyBorder="1" applyAlignment="1">
      <alignment horizontal="center"/>
    </xf>
    <xf numFmtId="0" fontId="45" fillId="6" borderId="180" xfId="0" applyFont="1" applyFill="1" applyBorder="1" applyAlignment="1">
      <alignment horizontal="left" indent="1"/>
    </xf>
    <xf numFmtId="3" fontId="35" fillId="5" borderId="191" xfId="0" applyNumberFormat="1" applyFont="1" applyFill="1" applyBorder="1" applyAlignment="1">
      <alignment horizontal="center"/>
    </xf>
    <xf numFmtId="0" fontId="4" fillId="2" borderId="191" xfId="0" applyFont="1" applyFill="1" applyBorder="1" applyAlignment="1">
      <alignment horizontal="center"/>
    </xf>
    <xf numFmtId="0" fontId="4" fillId="0" borderId="180" xfId="0" applyFont="1" applyBorder="1" applyAlignment="1">
      <alignment horizontal="center"/>
    </xf>
    <xf numFmtId="181" fontId="0" fillId="0" borderId="180" xfId="0" applyNumberFormat="1" applyBorder="1" applyAlignment="1">
      <alignment horizontal="center"/>
    </xf>
    <xf numFmtId="0" fontId="5" fillId="12" borderId="17" xfId="0" applyFont="1" applyFill="1" applyBorder="1" applyAlignment="1">
      <alignment horizontal="center" vertical="center" wrapText="1"/>
    </xf>
    <xf numFmtId="0" fontId="5" fillId="12" borderId="182" xfId="0" applyFont="1" applyFill="1" applyBorder="1" applyAlignment="1">
      <alignment horizontal="center" vertical="center" wrapText="1"/>
    </xf>
    <xf numFmtId="0" fontId="5" fillId="12" borderId="13" xfId="0" applyFont="1" applyFill="1" applyBorder="1" applyAlignment="1">
      <alignment horizontal="center" vertical="center" wrapText="1"/>
    </xf>
    <xf numFmtId="0" fontId="5" fillId="12" borderId="180"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5" fillId="12" borderId="181" xfId="0" applyFont="1" applyFill="1" applyBorder="1" applyAlignment="1">
      <alignment horizontal="center" vertical="center" wrapText="1"/>
    </xf>
    <xf numFmtId="0" fontId="69" fillId="2" borderId="87"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69" fillId="2" borderId="89"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0" xfId="0" applyFont="1" applyFill="1" applyAlignment="1">
      <alignment horizontal="center" vertical="center" wrapText="1"/>
    </xf>
    <xf numFmtId="0" fontId="69" fillId="2" borderId="7"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6" fillId="4" borderId="87" xfId="0" applyFont="1" applyFill="1" applyBorder="1" applyAlignment="1">
      <alignment horizontal="center" vertical="center" wrapText="1"/>
    </xf>
    <xf numFmtId="0" fontId="46" fillId="4" borderId="88" xfId="0" applyFont="1" applyFill="1" applyBorder="1" applyAlignment="1">
      <alignment horizontal="center" vertical="center" wrapText="1"/>
    </xf>
    <xf numFmtId="0" fontId="46" fillId="4" borderId="89" xfId="0" applyFont="1" applyFill="1" applyBorder="1" applyAlignment="1">
      <alignment horizontal="center" vertical="center" wrapText="1"/>
    </xf>
    <xf numFmtId="0" fontId="46" fillId="4" borderId="90" xfId="0" applyFont="1" applyFill="1" applyBorder="1" applyAlignment="1">
      <alignment horizontal="center" vertical="center" wrapText="1"/>
    </xf>
    <xf numFmtId="0" fontId="46" fillId="4" borderId="91" xfId="0" applyFont="1" applyFill="1" applyBorder="1" applyAlignment="1">
      <alignment horizontal="center" vertical="center" wrapText="1"/>
    </xf>
    <xf numFmtId="0" fontId="46" fillId="4" borderId="92" xfId="0" applyFont="1" applyFill="1" applyBorder="1" applyAlignment="1">
      <alignment horizontal="center" vertical="center" wrapText="1"/>
    </xf>
    <xf numFmtId="0" fontId="5" fillId="12" borderId="87" xfId="0" applyFont="1" applyFill="1" applyBorder="1" applyAlignment="1">
      <alignment horizontal="center" vertical="center"/>
    </xf>
    <xf numFmtId="0" fontId="5" fillId="12" borderId="88" xfId="0" applyFont="1" applyFill="1" applyBorder="1" applyAlignment="1">
      <alignment horizontal="center" vertical="center"/>
    </xf>
    <xf numFmtId="0" fontId="5" fillId="12" borderId="98" xfId="0" applyFont="1" applyFill="1" applyBorder="1" applyAlignment="1">
      <alignment horizontal="center" vertical="center"/>
    </xf>
    <xf numFmtId="0" fontId="5" fillId="12" borderId="90" xfId="0" applyFont="1" applyFill="1" applyBorder="1" applyAlignment="1">
      <alignment horizontal="center" vertical="center"/>
    </xf>
    <xf numFmtId="0" fontId="5" fillId="12" borderId="91" xfId="0" applyFont="1" applyFill="1" applyBorder="1" applyAlignment="1">
      <alignment horizontal="center" vertical="center"/>
    </xf>
    <xf numFmtId="0" fontId="5" fillId="12" borderId="99" xfId="0" applyFont="1" applyFill="1" applyBorder="1" applyAlignment="1">
      <alignment horizontal="center" vertical="center"/>
    </xf>
    <xf numFmtId="0" fontId="5" fillId="12" borderId="97" xfId="0" applyFont="1" applyFill="1" applyBorder="1" applyAlignment="1">
      <alignment horizontal="center" vertical="center"/>
    </xf>
    <xf numFmtId="0" fontId="5" fillId="12" borderId="100" xfId="0" applyFont="1" applyFill="1" applyBorder="1" applyAlignment="1">
      <alignment horizontal="center" vertical="center"/>
    </xf>
    <xf numFmtId="0" fontId="5" fillId="12" borderId="101" xfId="0" applyFont="1" applyFill="1" applyBorder="1" applyAlignment="1">
      <alignment horizontal="center" vertical="center" wrapText="1"/>
    </xf>
    <xf numFmtId="0" fontId="5" fillId="12" borderId="102" xfId="0" applyFont="1" applyFill="1" applyBorder="1" applyAlignment="1">
      <alignment horizontal="center" vertical="center" wrapText="1"/>
    </xf>
    <xf numFmtId="0" fontId="68" fillId="2" borderId="87"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8" fillId="2" borderId="89" xfId="0" applyFont="1" applyFill="1" applyBorder="1" applyAlignment="1">
      <alignment horizontal="center" vertical="center" wrapText="1"/>
    </xf>
    <xf numFmtId="0" fontId="46" fillId="4" borderId="202" xfId="0" applyFont="1" applyFill="1" applyBorder="1" applyAlignment="1">
      <alignment horizontal="center" vertical="center" wrapText="1"/>
    </xf>
    <xf numFmtId="0" fontId="46" fillId="4" borderId="191" xfId="0" applyFont="1" applyFill="1" applyBorder="1" applyAlignment="1">
      <alignment horizontal="center" vertical="center" wrapText="1"/>
    </xf>
    <xf numFmtId="0" fontId="46" fillId="4" borderId="203" xfId="0" applyFont="1" applyFill="1" applyBorder="1" applyAlignment="1">
      <alignment horizontal="center" vertical="center" wrapText="1"/>
    </xf>
    <xf numFmtId="0" fontId="36" fillId="12" borderId="197" xfId="0" applyFont="1" applyFill="1" applyBorder="1" applyAlignment="1">
      <alignment horizontal="center" wrapText="1"/>
    </xf>
    <xf numFmtId="0" fontId="36" fillId="12" borderId="180" xfId="0" applyFont="1" applyFill="1" applyBorder="1" applyAlignment="1">
      <alignment horizontal="center" wrapText="1"/>
    </xf>
    <xf numFmtId="0" fontId="36" fillId="12" borderId="196" xfId="0" applyFont="1" applyFill="1" applyBorder="1" applyAlignment="1">
      <alignment horizontal="center" wrapText="1"/>
    </xf>
    <xf numFmtId="0" fontId="36" fillId="12" borderId="179" xfId="0" applyFont="1" applyFill="1" applyBorder="1" applyAlignment="1">
      <alignment horizontal="center" wrapText="1"/>
    </xf>
    <xf numFmtId="0" fontId="5" fillId="12" borderId="84" xfId="0" applyFont="1" applyFill="1" applyBorder="1" applyAlignment="1">
      <alignment horizontal="center" wrapText="1"/>
    </xf>
    <xf numFmtId="0" fontId="5" fillId="12" borderId="186" xfId="0" applyFont="1" applyFill="1" applyBorder="1" applyAlignment="1">
      <alignment horizontal="center" wrapText="1"/>
    </xf>
    <xf numFmtId="0" fontId="46" fillId="4" borderId="87" xfId="0" applyFont="1" applyFill="1" applyBorder="1" applyAlignment="1">
      <alignment horizontal="center" wrapText="1"/>
    </xf>
    <xf numFmtId="0" fontId="46" fillId="4" borderId="88" xfId="0" applyFont="1" applyFill="1" applyBorder="1" applyAlignment="1">
      <alignment horizontal="center" wrapText="1"/>
    </xf>
    <xf numFmtId="0" fontId="46" fillId="4" borderId="89" xfId="0" applyFont="1" applyFill="1" applyBorder="1" applyAlignment="1">
      <alignment horizontal="center" wrapText="1"/>
    </xf>
    <xf numFmtId="0" fontId="46" fillId="4" borderId="90" xfId="0" applyFont="1" applyFill="1" applyBorder="1" applyAlignment="1">
      <alignment horizontal="center" wrapText="1"/>
    </xf>
    <xf numFmtId="0" fontId="46" fillId="4" borderId="91" xfId="0" applyFont="1" applyFill="1" applyBorder="1" applyAlignment="1">
      <alignment horizontal="center" wrapText="1"/>
    </xf>
    <xf numFmtId="0" fontId="46" fillId="4" borderId="92" xfId="0" applyFont="1" applyFill="1" applyBorder="1" applyAlignment="1">
      <alignment horizontal="center" wrapText="1"/>
    </xf>
    <xf numFmtId="0" fontId="46" fillId="4" borderId="7" xfId="0" applyFont="1" applyFill="1" applyBorder="1" applyAlignment="1">
      <alignment horizontal="center" vertical="center" wrapText="1"/>
    </xf>
    <xf numFmtId="0" fontId="36" fillId="12" borderId="193" xfId="0" applyFont="1" applyFill="1" applyBorder="1" applyAlignment="1">
      <alignment horizontal="center"/>
    </xf>
    <xf numFmtId="0" fontId="36" fillId="12" borderId="182" xfId="0" applyFont="1" applyFill="1" applyBorder="1" applyAlignment="1">
      <alignment horizontal="center"/>
    </xf>
    <xf numFmtId="0" fontId="36" fillId="12" borderId="97" xfId="0" applyFont="1" applyFill="1" applyBorder="1" applyAlignment="1">
      <alignment horizontal="center"/>
    </xf>
    <xf numFmtId="0" fontId="36" fillId="12" borderId="79" xfId="0" applyFont="1" applyFill="1" applyBorder="1" applyAlignment="1">
      <alignment horizontal="center"/>
    </xf>
    <xf numFmtId="0" fontId="36" fillId="12" borderId="197" xfId="0" applyFont="1" applyFill="1" applyBorder="1" applyAlignment="1">
      <alignment horizontal="center"/>
    </xf>
    <xf numFmtId="0" fontId="62" fillId="0" borderId="0" xfId="3" applyFont="1" applyAlignment="1">
      <alignment horizontal="center"/>
    </xf>
    <xf numFmtId="0" fontId="46" fillId="4" borderId="128" xfId="0" applyFont="1" applyFill="1" applyBorder="1" applyAlignment="1">
      <alignment horizontal="center" wrapText="1"/>
    </xf>
    <xf numFmtId="0" fontId="46" fillId="4" borderId="104" xfId="0" applyFont="1" applyFill="1" applyBorder="1" applyAlignment="1">
      <alignment horizontal="center" wrapText="1"/>
    </xf>
    <xf numFmtId="0" fontId="46" fillId="4" borderId="128" xfId="0" applyFont="1" applyFill="1" applyBorder="1" applyAlignment="1">
      <alignment horizontal="center" vertical="center" wrapText="1"/>
    </xf>
    <xf numFmtId="0" fontId="46" fillId="4" borderId="104" xfId="0" applyFont="1" applyFill="1" applyBorder="1" applyAlignment="1">
      <alignment horizontal="center" vertical="center" wrapText="1"/>
    </xf>
    <xf numFmtId="0" fontId="2" fillId="4" borderId="87" xfId="0" applyFont="1" applyFill="1" applyBorder="1" applyAlignment="1">
      <alignment horizontal="center" wrapText="1"/>
    </xf>
    <xf numFmtId="0" fontId="2" fillId="4" borderId="89" xfId="0" applyFont="1" applyFill="1" applyBorder="1" applyAlignment="1">
      <alignment horizontal="center" wrapText="1"/>
    </xf>
    <xf numFmtId="0" fontId="2" fillId="4" borderId="90" xfId="0" applyFont="1" applyFill="1" applyBorder="1" applyAlignment="1">
      <alignment horizontal="center" wrapText="1"/>
    </xf>
    <xf numFmtId="0" fontId="2" fillId="4" borderId="92" xfId="0" applyFont="1" applyFill="1" applyBorder="1" applyAlignment="1">
      <alignment horizontal="center" wrapText="1"/>
    </xf>
    <xf numFmtId="0" fontId="179" fillId="60" borderId="136" xfId="0" applyFont="1" applyFill="1" applyBorder="1" applyAlignment="1" applyProtection="1">
      <alignment horizontal="center" vertical="center" textRotation="90" wrapText="1"/>
      <protection hidden="1"/>
    </xf>
    <xf numFmtId="0" fontId="179" fillId="60" borderId="79" xfId="0" applyFont="1" applyFill="1" applyBorder="1" applyAlignment="1" applyProtection="1">
      <alignment horizontal="center" vertical="center" textRotation="90" wrapText="1"/>
      <protection hidden="1"/>
    </xf>
    <xf numFmtId="0" fontId="179" fillId="60" borderId="197" xfId="0" applyFont="1" applyFill="1" applyBorder="1" applyAlignment="1" applyProtection="1">
      <alignment horizontal="center" vertical="center" textRotation="90" wrapText="1"/>
      <protection hidden="1"/>
    </xf>
    <xf numFmtId="0" fontId="179" fillId="62" borderId="180" xfId="0" applyFont="1" applyFill="1" applyBorder="1" applyAlignment="1" applyProtection="1">
      <alignment horizontal="center" vertical="center" wrapText="1"/>
      <protection hidden="1"/>
    </xf>
    <xf numFmtId="0" fontId="179" fillId="62" borderId="180" xfId="0" applyFont="1" applyFill="1" applyBorder="1" applyAlignment="1" applyProtection="1">
      <alignment horizontal="center" vertical="center"/>
      <protection hidden="1"/>
    </xf>
    <xf numFmtId="0" fontId="149" fillId="49" borderId="180" xfId="0" applyFont="1" applyFill="1" applyBorder="1" applyAlignment="1" applyProtection="1">
      <alignment horizontal="center" vertical="center" wrapText="1"/>
      <protection hidden="1"/>
    </xf>
    <xf numFmtId="3" fontId="150" fillId="49" borderId="180" xfId="0" applyNumberFormat="1" applyFont="1" applyFill="1" applyBorder="1" applyAlignment="1" applyProtection="1">
      <alignment horizontal="center" vertical="center" wrapText="1"/>
      <protection hidden="1"/>
    </xf>
    <xf numFmtId="0" fontId="26" fillId="0" borderId="0" xfId="3"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wrapText="1"/>
    </xf>
    <xf numFmtId="0" fontId="14" fillId="0" borderId="0" xfId="2" applyFont="1" applyAlignment="1">
      <alignment horizontal="left"/>
    </xf>
    <xf numFmtId="0" fontId="179" fillId="62" borderId="136" xfId="0" applyFont="1" applyFill="1" applyBorder="1" applyAlignment="1">
      <alignment horizontal="center" vertical="center" wrapText="1"/>
    </xf>
    <xf numFmtId="0" fontId="179" fillId="62" borderId="197" xfId="0" applyFont="1" applyFill="1" applyBorder="1" applyAlignment="1">
      <alignment horizontal="center" vertical="center" wrapText="1"/>
    </xf>
    <xf numFmtId="0" fontId="179" fillId="62" borderId="180" xfId="0" applyFont="1" applyFill="1" applyBorder="1" applyAlignment="1">
      <alignment horizontal="center" vertical="center" wrapText="1"/>
    </xf>
    <xf numFmtId="0" fontId="179" fillId="62" borderId="179" xfId="0" applyFont="1" applyFill="1" applyBorder="1" applyAlignment="1">
      <alignment horizontal="center" vertical="center" wrapText="1"/>
    </xf>
    <xf numFmtId="0" fontId="179" fillId="60" borderId="136" xfId="0" applyFont="1" applyFill="1" applyBorder="1" applyAlignment="1">
      <alignment horizontal="center" vertical="center" textRotation="90" wrapText="1"/>
    </xf>
    <xf numFmtId="0" fontId="179" fillId="60" borderId="79" xfId="0" applyFont="1" applyFill="1" applyBorder="1" applyAlignment="1">
      <alignment horizontal="center" vertical="center" textRotation="90" wrapText="1"/>
    </xf>
    <xf numFmtId="0" fontId="179" fillId="60" borderId="197" xfId="0" applyFont="1" applyFill="1" applyBorder="1" applyAlignment="1">
      <alignment horizontal="center" vertical="center" textRotation="90" wrapText="1"/>
    </xf>
    <xf numFmtId="0" fontId="31" fillId="68" borderId="141" xfId="0" applyFont="1" applyFill="1" applyBorder="1" applyAlignment="1">
      <alignment horizontal="center" vertical="center" wrapText="1"/>
    </xf>
    <xf numFmtId="0" fontId="31" fillId="68" borderId="23" xfId="0" applyFont="1" applyFill="1" applyBorder="1" applyAlignment="1">
      <alignment horizontal="center" vertical="center"/>
    </xf>
    <xf numFmtId="0" fontId="31" fillId="68" borderId="142" xfId="0" applyFont="1" applyFill="1" applyBorder="1" applyAlignment="1">
      <alignment horizontal="center" vertical="center"/>
    </xf>
    <xf numFmtId="0" fontId="31" fillId="68" borderId="196" xfId="0" applyFont="1" applyFill="1" applyBorder="1" applyAlignment="1">
      <alignment horizontal="center" vertical="center"/>
    </xf>
    <xf numFmtId="0" fontId="31" fillId="68" borderId="191" xfId="0" applyFont="1" applyFill="1" applyBorder="1" applyAlignment="1">
      <alignment horizontal="center" vertical="center"/>
    </xf>
    <xf numFmtId="0" fontId="31" fillId="68" borderId="195" xfId="0" applyFont="1" applyFill="1" applyBorder="1" applyAlignment="1">
      <alignment horizontal="center" vertical="center"/>
    </xf>
    <xf numFmtId="0" fontId="64" fillId="0" borderId="0" xfId="3" applyFont="1" applyAlignment="1">
      <alignment horizontal="right" indent="1"/>
    </xf>
    <xf numFmtId="0" fontId="218" fillId="0" borderId="0" xfId="2" applyFont="1" applyFill="1" applyAlignment="1" applyProtection="1">
      <alignment horizontal="left" wrapText="1" indent="1"/>
    </xf>
    <xf numFmtId="0" fontId="77" fillId="11" borderId="8" xfId="2" applyFont="1" applyFill="1" applyBorder="1" applyAlignment="1" applyProtection="1">
      <alignment horizontal="center" vertical="center" wrapText="1"/>
      <protection locked="0"/>
    </xf>
    <xf numFmtId="0" fontId="77" fillId="11" borderId="37" xfId="2" applyFont="1" applyFill="1" applyBorder="1" applyAlignment="1" applyProtection="1">
      <alignment horizontal="center" vertical="center" wrapText="1"/>
      <protection locked="0"/>
    </xf>
    <xf numFmtId="0" fontId="77" fillId="11" borderId="38" xfId="2" applyFont="1" applyFill="1" applyBorder="1" applyAlignment="1" applyProtection="1">
      <alignment horizontal="center" vertical="center" wrapText="1"/>
      <protection locked="0"/>
    </xf>
    <xf numFmtId="0" fontId="53" fillId="3" borderId="34" xfId="0" applyFont="1" applyFill="1" applyBorder="1" applyAlignment="1">
      <alignment horizontal="center"/>
    </xf>
    <xf numFmtId="0" fontId="53" fillId="3" borderId="35" xfId="0" applyFont="1" applyFill="1" applyBorder="1" applyAlignment="1">
      <alignment horizontal="center"/>
    </xf>
    <xf numFmtId="0" fontId="53" fillId="3" borderId="36" xfId="0" applyFont="1" applyFill="1" applyBorder="1" applyAlignment="1">
      <alignment horizontal="center"/>
    </xf>
    <xf numFmtId="0" fontId="59" fillId="0" borderId="8" xfId="0" applyFont="1" applyBorder="1" applyAlignment="1">
      <alignment horizontal="center" vertical="center"/>
    </xf>
    <xf numFmtId="0" fontId="59" fillId="0" borderId="37" xfId="0" applyFont="1" applyBorder="1" applyAlignment="1">
      <alignment horizontal="center" vertical="center"/>
    </xf>
    <xf numFmtId="0" fontId="59" fillId="0" borderId="38" xfId="0" applyFont="1" applyBorder="1" applyAlignment="1">
      <alignment horizontal="center" vertical="center"/>
    </xf>
    <xf numFmtId="0" fontId="74" fillId="4" borderId="8" xfId="0" applyFont="1" applyFill="1" applyBorder="1" applyAlignment="1">
      <alignment horizontal="center"/>
    </xf>
    <xf numFmtId="0" fontId="74" fillId="4" borderId="37" xfId="0" applyFont="1" applyFill="1" applyBorder="1" applyAlignment="1">
      <alignment horizontal="center"/>
    </xf>
    <xf numFmtId="0" fontId="74" fillId="4" borderId="38" xfId="0" applyFont="1" applyFill="1" applyBorder="1" applyAlignment="1">
      <alignment horizontal="center"/>
    </xf>
    <xf numFmtId="0" fontId="46" fillId="4" borderId="48" xfId="0" applyFont="1" applyFill="1" applyBorder="1" applyAlignment="1">
      <alignment horizontal="center"/>
    </xf>
    <xf numFmtId="0" fontId="46" fillId="4" borderId="49" xfId="0" applyFont="1" applyFill="1" applyBorder="1" applyAlignment="1">
      <alignment horizontal="center"/>
    </xf>
    <xf numFmtId="0" fontId="46" fillId="4" borderId="50" xfId="0" applyFont="1" applyFill="1" applyBorder="1" applyAlignment="1">
      <alignment horizontal="center"/>
    </xf>
    <xf numFmtId="0" fontId="46" fillId="4" borderId="51" xfId="0" applyFont="1" applyFill="1" applyBorder="1" applyAlignment="1">
      <alignment horizontal="center"/>
    </xf>
    <xf numFmtId="0" fontId="46" fillId="4" borderId="3" xfId="0" applyFont="1" applyFill="1" applyBorder="1" applyAlignment="1">
      <alignment horizontal="center"/>
    </xf>
    <xf numFmtId="0" fontId="46" fillId="4" borderId="4" xfId="0" applyFont="1" applyFill="1" applyBorder="1" applyAlignment="1">
      <alignment horizontal="center"/>
    </xf>
    <xf numFmtId="0" fontId="46" fillId="4" borderId="5" xfId="0" applyFont="1" applyFill="1" applyBorder="1" applyAlignment="1">
      <alignment horizontal="center"/>
    </xf>
    <xf numFmtId="0" fontId="54" fillId="3" borderId="3" xfId="0" applyFont="1" applyFill="1" applyBorder="1" applyAlignment="1">
      <alignment horizontal="center" vertical="center" wrapText="1"/>
    </xf>
    <xf numFmtId="0" fontId="54" fillId="3" borderId="5" xfId="0" applyFont="1" applyFill="1" applyBorder="1" applyAlignment="1">
      <alignment horizontal="center" vertical="center" wrapText="1"/>
    </xf>
    <xf numFmtId="0" fontId="54" fillId="3" borderId="6" xfId="0" applyFont="1" applyFill="1" applyBorder="1" applyAlignment="1">
      <alignment horizontal="center" vertical="center" wrapText="1"/>
    </xf>
    <xf numFmtId="0" fontId="54" fillId="3" borderId="7" xfId="0" applyFont="1" applyFill="1" applyBorder="1" applyAlignment="1">
      <alignment horizontal="center" vertical="center" wrapText="1"/>
    </xf>
    <xf numFmtId="0" fontId="54" fillId="3" borderId="90" xfId="0" applyFont="1" applyFill="1" applyBorder="1" applyAlignment="1">
      <alignment horizontal="center" vertical="center" wrapText="1"/>
    </xf>
    <xf numFmtId="0" fontId="54" fillId="3" borderId="92" xfId="0" applyFont="1" applyFill="1" applyBorder="1" applyAlignment="1">
      <alignment horizontal="center" vertical="center" wrapText="1"/>
    </xf>
    <xf numFmtId="0" fontId="194" fillId="16" borderId="0" xfId="3" applyFont="1" applyFill="1" applyAlignment="1" applyProtection="1">
      <alignment horizontal="center" vertical="center"/>
      <protection hidden="1"/>
    </xf>
    <xf numFmtId="0" fontId="195" fillId="16" borderId="0" xfId="3" applyFont="1" applyFill="1" applyAlignment="1" applyProtection="1">
      <alignment horizontal="center" vertical="center"/>
      <protection hidden="1"/>
    </xf>
    <xf numFmtId="0" fontId="200" fillId="16" borderId="0" xfId="3" applyFont="1" applyFill="1" applyAlignment="1" applyProtection="1">
      <alignment horizontal="left" vertical="top"/>
      <protection locked="0"/>
    </xf>
    <xf numFmtId="0" fontId="108" fillId="16" borderId="0" xfId="3" applyFont="1" applyFill="1" applyAlignment="1" applyProtection="1">
      <alignment horizontal="left" vertical="center" wrapText="1"/>
      <protection hidden="1"/>
    </xf>
    <xf numFmtId="0" fontId="193" fillId="70" borderId="0" xfId="3" applyFont="1" applyFill="1" applyAlignment="1" applyProtection="1">
      <alignment horizontal="center" vertical="center"/>
      <protection hidden="1"/>
    </xf>
    <xf numFmtId="0" fontId="111" fillId="74" borderId="0" xfId="3" applyFont="1" applyFill="1" applyAlignment="1" applyProtection="1">
      <alignment horizontal="left" vertical="center"/>
      <protection hidden="1"/>
    </xf>
    <xf numFmtId="0" fontId="196" fillId="16" borderId="0" xfId="3" applyFont="1" applyFill="1" applyAlignment="1" applyProtection="1">
      <alignment horizontal="left" vertical="center"/>
      <protection hidden="1"/>
    </xf>
    <xf numFmtId="0" fontId="103" fillId="16" borderId="0" xfId="3" applyFont="1" applyFill="1" applyAlignment="1" applyProtection="1">
      <alignment horizontal="left" vertical="center" wrapText="1"/>
      <protection hidden="1"/>
    </xf>
    <xf numFmtId="0" fontId="91" fillId="16" borderId="0" xfId="3" applyFont="1" applyFill="1" applyAlignment="1">
      <alignment horizontal="left" vertical="top" wrapText="1"/>
    </xf>
    <xf numFmtId="0" fontId="110" fillId="73" borderId="0" xfId="3" applyFont="1" applyFill="1" applyAlignment="1" applyProtection="1">
      <alignment horizontal="left" vertical="center" indent="1"/>
      <protection hidden="1"/>
    </xf>
    <xf numFmtId="0" fontId="110" fillId="73" borderId="191" xfId="3" applyFont="1" applyFill="1" applyBorder="1" applyAlignment="1" applyProtection="1">
      <alignment horizontal="left" vertical="center" indent="1"/>
      <protection hidden="1"/>
    </xf>
    <xf numFmtId="178" fontId="102" fillId="16" borderId="0" xfId="3" applyNumberFormat="1" applyFont="1" applyFill="1" applyAlignment="1" applyProtection="1">
      <alignment horizontal="center" vertical="center"/>
      <protection hidden="1"/>
    </xf>
    <xf numFmtId="0" fontId="197" fillId="16" borderId="0" xfId="3" applyFont="1" applyFill="1" applyAlignment="1" applyProtection="1">
      <alignment horizontal="center" vertical="center"/>
      <protection hidden="1"/>
    </xf>
    <xf numFmtId="0" fontId="104" fillId="16" borderId="0" xfId="3" applyFont="1" applyFill="1" applyAlignment="1" applyProtection="1">
      <alignment horizontal="center" vertical="center"/>
      <protection hidden="1"/>
    </xf>
    <xf numFmtId="0" fontId="105" fillId="16" borderId="0" xfId="3" applyFont="1" applyFill="1" applyAlignment="1" applyProtection="1">
      <alignment horizontal="center" vertical="center"/>
      <protection hidden="1"/>
    </xf>
    <xf numFmtId="0" fontId="143" fillId="0" borderId="80" xfId="0" applyFont="1" applyBorder="1" applyAlignment="1">
      <alignment horizontal="left" vertical="top" wrapText="1"/>
    </xf>
    <xf numFmtId="0" fontId="143" fillId="0" borderId="0" xfId="0" applyFont="1" applyAlignment="1">
      <alignment horizontal="left" vertical="top" wrapText="1"/>
    </xf>
    <xf numFmtId="0" fontId="176" fillId="21" borderId="0" xfId="0" applyFont="1" applyFill="1" applyAlignment="1">
      <alignment horizontal="left" vertical="center" wrapText="1"/>
    </xf>
    <xf numFmtId="0" fontId="180" fillId="0" borderId="0" xfId="0" applyFont="1" applyAlignment="1">
      <alignment horizontal="left"/>
    </xf>
    <xf numFmtId="0" fontId="177" fillId="60" borderId="80" xfId="0" applyFont="1" applyFill="1" applyBorder="1" applyAlignment="1">
      <alignment horizontal="center" vertical="center" wrapText="1"/>
    </xf>
    <xf numFmtId="0" fontId="177" fillId="60" borderId="0" xfId="0" applyFont="1" applyFill="1" applyAlignment="1">
      <alignment horizontal="center" vertical="center" wrapText="1"/>
    </xf>
    <xf numFmtId="0" fontId="155" fillId="0" borderId="196" xfId="0" applyFont="1" applyBorder="1" applyAlignment="1">
      <alignment horizontal="left" vertical="center" wrapText="1"/>
    </xf>
    <xf numFmtId="0" fontId="155" fillId="0" borderId="191" xfId="0" applyFont="1" applyBorder="1" applyAlignment="1">
      <alignment horizontal="left" vertical="center" wrapText="1"/>
    </xf>
    <xf numFmtId="0" fontId="145" fillId="0" borderId="179" xfId="0" applyFont="1" applyBorder="1" applyAlignment="1">
      <alignment horizontal="center"/>
    </xf>
    <xf numFmtId="0" fontId="145" fillId="0" borderId="187" xfId="0" applyFont="1" applyBorder="1" applyAlignment="1">
      <alignment horizontal="center"/>
    </xf>
    <xf numFmtId="0" fontId="154" fillId="0" borderId="180" xfId="0" applyFont="1" applyBorder="1" applyAlignment="1">
      <alignment horizontal="left" vertical="center" wrapText="1"/>
    </xf>
    <xf numFmtId="0" fontId="154" fillId="0" borderId="179" xfId="0" applyFont="1" applyBorder="1" applyAlignment="1">
      <alignment horizontal="left" vertical="center" wrapText="1"/>
    </xf>
    <xf numFmtId="0" fontId="154" fillId="0" borderId="177" xfId="0" applyFont="1" applyBorder="1" applyAlignment="1">
      <alignment horizontal="left" vertical="center" wrapText="1"/>
    </xf>
    <xf numFmtId="0" fontId="154" fillId="0" borderId="80" xfId="0" applyFont="1" applyBorder="1" applyAlignment="1">
      <alignment horizontal="left" vertical="center" wrapText="1"/>
    </xf>
    <xf numFmtId="0" fontId="154" fillId="0" borderId="83" xfId="0" applyFont="1" applyBorder="1" applyAlignment="1">
      <alignment horizontal="left" vertical="center" wrapText="1"/>
    </xf>
    <xf numFmtId="0" fontId="154" fillId="0" borderId="136" xfId="0" applyFont="1" applyBorder="1" applyAlignment="1">
      <alignment horizontal="left" vertical="center" wrapText="1"/>
    </xf>
    <xf numFmtId="0" fontId="154" fillId="0" borderId="197" xfId="0" applyFont="1" applyBorder="1" applyAlignment="1">
      <alignment horizontal="left" vertical="center" wrapText="1"/>
    </xf>
    <xf numFmtId="9" fontId="154" fillId="0" borderId="180" xfId="0" applyNumberFormat="1" applyFont="1" applyBorder="1" applyAlignment="1">
      <alignment horizontal="center" vertical="center"/>
    </xf>
    <xf numFmtId="0" fontId="154" fillId="0" borderId="180" xfId="0" applyFont="1" applyBorder="1" applyAlignment="1">
      <alignment vertical="center" wrapText="1"/>
    </xf>
    <xf numFmtId="0" fontId="154" fillId="0" borderId="180" xfId="0" applyFont="1" applyBorder="1" applyAlignment="1">
      <alignment horizontal="center" vertical="center" wrapText="1"/>
    </xf>
    <xf numFmtId="0" fontId="145" fillId="0" borderId="196" xfId="0" applyFont="1" applyBorder="1" applyAlignment="1">
      <alignment horizontal="center" wrapText="1"/>
    </xf>
    <xf numFmtId="0" fontId="145" fillId="0" borderId="195" xfId="0" applyFont="1" applyBorder="1" applyAlignment="1">
      <alignment horizontal="center" wrapText="1"/>
    </xf>
    <xf numFmtId="0" fontId="8" fillId="0" borderId="183" xfId="0" applyFont="1" applyBorder="1" applyAlignment="1">
      <alignment horizontal="left"/>
    </xf>
    <xf numFmtId="0" fontId="8" fillId="0" borderId="213" xfId="0" applyFont="1" applyBorder="1" applyAlignment="1">
      <alignment horizontal="left"/>
    </xf>
    <xf numFmtId="0" fontId="8" fillId="0" borderId="139" xfId="0" applyFont="1" applyBorder="1" applyAlignment="1">
      <alignment horizontal="left"/>
    </xf>
    <xf numFmtId="0" fontId="8" fillId="0" borderId="217" xfId="0" applyFont="1" applyBorder="1" applyAlignment="1">
      <alignment horizontal="left"/>
    </xf>
    <xf numFmtId="0" fontId="8" fillId="0" borderId="133" xfId="0" applyFont="1" applyBorder="1" applyAlignment="1">
      <alignment horizontal="left"/>
    </xf>
    <xf numFmtId="0" fontId="8" fillId="0" borderId="216" xfId="0" applyFont="1" applyBorder="1" applyAlignment="1">
      <alignment horizontal="left"/>
    </xf>
    <xf numFmtId="0" fontId="31" fillId="2" borderId="87" xfId="0" applyFont="1" applyFill="1" applyBorder="1" applyAlignment="1">
      <alignment horizontal="center" vertical="center"/>
    </xf>
    <xf numFmtId="0" fontId="31" fillId="2" borderId="88" xfId="0" applyFont="1" applyFill="1" applyBorder="1" applyAlignment="1">
      <alignment horizontal="center" vertical="center"/>
    </xf>
    <xf numFmtId="0" fontId="31" fillId="2" borderId="89" xfId="0" applyFont="1" applyFill="1" applyBorder="1" applyAlignment="1">
      <alignment horizontal="center" vertical="center"/>
    </xf>
    <xf numFmtId="0" fontId="31" fillId="2" borderId="6" xfId="0" applyFont="1" applyFill="1" applyBorder="1" applyAlignment="1">
      <alignment horizontal="center" vertical="center"/>
    </xf>
    <xf numFmtId="0" fontId="31" fillId="2" borderId="0" xfId="0" applyFont="1" applyFill="1" applyAlignment="1">
      <alignment horizontal="center" vertical="center"/>
    </xf>
    <xf numFmtId="0" fontId="31" fillId="2" borderId="7" xfId="0" applyFont="1" applyFill="1" applyBorder="1" applyAlignment="1">
      <alignment horizontal="center" vertical="center"/>
    </xf>
    <xf numFmtId="0" fontId="32" fillId="2" borderId="0" xfId="0" applyFont="1" applyFill="1" applyAlignment="1">
      <alignment horizontal="left" vertical="top" wrapText="1"/>
    </xf>
    <xf numFmtId="0" fontId="32" fillId="2" borderId="7" xfId="0" applyFont="1" applyFill="1" applyBorder="1" applyAlignment="1">
      <alignment horizontal="left" vertical="top" wrapText="1"/>
    </xf>
    <xf numFmtId="0" fontId="11" fillId="4" borderId="8" xfId="0" applyFont="1" applyFill="1" applyBorder="1" applyAlignment="1">
      <alignment horizontal="center"/>
    </xf>
    <xf numFmtId="0" fontId="11" fillId="4" borderId="9" xfId="0" applyFont="1" applyFill="1" applyBorder="1" applyAlignment="1">
      <alignment horizontal="center"/>
    </xf>
    <xf numFmtId="0" fontId="8" fillId="0" borderId="12" xfId="0" applyFont="1" applyBorder="1" applyAlignment="1">
      <alignment horizontal="left"/>
    </xf>
    <xf numFmtId="0" fontId="8" fillId="0" borderId="210" xfId="0" applyFont="1" applyBorder="1" applyAlignment="1">
      <alignment horizontal="left"/>
    </xf>
    <xf numFmtId="168" fontId="0" fillId="9" borderId="105" xfId="0" applyNumberFormat="1" applyFill="1" applyBorder="1" applyAlignment="1">
      <alignment horizontal="center"/>
    </xf>
    <xf numFmtId="168" fontId="7" fillId="3" borderId="105" xfId="0" applyNumberFormat="1" applyFont="1" applyFill="1" applyBorder="1" applyAlignment="1">
      <alignment horizontal="center"/>
    </xf>
    <xf numFmtId="0" fontId="40" fillId="4" borderId="87" xfId="0" applyFont="1" applyFill="1" applyBorder="1" applyAlignment="1">
      <alignment horizontal="center" vertical="center"/>
    </xf>
    <xf numFmtId="0" fontId="40" fillId="4" borderId="88" xfId="0" applyFont="1" applyFill="1" applyBorder="1" applyAlignment="1">
      <alignment horizontal="center" vertical="center"/>
    </xf>
    <xf numFmtId="0" fontId="40" fillId="4" borderId="89" xfId="0" applyFont="1" applyFill="1" applyBorder="1" applyAlignment="1">
      <alignment horizontal="center" vertical="center"/>
    </xf>
    <xf numFmtId="0" fontId="4" fillId="2" borderId="0" xfId="0" applyFont="1" applyFill="1" applyAlignment="1">
      <alignment horizontal="right" wrapText="1"/>
    </xf>
    <xf numFmtId="0" fontId="0" fillId="2" borderId="0" xfId="0" applyFill="1" applyAlignment="1">
      <alignment horizontal="center"/>
    </xf>
    <xf numFmtId="0" fontId="66" fillId="9" borderId="105" xfId="0" applyFont="1" applyFill="1" applyBorder="1" applyAlignment="1">
      <alignment horizontal="center" wrapText="1"/>
    </xf>
    <xf numFmtId="0" fontId="66" fillId="2" borderId="0" xfId="0" applyFont="1" applyFill="1" applyAlignment="1">
      <alignment horizontal="center" wrapText="1"/>
    </xf>
    <xf numFmtId="0" fontId="70" fillId="2" borderId="191" xfId="0" applyFont="1" applyFill="1" applyBorder="1" applyAlignment="1">
      <alignment horizontal="left"/>
    </xf>
    <xf numFmtId="0" fontId="70" fillId="2" borderId="85" xfId="0" applyFont="1" applyFill="1" applyBorder="1" applyAlignment="1">
      <alignment horizontal="left"/>
    </xf>
    <xf numFmtId="0" fontId="112" fillId="21" borderId="0" xfId="139" applyFont="1" applyFill="1" applyAlignment="1" applyProtection="1">
      <alignment horizontal="left" vertical="center"/>
      <protection hidden="1"/>
    </xf>
    <xf numFmtId="0" fontId="0" fillId="21" borderId="23" xfId="0" applyFill="1" applyBorder="1" applyAlignment="1">
      <alignment horizontal="center" vertical="center" wrapText="1"/>
    </xf>
    <xf numFmtId="0" fontId="0" fillId="21" borderId="191" xfId="0" applyFill="1" applyBorder="1" applyAlignment="1">
      <alignment horizontal="center" vertical="center" wrapText="1"/>
    </xf>
    <xf numFmtId="0" fontId="0" fillId="21" borderId="110" xfId="0" applyFill="1" applyBorder="1" applyAlignment="1">
      <alignment horizontal="center" vertical="center" wrapText="1"/>
    </xf>
    <xf numFmtId="0" fontId="0" fillId="21" borderId="132" xfId="0" applyFill="1" applyBorder="1" applyAlignment="1">
      <alignment horizontal="center" vertical="center" wrapText="1"/>
    </xf>
    <xf numFmtId="14" fontId="0" fillId="21" borderId="96" xfId="0" applyNumberFormat="1" applyFill="1" applyBorder="1" applyAlignment="1">
      <alignment horizontal="center" vertical="center"/>
    </xf>
    <xf numFmtId="14" fontId="0" fillId="21" borderId="195" xfId="0" applyNumberFormat="1" applyFill="1" applyBorder="1" applyAlignment="1">
      <alignment horizontal="center" vertical="center"/>
    </xf>
  </cellXfs>
  <cellStyles count="2404">
    <cellStyle name="_x0010_“+ˆÉ•?pý¤" xfId="140" xr:uid="{00000000-0005-0000-0000-000000000000}"/>
    <cellStyle name="_x0010_“+ˆÉ•?pý¤ 2" xfId="141" xr:uid="{00000000-0005-0000-0000-000001000000}"/>
    <cellStyle name="1" xfId="142" xr:uid="{00000000-0005-0000-0000-000002000000}"/>
    <cellStyle name="2" xfId="143" xr:uid="{00000000-0005-0000-0000-000003000000}"/>
    <cellStyle name="20% - Accent1 2" xfId="144" xr:uid="{00000000-0005-0000-0000-000004000000}"/>
    <cellStyle name="20% - Accent1 2 2" xfId="145" xr:uid="{00000000-0005-0000-0000-000005000000}"/>
    <cellStyle name="20% - Accent1 3" xfId="146" xr:uid="{00000000-0005-0000-0000-000006000000}"/>
    <cellStyle name="20% - Accent2 2" xfId="147" xr:uid="{00000000-0005-0000-0000-000007000000}"/>
    <cellStyle name="20% - Accent2 2 2" xfId="148" xr:uid="{00000000-0005-0000-0000-000008000000}"/>
    <cellStyle name="20% - Accent2 3" xfId="149" xr:uid="{00000000-0005-0000-0000-000009000000}"/>
    <cellStyle name="20% - Accent3 2" xfId="150" xr:uid="{00000000-0005-0000-0000-00000A000000}"/>
    <cellStyle name="20% - Accent3 2 2" xfId="151" xr:uid="{00000000-0005-0000-0000-00000B000000}"/>
    <cellStyle name="20% - Accent3 3" xfId="152" xr:uid="{00000000-0005-0000-0000-00000C000000}"/>
    <cellStyle name="20% - Accent4 2" xfId="153" xr:uid="{00000000-0005-0000-0000-00000D000000}"/>
    <cellStyle name="20% - Accent4 2 2" xfId="154" xr:uid="{00000000-0005-0000-0000-00000E000000}"/>
    <cellStyle name="20% - Accent4 3" xfId="155" xr:uid="{00000000-0005-0000-0000-00000F000000}"/>
    <cellStyle name="20% - Accent5 2" xfId="156" xr:uid="{00000000-0005-0000-0000-000010000000}"/>
    <cellStyle name="20% - Accent6 2" xfId="157" xr:uid="{00000000-0005-0000-0000-000011000000}"/>
    <cellStyle name="40% - Accent1 2" xfId="158" xr:uid="{00000000-0005-0000-0000-000012000000}"/>
    <cellStyle name="40% - Accent2 2" xfId="159" xr:uid="{00000000-0005-0000-0000-000013000000}"/>
    <cellStyle name="40% - Accent3 2" xfId="160" xr:uid="{00000000-0005-0000-0000-000014000000}"/>
    <cellStyle name="40% - Accent3 2 2" xfId="161" xr:uid="{00000000-0005-0000-0000-000015000000}"/>
    <cellStyle name="40% - Accent3 3" xfId="162" xr:uid="{00000000-0005-0000-0000-000016000000}"/>
    <cellStyle name="40% - Accent4 2" xfId="163" xr:uid="{00000000-0005-0000-0000-000017000000}"/>
    <cellStyle name="40% - Accent5 2" xfId="164" xr:uid="{00000000-0005-0000-0000-000018000000}"/>
    <cellStyle name="40% - Accent6 2" xfId="165" xr:uid="{00000000-0005-0000-0000-000019000000}"/>
    <cellStyle name="60% - Accent1 2" xfId="166" xr:uid="{00000000-0005-0000-0000-00001A000000}"/>
    <cellStyle name="60% - Accent2 2" xfId="167" xr:uid="{00000000-0005-0000-0000-00001B000000}"/>
    <cellStyle name="60% - Accent3 2" xfId="168" xr:uid="{00000000-0005-0000-0000-00001C000000}"/>
    <cellStyle name="60% - Accent3 2 2" xfId="169" xr:uid="{00000000-0005-0000-0000-00001D000000}"/>
    <cellStyle name="60% - Accent3 3" xfId="170" xr:uid="{00000000-0005-0000-0000-00001E000000}"/>
    <cellStyle name="60% - Accent4 2" xfId="171" xr:uid="{00000000-0005-0000-0000-00001F000000}"/>
    <cellStyle name="60% - Accent4 2 2" xfId="172" xr:uid="{00000000-0005-0000-0000-000020000000}"/>
    <cellStyle name="60% - Accent4 3" xfId="173" xr:uid="{00000000-0005-0000-0000-000021000000}"/>
    <cellStyle name="60% - Accent5 2" xfId="174" xr:uid="{00000000-0005-0000-0000-000022000000}"/>
    <cellStyle name="60% - Accent6 2" xfId="175" xr:uid="{00000000-0005-0000-0000-000023000000}"/>
    <cellStyle name="60% - Accent6 2 2" xfId="176" xr:uid="{00000000-0005-0000-0000-000024000000}"/>
    <cellStyle name="60% - Accent6 3" xfId="177" xr:uid="{00000000-0005-0000-0000-000025000000}"/>
    <cellStyle name="Accent1 2" xfId="178" xr:uid="{00000000-0005-0000-0000-000026000000}"/>
    <cellStyle name="Accent2 2" xfId="179" xr:uid="{00000000-0005-0000-0000-000027000000}"/>
    <cellStyle name="Accent3 2" xfId="180" xr:uid="{00000000-0005-0000-0000-000028000000}"/>
    <cellStyle name="Accent4 2" xfId="181" xr:uid="{00000000-0005-0000-0000-000029000000}"/>
    <cellStyle name="Accent5 2" xfId="182" xr:uid="{00000000-0005-0000-0000-00002A000000}"/>
    <cellStyle name="Accent6 2" xfId="183" xr:uid="{00000000-0005-0000-0000-00002B000000}"/>
    <cellStyle name="Actual Date" xfId="184" xr:uid="{00000000-0005-0000-0000-00002C000000}"/>
    <cellStyle name="Actual Date 2" xfId="185" xr:uid="{00000000-0005-0000-0000-00002D000000}"/>
    <cellStyle name="Bad 2" xfId="186" xr:uid="{00000000-0005-0000-0000-00002E000000}"/>
    <cellStyle name="Calc Currency (0)" xfId="187" xr:uid="{00000000-0005-0000-0000-00002F000000}"/>
    <cellStyle name="Calc Currency (2)" xfId="188" xr:uid="{00000000-0005-0000-0000-000030000000}"/>
    <cellStyle name="Calc Percent (0)" xfId="189" xr:uid="{00000000-0005-0000-0000-000031000000}"/>
    <cellStyle name="Calc Percent (1)" xfId="190" xr:uid="{00000000-0005-0000-0000-000032000000}"/>
    <cellStyle name="Calc Percent (2)" xfId="191" xr:uid="{00000000-0005-0000-0000-000033000000}"/>
    <cellStyle name="Calc Units (0)" xfId="192" xr:uid="{00000000-0005-0000-0000-000034000000}"/>
    <cellStyle name="Calc Units (1)" xfId="193" xr:uid="{00000000-0005-0000-0000-000035000000}"/>
    <cellStyle name="Calc Units (2)" xfId="194" xr:uid="{00000000-0005-0000-0000-000036000000}"/>
    <cellStyle name="Calculation" xfId="9" builtinId="22"/>
    <cellStyle name="Calculation 2" xfId="195" xr:uid="{00000000-0005-0000-0000-000038000000}"/>
    <cellStyle name="Check Cell 2" xfId="196" xr:uid="{00000000-0005-0000-0000-000039000000}"/>
    <cellStyle name="Comma" xfId="2403" builtinId="3"/>
    <cellStyle name="Comma [00]" xfId="197" xr:uid="{00000000-0005-0000-0000-00003B000000}"/>
    <cellStyle name="Comma 10" xfId="12" xr:uid="{00000000-0005-0000-0000-00003C000000}"/>
    <cellStyle name="Comma 10 2" xfId="198" xr:uid="{00000000-0005-0000-0000-00003D000000}"/>
    <cellStyle name="Comma 11" xfId="13" xr:uid="{00000000-0005-0000-0000-00003E000000}"/>
    <cellStyle name="Comma 11 2" xfId="14" xr:uid="{00000000-0005-0000-0000-00003F000000}"/>
    <cellStyle name="Comma 12" xfId="15" xr:uid="{00000000-0005-0000-0000-000040000000}"/>
    <cellStyle name="Comma 12 2" xfId="16" xr:uid="{00000000-0005-0000-0000-000041000000}"/>
    <cellStyle name="Comma 13" xfId="17" xr:uid="{00000000-0005-0000-0000-000042000000}"/>
    <cellStyle name="Comma 13 2" xfId="199" xr:uid="{00000000-0005-0000-0000-000043000000}"/>
    <cellStyle name="Comma 13 2 2" xfId="200" xr:uid="{00000000-0005-0000-0000-000044000000}"/>
    <cellStyle name="Comma 13 3" xfId="201" xr:uid="{00000000-0005-0000-0000-000045000000}"/>
    <cellStyle name="Comma 14" xfId="136" xr:uid="{00000000-0005-0000-0000-000046000000}"/>
    <cellStyle name="Comma 14 2" xfId="202" xr:uid="{00000000-0005-0000-0000-000047000000}"/>
    <cellStyle name="Comma 15 2" xfId="203" xr:uid="{00000000-0005-0000-0000-000048000000}"/>
    <cellStyle name="Comma 16" xfId="204" xr:uid="{00000000-0005-0000-0000-000049000000}"/>
    <cellStyle name="Comma 16 2" xfId="205" xr:uid="{00000000-0005-0000-0000-00004A000000}"/>
    <cellStyle name="Comma 17 2" xfId="206" xr:uid="{00000000-0005-0000-0000-00004B000000}"/>
    <cellStyle name="Comma 18" xfId="207" xr:uid="{00000000-0005-0000-0000-00004C000000}"/>
    <cellStyle name="Comma 19" xfId="208" xr:uid="{00000000-0005-0000-0000-00004D000000}"/>
    <cellStyle name="Comma 2" xfId="18" xr:uid="{00000000-0005-0000-0000-00004E000000}"/>
    <cellStyle name="Comma 2 106" xfId="209" xr:uid="{00000000-0005-0000-0000-00004F000000}"/>
    <cellStyle name="Comma 2 2" xfId="19" xr:uid="{00000000-0005-0000-0000-000050000000}"/>
    <cellStyle name="Comma 2 2 2" xfId="20" xr:uid="{00000000-0005-0000-0000-000051000000}"/>
    <cellStyle name="Comma 2 2 2 2" xfId="210" xr:uid="{00000000-0005-0000-0000-000052000000}"/>
    <cellStyle name="Comma 2 2 2 3" xfId="211" xr:uid="{00000000-0005-0000-0000-000053000000}"/>
    <cellStyle name="Comma 2 2 3" xfId="21" xr:uid="{00000000-0005-0000-0000-000054000000}"/>
    <cellStyle name="Comma 2 2 4" xfId="212" xr:uid="{00000000-0005-0000-0000-000055000000}"/>
    <cellStyle name="Comma 2 2 5" xfId="213" xr:uid="{00000000-0005-0000-0000-000056000000}"/>
    <cellStyle name="Comma 2 3" xfId="22" xr:uid="{00000000-0005-0000-0000-000057000000}"/>
    <cellStyle name="Comma 2 3 2" xfId="23" xr:uid="{00000000-0005-0000-0000-000058000000}"/>
    <cellStyle name="Comma 2 3 2 2" xfId="214" xr:uid="{00000000-0005-0000-0000-000059000000}"/>
    <cellStyle name="Comma 2 3 3" xfId="215" xr:uid="{00000000-0005-0000-0000-00005A000000}"/>
    <cellStyle name="Comma 2 4" xfId="24" xr:uid="{00000000-0005-0000-0000-00005B000000}"/>
    <cellStyle name="Comma 2 4 2" xfId="216" xr:uid="{00000000-0005-0000-0000-00005C000000}"/>
    <cellStyle name="Comma 2 4 3" xfId="217" xr:uid="{00000000-0005-0000-0000-00005D000000}"/>
    <cellStyle name="Comma 2 4 3 2" xfId="218" xr:uid="{00000000-0005-0000-0000-00005E000000}"/>
    <cellStyle name="Comma 2 4 4" xfId="219" xr:uid="{00000000-0005-0000-0000-00005F000000}"/>
    <cellStyle name="Comma 2 4 5" xfId="220" xr:uid="{00000000-0005-0000-0000-000060000000}"/>
    <cellStyle name="Comma 2 4 6" xfId="221" xr:uid="{00000000-0005-0000-0000-000061000000}"/>
    <cellStyle name="Comma 2 5" xfId="25" xr:uid="{00000000-0005-0000-0000-000062000000}"/>
    <cellStyle name="Comma 2 5 2" xfId="222" xr:uid="{00000000-0005-0000-0000-000063000000}"/>
    <cellStyle name="Comma 2 6" xfId="26" xr:uid="{00000000-0005-0000-0000-000064000000}"/>
    <cellStyle name="Comma 2 7" xfId="223" xr:uid="{00000000-0005-0000-0000-000065000000}"/>
    <cellStyle name="Comma 20" xfId="224" xr:uid="{00000000-0005-0000-0000-000066000000}"/>
    <cellStyle name="Comma 21" xfId="225" xr:uid="{00000000-0005-0000-0000-000067000000}"/>
    <cellStyle name="Comma 22" xfId="226" xr:uid="{00000000-0005-0000-0000-000068000000}"/>
    <cellStyle name="Comma 3" xfId="27" xr:uid="{00000000-0005-0000-0000-000069000000}"/>
    <cellStyle name="Comma 3 2" xfId="28" xr:uid="{00000000-0005-0000-0000-00006A000000}"/>
    <cellStyle name="Comma 3 2 10" xfId="227" xr:uid="{00000000-0005-0000-0000-00006B000000}"/>
    <cellStyle name="Comma 3 2 11" xfId="228" xr:uid="{00000000-0005-0000-0000-00006C000000}"/>
    <cellStyle name="Comma 3 2 2" xfId="229" xr:uid="{00000000-0005-0000-0000-00006D000000}"/>
    <cellStyle name="Comma 3 2 2 2" xfId="230" xr:uid="{00000000-0005-0000-0000-00006E000000}"/>
    <cellStyle name="Comma 3 2 3" xfId="231" xr:uid="{00000000-0005-0000-0000-00006F000000}"/>
    <cellStyle name="Comma 3 2 4" xfId="232" xr:uid="{00000000-0005-0000-0000-000070000000}"/>
    <cellStyle name="Comma 3 2 5" xfId="233" xr:uid="{00000000-0005-0000-0000-000071000000}"/>
    <cellStyle name="Comma 3 2 6" xfId="234" xr:uid="{00000000-0005-0000-0000-000072000000}"/>
    <cellStyle name="Comma 3 2 6 2" xfId="235" xr:uid="{00000000-0005-0000-0000-000073000000}"/>
    <cellStyle name="Comma 3 2 7" xfId="236" xr:uid="{00000000-0005-0000-0000-000074000000}"/>
    <cellStyle name="Comma 3 2 7 2" xfId="237" xr:uid="{00000000-0005-0000-0000-000075000000}"/>
    <cellStyle name="Comma 3 2 8" xfId="238" xr:uid="{00000000-0005-0000-0000-000076000000}"/>
    <cellStyle name="Comma 3 2 8 2" xfId="239" xr:uid="{00000000-0005-0000-0000-000077000000}"/>
    <cellStyle name="Comma 3 2 9" xfId="240" xr:uid="{00000000-0005-0000-0000-000078000000}"/>
    <cellStyle name="Comma 3 2 9 2" xfId="241" xr:uid="{00000000-0005-0000-0000-000079000000}"/>
    <cellStyle name="Comma 3 3" xfId="242" xr:uid="{00000000-0005-0000-0000-00007A000000}"/>
    <cellStyle name="Comma 3 3 2" xfId="243" xr:uid="{00000000-0005-0000-0000-00007B000000}"/>
    <cellStyle name="Comma 3 3 3" xfId="244" xr:uid="{00000000-0005-0000-0000-00007C000000}"/>
    <cellStyle name="Comma 3 3 4" xfId="245" xr:uid="{00000000-0005-0000-0000-00007D000000}"/>
    <cellStyle name="Comma 3 3 5" xfId="246" xr:uid="{00000000-0005-0000-0000-00007E000000}"/>
    <cellStyle name="Comma 3 3 6" xfId="247" xr:uid="{00000000-0005-0000-0000-00007F000000}"/>
    <cellStyle name="Comma 3 4" xfId="248" xr:uid="{00000000-0005-0000-0000-000080000000}"/>
    <cellStyle name="Comma 3 5" xfId="249" xr:uid="{00000000-0005-0000-0000-000081000000}"/>
    <cellStyle name="Comma 3 6" xfId="250" xr:uid="{00000000-0005-0000-0000-000082000000}"/>
    <cellStyle name="Comma 3 7" xfId="251" xr:uid="{00000000-0005-0000-0000-000083000000}"/>
    <cellStyle name="Comma 3 8" xfId="252" xr:uid="{00000000-0005-0000-0000-000084000000}"/>
    <cellStyle name="Comma 4" xfId="29" xr:uid="{00000000-0005-0000-0000-000085000000}"/>
    <cellStyle name="Comma 4 2" xfId="30" xr:uid="{00000000-0005-0000-0000-000086000000}"/>
    <cellStyle name="Comma 4 2 2" xfId="31" xr:uid="{00000000-0005-0000-0000-000087000000}"/>
    <cellStyle name="Comma 4 2 2 2" xfId="32" xr:uid="{00000000-0005-0000-0000-000088000000}"/>
    <cellStyle name="Comma 4 2 3" xfId="33" xr:uid="{00000000-0005-0000-0000-000089000000}"/>
    <cellStyle name="Comma 4 3" xfId="34" xr:uid="{00000000-0005-0000-0000-00008A000000}"/>
    <cellStyle name="Comma 4 3 2" xfId="35" xr:uid="{00000000-0005-0000-0000-00008B000000}"/>
    <cellStyle name="Comma 4 4" xfId="36" xr:uid="{00000000-0005-0000-0000-00008C000000}"/>
    <cellStyle name="Comma 4 5" xfId="37" xr:uid="{00000000-0005-0000-0000-00008D000000}"/>
    <cellStyle name="Comma 4 5 2" xfId="38" xr:uid="{00000000-0005-0000-0000-00008E000000}"/>
    <cellStyle name="Comma 4 6" xfId="253" xr:uid="{00000000-0005-0000-0000-00008F000000}"/>
    <cellStyle name="Comma 4 7" xfId="254" xr:uid="{00000000-0005-0000-0000-000090000000}"/>
    <cellStyle name="Comma 4 8" xfId="255" xr:uid="{00000000-0005-0000-0000-000091000000}"/>
    <cellStyle name="Comma 4 9" xfId="256" xr:uid="{00000000-0005-0000-0000-000092000000}"/>
    <cellStyle name="Comma 5" xfId="39" xr:uid="{00000000-0005-0000-0000-000093000000}"/>
    <cellStyle name="Comma 5 2" xfId="40" xr:uid="{00000000-0005-0000-0000-000094000000}"/>
    <cellStyle name="Comma 5 2 2" xfId="41" xr:uid="{00000000-0005-0000-0000-000095000000}"/>
    <cellStyle name="Comma 5 2 2 2" xfId="42" xr:uid="{00000000-0005-0000-0000-000096000000}"/>
    <cellStyle name="Comma 5 2 3" xfId="43" xr:uid="{00000000-0005-0000-0000-000097000000}"/>
    <cellStyle name="Comma 5 3" xfId="44" xr:uid="{00000000-0005-0000-0000-000098000000}"/>
    <cellStyle name="Comma 5 3 2" xfId="45" xr:uid="{00000000-0005-0000-0000-000099000000}"/>
    <cellStyle name="Comma 5 4" xfId="46" xr:uid="{00000000-0005-0000-0000-00009A000000}"/>
    <cellStyle name="Comma 5 5" xfId="47" xr:uid="{00000000-0005-0000-0000-00009B000000}"/>
    <cellStyle name="Comma 5 6" xfId="48" xr:uid="{00000000-0005-0000-0000-00009C000000}"/>
    <cellStyle name="Comma 6" xfId="49" xr:uid="{00000000-0005-0000-0000-00009D000000}"/>
    <cellStyle name="Comma 6 2" xfId="50" xr:uid="{00000000-0005-0000-0000-00009E000000}"/>
    <cellStyle name="Comma 6 2 2" xfId="51" xr:uid="{00000000-0005-0000-0000-00009F000000}"/>
    <cellStyle name="Comma 6 3" xfId="52" xr:uid="{00000000-0005-0000-0000-0000A0000000}"/>
    <cellStyle name="Comma 6 3 2" xfId="257" xr:uid="{00000000-0005-0000-0000-0000A1000000}"/>
    <cellStyle name="Comma 6 3 3" xfId="258" xr:uid="{00000000-0005-0000-0000-0000A2000000}"/>
    <cellStyle name="Comma 6 4" xfId="53" xr:uid="{00000000-0005-0000-0000-0000A3000000}"/>
    <cellStyle name="Comma 7" xfId="54" xr:uid="{00000000-0005-0000-0000-0000A4000000}"/>
    <cellStyle name="Comma 7 2" xfId="55" xr:uid="{00000000-0005-0000-0000-0000A5000000}"/>
    <cellStyle name="Comma 7 3" xfId="259" xr:uid="{00000000-0005-0000-0000-0000A6000000}"/>
    <cellStyle name="Comma 7 4" xfId="260" xr:uid="{00000000-0005-0000-0000-0000A7000000}"/>
    <cellStyle name="Comma 8" xfId="56" xr:uid="{00000000-0005-0000-0000-0000A8000000}"/>
    <cellStyle name="Comma 8 2" xfId="261" xr:uid="{00000000-0005-0000-0000-0000A9000000}"/>
    <cellStyle name="Comma 9" xfId="11" xr:uid="{00000000-0005-0000-0000-0000AA000000}"/>
    <cellStyle name="Comma 9 2" xfId="262" xr:uid="{00000000-0005-0000-0000-0000AB000000}"/>
    <cellStyle name="Comma 9 2 2" xfId="263" xr:uid="{00000000-0005-0000-0000-0000AC000000}"/>
    <cellStyle name="Comma 9 3" xfId="264" xr:uid="{00000000-0005-0000-0000-0000AD000000}"/>
    <cellStyle name="Comma 9 4" xfId="265" xr:uid="{00000000-0005-0000-0000-0000AE000000}"/>
    <cellStyle name="Comma0" xfId="266" xr:uid="{00000000-0005-0000-0000-0000AF000000}"/>
    <cellStyle name="CommaSimple" xfId="267" xr:uid="{00000000-0005-0000-0000-0000B0000000}"/>
    <cellStyle name="Currency [00]" xfId="268" xr:uid="{00000000-0005-0000-0000-0000B1000000}"/>
    <cellStyle name="Currency 10" xfId="269" xr:uid="{00000000-0005-0000-0000-0000B2000000}"/>
    <cellStyle name="Currency 11" xfId="270" xr:uid="{00000000-0005-0000-0000-0000B3000000}"/>
    <cellStyle name="Currency 11 2" xfId="271" xr:uid="{00000000-0005-0000-0000-0000B4000000}"/>
    <cellStyle name="Currency 11 2 2" xfId="272" xr:uid="{00000000-0005-0000-0000-0000B5000000}"/>
    <cellStyle name="Currency 12" xfId="273" xr:uid="{00000000-0005-0000-0000-0000B6000000}"/>
    <cellStyle name="Currency 13" xfId="274" xr:uid="{00000000-0005-0000-0000-0000B7000000}"/>
    <cellStyle name="Currency 13 2" xfId="275" xr:uid="{00000000-0005-0000-0000-0000B8000000}"/>
    <cellStyle name="Currency 14" xfId="276" xr:uid="{00000000-0005-0000-0000-0000B9000000}"/>
    <cellStyle name="Currency 14 2" xfId="277" xr:uid="{00000000-0005-0000-0000-0000BA000000}"/>
    <cellStyle name="Currency 15" xfId="278" xr:uid="{00000000-0005-0000-0000-0000BB000000}"/>
    <cellStyle name="Currency 15 2" xfId="279" xr:uid="{00000000-0005-0000-0000-0000BC000000}"/>
    <cellStyle name="Currency 16 2" xfId="280" xr:uid="{00000000-0005-0000-0000-0000BD000000}"/>
    <cellStyle name="Currency 17" xfId="281" xr:uid="{00000000-0005-0000-0000-0000BE000000}"/>
    <cellStyle name="Currency 17 2" xfId="282" xr:uid="{00000000-0005-0000-0000-0000BF000000}"/>
    <cellStyle name="Currency 18" xfId="283" xr:uid="{00000000-0005-0000-0000-0000C0000000}"/>
    <cellStyle name="Currency 19" xfId="284" xr:uid="{00000000-0005-0000-0000-0000C1000000}"/>
    <cellStyle name="Currency 2" xfId="57" xr:uid="{00000000-0005-0000-0000-0000C2000000}"/>
    <cellStyle name="Currency 2 2" xfId="58" xr:uid="{00000000-0005-0000-0000-0000C3000000}"/>
    <cellStyle name="Currency 2 2 2" xfId="285" xr:uid="{00000000-0005-0000-0000-0000C4000000}"/>
    <cellStyle name="Currency 2 2 3" xfId="286" xr:uid="{00000000-0005-0000-0000-0000C5000000}"/>
    <cellStyle name="Currency 2 2 4" xfId="287" xr:uid="{00000000-0005-0000-0000-0000C6000000}"/>
    <cellStyle name="Currency 2 3" xfId="59" xr:uid="{00000000-0005-0000-0000-0000C7000000}"/>
    <cellStyle name="Currency 2 3 2" xfId="288" xr:uid="{00000000-0005-0000-0000-0000C8000000}"/>
    <cellStyle name="Currency 2 3 3" xfId="289" xr:uid="{00000000-0005-0000-0000-0000C9000000}"/>
    <cellStyle name="Currency 2 4" xfId="60" xr:uid="{00000000-0005-0000-0000-0000CA000000}"/>
    <cellStyle name="Currency 2 4 2" xfId="290" xr:uid="{00000000-0005-0000-0000-0000CB000000}"/>
    <cellStyle name="Currency 2 4 3" xfId="291" xr:uid="{00000000-0005-0000-0000-0000CC000000}"/>
    <cellStyle name="Currency 2 4 3 2" xfId="292" xr:uid="{00000000-0005-0000-0000-0000CD000000}"/>
    <cellStyle name="Currency 2 4 4" xfId="293" xr:uid="{00000000-0005-0000-0000-0000CE000000}"/>
    <cellStyle name="Currency 2 5" xfId="294" xr:uid="{00000000-0005-0000-0000-0000CF000000}"/>
    <cellStyle name="Currency 2 5 2" xfId="295" xr:uid="{00000000-0005-0000-0000-0000D0000000}"/>
    <cellStyle name="Currency 2 6" xfId="296" xr:uid="{00000000-0005-0000-0000-0000D1000000}"/>
    <cellStyle name="Currency 2 7" xfId="297" xr:uid="{00000000-0005-0000-0000-0000D2000000}"/>
    <cellStyle name="Currency 2 8" xfId="298" xr:uid="{00000000-0005-0000-0000-0000D3000000}"/>
    <cellStyle name="Currency 20" xfId="299" xr:uid="{00000000-0005-0000-0000-0000D4000000}"/>
    <cellStyle name="Currency 21" xfId="300" xr:uid="{00000000-0005-0000-0000-0000D5000000}"/>
    <cellStyle name="Currency 22" xfId="301" xr:uid="{00000000-0005-0000-0000-0000D6000000}"/>
    <cellStyle name="Currency 24" xfId="302" xr:uid="{00000000-0005-0000-0000-0000D7000000}"/>
    <cellStyle name="Currency 3" xfId="61" xr:uid="{00000000-0005-0000-0000-0000D8000000}"/>
    <cellStyle name="Currency 3 2" xfId="62" xr:uid="{00000000-0005-0000-0000-0000D9000000}"/>
    <cellStyle name="Currency 3 2 2" xfId="303" xr:uid="{00000000-0005-0000-0000-0000DA000000}"/>
    <cellStyle name="Currency 3 3" xfId="63" xr:uid="{00000000-0005-0000-0000-0000DB000000}"/>
    <cellStyle name="Currency 4" xfId="64" xr:uid="{00000000-0005-0000-0000-0000DC000000}"/>
    <cellStyle name="Currency 4 2" xfId="304" xr:uid="{00000000-0005-0000-0000-0000DD000000}"/>
    <cellStyle name="Currency 4 2 10" xfId="305" xr:uid="{00000000-0005-0000-0000-0000DE000000}"/>
    <cellStyle name="Currency 4 2 10 2" xfId="306" xr:uid="{00000000-0005-0000-0000-0000DF000000}"/>
    <cellStyle name="Currency 4 2 11" xfId="307" xr:uid="{00000000-0005-0000-0000-0000E0000000}"/>
    <cellStyle name="Currency 4 2 2" xfId="308" xr:uid="{00000000-0005-0000-0000-0000E1000000}"/>
    <cellStyle name="Currency 4 2 2 2" xfId="309" xr:uid="{00000000-0005-0000-0000-0000E2000000}"/>
    <cellStyle name="Currency 4 2 3" xfId="310" xr:uid="{00000000-0005-0000-0000-0000E3000000}"/>
    <cellStyle name="Currency 4 2 4" xfId="311" xr:uid="{00000000-0005-0000-0000-0000E4000000}"/>
    <cellStyle name="Currency 4 2 5" xfId="312" xr:uid="{00000000-0005-0000-0000-0000E5000000}"/>
    <cellStyle name="Currency 4 2 6" xfId="313" xr:uid="{00000000-0005-0000-0000-0000E6000000}"/>
    <cellStyle name="Currency 4 2 6 2" xfId="314" xr:uid="{00000000-0005-0000-0000-0000E7000000}"/>
    <cellStyle name="Currency 4 2 7" xfId="315" xr:uid="{00000000-0005-0000-0000-0000E8000000}"/>
    <cellStyle name="Currency 4 2 7 2" xfId="316" xr:uid="{00000000-0005-0000-0000-0000E9000000}"/>
    <cellStyle name="Currency 4 2 8" xfId="317" xr:uid="{00000000-0005-0000-0000-0000EA000000}"/>
    <cellStyle name="Currency 4 2 8 2" xfId="318" xr:uid="{00000000-0005-0000-0000-0000EB000000}"/>
    <cellStyle name="Currency 4 2 9" xfId="319" xr:uid="{00000000-0005-0000-0000-0000EC000000}"/>
    <cellStyle name="Currency 4 2 9 2" xfId="320" xr:uid="{00000000-0005-0000-0000-0000ED000000}"/>
    <cellStyle name="Currency 4 3" xfId="321" xr:uid="{00000000-0005-0000-0000-0000EE000000}"/>
    <cellStyle name="Currency 4 3 2" xfId="322" xr:uid="{00000000-0005-0000-0000-0000EF000000}"/>
    <cellStyle name="Currency 4 3 3" xfId="323" xr:uid="{00000000-0005-0000-0000-0000F0000000}"/>
    <cellStyle name="Currency 4 3 4" xfId="324" xr:uid="{00000000-0005-0000-0000-0000F1000000}"/>
    <cellStyle name="Currency 4 3 5" xfId="325" xr:uid="{00000000-0005-0000-0000-0000F2000000}"/>
    <cellStyle name="Currency 4 4" xfId="326" xr:uid="{00000000-0005-0000-0000-0000F3000000}"/>
    <cellStyle name="Currency 4 5" xfId="327" xr:uid="{00000000-0005-0000-0000-0000F4000000}"/>
    <cellStyle name="Currency 5" xfId="65" xr:uid="{00000000-0005-0000-0000-0000F5000000}"/>
    <cellStyle name="Currency 5 2" xfId="328" xr:uid="{00000000-0005-0000-0000-0000F6000000}"/>
    <cellStyle name="Currency 5 3" xfId="329" xr:uid="{00000000-0005-0000-0000-0000F7000000}"/>
    <cellStyle name="Currency 5 4" xfId="330" xr:uid="{00000000-0005-0000-0000-0000F8000000}"/>
    <cellStyle name="Currency 5 5" xfId="331" xr:uid="{00000000-0005-0000-0000-0000F9000000}"/>
    <cellStyle name="Currency 5 6" xfId="332" xr:uid="{00000000-0005-0000-0000-0000FA000000}"/>
    <cellStyle name="Currency 6" xfId="333" xr:uid="{00000000-0005-0000-0000-0000FB000000}"/>
    <cellStyle name="Currency 6 2" xfId="334" xr:uid="{00000000-0005-0000-0000-0000FC000000}"/>
    <cellStyle name="Currency 6 2 2" xfId="335" xr:uid="{00000000-0005-0000-0000-0000FD000000}"/>
    <cellStyle name="Currency 7" xfId="336" xr:uid="{00000000-0005-0000-0000-0000FE000000}"/>
    <cellStyle name="Currency 7 2" xfId="337" xr:uid="{00000000-0005-0000-0000-0000FF000000}"/>
    <cellStyle name="Currency 8" xfId="338" xr:uid="{00000000-0005-0000-0000-000000010000}"/>
    <cellStyle name="Currency 8 2" xfId="339" xr:uid="{00000000-0005-0000-0000-000001010000}"/>
    <cellStyle name="Currency 8 3" xfId="340" xr:uid="{00000000-0005-0000-0000-000002010000}"/>
    <cellStyle name="Currency 8 4" xfId="341" xr:uid="{00000000-0005-0000-0000-000003010000}"/>
    <cellStyle name="Currency 8 5" xfId="342" xr:uid="{00000000-0005-0000-0000-000004010000}"/>
    <cellStyle name="Currency 8 6" xfId="343" xr:uid="{00000000-0005-0000-0000-000005010000}"/>
    <cellStyle name="Currency 9" xfId="344" xr:uid="{00000000-0005-0000-0000-000006010000}"/>
    <cellStyle name="Currency 9 2" xfId="345" xr:uid="{00000000-0005-0000-0000-000007010000}"/>
    <cellStyle name="Currency 9 3" xfId="346" xr:uid="{00000000-0005-0000-0000-000008010000}"/>
    <cellStyle name="Currency Simple" xfId="347" xr:uid="{00000000-0005-0000-0000-000009010000}"/>
    <cellStyle name="Date" xfId="348" xr:uid="{00000000-0005-0000-0000-00000A010000}"/>
    <cellStyle name="Date Short" xfId="349" xr:uid="{00000000-0005-0000-0000-00000B010000}"/>
    <cellStyle name="DELTA" xfId="350" xr:uid="{00000000-0005-0000-0000-00000C010000}"/>
    <cellStyle name="Enter Currency (0)" xfId="351" xr:uid="{00000000-0005-0000-0000-00000D010000}"/>
    <cellStyle name="Enter Currency (2)" xfId="352" xr:uid="{00000000-0005-0000-0000-00000E010000}"/>
    <cellStyle name="Enter Units (0)" xfId="353" xr:uid="{00000000-0005-0000-0000-00000F010000}"/>
    <cellStyle name="Enter Units (1)" xfId="354" xr:uid="{00000000-0005-0000-0000-000010010000}"/>
    <cellStyle name="Enter Units (2)" xfId="355" xr:uid="{00000000-0005-0000-0000-000011010000}"/>
    <cellStyle name="Explanatory Text 2" xfId="356" xr:uid="{00000000-0005-0000-0000-000012010000}"/>
    <cellStyle name="Fixed" xfId="357" xr:uid="{00000000-0005-0000-0000-000013010000}"/>
    <cellStyle name="Good 2" xfId="358" xr:uid="{00000000-0005-0000-0000-000014010000}"/>
    <cellStyle name="Grey" xfId="359" xr:uid="{00000000-0005-0000-0000-000015010000}"/>
    <cellStyle name="Grey 2" xfId="360" xr:uid="{00000000-0005-0000-0000-000016010000}"/>
    <cellStyle name="HEADER" xfId="361" xr:uid="{00000000-0005-0000-0000-000017010000}"/>
    <cellStyle name="Header1" xfId="362" xr:uid="{00000000-0005-0000-0000-000018010000}"/>
    <cellStyle name="Header2" xfId="363" xr:uid="{00000000-0005-0000-0000-000019010000}"/>
    <cellStyle name="Header2 2" xfId="364" xr:uid="{00000000-0005-0000-0000-00001A010000}"/>
    <cellStyle name="Heading 1 2" xfId="365" xr:uid="{00000000-0005-0000-0000-00001B010000}"/>
    <cellStyle name="Heading 2 2" xfId="366" xr:uid="{00000000-0005-0000-0000-00001C010000}"/>
    <cellStyle name="Heading 3 2" xfId="367" xr:uid="{00000000-0005-0000-0000-00001D010000}"/>
    <cellStyle name="Heading 4 2" xfId="368" xr:uid="{00000000-0005-0000-0000-00001E010000}"/>
    <cellStyle name="Heading1" xfId="369" xr:uid="{00000000-0005-0000-0000-00001F010000}"/>
    <cellStyle name="Heading2" xfId="370" xr:uid="{00000000-0005-0000-0000-000020010000}"/>
    <cellStyle name="HIGHLIGHT" xfId="371" xr:uid="{00000000-0005-0000-0000-000021010000}"/>
    <cellStyle name="Hyperlink" xfId="2" builtinId="8"/>
    <cellStyle name="Hyperlink 2" xfId="66" xr:uid="{00000000-0005-0000-0000-000023010000}"/>
    <cellStyle name="Hyperlink 3" xfId="67" xr:uid="{00000000-0005-0000-0000-000024010000}"/>
    <cellStyle name="Hyperlink 4" xfId="68" xr:uid="{00000000-0005-0000-0000-000025010000}"/>
    <cellStyle name="Hyperlink 5" xfId="137" xr:uid="{00000000-0005-0000-0000-000026010000}"/>
    <cellStyle name="Input [yellow]" xfId="372" xr:uid="{00000000-0005-0000-0000-000027010000}"/>
    <cellStyle name="Input [yellow] 2" xfId="373" xr:uid="{00000000-0005-0000-0000-000028010000}"/>
    <cellStyle name="Input 2" xfId="374" xr:uid="{00000000-0005-0000-0000-000029010000}"/>
    <cellStyle name="Link Currency (0)" xfId="375" xr:uid="{00000000-0005-0000-0000-00002A010000}"/>
    <cellStyle name="Link Currency (2)" xfId="376" xr:uid="{00000000-0005-0000-0000-00002B010000}"/>
    <cellStyle name="Link Units (0)" xfId="377" xr:uid="{00000000-0005-0000-0000-00002C010000}"/>
    <cellStyle name="Link Units (1)" xfId="378" xr:uid="{00000000-0005-0000-0000-00002D010000}"/>
    <cellStyle name="Link Units (2)" xfId="379" xr:uid="{00000000-0005-0000-0000-00002E010000}"/>
    <cellStyle name="Linked Cell 2" xfId="380" xr:uid="{00000000-0005-0000-0000-00002F010000}"/>
    <cellStyle name="Neutral 2" xfId="381" xr:uid="{00000000-0005-0000-0000-000030010000}"/>
    <cellStyle name="no dec" xfId="69" xr:uid="{00000000-0005-0000-0000-000031010000}"/>
    <cellStyle name="Normal" xfId="0" builtinId="0"/>
    <cellStyle name="Normal - Style1" xfId="382" xr:uid="{00000000-0005-0000-0000-000033010000}"/>
    <cellStyle name="Normal 10" xfId="70" xr:uid="{00000000-0005-0000-0000-000034010000}"/>
    <cellStyle name="Normal 10 2" xfId="3" xr:uid="{00000000-0005-0000-0000-000035010000}"/>
    <cellStyle name="Normal 10 3" xfId="383" xr:uid="{00000000-0005-0000-0000-000036010000}"/>
    <cellStyle name="Normal 11" xfId="71" xr:uid="{00000000-0005-0000-0000-000037010000}"/>
    <cellStyle name="Normal 11 2" xfId="384" xr:uid="{00000000-0005-0000-0000-000038010000}"/>
    <cellStyle name="Normal 12" xfId="10" xr:uid="{00000000-0005-0000-0000-000039010000}"/>
    <cellStyle name="Normal 12 2" xfId="385" xr:uid="{00000000-0005-0000-0000-00003A010000}"/>
    <cellStyle name="Normal 13" xfId="386" xr:uid="{00000000-0005-0000-0000-00003B010000}"/>
    <cellStyle name="Normal 13 2" xfId="387" xr:uid="{00000000-0005-0000-0000-00003C010000}"/>
    <cellStyle name="Normal 14" xfId="388" xr:uid="{00000000-0005-0000-0000-00003D010000}"/>
    <cellStyle name="Normal 14 2" xfId="389" xr:uid="{00000000-0005-0000-0000-00003E010000}"/>
    <cellStyle name="Normal 15" xfId="390" xr:uid="{00000000-0005-0000-0000-00003F010000}"/>
    <cellStyle name="Normal 15 2" xfId="391" xr:uid="{00000000-0005-0000-0000-000040010000}"/>
    <cellStyle name="Normal 15 3" xfId="392" xr:uid="{00000000-0005-0000-0000-000041010000}"/>
    <cellStyle name="Normal 16" xfId="393" xr:uid="{00000000-0005-0000-0000-000042010000}"/>
    <cellStyle name="Normal 16 2" xfId="394" xr:uid="{00000000-0005-0000-0000-000043010000}"/>
    <cellStyle name="Normal 17" xfId="395" xr:uid="{00000000-0005-0000-0000-000044010000}"/>
    <cellStyle name="Normal 18" xfId="396" xr:uid="{00000000-0005-0000-0000-000045010000}"/>
    <cellStyle name="Normal 18 2" xfId="397" xr:uid="{00000000-0005-0000-0000-000046010000}"/>
    <cellStyle name="Normal 19" xfId="398" xr:uid="{00000000-0005-0000-0000-000047010000}"/>
    <cellStyle name="Normal 19 2" xfId="399" xr:uid="{00000000-0005-0000-0000-000048010000}"/>
    <cellStyle name="Normal 2" xfId="72" xr:uid="{00000000-0005-0000-0000-000049010000}"/>
    <cellStyle name="Normal 2 10" xfId="400" xr:uid="{00000000-0005-0000-0000-00004A010000}"/>
    <cellStyle name="Normal 2 10 10" xfId="401" xr:uid="{00000000-0005-0000-0000-00004B010000}"/>
    <cellStyle name="Normal 2 10 11" xfId="402" xr:uid="{00000000-0005-0000-0000-00004C010000}"/>
    <cellStyle name="Normal 2 10 12" xfId="403" xr:uid="{00000000-0005-0000-0000-00004D010000}"/>
    <cellStyle name="Normal 2 10 13" xfId="404" xr:uid="{00000000-0005-0000-0000-00004E010000}"/>
    <cellStyle name="Normal 2 10 14" xfId="405" xr:uid="{00000000-0005-0000-0000-00004F010000}"/>
    <cellStyle name="Normal 2 10 15" xfId="406" xr:uid="{00000000-0005-0000-0000-000050010000}"/>
    <cellStyle name="Normal 2 10 16" xfId="407" xr:uid="{00000000-0005-0000-0000-000051010000}"/>
    <cellStyle name="Normal 2 10 17" xfId="408" xr:uid="{00000000-0005-0000-0000-000052010000}"/>
    <cellStyle name="Normal 2 10 18" xfId="409" xr:uid="{00000000-0005-0000-0000-000053010000}"/>
    <cellStyle name="Normal 2 10 19" xfId="410" xr:uid="{00000000-0005-0000-0000-000054010000}"/>
    <cellStyle name="Normal 2 10 2" xfId="411" xr:uid="{00000000-0005-0000-0000-000055010000}"/>
    <cellStyle name="Normal 2 10 20" xfId="412" xr:uid="{00000000-0005-0000-0000-000056010000}"/>
    <cellStyle name="Normal 2 10 21" xfId="413" xr:uid="{00000000-0005-0000-0000-000057010000}"/>
    <cellStyle name="Normal 2 10 22" xfId="414" xr:uid="{00000000-0005-0000-0000-000058010000}"/>
    <cellStyle name="Normal 2 10 23" xfId="415" xr:uid="{00000000-0005-0000-0000-000059010000}"/>
    <cellStyle name="Normal 2 10 3" xfId="416" xr:uid="{00000000-0005-0000-0000-00005A010000}"/>
    <cellStyle name="Normal 2 10 4" xfId="417" xr:uid="{00000000-0005-0000-0000-00005B010000}"/>
    <cellStyle name="Normal 2 10 5" xfId="418" xr:uid="{00000000-0005-0000-0000-00005C010000}"/>
    <cellStyle name="Normal 2 10 6" xfId="419" xr:uid="{00000000-0005-0000-0000-00005D010000}"/>
    <cellStyle name="Normal 2 10 7" xfId="420" xr:uid="{00000000-0005-0000-0000-00005E010000}"/>
    <cellStyle name="Normal 2 10 8" xfId="421" xr:uid="{00000000-0005-0000-0000-00005F010000}"/>
    <cellStyle name="Normal 2 10 9" xfId="422" xr:uid="{00000000-0005-0000-0000-000060010000}"/>
    <cellStyle name="Normal 2 11" xfId="423" xr:uid="{00000000-0005-0000-0000-000061010000}"/>
    <cellStyle name="Normal 2 11 10" xfId="424" xr:uid="{00000000-0005-0000-0000-000062010000}"/>
    <cellStyle name="Normal 2 11 11" xfId="425" xr:uid="{00000000-0005-0000-0000-000063010000}"/>
    <cellStyle name="Normal 2 11 12" xfId="426" xr:uid="{00000000-0005-0000-0000-000064010000}"/>
    <cellStyle name="Normal 2 11 13" xfId="427" xr:uid="{00000000-0005-0000-0000-000065010000}"/>
    <cellStyle name="Normal 2 11 14" xfId="428" xr:uid="{00000000-0005-0000-0000-000066010000}"/>
    <cellStyle name="Normal 2 11 15" xfId="429" xr:uid="{00000000-0005-0000-0000-000067010000}"/>
    <cellStyle name="Normal 2 11 16" xfId="430" xr:uid="{00000000-0005-0000-0000-000068010000}"/>
    <cellStyle name="Normal 2 11 17" xfId="431" xr:uid="{00000000-0005-0000-0000-000069010000}"/>
    <cellStyle name="Normal 2 11 18" xfId="432" xr:uid="{00000000-0005-0000-0000-00006A010000}"/>
    <cellStyle name="Normal 2 11 19" xfId="433" xr:uid="{00000000-0005-0000-0000-00006B010000}"/>
    <cellStyle name="Normal 2 11 2" xfId="434" xr:uid="{00000000-0005-0000-0000-00006C010000}"/>
    <cellStyle name="Normal 2 11 20" xfId="435" xr:uid="{00000000-0005-0000-0000-00006D010000}"/>
    <cellStyle name="Normal 2 11 21" xfId="436" xr:uid="{00000000-0005-0000-0000-00006E010000}"/>
    <cellStyle name="Normal 2 11 22" xfId="437" xr:uid="{00000000-0005-0000-0000-00006F010000}"/>
    <cellStyle name="Normal 2 11 23" xfId="438" xr:uid="{00000000-0005-0000-0000-000070010000}"/>
    <cellStyle name="Normal 2 11 3" xfId="439" xr:uid="{00000000-0005-0000-0000-000071010000}"/>
    <cellStyle name="Normal 2 11 4" xfId="440" xr:uid="{00000000-0005-0000-0000-000072010000}"/>
    <cellStyle name="Normal 2 11 5" xfId="441" xr:uid="{00000000-0005-0000-0000-000073010000}"/>
    <cellStyle name="Normal 2 11 6" xfId="442" xr:uid="{00000000-0005-0000-0000-000074010000}"/>
    <cellStyle name="Normal 2 11 7" xfId="443" xr:uid="{00000000-0005-0000-0000-000075010000}"/>
    <cellStyle name="Normal 2 11 8" xfId="444" xr:uid="{00000000-0005-0000-0000-000076010000}"/>
    <cellStyle name="Normal 2 11 9" xfId="445" xr:uid="{00000000-0005-0000-0000-000077010000}"/>
    <cellStyle name="Normal 2 12" xfId="446" xr:uid="{00000000-0005-0000-0000-000078010000}"/>
    <cellStyle name="Normal 2 12 10" xfId="447" xr:uid="{00000000-0005-0000-0000-000079010000}"/>
    <cellStyle name="Normal 2 12 11" xfId="448" xr:uid="{00000000-0005-0000-0000-00007A010000}"/>
    <cellStyle name="Normal 2 12 12" xfId="449" xr:uid="{00000000-0005-0000-0000-00007B010000}"/>
    <cellStyle name="Normal 2 12 13" xfId="450" xr:uid="{00000000-0005-0000-0000-00007C010000}"/>
    <cellStyle name="Normal 2 12 14" xfId="451" xr:uid="{00000000-0005-0000-0000-00007D010000}"/>
    <cellStyle name="Normal 2 12 15" xfId="452" xr:uid="{00000000-0005-0000-0000-00007E010000}"/>
    <cellStyle name="Normal 2 12 16" xfId="453" xr:uid="{00000000-0005-0000-0000-00007F010000}"/>
    <cellStyle name="Normal 2 12 17" xfId="454" xr:uid="{00000000-0005-0000-0000-000080010000}"/>
    <cellStyle name="Normal 2 12 18" xfId="455" xr:uid="{00000000-0005-0000-0000-000081010000}"/>
    <cellStyle name="Normal 2 12 19" xfId="456" xr:uid="{00000000-0005-0000-0000-000082010000}"/>
    <cellStyle name="Normal 2 12 2" xfId="457" xr:uid="{00000000-0005-0000-0000-000083010000}"/>
    <cellStyle name="Normal 2 12 20" xfId="458" xr:uid="{00000000-0005-0000-0000-000084010000}"/>
    <cellStyle name="Normal 2 12 21" xfId="459" xr:uid="{00000000-0005-0000-0000-000085010000}"/>
    <cellStyle name="Normal 2 12 22" xfId="460" xr:uid="{00000000-0005-0000-0000-000086010000}"/>
    <cellStyle name="Normal 2 12 23" xfId="461" xr:uid="{00000000-0005-0000-0000-000087010000}"/>
    <cellStyle name="Normal 2 12 3" xfId="462" xr:uid="{00000000-0005-0000-0000-000088010000}"/>
    <cellStyle name="Normal 2 12 4" xfId="463" xr:uid="{00000000-0005-0000-0000-000089010000}"/>
    <cellStyle name="Normal 2 12 5" xfId="464" xr:uid="{00000000-0005-0000-0000-00008A010000}"/>
    <cellStyle name="Normal 2 12 6" xfId="465" xr:uid="{00000000-0005-0000-0000-00008B010000}"/>
    <cellStyle name="Normal 2 12 7" xfId="466" xr:uid="{00000000-0005-0000-0000-00008C010000}"/>
    <cellStyle name="Normal 2 12 8" xfId="467" xr:uid="{00000000-0005-0000-0000-00008D010000}"/>
    <cellStyle name="Normal 2 12 9" xfId="468" xr:uid="{00000000-0005-0000-0000-00008E010000}"/>
    <cellStyle name="Normal 2 13" xfId="469" xr:uid="{00000000-0005-0000-0000-00008F010000}"/>
    <cellStyle name="Normal 2 13 10" xfId="470" xr:uid="{00000000-0005-0000-0000-000090010000}"/>
    <cellStyle name="Normal 2 13 11" xfId="471" xr:uid="{00000000-0005-0000-0000-000091010000}"/>
    <cellStyle name="Normal 2 13 12" xfId="472" xr:uid="{00000000-0005-0000-0000-000092010000}"/>
    <cellStyle name="Normal 2 13 13" xfId="473" xr:uid="{00000000-0005-0000-0000-000093010000}"/>
    <cellStyle name="Normal 2 13 14" xfId="474" xr:uid="{00000000-0005-0000-0000-000094010000}"/>
    <cellStyle name="Normal 2 13 15" xfId="475" xr:uid="{00000000-0005-0000-0000-000095010000}"/>
    <cellStyle name="Normal 2 13 16" xfId="476" xr:uid="{00000000-0005-0000-0000-000096010000}"/>
    <cellStyle name="Normal 2 13 17" xfId="477" xr:uid="{00000000-0005-0000-0000-000097010000}"/>
    <cellStyle name="Normal 2 13 18" xfId="478" xr:uid="{00000000-0005-0000-0000-000098010000}"/>
    <cellStyle name="Normal 2 13 19" xfId="479" xr:uid="{00000000-0005-0000-0000-000099010000}"/>
    <cellStyle name="Normal 2 13 2" xfId="480" xr:uid="{00000000-0005-0000-0000-00009A010000}"/>
    <cellStyle name="Normal 2 13 20" xfId="481" xr:uid="{00000000-0005-0000-0000-00009B010000}"/>
    <cellStyle name="Normal 2 13 21" xfId="482" xr:uid="{00000000-0005-0000-0000-00009C010000}"/>
    <cellStyle name="Normal 2 13 22" xfId="483" xr:uid="{00000000-0005-0000-0000-00009D010000}"/>
    <cellStyle name="Normal 2 13 23" xfId="484" xr:uid="{00000000-0005-0000-0000-00009E010000}"/>
    <cellStyle name="Normal 2 13 3" xfId="485" xr:uid="{00000000-0005-0000-0000-00009F010000}"/>
    <cellStyle name="Normal 2 13 4" xfId="486" xr:uid="{00000000-0005-0000-0000-0000A0010000}"/>
    <cellStyle name="Normal 2 13 5" xfId="487" xr:uid="{00000000-0005-0000-0000-0000A1010000}"/>
    <cellStyle name="Normal 2 13 6" xfId="488" xr:uid="{00000000-0005-0000-0000-0000A2010000}"/>
    <cellStyle name="Normal 2 13 7" xfId="489" xr:uid="{00000000-0005-0000-0000-0000A3010000}"/>
    <cellStyle name="Normal 2 13 8" xfId="490" xr:uid="{00000000-0005-0000-0000-0000A4010000}"/>
    <cellStyle name="Normal 2 13 9" xfId="491" xr:uid="{00000000-0005-0000-0000-0000A5010000}"/>
    <cellStyle name="Normal 2 14" xfId="492" xr:uid="{00000000-0005-0000-0000-0000A6010000}"/>
    <cellStyle name="Normal 2 14 10" xfId="493" xr:uid="{00000000-0005-0000-0000-0000A7010000}"/>
    <cellStyle name="Normal 2 14 11" xfId="494" xr:uid="{00000000-0005-0000-0000-0000A8010000}"/>
    <cellStyle name="Normal 2 14 12" xfId="495" xr:uid="{00000000-0005-0000-0000-0000A9010000}"/>
    <cellStyle name="Normal 2 14 13" xfId="496" xr:uid="{00000000-0005-0000-0000-0000AA010000}"/>
    <cellStyle name="Normal 2 14 14" xfId="497" xr:uid="{00000000-0005-0000-0000-0000AB010000}"/>
    <cellStyle name="Normal 2 14 15" xfId="498" xr:uid="{00000000-0005-0000-0000-0000AC010000}"/>
    <cellStyle name="Normal 2 14 16" xfId="499" xr:uid="{00000000-0005-0000-0000-0000AD010000}"/>
    <cellStyle name="Normal 2 14 17" xfId="500" xr:uid="{00000000-0005-0000-0000-0000AE010000}"/>
    <cellStyle name="Normal 2 14 18" xfId="501" xr:uid="{00000000-0005-0000-0000-0000AF010000}"/>
    <cellStyle name="Normal 2 14 19" xfId="502" xr:uid="{00000000-0005-0000-0000-0000B0010000}"/>
    <cellStyle name="Normal 2 14 2" xfId="503" xr:uid="{00000000-0005-0000-0000-0000B1010000}"/>
    <cellStyle name="Normal 2 14 20" xfId="504" xr:uid="{00000000-0005-0000-0000-0000B2010000}"/>
    <cellStyle name="Normal 2 14 21" xfId="505" xr:uid="{00000000-0005-0000-0000-0000B3010000}"/>
    <cellStyle name="Normal 2 14 22" xfId="506" xr:uid="{00000000-0005-0000-0000-0000B4010000}"/>
    <cellStyle name="Normal 2 14 23" xfId="507" xr:uid="{00000000-0005-0000-0000-0000B5010000}"/>
    <cellStyle name="Normal 2 14 3" xfId="508" xr:uid="{00000000-0005-0000-0000-0000B6010000}"/>
    <cellStyle name="Normal 2 14 4" xfId="509" xr:uid="{00000000-0005-0000-0000-0000B7010000}"/>
    <cellStyle name="Normal 2 14 5" xfId="510" xr:uid="{00000000-0005-0000-0000-0000B8010000}"/>
    <cellStyle name="Normal 2 14 6" xfId="511" xr:uid="{00000000-0005-0000-0000-0000B9010000}"/>
    <cellStyle name="Normal 2 14 7" xfId="512" xr:uid="{00000000-0005-0000-0000-0000BA010000}"/>
    <cellStyle name="Normal 2 14 8" xfId="513" xr:uid="{00000000-0005-0000-0000-0000BB010000}"/>
    <cellStyle name="Normal 2 14 9" xfId="514" xr:uid="{00000000-0005-0000-0000-0000BC010000}"/>
    <cellStyle name="Normal 2 15" xfId="515" xr:uid="{00000000-0005-0000-0000-0000BD010000}"/>
    <cellStyle name="Normal 2 15 10" xfId="516" xr:uid="{00000000-0005-0000-0000-0000BE010000}"/>
    <cellStyle name="Normal 2 15 11" xfId="517" xr:uid="{00000000-0005-0000-0000-0000BF010000}"/>
    <cellStyle name="Normal 2 15 12" xfId="518" xr:uid="{00000000-0005-0000-0000-0000C0010000}"/>
    <cellStyle name="Normal 2 15 13" xfId="519" xr:uid="{00000000-0005-0000-0000-0000C1010000}"/>
    <cellStyle name="Normal 2 15 14" xfId="520" xr:uid="{00000000-0005-0000-0000-0000C2010000}"/>
    <cellStyle name="Normal 2 15 15" xfId="521" xr:uid="{00000000-0005-0000-0000-0000C3010000}"/>
    <cellStyle name="Normal 2 15 16" xfId="522" xr:uid="{00000000-0005-0000-0000-0000C4010000}"/>
    <cellStyle name="Normal 2 15 17" xfId="523" xr:uid="{00000000-0005-0000-0000-0000C5010000}"/>
    <cellStyle name="Normal 2 15 18" xfId="524" xr:uid="{00000000-0005-0000-0000-0000C6010000}"/>
    <cellStyle name="Normal 2 15 19" xfId="525" xr:uid="{00000000-0005-0000-0000-0000C7010000}"/>
    <cellStyle name="Normal 2 15 2" xfId="526" xr:uid="{00000000-0005-0000-0000-0000C8010000}"/>
    <cellStyle name="Normal 2 15 20" xfId="527" xr:uid="{00000000-0005-0000-0000-0000C9010000}"/>
    <cellStyle name="Normal 2 15 21" xfId="528" xr:uid="{00000000-0005-0000-0000-0000CA010000}"/>
    <cellStyle name="Normal 2 15 22" xfId="529" xr:uid="{00000000-0005-0000-0000-0000CB010000}"/>
    <cellStyle name="Normal 2 15 23" xfId="530" xr:uid="{00000000-0005-0000-0000-0000CC010000}"/>
    <cellStyle name="Normal 2 15 3" xfId="531" xr:uid="{00000000-0005-0000-0000-0000CD010000}"/>
    <cellStyle name="Normal 2 15 4" xfId="532" xr:uid="{00000000-0005-0000-0000-0000CE010000}"/>
    <cellStyle name="Normal 2 15 5" xfId="533" xr:uid="{00000000-0005-0000-0000-0000CF010000}"/>
    <cellStyle name="Normal 2 15 6" xfId="534" xr:uid="{00000000-0005-0000-0000-0000D0010000}"/>
    <cellStyle name="Normal 2 15 7" xfId="535" xr:uid="{00000000-0005-0000-0000-0000D1010000}"/>
    <cellStyle name="Normal 2 15 8" xfId="536" xr:uid="{00000000-0005-0000-0000-0000D2010000}"/>
    <cellStyle name="Normal 2 15 9" xfId="537" xr:uid="{00000000-0005-0000-0000-0000D3010000}"/>
    <cellStyle name="Normal 2 16" xfId="538" xr:uid="{00000000-0005-0000-0000-0000D4010000}"/>
    <cellStyle name="Normal 2 16 10" xfId="539" xr:uid="{00000000-0005-0000-0000-0000D5010000}"/>
    <cellStyle name="Normal 2 16 11" xfId="540" xr:uid="{00000000-0005-0000-0000-0000D6010000}"/>
    <cellStyle name="Normal 2 16 12" xfId="541" xr:uid="{00000000-0005-0000-0000-0000D7010000}"/>
    <cellStyle name="Normal 2 16 13" xfId="542" xr:uid="{00000000-0005-0000-0000-0000D8010000}"/>
    <cellStyle name="Normal 2 16 14" xfId="543" xr:uid="{00000000-0005-0000-0000-0000D9010000}"/>
    <cellStyle name="Normal 2 16 15" xfId="544" xr:uid="{00000000-0005-0000-0000-0000DA010000}"/>
    <cellStyle name="Normal 2 16 16" xfId="545" xr:uid="{00000000-0005-0000-0000-0000DB010000}"/>
    <cellStyle name="Normal 2 16 17" xfId="546" xr:uid="{00000000-0005-0000-0000-0000DC010000}"/>
    <cellStyle name="Normal 2 16 18" xfId="547" xr:uid="{00000000-0005-0000-0000-0000DD010000}"/>
    <cellStyle name="Normal 2 16 19" xfId="548" xr:uid="{00000000-0005-0000-0000-0000DE010000}"/>
    <cellStyle name="Normal 2 16 2" xfId="549" xr:uid="{00000000-0005-0000-0000-0000DF010000}"/>
    <cellStyle name="Normal 2 16 20" xfId="550" xr:uid="{00000000-0005-0000-0000-0000E0010000}"/>
    <cellStyle name="Normal 2 16 21" xfId="551" xr:uid="{00000000-0005-0000-0000-0000E1010000}"/>
    <cellStyle name="Normal 2 16 22" xfId="552" xr:uid="{00000000-0005-0000-0000-0000E2010000}"/>
    <cellStyle name="Normal 2 16 23" xfId="553" xr:uid="{00000000-0005-0000-0000-0000E3010000}"/>
    <cellStyle name="Normal 2 16 3" xfId="554" xr:uid="{00000000-0005-0000-0000-0000E4010000}"/>
    <cellStyle name="Normal 2 16 4" xfId="555" xr:uid="{00000000-0005-0000-0000-0000E5010000}"/>
    <cellStyle name="Normal 2 16 5" xfId="556" xr:uid="{00000000-0005-0000-0000-0000E6010000}"/>
    <cellStyle name="Normal 2 16 6" xfId="557" xr:uid="{00000000-0005-0000-0000-0000E7010000}"/>
    <cellStyle name="Normal 2 16 7" xfId="558" xr:uid="{00000000-0005-0000-0000-0000E8010000}"/>
    <cellStyle name="Normal 2 16 8" xfId="559" xr:uid="{00000000-0005-0000-0000-0000E9010000}"/>
    <cellStyle name="Normal 2 16 9" xfId="560" xr:uid="{00000000-0005-0000-0000-0000EA010000}"/>
    <cellStyle name="Normal 2 17" xfId="561" xr:uid="{00000000-0005-0000-0000-0000EB010000}"/>
    <cellStyle name="Normal 2 17 10" xfId="562" xr:uid="{00000000-0005-0000-0000-0000EC010000}"/>
    <cellStyle name="Normal 2 17 11" xfId="563" xr:uid="{00000000-0005-0000-0000-0000ED010000}"/>
    <cellStyle name="Normal 2 17 12" xfId="564" xr:uid="{00000000-0005-0000-0000-0000EE010000}"/>
    <cellStyle name="Normal 2 17 13" xfId="565" xr:uid="{00000000-0005-0000-0000-0000EF010000}"/>
    <cellStyle name="Normal 2 17 14" xfId="566" xr:uid="{00000000-0005-0000-0000-0000F0010000}"/>
    <cellStyle name="Normal 2 17 15" xfId="567" xr:uid="{00000000-0005-0000-0000-0000F1010000}"/>
    <cellStyle name="Normal 2 17 16" xfId="568" xr:uid="{00000000-0005-0000-0000-0000F2010000}"/>
    <cellStyle name="Normal 2 17 17" xfId="569" xr:uid="{00000000-0005-0000-0000-0000F3010000}"/>
    <cellStyle name="Normal 2 17 18" xfId="570" xr:uid="{00000000-0005-0000-0000-0000F4010000}"/>
    <cellStyle name="Normal 2 17 19" xfId="571" xr:uid="{00000000-0005-0000-0000-0000F5010000}"/>
    <cellStyle name="Normal 2 17 2" xfId="572" xr:uid="{00000000-0005-0000-0000-0000F6010000}"/>
    <cellStyle name="Normal 2 17 20" xfId="573" xr:uid="{00000000-0005-0000-0000-0000F7010000}"/>
    <cellStyle name="Normal 2 17 21" xfId="574" xr:uid="{00000000-0005-0000-0000-0000F8010000}"/>
    <cellStyle name="Normal 2 17 22" xfId="575" xr:uid="{00000000-0005-0000-0000-0000F9010000}"/>
    <cellStyle name="Normal 2 17 23" xfId="576" xr:uid="{00000000-0005-0000-0000-0000FA010000}"/>
    <cellStyle name="Normal 2 17 3" xfId="577" xr:uid="{00000000-0005-0000-0000-0000FB010000}"/>
    <cellStyle name="Normal 2 17 4" xfId="578" xr:uid="{00000000-0005-0000-0000-0000FC010000}"/>
    <cellStyle name="Normal 2 17 5" xfId="579" xr:uid="{00000000-0005-0000-0000-0000FD010000}"/>
    <cellStyle name="Normal 2 17 6" xfId="580" xr:uid="{00000000-0005-0000-0000-0000FE010000}"/>
    <cellStyle name="Normal 2 17 7" xfId="581" xr:uid="{00000000-0005-0000-0000-0000FF010000}"/>
    <cellStyle name="Normal 2 17 8" xfId="582" xr:uid="{00000000-0005-0000-0000-000000020000}"/>
    <cellStyle name="Normal 2 17 9" xfId="583" xr:uid="{00000000-0005-0000-0000-000001020000}"/>
    <cellStyle name="Normal 2 18" xfId="584" xr:uid="{00000000-0005-0000-0000-000002020000}"/>
    <cellStyle name="Normal 2 18 10" xfId="585" xr:uid="{00000000-0005-0000-0000-000003020000}"/>
    <cellStyle name="Normal 2 18 11" xfId="586" xr:uid="{00000000-0005-0000-0000-000004020000}"/>
    <cellStyle name="Normal 2 18 12" xfId="587" xr:uid="{00000000-0005-0000-0000-000005020000}"/>
    <cellStyle name="Normal 2 18 13" xfId="588" xr:uid="{00000000-0005-0000-0000-000006020000}"/>
    <cellStyle name="Normal 2 18 14" xfId="589" xr:uid="{00000000-0005-0000-0000-000007020000}"/>
    <cellStyle name="Normal 2 18 15" xfId="590" xr:uid="{00000000-0005-0000-0000-000008020000}"/>
    <cellStyle name="Normal 2 18 16" xfId="591" xr:uid="{00000000-0005-0000-0000-000009020000}"/>
    <cellStyle name="Normal 2 18 17" xfId="592" xr:uid="{00000000-0005-0000-0000-00000A020000}"/>
    <cellStyle name="Normal 2 18 18" xfId="593" xr:uid="{00000000-0005-0000-0000-00000B020000}"/>
    <cellStyle name="Normal 2 18 19" xfId="594" xr:uid="{00000000-0005-0000-0000-00000C020000}"/>
    <cellStyle name="Normal 2 18 2" xfId="595" xr:uid="{00000000-0005-0000-0000-00000D020000}"/>
    <cellStyle name="Normal 2 18 20" xfId="596" xr:uid="{00000000-0005-0000-0000-00000E020000}"/>
    <cellStyle name="Normal 2 18 21" xfId="597" xr:uid="{00000000-0005-0000-0000-00000F020000}"/>
    <cellStyle name="Normal 2 18 22" xfId="598" xr:uid="{00000000-0005-0000-0000-000010020000}"/>
    <cellStyle name="Normal 2 18 23" xfId="599" xr:uid="{00000000-0005-0000-0000-000011020000}"/>
    <cellStyle name="Normal 2 18 3" xfId="600" xr:uid="{00000000-0005-0000-0000-000012020000}"/>
    <cellStyle name="Normal 2 18 4" xfId="601" xr:uid="{00000000-0005-0000-0000-000013020000}"/>
    <cellStyle name="Normal 2 18 5" xfId="602" xr:uid="{00000000-0005-0000-0000-000014020000}"/>
    <cellStyle name="Normal 2 18 6" xfId="603" xr:uid="{00000000-0005-0000-0000-000015020000}"/>
    <cellStyle name="Normal 2 18 7" xfId="604" xr:uid="{00000000-0005-0000-0000-000016020000}"/>
    <cellStyle name="Normal 2 18 8" xfId="605" xr:uid="{00000000-0005-0000-0000-000017020000}"/>
    <cellStyle name="Normal 2 18 9" xfId="606" xr:uid="{00000000-0005-0000-0000-000018020000}"/>
    <cellStyle name="Normal 2 19" xfId="607" xr:uid="{00000000-0005-0000-0000-000019020000}"/>
    <cellStyle name="Normal 2 19 10" xfId="608" xr:uid="{00000000-0005-0000-0000-00001A020000}"/>
    <cellStyle name="Normal 2 19 11" xfId="609" xr:uid="{00000000-0005-0000-0000-00001B020000}"/>
    <cellStyle name="Normal 2 19 12" xfId="610" xr:uid="{00000000-0005-0000-0000-00001C020000}"/>
    <cellStyle name="Normal 2 19 13" xfId="611" xr:uid="{00000000-0005-0000-0000-00001D020000}"/>
    <cellStyle name="Normal 2 19 14" xfId="612" xr:uid="{00000000-0005-0000-0000-00001E020000}"/>
    <cellStyle name="Normal 2 19 15" xfId="613" xr:uid="{00000000-0005-0000-0000-00001F020000}"/>
    <cellStyle name="Normal 2 19 16" xfId="614" xr:uid="{00000000-0005-0000-0000-000020020000}"/>
    <cellStyle name="Normal 2 19 17" xfId="615" xr:uid="{00000000-0005-0000-0000-000021020000}"/>
    <cellStyle name="Normal 2 19 18" xfId="616" xr:uid="{00000000-0005-0000-0000-000022020000}"/>
    <cellStyle name="Normal 2 19 19" xfId="617" xr:uid="{00000000-0005-0000-0000-000023020000}"/>
    <cellStyle name="Normal 2 19 2" xfId="618" xr:uid="{00000000-0005-0000-0000-000024020000}"/>
    <cellStyle name="Normal 2 19 20" xfId="619" xr:uid="{00000000-0005-0000-0000-000025020000}"/>
    <cellStyle name="Normal 2 19 21" xfId="620" xr:uid="{00000000-0005-0000-0000-000026020000}"/>
    <cellStyle name="Normal 2 19 22" xfId="621" xr:uid="{00000000-0005-0000-0000-000027020000}"/>
    <cellStyle name="Normal 2 19 23" xfId="622" xr:uid="{00000000-0005-0000-0000-000028020000}"/>
    <cellStyle name="Normal 2 19 3" xfId="623" xr:uid="{00000000-0005-0000-0000-000029020000}"/>
    <cellStyle name="Normal 2 19 4" xfId="624" xr:uid="{00000000-0005-0000-0000-00002A020000}"/>
    <cellStyle name="Normal 2 19 5" xfId="625" xr:uid="{00000000-0005-0000-0000-00002B020000}"/>
    <cellStyle name="Normal 2 19 6" xfId="626" xr:uid="{00000000-0005-0000-0000-00002C020000}"/>
    <cellStyle name="Normal 2 19 7" xfId="627" xr:uid="{00000000-0005-0000-0000-00002D020000}"/>
    <cellStyle name="Normal 2 19 8" xfId="628" xr:uid="{00000000-0005-0000-0000-00002E020000}"/>
    <cellStyle name="Normal 2 19 9" xfId="629" xr:uid="{00000000-0005-0000-0000-00002F020000}"/>
    <cellStyle name="Normal 2 2" xfId="73" xr:uid="{00000000-0005-0000-0000-000030020000}"/>
    <cellStyle name="Normal 2 2 2" xfId="74" xr:uid="{00000000-0005-0000-0000-000031020000}"/>
    <cellStyle name="Normal 2 2 2 2" xfId="630" xr:uid="{00000000-0005-0000-0000-000032020000}"/>
    <cellStyle name="Normal 2 2 2 3" xfId="631" xr:uid="{00000000-0005-0000-0000-000033020000}"/>
    <cellStyle name="Normal 2 2 2 4" xfId="632" xr:uid="{00000000-0005-0000-0000-000034020000}"/>
    <cellStyle name="Normal 2 2 3" xfId="633" xr:uid="{00000000-0005-0000-0000-000035020000}"/>
    <cellStyle name="Normal 2 2 4" xfId="634" xr:uid="{00000000-0005-0000-0000-000036020000}"/>
    <cellStyle name="Normal 2 2_Summary" xfId="635" xr:uid="{00000000-0005-0000-0000-000037020000}"/>
    <cellStyle name="Normal 2 20" xfId="636" xr:uid="{00000000-0005-0000-0000-000038020000}"/>
    <cellStyle name="Normal 2 20 10" xfId="637" xr:uid="{00000000-0005-0000-0000-000039020000}"/>
    <cellStyle name="Normal 2 20 11" xfId="638" xr:uid="{00000000-0005-0000-0000-00003A020000}"/>
    <cellStyle name="Normal 2 20 12" xfId="639" xr:uid="{00000000-0005-0000-0000-00003B020000}"/>
    <cellStyle name="Normal 2 20 13" xfId="640" xr:uid="{00000000-0005-0000-0000-00003C020000}"/>
    <cellStyle name="Normal 2 20 14" xfId="641" xr:uid="{00000000-0005-0000-0000-00003D020000}"/>
    <cellStyle name="Normal 2 20 15" xfId="642" xr:uid="{00000000-0005-0000-0000-00003E020000}"/>
    <cellStyle name="Normal 2 20 16" xfId="643" xr:uid="{00000000-0005-0000-0000-00003F020000}"/>
    <cellStyle name="Normal 2 20 17" xfId="644" xr:uid="{00000000-0005-0000-0000-000040020000}"/>
    <cellStyle name="Normal 2 20 18" xfId="645" xr:uid="{00000000-0005-0000-0000-000041020000}"/>
    <cellStyle name="Normal 2 20 19" xfId="646" xr:uid="{00000000-0005-0000-0000-000042020000}"/>
    <cellStyle name="Normal 2 20 2" xfId="647" xr:uid="{00000000-0005-0000-0000-000043020000}"/>
    <cellStyle name="Normal 2 20 20" xfId="648" xr:uid="{00000000-0005-0000-0000-000044020000}"/>
    <cellStyle name="Normal 2 20 21" xfId="649" xr:uid="{00000000-0005-0000-0000-000045020000}"/>
    <cellStyle name="Normal 2 20 22" xfId="650" xr:uid="{00000000-0005-0000-0000-000046020000}"/>
    <cellStyle name="Normal 2 20 23" xfId="651" xr:uid="{00000000-0005-0000-0000-000047020000}"/>
    <cellStyle name="Normal 2 20 3" xfId="652" xr:uid="{00000000-0005-0000-0000-000048020000}"/>
    <cellStyle name="Normal 2 20 4" xfId="653" xr:uid="{00000000-0005-0000-0000-000049020000}"/>
    <cellStyle name="Normal 2 20 5" xfId="654" xr:uid="{00000000-0005-0000-0000-00004A020000}"/>
    <cellStyle name="Normal 2 20 6" xfId="655" xr:uid="{00000000-0005-0000-0000-00004B020000}"/>
    <cellStyle name="Normal 2 20 7" xfId="656" xr:uid="{00000000-0005-0000-0000-00004C020000}"/>
    <cellStyle name="Normal 2 20 8" xfId="657" xr:uid="{00000000-0005-0000-0000-00004D020000}"/>
    <cellStyle name="Normal 2 20 9" xfId="658" xr:uid="{00000000-0005-0000-0000-00004E020000}"/>
    <cellStyle name="Normal 2 21" xfId="659" xr:uid="{00000000-0005-0000-0000-00004F020000}"/>
    <cellStyle name="Normal 2 21 10" xfId="660" xr:uid="{00000000-0005-0000-0000-000050020000}"/>
    <cellStyle name="Normal 2 21 11" xfId="661" xr:uid="{00000000-0005-0000-0000-000051020000}"/>
    <cellStyle name="Normal 2 21 12" xfId="662" xr:uid="{00000000-0005-0000-0000-000052020000}"/>
    <cellStyle name="Normal 2 21 13" xfId="663" xr:uid="{00000000-0005-0000-0000-000053020000}"/>
    <cellStyle name="Normal 2 21 14" xfId="664" xr:uid="{00000000-0005-0000-0000-000054020000}"/>
    <cellStyle name="Normal 2 21 15" xfId="665" xr:uid="{00000000-0005-0000-0000-000055020000}"/>
    <cellStyle name="Normal 2 21 16" xfId="666" xr:uid="{00000000-0005-0000-0000-000056020000}"/>
    <cellStyle name="Normal 2 21 17" xfId="667" xr:uid="{00000000-0005-0000-0000-000057020000}"/>
    <cellStyle name="Normal 2 21 18" xfId="668" xr:uid="{00000000-0005-0000-0000-000058020000}"/>
    <cellStyle name="Normal 2 21 19" xfId="669" xr:uid="{00000000-0005-0000-0000-000059020000}"/>
    <cellStyle name="Normal 2 21 2" xfId="670" xr:uid="{00000000-0005-0000-0000-00005A020000}"/>
    <cellStyle name="Normal 2 21 20" xfId="671" xr:uid="{00000000-0005-0000-0000-00005B020000}"/>
    <cellStyle name="Normal 2 21 21" xfId="672" xr:uid="{00000000-0005-0000-0000-00005C020000}"/>
    <cellStyle name="Normal 2 21 22" xfId="673" xr:uid="{00000000-0005-0000-0000-00005D020000}"/>
    <cellStyle name="Normal 2 21 23" xfId="674" xr:uid="{00000000-0005-0000-0000-00005E020000}"/>
    <cellStyle name="Normal 2 21 3" xfId="675" xr:uid="{00000000-0005-0000-0000-00005F020000}"/>
    <cellStyle name="Normal 2 21 4" xfId="676" xr:uid="{00000000-0005-0000-0000-000060020000}"/>
    <cellStyle name="Normal 2 21 5" xfId="677" xr:uid="{00000000-0005-0000-0000-000061020000}"/>
    <cellStyle name="Normal 2 21 6" xfId="678" xr:uid="{00000000-0005-0000-0000-000062020000}"/>
    <cellStyle name="Normal 2 21 7" xfId="679" xr:uid="{00000000-0005-0000-0000-000063020000}"/>
    <cellStyle name="Normal 2 21 8" xfId="680" xr:uid="{00000000-0005-0000-0000-000064020000}"/>
    <cellStyle name="Normal 2 21 9" xfId="681" xr:uid="{00000000-0005-0000-0000-000065020000}"/>
    <cellStyle name="Normal 2 22" xfId="682" xr:uid="{00000000-0005-0000-0000-000066020000}"/>
    <cellStyle name="Normal 2 22 10" xfId="683" xr:uid="{00000000-0005-0000-0000-000067020000}"/>
    <cellStyle name="Normal 2 22 11" xfId="684" xr:uid="{00000000-0005-0000-0000-000068020000}"/>
    <cellStyle name="Normal 2 22 12" xfId="685" xr:uid="{00000000-0005-0000-0000-000069020000}"/>
    <cellStyle name="Normal 2 22 13" xfId="686" xr:uid="{00000000-0005-0000-0000-00006A020000}"/>
    <cellStyle name="Normal 2 22 14" xfId="687" xr:uid="{00000000-0005-0000-0000-00006B020000}"/>
    <cellStyle name="Normal 2 22 15" xfId="688" xr:uid="{00000000-0005-0000-0000-00006C020000}"/>
    <cellStyle name="Normal 2 22 16" xfId="689" xr:uid="{00000000-0005-0000-0000-00006D020000}"/>
    <cellStyle name="Normal 2 22 17" xfId="690" xr:uid="{00000000-0005-0000-0000-00006E020000}"/>
    <cellStyle name="Normal 2 22 18" xfId="691" xr:uid="{00000000-0005-0000-0000-00006F020000}"/>
    <cellStyle name="Normal 2 22 19" xfId="692" xr:uid="{00000000-0005-0000-0000-000070020000}"/>
    <cellStyle name="Normal 2 22 2" xfId="693" xr:uid="{00000000-0005-0000-0000-000071020000}"/>
    <cellStyle name="Normal 2 22 20" xfId="694" xr:uid="{00000000-0005-0000-0000-000072020000}"/>
    <cellStyle name="Normal 2 22 21" xfId="695" xr:uid="{00000000-0005-0000-0000-000073020000}"/>
    <cellStyle name="Normal 2 22 22" xfId="696" xr:uid="{00000000-0005-0000-0000-000074020000}"/>
    <cellStyle name="Normal 2 22 23" xfId="697" xr:uid="{00000000-0005-0000-0000-000075020000}"/>
    <cellStyle name="Normal 2 22 3" xfId="698" xr:uid="{00000000-0005-0000-0000-000076020000}"/>
    <cellStyle name="Normal 2 22 4" xfId="699" xr:uid="{00000000-0005-0000-0000-000077020000}"/>
    <cellStyle name="Normal 2 22 5" xfId="700" xr:uid="{00000000-0005-0000-0000-000078020000}"/>
    <cellStyle name="Normal 2 22 6" xfId="701" xr:uid="{00000000-0005-0000-0000-000079020000}"/>
    <cellStyle name="Normal 2 22 7" xfId="702" xr:uid="{00000000-0005-0000-0000-00007A020000}"/>
    <cellStyle name="Normal 2 22 8" xfId="703" xr:uid="{00000000-0005-0000-0000-00007B020000}"/>
    <cellStyle name="Normal 2 22 9" xfId="704" xr:uid="{00000000-0005-0000-0000-00007C020000}"/>
    <cellStyle name="Normal 2 23" xfId="705" xr:uid="{00000000-0005-0000-0000-00007D020000}"/>
    <cellStyle name="Normal 2 23 10" xfId="706" xr:uid="{00000000-0005-0000-0000-00007E020000}"/>
    <cellStyle name="Normal 2 23 11" xfId="707" xr:uid="{00000000-0005-0000-0000-00007F020000}"/>
    <cellStyle name="Normal 2 23 12" xfId="708" xr:uid="{00000000-0005-0000-0000-000080020000}"/>
    <cellStyle name="Normal 2 23 13" xfId="709" xr:uid="{00000000-0005-0000-0000-000081020000}"/>
    <cellStyle name="Normal 2 23 14" xfId="710" xr:uid="{00000000-0005-0000-0000-000082020000}"/>
    <cellStyle name="Normal 2 23 15" xfId="711" xr:uid="{00000000-0005-0000-0000-000083020000}"/>
    <cellStyle name="Normal 2 23 16" xfId="712" xr:uid="{00000000-0005-0000-0000-000084020000}"/>
    <cellStyle name="Normal 2 23 17" xfId="713" xr:uid="{00000000-0005-0000-0000-000085020000}"/>
    <cellStyle name="Normal 2 23 18" xfId="714" xr:uid="{00000000-0005-0000-0000-000086020000}"/>
    <cellStyle name="Normal 2 23 19" xfId="715" xr:uid="{00000000-0005-0000-0000-000087020000}"/>
    <cellStyle name="Normal 2 23 2" xfId="716" xr:uid="{00000000-0005-0000-0000-000088020000}"/>
    <cellStyle name="Normal 2 23 20" xfId="717" xr:uid="{00000000-0005-0000-0000-000089020000}"/>
    <cellStyle name="Normal 2 23 21" xfId="718" xr:uid="{00000000-0005-0000-0000-00008A020000}"/>
    <cellStyle name="Normal 2 23 22" xfId="719" xr:uid="{00000000-0005-0000-0000-00008B020000}"/>
    <cellStyle name="Normal 2 23 23" xfId="720" xr:uid="{00000000-0005-0000-0000-00008C020000}"/>
    <cellStyle name="Normal 2 23 3" xfId="721" xr:uid="{00000000-0005-0000-0000-00008D020000}"/>
    <cellStyle name="Normal 2 23 4" xfId="722" xr:uid="{00000000-0005-0000-0000-00008E020000}"/>
    <cellStyle name="Normal 2 23 5" xfId="723" xr:uid="{00000000-0005-0000-0000-00008F020000}"/>
    <cellStyle name="Normal 2 23 6" xfId="724" xr:uid="{00000000-0005-0000-0000-000090020000}"/>
    <cellStyle name="Normal 2 23 7" xfId="725" xr:uid="{00000000-0005-0000-0000-000091020000}"/>
    <cellStyle name="Normal 2 23 8" xfId="726" xr:uid="{00000000-0005-0000-0000-000092020000}"/>
    <cellStyle name="Normal 2 23 9" xfId="727" xr:uid="{00000000-0005-0000-0000-000093020000}"/>
    <cellStyle name="Normal 2 24" xfId="728" xr:uid="{00000000-0005-0000-0000-000094020000}"/>
    <cellStyle name="Normal 2 24 10" xfId="729" xr:uid="{00000000-0005-0000-0000-000095020000}"/>
    <cellStyle name="Normal 2 24 11" xfId="730" xr:uid="{00000000-0005-0000-0000-000096020000}"/>
    <cellStyle name="Normal 2 24 12" xfId="731" xr:uid="{00000000-0005-0000-0000-000097020000}"/>
    <cellStyle name="Normal 2 24 13" xfId="732" xr:uid="{00000000-0005-0000-0000-000098020000}"/>
    <cellStyle name="Normal 2 24 14" xfId="733" xr:uid="{00000000-0005-0000-0000-000099020000}"/>
    <cellStyle name="Normal 2 24 15" xfId="734" xr:uid="{00000000-0005-0000-0000-00009A020000}"/>
    <cellStyle name="Normal 2 24 16" xfId="735" xr:uid="{00000000-0005-0000-0000-00009B020000}"/>
    <cellStyle name="Normal 2 24 17" xfId="736" xr:uid="{00000000-0005-0000-0000-00009C020000}"/>
    <cellStyle name="Normal 2 24 18" xfId="737" xr:uid="{00000000-0005-0000-0000-00009D020000}"/>
    <cellStyle name="Normal 2 24 19" xfId="738" xr:uid="{00000000-0005-0000-0000-00009E020000}"/>
    <cellStyle name="Normal 2 24 2" xfId="739" xr:uid="{00000000-0005-0000-0000-00009F020000}"/>
    <cellStyle name="Normal 2 24 20" xfId="740" xr:uid="{00000000-0005-0000-0000-0000A0020000}"/>
    <cellStyle name="Normal 2 24 21" xfId="741" xr:uid="{00000000-0005-0000-0000-0000A1020000}"/>
    <cellStyle name="Normal 2 24 22" xfId="742" xr:uid="{00000000-0005-0000-0000-0000A2020000}"/>
    <cellStyle name="Normal 2 24 23" xfId="743" xr:uid="{00000000-0005-0000-0000-0000A3020000}"/>
    <cellStyle name="Normal 2 24 3" xfId="744" xr:uid="{00000000-0005-0000-0000-0000A4020000}"/>
    <cellStyle name="Normal 2 24 4" xfId="745" xr:uid="{00000000-0005-0000-0000-0000A5020000}"/>
    <cellStyle name="Normal 2 24 5" xfId="746" xr:uid="{00000000-0005-0000-0000-0000A6020000}"/>
    <cellStyle name="Normal 2 24 6" xfId="747" xr:uid="{00000000-0005-0000-0000-0000A7020000}"/>
    <cellStyle name="Normal 2 24 7" xfId="748" xr:uid="{00000000-0005-0000-0000-0000A8020000}"/>
    <cellStyle name="Normal 2 24 8" xfId="749" xr:uid="{00000000-0005-0000-0000-0000A9020000}"/>
    <cellStyle name="Normal 2 24 9" xfId="750" xr:uid="{00000000-0005-0000-0000-0000AA020000}"/>
    <cellStyle name="Normal 2 25" xfId="751" xr:uid="{00000000-0005-0000-0000-0000AB020000}"/>
    <cellStyle name="Normal 2 25 10" xfId="752" xr:uid="{00000000-0005-0000-0000-0000AC020000}"/>
    <cellStyle name="Normal 2 25 11" xfId="753" xr:uid="{00000000-0005-0000-0000-0000AD020000}"/>
    <cellStyle name="Normal 2 25 12" xfId="754" xr:uid="{00000000-0005-0000-0000-0000AE020000}"/>
    <cellStyle name="Normal 2 25 13" xfId="755" xr:uid="{00000000-0005-0000-0000-0000AF020000}"/>
    <cellStyle name="Normal 2 25 14" xfId="756" xr:uid="{00000000-0005-0000-0000-0000B0020000}"/>
    <cellStyle name="Normal 2 25 15" xfId="757" xr:uid="{00000000-0005-0000-0000-0000B1020000}"/>
    <cellStyle name="Normal 2 25 16" xfId="758" xr:uid="{00000000-0005-0000-0000-0000B2020000}"/>
    <cellStyle name="Normal 2 25 17" xfId="759" xr:uid="{00000000-0005-0000-0000-0000B3020000}"/>
    <cellStyle name="Normal 2 25 18" xfId="760" xr:uid="{00000000-0005-0000-0000-0000B4020000}"/>
    <cellStyle name="Normal 2 25 19" xfId="761" xr:uid="{00000000-0005-0000-0000-0000B5020000}"/>
    <cellStyle name="Normal 2 25 2" xfId="762" xr:uid="{00000000-0005-0000-0000-0000B6020000}"/>
    <cellStyle name="Normal 2 25 20" xfId="763" xr:uid="{00000000-0005-0000-0000-0000B7020000}"/>
    <cellStyle name="Normal 2 25 21" xfId="764" xr:uid="{00000000-0005-0000-0000-0000B8020000}"/>
    <cellStyle name="Normal 2 25 22" xfId="765" xr:uid="{00000000-0005-0000-0000-0000B9020000}"/>
    <cellStyle name="Normal 2 25 23" xfId="766" xr:uid="{00000000-0005-0000-0000-0000BA020000}"/>
    <cellStyle name="Normal 2 25 3" xfId="767" xr:uid="{00000000-0005-0000-0000-0000BB020000}"/>
    <cellStyle name="Normal 2 25 4" xfId="768" xr:uid="{00000000-0005-0000-0000-0000BC020000}"/>
    <cellStyle name="Normal 2 25 5" xfId="769" xr:uid="{00000000-0005-0000-0000-0000BD020000}"/>
    <cellStyle name="Normal 2 25 6" xfId="770" xr:uid="{00000000-0005-0000-0000-0000BE020000}"/>
    <cellStyle name="Normal 2 25 7" xfId="771" xr:uid="{00000000-0005-0000-0000-0000BF020000}"/>
    <cellStyle name="Normal 2 25 8" xfId="772" xr:uid="{00000000-0005-0000-0000-0000C0020000}"/>
    <cellStyle name="Normal 2 25 9" xfId="773" xr:uid="{00000000-0005-0000-0000-0000C1020000}"/>
    <cellStyle name="Normal 2 26" xfId="774" xr:uid="{00000000-0005-0000-0000-0000C2020000}"/>
    <cellStyle name="Normal 2 26 10" xfId="775" xr:uid="{00000000-0005-0000-0000-0000C3020000}"/>
    <cellStyle name="Normal 2 26 11" xfId="776" xr:uid="{00000000-0005-0000-0000-0000C4020000}"/>
    <cellStyle name="Normal 2 26 12" xfId="777" xr:uid="{00000000-0005-0000-0000-0000C5020000}"/>
    <cellStyle name="Normal 2 26 13" xfId="778" xr:uid="{00000000-0005-0000-0000-0000C6020000}"/>
    <cellStyle name="Normal 2 26 14" xfId="779" xr:uid="{00000000-0005-0000-0000-0000C7020000}"/>
    <cellStyle name="Normal 2 26 15" xfId="780" xr:uid="{00000000-0005-0000-0000-0000C8020000}"/>
    <cellStyle name="Normal 2 26 16" xfId="781" xr:uid="{00000000-0005-0000-0000-0000C9020000}"/>
    <cellStyle name="Normal 2 26 17" xfId="782" xr:uid="{00000000-0005-0000-0000-0000CA020000}"/>
    <cellStyle name="Normal 2 26 18" xfId="783" xr:uid="{00000000-0005-0000-0000-0000CB020000}"/>
    <cellStyle name="Normal 2 26 19" xfId="784" xr:uid="{00000000-0005-0000-0000-0000CC020000}"/>
    <cellStyle name="Normal 2 26 2" xfId="785" xr:uid="{00000000-0005-0000-0000-0000CD020000}"/>
    <cellStyle name="Normal 2 26 20" xfId="786" xr:uid="{00000000-0005-0000-0000-0000CE020000}"/>
    <cellStyle name="Normal 2 26 21" xfId="787" xr:uid="{00000000-0005-0000-0000-0000CF020000}"/>
    <cellStyle name="Normal 2 26 22" xfId="788" xr:uid="{00000000-0005-0000-0000-0000D0020000}"/>
    <cellStyle name="Normal 2 26 23" xfId="789" xr:uid="{00000000-0005-0000-0000-0000D1020000}"/>
    <cellStyle name="Normal 2 26 3" xfId="790" xr:uid="{00000000-0005-0000-0000-0000D2020000}"/>
    <cellStyle name="Normal 2 26 4" xfId="791" xr:uid="{00000000-0005-0000-0000-0000D3020000}"/>
    <cellStyle name="Normal 2 26 5" xfId="792" xr:uid="{00000000-0005-0000-0000-0000D4020000}"/>
    <cellStyle name="Normal 2 26 6" xfId="793" xr:uid="{00000000-0005-0000-0000-0000D5020000}"/>
    <cellStyle name="Normal 2 26 7" xfId="794" xr:uid="{00000000-0005-0000-0000-0000D6020000}"/>
    <cellStyle name="Normal 2 26 8" xfId="795" xr:uid="{00000000-0005-0000-0000-0000D7020000}"/>
    <cellStyle name="Normal 2 26 9" xfId="796" xr:uid="{00000000-0005-0000-0000-0000D8020000}"/>
    <cellStyle name="Normal 2 27" xfId="797" xr:uid="{00000000-0005-0000-0000-0000D9020000}"/>
    <cellStyle name="Normal 2 27 10" xfId="798" xr:uid="{00000000-0005-0000-0000-0000DA020000}"/>
    <cellStyle name="Normal 2 27 11" xfId="799" xr:uid="{00000000-0005-0000-0000-0000DB020000}"/>
    <cellStyle name="Normal 2 27 12" xfId="800" xr:uid="{00000000-0005-0000-0000-0000DC020000}"/>
    <cellStyle name="Normal 2 27 13" xfId="801" xr:uid="{00000000-0005-0000-0000-0000DD020000}"/>
    <cellStyle name="Normal 2 27 14" xfId="802" xr:uid="{00000000-0005-0000-0000-0000DE020000}"/>
    <cellStyle name="Normal 2 27 15" xfId="803" xr:uid="{00000000-0005-0000-0000-0000DF020000}"/>
    <cellStyle name="Normal 2 27 16" xfId="804" xr:uid="{00000000-0005-0000-0000-0000E0020000}"/>
    <cellStyle name="Normal 2 27 17" xfId="805" xr:uid="{00000000-0005-0000-0000-0000E1020000}"/>
    <cellStyle name="Normal 2 27 18" xfId="806" xr:uid="{00000000-0005-0000-0000-0000E2020000}"/>
    <cellStyle name="Normal 2 27 19" xfId="807" xr:uid="{00000000-0005-0000-0000-0000E3020000}"/>
    <cellStyle name="Normal 2 27 2" xfId="808" xr:uid="{00000000-0005-0000-0000-0000E4020000}"/>
    <cellStyle name="Normal 2 27 20" xfId="809" xr:uid="{00000000-0005-0000-0000-0000E5020000}"/>
    <cellStyle name="Normal 2 27 21" xfId="810" xr:uid="{00000000-0005-0000-0000-0000E6020000}"/>
    <cellStyle name="Normal 2 27 22" xfId="811" xr:uid="{00000000-0005-0000-0000-0000E7020000}"/>
    <cellStyle name="Normal 2 27 23" xfId="812" xr:uid="{00000000-0005-0000-0000-0000E8020000}"/>
    <cellStyle name="Normal 2 27 3" xfId="813" xr:uid="{00000000-0005-0000-0000-0000E9020000}"/>
    <cellStyle name="Normal 2 27 4" xfId="814" xr:uid="{00000000-0005-0000-0000-0000EA020000}"/>
    <cellStyle name="Normal 2 27 5" xfId="815" xr:uid="{00000000-0005-0000-0000-0000EB020000}"/>
    <cellStyle name="Normal 2 27 6" xfId="816" xr:uid="{00000000-0005-0000-0000-0000EC020000}"/>
    <cellStyle name="Normal 2 27 7" xfId="817" xr:uid="{00000000-0005-0000-0000-0000ED020000}"/>
    <cellStyle name="Normal 2 27 8" xfId="818" xr:uid="{00000000-0005-0000-0000-0000EE020000}"/>
    <cellStyle name="Normal 2 27 9" xfId="819" xr:uid="{00000000-0005-0000-0000-0000EF020000}"/>
    <cellStyle name="Normal 2 28" xfId="820" xr:uid="{00000000-0005-0000-0000-0000F0020000}"/>
    <cellStyle name="Normal 2 28 10" xfId="821" xr:uid="{00000000-0005-0000-0000-0000F1020000}"/>
    <cellStyle name="Normal 2 28 11" xfId="822" xr:uid="{00000000-0005-0000-0000-0000F2020000}"/>
    <cellStyle name="Normal 2 28 12" xfId="823" xr:uid="{00000000-0005-0000-0000-0000F3020000}"/>
    <cellStyle name="Normal 2 28 13" xfId="824" xr:uid="{00000000-0005-0000-0000-0000F4020000}"/>
    <cellStyle name="Normal 2 28 14" xfId="825" xr:uid="{00000000-0005-0000-0000-0000F5020000}"/>
    <cellStyle name="Normal 2 28 15" xfId="826" xr:uid="{00000000-0005-0000-0000-0000F6020000}"/>
    <cellStyle name="Normal 2 28 16" xfId="827" xr:uid="{00000000-0005-0000-0000-0000F7020000}"/>
    <cellStyle name="Normal 2 28 17" xfId="828" xr:uid="{00000000-0005-0000-0000-0000F8020000}"/>
    <cellStyle name="Normal 2 28 18" xfId="829" xr:uid="{00000000-0005-0000-0000-0000F9020000}"/>
    <cellStyle name="Normal 2 28 19" xfId="830" xr:uid="{00000000-0005-0000-0000-0000FA020000}"/>
    <cellStyle name="Normal 2 28 2" xfId="831" xr:uid="{00000000-0005-0000-0000-0000FB020000}"/>
    <cellStyle name="Normal 2 28 20" xfId="832" xr:uid="{00000000-0005-0000-0000-0000FC020000}"/>
    <cellStyle name="Normal 2 28 21" xfId="833" xr:uid="{00000000-0005-0000-0000-0000FD020000}"/>
    <cellStyle name="Normal 2 28 22" xfId="834" xr:uid="{00000000-0005-0000-0000-0000FE020000}"/>
    <cellStyle name="Normal 2 28 23" xfId="835" xr:uid="{00000000-0005-0000-0000-0000FF020000}"/>
    <cellStyle name="Normal 2 28 3" xfId="836" xr:uid="{00000000-0005-0000-0000-000000030000}"/>
    <cellStyle name="Normal 2 28 4" xfId="837" xr:uid="{00000000-0005-0000-0000-000001030000}"/>
    <cellStyle name="Normal 2 28 5" xfId="838" xr:uid="{00000000-0005-0000-0000-000002030000}"/>
    <cellStyle name="Normal 2 28 6" xfId="839" xr:uid="{00000000-0005-0000-0000-000003030000}"/>
    <cellStyle name="Normal 2 28 7" xfId="840" xr:uid="{00000000-0005-0000-0000-000004030000}"/>
    <cellStyle name="Normal 2 28 8" xfId="841" xr:uid="{00000000-0005-0000-0000-000005030000}"/>
    <cellStyle name="Normal 2 28 9" xfId="842" xr:uid="{00000000-0005-0000-0000-000006030000}"/>
    <cellStyle name="Normal 2 29" xfId="843" xr:uid="{00000000-0005-0000-0000-000007030000}"/>
    <cellStyle name="Normal 2 29 10" xfId="844" xr:uid="{00000000-0005-0000-0000-000008030000}"/>
    <cellStyle name="Normal 2 29 11" xfId="845" xr:uid="{00000000-0005-0000-0000-000009030000}"/>
    <cellStyle name="Normal 2 29 12" xfId="846" xr:uid="{00000000-0005-0000-0000-00000A030000}"/>
    <cellStyle name="Normal 2 29 13" xfId="847" xr:uid="{00000000-0005-0000-0000-00000B030000}"/>
    <cellStyle name="Normal 2 29 14" xfId="848" xr:uid="{00000000-0005-0000-0000-00000C030000}"/>
    <cellStyle name="Normal 2 29 15" xfId="849" xr:uid="{00000000-0005-0000-0000-00000D030000}"/>
    <cellStyle name="Normal 2 29 16" xfId="850" xr:uid="{00000000-0005-0000-0000-00000E030000}"/>
    <cellStyle name="Normal 2 29 17" xfId="851" xr:uid="{00000000-0005-0000-0000-00000F030000}"/>
    <cellStyle name="Normal 2 29 18" xfId="852" xr:uid="{00000000-0005-0000-0000-000010030000}"/>
    <cellStyle name="Normal 2 29 19" xfId="853" xr:uid="{00000000-0005-0000-0000-000011030000}"/>
    <cellStyle name="Normal 2 29 2" xfId="854" xr:uid="{00000000-0005-0000-0000-000012030000}"/>
    <cellStyle name="Normal 2 29 20" xfId="855" xr:uid="{00000000-0005-0000-0000-000013030000}"/>
    <cellStyle name="Normal 2 29 21" xfId="856" xr:uid="{00000000-0005-0000-0000-000014030000}"/>
    <cellStyle name="Normal 2 29 22" xfId="857" xr:uid="{00000000-0005-0000-0000-000015030000}"/>
    <cellStyle name="Normal 2 29 23" xfId="858" xr:uid="{00000000-0005-0000-0000-000016030000}"/>
    <cellStyle name="Normal 2 29 3" xfId="859" xr:uid="{00000000-0005-0000-0000-000017030000}"/>
    <cellStyle name="Normal 2 29 4" xfId="860" xr:uid="{00000000-0005-0000-0000-000018030000}"/>
    <cellStyle name="Normal 2 29 5" xfId="861" xr:uid="{00000000-0005-0000-0000-000019030000}"/>
    <cellStyle name="Normal 2 29 6" xfId="862" xr:uid="{00000000-0005-0000-0000-00001A030000}"/>
    <cellStyle name="Normal 2 29 7" xfId="863" xr:uid="{00000000-0005-0000-0000-00001B030000}"/>
    <cellStyle name="Normal 2 29 8" xfId="864" xr:uid="{00000000-0005-0000-0000-00001C030000}"/>
    <cellStyle name="Normal 2 29 9" xfId="865" xr:uid="{00000000-0005-0000-0000-00001D030000}"/>
    <cellStyle name="Normal 2 3" xfId="75" xr:uid="{00000000-0005-0000-0000-00001E030000}"/>
    <cellStyle name="Normal 2 3 2" xfId="866" xr:uid="{00000000-0005-0000-0000-00001F030000}"/>
    <cellStyle name="Normal 2 3 2 2" xfId="867" xr:uid="{00000000-0005-0000-0000-000020030000}"/>
    <cellStyle name="Normal 2 3 3" xfId="868" xr:uid="{00000000-0005-0000-0000-000021030000}"/>
    <cellStyle name="Normal 2 3 4" xfId="869" xr:uid="{00000000-0005-0000-0000-000022030000}"/>
    <cellStyle name="Normal 2 3 5" xfId="870" xr:uid="{00000000-0005-0000-0000-000023030000}"/>
    <cellStyle name="Normal 2 3_Summary" xfId="871" xr:uid="{00000000-0005-0000-0000-000024030000}"/>
    <cellStyle name="Normal 2 30" xfId="872" xr:uid="{00000000-0005-0000-0000-000025030000}"/>
    <cellStyle name="Normal 2 30 10" xfId="873" xr:uid="{00000000-0005-0000-0000-000026030000}"/>
    <cellStyle name="Normal 2 30 11" xfId="874" xr:uid="{00000000-0005-0000-0000-000027030000}"/>
    <cellStyle name="Normal 2 30 12" xfId="875" xr:uid="{00000000-0005-0000-0000-000028030000}"/>
    <cellStyle name="Normal 2 30 13" xfId="876" xr:uid="{00000000-0005-0000-0000-000029030000}"/>
    <cellStyle name="Normal 2 30 14" xfId="877" xr:uid="{00000000-0005-0000-0000-00002A030000}"/>
    <cellStyle name="Normal 2 30 15" xfId="878" xr:uid="{00000000-0005-0000-0000-00002B030000}"/>
    <cellStyle name="Normal 2 30 16" xfId="879" xr:uid="{00000000-0005-0000-0000-00002C030000}"/>
    <cellStyle name="Normal 2 30 17" xfId="880" xr:uid="{00000000-0005-0000-0000-00002D030000}"/>
    <cellStyle name="Normal 2 30 18" xfId="881" xr:uid="{00000000-0005-0000-0000-00002E030000}"/>
    <cellStyle name="Normal 2 30 19" xfId="882" xr:uid="{00000000-0005-0000-0000-00002F030000}"/>
    <cellStyle name="Normal 2 30 2" xfId="883" xr:uid="{00000000-0005-0000-0000-000030030000}"/>
    <cellStyle name="Normal 2 30 20" xfId="884" xr:uid="{00000000-0005-0000-0000-000031030000}"/>
    <cellStyle name="Normal 2 30 21" xfId="885" xr:uid="{00000000-0005-0000-0000-000032030000}"/>
    <cellStyle name="Normal 2 30 22" xfId="886" xr:uid="{00000000-0005-0000-0000-000033030000}"/>
    <cellStyle name="Normal 2 30 23" xfId="887" xr:uid="{00000000-0005-0000-0000-000034030000}"/>
    <cellStyle name="Normal 2 30 24" xfId="888" xr:uid="{00000000-0005-0000-0000-000035030000}"/>
    <cellStyle name="Normal 2 30 25" xfId="889" xr:uid="{00000000-0005-0000-0000-000036030000}"/>
    <cellStyle name="Normal 2 30 3" xfId="890" xr:uid="{00000000-0005-0000-0000-000037030000}"/>
    <cellStyle name="Normal 2 30 4" xfId="891" xr:uid="{00000000-0005-0000-0000-000038030000}"/>
    <cellStyle name="Normal 2 30 5" xfId="892" xr:uid="{00000000-0005-0000-0000-000039030000}"/>
    <cellStyle name="Normal 2 30 6" xfId="893" xr:uid="{00000000-0005-0000-0000-00003A030000}"/>
    <cellStyle name="Normal 2 30 7" xfId="894" xr:uid="{00000000-0005-0000-0000-00003B030000}"/>
    <cellStyle name="Normal 2 30 8" xfId="895" xr:uid="{00000000-0005-0000-0000-00003C030000}"/>
    <cellStyle name="Normal 2 30 9" xfId="896" xr:uid="{00000000-0005-0000-0000-00003D030000}"/>
    <cellStyle name="Normal 2 31" xfId="897" xr:uid="{00000000-0005-0000-0000-00003E030000}"/>
    <cellStyle name="Normal 2 31 10" xfId="898" xr:uid="{00000000-0005-0000-0000-00003F030000}"/>
    <cellStyle name="Normal 2 31 11" xfId="899" xr:uid="{00000000-0005-0000-0000-000040030000}"/>
    <cellStyle name="Normal 2 31 12" xfId="900" xr:uid="{00000000-0005-0000-0000-000041030000}"/>
    <cellStyle name="Normal 2 31 13" xfId="901" xr:uid="{00000000-0005-0000-0000-000042030000}"/>
    <cellStyle name="Normal 2 31 14" xfId="902" xr:uid="{00000000-0005-0000-0000-000043030000}"/>
    <cellStyle name="Normal 2 31 15" xfId="903" xr:uid="{00000000-0005-0000-0000-000044030000}"/>
    <cellStyle name="Normal 2 31 16" xfId="904" xr:uid="{00000000-0005-0000-0000-000045030000}"/>
    <cellStyle name="Normal 2 31 17" xfId="905" xr:uid="{00000000-0005-0000-0000-000046030000}"/>
    <cellStyle name="Normal 2 31 18" xfId="906" xr:uid="{00000000-0005-0000-0000-000047030000}"/>
    <cellStyle name="Normal 2 31 19" xfId="907" xr:uid="{00000000-0005-0000-0000-000048030000}"/>
    <cellStyle name="Normal 2 31 2" xfId="908" xr:uid="{00000000-0005-0000-0000-000049030000}"/>
    <cellStyle name="Normal 2 31 20" xfId="909" xr:uid="{00000000-0005-0000-0000-00004A030000}"/>
    <cellStyle name="Normal 2 31 21" xfId="910" xr:uid="{00000000-0005-0000-0000-00004B030000}"/>
    <cellStyle name="Normal 2 31 22" xfId="911" xr:uid="{00000000-0005-0000-0000-00004C030000}"/>
    <cellStyle name="Normal 2 31 23" xfId="912" xr:uid="{00000000-0005-0000-0000-00004D030000}"/>
    <cellStyle name="Normal 2 31 3" xfId="913" xr:uid="{00000000-0005-0000-0000-00004E030000}"/>
    <cellStyle name="Normal 2 31 4" xfId="914" xr:uid="{00000000-0005-0000-0000-00004F030000}"/>
    <cellStyle name="Normal 2 31 5" xfId="915" xr:uid="{00000000-0005-0000-0000-000050030000}"/>
    <cellStyle name="Normal 2 31 6" xfId="916" xr:uid="{00000000-0005-0000-0000-000051030000}"/>
    <cellStyle name="Normal 2 31 7" xfId="917" xr:uid="{00000000-0005-0000-0000-000052030000}"/>
    <cellStyle name="Normal 2 31 8" xfId="918" xr:uid="{00000000-0005-0000-0000-000053030000}"/>
    <cellStyle name="Normal 2 31 9" xfId="919" xr:uid="{00000000-0005-0000-0000-000054030000}"/>
    <cellStyle name="Normal 2 32" xfId="920" xr:uid="{00000000-0005-0000-0000-000055030000}"/>
    <cellStyle name="Normal 2 32 10" xfId="921" xr:uid="{00000000-0005-0000-0000-000056030000}"/>
    <cellStyle name="Normal 2 32 11" xfId="922" xr:uid="{00000000-0005-0000-0000-000057030000}"/>
    <cellStyle name="Normal 2 32 12" xfId="923" xr:uid="{00000000-0005-0000-0000-000058030000}"/>
    <cellStyle name="Normal 2 32 13" xfId="924" xr:uid="{00000000-0005-0000-0000-000059030000}"/>
    <cellStyle name="Normal 2 32 14" xfId="925" xr:uid="{00000000-0005-0000-0000-00005A030000}"/>
    <cellStyle name="Normal 2 32 15" xfId="926" xr:uid="{00000000-0005-0000-0000-00005B030000}"/>
    <cellStyle name="Normal 2 32 16" xfId="927" xr:uid="{00000000-0005-0000-0000-00005C030000}"/>
    <cellStyle name="Normal 2 32 17" xfId="928" xr:uid="{00000000-0005-0000-0000-00005D030000}"/>
    <cellStyle name="Normal 2 32 18" xfId="929" xr:uid="{00000000-0005-0000-0000-00005E030000}"/>
    <cellStyle name="Normal 2 32 19" xfId="930" xr:uid="{00000000-0005-0000-0000-00005F030000}"/>
    <cellStyle name="Normal 2 32 2" xfId="931" xr:uid="{00000000-0005-0000-0000-000060030000}"/>
    <cellStyle name="Normal 2 32 20" xfId="932" xr:uid="{00000000-0005-0000-0000-000061030000}"/>
    <cellStyle name="Normal 2 32 21" xfId="933" xr:uid="{00000000-0005-0000-0000-000062030000}"/>
    <cellStyle name="Normal 2 32 22" xfId="934" xr:uid="{00000000-0005-0000-0000-000063030000}"/>
    <cellStyle name="Normal 2 32 23" xfId="935" xr:uid="{00000000-0005-0000-0000-000064030000}"/>
    <cellStyle name="Normal 2 32 3" xfId="936" xr:uid="{00000000-0005-0000-0000-000065030000}"/>
    <cellStyle name="Normal 2 32 4" xfId="937" xr:uid="{00000000-0005-0000-0000-000066030000}"/>
    <cellStyle name="Normal 2 32 5" xfId="938" xr:uid="{00000000-0005-0000-0000-000067030000}"/>
    <cellStyle name="Normal 2 32 6" xfId="939" xr:uid="{00000000-0005-0000-0000-000068030000}"/>
    <cellStyle name="Normal 2 32 7" xfId="940" xr:uid="{00000000-0005-0000-0000-000069030000}"/>
    <cellStyle name="Normal 2 32 8" xfId="941" xr:uid="{00000000-0005-0000-0000-00006A030000}"/>
    <cellStyle name="Normal 2 32 9" xfId="942" xr:uid="{00000000-0005-0000-0000-00006B030000}"/>
    <cellStyle name="Normal 2 33" xfId="943" xr:uid="{00000000-0005-0000-0000-00006C030000}"/>
    <cellStyle name="Normal 2 33 10" xfId="944" xr:uid="{00000000-0005-0000-0000-00006D030000}"/>
    <cellStyle name="Normal 2 33 11" xfId="945" xr:uid="{00000000-0005-0000-0000-00006E030000}"/>
    <cellStyle name="Normal 2 33 12" xfId="946" xr:uid="{00000000-0005-0000-0000-00006F030000}"/>
    <cellStyle name="Normal 2 33 13" xfId="947" xr:uid="{00000000-0005-0000-0000-000070030000}"/>
    <cellStyle name="Normal 2 33 14" xfId="948" xr:uid="{00000000-0005-0000-0000-000071030000}"/>
    <cellStyle name="Normal 2 33 15" xfId="949" xr:uid="{00000000-0005-0000-0000-000072030000}"/>
    <cellStyle name="Normal 2 33 16" xfId="950" xr:uid="{00000000-0005-0000-0000-000073030000}"/>
    <cellStyle name="Normal 2 33 17" xfId="951" xr:uid="{00000000-0005-0000-0000-000074030000}"/>
    <cellStyle name="Normal 2 33 18" xfId="952" xr:uid="{00000000-0005-0000-0000-000075030000}"/>
    <cellStyle name="Normal 2 33 19" xfId="953" xr:uid="{00000000-0005-0000-0000-000076030000}"/>
    <cellStyle name="Normal 2 33 2" xfId="954" xr:uid="{00000000-0005-0000-0000-000077030000}"/>
    <cellStyle name="Normal 2 33 20" xfId="955" xr:uid="{00000000-0005-0000-0000-000078030000}"/>
    <cellStyle name="Normal 2 33 21" xfId="956" xr:uid="{00000000-0005-0000-0000-000079030000}"/>
    <cellStyle name="Normal 2 33 22" xfId="957" xr:uid="{00000000-0005-0000-0000-00007A030000}"/>
    <cellStyle name="Normal 2 33 23" xfId="958" xr:uid="{00000000-0005-0000-0000-00007B030000}"/>
    <cellStyle name="Normal 2 33 3" xfId="959" xr:uid="{00000000-0005-0000-0000-00007C030000}"/>
    <cellStyle name="Normal 2 33 4" xfId="960" xr:uid="{00000000-0005-0000-0000-00007D030000}"/>
    <cellStyle name="Normal 2 33 5" xfId="961" xr:uid="{00000000-0005-0000-0000-00007E030000}"/>
    <cellStyle name="Normal 2 33 6" xfId="962" xr:uid="{00000000-0005-0000-0000-00007F030000}"/>
    <cellStyle name="Normal 2 33 7" xfId="963" xr:uid="{00000000-0005-0000-0000-000080030000}"/>
    <cellStyle name="Normal 2 33 8" xfId="964" xr:uid="{00000000-0005-0000-0000-000081030000}"/>
    <cellStyle name="Normal 2 33 9" xfId="965" xr:uid="{00000000-0005-0000-0000-000082030000}"/>
    <cellStyle name="Normal 2 34" xfId="966" xr:uid="{00000000-0005-0000-0000-000083030000}"/>
    <cellStyle name="Normal 2 34 10" xfId="967" xr:uid="{00000000-0005-0000-0000-000084030000}"/>
    <cellStyle name="Normal 2 34 11" xfId="968" xr:uid="{00000000-0005-0000-0000-000085030000}"/>
    <cellStyle name="Normal 2 34 12" xfId="969" xr:uid="{00000000-0005-0000-0000-000086030000}"/>
    <cellStyle name="Normal 2 34 13" xfId="970" xr:uid="{00000000-0005-0000-0000-000087030000}"/>
    <cellStyle name="Normal 2 34 14" xfId="971" xr:uid="{00000000-0005-0000-0000-000088030000}"/>
    <cellStyle name="Normal 2 34 15" xfId="972" xr:uid="{00000000-0005-0000-0000-000089030000}"/>
    <cellStyle name="Normal 2 34 16" xfId="973" xr:uid="{00000000-0005-0000-0000-00008A030000}"/>
    <cellStyle name="Normal 2 34 17" xfId="974" xr:uid="{00000000-0005-0000-0000-00008B030000}"/>
    <cellStyle name="Normal 2 34 18" xfId="975" xr:uid="{00000000-0005-0000-0000-00008C030000}"/>
    <cellStyle name="Normal 2 34 19" xfId="976" xr:uid="{00000000-0005-0000-0000-00008D030000}"/>
    <cellStyle name="Normal 2 34 2" xfId="977" xr:uid="{00000000-0005-0000-0000-00008E030000}"/>
    <cellStyle name="Normal 2 34 20" xfId="978" xr:uid="{00000000-0005-0000-0000-00008F030000}"/>
    <cellStyle name="Normal 2 34 21" xfId="979" xr:uid="{00000000-0005-0000-0000-000090030000}"/>
    <cellStyle name="Normal 2 34 22" xfId="980" xr:uid="{00000000-0005-0000-0000-000091030000}"/>
    <cellStyle name="Normal 2 34 23" xfId="981" xr:uid="{00000000-0005-0000-0000-000092030000}"/>
    <cellStyle name="Normal 2 34 3" xfId="982" xr:uid="{00000000-0005-0000-0000-000093030000}"/>
    <cellStyle name="Normal 2 34 4" xfId="983" xr:uid="{00000000-0005-0000-0000-000094030000}"/>
    <cellStyle name="Normal 2 34 5" xfId="984" xr:uid="{00000000-0005-0000-0000-000095030000}"/>
    <cellStyle name="Normal 2 34 6" xfId="985" xr:uid="{00000000-0005-0000-0000-000096030000}"/>
    <cellStyle name="Normal 2 34 7" xfId="986" xr:uid="{00000000-0005-0000-0000-000097030000}"/>
    <cellStyle name="Normal 2 34 8" xfId="987" xr:uid="{00000000-0005-0000-0000-000098030000}"/>
    <cellStyle name="Normal 2 34 9" xfId="988" xr:uid="{00000000-0005-0000-0000-000099030000}"/>
    <cellStyle name="Normal 2 35" xfId="989" xr:uid="{00000000-0005-0000-0000-00009A030000}"/>
    <cellStyle name="Normal 2 35 10" xfId="990" xr:uid="{00000000-0005-0000-0000-00009B030000}"/>
    <cellStyle name="Normal 2 35 11" xfId="991" xr:uid="{00000000-0005-0000-0000-00009C030000}"/>
    <cellStyle name="Normal 2 35 12" xfId="992" xr:uid="{00000000-0005-0000-0000-00009D030000}"/>
    <cellStyle name="Normal 2 35 13" xfId="993" xr:uid="{00000000-0005-0000-0000-00009E030000}"/>
    <cellStyle name="Normal 2 35 14" xfId="994" xr:uid="{00000000-0005-0000-0000-00009F030000}"/>
    <cellStyle name="Normal 2 35 15" xfId="995" xr:uid="{00000000-0005-0000-0000-0000A0030000}"/>
    <cellStyle name="Normal 2 35 16" xfId="996" xr:uid="{00000000-0005-0000-0000-0000A1030000}"/>
    <cellStyle name="Normal 2 35 17" xfId="997" xr:uid="{00000000-0005-0000-0000-0000A2030000}"/>
    <cellStyle name="Normal 2 35 18" xfId="998" xr:uid="{00000000-0005-0000-0000-0000A3030000}"/>
    <cellStyle name="Normal 2 35 19" xfId="999" xr:uid="{00000000-0005-0000-0000-0000A4030000}"/>
    <cellStyle name="Normal 2 35 2" xfId="1000" xr:uid="{00000000-0005-0000-0000-0000A5030000}"/>
    <cellStyle name="Normal 2 35 20" xfId="1001" xr:uid="{00000000-0005-0000-0000-0000A6030000}"/>
    <cellStyle name="Normal 2 35 21" xfId="1002" xr:uid="{00000000-0005-0000-0000-0000A7030000}"/>
    <cellStyle name="Normal 2 35 22" xfId="1003" xr:uid="{00000000-0005-0000-0000-0000A8030000}"/>
    <cellStyle name="Normal 2 35 23" xfId="1004" xr:uid="{00000000-0005-0000-0000-0000A9030000}"/>
    <cellStyle name="Normal 2 35 3" xfId="1005" xr:uid="{00000000-0005-0000-0000-0000AA030000}"/>
    <cellStyle name="Normal 2 35 4" xfId="1006" xr:uid="{00000000-0005-0000-0000-0000AB030000}"/>
    <cellStyle name="Normal 2 35 5" xfId="1007" xr:uid="{00000000-0005-0000-0000-0000AC030000}"/>
    <cellStyle name="Normal 2 35 6" xfId="1008" xr:uid="{00000000-0005-0000-0000-0000AD030000}"/>
    <cellStyle name="Normal 2 35 7" xfId="1009" xr:uid="{00000000-0005-0000-0000-0000AE030000}"/>
    <cellStyle name="Normal 2 35 8" xfId="1010" xr:uid="{00000000-0005-0000-0000-0000AF030000}"/>
    <cellStyle name="Normal 2 35 9" xfId="1011" xr:uid="{00000000-0005-0000-0000-0000B0030000}"/>
    <cellStyle name="Normal 2 36" xfId="1012" xr:uid="{00000000-0005-0000-0000-0000B1030000}"/>
    <cellStyle name="Normal 2 36 10" xfId="1013" xr:uid="{00000000-0005-0000-0000-0000B2030000}"/>
    <cellStyle name="Normal 2 36 11" xfId="1014" xr:uid="{00000000-0005-0000-0000-0000B3030000}"/>
    <cellStyle name="Normal 2 36 12" xfId="1015" xr:uid="{00000000-0005-0000-0000-0000B4030000}"/>
    <cellStyle name="Normal 2 36 13" xfId="1016" xr:uid="{00000000-0005-0000-0000-0000B5030000}"/>
    <cellStyle name="Normal 2 36 14" xfId="1017" xr:uid="{00000000-0005-0000-0000-0000B6030000}"/>
    <cellStyle name="Normal 2 36 15" xfId="1018" xr:uid="{00000000-0005-0000-0000-0000B7030000}"/>
    <cellStyle name="Normal 2 36 16" xfId="1019" xr:uid="{00000000-0005-0000-0000-0000B8030000}"/>
    <cellStyle name="Normal 2 36 17" xfId="1020" xr:uid="{00000000-0005-0000-0000-0000B9030000}"/>
    <cellStyle name="Normal 2 36 18" xfId="1021" xr:uid="{00000000-0005-0000-0000-0000BA030000}"/>
    <cellStyle name="Normal 2 36 19" xfId="1022" xr:uid="{00000000-0005-0000-0000-0000BB030000}"/>
    <cellStyle name="Normal 2 36 2" xfId="1023" xr:uid="{00000000-0005-0000-0000-0000BC030000}"/>
    <cellStyle name="Normal 2 36 20" xfId="1024" xr:uid="{00000000-0005-0000-0000-0000BD030000}"/>
    <cellStyle name="Normal 2 36 21" xfId="1025" xr:uid="{00000000-0005-0000-0000-0000BE030000}"/>
    <cellStyle name="Normal 2 36 22" xfId="1026" xr:uid="{00000000-0005-0000-0000-0000BF030000}"/>
    <cellStyle name="Normal 2 36 23" xfId="1027" xr:uid="{00000000-0005-0000-0000-0000C0030000}"/>
    <cellStyle name="Normal 2 36 3" xfId="1028" xr:uid="{00000000-0005-0000-0000-0000C1030000}"/>
    <cellStyle name="Normal 2 36 4" xfId="1029" xr:uid="{00000000-0005-0000-0000-0000C2030000}"/>
    <cellStyle name="Normal 2 36 5" xfId="1030" xr:uid="{00000000-0005-0000-0000-0000C3030000}"/>
    <cellStyle name="Normal 2 36 6" xfId="1031" xr:uid="{00000000-0005-0000-0000-0000C4030000}"/>
    <cellStyle name="Normal 2 36 7" xfId="1032" xr:uid="{00000000-0005-0000-0000-0000C5030000}"/>
    <cellStyle name="Normal 2 36 8" xfId="1033" xr:uid="{00000000-0005-0000-0000-0000C6030000}"/>
    <cellStyle name="Normal 2 36 9" xfId="1034" xr:uid="{00000000-0005-0000-0000-0000C7030000}"/>
    <cellStyle name="Normal 2 37" xfId="1035" xr:uid="{00000000-0005-0000-0000-0000C8030000}"/>
    <cellStyle name="Normal 2 37 10" xfId="1036" xr:uid="{00000000-0005-0000-0000-0000C9030000}"/>
    <cellStyle name="Normal 2 37 11" xfId="1037" xr:uid="{00000000-0005-0000-0000-0000CA030000}"/>
    <cellStyle name="Normal 2 37 12" xfId="1038" xr:uid="{00000000-0005-0000-0000-0000CB030000}"/>
    <cellStyle name="Normal 2 37 13" xfId="1039" xr:uid="{00000000-0005-0000-0000-0000CC030000}"/>
    <cellStyle name="Normal 2 37 14" xfId="1040" xr:uid="{00000000-0005-0000-0000-0000CD030000}"/>
    <cellStyle name="Normal 2 37 15" xfId="1041" xr:uid="{00000000-0005-0000-0000-0000CE030000}"/>
    <cellStyle name="Normal 2 37 16" xfId="1042" xr:uid="{00000000-0005-0000-0000-0000CF030000}"/>
    <cellStyle name="Normal 2 37 17" xfId="1043" xr:uid="{00000000-0005-0000-0000-0000D0030000}"/>
    <cellStyle name="Normal 2 37 18" xfId="1044" xr:uid="{00000000-0005-0000-0000-0000D1030000}"/>
    <cellStyle name="Normal 2 37 19" xfId="1045" xr:uid="{00000000-0005-0000-0000-0000D2030000}"/>
    <cellStyle name="Normal 2 37 2" xfId="1046" xr:uid="{00000000-0005-0000-0000-0000D3030000}"/>
    <cellStyle name="Normal 2 37 20" xfId="1047" xr:uid="{00000000-0005-0000-0000-0000D4030000}"/>
    <cellStyle name="Normal 2 37 21" xfId="1048" xr:uid="{00000000-0005-0000-0000-0000D5030000}"/>
    <cellStyle name="Normal 2 37 22" xfId="1049" xr:uid="{00000000-0005-0000-0000-0000D6030000}"/>
    <cellStyle name="Normal 2 37 23" xfId="1050" xr:uid="{00000000-0005-0000-0000-0000D7030000}"/>
    <cellStyle name="Normal 2 37 3" xfId="1051" xr:uid="{00000000-0005-0000-0000-0000D8030000}"/>
    <cellStyle name="Normal 2 37 4" xfId="1052" xr:uid="{00000000-0005-0000-0000-0000D9030000}"/>
    <cellStyle name="Normal 2 37 5" xfId="1053" xr:uid="{00000000-0005-0000-0000-0000DA030000}"/>
    <cellStyle name="Normal 2 37 6" xfId="1054" xr:uid="{00000000-0005-0000-0000-0000DB030000}"/>
    <cellStyle name="Normal 2 37 7" xfId="1055" xr:uid="{00000000-0005-0000-0000-0000DC030000}"/>
    <cellStyle name="Normal 2 37 8" xfId="1056" xr:uid="{00000000-0005-0000-0000-0000DD030000}"/>
    <cellStyle name="Normal 2 37 9" xfId="1057" xr:uid="{00000000-0005-0000-0000-0000DE030000}"/>
    <cellStyle name="Normal 2 38" xfId="1058" xr:uid="{00000000-0005-0000-0000-0000DF030000}"/>
    <cellStyle name="Normal 2 38 10" xfId="1059" xr:uid="{00000000-0005-0000-0000-0000E0030000}"/>
    <cellStyle name="Normal 2 38 11" xfId="1060" xr:uid="{00000000-0005-0000-0000-0000E1030000}"/>
    <cellStyle name="Normal 2 38 12" xfId="1061" xr:uid="{00000000-0005-0000-0000-0000E2030000}"/>
    <cellStyle name="Normal 2 38 13" xfId="1062" xr:uid="{00000000-0005-0000-0000-0000E3030000}"/>
    <cellStyle name="Normal 2 38 14" xfId="1063" xr:uid="{00000000-0005-0000-0000-0000E4030000}"/>
    <cellStyle name="Normal 2 38 15" xfId="1064" xr:uid="{00000000-0005-0000-0000-0000E5030000}"/>
    <cellStyle name="Normal 2 38 16" xfId="1065" xr:uid="{00000000-0005-0000-0000-0000E6030000}"/>
    <cellStyle name="Normal 2 38 17" xfId="1066" xr:uid="{00000000-0005-0000-0000-0000E7030000}"/>
    <cellStyle name="Normal 2 38 18" xfId="1067" xr:uid="{00000000-0005-0000-0000-0000E8030000}"/>
    <cellStyle name="Normal 2 38 19" xfId="1068" xr:uid="{00000000-0005-0000-0000-0000E9030000}"/>
    <cellStyle name="Normal 2 38 2" xfId="1069" xr:uid="{00000000-0005-0000-0000-0000EA030000}"/>
    <cellStyle name="Normal 2 38 20" xfId="1070" xr:uid="{00000000-0005-0000-0000-0000EB030000}"/>
    <cellStyle name="Normal 2 38 21" xfId="1071" xr:uid="{00000000-0005-0000-0000-0000EC030000}"/>
    <cellStyle name="Normal 2 38 22" xfId="1072" xr:uid="{00000000-0005-0000-0000-0000ED030000}"/>
    <cellStyle name="Normal 2 38 23" xfId="1073" xr:uid="{00000000-0005-0000-0000-0000EE030000}"/>
    <cellStyle name="Normal 2 38 3" xfId="1074" xr:uid="{00000000-0005-0000-0000-0000EF030000}"/>
    <cellStyle name="Normal 2 38 4" xfId="1075" xr:uid="{00000000-0005-0000-0000-0000F0030000}"/>
    <cellStyle name="Normal 2 38 5" xfId="1076" xr:uid="{00000000-0005-0000-0000-0000F1030000}"/>
    <cellStyle name="Normal 2 38 6" xfId="1077" xr:uid="{00000000-0005-0000-0000-0000F2030000}"/>
    <cellStyle name="Normal 2 38 7" xfId="1078" xr:uid="{00000000-0005-0000-0000-0000F3030000}"/>
    <cellStyle name="Normal 2 38 8" xfId="1079" xr:uid="{00000000-0005-0000-0000-0000F4030000}"/>
    <cellStyle name="Normal 2 38 9" xfId="1080" xr:uid="{00000000-0005-0000-0000-0000F5030000}"/>
    <cellStyle name="Normal 2 39" xfId="1081" xr:uid="{00000000-0005-0000-0000-0000F6030000}"/>
    <cellStyle name="Normal 2 39 10" xfId="1082" xr:uid="{00000000-0005-0000-0000-0000F7030000}"/>
    <cellStyle name="Normal 2 39 11" xfId="1083" xr:uid="{00000000-0005-0000-0000-0000F8030000}"/>
    <cellStyle name="Normal 2 39 12" xfId="1084" xr:uid="{00000000-0005-0000-0000-0000F9030000}"/>
    <cellStyle name="Normal 2 39 13" xfId="1085" xr:uid="{00000000-0005-0000-0000-0000FA030000}"/>
    <cellStyle name="Normal 2 39 14" xfId="1086" xr:uid="{00000000-0005-0000-0000-0000FB030000}"/>
    <cellStyle name="Normal 2 39 15" xfId="1087" xr:uid="{00000000-0005-0000-0000-0000FC030000}"/>
    <cellStyle name="Normal 2 39 16" xfId="1088" xr:uid="{00000000-0005-0000-0000-0000FD030000}"/>
    <cellStyle name="Normal 2 39 17" xfId="1089" xr:uid="{00000000-0005-0000-0000-0000FE030000}"/>
    <cellStyle name="Normal 2 39 18" xfId="1090" xr:uid="{00000000-0005-0000-0000-0000FF030000}"/>
    <cellStyle name="Normal 2 39 19" xfId="1091" xr:uid="{00000000-0005-0000-0000-000000040000}"/>
    <cellStyle name="Normal 2 39 2" xfId="1092" xr:uid="{00000000-0005-0000-0000-000001040000}"/>
    <cellStyle name="Normal 2 39 20" xfId="1093" xr:uid="{00000000-0005-0000-0000-000002040000}"/>
    <cellStyle name="Normal 2 39 21" xfId="1094" xr:uid="{00000000-0005-0000-0000-000003040000}"/>
    <cellStyle name="Normal 2 39 22" xfId="1095" xr:uid="{00000000-0005-0000-0000-000004040000}"/>
    <cellStyle name="Normal 2 39 23" xfId="1096" xr:uid="{00000000-0005-0000-0000-000005040000}"/>
    <cellStyle name="Normal 2 39 3" xfId="1097" xr:uid="{00000000-0005-0000-0000-000006040000}"/>
    <cellStyle name="Normal 2 39 4" xfId="1098" xr:uid="{00000000-0005-0000-0000-000007040000}"/>
    <cellStyle name="Normal 2 39 5" xfId="1099" xr:uid="{00000000-0005-0000-0000-000008040000}"/>
    <cellStyle name="Normal 2 39 6" xfId="1100" xr:uid="{00000000-0005-0000-0000-000009040000}"/>
    <cellStyle name="Normal 2 39 7" xfId="1101" xr:uid="{00000000-0005-0000-0000-00000A040000}"/>
    <cellStyle name="Normal 2 39 8" xfId="1102" xr:uid="{00000000-0005-0000-0000-00000B040000}"/>
    <cellStyle name="Normal 2 39 9" xfId="1103" xr:uid="{00000000-0005-0000-0000-00000C040000}"/>
    <cellStyle name="Normal 2 4" xfId="1104" xr:uid="{00000000-0005-0000-0000-00000D040000}"/>
    <cellStyle name="Normal 2 4 2" xfId="1105" xr:uid="{00000000-0005-0000-0000-00000E040000}"/>
    <cellStyle name="Normal 2 4 3" xfId="1106" xr:uid="{00000000-0005-0000-0000-00000F040000}"/>
    <cellStyle name="Normal 2 40" xfId="1107" xr:uid="{00000000-0005-0000-0000-000010040000}"/>
    <cellStyle name="Normal 2 41" xfId="1108" xr:uid="{00000000-0005-0000-0000-000011040000}"/>
    <cellStyle name="Normal 2 42" xfId="1109" xr:uid="{00000000-0005-0000-0000-000012040000}"/>
    <cellStyle name="Normal 2 43" xfId="1110" xr:uid="{00000000-0005-0000-0000-000013040000}"/>
    <cellStyle name="Normal 2 44" xfId="1111" xr:uid="{00000000-0005-0000-0000-000014040000}"/>
    <cellStyle name="Normal 2 45" xfId="1112" xr:uid="{00000000-0005-0000-0000-000015040000}"/>
    <cellStyle name="Normal 2 46" xfId="1113" xr:uid="{00000000-0005-0000-0000-000016040000}"/>
    <cellStyle name="Normal 2 47" xfId="1114" xr:uid="{00000000-0005-0000-0000-000017040000}"/>
    <cellStyle name="Normal 2 48" xfId="1115" xr:uid="{00000000-0005-0000-0000-000018040000}"/>
    <cellStyle name="Normal 2 49" xfId="1116" xr:uid="{00000000-0005-0000-0000-000019040000}"/>
    <cellStyle name="Normal 2 5" xfId="1117" xr:uid="{00000000-0005-0000-0000-00001A040000}"/>
    <cellStyle name="Normal 2 5 10" xfId="1118" xr:uid="{00000000-0005-0000-0000-00001B040000}"/>
    <cellStyle name="Normal 2 5 11" xfId="1119" xr:uid="{00000000-0005-0000-0000-00001C040000}"/>
    <cellStyle name="Normal 2 5 12" xfId="1120" xr:uid="{00000000-0005-0000-0000-00001D040000}"/>
    <cellStyle name="Normal 2 5 13" xfId="1121" xr:uid="{00000000-0005-0000-0000-00001E040000}"/>
    <cellStyle name="Normal 2 5 14" xfId="1122" xr:uid="{00000000-0005-0000-0000-00001F040000}"/>
    <cellStyle name="Normal 2 5 15" xfId="1123" xr:uid="{00000000-0005-0000-0000-000020040000}"/>
    <cellStyle name="Normal 2 5 16" xfId="1124" xr:uid="{00000000-0005-0000-0000-000021040000}"/>
    <cellStyle name="Normal 2 5 17" xfId="1125" xr:uid="{00000000-0005-0000-0000-000022040000}"/>
    <cellStyle name="Normal 2 5 18" xfId="1126" xr:uid="{00000000-0005-0000-0000-000023040000}"/>
    <cellStyle name="Normal 2 5 19" xfId="1127" xr:uid="{00000000-0005-0000-0000-000024040000}"/>
    <cellStyle name="Normal 2 5 2" xfId="1128" xr:uid="{00000000-0005-0000-0000-000025040000}"/>
    <cellStyle name="Normal 2 5 2 10" xfId="1129" xr:uid="{00000000-0005-0000-0000-000026040000}"/>
    <cellStyle name="Normal 2 5 2 11" xfId="1130" xr:uid="{00000000-0005-0000-0000-000027040000}"/>
    <cellStyle name="Normal 2 5 2 12" xfId="1131" xr:uid="{00000000-0005-0000-0000-000028040000}"/>
    <cellStyle name="Normal 2 5 2 13" xfId="1132" xr:uid="{00000000-0005-0000-0000-000029040000}"/>
    <cellStyle name="Normal 2 5 2 14" xfId="1133" xr:uid="{00000000-0005-0000-0000-00002A040000}"/>
    <cellStyle name="Normal 2 5 2 15" xfId="1134" xr:uid="{00000000-0005-0000-0000-00002B040000}"/>
    <cellStyle name="Normal 2 5 2 16" xfId="1135" xr:uid="{00000000-0005-0000-0000-00002C040000}"/>
    <cellStyle name="Normal 2 5 2 17" xfId="1136" xr:uid="{00000000-0005-0000-0000-00002D040000}"/>
    <cellStyle name="Normal 2 5 2 18" xfId="1137" xr:uid="{00000000-0005-0000-0000-00002E040000}"/>
    <cellStyle name="Normal 2 5 2 19" xfId="1138" xr:uid="{00000000-0005-0000-0000-00002F040000}"/>
    <cellStyle name="Normal 2 5 2 2" xfId="1139" xr:uid="{00000000-0005-0000-0000-000030040000}"/>
    <cellStyle name="Normal 2 5 2 2 10" xfId="1140" xr:uid="{00000000-0005-0000-0000-000031040000}"/>
    <cellStyle name="Normal 2 5 2 2 11" xfId="1141" xr:uid="{00000000-0005-0000-0000-000032040000}"/>
    <cellStyle name="Normal 2 5 2 2 12" xfId="1142" xr:uid="{00000000-0005-0000-0000-000033040000}"/>
    <cellStyle name="Normal 2 5 2 2 13" xfId="1143" xr:uid="{00000000-0005-0000-0000-000034040000}"/>
    <cellStyle name="Normal 2 5 2 2 14" xfId="1144" xr:uid="{00000000-0005-0000-0000-000035040000}"/>
    <cellStyle name="Normal 2 5 2 2 15" xfId="1145" xr:uid="{00000000-0005-0000-0000-000036040000}"/>
    <cellStyle name="Normal 2 5 2 2 16" xfId="1146" xr:uid="{00000000-0005-0000-0000-000037040000}"/>
    <cellStyle name="Normal 2 5 2 2 17" xfId="1147" xr:uid="{00000000-0005-0000-0000-000038040000}"/>
    <cellStyle name="Normal 2 5 2 2 18" xfId="1148" xr:uid="{00000000-0005-0000-0000-000039040000}"/>
    <cellStyle name="Normal 2 5 2 2 19" xfId="1149" xr:uid="{00000000-0005-0000-0000-00003A040000}"/>
    <cellStyle name="Normal 2 5 2 2 2" xfId="1150" xr:uid="{00000000-0005-0000-0000-00003B040000}"/>
    <cellStyle name="Normal 2 5 2 2 20" xfId="1151" xr:uid="{00000000-0005-0000-0000-00003C040000}"/>
    <cellStyle name="Normal 2 5 2 2 21" xfId="1152" xr:uid="{00000000-0005-0000-0000-00003D040000}"/>
    <cellStyle name="Normal 2 5 2 2 22" xfId="1153" xr:uid="{00000000-0005-0000-0000-00003E040000}"/>
    <cellStyle name="Normal 2 5 2 2 23" xfId="1154" xr:uid="{00000000-0005-0000-0000-00003F040000}"/>
    <cellStyle name="Normal 2 5 2 2 24" xfId="1155" xr:uid="{00000000-0005-0000-0000-000040040000}"/>
    <cellStyle name="Normal 2 5 2 2 25" xfId="1156" xr:uid="{00000000-0005-0000-0000-000041040000}"/>
    <cellStyle name="Normal 2 5 2 2 26" xfId="1157" xr:uid="{00000000-0005-0000-0000-000042040000}"/>
    <cellStyle name="Normal 2 5 2 2 27" xfId="1158" xr:uid="{00000000-0005-0000-0000-000043040000}"/>
    <cellStyle name="Normal 2 5 2 2 28" xfId="1159" xr:uid="{00000000-0005-0000-0000-000044040000}"/>
    <cellStyle name="Normal 2 5 2 2 29" xfId="1160" xr:uid="{00000000-0005-0000-0000-000045040000}"/>
    <cellStyle name="Normal 2 5 2 2 3" xfId="1161" xr:uid="{00000000-0005-0000-0000-000046040000}"/>
    <cellStyle name="Normal 2 5 2 2 30" xfId="1162" xr:uid="{00000000-0005-0000-0000-000047040000}"/>
    <cellStyle name="Normal 2 5 2 2 31" xfId="1163" xr:uid="{00000000-0005-0000-0000-000048040000}"/>
    <cellStyle name="Normal 2 5 2 2 32" xfId="1164" xr:uid="{00000000-0005-0000-0000-000049040000}"/>
    <cellStyle name="Normal 2 5 2 2 33" xfId="1165" xr:uid="{00000000-0005-0000-0000-00004A040000}"/>
    <cellStyle name="Normal 2 5 2 2 34" xfId="1166" xr:uid="{00000000-0005-0000-0000-00004B040000}"/>
    <cellStyle name="Normal 2 5 2 2 35" xfId="1167" xr:uid="{00000000-0005-0000-0000-00004C040000}"/>
    <cellStyle name="Normal 2 5 2 2 36" xfId="1168" xr:uid="{00000000-0005-0000-0000-00004D040000}"/>
    <cellStyle name="Normal 2 5 2 2 37" xfId="1169" xr:uid="{00000000-0005-0000-0000-00004E040000}"/>
    <cellStyle name="Normal 2 5 2 2 38" xfId="1170" xr:uid="{00000000-0005-0000-0000-00004F040000}"/>
    <cellStyle name="Normal 2 5 2 2 39" xfId="1171" xr:uid="{00000000-0005-0000-0000-000050040000}"/>
    <cellStyle name="Normal 2 5 2 2 4" xfId="1172" xr:uid="{00000000-0005-0000-0000-000051040000}"/>
    <cellStyle name="Normal 2 5 2 2 40" xfId="1173" xr:uid="{00000000-0005-0000-0000-000052040000}"/>
    <cellStyle name="Normal 2 5 2 2 41" xfId="1174" xr:uid="{00000000-0005-0000-0000-000053040000}"/>
    <cellStyle name="Normal 2 5 2 2 42" xfId="1175" xr:uid="{00000000-0005-0000-0000-000054040000}"/>
    <cellStyle name="Normal 2 5 2 2 43" xfId="1176" xr:uid="{00000000-0005-0000-0000-000055040000}"/>
    <cellStyle name="Normal 2 5 2 2 44" xfId="1177" xr:uid="{00000000-0005-0000-0000-000056040000}"/>
    <cellStyle name="Normal 2 5 2 2 45" xfId="1178" xr:uid="{00000000-0005-0000-0000-000057040000}"/>
    <cellStyle name="Normal 2 5 2 2 46" xfId="1179" xr:uid="{00000000-0005-0000-0000-000058040000}"/>
    <cellStyle name="Normal 2 5 2 2 47" xfId="1180" xr:uid="{00000000-0005-0000-0000-000059040000}"/>
    <cellStyle name="Normal 2 5 2 2 48" xfId="1181" xr:uid="{00000000-0005-0000-0000-00005A040000}"/>
    <cellStyle name="Normal 2 5 2 2 49" xfId="1182" xr:uid="{00000000-0005-0000-0000-00005B040000}"/>
    <cellStyle name="Normal 2 5 2 2 5" xfId="1183" xr:uid="{00000000-0005-0000-0000-00005C040000}"/>
    <cellStyle name="Normal 2 5 2 2 50" xfId="1184" xr:uid="{00000000-0005-0000-0000-00005D040000}"/>
    <cellStyle name="Normal 2 5 2 2 51" xfId="1185" xr:uid="{00000000-0005-0000-0000-00005E040000}"/>
    <cellStyle name="Normal 2 5 2 2 52" xfId="1186" xr:uid="{00000000-0005-0000-0000-00005F040000}"/>
    <cellStyle name="Normal 2 5 2 2 53" xfId="1187" xr:uid="{00000000-0005-0000-0000-000060040000}"/>
    <cellStyle name="Normal 2 5 2 2 54" xfId="1188" xr:uid="{00000000-0005-0000-0000-000061040000}"/>
    <cellStyle name="Normal 2 5 2 2 55" xfId="1189" xr:uid="{00000000-0005-0000-0000-000062040000}"/>
    <cellStyle name="Normal 2 5 2 2 6" xfId="1190" xr:uid="{00000000-0005-0000-0000-000063040000}"/>
    <cellStyle name="Normal 2 5 2 2 7" xfId="1191" xr:uid="{00000000-0005-0000-0000-000064040000}"/>
    <cellStyle name="Normal 2 5 2 2 8" xfId="1192" xr:uid="{00000000-0005-0000-0000-000065040000}"/>
    <cellStyle name="Normal 2 5 2 2 9" xfId="1193" xr:uid="{00000000-0005-0000-0000-000066040000}"/>
    <cellStyle name="Normal 2 5 2 20" xfId="1194" xr:uid="{00000000-0005-0000-0000-000067040000}"/>
    <cellStyle name="Normal 2 5 2 21" xfId="1195" xr:uid="{00000000-0005-0000-0000-000068040000}"/>
    <cellStyle name="Normal 2 5 2 22" xfId="1196" xr:uid="{00000000-0005-0000-0000-000069040000}"/>
    <cellStyle name="Normal 2 5 2 23" xfId="1197" xr:uid="{00000000-0005-0000-0000-00006A040000}"/>
    <cellStyle name="Normal 2 5 2 24" xfId="1198" xr:uid="{00000000-0005-0000-0000-00006B040000}"/>
    <cellStyle name="Normal 2 5 2 25" xfId="1199" xr:uid="{00000000-0005-0000-0000-00006C040000}"/>
    <cellStyle name="Normal 2 5 2 26" xfId="1200" xr:uid="{00000000-0005-0000-0000-00006D040000}"/>
    <cellStyle name="Normal 2 5 2 27" xfId="1201" xr:uid="{00000000-0005-0000-0000-00006E040000}"/>
    <cellStyle name="Normal 2 5 2 28" xfId="1202" xr:uid="{00000000-0005-0000-0000-00006F040000}"/>
    <cellStyle name="Normal 2 5 2 29" xfId="1203" xr:uid="{00000000-0005-0000-0000-000070040000}"/>
    <cellStyle name="Normal 2 5 2 3" xfId="1204" xr:uid="{00000000-0005-0000-0000-000071040000}"/>
    <cellStyle name="Normal 2 5 2 30" xfId="1205" xr:uid="{00000000-0005-0000-0000-000072040000}"/>
    <cellStyle name="Normal 2 5 2 31" xfId="1206" xr:uid="{00000000-0005-0000-0000-000073040000}"/>
    <cellStyle name="Normal 2 5 2 32" xfId="1207" xr:uid="{00000000-0005-0000-0000-000074040000}"/>
    <cellStyle name="Normal 2 5 2 33" xfId="1208" xr:uid="{00000000-0005-0000-0000-000075040000}"/>
    <cellStyle name="Normal 2 5 2 4" xfId="1209" xr:uid="{00000000-0005-0000-0000-000076040000}"/>
    <cellStyle name="Normal 2 5 2 5" xfId="1210" xr:uid="{00000000-0005-0000-0000-000077040000}"/>
    <cellStyle name="Normal 2 5 2 6" xfId="1211" xr:uid="{00000000-0005-0000-0000-000078040000}"/>
    <cellStyle name="Normal 2 5 2 7" xfId="1212" xr:uid="{00000000-0005-0000-0000-000079040000}"/>
    <cellStyle name="Normal 2 5 2 8" xfId="1213" xr:uid="{00000000-0005-0000-0000-00007A040000}"/>
    <cellStyle name="Normal 2 5 2 9" xfId="1214" xr:uid="{00000000-0005-0000-0000-00007B040000}"/>
    <cellStyle name="Normal 2 5 20" xfId="1215" xr:uid="{00000000-0005-0000-0000-00007C040000}"/>
    <cellStyle name="Normal 2 5 21" xfId="1216" xr:uid="{00000000-0005-0000-0000-00007D040000}"/>
    <cellStyle name="Normal 2 5 22" xfId="1217" xr:uid="{00000000-0005-0000-0000-00007E040000}"/>
    <cellStyle name="Normal 2 5 23" xfId="1218" xr:uid="{00000000-0005-0000-0000-00007F040000}"/>
    <cellStyle name="Normal 2 5 24" xfId="1219" xr:uid="{00000000-0005-0000-0000-000080040000}"/>
    <cellStyle name="Normal 2 5 25" xfId="1220" xr:uid="{00000000-0005-0000-0000-000081040000}"/>
    <cellStyle name="Normal 2 5 26" xfId="1221" xr:uid="{00000000-0005-0000-0000-000082040000}"/>
    <cellStyle name="Normal 2 5 27" xfId="1222" xr:uid="{00000000-0005-0000-0000-000083040000}"/>
    <cellStyle name="Normal 2 5 28" xfId="1223" xr:uid="{00000000-0005-0000-0000-000084040000}"/>
    <cellStyle name="Normal 2 5 29" xfId="1224" xr:uid="{00000000-0005-0000-0000-000085040000}"/>
    <cellStyle name="Normal 2 5 3" xfId="1225" xr:uid="{00000000-0005-0000-0000-000086040000}"/>
    <cellStyle name="Normal 2 5 30" xfId="1226" xr:uid="{00000000-0005-0000-0000-000087040000}"/>
    <cellStyle name="Normal 2 5 31" xfId="1227" xr:uid="{00000000-0005-0000-0000-000088040000}"/>
    <cellStyle name="Normal 2 5 32" xfId="1228" xr:uid="{00000000-0005-0000-0000-000089040000}"/>
    <cellStyle name="Normal 2 5 33" xfId="1229" xr:uid="{00000000-0005-0000-0000-00008A040000}"/>
    <cellStyle name="Normal 2 5 34" xfId="1230" xr:uid="{00000000-0005-0000-0000-00008B040000}"/>
    <cellStyle name="Normal 2 5 35" xfId="1231" xr:uid="{00000000-0005-0000-0000-00008C040000}"/>
    <cellStyle name="Normal 2 5 36" xfId="1232" xr:uid="{00000000-0005-0000-0000-00008D040000}"/>
    <cellStyle name="Normal 2 5 37" xfId="1233" xr:uid="{00000000-0005-0000-0000-00008E040000}"/>
    <cellStyle name="Normal 2 5 38" xfId="1234" xr:uid="{00000000-0005-0000-0000-00008F040000}"/>
    <cellStyle name="Normal 2 5 39" xfId="1235" xr:uid="{00000000-0005-0000-0000-000090040000}"/>
    <cellStyle name="Normal 2 5 4" xfId="1236" xr:uid="{00000000-0005-0000-0000-000091040000}"/>
    <cellStyle name="Normal 2 5 40" xfId="1237" xr:uid="{00000000-0005-0000-0000-000092040000}"/>
    <cellStyle name="Normal 2 5 41" xfId="1238" xr:uid="{00000000-0005-0000-0000-000093040000}"/>
    <cellStyle name="Normal 2 5 42" xfId="1239" xr:uid="{00000000-0005-0000-0000-000094040000}"/>
    <cellStyle name="Normal 2 5 43" xfId="1240" xr:uid="{00000000-0005-0000-0000-000095040000}"/>
    <cellStyle name="Normal 2 5 44" xfId="1241" xr:uid="{00000000-0005-0000-0000-000096040000}"/>
    <cellStyle name="Normal 2 5 45" xfId="1242" xr:uid="{00000000-0005-0000-0000-000097040000}"/>
    <cellStyle name="Normal 2 5 46" xfId="1243" xr:uid="{00000000-0005-0000-0000-000098040000}"/>
    <cellStyle name="Normal 2 5 47" xfId="1244" xr:uid="{00000000-0005-0000-0000-000099040000}"/>
    <cellStyle name="Normal 2 5 48" xfId="1245" xr:uid="{00000000-0005-0000-0000-00009A040000}"/>
    <cellStyle name="Normal 2 5 49" xfId="1246" xr:uid="{00000000-0005-0000-0000-00009B040000}"/>
    <cellStyle name="Normal 2 5 5" xfId="1247" xr:uid="{00000000-0005-0000-0000-00009C040000}"/>
    <cellStyle name="Normal 2 5 50" xfId="1248" xr:uid="{00000000-0005-0000-0000-00009D040000}"/>
    <cellStyle name="Normal 2 5 51" xfId="1249" xr:uid="{00000000-0005-0000-0000-00009E040000}"/>
    <cellStyle name="Normal 2 5 52" xfId="1250" xr:uid="{00000000-0005-0000-0000-00009F040000}"/>
    <cellStyle name="Normal 2 5 53" xfId="1251" xr:uid="{00000000-0005-0000-0000-0000A0040000}"/>
    <cellStyle name="Normal 2 5 54" xfId="1252" xr:uid="{00000000-0005-0000-0000-0000A1040000}"/>
    <cellStyle name="Normal 2 5 55" xfId="1253" xr:uid="{00000000-0005-0000-0000-0000A2040000}"/>
    <cellStyle name="Normal 2 5 56" xfId="1254" xr:uid="{00000000-0005-0000-0000-0000A3040000}"/>
    <cellStyle name="Normal 2 5 57" xfId="1255" xr:uid="{00000000-0005-0000-0000-0000A4040000}"/>
    <cellStyle name="Normal 2 5 58" xfId="1256" xr:uid="{00000000-0005-0000-0000-0000A5040000}"/>
    <cellStyle name="Normal 2 5 59" xfId="1257" xr:uid="{00000000-0005-0000-0000-0000A6040000}"/>
    <cellStyle name="Normal 2 5 6" xfId="1258" xr:uid="{00000000-0005-0000-0000-0000A7040000}"/>
    <cellStyle name="Normal 2 5 60" xfId="1259" xr:uid="{00000000-0005-0000-0000-0000A8040000}"/>
    <cellStyle name="Normal 2 5 61" xfId="1260" xr:uid="{00000000-0005-0000-0000-0000A9040000}"/>
    <cellStyle name="Normal 2 5 62" xfId="1261" xr:uid="{00000000-0005-0000-0000-0000AA040000}"/>
    <cellStyle name="Normal 2 5 63" xfId="1262" xr:uid="{00000000-0005-0000-0000-0000AB040000}"/>
    <cellStyle name="Normal 2 5 64" xfId="1263" xr:uid="{00000000-0005-0000-0000-0000AC040000}"/>
    <cellStyle name="Normal 2 5 65" xfId="1264" xr:uid="{00000000-0005-0000-0000-0000AD040000}"/>
    <cellStyle name="Normal 2 5 66" xfId="1265" xr:uid="{00000000-0005-0000-0000-0000AE040000}"/>
    <cellStyle name="Normal 2 5 67" xfId="1266" xr:uid="{00000000-0005-0000-0000-0000AF040000}"/>
    <cellStyle name="Normal 2 5 68" xfId="1267" xr:uid="{00000000-0005-0000-0000-0000B0040000}"/>
    <cellStyle name="Normal 2 5 69" xfId="1268" xr:uid="{00000000-0005-0000-0000-0000B1040000}"/>
    <cellStyle name="Normal 2 5 7" xfId="1269" xr:uid="{00000000-0005-0000-0000-0000B2040000}"/>
    <cellStyle name="Normal 2 5 70" xfId="1270" xr:uid="{00000000-0005-0000-0000-0000B3040000}"/>
    <cellStyle name="Normal 2 5 71" xfId="1271" xr:uid="{00000000-0005-0000-0000-0000B4040000}"/>
    <cellStyle name="Normal 2 5 72" xfId="1272" xr:uid="{00000000-0005-0000-0000-0000B5040000}"/>
    <cellStyle name="Normal 2 5 73" xfId="1273" xr:uid="{00000000-0005-0000-0000-0000B6040000}"/>
    <cellStyle name="Normal 2 5 74" xfId="1274" xr:uid="{00000000-0005-0000-0000-0000B7040000}"/>
    <cellStyle name="Normal 2 5 75" xfId="1275" xr:uid="{00000000-0005-0000-0000-0000B8040000}"/>
    <cellStyle name="Normal 2 5 76" xfId="1276" xr:uid="{00000000-0005-0000-0000-0000B9040000}"/>
    <cellStyle name="Normal 2 5 77" xfId="1277" xr:uid="{00000000-0005-0000-0000-0000BA040000}"/>
    <cellStyle name="Normal 2 5 78" xfId="1278" xr:uid="{00000000-0005-0000-0000-0000BB040000}"/>
    <cellStyle name="Normal 2 5 79" xfId="1279" xr:uid="{00000000-0005-0000-0000-0000BC040000}"/>
    <cellStyle name="Normal 2 5 8" xfId="1280" xr:uid="{00000000-0005-0000-0000-0000BD040000}"/>
    <cellStyle name="Normal 2 5 80" xfId="1281" xr:uid="{00000000-0005-0000-0000-0000BE040000}"/>
    <cellStyle name="Normal 2 5 81" xfId="1282" xr:uid="{00000000-0005-0000-0000-0000BF040000}"/>
    <cellStyle name="Normal 2 5 82" xfId="1283" xr:uid="{00000000-0005-0000-0000-0000C0040000}"/>
    <cellStyle name="Normal 2 5 83" xfId="1284" xr:uid="{00000000-0005-0000-0000-0000C1040000}"/>
    <cellStyle name="Normal 2 5 84" xfId="1285" xr:uid="{00000000-0005-0000-0000-0000C2040000}"/>
    <cellStyle name="Normal 2 5 85" xfId="1286" xr:uid="{00000000-0005-0000-0000-0000C3040000}"/>
    <cellStyle name="Normal 2 5 86" xfId="1287" xr:uid="{00000000-0005-0000-0000-0000C4040000}"/>
    <cellStyle name="Normal 2 5 87" xfId="1288" xr:uid="{00000000-0005-0000-0000-0000C5040000}"/>
    <cellStyle name="Normal 2 5 88" xfId="1289" xr:uid="{00000000-0005-0000-0000-0000C6040000}"/>
    <cellStyle name="Normal 2 5 9" xfId="1290" xr:uid="{00000000-0005-0000-0000-0000C7040000}"/>
    <cellStyle name="Normal 2 5_DEER 032008 Cost Summary Delivery - Rev 4 (2)" xfId="1291" xr:uid="{00000000-0005-0000-0000-0000C8040000}"/>
    <cellStyle name="Normal 2 50" xfId="1292" xr:uid="{00000000-0005-0000-0000-0000C9040000}"/>
    <cellStyle name="Normal 2 51" xfId="1293" xr:uid="{00000000-0005-0000-0000-0000CA040000}"/>
    <cellStyle name="Normal 2 52" xfId="1294" xr:uid="{00000000-0005-0000-0000-0000CB040000}"/>
    <cellStyle name="Normal 2 53" xfId="1295" xr:uid="{00000000-0005-0000-0000-0000CC040000}"/>
    <cellStyle name="Normal 2 54" xfId="1296" xr:uid="{00000000-0005-0000-0000-0000CD040000}"/>
    <cellStyle name="Normal 2 55" xfId="1297" xr:uid="{00000000-0005-0000-0000-0000CE040000}"/>
    <cellStyle name="Normal 2 56" xfId="1298" xr:uid="{00000000-0005-0000-0000-0000CF040000}"/>
    <cellStyle name="Normal 2 57" xfId="1299" xr:uid="{00000000-0005-0000-0000-0000D0040000}"/>
    <cellStyle name="Normal 2 58" xfId="1300" xr:uid="{00000000-0005-0000-0000-0000D1040000}"/>
    <cellStyle name="Normal 2 59" xfId="1301" xr:uid="{00000000-0005-0000-0000-0000D2040000}"/>
    <cellStyle name="Normal 2 6" xfId="1302" xr:uid="{00000000-0005-0000-0000-0000D3040000}"/>
    <cellStyle name="Normal 2 6 2" xfId="1303" xr:uid="{00000000-0005-0000-0000-0000D4040000}"/>
    <cellStyle name="Normal 2 60" xfId="1304" xr:uid="{00000000-0005-0000-0000-0000D5040000}"/>
    <cellStyle name="Normal 2 61" xfId="1305" xr:uid="{00000000-0005-0000-0000-0000D6040000}"/>
    <cellStyle name="Normal 2 62" xfId="1306" xr:uid="{00000000-0005-0000-0000-0000D7040000}"/>
    <cellStyle name="Normal 2 63" xfId="1307" xr:uid="{00000000-0005-0000-0000-0000D8040000}"/>
    <cellStyle name="Normal 2 64" xfId="1308" xr:uid="{00000000-0005-0000-0000-0000D9040000}"/>
    <cellStyle name="Normal 2 65" xfId="1309" xr:uid="{00000000-0005-0000-0000-0000DA040000}"/>
    <cellStyle name="Normal 2 66" xfId="1310" xr:uid="{00000000-0005-0000-0000-0000DB040000}"/>
    <cellStyle name="Normal 2 67" xfId="1311" xr:uid="{00000000-0005-0000-0000-0000DC040000}"/>
    <cellStyle name="Normal 2 68" xfId="1312" xr:uid="{00000000-0005-0000-0000-0000DD040000}"/>
    <cellStyle name="Normal 2 69" xfId="1313" xr:uid="{00000000-0005-0000-0000-0000DE040000}"/>
    <cellStyle name="Normal 2 7" xfId="1314" xr:uid="{00000000-0005-0000-0000-0000DF040000}"/>
    <cellStyle name="Normal 2 70" xfId="1315" xr:uid="{00000000-0005-0000-0000-0000E0040000}"/>
    <cellStyle name="Normal 2 71" xfId="1316" xr:uid="{00000000-0005-0000-0000-0000E1040000}"/>
    <cellStyle name="Normal 2 72" xfId="1317" xr:uid="{00000000-0005-0000-0000-0000E2040000}"/>
    <cellStyle name="Normal 2 73" xfId="1318" xr:uid="{00000000-0005-0000-0000-0000E3040000}"/>
    <cellStyle name="Normal 2 74" xfId="1319" xr:uid="{00000000-0005-0000-0000-0000E4040000}"/>
    <cellStyle name="Normal 2 75" xfId="1320" xr:uid="{00000000-0005-0000-0000-0000E5040000}"/>
    <cellStyle name="Normal 2 76" xfId="1321" xr:uid="{00000000-0005-0000-0000-0000E6040000}"/>
    <cellStyle name="Normal 2 77" xfId="1322" xr:uid="{00000000-0005-0000-0000-0000E7040000}"/>
    <cellStyle name="Normal 2 78" xfId="1323" xr:uid="{00000000-0005-0000-0000-0000E8040000}"/>
    <cellStyle name="Normal 2 79" xfId="1324" xr:uid="{00000000-0005-0000-0000-0000E9040000}"/>
    <cellStyle name="Normal 2 8" xfId="1325" xr:uid="{00000000-0005-0000-0000-0000EA040000}"/>
    <cellStyle name="Normal 2 8 10" xfId="1326" xr:uid="{00000000-0005-0000-0000-0000EB040000}"/>
    <cellStyle name="Normal 2 8 11" xfId="1327" xr:uid="{00000000-0005-0000-0000-0000EC040000}"/>
    <cellStyle name="Normal 2 8 12" xfId="1328" xr:uid="{00000000-0005-0000-0000-0000ED040000}"/>
    <cellStyle name="Normal 2 8 13" xfId="1329" xr:uid="{00000000-0005-0000-0000-0000EE040000}"/>
    <cellStyle name="Normal 2 8 14" xfId="1330" xr:uid="{00000000-0005-0000-0000-0000EF040000}"/>
    <cellStyle name="Normal 2 8 15" xfId="1331" xr:uid="{00000000-0005-0000-0000-0000F0040000}"/>
    <cellStyle name="Normal 2 8 16" xfId="1332" xr:uid="{00000000-0005-0000-0000-0000F1040000}"/>
    <cellStyle name="Normal 2 8 17" xfId="1333" xr:uid="{00000000-0005-0000-0000-0000F2040000}"/>
    <cellStyle name="Normal 2 8 18" xfId="1334" xr:uid="{00000000-0005-0000-0000-0000F3040000}"/>
    <cellStyle name="Normal 2 8 19" xfId="1335" xr:uid="{00000000-0005-0000-0000-0000F4040000}"/>
    <cellStyle name="Normal 2 8 2" xfId="1336" xr:uid="{00000000-0005-0000-0000-0000F5040000}"/>
    <cellStyle name="Normal 2 8 20" xfId="1337" xr:uid="{00000000-0005-0000-0000-0000F6040000}"/>
    <cellStyle name="Normal 2 8 21" xfId="1338" xr:uid="{00000000-0005-0000-0000-0000F7040000}"/>
    <cellStyle name="Normal 2 8 22" xfId="1339" xr:uid="{00000000-0005-0000-0000-0000F8040000}"/>
    <cellStyle name="Normal 2 8 23" xfId="1340" xr:uid="{00000000-0005-0000-0000-0000F9040000}"/>
    <cellStyle name="Normal 2 8 3" xfId="1341" xr:uid="{00000000-0005-0000-0000-0000FA040000}"/>
    <cellStyle name="Normal 2 8 4" xfId="1342" xr:uid="{00000000-0005-0000-0000-0000FB040000}"/>
    <cellStyle name="Normal 2 8 5" xfId="1343" xr:uid="{00000000-0005-0000-0000-0000FC040000}"/>
    <cellStyle name="Normal 2 8 6" xfId="1344" xr:uid="{00000000-0005-0000-0000-0000FD040000}"/>
    <cellStyle name="Normal 2 8 7" xfId="1345" xr:uid="{00000000-0005-0000-0000-0000FE040000}"/>
    <cellStyle name="Normal 2 8 8" xfId="1346" xr:uid="{00000000-0005-0000-0000-0000FF040000}"/>
    <cellStyle name="Normal 2 8 9" xfId="1347" xr:uid="{00000000-0005-0000-0000-000000050000}"/>
    <cellStyle name="Normal 2 80" xfId="1348" xr:uid="{00000000-0005-0000-0000-000001050000}"/>
    <cellStyle name="Normal 2 81" xfId="1349" xr:uid="{00000000-0005-0000-0000-000002050000}"/>
    <cellStyle name="Normal 2 82" xfId="1350" xr:uid="{00000000-0005-0000-0000-000003050000}"/>
    <cellStyle name="Normal 2 83" xfId="1351" xr:uid="{00000000-0005-0000-0000-000004050000}"/>
    <cellStyle name="Normal 2 84" xfId="1352" xr:uid="{00000000-0005-0000-0000-000005050000}"/>
    <cellStyle name="Normal 2 85" xfId="1353" xr:uid="{00000000-0005-0000-0000-000006050000}"/>
    <cellStyle name="Normal 2 86" xfId="1354" xr:uid="{00000000-0005-0000-0000-000007050000}"/>
    <cellStyle name="Normal 2 87" xfId="1355" xr:uid="{00000000-0005-0000-0000-000008050000}"/>
    <cellStyle name="Normal 2 88" xfId="1356" xr:uid="{00000000-0005-0000-0000-000009050000}"/>
    <cellStyle name="Normal 2 89" xfId="1357" xr:uid="{00000000-0005-0000-0000-00000A050000}"/>
    <cellStyle name="Normal 2 9" xfId="1358" xr:uid="{00000000-0005-0000-0000-00000B050000}"/>
    <cellStyle name="Normal 2 9 10" xfId="1359" xr:uid="{00000000-0005-0000-0000-00000C050000}"/>
    <cellStyle name="Normal 2 9 11" xfId="1360" xr:uid="{00000000-0005-0000-0000-00000D050000}"/>
    <cellStyle name="Normal 2 9 12" xfId="1361" xr:uid="{00000000-0005-0000-0000-00000E050000}"/>
    <cellStyle name="Normal 2 9 13" xfId="1362" xr:uid="{00000000-0005-0000-0000-00000F050000}"/>
    <cellStyle name="Normal 2 9 14" xfId="1363" xr:uid="{00000000-0005-0000-0000-000010050000}"/>
    <cellStyle name="Normal 2 9 15" xfId="1364" xr:uid="{00000000-0005-0000-0000-000011050000}"/>
    <cellStyle name="Normal 2 9 16" xfId="1365" xr:uid="{00000000-0005-0000-0000-000012050000}"/>
    <cellStyle name="Normal 2 9 17" xfId="1366" xr:uid="{00000000-0005-0000-0000-000013050000}"/>
    <cellStyle name="Normal 2 9 18" xfId="1367" xr:uid="{00000000-0005-0000-0000-000014050000}"/>
    <cellStyle name="Normal 2 9 19" xfId="1368" xr:uid="{00000000-0005-0000-0000-000015050000}"/>
    <cellStyle name="Normal 2 9 2" xfId="1369" xr:uid="{00000000-0005-0000-0000-000016050000}"/>
    <cellStyle name="Normal 2 9 20" xfId="1370" xr:uid="{00000000-0005-0000-0000-000017050000}"/>
    <cellStyle name="Normal 2 9 21" xfId="1371" xr:uid="{00000000-0005-0000-0000-000018050000}"/>
    <cellStyle name="Normal 2 9 22" xfId="1372" xr:uid="{00000000-0005-0000-0000-000019050000}"/>
    <cellStyle name="Normal 2 9 23" xfId="1373" xr:uid="{00000000-0005-0000-0000-00001A050000}"/>
    <cellStyle name="Normal 2 9 3" xfId="1374" xr:uid="{00000000-0005-0000-0000-00001B050000}"/>
    <cellStyle name="Normal 2 9 4" xfId="1375" xr:uid="{00000000-0005-0000-0000-00001C050000}"/>
    <cellStyle name="Normal 2 9 5" xfId="1376" xr:uid="{00000000-0005-0000-0000-00001D050000}"/>
    <cellStyle name="Normal 2 9 6" xfId="1377" xr:uid="{00000000-0005-0000-0000-00001E050000}"/>
    <cellStyle name="Normal 2 9 7" xfId="1378" xr:uid="{00000000-0005-0000-0000-00001F050000}"/>
    <cellStyle name="Normal 2 9 8" xfId="1379" xr:uid="{00000000-0005-0000-0000-000020050000}"/>
    <cellStyle name="Normal 2 9 9" xfId="1380" xr:uid="{00000000-0005-0000-0000-000021050000}"/>
    <cellStyle name="Normal 2 90" xfId="1381" xr:uid="{00000000-0005-0000-0000-000022050000}"/>
    <cellStyle name="Normal 2 91" xfId="1382" xr:uid="{00000000-0005-0000-0000-000023050000}"/>
    <cellStyle name="Normal 2 92" xfId="1383" xr:uid="{00000000-0005-0000-0000-000024050000}"/>
    <cellStyle name="Normal 2 93" xfId="1384" xr:uid="{00000000-0005-0000-0000-000025050000}"/>
    <cellStyle name="Normal 2 94" xfId="1385" xr:uid="{00000000-0005-0000-0000-000026050000}"/>
    <cellStyle name="Normal 2_DEER 032008 Cost Summary Delivery - Rev 4 (2)" xfId="1386" xr:uid="{00000000-0005-0000-0000-000027050000}"/>
    <cellStyle name="Normal 20" xfId="1387" xr:uid="{00000000-0005-0000-0000-000028050000}"/>
    <cellStyle name="Normal 21" xfId="1388" xr:uid="{00000000-0005-0000-0000-000029050000}"/>
    <cellStyle name="Normal 22" xfId="1389" xr:uid="{00000000-0005-0000-0000-00002A050000}"/>
    <cellStyle name="Normal 23" xfId="1390" xr:uid="{00000000-0005-0000-0000-00002B050000}"/>
    <cellStyle name="Normal 24" xfId="1391" xr:uid="{00000000-0005-0000-0000-00002C050000}"/>
    <cellStyle name="Normal 3" xfId="76" xr:uid="{00000000-0005-0000-0000-00002D050000}"/>
    <cellStyle name="Normal 3 10" xfId="1392" xr:uid="{00000000-0005-0000-0000-00002E050000}"/>
    <cellStyle name="Normal 3 10 10" xfId="1393" xr:uid="{00000000-0005-0000-0000-00002F050000}"/>
    <cellStyle name="Normal 3 10 11" xfId="1394" xr:uid="{00000000-0005-0000-0000-000030050000}"/>
    <cellStyle name="Normal 3 10 12" xfId="1395" xr:uid="{00000000-0005-0000-0000-000031050000}"/>
    <cellStyle name="Normal 3 10 13" xfId="1396" xr:uid="{00000000-0005-0000-0000-000032050000}"/>
    <cellStyle name="Normal 3 10 14" xfId="1397" xr:uid="{00000000-0005-0000-0000-000033050000}"/>
    <cellStyle name="Normal 3 10 15" xfId="1398" xr:uid="{00000000-0005-0000-0000-000034050000}"/>
    <cellStyle name="Normal 3 10 16" xfId="1399" xr:uid="{00000000-0005-0000-0000-000035050000}"/>
    <cellStyle name="Normal 3 10 17" xfId="1400" xr:uid="{00000000-0005-0000-0000-000036050000}"/>
    <cellStyle name="Normal 3 10 18" xfId="1401" xr:uid="{00000000-0005-0000-0000-000037050000}"/>
    <cellStyle name="Normal 3 10 19" xfId="1402" xr:uid="{00000000-0005-0000-0000-000038050000}"/>
    <cellStyle name="Normal 3 10 2" xfId="1403" xr:uid="{00000000-0005-0000-0000-000039050000}"/>
    <cellStyle name="Normal 3 10 20" xfId="1404" xr:uid="{00000000-0005-0000-0000-00003A050000}"/>
    <cellStyle name="Normal 3 10 21" xfId="1405" xr:uid="{00000000-0005-0000-0000-00003B050000}"/>
    <cellStyle name="Normal 3 10 22" xfId="1406" xr:uid="{00000000-0005-0000-0000-00003C050000}"/>
    <cellStyle name="Normal 3 10 23" xfId="1407" xr:uid="{00000000-0005-0000-0000-00003D050000}"/>
    <cellStyle name="Normal 3 10 3" xfId="1408" xr:uid="{00000000-0005-0000-0000-00003E050000}"/>
    <cellStyle name="Normal 3 10 4" xfId="1409" xr:uid="{00000000-0005-0000-0000-00003F050000}"/>
    <cellStyle name="Normal 3 10 5" xfId="1410" xr:uid="{00000000-0005-0000-0000-000040050000}"/>
    <cellStyle name="Normal 3 10 6" xfId="1411" xr:uid="{00000000-0005-0000-0000-000041050000}"/>
    <cellStyle name="Normal 3 10 7" xfId="1412" xr:uid="{00000000-0005-0000-0000-000042050000}"/>
    <cellStyle name="Normal 3 10 8" xfId="1413" xr:uid="{00000000-0005-0000-0000-000043050000}"/>
    <cellStyle name="Normal 3 10 9" xfId="1414" xr:uid="{00000000-0005-0000-0000-000044050000}"/>
    <cellStyle name="Normal 3 11" xfId="1415" xr:uid="{00000000-0005-0000-0000-000045050000}"/>
    <cellStyle name="Normal 3 11 10" xfId="1416" xr:uid="{00000000-0005-0000-0000-000046050000}"/>
    <cellStyle name="Normal 3 11 11" xfId="1417" xr:uid="{00000000-0005-0000-0000-000047050000}"/>
    <cellStyle name="Normal 3 11 12" xfId="1418" xr:uid="{00000000-0005-0000-0000-000048050000}"/>
    <cellStyle name="Normal 3 11 13" xfId="1419" xr:uid="{00000000-0005-0000-0000-000049050000}"/>
    <cellStyle name="Normal 3 11 14" xfId="1420" xr:uid="{00000000-0005-0000-0000-00004A050000}"/>
    <cellStyle name="Normal 3 11 15" xfId="1421" xr:uid="{00000000-0005-0000-0000-00004B050000}"/>
    <cellStyle name="Normal 3 11 16" xfId="1422" xr:uid="{00000000-0005-0000-0000-00004C050000}"/>
    <cellStyle name="Normal 3 11 17" xfId="1423" xr:uid="{00000000-0005-0000-0000-00004D050000}"/>
    <cellStyle name="Normal 3 11 18" xfId="1424" xr:uid="{00000000-0005-0000-0000-00004E050000}"/>
    <cellStyle name="Normal 3 11 19" xfId="1425" xr:uid="{00000000-0005-0000-0000-00004F050000}"/>
    <cellStyle name="Normal 3 11 2" xfId="1426" xr:uid="{00000000-0005-0000-0000-000050050000}"/>
    <cellStyle name="Normal 3 11 20" xfId="1427" xr:uid="{00000000-0005-0000-0000-000051050000}"/>
    <cellStyle name="Normal 3 11 21" xfId="1428" xr:uid="{00000000-0005-0000-0000-000052050000}"/>
    <cellStyle name="Normal 3 11 22" xfId="1429" xr:uid="{00000000-0005-0000-0000-000053050000}"/>
    <cellStyle name="Normal 3 11 23" xfId="1430" xr:uid="{00000000-0005-0000-0000-000054050000}"/>
    <cellStyle name="Normal 3 11 3" xfId="1431" xr:uid="{00000000-0005-0000-0000-000055050000}"/>
    <cellStyle name="Normal 3 11 4" xfId="1432" xr:uid="{00000000-0005-0000-0000-000056050000}"/>
    <cellStyle name="Normal 3 11 5" xfId="1433" xr:uid="{00000000-0005-0000-0000-000057050000}"/>
    <cellStyle name="Normal 3 11 6" xfId="1434" xr:uid="{00000000-0005-0000-0000-000058050000}"/>
    <cellStyle name="Normal 3 11 7" xfId="1435" xr:uid="{00000000-0005-0000-0000-000059050000}"/>
    <cellStyle name="Normal 3 11 8" xfId="1436" xr:uid="{00000000-0005-0000-0000-00005A050000}"/>
    <cellStyle name="Normal 3 11 9" xfId="1437" xr:uid="{00000000-0005-0000-0000-00005B050000}"/>
    <cellStyle name="Normal 3 12" xfId="1438" xr:uid="{00000000-0005-0000-0000-00005C050000}"/>
    <cellStyle name="Normal 3 12 10" xfId="1439" xr:uid="{00000000-0005-0000-0000-00005D050000}"/>
    <cellStyle name="Normal 3 12 11" xfId="1440" xr:uid="{00000000-0005-0000-0000-00005E050000}"/>
    <cellStyle name="Normal 3 12 12" xfId="1441" xr:uid="{00000000-0005-0000-0000-00005F050000}"/>
    <cellStyle name="Normal 3 12 13" xfId="1442" xr:uid="{00000000-0005-0000-0000-000060050000}"/>
    <cellStyle name="Normal 3 12 14" xfId="1443" xr:uid="{00000000-0005-0000-0000-000061050000}"/>
    <cellStyle name="Normal 3 12 15" xfId="1444" xr:uid="{00000000-0005-0000-0000-000062050000}"/>
    <cellStyle name="Normal 3 12 16" xfId="1445" xr:uid="{00000000-0005-0000-0000-000063050000}"/>
    <cellStyle name="Normal 3 12 17" xfId="1446" xr:uid="{00000000-0005-0000-0000-000064050000}"/>
    <cellStyle name="Normal 3 12 18" xfId="1447" xr:uid="{00000000-0005-0000-0000-000065050000}"/>
    <cellStyle name="Normal 3 12 19" xfId="1448" xr:uid="{00000000-0005-0000-0000-000066050000}"/>
    <cellStyle name="Normal 3 12 2" xfId="1449" xr:uid="{00000000-0005-0000-0000-000067050000}"/>
    <cellStyle name="Normal 3 12 20" xfId="1450" xr:uid="{00000000-0005-0000-0000-000068050000}"/>
    <cellStyle name="Normal 3 12 21" xfId="1451" xr:uid="{00000000-0005-0000-0000-000069050000}"/>
    <cellStyle name="Normal 3 12 22" xfId="1452" xr:uid="{00000000-0005-0000-0000-00006A050000}"/>
    <cellStyle name="Normal 3 12 23" xfId="1453" xr:uid="{00000000-0005-0000-0000-00006B050000}"/>
    <cellStyle name="Normal 3 12 3" xfId="1454" xr:uid="{00000000-0005-0000-0000-00006C050000}"/>
    <cellStyle name="Normal 3 12 4" xfId="1455" xr:uid="{00000000-0005-0000-0000-00006D050000}"/>
    <cellStyle name="Normal 3 12 5" xfId="1456" xr:uid="{00000000-0005-0000-0000-00006E050000}"/>
    <cellStyle name="Normal 3 12 6" xfId="1457" xr:uid="{00000000-0005-0000-0000-00006F050000}"/>
    <cellStyle name="Normal 3 12 7" xfId="1458" xr:uid="{00000000-0005-0000-0000-000070050000}"/>
    <cellStyle name="Normal 3 12 8" xfId="1459" xr:uid="{00000000-0005-0000-0000-000071050000}"/>
    <cellStyle name="Normal 3 12 9" xfId="1460" xr:uid="{00000000-0005-0000-0000-000072050000}"/>
    <cellStyle name="Normal 3 13" xfId="1461" xr:uid="{00000000-0005-0000-0000-000073050000}"/>
    <cellStyle name="Normal 3 13 10" xfId="1462" xr:uid="{00000000-0005-0000-0000-000074050000}"/>
    <cellStyle name="Normal 3 13 11" xfId="1463" xr:uid="{00000000-0005-0000-0000-000075050000}"/>
    <cellStyle name="Normal 3 13 12" xfId="1464" xr:uid="{00000000-0005-0000-0000-000076050000}"/>
    <cellStyle name="Normal 3 13 13" xfId="1465" xr:uid="{00000000-0005-0000-0000-000077050000}"/>
    <cellStyle name="Normal 3 13 14" xfId="1466" xr:uid="{00000000-0005-0000-0000-000078050000}"/>
    <cellStyle name="Normal 3 13 15" xfId="1467" xr:uid="{00000000-0005-0000-0000-000079050000}"/>
    <cellStyle name="Normal 3 13 16" xfId="1468" xr:uid="{00000000-0005-0000-0000-00007A050000}"/>
    <cellStyle name="Normal 3 13 17" xfId="1469" xr:uid="{00000000-0005-0000-0000-00007B050000}"/>
    <cellStyle name="Normal 3 13 18" xfId="1470" xr:uid="{00000000-0005-0000-0000-00007C050000}"/>
    <cellStyle name="Normal 3 13 19" xfId="1471" xr:uid="{00000000-0005-0000-0000-00007D050000}"/>
    <cellStyle name="Normal 3 13 2" xfId="1472" xr:uid="{00000000-0005-0000-0000-00007E050000}"/>
    <cellStyle name="Normal 3 13 20" xfId="1473" xr:uid="{00000000-0005-0000-0000-00007F050000}"/>
    <cellStyle name="Normal 3 13 21" xfId="1474" xr:uid="{00000000-0005-0000-0000-000080050000}"/>
    <cellStyle name="Normal 3 13 22" xfId="1475" xr:uid="{00000000-0005-0000-0000-000081050000}"/>
    <cellStyle name="Normal 3 13 23" xfId="1476" xr:uid="{00000000-0005-0000-0000-000082050000}"/>
    <cellStyle name="Normal 3 13 3" xfId="1477" xr:uid="{00000000-0005-0000-0000-000083050000}"/>
    <cellStyle name="Normal 3 13 4" xfId="1478" xr:uid="{00000000-0005-0000-0000-000084050000}"/>
    <cellStyle name="Normal 3 13 5" xfId="1479" xr:uid="{00000000-0005-0000-0000-000085050000}"/>
    <cellStyle name="Normal 3 13 6" xfId="1480" xr:uid="{00000000-0005-0000-0000-000086050000}"/>
    <cellStyle name="Normal 3 13 7" xfId="1481" xr:uid="{00000000-0005-0000-0000-000087050000}"/>
    <cellStyle name="Normal 3 13 8" xfId="1482" xr:uid="{00000000-0005-0000-0000-000088050000}"/>
    <cellStyle name="Normal 3 13 9" xfId="1483" xr:uid="{00000000-0005-0000-0000-000089050000}"/>
    <cellStyle name="Normal 3 14" xfId="1484" xr:uid="{00000000-0005-0000-0000-00008A050000}"/>
    <cellStyle name="Normal 3 14 10" xfId="1485" xr:uid="{00000000-0005-0000-0000-00008B050000}"/>
    <cellStyle name="Normal 3 14 11" xfId="1486" xr:uid="{00000000-0005-0000-0000-00008C050000}"/>
    <cellStyle name="Normal 3 14 12" xfId="1487" xr:uid="{00000000-0005-0000-0000-00008D050000}"/>
    <cellStyle name="Normal 3 14 13" xfId="1488" xr:uid="{00000000-0005-0000-0000-00008E050000}"/>
    <cellStyle name="Normal 3 14 14" xfId="1489" xr:uid="{00000000-0005-0000-0000-00008F050000}"/>
    <cellStyle name="Normal 3 14 15" xfId="1490" xr:uid="{00000000-0005-0000-0000-000090050000}"/>
    <cellStyle name="Normal 3 14 16" xfId="1491" xr:uid="{00000000-0005-0000-0000-000091050000}"/>
    <cellStyle name="Normal 3 14 17" xfId="1492" xr:uid="{00000000-0005-0000-0000-000092050000}"/>
    <cellStyle name="Normal 3 14 18" xfId="1493" xr:uid="{00000000-0005-0000-0000-000093050000}"/>
    <cellStyle name="Normal 3 14 19" xfId="1494" xr:uid="{00000000-0005-0000-0000-000094050000}"/>
    <cellStyle name="Normal 3 14 2" xfId="1495" xr:uid="{00000000-0005-0000-0000-000095050000}"/>
    <cellStyle name="Normal 3 14 20" xfId="1496" xr:uid="{00000000-0005-0000-0000-000096050000}"/>
    <cellStyle name="Normal 3 14 21" xfId="1497" xr:uid="{00000000-0005-0000-0000-000097050000}"/>
    <cellStyle name="Normal 3 14 22" xfId="1498" xr:uid="{00000000-0005-0000-0000-000098050000}"/>
    <cellStyle name="Normal 3 14 23" xfId="1499" xr:uid="{00000000-0005-0000-0000-000099050000}"/>
    <cellStyle name="Normal 3 14 3" xfId="1500" xr:uid="{00000000-0005-0000-0000-00009A050000}"/>
    <cellStyle name="Normal 3 14 4" xfId="1501" xr:uid="{00000000-0005-0000-0000-00009B050000}"/>
    <cellStyle name="Normal 3 14 5" xfId="1502" xr:uid="{00000000-0005-0000-0000-00009C050000}"/>
    <cellStyle name="Normal 3 14 6" xfId="1503" xr:uid="{00000000-0005-0000-0000-00009D050000}"/>
    <cellStyle name="Normal 3 14 7" xfId="1504" xr:uid="{00000000-0005-0000-0000-00009E050000}"/>
    <cellStyle name="Normal 3 14 8" xfId="1505" xr:uid="{00000000-0005-0000-0000-00009F050000}"/>
    <cellStyle name="Normal 3 14 9" xfId="1506" xr:uid="{00000000-0005-0000-0000-0000A0050000}"/>
    <cellStyle name="Normal 3 15" xfId="1507" xr:uid="{00000000-0005-0000-0000-0000A1050000}"/>
    <cellStyle name="Normal 3 15 10" xfId="1508" xr:uid="{00000000-0005-0000-0000-0000A2050000}"/>
    <cellStyle name="Normal 3 15 11" xfId="1509" xr:uid="{00000000-0005-0000-0000-0000A3050000}"/>
    <cellStyle name="Normal 3 15 12" xfId="1510" xr:uid="{00000000-0005-0000-0000-0000A4050000}"/>
    <cellStyle name="Normal 3 15 13" xfId="1511" xr:uid="{00000000-0005-0000-0000-0000A5050000}"/>
    <cellStyle name="Normal 3 15 14" xfId="1512" xr:uid="{00000000-0005-0000-0000-0000A6050000}"/>
    <cellStyle name="Normal 3 15 15" xfId="1513" xr:uid="{00000000-0005-0000-0000-0000A7050000}"/>
    <cellStyle name="Normal 3 15 16" xfId="1514" xr:uid="{00000000-0005-0000-0000-0000A8050000}"/>
    <cellStyle name="Normal 3 15 17" xfId="1515" xr:uid="{00000000-0005-0000-0000-0000A9050000}"/>
    <cellStyle name="Normal 3 15 18" xfId="1516" xr:uid="{00000000-0005-0000-0000-0000AA050000}"/>
    <cellStyle name="Normal 3 15 19" xfId="1517" xr:uid="{00000000-0005-0000-0000-0000AB050000}"/>
    <cellStyle name="Normal 3 15 2" xfId="1518" xr:uid="{00000000-0005-0000-0000-0000AC050000}"/>
    <cellStyle name="Normal 3 15 20" xfId="1519" xr:uid="{00000000-0005-0000-0000-0000AD050000}"/>
    <cellStyle name="Normal 3 15 21" xfId="1520" xr:uid="{00000000-0005-0000-0000-0000AE050000}"/>
    <cellStyle name="Normal 3 15 22" xfId="1521" xr:uid="{00000000-0005-0000-0000-0000AF050000}"/>
    <cellStyle name="Normal 3 15 23" xfId="1522" xr:uid="{00000000-0005-0000-0000-0000B0050000}"/>
    <cellStyle name="Normal 3 15 3" xfId="1523" xr:uid="{00000000-0005-0000-0000-0000B1050000}"/>
    <cellStyle name="Normal 3 15 4" xfId="1524" xr:uid="{00000000-0005-0000-0000-0000B2050000}"/>
    <cellStyle name="Normal 3 15 5" xfId="1525" xr:uid="{00000000-0005-0000-0000-0000B3050000}"/>
    <cellStyle name="Normal 3 15 6" xfId="1526" xr:uid="{00000000-0005-0000-0000-0000B4050000}"/>
    <cellStyle name="Normal 3 15 7" xfId="1527" xr:uid="{00000000-0005-0000-0000-0000B5050000}"/>
    <cellStyle name="Normal 3 15 8" xfId="1528" xr:uid="{00000000-0005-0000-0000-0000B6050000}"/>
    <cellStyle name="Normal 3 15 9" xfId="1529" xr:uid="{00000000-0005-0000-0000-0000B7050000}"/>
    <cellStyle name="Normal 3 16" xfId="1530" xr:uid="{00000000-0005-0000-0000-0000B8050000}"/>
    <cellStyle name="Normal 3 16 10" xfId="1531" xr:uid="{00000000-0005-0000-0000-0000B9050000}"/>
    <cellStyle name="Normal 3 16 11" xfId="1532" xr:uid="{00000000-0005-0000-0000-0000BA050000}"/>
    <cellStyle name="Normal 3 16 12" xfId="1533" xr:uid="{00000000-0005-0000-0000-0000BB050000}"/>
    <cellStyle name="Normal 3 16 13" xfId="1534" xr:uid="{00000000-0005-0000-0000-0000BC050000}"/>
    <cellStyle name="Normal 3 16 14" xfId="1535" xr:uid="{00000000-0005-0000-0000-0000BD050000}"/>
    <cellStyle name="Normal 3 16 15" xfId="1536" xr:uid="{00000000-0005-0000-0000-0000BE050000}"/>
    <cellStyle name="Normal 3 16 16" xfId="1537" xr:uid="{00000000-0005-0000-0000-0000BF050000}"/>
    <cellStyle name="Normal 3 16 17" xfId="1538" xr:uid="{00000000-0005-0000-0000-0000C0050000}"/>
    <cellStyle name="Normal 3 16 18" xfId="1539" xr:uid="{00000000-0005-0000-0000-0000C1050000}"/>
    <cellStyle name="Normal 3 16 19" xfId="1540" xr:uid="{00000000-0005-0000-0000-0000C2050000}"/>
    <cellStyle name="Normal 3 16 2" xfId="1541" xr:uid="{00000000-0005-0000-0000-0000C3050000}"/>
    <cellStyle name="Normal 3 16 20" xfId="1542" xr:uid="{00000000-0005-0000-0000-0000C4050000}"/>
    <cellStyle name="Normal 3 16 21" xfId="1543" xr:uid="{00000000-0005-0000-0000-0000C5050000}"/>
    <cellStyle name="Normal 3 16 22" xfId="1544" xr:uid="{00000000-0005-0000-0000-0000C6050000}"/>
    <cellStyle name="Normal 3 16 23" xfId="1545" xr:uid="{00000000-0005-0000-0000-0000C7050000}"/>
    <cellStyle name="Normal 3 16 3" xfId="1546" xr:uid="{00000000-0005-0000-0000-0000C8050000}"/>
    <cellStyle name="Normal 3 16 4" xfId="1547" xr:uid="{00000000-0005-0000-0000-0000C9050000}"/>
    <cellStyle name="Normal 3 16 5" xfId="1548" xr:uid="{00000000-0005-0000-0000-0000CA050000}"/>
    <cellStyle name="Normal 3 16 6" xfId="1549" xr:uid="{00000000-0005-0000-0000-0000CB050000}"/>
    <cellStyle name="Normal 3 16 7" xfId="1550" xr:uid="{00000000-0005-0000-0000-0000CC050000}"/>
    <cellStyle name="Normal 3 16 8" xfId="1551" xr:uid="{00000000-0005-0000-0000-0000CD050000}"/>
    <cellStyle name="Normal 3 16 9" xfId="1552" xr:uid="{00000000-0005-0000-0000-0000CE050000}"/>
    <cellStyle name="Normal 3 17" xfId="1553" xr:uid="{00000000-0005-0000-0000-0000CF050000}"/>
    <cellStyle name="Normal 3 17 10" xfId="1554" xr:uid="{00000000-0005-0000-0000-0000D0050000}"/>
    <cellStyle name="Normal 3 17 11" xfId="1555" xr:uid="{00000000-0005-0000-0000-0000D1050000}"/>
    <cellStyle name="Normal 3 17 12" xfId="1556" xr:uid="{00000000-0005-0000-0000-0000D2050000}"/>
    <cellStyle name="Normal 3 17 13" xfId="1557" xr:uid="{00000000-0005-0000-0000-0000D3050000}"/>
    <cellStyle name="Normal 3 17 14" xfId="1558" xr:uid="{00000000-0005-0000-0000-0000D4050000}"/>
    <cellStyle name="Normal 3 17 15" xfId="1559" xr:uid="{00000000-0005-0000-0000-0000D5050000}"/>
    <cellStyle name="Normal 3 17 16" xfId="1560" xr:uid="{00000000-0005-0000-0000-0000D6050000}"/>
    <cellStyle name="Normal 3 17 17" xfId="1561" xr:uid="{00000000-0005-0000-0000-0000D7050000}"/>
    <cellStyle name="Normal 3 17 18" xfId="1562" xr:uid="{00000000-0005-0000-0000-0000D8050000}"/>
    <cellStyle name="Normal 3 17 19" xfId="1563" xr:uid="{00000000-0005-0000-0000-0000D9050000}"/>
    <cellStyle name="Normal 3 17 2" xfId="1564" xr:uid="{00000000-0005-0000-0000-0000DA050000}"/>
    <cellStyle name="Normal 3 17 20" xfId="1565" xr:uid="{00000000-0005-0000-0000-0000DB050000}"/>
    <cellStyle name="Normal 3 17 21" xfId="1566" xr:uid="{00000000-0005-0000-0000-0000DC050000}"/>
    <cellStyle name="Normal 3 17 22" xfId="1567" xr:uid="{00000000-0005-0000-0000-0000DD050000}"/>
    <cellStyle name="Normal 3 17 23" xfId="1568" xr:uid="{00000000-0005-0000-0000-0000DE050000}"/>
    <cellStyle name="Normal 3 17 3" xfId="1569" xr:uid="{00000000-0005-0000-0000-0000DF050000}"/>
    <cellStyle name="Normal 3 17 4" xfId="1570" xr:uid="{00000000-0005-0000-0000-0000E0050000}"/>
    <cellStyle name="Normal 3 17 5" xfId="1571" xr:uid="{00000000-0005-0000-0000-0000E1050000}"/>
    <cellStyle name="Normal 3 17 6" xfId="1572" xr:uid="{00000000-0005-0000-0000-0000E2050000}"/>
    <cellStyle name="Normal 3 17 7" xfId="1573" xr:uid="{00000000-0005-0000-0000-0000E3050000}"/>
    <cellStyle name="Normal 3 17 8" xfId="1574" xr:uid="{00000000-0005-0000-0000-0000E4050000}"/>
    <cellStyle name="Normal 3 17 9" xfId="1575" xr:uid="{00000000-0005-0000-0000-0000E5050000}"/>
    <cellStyle name="Normal 3 18" xfId="1576" xr:uid="{00000000-0005-0000-0000-0000E6050000}"/>
    <cellStyle name="Normal 3 18 10" xfId="1577" xr:uid="{00000000-0005-0000-0000-0000E7050000}"/>
    <cellStyle name="Normal 3 18 11" xfId="1578" xr:uid="{00000000-0005-0000-0000-0000E8050000}"/>
    <cellStyle name="Normal 3 18 12" xfId="1579" xr:uid="{00000000-0005-0000-0000-0000E9050000}"/>
    <cellStyle name="Normal 3 18 13" xfId="1580" xr:uid="{00000000-0005-0000-0000-0000EA050000}"/>
    <cellStyle name="Normal 3 18 14" xfId="1581" xr:uid="{00000000-0005-0000-0000-0000EB050000}"/>
    <cellStyle name="Normal 3 18 15" xfId="1582" xr:uid="{00000000-0005-0000-0000-0000EC050000}"/>
    <cellStyle name="Normal 3 18 16" xfId="1583" xr:uid="{00000000-0005-0000-0000-0000ED050000}"/>
    <cellStyle name="Normal 3 18 17" xfId="1584" xr:uid="{00000000-0005-0000-0000-0000EE050000}"/>
    <cellStyle name="Normal 3 18 18" xfId="1585" xr:uid="{00000000-0005-0000-0000-0000EF050000}"/>
    <cellStyle name="Normal 3 18 19" xfId="1586" xr:uid="{00000000-0005-0000-0000-0000F0050000}"/>
    <cellStyle name="Normal 3 18 2" xfId="1587" xr:uid="{00000000-0005-0000-0000-0000F1050000}"/>
    <cellStyle name="Normal 3 18 20" xfId="1588" xr:uid="{00000000-0005-0000-0000-0000F2050000}"/>
    <cellStyle name="Normal 3 18 21" xfId="1589" xr:uid="{00000000-0005-0000-0000-0000F3050000}"/>
    <cellStyle name="Normal 3 18 22" xfId="1590" xr:uid="{00000000-0005-0000-0000-0000F4050000}"/>
    <cellStyle name="Normal 3 18 23" xfId="1591" xr:uid="{00000000-0005-0000-0000-0000F5050000}"/>
    <cellStyle name="Normal 3 18 3" xfId="1592" xr:uid="{00000000-0005-0000-0000-0000F6050000}"/>
    <cellStyle name="Normal 3 18 4" xfId="1593" xr:uid="{00000000-0005-0000-0000-0000F7050000}"/>
    <cellStyle name="Normal 3 18 5" xfId="1594" xr:uid="{00000000-0005-0000-0000-0000F8050000}"/>
    <cellStyle name="Normal 3 18 6" xfId="1595" xr:uid="{00000000-0005-0000-0000-0000F9050000}"/>
    <cellStyle name="Normal 3 18 7" xfId="1596" xr:uid="{00000000-0005-0000-0000-0000FA050000}"/>
    <cellStyle name="Normal 3 18 8" xfId="1597" xr:uid="{00000000-0005-0000-0000-0000FB050000}"/>
    <cellStyle name="Normal 3 18 9" xfId="1598" xr:uid="{00000000-0005-0000-0000-0000FC050000}"/>
    <cellStyle name="Normal 3 19" xfId="1599" xr:uid="{00000000-0005-0000-0000-0000FD050000}"/>
    <cellStyle name="Normal 3 19 10" xfId="1600" xr:uid="{00000000-0005-0000-0000-0000FE050000}"/>
    <cellStyle name="Normal 3 19 11" xfId="1601" xr:uid="{00000000-0005-0000-0000-0000FF050000}"/>
    <cellStyle name="Normal 3 19 12" xfId="1602" xr:uid="{00000000-0005-0000-0000-000000060000}"/>
    <cellStyle name="Normal 3 19 13" xfId="1603" xr:uid="{00000000-0005-0000-0000-000001060000}"/>
    <cellStyle name="Normal 3 19 14" xfId="1604" xr:uid="{00000000-0005-0000-0000-000002060000}"/>
    <cellStyle name="Normal 3 19 15" xfId="1605" xr:uid="{00000000-0005-0000-0000-000003060000}"/>
    <cellStyle name="Normal 3 19 16" xfId="1606" xr:uid="{00000000-0005-0000-0000-000004060000}"/>
    <cellStyle name="Normal 3 19 17" xfId="1607" xr:uid="{00000000-0005-0000-0000-000005060000}"/>
    <cellStyle name="Normal 3 19 18" xfId="1608" xr:uid="{00000000-0005-0000-0000-000006060000}"/>
    <cellStyle name="Normal 3 19 19" xfId="1609" xr:uid="{00000000-0005-0000-0000-000007060000}"/>
    <cellStyle name="Normal 3 19 2" xfId="1610" xr:uid="{00000000-0005-0000-0000-000008060000}"/>
    <cellStyle name="Normal 3 19 20" xfId="1611" xr:uid="{00000000-0005-0000-0000-000009060000}"/>
    <cellStyle name="Normal 3 19 21" xfId="1612" xr:uid="{00000000-0005-0000-0000-00000A060000}"/>
    <cellStyle name="Normal 3 19 22" xfId="1613" xr:uid="{00000000-0005-0000-0000-00000B060000}"/>
    <cellStyle name="Normal 3 19 23" xfId="1614" xr:uid="{00000000-0005-0000-0000-00000C060000}"/>
    <cellStyle name="Normal 3 19 3" xfId="1615" xr:uid="{00000000-0005-0000-0000-00000D060000}"/>
    <cellStyle name="Normal 3 19 4" xfId="1616" xr:uid="{00000000-0005-0000-0000-00000E060000}"/>
    <cellStyle name="Normal 3 19 5" xfId="1617" xr:uid="{00000000-0005-0000-0000-00000F060000}"/>
    <cellStyle name="Normal 3 19 6" xfId="1618" xr:uid="{00000000-0005-0000-0000-000010060000}"/>
    <cellStyle name="Normal 3 19 7" xfId="1619" xr:uid="{00000000-0005-0000-0000-000011060000}"/>
    <cellStyle name="Normal 3 19 8" xfId="1620" xr:uid="{00000000-0005-0000-0000-000012060000}"/>
    <cellStyle name="Normal 3 19 9" xfId="1621" xr:uid="{00000000-0005-0000-0000-000013060000}"/>
    <cellStyle name="Normal 3 2" xfId="77" xr:uid="{00000000-0005-0000-0000-000014060000}"/>
    <cellStyle name="Normal 3 2 10" xfId="1622" xr:uid="{00000000-0005-0000-0000-000015060000}"/>
    <cellStyle name="Normal 3 2 11" xfId="1623" xr:uid="{00000000-0005-0000-0000-000016060000}"/>
    <cellStyle name="Normal 3 2 12" xfId="1624" xr:uid="{00000000-0005-0000-0000-000017060000}"/>
    <cellStyle name="Normal 3 2 13" xfId="1625" xr:uid="{00000000-0005-0000-0000-000018060000}"/>
    <cellStyle name="Normal 3 2 14" xfId="1626" xr:uid="{00000000-0005-0000-0000-000019060000}"/>
    <cellStyle name="Normal 3 2 15" xfId="1627" xr:uid="{00000000-0005-0000-0000-00001A060000}"/>
    <cellStyle name="Normal 3 2 16" xfId="1628" xr:uid="{00000000-0005-0000-0000-00001B060000}"/>
    <cellStyle name="Normal 3 2 17" xfId="1629" xr:uid="{00000000-0005-0000-0000-00001C060000}"/>
    <cellStyle name="Normal 3 2 18" xfId="1630" xr:uid="{00000000-0005-0000-0000-00001D060000}"/>
    <cellStyle name="Normal 3 2 19" xfId="1631" xr:uid="{00000000-0005-0000-0000-00001E060000}"/>
    <cellStyle name="Normal 3 2 2" xfId="1632" xr:uid="{00000000-0005-0000-0000-00001F060000}"/>
    <cellStyle name="Normal 3 2 2 10" xfId="1633" xr:uid="{00000000-0005-0000-0000-000020060000}"/>
    <cellStyle name="Normal 3 2 2 11" xfId="1634" xr:uid="{00000000-0005-0000-0000-000021060000}"/>
    <cellStyle name="Normal 3 2 2 12" xfId="1635" xr:uid="{00000000-0005-0000-0000-000022060000}"/>
    <cellStyle name="Normal 3 2 2 13" xfId="1636" xr:uid="{00000000-0005-0000-0000-000023060000}"/>
    <cellStyle name="Normal 3 2 2 14" xfId="1637" xr:uid="{00000000-0005-0000-0000-000024060000}"/>
    <cellStyle name="Normal 3 2 2 15" xfId="1638" xr:uid="{00000000-0005-0000-0000-000025060000}"/>
    <cellStyle name="Normal 3 2 2 16" xfId="1639" xr:uid="{00000000-0005-0000-0000-000026060000}"/>
    <cellStyle name="Normal 3 2 2 17" xfId="1640" xr:uid="{00000000-0005-0000-0000-000027060000}"/>
    <cellStyle name="Normal 3 2 2 18" xfId="1641" xr:uid="{00000000-0005-0000-0000-000028060000}"/>
    <cellStyle name="Normal 3 2 2 19" xfId="1642" xr:uid="{00000000-0005-0000-0000-000029060000}"/>
    <cellStyle name="Normal 3 2 2 2" xfId="1643" xr:uid="{00000000-0005-0000-0000-00002A060000}"/>
    <cellStyle name="Normal 3 2 2 20" xfId="1644" xr:uid="{00000000-0005-0000-0000-00002B060000}"/>
    <cellStyle name="Normal 3 2 2 21" xfId="1645" xr:uid="{00000000-0005-0000-0000-00002C060000}"/>
    <cellStyle name="Normal 3 2 2 22" xfId="1646" xr:uid="{00000000-0005-0000-0000-00002D060000}"/>
    <cellStyle name="Normal 3 2 2 23" xfId="1647" xr:uid="{00000000-0005-0000-0000-00002E060000}"/>
    <cellStyle name="Normal 3 2 2 24" xfId="1648" xr:uid="{00000000-0005-0000-0000-00002F060000}"/>
    <cellStyle name="Normal 3 2 2 25" xfId="1649" xr:uid="{00000000-0005-0000-0000-000030060000}"/>
    <cellStyle name="Normal 3 2 2 26" xfId="1650" xr:uid="{00000000-0005-0000-0000-000031060000}"/>
    <cellStyle name="Normal 3 2 2 27" xfId="1651" xr:uid="{00000000-0005-0000-0000-000032060000}"/>
    <cellStyle name="Normal 3 2 2 28" xfId="1652" xr:uid="{00000000-0005-0000-0000-000033060000}"/>
    <cellStyle name="Normal 3 2 2 29" xfId="1653" xr:uid="{00000000-0005-0000-0000-000034060000}"/>
    <cellStyle name="Normal 3 2 2 3" xfId="1654" xr:uid="{00000000-0005-0000-0000-000035060000}"/>
    <cellStyle name="Normal 3 2 2 30" xfId="1655" xr:uid="{00000000-0005-0000-0000-000036060000}"/>
    <cellStyle name="Normal 3 2 2 31" xfId="1656" xr:uid="{00000000-0005-0000-0000-000037060000}"/>
    <cellStyle name="Normal 3 2 2 32" xfId="1657" xr:uid="{00000000-0005-0000-0000-000038060000}"/>
    <cellStyle name="Normal 3 2 2 33" xfId="1658" xr:uid="{00000000-0005-0000-0000-000039060000}"/>
    <cellStyle name="Normal 3 2 2 4" xfId="1659" xr:uid="{00000000-0005-0000-0000-00003A060000}"/>
    <cellStyle name="Normal 3 2 2 5" xfId="1660" xr:uid="{00000000-0005-0000-0000-00003B060000}"/>
    <cellStyle name="Normal 3 2 2 6" xfId="1661" xr:uid="{00000000-0005-0000-0000-00003C060000}"/>
    <cellStyle name="Normal 3 2 2 7" xfId="1662" xr:uid="{00000000-0005-0000-0000-00003D060000}"/>
    <cellStyle name="Normal 3 2 2 8" xfId="1663" xr:uid="{00000000-0005-0000-0000-00003E060000}"/>
    <cellStyle name="Normal 3 2 2 9" xfId="1664" xr:uid="{00000000-0005-0000-0000-00003F060000}"/>
    <cellStyle name="Normal 3 2 20" xfId="1665" xr:uid="{00000000-0005-0000-0000-000040060000}"/>
    <cellStyle name="Normal 3 2 21" xfId="1666" xr:uid="{00000000-0005-0000-0000-000041060000}"/>
    <cellStyle name="Normal 3 2 22" xfId="1667" xr:uid="{00000000-0005-0000-0000-000042060000}"/>
    <cellStyle name="Normal 3 2 23" xfId="1668" xr:uid="{00000000-0005-0000-0000-000043060000}"/>
    <cellStyle name="Normal 3 2 24" xfId="1669" xr:uid="{00000000-0005-0000-0000-000044060000}"/>
    <cellStyle name="Normal 3 2 25" xfId="1670" xr:uid="{00000000-0005-0000-0000-000045060000}"/>
    <cellStyle name="Normal 3 2 26" xfId="1671" xr:uid="{00000000-0005-0000-0000-000046060000}"/>
    <cellStyle name="Normal 3 2 27" xfId="1672" xr:uid="{00000000-0005-0000-0000-000047060000}"/>
    <cellStyle name="Normal 3 2 28" xfId="1673" xr:uid="{00000000-0005-0000-0000-000048060000}"/>
    <cellStyle name="Normal 3 2 29" xfId="1674" xr:uid="{00000000-0005-0000-0000-000049060000}"/>
    <cellStyle name="Normal 3 2 3" xfId="1675" xr:uid="{00000000-0005-0000-0000-00004A060000}"/>
    <cellStyle name="Normal 3 2 30" xfId="1676" xr:uid="{00000000-0005-0000-0000-00004B060000}"/>
    <cellStyle name="Normal 3 2 31" xfId="1677" xr:uid="{00000000-0005-0000-0000-00004C060000}"/>
    <cellStyle name="Normal 3 2 32" xfId="1678" xr:uid="{00000000-0005-0000-0000-00004D060000}"/>
    <cellStyle name="Normal 3 2 33" xfId="1679" xr:uid="{00000000-0005-0000-0000-00004E060000}"/>
    <cellStyle name="Normal 3 2 34" xfId="1680" xr:uid="{00000000-0005-0000-0000-00004F060000}"/>
    <cellStyle name="Normal 3 2 35" xfId="1681" xr:uid="{00000000-0005-0000-0000-000050060000}"/>
    <cellStyle name="Normal 3 2 36" xfId="1682" xr:uid="{00000000-0005-0000-0000-000051060000}"/>
    <cellStyle name="Normal 3 2 37" xfId="1683" xr:uid="{00000000-0005-0000-0000-000052060000}"/>
    <cellStyle name="Normal 3 2 38" xfId="1684" xr:uid="{00000000-0005-0000-0000-000053060000}"/>
    <cellStyle name="Normal 3 2 39" xfId="1685" xr:uid="{00000000-0005-0000-0000-000054060000}"/>
    <cellStyle name="Normal 3 2 4" xfId="1686" xr:uid="{00000000-0005-0000-0000-000055060000}"/>
    <cellStyle name="Normal 3 2 40" xfId="1687" xr:uid="{00000000-0005-0000-0000-000056060000}"/>
    <cellStyle name="Normal 3 2 41" xfId="1688" xr:uid="{00000000-0005-0000-0000-000057060000}"/>
    <cellStyle name="Normal 3 2 42" xfId="1689" xr:uid="{00000000-0005-0000-0000-000058060000}"/>
    <cellStyle name="Normal 3 2 43" xfId="1690" xr:uid="{00000000-0005-0000-0000-000059060000}"/>
    <cellStyle name="Normal 3 2 44" xfId="1691" xr:uid="{00000000-0005-0000-0000-00005A060000}"/>
    <cellStyle name="Normal 3 2 45" xfId="1692" xr:uid="{00000000-0005-0000-0000-00005B060000}"/>
    <cellStyle name="Normal 3 2 46" xfId="1693" xr:uid="{00000000-0005-0000-0000-00005C060000}"/>
    <cellStyle name="Normal 3 2 47" xfId="1694" xr:uid="{00000000-0005-0000-0000-00005D060000}"/>
    <cellStyle name="Normal 3 2 48" xfId="1695" xr:uid="{00000000-0005-0000-0000-00005E060000}"/>
    <cellStyle name="Normal 3 2 49" xfId="1696" xr:uid="{00000000-0005-0000-0000-00005F060000}"/>
    <cellStyle name="Normal 3 2 5" xfId="1697" xr:uid="{00000000-0005-0000-0000-000060060000}"/>
    <cellStyle name="Normal 3 2 50" xfId="1698" xr:uid="{00000000-0005-0000-0000-000061060000}"/>
    <cellStyle name="Normal 3 2 51" xfId="1699" xr:uid="{00000000-0005-0000-0000-000062060000}"/>
    <cellStyle name="Normal 3 2 52" xfId="1700" xr:uid="{00000000-0005-0000-0000-000063060000}"/>
    <cellStyle name="Normal 3 2 53" xfId="1701" xr:uid="{00000000-0005-0000-0000-000064060000}"/>
    <cellStyle name="Normal 3 2 54" xfId="1702" xr:uid="{00000000-0005-0000-0000-000065060000}"/>
    <cellStyle name="Normal 3 2 55" xfId="1703" xr:uid="{00000000-0005-0000-0000-000066060000}"/>
    <cellStyle name="Normal 3 2 56" xfId="1704" xr:uid="{00000000-0005-0000-0000-000067060000}"/>
    <cellStyle name="Normal 3 2 6" xfId="1705" xr:uid="{00000000-0005-0000-0000-000068060000}"/>
    <cellStyle name="Normal 3 2 7" xfId="1706" xr:uid="{00000000-0005-0000-0000-000069060000}"/>
    <cellStyle name="Normal 3 2 8" xfId="1707" xr:uid="{00000000-0005-0000-0000-00006A060000}"/>
    <cellStyle name="Normal 3 2 9" xfId="1708" xr:uid="{00000000-0005-0000-0000-00006B060000}"/>
    <cellStyle name="Normal 3 20" xfId="1709" xr:uid="{00000000-0005-0000-0000-00006C060000}"/>
    <cellStyle name="Normal 3 20 10" xfId="1710" xr:uid="{00000000-0005-0000-0000-00006D060000}"/>
    <cellStyle name="Normal 3 20 11" xfId="1711" xr:uid="{00000000-0005-0000-0000-00006E060000}"/>
    <cellStyle name="Normal 3 20 12" xfId="1712" xr:uid="{00000000-0005-0000-0000-00006F060000}"/>
    <cellStyle name="Normal 3 20 13" xfId="1713" xr:uid="{00000000-0005-0000-0000-000070060000}"/>
    <cellStyle name="Normal 3 20 14" xfId="1714" xr:uid="{00000000-0005-0000-0000-000071060000}"/>
    <cellStyle name="Normal 3 20 15" xfId="1715" xr:uid="{00000000-0005-0000-0000-000072060000}"/>
    <cellStyle name="Normal 3 20 16" xfId="1716" xr:uid="{00000000-0005-0000-0000-000073060000}"/>
    <cellStyle name="Normal 3 20 17" xfId="1717" xr:uid="{00000000-0005-0000-0000-000074060000}"/>
    <cellStyle name="Normal 3 20 18" xfId="1718" xr:uid="{00000000-0005-0000-0000-000075060000}"/>
    <cellStyle name="Normal 3 20 19" xfId="1719" xr:uid="{00000000-0005-0000-0000-000076060000}"/>
    <cellStyle name="Normal 3 20 2" xfId="1720" xr:uid="{00000000-0005-0000-0000-000077060000}"/>
    <cellStyle name="Normal 3 20 20" xfId="1721" xr:uid="{00000000-0005-0000-0000-000078060000}"/>
    <cellStyle name="Normal 3 20 21" xfId="1722" xr:uid="{00000000-0005-0000-0000-000079060000}"/>
    <cellStyle name="Normal 3 20 22" xfId="1723" xr:uid="{00000000-0005-0000-0000-00007A060000}"/>
    <cellStyle name="Normal 3 20 23" xfId="1724" xr:uid="{00000000-0005-0000-0000-00007B060000}"/>
    <cellStyle name="Normal 3 20 3" xfId="1725" xr:uid="{00000000-0005-0000-0000-00007C060000}"/>
    <cellStyle name="Normal 3 20 4" xfId="1726" xr:uid="{00000000-0005-0000-0000-00007D060000}"/>
    <cellStyle name="Normal 3 20 5" xfId="1727" xr:uid="{00000000-0005-0000-0000-00007E060000}"/>
    <cellStyle name="Normal 3 20 6" xfId="1728" xr:uid="{00000000-0005-0000-0000-00007F060000}"/>
    <cellStyle name="Normal 3 20 7" xfId="1729" xr:uid="{00000000-0005-0000-0000-000080060000}"/>
    <cellStyle name="Normal 3 20 8" xfId="1730" xr:uid="{00000000-0005-0000-0000-000081060000}"/>
    <cellStyle name="Normal 3 20 9" xfId="1731" xr:uid="{00000000-0005-0000-0000-000082060000}"/>
    <cellStyle name="Normal 3 21" xfId="1732" xr:uid="{00000000-0005-0000-0000-000083060000}"/>
    <cellStyle name="Normal 3 21 10" xfId="1733" xr:uid="{00000000-0005-0000-0000-000084060000}"/>
    <cellStyle name="Normal 3 21 11" xfId="1734" xr:uid="{00000000-0005-0000-0000-000085060000}"/>
    <cellStyle name="Normal 3 21 12" xfId="1735" xr:uid="{00000000-0005-0000-0000-000086060000}"/>
    <cellStyle name="Normal 3 21 13" xfId="1736" xr:uid="{00000000-0005-0000-0000-000087060000}"/>
    <cellStyle name="Normal 3 21 14" xfId="1737" xr:uid="{00000000-0005-0000-0000-000088060000}"/>
    <cellStyle name="Normal 3 21 15" xfId="1738" xr:uid="{00000000-0005-0000-0000-000089060000}"/>
    <cellStyle name="Normal 3 21 16" xfId="1739" xr:uid="{00000000-0005-0000-0000-00008A060000}"/>
    <cellStyle name="Normal 3 21 17" xfId="1740" xr:uid="{00000000-0005-0000-0000-00008B060000}"/>
    <cellStyle name="Normal 3 21 18" xfId="1741" xr:uid="{00000000-0005-0000-0000-00008C060000}"/>
    <cellStyle name="Normal 3 21 19" xfId="1742" xr:uid="{00000000-0005-0000-0000-00008D060000}"/>
    <cellStyle name="Normal 3 21 2" xfId="1743" xr:uid="{00000000-0005-0000-0000-00008E060000}"/>
    <cellStyle name="Normal 3 21 20" xfId="1744" xr:uid="{00000000-0005-0000-0000-00008F060000}"/>
    <cellStyle name="Normal 3 21 21" xfId="1745" xr:uid="{00000000-0005-0000-0000-000090060000}"/>
    <cellStyle name="Normal 3 21 22" xfId="1746" xr:uid="{00000000-0005-0000-0000-000091060000}"/>
    <cellStyle name="Normal 3 21 23" xfId="1747" xr:uid="{00000000-0005-0000-0000-000092060000}"/>
    <cellStyle name="Normal 3 21 3" xfId="1748" xr:uid="{00000000-0005-0000-0000-000093060000}"/>
    <cellStyle name="Normal 3 21 4" xfId="1749" xr:uid="{00000000-0005-0000-0000-000094060000}"/>
    <cellStyle name="Normal 3 21 5" xfId="1750" xr:uid="{00000000-0005-0000-0000-000095060000}"/>
    <cellStyle name="Normal 3 21 6" xfId="1751" xr:uid="{00000000-0005-0000-0000-000096060000}"/>
    <cellStyle name="Normal 3 21 7" xfId="1752" xr:uid="{00000000-0005-0000-0000-000097060000}"/>
    <cellStyle name="Normal 3 21 8" xfId="1753" xr:uid="{00000000-0005-0000-0000-000098060000}"/>
    <cellStyle name="Normal 3 21 9" xfId="1754" xr:uid="{00000000-0005-0000-0000-000099060000}"/>
    <cellStyle name="Normal 3 22" xfId="1755" xr:uid="{00000000-0005-0000-0000-00009A060000}"/>
    <cellStyle name="Normal 3 22 10" xfId="1756" xr:uid="{00000000-0005-0000-0000-00009B060000}"/>
    <cellStyle name="Normal 3 22 11" xfId="1757" xr:uid="{00000000-0005-0000-0000-00009C060000}"/>
    <cellStyle name="Normal 3 22 12" xfId="1758" xr:uid="{00000000-0005-0000-0000-00009D060000}"/>
    <cellStyle name="Normal 3 22 13" xfId="1759" xr:uid="{00000000-0005-0000-0000-00009E060000}"/>
    <cellStyle name="Normal 3 22 14" xfId="1760" xr:uid="{00000000-0005-0000-0000-00009F060000}"/>
    <cellStyle name="Normal 3 22 15" xfId="1761" xr:uid="{00000000-0005-0000-0000-0000A0060000}"/>
    <cellStyle name="Normal 3 22 16" xfId="1762" xr:uid="{00000000-0005-0000-0000-0000A1060000}"/>
    <cellStyle name="Normal 3 22 17" xfId="1763" xr:uid="{00000000-0005-0000-0000-0000A2060000}"/>
    <cellStyle name="Normal 3 22 18" xfId="1764" xr:uid="{00000000-0005-0000-0000-0000A3060000}"/>
    <cellStyle name="Normal 3 22 19" xfId="1765" xr:uid="{00000000-0005-0000-0000-0000A4060000}"/>
    <cellStyle name="Normal 3 22 2" xfId="1766" xr:uid="{00000000-0005-0000-0000-0000A5060000}"/>
    <cellStyle name="Normal 3 22 20" xfId="1767" xr:uid="{00000000-0005-0000-0000-0000A6060000}"/>
    <cellStyle name="Normal 3 22 21" xfId="1768" xr:uid="{00000000-0005-0000-0000-0000A7060000}"/>
    <cellStyle name="Normal 3 22 22" xfId="1769" xr:uid="{00000000-0005-0000-0000-0000A8060000}"/>
    <cellStyle name="Normal 3 22 23" xfId="1770" xr:uid="{00000000-0005-0000-0000-0000A9060000}"/>
    <cellStyle name="Normal 3 22 3" xfId="1771" xr:uid="{00000000-0005-0000-0000-0000AA060000}"/>
    <cellStyle name="Normal 3 22 4" xfId="1772" xr:uid="{00000000-0005-0000-0000-0000AB060000}"/>
    <cellStyle name="Normal 3 22 5" xfId="1773" xr:uid="{00000000-0005-0000-0000-0000AC060000}"/>
    <cellStyle name="Normal 3 22 6" xfId="1774" xr:uid="{00000000-0005-0000-0000-0000AD060000}"/>
    <cellStyle name="Normal 3 22 7" xfId="1775" xr:uid="{00000000-0005-0000-0000-0000AE060000}"/>
    <cellStyle name="Normal 3 22 8" xfId="1776" xr:uid="{00000000-0005-0000-0000-0000AF060000}"/>
    <cellStyle name="Normal 3 22 9" xfId="1777" xr:uid="{00000000-0005-0000-0000-0000B0060000}"/>
    <cellStyle name="Normal 3 23" xfId="1778" xr:uid="{00000000-0005-0000-0000-0000B1060000}"/>
    <cellStyle name="Normal 3 23 10" xfId="1779" xr:uid="{00000000-0005-0000-0000-0000B2060000}"/>
    <cellStyle name="Normal 3 23 11" xfId="1780" xr:uid="{00000000-0005-0000-0000-0000B3060000}"/>
    <cellStyle name="Normal 3 23 12" xfId="1781" xr:uid="{00000000-0005-0000-0000-0000B4060000}"/>
    <cellStyle name="Normal 3 23 13" xfId="1782" xr:uid="{00000000-0005-0000-0000-0000B5060000}"/>
    <cellStyle name="Normal 3 23 14" xfId="1783" xr:uid="{00000000-0005-0000-0000-0000B6060000}"/>
    <cellStyle name="Normal 3 23 15" xfId="1784" xr:uid="{00000000-0005-0000-0000-0000B7060000}"/>
    <cellStyle name="Normal 3 23 16" xfId="1785" xr:uid="{00000000-0005-0000-0000-0000B8060000}"/>
    <cellStyle name="Normal 3 23 17" xfId="1786" xr:uid="{00000000-0005-0000-0000-0000B9060000}"/>
    <cellStyle name="Normal 3 23 18" xfId="1787" xr:uid="{00000000-0005-0000-0000-0000BA060000}"/>
    <cellStyle name="Normal 3 23 19" xfId="1788" xr:uid="{00000000-0005-0000-0000-0000BB060000}"/>
    <cellStyle name="Normal 3 23 2" xfId="1789" xr:uid="{00000000-0005-0000-0000-0000BC060000}"/>
    <cellStyle name="Normal 3 23 20" xfId="1790" xr:uid="{00000000-0005-0000-0000-0000BD060000}"/>
    <cellStyle name="Normal 3 23 21" xfId="1791" xr:uid="{00000000-0005-0000-0000-0000BE060000}"/>
    <cellStyle name="Normal 3 23 22" xfId="1792" xr:uid="{00000000-0005-0000-0000-0000BF060000}"/>
    <cellStyle name="Normal 3 23 23" xfId="1793" xr:uid="{00000000-0005-0000-0000-0000C0060000}"/>
    <cellStyle name="Normal 3 23 3" xfId="1794" xr:uid="{00000000-0005-0000-0000-0000C1060000}"/>
    <cellStyle name="Normal 3 23 4" xfId="1795" xr:uid="{00000000-0005-0000-0000-0000C2060000}"/>
    <cellStyle name="Normal 3 23 5" xfId="1796" xr:uid="{00000000-0005-0000-0000-0000C3060000}"/>
    <cellStyle name="Normal 3 23 6" xfId="1797" xr:uid="{00000000-0005-0000-0000-0000C4060000}"/>
    <cellStyle name="Normal 3 23 7" xfId="1798" xr:uid="{00000000-0005-0000-0000-0000C5060000}"/>
    <cellStyle name="Normal 3 23 8" xfId="1799" xr:uid="{00000000-0005-0000-0000-0000C6060000}"/>
    <cellStyle name="Normal 3 23 9" xfId="1800" xr:uid="{00000000-0005-0000-0000-0000C7060000}"/>
    <cellStyle name="Normal 3 24" xfId="1801" xr:uid="{00000000-0005-0000-0000-0000C8060000}"/>
    <cellStyle name="Normal 3 24 10" xfId="1802" xr:uid="{00000000-0005-0000-0000-0000C9060000}"/>
    <cellStyle name="Normal 3 24 11" xfId="1803" xr:uid="{00000000-0005-0000-0000-0000CA060000}"/>
    <cellStyle name="Normal 3 24 12" xfId="1804" xr:uid="{00000000-0005-0000-0000-0000CB060000}"/>
    <cellStyle name="Normal 3 24 13" xfId="1805" xr:uid="{00000000-0005-0000-0000-0000CC060000}"/>
    <cellStyle name="Normal 3 24 14" xfId="1806" xr:uid="{00000000-0005-0000-0000-0000CD060000}"/>
    <cellStyle name="Normal 3 24 15" xfId="1807" xr:uid="{00000000-0005-0000-0000-0000CE060000}"/>
    <cellStyle name="Normal 3 24 16" xfId="1808" xr:uid="{00000000-0005-0000-0000-0000CF060000}"/>
    <cellStyle name="Normal 3 24 17" xfId="1809" xr:uid="{00000000-0005-0000-0000-0000D0060000}"/>
    <cellStyle name="Normal 3 24 18" xfId="1810" xr:uid="{00000000-0005-0000-0000-0000D1060000}"/>
    <cellStyle name="Normal 3 24 19" xfId="1811" xr:uid="{00000000-0005-0000-0000-0000D2060000}"/>
    <cellStyle name="Normal 3 24 2" xfId="1812" xr:uid="{00000000-0005-0000-0000-0000D3060000}"/>
    <cellStyle name="Normal 3 24 20" xfId="1813" xr:uid="{00000000-0005-0000-0000-0000D4060000}"/>
    <cellStyle name="Normal 3 24 21" xfId="1814" xr:uid="{00000000-0005-0000-0000-0000D5060000}"/>
    <cellStyle name="Normal 3 24 22" xfId="1815" xr:uid="{00000000-0005-0000-0000-0000D6060000}"/>
    <cellStyle name="Normal 3 24 23" xfId="1816" xr:uid="{00000000-0005-0000-0000-0000D7060000}"/>
    <cellStyle name="Normal 3 24 3" xfId="1817" xr:uid="{00000000-0005-0000-0000-0000D8060000}"/>
    <cellStyle name="Normal 3 24 4" xfId="1818" xr:uid="{00000000-0005-0000-0000-0000D9060000}"/>
    <cellStyle name="Normal 3 24 5" xfId="1819" xr:uid="{00000000-0005-0000-0000-0000DA060000}"/>
    <cellStyle name="Normal 3 24 6" xfId="1820" xr:uid="{00000000-0005-0000-0000-0000DB060000}"/>
    <cellStyle name="Normal 3 24 7" xfId="1821" xr:uid="{00000000-0005-0000-0000-0000DC060000}"/>
    <cellStyle name="Normal 3 24 8" xfId="1822" xr:uid="{00000000-0005-0000-0000-0000DD060000}"/>
    <cellStyle name="Normal 3 24 9" xfId="1823" xr:uid="{00000000-0005-0000-0000-0000DE060000}"/>
    <cellStyle name="Normal 3 25" xfId="1824" xr:uid="{00000000-0005-0000-0000-0000DF060000}"/>
    <cellStyle name="Normal 3 25 10" xfId="1825" xr:uid="{00000000-0005-0000-0000-0000E0060000}"/>
    <cellStyle name="Normal 3 25 11" xfId="1826" xr:uid="{00000000-0005-0000-0000-0000E1060000}"/>
    <cellStyle name="Normal 3 25 12" xfId="1827" xr:uid="{00000000-0005-0000-0000-0000E2060000}"/>
    <cellStyle name="Normal 3 25 13" xfId="1828" xr:uid="{00000000-0005-0000-0000-0000E3060000}"/>
    <cellStyle name="Normal 3 25 14" xfId="1829" xr:uid="{00000000-0005-0000-0000-0000E4060000}"/>
    <cellStyle name="Normal 3 25 15" xfId="1830" xr:uid="{00000000-0005-0000-0000-0000E5060000}"/>
    <cellStyle name="Normal 3 25 16" xfId="1831" xr:uid="{00000000-0005-0000-0000-0000E6060000}"/>
    <cellStyle name="Normal 3 25 17" xfId="1832" xr:uid="{00000000-0005-0000-0000-0000E7060000}"/>
    <cellStyle name="Normal 3 25 18" xfId="1833" xr:uid="{00000000-0005-0000-0000-0000E8060000}"/>
    <cellStyle name="Normal 3 25 19" xfId="1834" xr:uid="{00000000-0005-0000-0000-0000E9060000}"/>
    <cellStyle name="Normal 3 25 2" xfId="1835" xr:uid="{00000000-0005-0000-0000-0000EA060000}"/>
    <cellStyle name="Normal 3 25 20" xfId="1836" xr:uid="{00000000-0005-0000-0000-0000EB060000}"/>
    <cellStyle name="Normal 3 25 21" xfId="1837" xr:uid="{00000000-0005-0000-0000-0000EC060000}"/>
    <cellStyle name="Normal 3 25 22" xfId="1838" xr:uid="{00000000-0005-0000-0000-0000ED060000}"/>
    <cellStyle name="Normal 3 25 23" xfId="1839" xr:uid="{00000000-0005-0000-0000-0000EE060000}"/>
    <cellStyle name="Normal 3 25 3" xfId="1840" xr:uid="{00000000-0005-0000-0000-0000EF060000}"/>
    <cellStyle name="Normal 3 25 4" xfId="1841" xr:uid="{00000000-0005-0000-0000-0000F0060000}"/>
    <cellStyle name="Normal 3 25 5" xfId="1842" xr:uid="{00000000-0005-0000-0000-0000F1060000}"/>
    <cellStyle name="Normal 3 25 6" xfId="1843" xr:uid="{00000000-0005-0000-0000-0000F2060000}"/>
    <cellStyle name="Normal 3 25 7" xfId="1844" xr:uid="{00000000-0005-0000-0000-0000F3060000}"/>
    <cellStyle name="Normal 3 25 8" xfId="1845" xr:uid="{00000000-0005-0000-0000-0000F4060000}"/>
    <cellStyle name="Normal 3 25 9" xfId="1846" xr:uid="{00000000-0005-0000-0000-0000F5060000}"/>
    <cellStyle name="Normal 3 26" xfId="1847" xr:uid="{00000000-0005-0000-0000-0000F6060000}"/>
    <cellStyle name="Normal 3 26 10" xfId="1848" xr:uid="{00000000-0005-0000-0000-0000F7060000}"/>
    <cellStyle name="Normal 3 26 11" xfId="1849" xr:uid="{00000000-0005-0000-0000-0000F8060000}"/>
    <cellStyle name="Normal 3 26 12" xfId="1850" xr:uid="{00000000-0005-0000-0000-0000F9060000}"/>
    <cellStyle name="Normal 3 26 13" xfId="1851" xr:uid="{00000000-0005-0000-0000-0000FA060000}"/>
    <cellStyle name="Normal 3 26 14" xfId="1852" xr:uid="{00000000-0005-0000-0000-0000FB060000}"/>
    <cellStyle name="Normal 3 26 15" xfId="1853" xr:uid="{00000000-0005-0000-0000-0000FC060000}"/>
    <cellStyle name="Normal 3 26 16" xfId="1854" xr:uid="{00000000-0005-0000-0000-0000FD060000}"/>
    <cellStyle name="Normal 3 26 17" xfId="1855" xr:uid="{00000000-0005-0000-0000-0000FE060000}"/>
    <cellStyle name="Normal 3 26 18" xfId="1856" xr:uid="{00000000-0005-0000-0000-0000FF060000}"/>
    <cellStyle name="Normal 3 26 19" xfId="1857" xr:uid="{00000000-0005-0000-0000-000000070000}"/>
    <cellStyle name="Normal 3 26 2" xfId="1858" xr:uid="{00000000-0005-0000-0000-000001070000}"/>
    <cellStyle name="Normal 3 26 20" xfId="1859" xr:uid="{00000000-0005-0000-0000-000002070000}"/>
    <cellStyle name="Normal 3 26 21" xfId="1860" xr:uid="{00000000-0005-0000-0000-000003070000}"/>
    <cellStyle name="Normal 3 26 22" xfId="1861" xr:uid="{00000000-0005-0000-0000-000004070000}"/>
    <cellStyle name="Normal 3 26 23" xfId="1862" xr:uid="{00000000-0005-0000-0000-000005070000}"/>
    <cellStyle name="Normal 3 26 3" xfId="1863" xr:uid="{00000000-0005-0000-0000-000006070000}"/>
    <cellStyle name="Normal 3 26 4" xfId="1864" xr:uid="{00000000-0005-0000-0000-000007070000}"/>
    <cellStyle name="Normal 3 26 5" xfId="1865" xr:uid="{00000000-0005-0000-0000-000008070000}"/>
    <cellStyle name="Normal 3 26 6" xfId="1866" xr:uid="{00000000-0005-0000-0000-000009070000}"/>
    <cellStyle name="Normal 3 26 7" xfId="1867" xr:uid="{00000000-0005-0000-0000-00000A070000}"/>
    <cellStyle name="Normal 3 26 8" xfId="1868" xr:uid="{00000000-0005-0000-0000-00000B070000}"/>
    <cellStyle name="Normal 3 26 9" xfId="1869" xr:uid="{00000000-0005-0000-0000-00000C070000}"/>
    <cellStyle name="Normal 3 27" xfId="1870" xr:uid="{00000000-0005-0000-0000-00000D070000}"/>
    <cellStyle name="Normal 3 27 10" xfId="1871" xr:uid="{00000000-0005-0000-0000-00000E070000}"/>
    <cellStyle name="Normal 3 27 11" xfId="1872" xr:uid="{00000000-0005-0000-0000-00000F070000}"/>
    <cellStyle name="Normal 3 27 12" xfId="1873" xr:uid="{00000000-0005-0000-0000-000010070000}"/>
    <cellStyle name="Normal 3 27 13" xfId="1874" xr:uid="{00000000-0005-0000-0000-000011070000}"/>
    <cellStyle name="Normal 3 27 14" xfId="1875" xr:uid="{00000000-0005-0000-0000-000012070000}"/>
    <cellStyle name="Normal 3 27 15" xfId="1876" xr:uid="{00000000-0005-0000-0000-000013070000}"/>
    <cellStyle name="Normal 3 27 16" xfId="1877" xr:uid="{00000000-0005-0000-0000-000014070000}"/>
    <cellStyle name="Normal 3 27 17" xfId="1878" xr:uid="{00000000-0005-0000-0000-000015070000}"/>
    <cellStyle name="Normal 3 27 18" xfId="1879" xr:uid="{00000000-0005-0000-0000-000016070000}"/>
    <cellStyle name="Normal 3 27 19" xfId="1880" xr:uid="{00000000-0005-0000-0000-000017070000}"/>
    <cellStyle name="Normal 3 27 2" xfId="1881" xr:uid="{00000000-0005-0000-0000-000018070000}"/>
    <cellStyle name="Normal 3 27 20" xfId="1882" xr:uid="{00000000-0005-0000-0000-000019070000}"/>
    <cellStyle name="Normal 3 27 21" xfId="1883" xr:uid="{00000000-0005-0000-0000-00001A070000}"/>
    <cellStyle name="Normal 3 27 22" xfId="1884" xr:uid="{00000000-0005-0000-0000-00001B070000}"/>
    <cellStyle name="Normal 3 27 23" xfId="1885" xr:uid="{00000000-0005-0000-0000-00001C070000}"/>
    <cellStyle name="Normal 3 27 3" xfId="1886" xr:uid="{00000000-0005-0000-0000-00001D070000}"/>
    <cellStyle name="Normal 3 27 4" xfId="1887" xr:uid="{00000000-0005-0000-0000-00001E070000}"/>
    <cellStyle name="Normal 3 27 5" xfId="1888" xr:uid="{00000000-0005-0000-0000-00001F070000}"/>
    <cellStyle name="Normal 3 27 6" xfId="1889" xr:uid="{00000000-0005-0000-0000-000020070000}"/>
    <cellStyle name="Normal 3 27 7" xfId="1890" xr:uid="{00000000-0005-0000-0000-000021070000}"/>
    <cellStyle name="Normal 3 27 8" xfId="1891" xr:uid="{00000000-0005-0000-0000-000022070000}"/>
    <cellStyle name="Normal 3 27 9" xfId="1892" xr:uid="{00000000-0005-0000-0000-000023070000}"/>
    <cellStyle name="Normal 3 28" xfId="1893" xr:uid="{00000000-0005-0000-0000-000024070000}"/>
    <cellStyle name="Normal 3 28 10" xfId="1894" xr:uid="{00000000-0005-0000-0000-000025070000}"/>
    <cellStyle name="Normal 3 28 11" xfId="1895" xr:uid="{00000000-0005-0000-0000-000026070000}"/>
    <cellStyle name="Normal 3 28 12" xfId="1896" xr:uid="{00000000-0005-0000-0000-000027070000}"/>
    <cellStyle name="Normal 3 28 13" xfId="1897" xr:uid="{00000000-0005-0000-0000-000028070000}"/>
    <cellStyle name="Normal 3 28 14" xfId="1898" xr:uid="{00000000-0005-0000-0000-000029070000}"/>
    <cellStyle name="Normal 3 28 15" xfId="1899" xr:uid="{00000000-0005-0000-0000-00002A070000}"/>
    <cellStyle name="Normal 3 28 16" xfId="1900" xr:uid="{00000000-0005-0000-0000-00002B070000}"/>
    <cellStyle name="Normal 3 28 17" xfId="1901" xr:uid="{00000000-0005-0000-0000-00002C070000}"/>
    <cellStyle name="Normal 3 28 18" xfId="1902" xr:uid="{00000000-0005-0000-0000-00002D070000}"/>
    <cellStyle name="Normal 3 28 19" xfId="1903" xr:uid="{00000000-0005-0000-0000-00002E070000}"/>
    <cellStyle name="Normal 3 28 2" xfId="1904" xr:uid="{00000000-0005-0000-0000-00002F070000}"/>
    <cellStyle name="Normal 3 28 20" xfId="1905" xr:uid="{00000000-0005-0000-0000-000030070000}"/>
    <cellStyle name="Normal 3 28 21" xfId="1906" xr:uid="{00000000-0005-0000-0000-000031070000}"/>
    <cellStyle name="Normal 3 28 22" xfId="1907" xr:uid="{00000000-0005-0000-0000-000032070000}"/>
    <cellStyle name="Normal 3 28 23" xfId="1908" xr:uid="{00000000-0005-0000-0000-000033070000}"/>
    <cellStyle name="Normal 3 28 3" xfId="1909" xr:uid="{00000000-0005-0000-0000-000034070000}"/>
    <cellStyle name="Normal 3 28 4" xfId="1910" xr:uid="{00000000-0005-0000-0000-000035070000}"/>
    <cellStyle name="Normal 3 28 5" xfId="1911" xr:uid="{00000000-0005-0000-0000-000036070000}"/>
    <cellStyle name="Normal 3 28 6" xfId="1912" xr:uid="{00000000-0005-0000-0000-000037070000}"/>
    <cellStyle name="Normal 3 28 7" xfId="1913" xr:uid="{00000000-0005-0000-0000-000038070000}"/>
    <cellStyle name="Normal 3 28 8" xfId="1914" xr:uid="{00000000-0005-0000-0000-000039070000}"/>
    <cellStyle name="Normal 3 28 9" xfId="1915" xr:uid="{00000000-0005-0000-0000-00003A070000}"/>
    <cellStyle name="Normal 3 29" xfId="1916" xr:uid="{00000000-0005-0000-0000-00003B070000}"/>
    <cellStyle name="Normal 3 29 10" xfId="1917" xr:uid="{00000000-0005-0000-0000-00003C070000}"/>
    <cellStyle name="Normal 3 29 11" xfId="1918" xr:uid="{00000000-0005-0000-0000-00003D070000}"/>
    <cellStyle name="Normal 3 29 12" xfId="1919" xr:uid="{00000000-0005-0000-0000-00003E070000}"/>
    <cellStyle name="Normal 3 29 13" xfId="1920" xr:uid="{00000000-0005-0000-0000-00003F070000}"/>
    <cellStyle name="Normal 3 29 14" xfId="1921" xr:uid="{00000000-0005-0000-0000-000040070000}"/>
    <cellStyle name="Normal 3 29 15" xfId="1922" xr:uid="{00000000-0005-0000-0000-000041070000}"/>
    <cellStyle name="Normal 3 29 16" xfId="1923" xr:uid="{00000000-0005-0000-0000-000042070000}"/>
    <cellStyle name="Normal 3 29 17" xfId="1924" xr:uid="{00000000-0005-0000-0000-000043070000}"/>
    <cellStyle name="Normal 3 29 18" xfId="1925" xr:uid="{00000000-0005-0000-0000-000044070000}"/>
    <cellStyle name="Normal 3 29 19" xfId="1926" xr:uid="{00000000-0005-0000-0000-000045070000}"/>
    <cellStyle name="Normal 3 29 2" xfId="1927" xr:uid="{00000000-0005-0000-0000-000046070000}"/>
    <cellStyle name="Normal 3 29 20" xfId="1928" xr:uid="{00000000-0005-0000-0000-000047070000}"/>
    <cellStyle name="Normal 3 29 21" xfId="1929" xr:uid="{00000000-0005-0000-0000-000048070000}"/>
    <cellStyle name="Normal 3 29 22" xfId="1930" xr:uid="{00000000-0005-0000-0000-000049070000}"/>
    <cellStyle name="Normal 3 29 23" xfId="1931" xr:uid="{00000000-0005-0000-0000-00004A070000}"/>
    <cellStyle name="Normal 3 29 3" xfId="1932" xr:uid="{00000000-0005-0000-0000-00004B070000}"/>
    <cellStyle name="Normal 3 29 4" xfId="1933" xr:uid="{00000000-0005-0000-0000-00004C070000}"/>
    <cellStyle name="Normal 3 29 5" xfId="1934" xr:uid="{00000000-0005-0000-0000-00004D070000}"/>
    <cellStyle name="Normal 3 29 6" xfId="1935" xr:uid="{00000000-0005-0000-0000-00004E070000}"/>
    <cellStyle name="Normal 3 29 7" xfId="1936" xr:uid="{00000000-0005-0000-0000-00004F070000}"/>
    <cellStyle name="Normal 3 29 8" xfId="1937" xr:uid="{00000000-0005-0000-0000-000050070000}"/>
    <cellStyle name="Normal 3 29 9" xfId="1938" xr:uid="{00000000-0005-0000-0000-000051070000}"/>
    <cellStyle name="Normal 3 3" xfId="1939" xr:uid="{00000000-0005-0000-0000-000052070000}"/>
    <cellStyle name="Normal 3 3 10" xfId="1940" xr:uid="{00000000-0005-0000-0000-000053070000}"/>
    <cellStyle name="Normal 3 3 11" xfId="1941" xr:uid="{00000000-0005-0000-0000-000054070000}"/>
    <cellStyle name="Normal 3 3 12" xfId="1942" xr:uid="{00000000-0005-0000-0000-000055070000}"/>
    <cellStyle name="Normal 3 3 13" xfId="1943" xr:uid="{00000000-0005-0000-0000-000056070000}"/>
    <cellStyle name="Normal 3 3 14" xfId="1944" xr:uid="{00000000-0005-0000-0000-000057070000}"/>
    <cellStyle name="Normal 3 3 15" xfId="1945" xr:uid="{00000000-0005-0000-0000-000058070000}"/>
    <cellStyle name="Normal 3 3 16" xfId="1946" xr:uid="{00000000-0005-0000-0000-000059070000}"/>
    <cellStyle name="Normal 3 3 17" xfId="1947" xr:uid="{00000000-0005-0000-0000-00005A070000}"/>
    <cellStyle name="Normal 3 3 18" xfId="1948" xr:uid="{00000000-0005-0000-0000-00005B070000}"/>
    <cellStyle name="Normal 3 3 19" xfId="1949" xr:uid="{00000000-0005-0000-0000-00005C070000}"/>
    <cellStyle name="Normal 3 3 2" xfId="1950" xr:uid="{00000000-0005-0000-0000-00005D070000}"/>
    <cellStyle name="Normal 3 3 20" xfId="1951" xr:uid="{00000000-0005-0000-0000-00005E070000}"/>
    <cellStyle name="Normal 3 3 21" xfId="1952" xr:uid="{00000000-0005-0000-0000-00005F070000}"/>
    <cellStyle name="Normal 3 3 22" xfId="1953" xr:uid="{00000000-0005-0000-0000-000060070000}"/>
    <cellStyle name="Normal 3 3 23" xfId="1954" xr:uid="{00000000-0005-0000-0000-000061070000}"/>
    <cellStyle name="Normal 3 3 3" xfId="1955" xr:uid="{00000000-0005-0000-0000-000062070000}"/>
    <cellStyle name="Normal 3 3 4" xfId="1956" xr:uid="{00000000-0005-0000-0000-000063070000}"/>
    <cellStyle name="Normal 3 3 5" xfId="1957" xr:uid="{00000000-0005-0000-0000-000064070000}"/>
    <cellStyle name="Normal 3 3 6" xfId="1958" xr:uid="{00000000-0005-0000-0000-000065070000}"/>
    <cellStyle name="Normal 3 3 7" xfId="1959" xr:uid="{00000000-0005-0000-0000-000066070000}"/>
    <cellStyle name="Normal 3 3 8" xfId="1960" xr:uid="{00000000-0005-0000-0000-000067070000}"/>
    <cellStyle name="Normal 3 3 9" xfId="1961" xr:uid="{00000000-0005-0000-0000-000068070000}"/>
    <cellStyle name="Normal 3 30" xfId="1962" xr:uid="{00000000-0005-0000-0000-000069070000}"/>
    <cellStyle name="Normal 3 30 10" xfId="1963" xr:uid="{00000000-0005-0000-0000-00006A070000}"/>
    <cellStyle name="Normal 3 30 11" xfId="1964" xr:uid="{00000000-0005-0000-0000-00006B070000}"/>
    <cellStyle name="Normal 3 30 12" xfId="1965" xr:uid="{00000000-0005-0000-0000-00006C070000}"/>
    <cellStyle name="Normal 3 30 13" xfId="1966" xr:uid="{00000000-0005-0000-0000-00006D070000}"/>
    <cellStyle name="Normal 3 30 14" xfId="1967" xr:uid="{00000000-0005-0000-0000-00006E070000}"/>
    <cellStyle name="Normal 3 30 15" xfId="1968" xr:uid="{00000000-0005-0000-0000-00006F070000}"/>
    <cellStyle name="Normal 3 30 16" xfId="1969" xr:uid="{00000000-0005-0000-0000-000070070000}"/>
    <cellStyle name="Normal 3 30 17" xfId="1970" xr:uid="{00000000-0005-0000-0000-000071070000}"/>
    <cellStyle name="Normal 3 30 18" xfId="1971" xr:uid="{00000000-0005-0000-0000-000072070000}"/>
    <cellStyle name="Normal 3 30 19" xfId="1972" xr:uid="{00000000-0005-0000-0000-000073070000}"/>
    <cellStyle name="Normal 3 30 2" xfId="1973" xr:uid="{00000000-0005-0000-0000-000074070000}"/>
    <cellStyle name="Normal 3 30 20" xfId="1974" xr:uid="{00000000-0005-0000-0000-000075070000}"/>
    <cellStyle name="Normal 3 30 21" xfId="1975" xr:uid="{00000000-0005-0000-0000-000076070000}"/>
    <cellStyle name="Normal 3 30 22" xfId="1976" xr:uid="{00000000-0005-0000-0000-000077070000}"/>
    <cellStyle name="Normal 3 30 23" xfId="1977" xr:uid="{00000000-0005-0000-0000-000078070000}"/>
    <cellStyle name="Normal 3 30 3" xfId="1978" xr:uid="{00000000-0005-0000-0000-000079070000}"/>
    <cellStyle name="Normal 3 30 4" xfId="1979" xr:uid="{00000000-0005-0000-0000-00007A070000}"/>
    <cellStyle name="Normal 3 30 5" xfId="1980" xr:uid="{00000000-0005-0000-0000-00007B070000}"/>
    <cellStyle name="Normal 3 30 6" xfId="1981" xr:uid="{00000000-0005-0000-0000-00007C070000}"/>
    <cellStyle name="Normal 3 30 7" xfId="1982" xr:uid="{00000000-0005-0000-0000-00007D070000}"/>
    <cellStyle name="Normal 3 30 8" xfId="1983" xr:uid="{00000000-0005-0000-0000-00007E070000}"/>
    <cellStyle name="Normal 3 30 9" xfId="1984" xr:uid="{00000000-0005-0000-0000-00007F070000}"/>
    <cellStyle name="Normal 3 31" xfId="1985" xr:uid="{00000000-0005-0000-0000-000080070000}"/>
    <cellStyle name="Normal 3 31 10" xfId="1986" xr:uid="{00000000-0005-0000-0000-000081070000}"/>
    <cellStyle name="Normal 3 31 11" xfId="1987" xr:uid="{00000000-0005-0000-0000-000082070000}"/>
    <cellStyle name="Normal 3 31 12" xfId="1988" xr:uid="{00000000-0005-0000-0000-000083070000}"/>
    <cellStyle name="Normal 3 31 13" xfId="1989" xr:uid="{00000000-0005-0000-0000-000084070000}"/>
    <cellStyle name="Normal 3 31 14" xfId="1990" xr:uid="{00000000-0005-0000-0000-000085070000}"/>
    <cellStyle name="Normal 3 31 15" xfId="1991" xr:uid="{00000000-0005-0000-0000-000086070000}"/>
    <cellStyle name="Normal 3 31 16" xfId="1992" xr:uid="{00000000-0005-0000-0000-000087070000}"/>
    <cellStyle name="Normal 3 31 17" xfId="1993" xr:uid="{00000000-0005-0000-0000-000088070000}"/>
    <cellStyle name="Normal 3 31 18" xfId="1994" xr:uid="{00000000-0005-0000-0000-000089070000}"/>
    <cellStyle name="Normal 3 31 19" xfId="1995" xr:uid="{00000000-0005-0000-0000-00008A070000}"/>
    <cellStyle name="Normal 3 31 2" xfId="1996" xr:uid="{00000000-0005-0000-0000-00008B070000}"/>
    <cellStyle name="Normal 3 31 20" xfId="1997" xr:uid="{00000000-0005-0000-0000-00008C070000}"/>
    <cellStyle name="Normal 3 31 21" xfId="1998" xr:uid="{00000000-0005-0000-0000-00008D070000}"/>
    <cellStyle name="Normal 3 31 22" xfId="1999" xr:uid="{00000000-0005-0000-0000-00008E070000}"/>
    <cellStyle name="Normal 3 31 23" xfId="2000" xr:uid="{00000000-0005-0000-0000-00008F070000}"/>
    <cellStyle name="Normal 3 31 3" xfId="2001" xr:uid="{00000000-0005-0000-0000-000090070000}"/>
    <cellStyle name="Normal 3 31 4" xfId="2002" xr:uid="{00000000-0005-0000-0000-000091070000}"/>
    <cellStyle name="Normal 3 31 5" xfId="2003" xr:uid="{00000000-0005-0000-0000-000092070000}"/>
    <cellStyle name="Normal 3 31 6" xfId="2004" xr:uid="{00000000-0005-0000-0000-000093070000}"/>
    <cellStyle name="Normal 3 31 7" xfId="2005" xr:uid="{00000000-0005-0000-0000-000094070000}"/>
    <cellStyle name="Normal 3 31 8" xfId="2006" xr:uid="{00000000-0005-0000-0000-000095070000}"/>
    <cellStyle name="Normal 3 31 9" xfId="2007" xr:uid="{00000000-0005-0000-0000-000096070000}"/>
    <cellStyle name="Normal 3 32" xfId="2008" xr:uid="{00000000-0005-0000-0000-000097070000}"/>
    <cellStyle name="Normal 3 32 10" xfId="2009" xr:uid="{00000000-0005-0000-0000-000098070000}"/>
    <cellStyle name="Normal 3 32 11" xfId="2010" xr:uid="{00000000-0005-0000-0000-000099070000}"/>
    <cellStyle name="Normal 3 32 12" xfId="2011" xr:uid="{00000000-0005-0000-0000-00009A070000}"/>
    <cellStyle name="Normal 3 32 13" xfId="2012" xr:uid="{00000000-0005-0000-0000-00009B070000}"/>
    <cellStyle name="Normal 3 32 14" xfId="2013" xr:uid="{00000000-0005-0000-0000-00009C070000}"/>
    <cellStyle name="Normal 3 32 15" xfId="2014" xr:uid="{00000000-0005-0000-0000-00009D070000}"/>
    <cellStyle name="Normal 3 32 16" xfId="2015" xr:uid="{00000000-0005-0000-0000-00009E070000}"/>
    <cellStyle name="Normal 3 32 17" xfId="2016" xr:uid="{00000000-0005-0000-0000-00009F070000}"/>
    <cellStyle name="Normal 3 32 18" xfId="2017" xr:uid="{00000000-0005-0000-0000-0000A0070000}"/>
    <cellStyle name="Normal 3 32 19" xfId="2018" xr:uid="{00000000-0005-0000-0000-0000A1070000}"/>
    <cellStyle name="Normal 3 32 2" xfId="2019" xr:uid="{00000000-0005-0000-0000-0000A2070000}"/>
    <cellStyle name="Normal 3 32 20" xfId="2020" xr:uid="{00000000-0005-0000-0000-0000A3070000}"/>
    <cellStyle name="Normal 3 32 21" xfId="2021" xr:uid="{00000000-0005-0000-0000-0000A4070000}"/>
    <cellStyle name="Normal 3 32 22" xfId="2022" xr:uid="{00000000-0005-0000-0000-0000A5070000}"/>
    <cellStyle name="Normal 3 32 23" xfId="2023" xr:uid="{00000000-0005-0000-0000-0000A6070000}"/>
    <cellStyle name="Normal 3 32 3" xfId="2024" xr:uid="{00000000-0005-0000-0000-0000A7070000}"/>
    <cellStyle name="Normal 3 32 4" xfId="2025" xr:uid="{00000000-0005-0000-0000-0000A8070000}"/>
    <cellStyle name="Normal 3 32 5" xfId="2026" xr:uid="{00000000-0005-0000-0000-0000A9070000}"/>
    <cellStyle name="Normal 3 32 6" xfId="2027" xr:uid="{00000000-0005-0000-0000-0000AA070000}"/>
    <cellStyle name="Normal 3 32 7" xfId="2028" xr:uid="{00000000-0005-0000-0000-0000AB070000}"/>
    <cellStyle name="Normal 3 32 8" xfId="2029" xr:uid="{00000000-0005-0000-0000-0000AC070000}"/>
    <cellStyle name="Normal 3 32 9" xfId="2030" xr:uid="{00000000-0005-0000-0000-0000AD070000}"/>
    <cellStyle name="Normal 3 33" xfId="2031" xr:uid="{00000000-0005-0000-0000-0000AE070000}"/>
    <cellStyle name="Normal 3 33 10" xfId="2032" xr:uid="{00000000-0005-0000-0000-0000AF070000}"/>
    <cellStyle name="Normal 3 33 11" xfId="2033" xr:uid="{00000000-0005-0000-0000-0000B0070000}"/>
    <cellStyle name="Normal 3 33 12" xfId="2034" xr:uid="{00000000-0005-0000-0000-0000B1070000}"/>
    <cellStyle name="Normal 3 33 13" xfId="2035" xr:uid="{00000000-0005-0000-0000-0000B2070000}"/>
    <cellStyle name="Normal 3 33 14" xfId="2036" xr:uid="{00000000-0005-0000-0000-0000B3070000}"/>
    <cellStyle name="Normal 3 33 15" xfId="2037" xr:uid="{00000000-0005-0000-0000-0000B4070000}"/>
    <cellStyle name="Normal 3 33 16" xfId="2038" xr:uid="{00000000-0005-0000-0000-0000B5070000}"/>
    <cellStyle name="Normal 3 33 17" xfId="2039" xr:uid="{00000000-0005-0000-0000-0000B6070000}"/>
    <cellStyle name="Normal 3 33 18" xfId="2040" xr:uid="{00000000-0005-0000-0000-0000B7070000}"/>
    <cellStyle name="Normal 3 33 19" xfId="2041" xr:uid="{00000000-0005-0000-0000-0000B8070000}"/>
    <cellStyle name="Normal 3 33 2" xfId="2042" xr:uid="{00000000-0005-0000-0000-0000B9070000}"/>
    <cellStyle name="Normal 3 33 20" xfId="2043" xr:uid="{00000000-0005-0000-0000-0000BA070000}"/>
    <cellStyle name="Normal 3 33 21" xfId="2044" xr:uid="{00000000-0005-0000-0000-0000BB070000}"/>
    <cellStyle name="Normal 3 33 22" xfId="2045" xr:uid="{00000000-0005-0000-0000-0000BC070000}"/>
    <cellStyle name="Normal 3 33 23" xfId="2046" xr:uid="{00000000-0005-0000-0000-0000BD070000}"/>
    <cellStyle name="Normal 3 33 3" xfId="2047" xr:uid="{00000000-0005-0000-0000-0000BE070000}"/>
    <cellStyle name="Normal 3 33 4" xfId="2048" xr:uid="{00000000-0005-0000-0000-0000BF070000}"/>
    <cellStyle name="Normal 3 33 5" xfId="2049" xr:uid="{00000000-0005-0000-0000-0000C0070000}"/>
    <cellStyle name="Normal 3 33 6" xfId="2050" xr:uid="{00000000-0005-0000-0000-0000C1070000}"/>
    <cellStyle name="Normal 3 33 7" xfId="2051" xr:uid="{00000000-0005-0000-0000-0000C2070000}"/>
    <cellStyle name="Normal 3 33 8" xfId="2052" xr:uid="{00000000-0005-0000-0000-0000C3070000}"/>
    <cellStyle name="Normal 3 33 9" xfId="2053" xr:uid="{00000000-0005-0000-0000-0000C4070000}"/>
    <cellStyle name="Normal 3 34" xfId="2054" xr:uid="{00000000-0005-0000-0000-0000C5070000}"/>
    <cellStyle name="Normal 3 35" xfId="2055" xr:uid="{00000000-0005-0000-0000-0000C6070000}"/>
    <cellStyle name="Normal 3 36" xfId="2056" xr:uid="{00000000-0005-0000-0000-0000C7070000}"/>
    <cellStyle name="Normal 3 37" xfId="2057" xr:uid="{00000000-0005-0000-0000-0000C8070000}"/>
    <cellStyle name="Normal 3 38" xfId="2058" xr:uid="{00000000-0005-0000-0000-0000C9070000}"/>
    <cellStyle name="Normal 3 39" xfId="2059" xr:uid="{00000000-0005-0000-0000-0000CA070000}"/>
    <cellStyle name="Normal 3 4" xfId="2060" xr:uid="{00000000-0005-0000-0000-0000CB070000}"/>
    <cellStyle name="Normal 3 4 10" xfId="2061" xr:uid="{00000000-0005-0000-0000-0000CC070000}"/>
    <cellStyle name="Normal 3 4 11" xfId="2062" xr:uid="{00000000-0005-0000-0000-0000CD070000}"/>
    <cellStyle name="Normal 3 4 12" xfId="2063" xr:uid="{00000000-0005-0000-0000-0000CE070000}"/>
    <cellStyle name="Normal 3 4 13" xfId="2064" xr:uid="{00000000-0005-0000-0000-0000CF070000}"/>
    <cellStyle name="Normal 3 4 14" xfId="2065" xr:uid="{00000000-0005-0000-0000-0000D0070000}"/>
    <cellStyle name="Normal 3 4 15" xfId="2066" xr:uid="{00000000-0005-0000-0000-0000D1070000}"/>
    <cellStyle name="Normal 3 4 16" xfId="2067" xr:uid="{00000000-0005-0000-0000-0000D2070000}"/>
    <cellStyle name="Normal 3 4 17" xfId="2068" xr:uid="{00000000-0005-0000-0000-0000D3070000}"/>
    <cellStyle name="Normal 3 4 18" xfId="2069" xr:uid="{00000000-0005-0000-0000-0000D4070000}"/>
    <cellStyle name="Normal 3 4 19" xfId="2070" xr:uid="{00000000-0005-0000-0000-0000D5070000}"/>
    <cellStyle name="Normal 3 4 2" xfId="2071" xr:uid="{00000000-0005-0000-0000-0000D6070000}"/>
    <cellStyle name="Normal 3 4 20" xfId="2072" xr:uid="{00000000-0005-0000-0000-0000D7070000}"/>
    <cellStyle name="Normal 3 4 21" xfId="2073" xr:uid="{00000000-0005-0000-0000-0000D8070000}"/>
    <cellStyle name="Normal 3 4 22" xfId="2074" xr:uid="{00000000-0005-0000-0000-0000D9070000}"/>
    <cellStyle name="Normal 3 4 23" xfId="2075" xr:uid="{00000000-0005-0000-0000-0000DA070000}"/>
    <cellStyle name="Normal 3 4 3" xfId="2076" xr:uid="{00000000-0005-0000-0000-0000DB070000}"/>
    <cellStyle name="Normal 3 4 4" xfId="2077" xr:uid="{00000000-0005-0000-0000-0000DC070000}"/>
    <cellStyle name="Normal 3 4 5" xfId="2078" xr:uid="{00000000-0005-0000-0000-0000DD070000}"/>
    <cellStyle name="Normal 3 4 6" xfId="2079" xr:uid="{00000000-0005-0000-0000-0000DE070000}"/>
    <cellStyle name="Normal 3 4 7" xfId="2080" xr:uid="{00000000-0005-0000-0000-0000DF070000}"/>
    <cellStyle name="Normal 3 4 8" xfId="2081" xr:uid="{00000000-0005-0000-0000-0000E0070000}"/>
    <cellStyle name="Normal 3 4 9" xfId="2082" xr:uid="{00000000-0005-0000-0000-0000E1070000}"/>
    <cellStyle name="Normal 3 40" xfId="2083" xr:uid="{00000000-0005-0000-0000-0000E2070000}"/>
    <cellStyle name="Normal 3 41" xfId="2084" xr:uid="{00000000-0005-0000-0000-0000E3070000}"/>
    <cellStyle name="Normal 3 42" xfId="2085" xr:uid="{00000000-0005-0000-0000-0000E4070000}"/>
    <cellStyle name="Normal 3 43" xfId="2086" xr:uid="{00000000-0005-0000-0000-0000E5070000}"/>
    <cellStyle name="Normal 3 44" xfId="2087" xr:uid="{00000000-0005-0000-0000-0000E6070000}"/>
    <cellStyle name="Normal 3 45" xfId="2088" xr:uid="{00000000-0005-0000-0000-0000E7070000}"/>
    <cellStyle name="Normal 3 46" xfId="2089" xr:uid="{00000000-0005-0000-0000-0000E8070000}"/>
    <cellStyle name="Normal 3 47" xfId="2090" xr:uid="{00000000-0005-0000-0000-0000E9070000}"/>
    <cellStyle name="Normal 3 48" xfId="2091" xr:uid="{00000000-0005-0000-0000-0000EA070000}"/>
    <cellStyle name="Normal 3 49" xfId="2092" xr:uid="{00000000-0005-0000-0000-0000EB070000}"/>
    <cellStyle name="Normal 3 5" xfId="2093" xr:uid="{00000000-0005-0000-0000-0000EC070000}"/>
    <cellStyle name="Normal 3 5 10" xfId="2094" xr:uid="{00000000-0005-0000-0000-0000ED070000}"/>
    <cellStyle name="Normal 3 5 11" xfId="2095" xr:uid="{00000000-0005-0000-0000-0000EE070000}"/>
    <cellStyle name="Normal 3 5 12" xfId="2096" xr:uid="{00000000-0005-0000-0000-0000EF070000}"/>
    <cellStyle name="Normal 3 5 13" xfId="2097" xr:uid="{00000000-0005-0000-0000-0000F0070000}"/>
    <cellStyle name="Normal 3 5 14" xfId="2098" xr:uid="{00000000-0005-0000-0000-0000F1070000}"/>
    <cellStyle name="Normal 3 5 15" xfId="2099" xr:uid="{00000000-0005-0000-0000-0000F2070000}"/>
    <cellStyle name="Normal 3 5 16" xfId="2100" xr:uid="{00000000-0005-0000-0000-0000F3070000}"/>
    <cellStyle name="Normal 3 5 17" xfId="2101" xr:uid="{00000000-0005-0000-0000-0000F4070000}"/>
    <cellStyle name="Normal 3 5 18" xfId="2102" xr:uid="{00000000-0005-0000-0000-0000F5070000}"/>
    <cellStyle name="Normal 3 5 19" xfId="2103" xr:uid="{00000000-0005-0000-0000-0000F6070000}"/>
    <cellStyle name="Normal 3 5 2" xfId="2104" xr:uid="{00000000-0005-0000-0000-0000F7070000}"/>
    <cellStyle name="Normal 3 5 20" xfId="2105" xr:uid="{00000000-0005-0000-0000-0000F8070000}"/>
    <cellStyle name="Normal 3 5 21" xfId="2106" xr:uid="{00000000-0005-0000-0000-0000F9070000}"/>
    <cellStyle name="Normal 3 5 22" xfId="2107" xr:uid="{00000000-0005-0000-0000-0000FA070000}"/>
    <cellStyle name="Normal 3 5 23" xfId="2108" xr:uid="{00000000-0005-0000-0000-0000FB070000}"/>
    <cellStyle name="Normal 3 5 3" xfId="2109" xr:uid="{00000000-0005-0000-0000-0000FC070000}"/>
    <cellStyle name="Normal 3 5 4" xfId="2110" xr:uid="{00000000-0005-0000-0000-0000FD070000}"/>
    <cellStyle name="Normal 3 5 5" xfId="2111" xr:uid="{00000000-0005-0000-0000-0000FE070000}"/>
    <cellStyle name="Normal 3 5 6" xfId="2112" xr:uid="{00000000-0005-0000-0000-0000FF070000}"/>
    <cellStyle name="Normal 3 5 7" xfId="2113" xr:uid="{00000000-0005-0000-0000-000000080000}"/>
    <cellStyle name="Normal 3 5 8" xfId="2114" xr:uid="{00000000-0005-0000-0000-000001080000}"/>
    <cellStyle name="Normal 3 5 9" xfId="2115" xr:uid="{00000000-0005-0000-0000-000002080000}"/>
    <cellStyle name="Normal 3 50" xfId="2116" xr:uid="{00000000-0005-0000-0000-000003080000}"/>
    <cellStyle name="Normal 3 51" xfId="2117" xr:uid="{00000000-0005-0000-0000-000004080000}"/>
    <cellStyle name="Normal 3 52" xfId="2118" xr:uid="{00000000-0005-0000-0000-000005080000}"/>
    <cellStyle name="Normal 3 53" xfId="2119" xr:uid="{00000000-0005-0000-0000-000006080000}"/>
    <cellStyle name="Normal 3 54" xfId="2120" xr:uid="{00000000-0005-0000-0000-000007080000}"/>
    <cellStyle name="Normal 3 55" xfId="2121" xr:uid="{00000000-0005-0000-0000-000008080000}"/>
    <cellStyle name="Normal 3 56" xfId="2122" xr:uid="{00000000-0005-0000-0000-000009080000}"/>
    <cellStyle name="Normal 3 57" xfId="2123" xr:uid="{00000000-0005-0000-0000-00000A080000}"/>
    <cellStyle name="Normal 3 58" xfId="2124" xr:uid="{00000000-0005-0000-0000-00000B080000}"/>
    <cellStyle name="Normal 3 59" xfId="2125" xr:uid="{00000000-0005-0000-0000-00000C080000}"/>
    <cellStyle name="Normal 3 6" xfId="2126" xr:uid="{00000000-0005-0000-0000-00000D080000}"/>
    <cellStyle name="Normal 3 6 10" xfId="2127" xr:uid="{00000000-0005-0000-0000-00000E080000}"/>
    <cellStyle name="Normal 3 6 11" xfId="2128" xr:uid="{00000000-0005-0000-0000-00000F080000}"/>
    <cellStyle name="Normal 3 6 12" xfId="2129" xr:uid="{00000000-0005-0000-0000-000010080000}"/>
    <cellStyle name="Normal 3 6 13" xfId="2130" xr:uid="{00000000-0005-0000-0000-000011080000}"/>
    <cellStyle name="Normal 3 6 14" xfId="2131" xr:uid="{00000000-0005-0000-0000-000012080000}"/>
    <cellStyle name="Normal 3 6 15" xfId="2132" xr:uid="{00000000-0005-0000-0000-000013080000}"/>
    <cellStyle name="Normal 3 6 16" xfId="2133" xr:uid="{00000000-0005-0000-0000-000014080000}"/>
    <cellStyle name="Normal 3 6 17" xfId="2134" xr:uid="{00000000-0005-0000-0000-000015080000}"/>
    <cellStyle name="Normal 3 6 18" xfId="2135" xr:uid="{00000000-0005-0000-0000-000016080000}"/>
    <cellStyle name="Normal 3 6 19" xfId="2136" xr:uid="{00000000-0005-0000-0000-000017080000}"/>
    <cellStyle name="Normal 3 6 2" xfId="2137" xr:uid="{00000000-0005-0000-0000-000018080000}"/>
    <cellStyle name="Normal 3 6 20" xfId="2138" xr:uid="{00000000-0005-0000-0000-000019080000}"/>
    <cellStyle name="Normal 3 6 21" xfId="2139" xr:uid="{00000000-0005-0000-0000-00001A080000}"/>
    <cellStyle name="Normal 3 6 22" xfId="2140" xr:uid="{00000000-0005-0000-0000-00001B080000}"/>
    <cellStyle name="Normal 3 6 23" xfId="2141" xr:uid="{00000000-0005-0000-0000-00001C080000}"/>
    <cellStyle name="Normal 3 6 3" xfId="2142" xr:uid="{00000000-0005-0000-0000-00001D080000}"/>
    <cellStyle name="Normal 3 6 4" xfId="2143" xr:uid="{00000000-0005-0000-0000-00001E080000}"/>
    <cellStyle name="Normal 3 6 5" xfId="2144" xr:uid="{00000000-0005-0000-0000-00001F080000}"/>
    <cellStyle name="Normal 3 6 6" xfId="2145" xr:uid="{00000000-0005-0000-0000-000020080000}"/>
    <cellStyle name="Normal 3 6 7" xfId="2146" xr:uid="{00000000-0005-0000-0000-000021080000}"/>
    <cellStyle name="Normal 3 6 8" xfId="2147" xr:uid="{00000000-0005-0000-0000-000022080000}"/>
    <cellStyle name="Normal 3 6 9" xfId="2148" xr:uid="{00000000-0005-0000-0000-000023080000}"/>
    <cellStyle name="Normal 3 60" xfId="2149" xr:uid="{00000000-0005-0000-0000-000024080000}"/>
    <cellStyle name="Normal 3 61" xfId="2150" xr:uid="{00000000-0005-0000-0000-000025080000}"/>
    <cellStyle name="Normal 3 62" xfId="2151" xr:uid="{00000000-0005-0000-0000-000026080000}"/>
    <cellStyle name="Normal 3 63" xfId="2152" xr:uid="{00000000-0005-0000-0000-000027080000}"/>
    <cellStyle name="Normal 3 64" xfId="2153" xr:uid="{00000000-0005-0000-0000-000028080000}"/>
    <cellStyle name="Normal 3 65" xfId="2154" xr:uid="{00000000-0005-0000-0000-000029080000}"/>
    <cellStyle name="Normal 3 66" xfId="2155" xr:uid="{00000000-0005-0000-0000-00002A080000}"/>
    <cellStyle name="Normal 3 7" xfId="2156" xr:uid="{00000000-0005-0000-0000-00002B080000}"/>
    <cellStyle name="Normal 3 7 10" xfId="2157" xr:uid="{00000000-0005-0000-0000-00002C080000}"/>
    <cellStyle name="Normal 3 7 11" xfId="2158" xr:uid="{00000000-0005-0000-0000-00002D080000}"/>
    <cellStyle name="Normal 3 7 12" xfId="2159" xr:uid="{00000000-0005-0000-0000-00002E080000}"/>
    <cellStyle name="Normal 3 7 13" xfId="2160" xr:uid="{00000000-0005-0000-0000-00002F080000}"/>
    <cellStyle name="Normal 3 7 14" xfId="2161" xr:uid="{00000000-0005-0000-0000-000030080000}"/>
    <cellStyle name="Normal 3 7 15" xfId="2162" xr:uid="{00000000-0005-0000-0000-000031080000}"/>
    <cellStyle name="Normal 3 7 16" xfId="2163" xr:uid="{00000000-0005-0000-0000-000032080000}"/>
    <cellStyle name="Normal 3 7 17" xfId="2164" xr:uid="{00000000-0005-0000-0000-000033080000}"/>
    <cellStyle name="Normal 3 7 18" xfId="2165" xr:uid="{00000000-0005-0000-0000-000034080000}"/>
    <cellStyle name="Normal 3 7 19" xfId="2166" xr:uid="{00000000-0005-0000-0000-000035080000}"/>
    <cellStyle name="Normal 3 7 2" xfId="2167" xr:uid="{00000000-0005-0000-0000-000036080000}"/>
    <cellStyle name="Normal 3 7 20" xfId="2168" xr:uid="{00000000-0005-0000-0000-000037080000}"/>
    <cellStyle name="Normal 3 7 21" xfId="2169" xr:uid="{00000000-0005-0000-0000-000038080000}"/>
    <cellStyle name="Normal 3 7 22" xfId="2170" xr:uid="{00000000-0005-0000-0000-000039080000}"/>
    <cellStyle name="Normal 3 7 23" xfId="2171" xr:uid="{00000000-0005-0000-0000-00003A080000}"/>
    <cellStyle name="Normal 3 7 3" xfId="2172" xr:uid="{00000000-0005-0000-0000-00003B080000}"/>
    <cellStyle name="Normal 3 7 4" xfId="2173" xr:uid="{00000000-0005-0000-0000-00003C080000}"/>
    <cellStyle name="Normal 3 7 5" xfId="2174" xr:uid="{00000000-0005-0000-0000-00003D080000}"/>
    <cellStyle name="Normal 3 7 6" xfId="2175" xr:uid="{00000000-0005-0000-0000-00003E080000}"/>
    <cellStyle name="Normal 3 7 7" xfId="2176" xr:uid="{00000000-0005-0000-0000-00003F080000}"/>
    <cellStyle name="Normal 3 7 8" xfId="2177" xr:uid="{00000000-0005-0000-0000-000040080000}"/>
    <cellStyle name="Normal 3 7 9" xfId="2178" xr:uid="{00000000-0005-0000-0000-000041080000}"/>
    <cellStyle name="Normal 3 7_Summary" xfId="2179" xr:uid="{00000000-0005-0000-0000-000042080000}"/>
    <cellStyle name="Normal 3 8" xfId="2180" xr:uid="{00000000-0005-0000-0000-000043080000}"/>
    <cellStyle name="Normal 3 8 10" xfId="2181" xr:uid="{00000000-0005-0000-0000-000044080000}"/>
    <cellStyle name="Normal 3 8 11" xfId="2182" xr:uid="{00000000-0005-0000-0000-000045080000}"/>
    <cellStyle name="Normal 3 8 12" xfId="2183" xr:uid="{00000000-0005-0000-0000-000046080000}"/>
    <cellStyle name="Normal 3 8 13" xfId="2184" xr:uid="{00000000-0005-0000-0000-000047080000}"/>
    <cellStyle name="Normal 3 8 14" xfId="2185" xr:uid="{00000000-0005-0000-0000-000048080000}"/>
    <cellStyle name="Normal 3 8 15" xfId="2186" xr:uid="{00000000-0005-0000-0000-000049080000}"/>
    <cellStyle name="Normal 3 8 16" xfId="2187" xr:uid="{00000000-0005-0000-0000-00004A080000}"/>
    <cellStyle name="Normal 3 8 17" xfId="2188" xr:uid="{00000000-0005-0000-0000-00004B080000}"/>
    <cellStyle name="Normal 3 8 18" xfId="2189" xr:uid="{00000000-0005-0000-0000-00004C080000}"/>
    <cellStyle name="Normal 3 8 19" xfId="2190" xr:uid="{00000000-0005-0000-0000-00004D080000}"/>
    <cellStyle name="Normal 3 8 2" xfId="2191" xr:uid="{00000000-0005-0000-0000-00004E080000}"/>
    <cellStyle name="Normal 3 8 20" xfId="2192" xr:uid="{00000000-0005-0000-0000-00004F080000}"/>
    <cellStyle name="Normal 3 8 21" xfId="2193" xr:uid="{00000000-0005-0000-0000-000050080000}"/>
    <cellStyle name="Normal 3 8 22" xfId="2194" xr:uid="{00000000-0005-0000-0000-000051080000}"/>
    <cellStyle name="Normal 3 8 23" xfId="2195" xr:uid="{00000000-0005-0000-0000-000052080000}"/>
    <cellStyle name="Normal 3 8 3" xfId="2196" xr:uid="{00000000-0005-0000-0000-000053080000}"/>
    <cellStyle name="Normal 3 8 4" xfId="2197" xr:uid="{00000000-0005-0000-0000-000054080000}"/>
    <cellStyle name="Normal 3 8 5" xfId="2198" xr:uid="{00000000-0005-0000-0000-000055080000}"/>
    <cellStyle name="Normal 3 8 6" xfId="2199" xr:uid="{00000000-0005-0000-0000-000056080000}"/>
    <cellStyle name="Normal 3 8 7" xfId="2200" xr:uid="{00000000-0005-0000-0000-000057080000}"/>
    <cellStyle name="Normal 3 8 8" xfId="2201" xr:uid="{00000000-0005-0000-0000-000058080000}"/>
    <cellStyle name="Normal 3 8 9" xfId="2202" xr:uid="{00000000-0005-0000-0000-000059080000}"/>
    <cellStyle name="Normal 3 9" xfId="2203" xr:uid="{00000000-0005-0000-0000-00005A080000}"/>
    <cellStyle name="Normal 3 9 10" xfId="2204" xr:uid="{00000000-0005-0000-0000-00005B080000}"/>
    <cellStyle name="Normal 3 9 11" xfId="2205" xr:uid="{00000000-0005-0000-0000-00005C080000}"/>
    <cellStyle name="Normal 3 9 12" xfId="2206" xr:uid="{00000000-0005-0000-0000-00005D080000}"/>
    <cellStyle name="Normal 3 9 13" xfId="2207" xr:uid="{00000000-0005-0000-0000-00005E080000}"/>
    <cellStyle name="Normal 3 9 14" xfId="2208" xr:uid="{00000000-0005-0000-0000-00005F080000}"/>
    <cellStyle name="Normal 3 9 15" xfId="2209" xr:uid="{00000000-0005-0000-0000-000060080000}"/>
    <cellStyle name="Normal 3 9 16" xfId="2210" xr:uid="{00000000-0005-0000-0000-000061080000}"/>
    <cellStyle name="Normal 3 9 17" xfId="2211" xr:uid="{00000000-0005-0000-0000-000062080000}"/>
    <cellStyle name="Normal 3 9 18" xfId="2212" xr:uid="{00000000-0005-0000-0000-000063080000}"/>
    <cellStyle name="Normal 3 9 19" xfId="2213" xr:uid="{00000000-0005-0000-0000-000064080000}"/>
    <cellStyle name="Normal 3 9 2" xfId="2214" xr:uid="{00000000-0005-0000-0000-000065080000}"/>
    <cellStyle name="Normal 3 9 20" xfId="2215" xr:uid="{00000000-0005-0000-0000-000066080000}"/>
    <cellStyle name="Normal 3 9 21" xfId="2216" xr:uid="{00000000-0005-0000-0000-000067080000}"/>
    <cellStyle name="Normal 3 9 22" xfId="2217" xr:uid="{00000000-0005-0000-0000-000068080000}"/>
    <cellStyle name="Normal 3 9 23" xfId="2218" xr:uid="{00000000-0005-0000-0000-000069080000}"/>
    <cellStyle name="Normal 3 9 3" xfId="2219" xr:uid="{00000000-0005-0000-0000-00006A080000}"/>
    <cellStyle name="Normal 3 9 4" xfId="2220" xr:uid="{00000000-0005-0000-0000-00006B080000}"/>
    <cellStyle name="Normal 3 9 5" xfId="2221" xr:uid="{00000000-0005-0000-0000-00006C080000}"/>
    <cellStyle name="Normal 3 9 6" xfId="2222" xr:uid="{00000000-0005-0000-0000-00006D080000}"/>
    <cellStyle name="Normal 3 9 7" xfId="2223" xr:uid="{00000000-0005-0000-0000-00006E080000}"/>
    <cellStyle name="Normal 3 9 8" xfId="2224" xr:uid="{00000000-0005-0000-0000-00006F080000}"/>
    <cellStyle name="Normal 3 9 9" xfId="2225" xr:uid="{00000000-0005-0000-0000-000070080000}"/>
    <cellStyle name="Normal 3 9_Summary" xfId="2226" xr:uid="{00000000-0005-0000-0000-000071080000}"/>
    <cellStyle name="Normal 3_Rates" xfId="2227" xr:uid="{00000000-0005-0000-0000-000072080000}"/>
    <cellStyle name="Normal 4" xfId="78" xr:uid="{00000000-0005-0000-0000-000073080000}"/>
    <cellStyle name="Normal 4 2" xfId="79" xr:uid="{00000000-0005-0000-0000-000074080000}"/>
    <cellStyle name="Normal 4 2 2" xfId="80" xr:uid="{00000000-0005-0000-0000-000075080000}"/>
    <cellStyle name="Normal 4 2 3" xfId="2228" xr:uid="{00000000-0005-0000-0000-000076080000}"/>
    <cellStyle name="Normal 4 2 4" xfId="2229" xr:uid="{00000000-0005-0000-0000-000077080000}"/>
    <cellStyle name="Normal 4 26" xfId="2230" xr:uid="{00000000-0005-0000-0000-000078080000}"/>
    <cellStyle name="Normal 4 26 2" xfId="2231" xr:uid="{00000000-0005-0000-0000-000079080000}"/>
    <cellStyle name="Normal 4 3" xfId="4" xr:uid="{00000000-0005-0000-0000-00007A080000}"/>
    <cellStyle name="Normal 5" xfId="81" xr:uid="{00000000-0005-0000-0000-00007B080000}"/>
    <cellStyle name="Normal 5 10" xfId="2232" xr:uid="{00000000-0005-0000-0000-00007C080000}"/>
    <cellStyle name="Normal 5 11" xfId="2233" xr:uid="{00000000-0005-0000-0000-00007D080000}"/>
    <cellStyle name="Normal 5 12" xfId="2234" xr:uid="{00000000-0005-0000-0000-00007E080000}"/>
    <cellStyle name="Normal 5 13" xfId="2235" xr:uid="{00000000-0005-0000-0000-00007F080000}"/>
    <cellStyle name="Normal 5 14" xfId="2236" xr:uid="{00000000-0005-0000-0000-000080080000}"/>
    <cellStyle name="Normal 5 15" xfId="2237" xr:uid="{00000000-0005-0000-0000-000081080000}"/>
    <cellStyle name="Normal 5 16" xfId="2238" xr:uid="{00000000-0005-0000-0000-000082080000}"/>
    <cellStyle name="Normal 5 17" xfId="2239" xr:uid="{00000000-0005-0000-0000-000083080000}"/>
    <cellStyle name="Normal 5 18" xfId="2240" xr:uid="{00000000-0005-0000-0000-000084080000}"/>
    <cellStyle name="Normal 5 19" xfId="2241" xr:uid="{00000000-0005-0000-0000-000085080000}"/>
    <cellStyle name="Normal 5 2" xfId="139" xr:uid="{00000000-0005-0000-0000-000086080000}"/>
    <cellStyle name="Normal 5 2 10" xfId="2242" xr:uid="{00000000-0005-0000-0000-000087080000}"/>
    <cellStyle name="Normal 5 2 11" xfId="2243" xr:uid="{00000000-0005-0000-0000-000088080000}"/>
    <cellStyle name="Normal 5 2 12" xfId="2244" xr:uid="{00000000-0005-0000-0000-000089080000}"/>
    <cellStyle name="Normal 5 2 13" xfId="2245" xr:uid="{00000000-0005-0000-0000-00008A080000}"/>
    <cellStyle name="Normal 5 2 14" xfId="2246" xr:uid="{00000000-0005-0000-0000-00008B080000}"/>
    <cellStyle name="Normal 5 2 15" xfId="2247" xr:uid="{00000000-0005-0000-0000-00008C080000}"/>
    <cellStyle name="Normal 5 2 16" xfId="2248" xr:uid="{00000000-0005-0000-0000-00008D080000}"/>
    <cellStyle name="Normal 5 2 17" xfId="2249" xr:uid="{00000000-0005-0000-0000-00008E080000}"/>
    <cellStyle name="Normal 5 2 18" xfId="2250" xr:uid="{00000000-0005-0000-0000-00008F080000}"/>
    <cellStyle name="Normal 5 2 19" xfId="2251" xr:uid="{00000000-0005-0000-0000-000090080000}"/>
    <cellStyle name="Normal 5 2 2" xfId="2252" xr:uid="{00000000-0005-0000-0000-000091080000}"/>
    <cellStyle name="Normal 5 2 20" xfId="2253" xr:uid="{00000000-0005-0000-0000-000092080000}"/>
    <cellStyle name="Normal 5 2 21" xfId="2254" xr:uid="{00000000-0005-0000-0000-000093080000}"/>
    <cellStyle name="Normal 5 2 22" xfId="2255" xr:uid="{00000000-0005-0000-0000-000094080000}"/>
    <cellStyle name="Normal 5 2 23" xfId="2256" xr:uid="{00000000-0005-0000-0000-000095080000}"/>
    <cellStyle name="Normal 5 2 3" xfId="2257" xr:uid="{00000000-0005-0000-0000-000096080000}"/>
    <cellStyle name="Normal 5 2 4" xfId="2258" xr:uid="{00000000-0005-0000-0000-000097080000}"/>
    <cellStyle name="Normal 5 2 5" xfId="2259" xr:uid="{00000000-0005-0000-0000-000098080000}"/>
    <cellStyle name="Normal 5 2 6" xfId="2260" xr:uid="{00000000-0005-0000-0000-000099080000}"/>
    <cellStyle name="Normal 5 2 7" xfId="2261" xr:uid="{00000000-0005-0000-0000-00009A080000}"/>
    <cellStyle name="Normal 5 2 8" xfId="2262" xr:uid="{00000000-0005-0000-0000-00009B080000}"/>
    <cellStyle name="Normal 5 2 9" xfId="2263" xr:uid="{00000000-0005-0000-0000-00009C080000}"/>
    <cellStyle name="Normal 5 20" xfId="2264" xr:uid="{00000000-0005-0000-0000-00009D080000}"/>
    <cellStyle name="Normal 5 21" xfId="2265" xr:uid="{00000000-0005-0000-0000-00009E080000}"/>
    <cellStyle name="Normal 5 22" xfId="2266" xr:uid="{00000000-0005-0000-0000-00009F080000}"/>
    <cellStyle name="Normal 5 23" xfId="2267" xr:uid="{00000000-0005-0000-0000-0000A0080000}"/>
    <cellStyle name="Normal 5 24" xfId="2268" xr:uid="{00000000-0005-0000-0000-0000A1080000}"/>
    <cellStyle name="Normal 5 3" xfId="2269" xr:uid="{00000000-0005-0000-0000-0000A2080000}"/>
    <cellStyle name="Normal 5 4" xfId="2270" xr:uid="{00000000-0005-0000-0000-0000A3080000}"/>
    <cellStyle name="Normal 5 5" xfId="2271" xr:uid="{00000000-0005-0000-0000-0000A4080000}"/>
    <cellStyle name="Normal 5 6" xfId="2272" xr:uid="{00000000-0005-0000-0000-0000A5080000}"/>
    <cellStyle name="Normal 5 7" xfId="2273" xr:uid="{00000000-0005-0000-0000-0000A6080000}"/>
    <cellStyle name="Normal 5 8" xfId="2274" xr:uid="{00000000-0005-0000-0000-0000A7080000}"/>
    <cellStyle name="Normal 5 9" xfId="2275" xr:uid="{00000000-0005-0000-0000-0000A8080000}"/>
    <cellStyle name="Normal 5_Summary" xfId="2276" xr:uid="{00000000-0005-0000-0000-0000A9080000}"/>
    <cellStyle name="Normal 6" xfId="82" xr:uid="{00000000-0005-0000-0000-0000AA080000}"/>
    <cellStyle name="Normal 6 2" xfId="83" xr:uid="{00000000-0005-0000-0000-0000AB080000}"/>
    <cellStyle name="Normal 6 2 2" xfId="84" xr:uid="{00000000-0005-0000-0000-0000AC080000}"/>
    <cellStyle name="Normal 6 2 2 2" xfId="85" xr:uid="{00000000-0005-0000-0000-0000AD080000}"/>
    <cellStyle name="Normal 6 2 3" xfId="86" xr:uid="{00000000-0005-0000-0000-0000AE080000}"/>
    <cellStyle name="Normal 6 3" xfId="87" xr:uid="{00000000-0005-0000-0000-0000AF080000}"/>
    <cellStyle name="Normal 6 3 2" xfId="88" xr:uid="{00000000-0005-0000-0000-0000B0080000}"/>
    <cellStyle name="Normal 6 4" xfId="89" xr:uid="{00000000-0005-0000-0000-0000B1080000}"/>
    <cellStyle name="Normal 7" xfId="90" xr:uid="{00000000-0005-0000-0000-0000B2080000}"/>
    <cellStyle name="Normal 7 10" xfId="2277" xr:uid="{00000000-0005-0000-0000-0000B3080000}"/>
    <cellStyle name="Normal 7 11" xfId="2278" xr:uid="{00000000-0005-0000-0000-0000B4080000}"/>
    <cellStyle name="Normal 7 12" xfId="2279" xr:uid="{00000000-0005-0000-0000-0000B5080000}"/>
    <cellStyle name="Normal 7 13" xfId="2280" xr:uid="{00000000-0005-0000-0000-0000B6080000}"/>
    <cellStyle name="Normal 7 14" xfId="2281" xr:uid="{00000000-0005-0000-0000-0000B7080000}"/>
    <cellStyle name="Normal 7 15" xfId="2282" xr:uid="{00000000-0005-0000-0000-0000B8080000}"/>
    <cellStyle name="Normal 7 16" xfId="2283" xr:uid="{00000000-0005-0000-0000-0000B9080000}"/>
    <cellStyle name="Normal 7 17" xfId="2284" xr:uid="{00000000-0005-0000-0000-0000BA080000}"/>
    <cellStyle name="Normal 7 18" xfId="2285" xr:uid="{00000000-0005-0000-0000-0000BB080000}"/>
    <cellStyle name="Normal 7 19" xfId="2286" xr:uid="{00000000-0005-0000-0000-0000BC080000}"/>
    <cellStyle name="Normal 7 2" xfId="91" xr:uid="{00000000-0005-0000-0000-0000BD080000}"/>
    <cellStyle name="Normal 7 2 10" xfId="2287" xr:uid="{00000000-0005-0000-0000-0000BE080000}"/>
    <cellStyle name="Normal 7 2 11" xfId="2288" xr:uid="{00000000-0005-0000-0000-0000BF080000}"/>
    <cellStyle name="Normal 7 2 12" xfId="2289" xr:uid="{00000000-0005-0000-0000-0000C0080000}"/>
    <cellStyle name="Normal 7 2 13" xfId="2290" xr:uid="{00000000-0005-0000-0000-0000C1080000}"/>
    <cellStyle name="Normal 7 2 14" xfId="2291" xr:uid="{00000000-0005-0000-0000-0000C2080000}"/>
    <cellStyle name="Normal 7 2 15" xfId="2292" xr:uid="{00000000-0005-0000-0000-0000C3080000}"/>
    <cellStyle name="Normal 7 2 16" xfId="2293" xr:uid="{00000000-0005-0000-0000-0000C4080000}"/>
    <cellStyle name="Normal 7 2 17" xfId="2294" xr:uid="{00000000-0005-0000-0000-0000C5080000}"/>
    <cellStyle name="Normal 7 2 18" xfId="2295" xr:uid="{00000000-0005-0000-0000-0000C6080000}"/>
    <cellStyle name="Normal 7 2 19" xfId="2296" xr:uid="{00000000-0005-0000-0000-0000C7080000}"/>
    <cellStyle name="Normal 7 2 2" xfId="2297" xr:uid="{00000000-0005-0000-0000-0000C8080000}"/>
    <cellStyle name="Normal 7 2 20" xfId="2298" xr:uid="{00000000-0005-0000-0000-0000C9080000}"/>
    <cellStyle name="Normal 7 2 21" xfId="2299" xr:uid="{00000000-0005-0000-0000-0000CA080000}"/>
    <cellStyle name="Normal 7 2 22" xfId="2300" xr:uid="{00000000-0005-0000-0000-0000CB080000}"/>
    <cellStyle name="Normal 7 2 23" xfId="2301" xr:uid="{00000000-0005-0000-0000-0000CC080000}"/>
    <cellStyle name="Normal 7 2 3" xfId="2302" xr:uid="{00000000-0005-0000-0000-0000CD080000}"/>
    <cellStyle name="Normal 7 2 4" xfId="2303" xr:uid="{00000000-0005-0000-0000-0000CE080000}"/>
    <cellStyle name="Normal 7 2 5" xfId="2304" xr:uid="{00000000-0005-0000-0000-0000CF080000}"/>
    <cellStyle name="Normal 7 2 6" xfId="2305" xr:uid="{00000000-0005-0000-0000-0000D0080000}"/>
    <cellStyle name="Normal 7 2 7" xfId="2306" xr:uid="{00000000-0005-0000-0000-0000D1080000}"/>
    <cellStyle name="Normal 7 2 8" xfId="2307" xr:uid="{00000000-0005-0000-0000-0000D2080000}"/>
    <cellStyle name="Normal 7 2 9" xfId="2308" xr:uid="{00000000-0005-0000-0000-0000D3080000}"/>
    <cellStyle name="Normal 7 20" xfId="2309" xr:uid="{00000000-0005-0000-0000-0000D4080000}"/>
    <cellStyle name="Normal 7 21" xfId="2310" xr:uid="{00000000-0005-0000-0000-0000D5080000}"/>
    <cellStyle name="Normal 7 22" xfId="2311" xr:uid="{00000000-0005-0000-0000-0000D6080000}"/>
    <cellStyle name="Normal 7 23" xfId="2312" xr:uid="{00000000-0005-0000-0000-0000D7080000}"/>
    <cellStyle name="Normal 7 24" xfId="2313" xr:uid="{00000000-0005-0000-0000-0000D8080000}"/>
    <cellStyle name="Normal 7 3" xfId="2314" xr:uid="{00000000-0005-0000-0000-0000D9080000}"/>
    <cellStyle name="Normal 7 4" xfId="2315" xr:uid="{00000000-0005-0000-0000-0000DA080000}"/>
    <cellStyle name="Normal 7 5" xfId="2316" xr:uid="{00000000-0005-0000-0000-0000DB080000}"/>
    <cellStyle name="Normal 7 6" xfId="2317" xr:uid="{00000000-0005-0000-0000-0000DC080000}"/>
    <cellStyle name="Normal 7 7" xfId="2318" xr:uid="{00000000-0005-0000-0000-0000DD080000}"/>
    <cellStyle name="Normal 7 8" xfId="2319" xr:uid="{00000000-0005-0000-0000-0000DE080000}"/>
    <cellStyle name="Normal 7 9" xfId="2320" xr:uid="{00000000-0005-0000-0000-0000DF080000}"/>
    <cellStyle name="Normal 8" xfId="92" xr:uid="{00000000-0005-0000-0000-0000E0080000}"/>
    <cellStyle name="Normal 8 2" xfId="93" xr:uid="{00000000-0005-0000-0000-0000E1080000}"/>
    <cellStyle name="Normal 8 2 2" xfId="94" xr:uid="{00000000-0005-0000-0000-0000E2080000}"/>
    <cellStyle name="Normal 8 3" xfId="95" xr:uid="{00000000-0005-0000-0000-0000E3080000}"/>
    <cellStyle name="Normal 9" xfId="96" xr:uid="{00000000-0005-0000-0000-0000E4080000}"/>
    <cellStyle name="Normal 9 2" xfId="97" xr:uid="{00000000-0005-0000-0000-0000E5080000}"/>
    <cellStyle name="Normal 9 3" xfId="2321" xr:uid="{00000000-0005-0000-0000-0000E6080000}"/>
    <cellStyle name="Normal_lighttableapril1601 2" xfId="5" xr:uid="{00000000-0005-0000-0000-0000E7080000}"/>
    <cellStyle name="Normal_lighttableapril1601 2 2" xfId="7" xr:uid="{00000000-0005-0000-0000-0000E8080000}"/>
    <cellStyle name="Normal_lighttableapril1601 2 3" xfId="6" xr:uid="{00000000-0005-0000-0000-0000E9080000}"/>
    <cellStyle name="Normal_lighttableapril1601 4" xfId="8" xr:uid="{00000000-0005-0000-0000-0000EA080000}"/>
    <cellStyle name="Note 2" xfId="2322" xr:uid="{00000000-0005-0000-0000-0000EB080000}"/>
    <cellStyle name="Note 2 2" xfId="2323" xr:uid="{00000000-0005-0000-0000-0000EC080000}"/>
    <cellStyle name="Note 3" xfId="2324" xr:uid="{00000000-0005-0000-0000-0000ED080000}"/>
    <cellStyle name="NumColmHd" xfId="2325" xr:uid="{00000000-0005-0000-0000-0000EE080000}"/>
    <cellStyle name="Output 2" xfId="2326" xr:uid="{00000000-0005-0000-0000-0000EF080000}"/>
    <cellStyle name="Percent" xfId="1" builtinId="5"/>
    <cellStyle name="Percent [0]" xfId="2327" xr:uid="{00000000-0005-0000-0000-0000F1080000}"/>
    <cellStyle name="Percent [00]" xfId="2328" xr:uid="{00000000-0005-0000-0000-0000F2080000}"/>
    <cellStyle name="Percent [2]" xfId="2329" xr:uid="{00000000-0005-0000-0000-0000F3080000}"/>
    <cellStyle name="Percent 10" xfId="98" xr:uid="{00000000-0005-0000-0000-0000F4080000}"/>
    <cellStyle name="Percent 10 2" xfId="99" xr:uid="{00000000-0005-0000-0000-0000F5080000}"/>
    <cellStyle name="Percent 10 2 2" xfId="2330" xr:uid="{00000000-0005-0000-0000-0000F6080000}"/>
    <cellStyle name="Percent 10 3" xfId="2331" xr:uid="{00000000-0005-0000-0000-0000F7080000}"/>
    <cellStyle name="Percent 11" xfId="100" xr:uid="{00000000-0005-0000-0000-0000F8080000}"/>
    <cellStyle name="Percent 11 2" xfId="101" xr:uid="{00000000-0005-0000-0000-0000F9080000}"/>
    <cellStyle name="Percent 12" xfId="102" xr:uid="{00000000-0005-0000-0000-0000FA080000}"/>
    <cellStyle name="Percent 12 2" xfId="2332" xr:uid="{00000000-0005-0000-0000-0000FB080000}"/>
    <cellStyle name="Percent 13" xfId="138" xr:uid="{00000000-0005-0000-0000-0000FC080000}"/>
    <cellStyle name="Percent 14" xfId="2333" xr:uid="{00000000-0005-0000-0000-0000FD080000}"/>
    <cellStyle name="Percent 15" xfId="2334" xr:uid="{00000000-0005-0000-0000-0000FE080000}"/>
    <cellStyle name="Percent 15 2" xfId="2335" xr:uid="{00000000-0005-0000-0000-0000FF080000}"/>
    <cellStyle name="Percent 16" xfId="2336" xr:uid="{00000000-0005-0000-0000-000000090000}"/>
    <cellStyle name="Percent 16 2" xfId="2337" xr:uid="{00000000-0005-0000-0000-000001090000}"/>
    <cellStyle name="Percent 17" xfId="2338" xr:uid="{00000000-0005-0000-0000-000002090000}"/>
    <cellStyle name="Percent 17 2" xfId="2339" xr:uid="{00000000-0005-0000-0000-000003090000}"/>
    <cellStyle name="Percent 18" xfId="2340" xr:uid="{00000000-0005-0000-0000-000004090000}"/>
    <cellStyle name="Percent 19" xfId="2341" xr:uid="{00000000-0005-0000-0000-000005090000}"/>
    <cellStyle name="Percent 19 2" xfId="2342" xr:uid="{00000000-0005-0000-0000-000006090000}"/>
    <cellStyle name="Percent 2" xfId="103" xr:uid="{00000000-0005-0000-0000-000007090000}"/>
    <cellStyle name="Percent 2 2" xfId="104" xr:uid="{00000000-0005-0000-0000-000008090000}"/>
    <cellStyle name="Percent 2 2 10" xfId="2343" xr:uid="{00000000-0005-0000-0000-000009090000}"/>
    <cellStyle name="Percent 2 2 10 2" xfId="2344" xr:uid="{00000000-0005-0000-0000-00000A090000}"/>
    <cellStyle name="Percent 2 2 11" xfId="2345" xr:uid="{00000000-0005-0000-0000-00000B090000}"/>
    <cellStyle name="Percent 2 2 12" xfId="2346" xr:uid="{00000000-0005-0000-0000-00000C090000}"/>
    <cellStyle name="Percent 2 2 13" xfId="2347" xr:uid="{00000000-0005-0000-0000-00000D090000}"/>
    <cellStyle name="Percent 2 2 2" xfId="2348" xr:uid="{00000000-0005-0000-0000-00000E090000}"/>
    <cellStyle name="Percent 2 2 2 2" xfId="2349" xr:uid="{00000000-0005-0000-0000-00000F090000}"/>
    <cellStyle name="Percent 2 2 2 3" xfId="2350" xr:uid="{00000000-0005-0000-0000-000010090000}"/>
    <cellStyle name="Percent 2 2 2 4" xfId="2351" xr:uid="{00000000-0005-0000-0000-000011090000}"/>
    <cellStyle name="Percent 2 2 3" xfId="2352" xr:uid="{00000000-0005-0000-0000-000012090000}"/>
    <cellStyle name="Percent 2 2 4" xfId="2353" xr:uid="{00000000-0005-0000-0000-000013090000}"/>
    <cellStyle name="Percent 2 2 5" xfId="2354" xr:uid="{00000000-0005-0000-0000-000014090000}"/>
    <cellStyle name="Percent 2 2 6" xfId="2355" xr:uid="{00000000-0005-0000-0000-000015090000}"/>
    <cellStyle name="Percent 2 2 6 2" xfId="2356" xr:uid="{00000000-0005-0000-0000-000016090000}"/>
    <cellStyle name="Percent 2 2 7" xfId="2357" xr:uid="{00000000-0005-0000-0000-000017090000}"/>
    <cellStyle name="Percent 2 2 7 2" xfId="2358" xr:uid="{00000000-0005-0000-0000-000018090000}"/>
    <cellStyle name="Percent 2 2 8" xfId="2359" xr:uid="{00000000-0005-0000-0000-000019090000}"/>
    <cellStyle name="Percent 2 2 8 2" xfId="2360" xr:uid="{00000000-0005-0000-0000-00001A090000}"/>
    <cellStyle name="Percent 2 2 9" xfId="2361" xr:uid="{00000000-0005-0000-0000-00001B090000}"/>
    <cellStyle name="Percent 2 2 9 2" xfId="2362" xr:uid="{00000000-0005-0000-0000-00001C090000}"/>
    <cellStyle name="Percent 2 3" xfId="105" xr:uid="{00000000-0005-0000-0000-00001D090000}"/>
    <cellStyle name="Percent 2 3 2" xfId="2363" xr:uid="{00000000-0005-0000-0000-00001E090000}"/>
    <cellStyle name="Percent 2 3 3" xfId="2364" xr:uid="{00000000-0005-0000-0000-00001F090000}"/>
    <cellStyle name="Percent 2 3 4" xfId="2365" xr:uid="{00000000-0005-0000-0000-000020090000}"/>
    <cellStyle name="Percent 2 3 5" xfId="2366" xr:uid="{00000000-0005-0000-0000-000021090000}"/>
    <cellStyle name="Percent 2 4" xfId="106" xr:uid="{00000000-0005-0000-0000-000022090000}"/>
    <cellStyle name="Percent 2 4 2" xfId="2367" xr:uid="{00000000-0005-0000-0000-000023090000}"/>
    <cellStyle name="Percent 2 5" xfId="2368" xr:uid="{00000000-0005-0000-0000-000024090000}"/>
    <cellStyle name="Percent 2 6" xfId="2369" xr:uid="{00000000-0005-0000-0000-000025090000}"/>
    <cellStyle name="Percent 2 6 2" xfId="2370" xr:uid="{00000000-0005-0000-0000-000026090000}"/>
    <cellStyle name="Percent 2 6 3" xfId="2371" xr:uid="{00000000-0005-0000-0000-000027090000}"/>
    <cellStyle name="Percent 2 6 4" xfId="2372" xr:uid="{00000000-0005-0000-0000-000028090000}"/>
    <cellStyle name="Percent 2 7" xfId="2373" xr:uid="{00000000-0005-0000-0000-000029090000}"/>
    <cellStyle name="Percent 2 8" xfId="2374" xr:uid="{00000000-0005-0000-0000-00002A090000}"/>
    <cellStyle name="Percent 20" xfId="2375" xr:uid="{00000000-0005-0000-0000-00002B090000}"/>
    <cellStyle name="Percent 21" xfId="2376" xr:uid="{00000000-0005-0000-0000-00002C090000}"/>
    <cellStyle name="Percent 22" xfId="2377" xr:uid="{00000000-0005-0000-0000-00002D090000}"/>
    <cellStyle name="Percent 3" xfId="107" xr:uid="{00000000-0005-0000-0000-00002E090000}"/>
    <cellStyle name="Percent 3 2" xfId="108" xr:uid="{00000000-0005-0000-0000-00002F090000}"/>
    <cellStyle name="Percent 3 2 2" xfId="109" xr:uid="{00000000-0005-0000-0000-000030090000}"/>
    <cellStyle name="Percent 3 2 2 2" xfId="110" xr:uid="{00000000-0005-0000-0000-000031090000}"/>
    <cellStyle name="Percent 3 2 3" xfId="111" xr:uid="{00000000-0005-0000-0000-000032090000}"/>
    <cellStyle name="Percent 3 3" xfId="112" xr:uid="{00000000-0005-0000-0000-000033090000}"/>
    <cellStyle name="Percent 3 3 2" xfId="113" xr:uid="{00000000-0005-0000-0000-000034090000}"/>
    <cellStyle name="Percent 3 4" xfId="114" xr:uid="{00000000-0005-0000-0000-000035090000}"/>
    <cellStyle name="Percent 3 5" xfId="2378" xr:uid="{00000000-0005-0000-0000-000036090000}"/>
    <cellStyle name="Percent 3 6" xfId="2379" xr:uid="{00000000-0005-0000-0000-000037090000}"/>
    <cellStyle name="Percent 3 7" xfId="2380" xr:uid="{00000000-0005-0000-0000-000038090000}"/>
    <cellStyle name="Percent 3 8" xfId="2381" xr:uid="{00000000-0005-0000-0000-000039090000}"/>
    <cellStyle name="Percent 3 9" xfId="2382" xr:uid="{00000000-0005-0000-0000-00003A090000}"/>
    <cellStyle name="Percent 4" xfId="115" xr:uid="{00000000-0005-0000-0000-00003B090000}"/>
    <cellStyle name="Percent 4 2" xfId="116" xr:uid="{00000000-0005-0000-0000-00003C090000}"/>
    <cellStyle name="Percent 4 2 2" xfId="117" xr:uid="{00000000-0005-0000-0000-00003D090000}"/>
    <cellStyle name="Percent 4 3" xfId="118" xr:uid="{00000000-0005-0000-0000-00003E090000}"/>
    <cellStyle name="Percent 4 4" xfId="119" xr:uid="{00000000-0005-0000-0000-00003F090000}"/>
    <cellStyle name="Percent 4 5" xfId="2383" xr:uid="{00000000-0005-0000-0000-000040090000}"/>
    <cellStyle name="Percent 5" xfId="120" xr:uid="{00000000-0005-0000-0000-000041090000}"/>
    <cellStyle name="Percent 5 2" xfId="121" xr:uid="{00000000-0005-0000-0000-000042090000}"/>
    <cellStyle name="Percent 5 2 2" xfId="122" xr:uid="{00000000-0005-0000-0000-000043090000}"/>
    <cellStyle name="Percent 5 2 2 2" xfId="123" xr:uid="{00000000-0005-0000-0000-000044090000}"/>
    <cellStyle name="Percent 5 2 3" xfId="124" xr:uid="{00000000-0005-0000-0000-000045090000}"/>
    <cellStyle name="Percent 5 3" xfId="125" xr:uid="{00000000-0005-0000-0000-000046090000}"/>
    <cellStyle name="Percent 5 3 2" xfId="126" xr:uid="{00000000-0005-0000-0000-000047090000}"/>
    <cellStyle name="Percent 5 4" xfId="127" xr:uid="{00000000-0005-0000-0000-000048090000}"/>
    <cellStyle name="Percent 6" xfId="128" xr:uid="{00000000-0005-0000-0000-000049090000}"/>
    <cellStyle name="Percent 6 2" xfId="129" xr:uid="{00000000-0005-0000-0000-00004A090000}"/>
    <cellStyle name="Percent 6 2 2" xfId="130" xr:uid="{00000000-0005-0000-0000-00004B090000}"/>
    <cellStyle name="Percent 6 3" xfId="131" xr:uid="{00000000-0005-0000-0000-00004C090000}"/>
    <cellStyle name="Percent 7" xfId="132" xr:uid="{00000000-0005-0000-0000-00004D090000}"/>
    <cellStyle name="Percent 7 2" xfId="133" xr:uid="{00000000-0005-0000-0000-00004E090000}"/>
    <cellStyle name="Percent 8" xfId="134" xr:uid="{00000000-0005-0000-0000-00004F090000}"/>
    <cellStyle name="Percent 8 2" xfId="2384" xr:uid="{00000000-0005-0000-0000-000050090000}"/>
    <cellStyle name="Percent 9" xfId="135" xr:uid="{00000000-0005-0000-0000-000051090000}"/>
    <cellStyle name="Percent 9 2" xfId="2385" xr:uid="{00000000-0005-0000-0000-000052090000}"/>
    <cellStyle name="Percent 9 3" xfId="2386" xr:uid="{00000000-0005-0000-0000-000053090000}"/>
    <cellStyle name="PrePop Currency (0)" xfId="2387" xr:uid="{00000000-0005-0000-0000-000054090000}"/>
    <cellStyle name="PrePop Currency (2)" xfId="2388" xr:uid="{00000000-0005-0000-0000-000055090000}"/>
    <cellStyle name="PrePop Units (0)" xfId="2389" xr:uid="{00000000-0005-0000-0000-000056090000}"/>
    <cellStyle name="PrePop Units (1)" xfId="2390" xr:uid="{00000000-0005-0000-0000-000057090000}"/>
    <cellStyle name="PrePop Units (2)" xfId="2391" xr:uid="{00000000-0005-0000-0000-000058090000}"/>
    <cellStyle name="RowLabel" xfId="2392" xr:uid="{00000000-0005-0000-0000-000059090000}"/>
    <cellStyle name="Text Indent A" xfId="2393" xr:uid="{00000000-0005-0000-0000-00005A090000}"/>
    <cellStyle name="Text Indent B" xfId="2394" xr:uid="{00000000-0005-0000-0000-00005B090000}"/>
    <cellStyle name="Text Indent C" xfId="2395" xr:uid="{00000000-0005-0000-0000-00005C090000}"/>
    <cellStyle name="Title 2" xfId="2396" xr:uid="{00000000-0005-0000-0000-00005D090000}"/>
    <cellStyle name="Total 2" xfId="2397" xr:uid="{00000000-0005-0000-0000-00005E090000}"/>
    <cellStyle name="Unprot" xfId="2398" xr:uid="{00000000-0005-0000-0000-00005F090000}"/>
    <cellStyle name="Unprot 2" xfId="2399" xr:uid="{00000000-0005-0000-0000-000060090000}"/>
    <cellStyle name="Unprot$" xfId="2400" xr:uid="{00000000-0005-0000-0000-000061090000}"/>
    <cellStyle name="Unprotect" xfId="2401" xr:uid="{00000000-0005-0000-0000-000062090000}"/>
    <cellStyle name="Warning Text 2" xfId="2402" xr:uid="{00000000-0005-0000-0000-000063090000}"/>
  </cellStyles>
  <dxfs count="91">
    <dxf>
      <fill>
        <patternFill>
          <bgColor theme="9" tint="0.59996337778862885"/>
        </patternFill>
      </fill>
    </dxf>
    <dxf>
      <fill>
        <patternFill>
          <bgColor theme="3" tint="0.79998168889431442"/>
        </patternFill>
      </fill>
    </dxf>
    <dxf>
      <fill>
        <patternFill>
          <bgColor theme="8" tint="0.79998168889431442"/>
        </patternFill>
      </fill>
    </dxf>
    <dxf>
      <fill>
        <patternFill>
          <bgColor theme="8" tint="0.79998168889431442"/>
        </patternFill>
      </fill>
    </dxf>
    <dxf>
      <font>
        <b/>
        <i val="0"/>
        <color rgb="FFFF0000"/>
      </font>
    </dxf>
    <dxf>
      <fill>
        <patternFill>
          <bgColor theme="9" tint="0.59996337778862885"/>
        </patternFill>
      </fill>
    </dxf>
    <dxf>
      <font>
        <color theme="0" tint="-0.24994659260841701"/>
      </font>
      <fill>
        <patternFill patternType="darkUp">
          <bgColor theme="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ont>
        <color theme="0" tint="-0.14996795556505021"/>
      </font>
      <fill>
        <patternFill patternType="darkUp">
          <bgColor theme="0"/>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00"/>
        </patternFill>
      </fill>
    </dxf>
    <dxf>
      <font>
        <color theme="1"/>
      </font>
      <fill>
        <patternFill patternType="darkUp"/>
      </fill>
    </dxf>
    <dxf>
      <fill>
        <patternFill>
          <bgColor rgb="FFFF0000"/>
        </patternFill>
      </fill>
      <border>
        <left/>
        <right/>
        <top style="thin">
          <color rgb="FF808080"/>
        </top>
        <bottom style="thin">
          <color rgb="FF808080"/>
        </bottom>
      </border>
    </dxf>
    <dxf>
      <fill>
        <patternFill>
          <bgColor theme="0" tint="-4.9989318521683403E-2"/>
        </patternFill>
      </fill>
      <border>
        <left/>
        <right/>
        <top/>
        <bottom/>
        <vertical/>
        <horizontal/>
      </border>
    </dxf>
    <dxf>
      <font>
        <b/>
        <i val="0"/>
        <color rgb="FFFF0000"/>
      </font>
    </dxf>
    <dxf>
      <font>
        <b/>
        <i val="0"/>
        <color rgb="FFFF0000"/>
      </font>
    </dxf>
    <dxf>
      <font>
        <b/>
        <i val="0"/>
        <color rgb="FFFF0000"/>
      </font>
    </dxf>
    <dxf>
      <fill>
        <patternFill>
          <bgColor rgb="FFFF0000"/>
        </patternFill>
      </fill>
      <border>
        <bottom style="thin">
          <color rgb="FF808080"/>
        </bottom>
      </border>
    </dxf>
    <dxf>
      <fill>
        <patternFill>
          <bgColor theme="0" tint="-4.9989318521683403E-2"/>
        </patternFill>
      </fill>
      <border>
        <left/>
        <right/>
        <top style="thin">
          <color theme="0" tint="-0.499984740745262"/>
        </top>
        <bottom/>
        <vertical/>
        <horizontal/>
      </border>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theme="4"/>
      </font>
    </dxf>
    <dxf>
      <font>
        <b/>
        <i val="0"/>
        <color theme="4"/>
      </font>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b/>
        <i val="0"/>
        <color theme="0"/>
      </font>
      <fill>
        <patternFill>
          <bgColor theme="4"/>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border>
    </dxf>
    <dxf>
      <font>
        <color auto="1"/>
      </font>
    </dxf>
    <dxf>
      <border>
        <left style="thin">
          <color auto="1"/>
        </left>
        <vertical/>
        <horizontal/>
      </border>
    </dxf>
    <dxf>
      <border>
        <left style="thin">
          <color auto="1"/>
        </left>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s>
  <tableStyles count="0" defaultTableStyle="TableStyleMedium2" defaultPivotStyle="PivotStyleLight16"/>
  <colors>
    <mruColors>
      <color rgb="FF00539F"/>
      <color rgb="FFFFF8CA"/>
      <color rgb="FF6A6A6A"/>
      <color rgb="FFBCBCBC"/>
      <color rgb="FF0070CD"/>
      <color rgb="FF353535"/>
      <color rgb="FFD6ECF2"/>
      <color rgb="FFF7F4F2"/>
      <color rgb="FF00A3E6"/>
      <color rgb="FF77BC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70CD"/>
                </a:solidFill>
                <a:latin typeface="+mj-lt"/>
                <a:ea typeface="Calibri"/>
                <a:cs typeface="Calibri"/>
              </a:defRPr>
            </a:pPr>
            <a:r>
              <a:rPr lang="en-US">
                <a:solidFill>
                  <a:srgbClr val="0070CD"/>
                </a:solidFill>
                <a:latin typeface="+mj-lt"/>
              </a:rPr>
              <a:t>Lighting System Costs</a:t>
            </a:r>
          </a:p>
        </c:rich>
      </c:tx>
      <c:layout>
        <c:manualLayout>
          <c:xMode val="edge"/>
          <c:yMode val="edge"/>
          <c:x val="0.36683978062064304"/>
          <c:y val="3.0550967279802856E-2"/>
        </c:manualLayout>
      </c:layout>
      <c:overlay val="0"/>
      <c:spPr>
        <a:noFill/>
        <a:ln w="25400">
          <a:noFill/>
        </a:ln>
      </c:spPr>
    </c:title>
    <c:autoTitleDeleted val="0"/>
    <c:plotArea>
      <c:layout>
        <c:manualLayout>
          <c:layoutTarget val="inner"/>
          <c:xMode val="edge"/>
          <c:yMode val="edge"/>
          <c:x val="0.19255673709525722"/>
          <c:y val="0.36314256093309399"/>
          <c:w val="0.78089654041568635"/>
          <c:h val="0.5315858715456967"/>
        </c:manualLayout>
      </c:layout>
      <c:barChart>
        <c:barDir val="bar"/>
        <c:grouping val="stacked"/>
        <c:varyColors val="0"/>
        <c:ser>
          <c:idx val="0"/>
          <c:order val="0"/>
          <c:spPr>
            <a:solidFill>
              <a:srgbClr val="0070CD"/>
            </a:solidFill>
            <a:ln w="25400">
              <a:noFill/>
            </a:ln>
          </c:spPr>
          <c:invertIfNegative val="0"/>
          <c:dPt>
            <c:idx val="0"/>
            <c:invertIfNegative val="0"/>
            <c:bubble3D val="0"/>
            <c:extLst>
              <c:ext xmlns:c16="http://schemas.microsoft.com/office/drawing/2014/chart" uri="{C3380CC4-5D6E-409C-BE32-E72D297353CC}">
                <c16:uniqueId val="{00000000-E8E8-4DBE-A3EB-CD715A009656}"/>
              </c:ext>
            </c:extLst>
          </c:dPt>
          <c:dPt>
            <c:idx val="1"/>
            <c:invertIfNegative val="0"/>
            <c:bubble3D val="0"/>
            <c:extLst>
              <c:ext xmlns:c16="http://schemas.microsoft.com/office/drawing/2014/chart" uri="{C3380CC4-5D6E-409C-BE32-E72D297353CC}">
                <c16:uniqueId val="{00000001-E8E8-4DBE-A3EB-CD715A009656}"/>
              </c:ext>
            </c:extLst>
          </c:dPt>
          <c:dLbls>
            <c:spPr>
              <a:noFill/>
              <a:ln w="25400">
                <a:noFill/>
              </a:ln>
            </c:spPr>
            <c:txPr>
              <a:bodyPr/>
              <a:lstStyle/>
              <a:p>
                <a:pPr>
                  <a:defRPr sz="1400" b="1" i="0" u="none" strike="noStrike" baseline="0">
                    <a:solidFill>
                      <a:schemeClr val="bg1"/>
                    </a:solidFill>
                    <a:latin typeface="+mj-lt"/>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Report!$K$43:$L$45</c:f>
              <c:strCache>
                <c:ptCount val="3"/>
                <c:pt idx="0">
                  <c:v>ANNUAL COST
OF WAITING!</c:v>
                </c:pt>
                <c:pt idx="1">
                  <c:v>Annual Cost
After Retrofit</c:v>
                </c:pt>
                <c:pt idx="2">
                  <c:v>Annual Cost
Before Retrofit</c:v>
                </c:pt>
              </c:strCache>
            </c:strRef>
          </c:cat>
          <c:val>
            <c:numRef>
              <c:f>Report!$M$43:$M$45</c:f>
              <c:numCache>
                <c:formatCode>\$#,##0</c:formatCode>
                <c:ptCount val="3"/>
                <c:pt idx="0">
                  <c:v>0</c:v>
                </c:pt>
                <c:pt idx="1">
                  <c:v>0</c:v>
                </c:pt>
                <c:pt idx="2">
                  <c:v>0</c:v>
                </c:pt>
              </c:numCache>
            </c:numRef>
          </c:val>
          <c:extLst>
            <c:ext xmlns:c16="http://schemas.microsoft.com/office/drawing/2014/chart" uri="{C3380CC4-5D6E-409C-BE32-E72D297353CC}">
              <c16:uniqueId val="{00000002-E8E8-4DBE-A3EB-CD715A009656}"/>
            </c:ext>
          </c:extLst>
        </c:ser>
        <c:dLbls>
          <c:showLegendKey val="0"/>
          <c:showVal val="0"/>
          <c:showCatName val="0"/>
          <c:showSerName val="0"/>
          <c:showPercent val="0"/>
          <c:showBubbleSize val="0"/>
        </c:dLbls>
        <c:gapWidth val="25"/>
        <c:overlap val="100"/>
        <c:axId val="306408224"/>
        <c:axId val="306408784"/>
      </c:barChart>
      <c:catAx>
        <c:axId val="306408224"/>
        <c:scaling>
          <c:orientation val="minMax"/>
        </c:scaling>
        <c:delete val="0"/>
        <c:axPos val="l"/>
        <c:numFmt formatCode="#####" sourceLinked="0"/>
        <c:majorTickMark val="out"/>
        <c:minorTickMark val="none"/>
        <c:tickLblPos val="nextTo"/>
        <c:spPr>
          <a:ln w="12700">
            <a:solidFill>
              <a:srgbClr val="878787"/>
            </a:solidFill>
            <a:prstDash val="solid"/>
          </a:ln>
        </c:spPr>
        <c:txPr>
          <a:bodyPr rot="0" vert="horz"/>
          <a:lstStyle/>
          <a:p>
            <a:pPr>
              <a:defRPr sz="1400" b="1" i="0" u="none" strike="noStrike" baseline="0">
                <a:solidFill>
                  <a:srgbClr val="0070CD"/>
                </a:solidFill>
                <a:latin typeface="Calibri"/>
                <a:ea typeface="Calibri"/>
                <a:cs typeface="Calibri"/>
              </a:defRPr>
            </a:pPr>
            <a:endParaRPr lang="en-US"/>
          </a:p>
        </c:txPr>
        <c:crossAx val="306408784"/>
        <c:crossesAt val="0"/>
        <c:auto val="1"/>
        <c:lblAlgn val="ctr"/>
        <c:lblOffset val="100"/>
        <c:tickLblSkip val="1"/>
        <c:tickMarkSkip val="1"/>
        <c:noMultiLvlLbl val="0"/>
      </c:catAx>
      <c:valAx>
        <c:axId val="306408784"/>
        <c:scaling>
          <c:orientation val="minMax"/>
        </c:scaling>
        <c:delete val="0"/>
        <c:axPos val="b"/>
        <c:majorGridlines>
          <c:spPr>
            <a:ln w="12700">
              <a:solidFill>
                <a:srgbClr val="878787"/>
              </a:solidFill>
              <a:prstDash val="solid"/>
            </a:ln>
          </c:spPr>
        </c:majorGridlines>
        <c:numFmt formatCode="\$#,##0" sourceLinked="1"/>
        <c:majorTickMark val="out"/>
        <c:minorTickMark val="none"/>
        <c:tickLblPos val="nextTo"/>
        <c:spPr>
          <a:ln w="12700">
            <a:solidFill>
              <a:srgbClr val="878787"/>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306408224"/>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1180555555555562" footer="0.51180555555555562"/>
    <c:pageSetup firstPageNumber="0"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70CD"/>
                </a:solidFill>
                <a:latin typeface="+mj-lt"/>
                <a:ea typeface="Calibri"/>
                <a:cs typeface="Calibri"/>
              </a:defRPr>
            </a:pPr>
            <a:r>
              <a:rPr lang="en-US">
                <a:solidFill>
                  <a:srgbClr val="0070CD"/>
                </a:solidFill>
                <a:latin typeface="+mj-lt"/>
              </a:rPr>
              <a:t>15 Year Cash Flow</a:t>
            </a:r>
          </a:p>
        </c:rich>
      </c:tx>
      <c:layout>
        <c:manualLayout>
          <c:xMode val="edge"/>
          <c:yMode val="edge"/>
          <c:x val="0.38789075001988416"/>
          <c:y val="3.0304090776531737E-2"/>
        </c:manualLayout>
      </c:layout>
      <c:overlay val="0"/>
      <c:spPr>
        <a:noFill/>
        <a:ln w="25400">
          <a:noFill/>
        </a:ln>
      </c:spPr>
    </c:title>
    <c:autoTitleDeleted val="0"/>
    <c:plotArea>
      <c:layout>
        <c:manualLayout>
          <c:layoutTarget val="inner"/>
          <c:xMode val="edge"/>
          <c:yMode val="edge"/>
          <c:x val="6.5307722184951095E-2"/>
          <c:y val="0.3771164665022933"/>
          <c:w val="0.9309376500956027"/>
          <c:h val="0.51314776406874629"/>
        </c:manualLayout>
      </c:layout>
      <c:barChart>
        <c:barDir val="col"/>
        <c:grouping val="clustered"/>
        <c:varyColors val="0"/>
        <c:ser>
          <c:idx val="0"/>
          <c:order val="0"/>
          <c:spPr>
            <a:solidFill>
              <a:srgbClr val="0070CD"/>
            </a:solidFill>
            <a:ln w="25400">
              <a:noFill/>
            </a:ln>
          </c:spPr>
          <c:invertIfNegative val="0"/>
          <c:dPt>
            <c:idx val="0"/>
            <c:invertIfNegative val="0"/>
            <c:bubble3D val="0"/>
            <c:extLst>
              <c:ext xmlns:c16="http://schemas.microsoft.com/office/drawing/2014/chart" uri="{C3380CC4-5D6E-409C-BE32-E72D297353CC}">
                <c16:uniqueId val="{00000000-5E2A-4D60-911A-AD9A84ED7094}"/>
              </c:ext>
            </c:extLst>
          </c:dPt>
          <c:dPt>
            <c:idx val="1"/>
            <c:invertIfNegative val="0"/>
            <c:bubble3D val="0"/>
            <c:extLst>
              <c:ext xmlns:c16="http://schemas.microsoft.com/office/drawing/2014/chart" uri="{C3380CC4-5D6E-409C-BE32-E72D297353CC}">
                <c16:uniqueId val="{00000001-5E2A-4D60-911A-AD9A84ED7094}"/>
              </c:ext>
            </c:extLst>
          </c:dPt>
          <c:dPt>
            <c:idx val="3"/>
            <c:invertIfNegative val="0"/>
            <c:bubble3D val="0"/>
            <c:extLst>
              <c:ext xmlns:c16="http://schemas.microsoft.com/office/drawing/2014/chart" uri="{C3380CC4-5D6E-409C-BE32-E72D297353CC}">
                <c16:uniqueId val="{00000002-5E2A-4D60-911A-AD9A84ED7094}"/>
              </c:ext>
            </c:extLst>
          </c:dPt>
          <c:dLbls>
            <c:spPr>
              <a:noFill/>
              <a:ln w="25400">
                <a:noFill/>
              </a:ln>
            </c:spPr>
            <c:txPr>
              <a:bodyPr/>
              <a:lstStyle/>
              <a:p>
                <a:pPr>
                  <a:defRPr sz="1400" b="1" i="0" u="none" strike="noStrike" baseline="0">
                    <a:solidFill>
                      <a:srgbClr val="000000"/>
                    </a:solidFill>
                    <a:latin typeface="+mj-lt"/>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Report!$H$70:$I$73</c:f>
              <c:strCache>
                <c:ptCount val="4"/>
                <c:pt idx="0">
                  <c:v>Year 1</c:v>
                </c:pt>
                <c:pt idx="1">
                  <c:v>Year 5</c:v>
                </c:pt>
                <c:pt idx="2">
                  <c:v>Year 10</c:v>
                </c:pt>
                <c:pt idx="3">
                  <c:v>Year 15</c:v>
                </c:pt>
              </c:strCache>
            </c:strRef>
          </c:cat>
          <c:val>
            <c:numRef>
              <c:f>Report!$K$70:$K$73</c:f>
              <c:numCache>
                <c:formatCode>\$#,##0</c:formatCode>
                <c:ptCount val="4"/>
                <c:pt idx="0">
                  <c:v>0</c:v>
                </c:pt>
                <c:pt idx="1">
                  <c:v>0</c:v>
                </c:pt>
                <c:pt idx="2">
                  <c:v>0</c:v>
                </c:pt>
                <c:pt idx="3">
                  <c:v>0</c:v>
                </c:pt>
              </c:numCache>
            </c:numRef>
          </c:val>
          <c:extLst>
            <c:ext xmlns:c16="http://schemas.microsoft.com/office/drawing/2014/chart" uri="{C3380CC4-5D6E-409C-BE32-E72D297353CC}">
              <c16:uniqueId val="{00000003-5E2A-4D60-911A-AD9A84ED7094}"/>
            </c:ext>
          </c:extLst>
        </c:ser>
        <c:dLbls>
          <c:showLegendKey val="0"/>
          <c:showVal val="0"/>
          <c:showCatName val="0"/>
          <c:showSerName val="0"/>
          <c:showPercent val="0"/>
          <c:showBubbleSize val="0"/>
        </c:dLbls>
        <c:gapWidth val="20"/>
        <c:overlap val="100"/>
        <c:axId val="306411024"/>
        <c:axId val="306411584"/>
      </c:barChart>
      <c:catAx>
        <c:axId val="306411024"/>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a:defRPr sz="1200" b="1" i="0" u="none" strike="noStrike" baseline="0">
                <a:solidFill>
                  <a:srgbClr val="000000"/>
                </a:solidFill>
                <a:latin typeface="+mj-lt"/>
                <a:ea typeface="Calibri"/>
                <a:cs typeface="Calibri"/>
              </a:defRPr>
            </a:pPr>
            <a:endParaRPr lang="en-US"/>
          </a:p>
        </c:txPr>
        <c:crossAx val="306411584"/>
        <c:crossesAt val="0"/>
        <c:auto val="0"/>
        <c:lblAlgn val="ctr"/>
        <c:lblOffset val="100"/>
        <c:tickLblSkip val="1"/>
        <c:tickMarkSkip val="1"/>
        <c:noMultiLvlLbl val="0"/>
      </c:catAx>
      <c:valAx>
        <c:axId val="306411584"/>
        <c:scaling>
          <c:orientation val="minMax"/>
        </c:scaling>
        <c:delete val="0"/>
        <c:axPos val="l"/>
        <c:majorGridlines>
          <c:spPr>
            <a:ln w="12700">
              <a:solidFill>
                <a:srgbClr val="878787"/>
              </a:solidFill>
              <a:prstDash val="solid"/>
            </a:ln>
          </c:spPr>
        </c:majorGridlines>
        <c:numFmt formatCode="\$#,##0" sourceLinked="1"/>
        <c:majorTickMark val="out"/>
        <c:minorTickMark val="none"/>
        <c:tickLblPos val="nextTo"/>
        <c:spPr>
          <a:ln w="12700">
            <a:solidFill>
              <a:srgbClr val="878787"/>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06411024"/>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1180555555555562" footer="0.51180555555555562"/>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90991644807601"/>
          <c:y val="4.4445882638578967E-2"/>
          <c:w val="0.69093028718033001"/>
          <c:h val="0.81272471110544464"/>
        </c:manualLayout>
      </c:layout>
      <c:barChart>
        <c:barDir val="bar"/>
        <c:grouping val="stacked"/>
        <c:varyColors val="0"/>
        <c:ser>
          <c:idx val="0"/>
          <c:order val="0"/>
          <c:spPr>
            <a:solidFill>
              <a:srgbClr val="0070CD"/>
            </a:solidFill>
            <a:ln w="25400">
              <a:noFill/>
            </a:ln>
          </c:spPr>
          <c:invertIfNegative val="0"/>
          <c:dLbls>
            <c:spPr>
              <a:noFill/>
              <a:ln w="25400">
                <a:noFill/>
              </a:ln>
            </c:spPr>
            <c:txPr>
              <a:bodyPr/>
              <a:lstStyle/>
              <a:p>
                <a:pPr>
                  <a:defRPr sz="1400" b="1" i="0" u="none" strike="noStrike" baseline="0">
                    <a:solidFill>
                      <a:schemeClr val="bg1"/>
                    </a:solidFill>
                    <a:latin typeface="+mj-lt"/>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Report!$J$99:$K$103</c:f>
              <c:strCache>
                <c:ptCount val="5"/>
                <c:pt idx="0">
                  <c:v>Acres of Forest               </c:v>
                </c:pt>
                <c:pt idx="1">
                  <c:v>Recyc. Tons of Waste               </c:v>
                </c:pt>
                <c:pt idx="2">
                  <c:v>Passenger Vehicles               </c:v>
                </c:pt>
                <c:pt idx="3">
                  <c:v>Homes Worth of Elec.               </c:v>
                </c:pt>
                <c:pt idx="4">
                  <c:v>Tanker Trucks of Gas               </c:v>
                </c:pt>
              </c:strCache>
            </c:strRef>
          </c:cat>
          <c:val>
            <c:numRef>
              <c:f>Report!$P$99:$P$103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C1FB-4F95-8A6E-E68096B36AF0}"/>
            </c:ext>
          </c:extLst>
        </c:ser>
        <c:dLbls>
          <c:showLegendKey val="0"/>
          <c:showVal val="0"/>
          <c:showCatName val="0"/>
          <c:showSerName val="0"/>
          <c:showPercent val="0"/>
          <c:showBubbleSize val="0"/>
        </c:dLbls>
        <c:gapWidth val="50"/>
        <c:overlap val="100"/>
        <c:axId val="306413824"/>
        <c:axId val="306563824"/>
      </c:barChart>
      <c:catAx>
        <c:axId val="306413824"/>
        <c:scaling>
          <c:orientation val="minMax"/>
        </c:scaling>
        <c:delete val="0"/>
        <c:axPos val="l"/>
        <c:numFmt formatCode="General" sourceLinked="1"/>
        <c:majorTickMark val="out"/>
        <c:minorTickMark val="none"/>
        <c:tickLblPos val="nextTo"/>
        <c:spPr>
          <a:ln w="12700">
            <a:solidFill>
              <a:srgbClr val="878787"/>
            </a:solidFill>
            <a:prstDash val="solid"/>
          </a:ln>
        </c:spPr>
        <c:txPr>
          <a:bodyPr rot="0" vert="horz"/>
          <a:lstStyle/>
          <a:p>
            <a:pPr>
              <a:defRPr sz="1100" b="1" i="0" u="none" strike="noStrike" baseline="0">
                <a:solidFill>
                  <a:srgbClr val="000000"/>
                </a:solidFill>
                <a:latin typeface="+mj-lt"/>
                <a:ea typeface="Calibri"/>
                <a:cs typeface="Calibri"/>
              </a:defRPr>
            </a:pPr>
            <a:endParaRPr lang="en-US"/>
          </a:p>
        </c:txPr>
        <c:crossAx val="306563824"/>
        <c:crossesAt val="0"/>
        <c:auto val="0"/>
        <c:lblAlgn val="ctr"/>
        <c:lblOffset val="100"/>
        <c:tickLblSkip val="1"/>
        <c:tickMarkSkip val="1"/>
        <c:noMultiLvlLbl val="0"/>
      </c:catAx>
      <c:valAx>
        <c:axId val="306563824"/>
        <c:scaling>
          <c:orientation val="minMax"/>
        </c:scaling>
        <c:delete val="0"/>
        <c:axPos val="b"/>
        <c:numFmt formatCode="#,##0.0" sourceLinked="1"/>
        <c:majorTickMark val="out"/>
        <c:minorTickMark val="none"/>
        <c:tickLblPos val="nextTo"/>
        <c:spPr>
          <a:ln w="12700">
            <a:solidFill>
              <a:srgbClr val="878787"/>
            </a:solidFill>
            <a:prstDash val="solid"/>
          </a:ln>
        </c:spPr>
        <c:txPr>
          <a:bodyPr rot="0" vert="horz"/>
          <a:lstStyle/>
          <a:p>
            <a:pPr>
              <a:defRPr sz="1000" b="0" i="0" u="none" strike="noStrike" baseline="0">
                <a:solidFill>
                  <a:srgbClr val="000000"/>
                </a:solidFill>
                <a:latin typeface="+mj-lt"/>
                <a:ea typeface="Calibri"/>
                <a:cs typeface="Calibri"/>
              </a:defRPr>
            </a:pPr>
            <a:endParaRPr lang="en-US"/>
          </a:p>
        </c:txPr>
        <c:crossAx val="306413824"/>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chemeClr val="bg1"/>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1180555555555562" footer="0.51180555555555562"/>
    <c:pageSetup firstPageNumber="0"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Project Info and Summary'!A1"/><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D138:F176"/><Relationship Id="rId2" Type="http://schemas.openxmlformats.org/officeDocument/2006/relationships/hyperlink" Target="#Instructions!B177:C220"/><Relationship Id="rId1" Type="http://schemas.openxmlformats.org/officeDocument/2006/relationships/hyperlink" Target="#Instructions!B317:B342"/></Relationships>
</file>

<file path=xl/drawings/_rels/drawing3.xml.rels><?xml version="1.0" encoding="UTF-8" standalone="yes"?>
<Relationships xmlns="http://schemas.openxmlformats.org/package/2006/relationships"><Relationship Id="rId3" Type="http://schemas.openxmlformats.org/officeDocument/2006/relationships/hyperlink" Target="#Custom_Cut_SheeInputTable"/><Relationship Id="rId2" Type="http://schemas.openxmlformats.org/officeDocument/2006/relationships/hyperlink" Target="#LEDFixtCodeInputTable"/><Relationship Id="rId1" Type="http://schemas.openxmlformats.org/officeDocument/2006/relationships/hyperlink" Target="#UtilityFixtCodeInputTable"/></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chart" Target="../charts/chart3.xml"/><Relationship Id="rId7"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jpeg"/><Relationship Id="rId5" Type="http://schemas.openxmlformats.org/officeDocument/2006/relationships/image" Target="../media/image6.wmf"/><Relationship Id="rId4" Type="http://schemas.openxmlformats.org/officeDocument/2006/relationships/image" Target="../media/image5.png"/><Relationship Id="rId9"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67734</xdr:colOff>
      <xdr:row>3</xdr:row>
      <xdr:rowOff>42333</xdr:rowOff>
    </xdr:from>
    <xdr:to>
      <xdr:col>4</xdr:col>
      <xdr:colOff>6096000</xdr:colOff>
      <xdr:row>9</xdr:row>
      <xdr:rowOff>8466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04894" y="331893"/>
          <a:ext cx="10371666" cy="1017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 calculator is used for estimating savings and does not guarantee the estimated incentive. The methodology presented in this calculator is deemed acceptable for the PPL Electric Utilities Non-Residential Energy Efficiency Program. However, the assumptions used by the applicant to calculate the annual savings will be reviewed by the Program Team, which is solely responsible for the final determination of the annual energy savings to be used in calculating the incentive amount. The Program also reserves the right to require the applicant to conduct specific measurement and verification activities, including monitoring both before and after the retrofit, and to base the incentive payment on the results of these activities. </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xdr:txBody>
    </xdr:sp>
    <xdr:clientData/>
  </xdr:twoCellAnchor>
  <xdr:twoCellAnchor editAs="oneCell">
    <xdr:from>
      <xdr:col>4</xdr:col>
      <xdr:colOff>6086722</xdr:colOff>
      <xdr:row>0</xdr:row>
      <xdr:rowOff>137160</xdr:rowOff>
    </xdr:from>
    <xdr:to>
      <xdr:col>6</xdr:col>
      <xdr:colOff>129540</xdr:colOff>
      <xdr:row>0</xdr:row>
      <xdr:rowOff>1008964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559662" y="137160"/>
          <a:ext cx="1548518" cy="871804"/>
        </a:xfrm>
        <a:prstGeom prst="rect">
          <a:avLst/>
        </a:prstGeom>
      </xdr:spPr>
    </xdr:pic>
    <xdr:clientData/>
  </xdr:twoCellAnchor>
  <xdr:twoCellAnchor editAs="oneCell">
    <xdr:from>
      <xdr:col>2</xdr:col>
      <xdr:colOff>15240</xdr:colOff>
      <xdr:row>220</xdr:row>
      <xdr:rowOff>15240</xdr:rowOff>
    </xdr:from>
    <xdr:to>
      <xdr:col>3</xdr:col>
      <xdr:colOff>2699727</xdr:colOff>
      <xdr:row>242</xdr:row>
      <xdr:rowOff>45719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021080" y="49088040"/>
          <a:ext cx="3438867" cy="3886199"/>
        </a:xfrm>
        <a:prstGeom prst="rect">
          <a:avLst/>
        </a:prstGeom>
        <a:ln w="19050">
          <a:solidFill>
            <a:schemeClr val="tx1"/>
          </a:solidFill>
        </a:ln>
      </xdr:spPr>
    </xdr:pic>
    <xdr:clientData/>
  </xdr:twoCellAnchor>
  <xdr:twoCellAnchor>
    <xdr:from>
      <xdr:col>4</xdr:col>
      <xdr:colOff>5486400</xdr:colOff>
      <xdr:row>137</xdr:row>
      <xdr:rowOff>38100</xdr:rowOff>
    </xdr:from>
    <xdr:to>
      <xdr:col>5</xdr:col>
      <xdr:colOff>487680</xdr:colOff>
      <xdr:row>138</xdr:row>
      <xdr:rowOff>83820</xdr:rowOff>
    </xdr:to>
    <xdr:sp macro="" textlink="">
      <xdr:nvSpPr>
        <xdr:cNvPr id="15" name="Rounded Rectangle 14">
          <a:hlinkClick xmlns:r="http://schemas.openxmlformats.org/officeDocument/2006/relationships" r:id="rId3" tooltip=" "/>
          <a:extLst>
            <a:ext uri="{FF2B5EF4-FFF2-40B4-BE49-F238E27FC236}">
              <a16:creationId xmlns:a16="http://schemas.microsoft.com/office/drawing/2014/main" id="{00000000-0008-0000-0000-00000F000000}"/>
            </a:ext>
          </a:extLst>
        </xdr:cNvPr>
        <xdr:cNvSpPr/>
      </xdr:nvSpPr>
      <xdr:spPr>
        <a:xfrm>
          <a:off x="10843260" y="3589020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3</xdr:col>
      <xdr:colOff>1684020</xdr:colOff>
      <xdr:row>180</xdr:row>
      <xdr:rowOff>60960</xdr:rowOff>
    </xdr:from>
    <xdr:to>
      <xdr:col>3</xdr:col>
      <xdr:colOff>3581400</xdr:colOff>
      <xdr:row>182</xdr:row>
      <xdr:rowOff>45720</xdr:rowOff>
    </xdr:to>
    <xdr:sp macro="" textlink="">
      <xdr:nvSpPr>
        <xdr:cNvPr id="18" name="Rounded Rectangle 17">
          <a:hlinkClick xmlns:r="http://schemas.openxmlformats.org/officeDocument/2006/relationships" r:id="rId3" tooltip=" "/>
          <a:extLst>
            <a:ext uri="{FF2B5EF4-FFF2-40B4-BE49-F238E27FC236}">
              <a16:creationId xmlns:a16="http://schemas.microsoft.com/office/drawing/2014/main" id="{00000000-0008-0000-0000-000012000000}"/>
            </a:ext>
          </a:extLst>
        </xdr:cNvPr>
        <xdr:cNvSpPr/>
      </xdr:nvSpPr>
      <xdr:spPr>
        <a:xfrm>
          <a:off x="3444240" y="4367784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594360</xdr:colOff>
      <xdr:row>218</xdr:row>
      <xdr:rowOff>121920</xdr:rowOff>
    </xdr:from>
    <xdr:to>
      <xdr:col>4</xdr:col>
      <xdr:colOff>2491740</xdr:colOff>
      <xdr:row>220</xdr:row>
      <xdr:rowOff>106680</xdr:rowOff>
    </xdr:to>
    <xdr:sp macro="" textlink="">
      <xdr:nvSpPr>
        <xdr:cNvPr id="19" name="Rounded Rectangle 18">
          <a:hlinkClick xmlns:r="http://schemas.openxmlformats.org/officeDocument/2006/relationships" r:id="rId3" tooltip=" "/>
          <a:extLst>
            <a:ext uri="{FF2B5EF4-FFF2-40B4-BE49-F238E27FC236}">
              <a16:creationId xmlns:a16="http://schemas.microsoft.com/office/drawing/2014/main" id="{00000000-0008-0000-0000-000013000000}"/>
            </a:ext>
          </a:extLst>
        </xdr:cNvPr>
        <xdr:cNvSpPr/>
      </xdr:nvSpPr>
      <xdr:spPr>
        <a:xfrm>
          <a:off x="5951220" y="5059680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350520</xdr:colOff>
      <xdr:row>243</xdr:row>
      <xdr:rowOff>38100</xdr:rowOff>
    </xdr:from>
    <xdr:to>
      <xdr:col>4</xdr:col>
      <xdr:colOff>2247900</xdr:colOff>
      <xdr:row>245</xdr:row>
      <xdr:rowOff>22860</xdr:rowOff>
    </xdr:to>
    <xdr:sp macro="" textlink="">
      <xdr:nvSpPr>
        <xdr:cNvPr id="20" name="Rounded Rectangle 19">
          <a:hlinkClick xmlns:r="http://schemas.openxmlformats.org/officeDocument/2006/relationships" r:id="rId3" tooltip=" "/>
          <a:extLst>
            <a:ext uri="{FF2B5EF4-FFF2-40B4-BE49-F238E27FC236}">
              <a16:creationId xmlns:a16="http://schemas.microsoft.com/office/drawing/2014/main" id="{00000000-0008-0000-0000-000014000000}"/>
            </a:ext>
          </a:extLst>
        </xdr:cNvPr>
        <xdr:cNvSpPr/>
      </xdr:nvSpPr>
      <xdr:spPr>
        <a:xfrm>
          <a:off x="5707380" y="5489448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4945380</xdr:colOff>
      <xdr:row>300</xdr:row>
      <xdr:rowOff>83820</xdr:rowOff>
    </xdr:from>
    <xdr:to>
      <xdr:col>4</xdr:col>
      <xdr:colOff>6842760</xdr:colOff>
      <xdr:row>300</xdr:row>
      <xdr:rowOff>419100</xdr:rowOff>
    </xdr:to>
    <xdr:sp macro="" textlink="">
      <xdr:nvSpPr>
        <xdr:cNvPr id="21" name="Rounded Rectangle 20">
          <a:hlinkClick xmlns:r="http://schemas.openxmlformats.org/officeDocument/2006/relationships" r:id="rId3" tooltip=" "/>
          <a:extLst>
            <a:ext uri="{FF2B5EF4-FFF2-40B4-BE49-F238E27FC236}">
              <a16:creationId xmlns:a16="http://schemas.microsoft.com/office/drawing/2014/main" id="{00000000-0008-0000-0000-000015000000}"/>
            </a:ext>
          </a:extLst>
        </xdr:cNvPr>
        <xdr:cNvSpPr/>
      </xdr:nvSpPr>
      <xdr:spPr>
        <a:xfrm>
          <a:off x="10302240" y="6513576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4815840</xdr:colOff>
      <xdr:row>317</xdr:row>
      <xdr:rowOff>312420</xdr:rowOff>
    </xdr:from>
    <xdr:to>
      <xdr:col>4</xdr:col>
      <xdr:colOff>6713220</xdr:colOff>
      <xdr:row>319</xdr:row>
      <xdr:rowOff>91440</xdr:rowOff>
    </xdr:to>
    <xdr:sp macro="" textlink="">
      <xdr:nvSpPr>
        <xdr:cNvPr id="22" name="Rounded Rectangle 21">
          <a:hlinkClick xmlns:r="http://schemas.openxmlformats.org/officeDocument/2006/relationships" r:id="rId3" tooltip=" "/>
          <a:extLst>
            <a:ext uri="{FF2B5EF4-FFF2-40B4-BE49-F238E27FC236}">
              <a16:creationId xmlns:a16="http://schemas.microsoft.com/office/drawing/2014/main" id="{00000000-0008-0000-0000-000016000000}"/>
            </a:ext>
          </a:extLst>
        </xdr:cNvPr>
        <xdr:cNvSpPr/>
      </xdr:nvSpPr>
      <xdr:spPr>
        <a:xfrm>
          <a:off x="10172700" y="6872478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179</xdr:row>
          <xdr:rowOff>66675</xdr:rowOff>
        </xdr:from>
        <xdr:to>
          <xdr:col>3</xdr:col>
          <xdr:colOff>857250</xdr:colOff>
          <xdr:row>190</xdr:row>
          <xdr:rowOff>152400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320</xdr:row>
          <xdr:rowOff>66675</xdr:rowOff>
        </xdr:from>
        <xdr:to>
          <xdr:col>3</xdr:col>
          <xdr:colOff>581025</xdr:colOff>
          <xdr:row>330</xdr:row>
          <xdr:rowOff>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293370</xdr:colOff>
      <xdr:row>8</xdr:row>
      <xdr:rowOff>89535</xdr:rowOff>
    </xdr:from>
    <xdr:to>
      <xdr:col>9</xdr:col>
      <xdr:colOff>480060</xdr:colOff>
      <xdr:row>10</xdr:row>
      <xdr:rowOff>211455</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100-000002000000}"/>
            </a:ext>
          </a:extLst>
        </xdr:cNvPr>
        <xdr:cNvSpPr/>
      </xdr:nvSpPr>
      <xdr:spPr>
        <a:xfrm>
          <a:off x="8380095" y="2566035"/>
          <a:ext cx="2263140" cy="807720"/>
        </a:xfrm>
        <a:prstGeom prst="roundRect">
          <a:avLst/>
        </a:prstGeom>
        <a:solidFill>
          <a:srgbClr val="00539F"/>
        </a:solidFill>
        <a:ln>
          <a:solidFill>
            <a:schemeClr val="bg1">
              <a:lumMod val="5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a:t>Click</a:t>
          </a:r>
          <a:r>
            <a:rPr lang="en-US" sz="1100" baseline="0"/>
            <a:t> here for instructions on completing an application for PPL Electric Utility Rebates</a:t>
          </a:r>
          <a:endParaRPr lang="en-US" sz="1100"/>
        </a:p>
      </xdr:txBody>
    </xdr:sp>
    <xdr:clientData/>
  </xdr:twoCellAnchor>
  <xdr:twoCellAnchor>
    <xdr:from>
      <xdr:col>3</xdr:col>
      <xdr:colOff>76200</xdr:colOff>
      <xdr:row>12</xdr:row>
      <xdr:rowOff>137160</xdr:rowOff>
    </xdr:from>
    <xdr:to>
      <xdr:col>9</xdr:col>
      <xdr:colOff>312420</xdr:colOff>
      <xdr:row>13</xdr:row>
      <xdr:rowOff>114300</xdr:rowOff>
    </xdr:to>
    <xdr:sp macro="" textlink="">
      <xdr:nvSpPr>
        <xdr:cNvPr id="3" name="Rounded Rectangle 2">
          <a:hlinkClick xmlns:r="http://schemas.openxmlformats.org/officeDocument/2006/relationships" r:id="rId2" tooltip=" "/>
          <a:extLst>
            <a:ext uri="{FF2B5EF4-FFF2-40B4-BE49-F238E27FC236}">
              <a16:creationId xmlns:a16="http://schemas.microsoft.com/office/drawing/2014/main" id="{00000000-0008-0000-0100-000003000000}"/>
            </a:ext>
          </a:extLst>
        </xdr:cNvPr>
        <xdr:cNvSpPr/>
      </xdr:nvSpPr>
      <xdr:spPr>
        <a:xfrm>
          <a:off x="6697980" y="4297680"/>
          <a:ext cx="3756660" cy="3200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rgbClr val="00539F"/>
              </a:solidFill>
            </a:rPr>
            <a:t>Click here for additional details regarding electricity rates</a:t>
          </a:r>
        </a:p>
      </xdr:txBody>
    </xdr:sp>
    <xdr:clientData/>
  </xdr:twoCellAnchor>
  <xdr:twoCellAnchor>
    <xdr:from>
      <xdr:col>3</xdr:col>
      <xdr:colOff>114300</xdr:colOff>
      <xdr:row>17</xdr:row>
      <xdr:rowOff>7620</xdr:rowOff>
    </xdr:from>
    <xdr:to>
      <xdr:col>10</xdr:col>
      <xdr:colOff>236220</xdr:colOff>
      <xdr:row>18</xdr:row>
      <xdr:rowOff>22860</xdr:rowOff>
    </xdr:to>
    <xdr:sp macro="" textlink="">
      <xdr:nvSpPr>
        <xdr:cNvPr id="4" name="Rounded Rectangle 3">
          <a:hlinkClick xmlns:r="http://schemas.openxmlformats.org/officeDocument/2006/relationships" r:id="rId3" tooltip=" "/>
          <a:extLst>
            <a:ext uri="{FF2B5EF4-FFF2-40B4-BE49-F238E27FC236}">
              <a16:creationId xmlns:a16="http://schemas.microsoft.com/office/drawing/2014/main" id="{00000000-0008-0000-0100-000004000000}"/>
            </a:ext>
          </a:extLst>
        </xdr:cNvPr>
        <xdr:cNvSpPr/>
      </xdr:nvSpPr>
      <xdr:spPr>
        <a:xfrm>
          <a:off x="6736080" y="5631180"/>
          <a:ext cx="4305300" cy="358140"/>
        </a:xfrm>
        <a:prstGeom prst="round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u="sng">
              <a:solidFill>
                <a:srgbClr val="00539F"/>
              </a:solidFill>
            </a:rPr>
            <a:t>Click here for additional</a:t>
          </a:r>
          <a:r>
            <a:rPr lang="en-US" sz="1100" u="sng" baseline="0">
              <a:solidFill>
                <a:srgbClr val="00539F"/>
              </a:solidFill>
            </a:rPr>
            <a:t> guidance about selecting a building type</a:t>
          </a:r>
          <a:endParaRPr lang="en-US" sz="1100" u="sng">
            <a:solidFill>
              <a:srgbClr val="00539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83820</xdr:colOff>
      <xdr:row>1</xdr:row>
      <xdr:rowOff>22860</xdr:rowOff>
    </xdr:from>
    <xdr:to>
      <xdr:col>2</xdr:col>
      <xdr:colOff>1562100</xdr:colOff>
      <xdr:row>2</xdr:row>
      <xdr:rowOff>6096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83820" y="381000"/>
          <a:ext cx="2362200" cy="493776"/>
        </a:xfrm>
        <a:prstGeom prst="roundRect">
          <a:avLst/>
        </a:prstGeom>
        <a:gradFill>
          <a:gsLst>
            <a:gs pos="0">
              <a:srgbClr val="0070CD"/>
            </a:gs>
            <a:gs pos="80000">
              <a:srgbClr val="0070CD"/>
            </a:gs>
            <a:gs pos="100000">
              <a:srgbClr val="0070CD"/>
            </a:gs>
          </a:gsLst>
        </a:gra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050"/>
            <a:t>Standard Fixtures (incl screw-in LED ≤ 26W and Exit Signs)</a:t>
          </a:r>
        </a:p>
      </xdr:txBody>
    </xdr:sp>
    <xdr:clientData/>
  </xdr:twoCellAnchor>
  <xdr:twoCellAnchor>
    <xdr:from>
      <xdr:col>2</xdr:col>
      <xdr:colOff>1607820</xdr:colOff>
      <xdr:row>1</xdr:row>
      <xdr:rowOff>22860</xdr:rowOff>
    </xdr:from>
    <xdr:to>
      <xdr:col>5</xdr:col>
      <xdr:colOff>15240</xdr:colOff>
      <xdr:row>2</xdr:row>
      <xdr:rowOff>7620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2491740" y="381000"/>
          <a:ext cx="2811780" cy="495300"/>
        </a:xfrm>
        <a:prstGeom prst="roundRect">
          <a:avLst/>
        </a:prstGeom>
        <a:gradFill>
          <a:gsLst>
            <a:gs pos="0">
              <a:srgbClr val="0070CD"/>
            </a:gs>
            <a:gs pos="80000">
              <a:srgbClr val="0070CD"/>
            </a:gs>
            <a:gs pos="100000">
              <a:srgbClr val="0070CD"/>
            </a:gs>
          </a:gsLst>
        </a:gra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t>LED Fixture Code Generator </a:t>
          </a:r>
        </a:p>
        <a:p>
          <a:pPr algn="ctr"/>
          <a:r>
            <a:rPr lang="en-US" sz="1100"/>
            <a:t>(incl screw-in LEDs &gt;26W)</a:t>
          </a:r>
        </a:p>
      </xdr:txBody>
    </xdr:sp>
    <xdr:clientData/>
  </xdr:twoCellAnchor>
  <xdr:twoCellAnchor>
    <xdr:from>
      <xdr:col>5</xdr:col>
      <xdr:colOff>60960</xdr:colOff>
      <xdr:row>1</xdr:row>
      <xdr:rowOff>22860</xdr:rowOff>
    </xdr:from>
    <xdr:to>
      <xdr:col>7</xdr:col>
      <xdr:colOff>952500</xdr:colOff>
      <xdr:row>2</xdr:row>
      <xdr:rowOff>6096</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5349240" y="381000"/>
          <a:ext cx="2506980" cy="493776"/>
        </a:xfrm>
        <a:prstGeom prst="roundRect">
          <a:avLst/>
        </a:prstGeom>
        <a:gradFill>
          <a:gsLst>
            <a:gs pos="0">
              <a:srgbClr val="0070CD"/>
            </a:gs>
            <a:gs pos="80000">
              <a:srgbClr val="0070CD"/>
            </a:gs>
            <a:gs pos="100000">
              <a:srgbClr val="0070CD"/>
            </a:gs>
          </a:gsLst>
        </a:gra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t>Custom Cut Sheet (non-LEDs)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65315</xdr:colOff>
      <xdr:row>2</xdr:row>
      <xdr:rowOff>6330</xdr:rowOff>
    </xdr:from>
    <xdr:to>
      <xdr:col>7</xdr:col>
      <xdr:colOff>1698171</xdr:colOff>
      <xdr:row>4</xdr:row>
      <xdr:rowOff>239486</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5315" y="768330"/>
          <a:ext cx="9416142" cy="995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t>Instructions: </a:t>
          </a:r>
        </a:p>
        <a:p>
          <a:pPr algn="l"/>
          <a:r>
            <a:rPr lang="en-US" sz="1000" b="1"/>
            <a:t> - Complete</a:t>
          </a:r>
          <a:r>
            <a:rPr lang="en-US" sz="1000" b="1" baseline="0"/>
            <a:t> </a:t>
          </a:r>
          <a:r>
            <a:rPr lang="en-US" sz="1000" b="1"/>
            <a:t>one copy of this form to accompany</a:t>
          </a:r>
          <a:r>
            <a:rPr lang="en-US" sz="1000" b="1" baseline="0"/>
            <a:t> </a:t>
          </a:r>
          <a:r>
            <a:rPr lang="en-US" sz="1000" b="1"/>
            <a:t>each PPL rebate</a:t>
          </a:r>
          <a:r>
            <a:rPr lang="en-US" sz="1000" b="1" baseline="0"/>
            <a:t> application</a:t>
          </a:r>
          <a:r>
            <a:rPr lang="en-US" sz="1000" b="1"/>
            <a:t>. </a:t>
          </a:r>
        </a:p>
        <a:p>
          <a:pPr algn="l"/>
          <a:r>
            <a:rPr lang="en-US" sz="1000" b="1"/>
            <a:t> - Fill in all non-shaded cells for the project. Shaded values are automatically calculated or are unnecessary. </a:t>
          </a:r>
        </a:p>
        <a:p>
          <a:pPr algn="l"/>
          <a:r>
            <a:rPr lang="en-US" sz="1000" b="1"/>
            <a:t> - Use drop-down lists where available. </a:t>
          </a:r>
        </a:p>
        <a:p>
          <a:pPr algn="l"/>
          <a:r>
            <a:rPr lang="en-US" sz="1000" b="1"/>
            <a:t> - Do not</a:t>
          </a:r>
          <a:r>
            <a:rPr lang="en-US" sz="1000" b="1" baseline="0"/>
            <a:t> create custom usage groups unless the project savings exceeds 120,000 kWh/yr.</a:t>
          </a:r>
        </a:p>
        <a:p>
          <a:pPr algn="l"/>
          <a:r>
            <a:rPr lang="en-US" sz="1000" b="1" baseline="0"/>
            <a:t> - Use the Fixture and LED tab to generate fixture codes for fixtures which don't have a utility-defined code. </a:t>
          </a:r>
          <a:endParaRPr lang="en-US" sz="10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127000</xdr:colOff>
      <xdr:row>12</xdr:row>
      <xdr:rowOff>68580</xdr:rowOff>
    </xdr:from>
    <xdr:to>
      <xdr:col>13</xdr:col>
      <xdr:colOff>0</xdr:colOff>
      <xdr:row>16</xdr:row>
      <xdr:rowOff>137160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27000" y="3665220"/>
          <a:ext cx="12011660" cy="7391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r>
            <a:rPr lang="en-US" sz="1100" b="0" baseline="0"/>
            <a:t> </a:t>
          </a:r>
        </a:p>
        <a:p>
          <a:r>
            <a:rPr lang="en-US" sz="1100" b="0" baseline="0">
              <a:solidFill>
                <a:srgbClr val="FF0000"/>
              </a:solidFill>
            </a:rPr>
            <a:t>1. Usage Groups are permitted only i</a:t>
          </a:r>
          <a:r>
            <a:rPr lang="en-US" sz="1100" b="0" baseline="0">
              <a:solidFill>
                <a:srgbClr val="FF0000"/>
              </a:solidFill>
              <a:effectLst/>
              <a:latin typeface="+mn-lt"/>
              <a:ea typeface="+mn-ea"/>
              <a:cs typeface="+mn-cs"/>
            </a:rPr>
            <a:t>f project savings are over 120,000 kWh/yr.</a:t>
          </a:r>
        </a:p>
        <a:p>
          <a:r>
            <a:rPr lang="en-US" sz="1100" b="0" baseline="0">
              <a:solidFill>
                <a:srgbClr val="FF0000"/>
              </a:solidFill>
              <a:effectLst/>
              <a:latin typeface="+mn-lt"/>
              <a:ea typeface="+mn-ea"/>
              <a:cs typeface="+mn-cs"/>
            </a:rPr>
            <a:t>2. </a:t>
          </a:r>
          <a:r>
            <a:rPr lang="en-US" sz="1100">
              <a:solidFill>
                <a:srgbClr val="FF0000"/>
              </a:solidFill>
              <a:effectLst/>
              <a:latin typeface="+mn-lt"/>
              <a:ea typeface="+mn-ea"/>
              <a:cs typeface="+mn-cs"/>
            </a:rPr>
            <a:t>DO NOT create Exterior Usage Groups, which appear by default as a drop-down.</a:t>
          </a:r>
          <a:endParaRPr lang="en-US" sz="1100" b="0" baseline="0">
            <a:solidFill>
              <a:srgbClr val="FF0000"/>
            </a:solidFill>
            <a:effectLst/>
            <a:latin typeface="+mn-lt"/>
            <a:ea typeface="+mn-ea"/>
            <a:cs typeface="+mn-cs"/>
          </a:endParaRPr>
        </a:p>
        <a:p>
          <a:endParaRPr lang="en-US">
            <a:solidFill>
              <a:srgbClr val="FF0000"/>
            </a:solidFill>
            <a:effectLst/>
          </a:endParaRPr>
        </a:p>
        <a:p>
          <a:endParaRPr lang="en-US" sz="1100" b="0" i="1" baseline="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36</xdr:row>
      <xdr:rowOff>28575</xdr:rowOff>
    </xdr:from>
    <xdr:to>
      <xdr:col>5</xdr:col>
      <xdr:colOff>1009650</xdr:colOff>
      <xdr:row>60</xdr:row>
      <xdr:rowOff>133350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69</xdr:row>
      <xdr:rowOff>19050</xdr:rowOff>
    </xdr:from>
    <xdr:to>
      <xdr:col>5</xdr:col>
      <xdr:colOff>1000125</xdr:colOff>
      <xdr:row>93</xdr:row>
      <xdr:rowOff>161925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97</xdr:row>
      <xdr:rowOff>19050</xdr:rowOff>
    </xdr:from>
    <xdr:to>
      <xdr:col>5</xdr:col>
      <xdr:colOff>1000125</xdr:colOff>
      <xdr:row>112</xdr:row>
      <xdr:rowOff>161925</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1676944</xdr:colOff>
      <xdr:row>98</xdr:row>
      <xdr:rowOff>61233</xdr:rowOff>
    </xdr:from>
    <xdr:to>
      <xdr:col>1</xdr:col>
      <xdr:colOff>2238919</xdr:colOff>
      <xdr:row>110</xdr:row>
      <xdr:rowOff>136072</xdr:rowOff>
    </xdr:to>
    <xdr:grpSp>
      <xdr:nvGrpSpPr>
        <xdr:cNvPr id="5" name="Group 4">
          <a:extLst>
            <a:ext uri="{FF2B5EF4-FFF2-40B4-BE49-F238E27FC236}">
              <a16:creationId xmlns:a16="http://schemas.microsoft.com/office/drawing/2014/main" id="{00000000-0008-0000-0D00-000005000000}"/>
            </a:ext>
          </a:extLst>
        </xdr:cNvPr>
        <xdr:cNvGrpSpPr/>
      </xdr:nvGrpSpPr>
      <xdr:grpSpPr>
        <a:xfrm>
          <a:off x="1819819" y="25464408"/>
          <a:ext cx="561975" cy="2360839"/>
          <a:chOff x="1643743" y="29003626"/>
          <a:chExt cx="561975" cy="2360839"/>
        </a:xfrm>
      </xdr:grpSpPr>
      <xdr:pic>
        <xdr:nvPicPr>
          <xdr:cNvPr id="6" name="Picture 24">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3743" y="30305149"/>
            <a:ext cx="56197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1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53268" y="29424767"/>
            <a:ext cx="5429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 name="Picture 12">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91368" y="29864958"/>
            <a:ext cx="4667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9" name="Picture 15">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86605" y="30859640"/>
            <a:ext cx="4762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0" name="Picture 14">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77080" y="29003626"/>
            <a:ext cx="495300"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editAs="oneCell">
    <xdr:from>
      <xdr:col>4</xdr:col>
      <xdr:colOff>2880360</xdr:colOff>
      <xdr:row>0</xdr:row>
      <xdr:rowOff>38100</xdr:rowOff>
    </xdr:from>
    <xdr:to>
      <xdr:col>6</xdr:col>
      <xdr:colOff>115958</xdr:colOff>
      <xdr:row>0</xdr:row>
      <xdr:rowOff>909904</xdr:rowOff>
    </xdr:to>
    <xdr:pic>
      <xdr:nvPicPr>
        <xdr:cNvPr id="15" name="Picture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9"/>
        <a:stretch>
          <a:fillRect/>
        </a:stretch>
      </xdr:blipFill>
      <xdr:spPr>
        <a:xfrm>
          <a:off x="7452360" y="38100"/>
          <a:ext cx="1548518" cy="8718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257386</xdr:colOff>
      <xdr:row>32</xdr:row>
      <xdr:rowOff>10300</xdr:rowOff>
    </xdr:from>
    <xdr:to>
      <xdr:col>2</xdr:col>
      <xdr:colOff>2674620</xdr:colOff>
      <xdr:row>45</xdr:row>
      <xdr:rowOff>147503</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034626" y="9512440"/>
          <a:ext cx="4901354" cy="2118403"/>
        </a:xfrm>
        <a:prstGeom prst="rect">
          <a:avLst/>
        </a:prstGeom>
      </xdr:spPr>
    </xdr:pic>
    <xdr:clientData/>
  </xdr:twoCellAnchor>
  <xdr:twoCellAnchor editAs="oneCell">
    <xdr:from>
      <xdr:col>1</xdr:col>
      <xdr:colOff>257386</xdr:colOff>
      <xdr:row>48</xdr:row>
      <xdr:rowOff>126999</xdr:rowOff>
    </xdr:from>
    <xdr:to>
      <xdr:col>2</xdr:col>
      <xdr:colOff>2758871</xdr:colOff>
      <xdr:row>53</xdr:row>
      <xdr:rowOff>38170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stretch>
          <a:fillRect/>
        </a:stretch>
      </xdr:blipFill>
      <xdr:spPr>
        <a:xfrm>
          <a:off x="958426" y="9095739"/>
          <a:ext cx="4985605" cy="802711"/>
        </a:xfrm>
        <a:prstGeom prst="rect">
          <a:avLst/>
        </a:prstGeom>
      </xdr:spPr>
    </xdr:pic>
    <xdr:clientData/>
  </xdr:twoCellAnchor>
  <xdr:twoCellAnchor editAs="oneCell">
    <xdr:from>
      <xdr:col>1</xdr:col>
      <xdr:colOff>257386</xdr:colOff>
      <xdr:row>16</xdr:row>
      <xdr:rowOff>45720</xdr:rowOff>
    </xdr:from>
    <xdr:to>
      <xdr:col>3</xdr:col>
      <xdr:colOff>280705</xdr:colOff>
      <xdr:row>20</xdr:row>
      <xdr:rowOff>83884</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958426" y="1821180"/>
          <a:ext cx="5288739" cy="739204"/>
        </a:xfrm>
        <a:prstGeom prst="rect">
          <a:avLst/>
        </a:prstGeom>
      </xdr:spPr>
    </xdr:pic>
    <xdr:clientData/>
  </xdr:twoCellAnchor>
  <xdr:twoCellAnchor editAs="oneCell">
    <xdr:from>
      <xdr:col>1</xdr:col>
      <xdr:colOff>257386</xdr:colOff>
      <xdr:row>25</xdr:row>
      <xdr:rowOff>160020</xdr:rowOff>
    </xdr:from>
    <xdr:to>
      <xdr:col>3</xdr:col>
      <xdr:colOff>99502</xdr:colOff>
      <xdr:row>29</xdr:row>
      <xdr:rowOff>165162</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4"/>
        <a:stretch>
          <a:fillRect/>
        </a:stretch>
      </xdr:blipFill>
      <xdr:spPr>
        <a:xfrm>
          <a:off x="958426" y="4770120"/>
          <a:ext cx="5107536" cy="706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ookup%20Table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vdecicco\Desktop\2016%20App%20C_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s>
    <sheetDataSet>
      <sheetData sheetId="0" refreshError="1"/>
    </sheetDataSet>
  </externalBook>
</externalLink>
</file>

<file path=xl/theme/theme1.xml><?xml version="1.0" encoding="utf-8"?>
<a:theme xmlns:a="http://schemas.openxmlformats.org/drawingml/2006/main" name="Office Theme">
  <a:themeElements>
    <a:clrScheme name="CLEAResu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PP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pplbusiness@clearesult.com"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esignlights.org/qp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FFF8CA"/>
  </sheetPr>
  <dimension ref="A1:I320"/>
  <sheetViews>
    <sheetView showGridLines="0" workbookViewId="0">
      <selection activeCell="D138" sqref="D138:F176"/>
    </sheetView>
  </sheetViews>
  <sheetFormatPr defaultColWidth="0" defaultRowHeight="13.9" customHeight="1"/>
  <cols>
    <col min="1" max="1" width="1.75" style="84" customWidth="1"/>
    <col min="2" max="2" width="11.5" style="84" customWidth="1"/>
    <col min="3" max="3" width="9.875" style="84" customWidth="1"/>
    <col min="4" max="4" width="47.25" style="181" customWidth="1"/>
    <col min="5" max="5" width="90.5" style="181" customWidth="1"/>
    <col min="6" max="7" width="8" style="84" customWidth="1"/>
    <col min="8" max="16384" width="8" style="84" hidden="1"/>
  </cols>
  <sheetData>
    <row r="1" spans="1:9" s="191" customFormat="1" ht="88.15" customHeight="1">
      <c r="D1" s="192"/>
      <c r="E1" s="192"/>
    </row>
    <row r="3" spans="1:9" ht="23.25">
      <c r="A3" s="190" t="s">
        <v>0</v>
      </c>
      <c r="B3" s="188"/>
      <c r="C3" s="188"/>
      <c r="D3" s="188"/>
      <c r="E3" s="188"/>
      <c r="F3" s="188"/>
      <c r="G3" s="188"/>
      <c r="H3" s="188"/>
      <c r="I3" s="188"/>
    </row>
    <row r="4" spans="1:9" ht="13.9" customHeight="1">
      <c r="A4" s="174"/>
      <c r="B4" s="174"/>
      <c r="C4" s="174"/>
      <c r="D4" s="174"/>
      <c r="E4" s="174"/>
      <c r="F4" s="174"/>
      <c r="G4" s="174"/>
      <c r="H4" s="174"/>
      <c r="I4" s="174"/>
    </row>
    <row r="5" spans="1:9" ht="13.9" customHeight="1">
      <c r="A5" s="174"/>
      <c r="B5" s="174"/>
      <c r="C5" s="174"/>
      <c r="D5" s="174"/>
      <c r="E5" s="174"/>
      <c r="F5" s="174"/>
      <c r="G5" s="174"/>
      <c r="H5" s="174"/>
      <c r="I5" s="174"/>
    </row>
    <row r="6" spans="1:9" ht="13.9" customHeight="1">
      <c r="A6" s="174"/>
      <c r="B6" s="174"/>
      <c r="C6" s="174"/>
      <c r="D6" s="174"/>
      <c r="E6" s="174"/>
      <c r="F6" s="174"/>
      <c r="G6" s="174"/>
      <c r="H6" s="174"/>
      <c r="I6" s="174"/>
    </row>
    <row r="7" spans="1:9" ht="13.9" customHeight="1">
      <c r="A7" s="174"/>
      <c r="B7" s="174"/>
      <c r="C7" s="174"/>
      <c r="D7" s="174"/>
      <c r="E7" s="174"/>
      <c r="F7" s="174"/>
      <c r="G7" s="174"/>
      <c r="H7" s="174"/>
      <c r="I7" s="174"/>
    </row>
    <row r="8" spans="1:9" ht="13.9" customHeight="1">
      <c r="A8" s="174"/>
      <c r="B8" s="174"/>
      <c r="C8" s="174"/>
      <c r="D8" s="174"/>
      <c r="E8" s="174"/>
      <c r="F8" s="174"/>
      <c r="G8" s="174"/>
      <c r="H8" s="174"/>
      <c r="I8" s="174"/>
    </row>
    <row r="9" spans="1:9" ht="13.9" customHeight="1">
      <c r="A9" s="174"/>
      <c r="B9" s="174"/>
      <c r="C9" s="174"/>
      <c r="D9" s="174"/>
      <c r="E9" s="174"/>
      <c r="F9" s="174"/>
      <c r="G9" s="174"/>
      <c r="H9" s="174"/>
      <c r="I9" s="174"/>
    </row>
    <row r="10" spans="1:9" ht="13.9" customHeight="1">
      <c r="A10" s="174"/>
      <c r="B10" s="908" t="s">
        <v>1</v>
      </c>
      <c r="C10" s="908"/>
      <c r="D10" s="908"/>
      <c r="E10" s="908"/>
      <c r="F10" s="174"/>
      <c r="G10" s="174"/>
      <c r="H10" s="174"/>
      <c r="I10" s="174"/>
    </row>
    <row r="11" spans="1:9" ht="13.9" customHeight="1">
      <c r="A11" s="174"/>
      <c r="B11" s="174"/>
      <c r="C11" s="174"/>
      <c r="D11" s="174"/>
      <c r="E11" s="174"/>
      <c r="F11" s="174"/>
      <c r="G11" s="174"/>
      <c r="H11" s="174"/>
      <c r="I11" s="174"/>
    </row>
    <row r="12" spans="1:9" ht="18">
      <c r="A12" s="193" t="s">
        <v>2</v>
      </c>
      <c r="B12" s="175"/>
      <c r="C12" s="175"/>
      <c r="D12" s="259"/>
      <c r="E12" s="259"/>
      <c r="F12" s="259"/>
      <c r="G12" s="259"/>
    </row>
    <row r="13" spans="1:9" ht="13.9" customHeight="1">
      <c r="A13" s="175" t="s">
        <v>3</v>
      </c>
      <c r="B13" s="175"/>
      <c r="C13" s="175"/>
      <c r="D13" s="259"/>
      <c r="E13" s="259"/>
      <c r="F13" s="259"/>
      <c r="G13" s="259"/>
    </row>
    <row r="14" spans="1:9" ht="13.9" customHeight="1">
      <c r="A14" s="175"/>
      <c r="B14" s="175" t="s">
        <v>4</v>
      </c>
      <c r="C14" s="175"/>
      <c r="D14" s="259"/>
      <c r="E14" s="259"/>
      <c r="F14" s="259"/>
      <c r="G14" s="259"/>
    </row>
    <row r="15" spans="1:9" ht="13.9" customHeight="1">
      <c r="A15" s="175"/>
      <c r="B15" s="175" t="s">
        <v>5046</v>
      </c>
      <c r="C15" s="175"/>
      <c r="D15" s="259"/>
      <c r="E15" s="259"/>
      <c r="F15" s="259"/>
      <c r="G15" s="259"/>
    </row>
    <row r="16" spans="1:9" ht="13.9" customHeight="1">
      <c r="A16" s="175"/>
      <c r="B16" s="175" t="s">
        <v>5</v>
      </c>
      <c r="C16" s="175"/>
      <c r="D16" s="259"/>
      <c r="E16" s="259"/>
      <c r="F16" s="259"/>
      <c r="G16" s="259"/>
    </row>
    <row r="17" spans="1:7" ht="13.9" customHeight="1">
      <c r="A17" s="176"/>
      <c r="B17" s="175"/>
      <c r="C17" s="176"/>
      <c r="D17" s="259"/>
      <c r="E17" s="259"/>
      <c r="F17" s="259"/>
      <c r="G17" s="259"/>
    </row>
    <row r="18" spans="1:7" ht="13.9" customHeight="1">
      <c r="A18" s="176"/>
      <c r="B18" s="175" t="s">
        <v>5047</v>
      </c>
      <c r="C18" s="176"/>
      <c r="D18" s="259"/>
      <c r="E18" s="259"/>
      <c r="F18" s="259"/>
      <c r="G18" s="259"/>
    </row>
    <row r="19" spans="1:7" ht="13.9" customHeight="1">
      <c r="A19" s="176"/>
      <c r="B19" s="175"/>
      <c r="C19" s="176"/>
      <c r="D19" s="259"/>
      <c r="E19" s="259"/>
      <c r="F19" s="259"/>
      <c r="G19" s="259"/>
    </row>
    <row r="20" spans="1:7" ht="13.9" customHeight="1">
      <c r="A20" s="176"/>
      <c r="B20" s="175" t="s">
        <v>6</v>
      </c>
      <c r="C20" s="176"/>
      <c r="D20" s="259"/>
      <c r="E20" s="259"/>
      <c r="F20" s="259"/>
      <c r="G20" s="259"/>
    </row>
    <row r="21" spans="1:7" ht="27" customHeight="1">
      <c r="A21" s="176"/>
      <c r="B21" s="915" t="s">
        <v>7</v>
      </c>
      <c r="C21" s="916"/>
      <c r="D21" s="414" t="s">
        <v>8</v>
      </c>
      <c r="E21" s="917" t="s">
        <v>5048</v>
      </c>
      <c r="F21" s="917"/>
    </row>
    <row r="22" spans="1:7" ht="37.15" customHeight="1">
      <c r="A22" s="176"/>
      <c r="B22" s="915" t="s">
        <v>9</v>
      </c>
      <c r="C22" s="916" t="s">
        <v>10</v>
      </c>
      <c r="D22" s="414" t="s">
        <v>11</v>
      </c>
      <c r="E22" s="917" t="s">
        <v>12</v>
      </c>
      <c r="F22" s="917"/>
    </row>
    <row r="23" spans="1:7" ht="13.9" customHeight="1">
      <c r="A23" s="176"/>
      <c r="B23" s="175" t="s">
        <v>13</v>
      </c>
      <c r="C23" s="176"/>
      <c r="D23" s="84"/>
      <c r="E23" s="84"/>
    </row>
    <row r="24" spans="1:7" ht="13.9" customHeight="1">
      <c r="A24" s="176"/>
      <c r="B24" s="175"/>
      <c r="C24" s="176"/>
      <c r="D24" s="84"/>
      <c r="E24" s="84"/>
    </row>
    <row r="25" spans="1:7" ht="18">
      <c r="A25" s="193" t="s">
        <v>14</v>
      </c>
      <c r="B25" s="177"/>
      <c r="C25" s="178"/>
      <c r="D25" s="84"/>
      <c r="E25" s="84"/>
    </row>
    <row r="26" spans="1:7" ht="13.9" customHeight="1">
      <c r="A26" s="84" t="s">
        <v>15</v>
      </c>
      <c r="D26" s="84"/>
      <c r="E26" s="84"/>
    </row>
    <row r="27" spans="1:7" ht="13.9" customHeight="1">
      <c r="B27" s="415"/>
      <c r="C27" s="84" t="s">
        <v>16</v>
      </c>
      <c r="D27" s="84"/>
      <c r="E27" s="84"/>
    </row>
    <row r="28" spans="1:7" ht="13.9" customHeight="1">
      <c r="B28" s="402"/>
      <c r="C28" s="84" t="s">
        <v>17</v>
      </c>
      <c r="D28" s="84"/>
      <c r="E28" s="84"/>
    </row>
    <row r="29" spans="1:7" ht="13.9" customHeight="1">
      <c r="B29" s="416"/>
      <c r="C29" s="84" t="s">
        <v>18</v>
      </c>
      <c r="D29" s="84"/>
      <c r="E29" s="84"/>
    </row>
    <row r="30" spans="1:7" ht="13.9" customHeight="1">
      <c r="D30" s="84"/>
      <c r="E30" s="84"/>
    </row>
    <row r="31" spans="1:7" ht="42" customHeight="1">
      <c r="A31" s="197" t="s">
        <v>19</v>
      </c>
      <c r="B31" s="261" t="s">
        <v>20</v>
      </c>
      <c r="C31" s="197" t="s">
        <v>21</v>
      </c>
      <c r="D31" s="84"/>
      <c r="E31" s="84"/>
    </row>
    <row r="32" spans="1:7" ht="13.9" customHeight="1">
      <c r="A32" s="197"/>
      <c r="B32" s="173"/>
      <c r="D32" s="84"/>
      <c r="E32" s="84"/>
    </row>
    <row r="33" spans="1:6" ht="13.9" customHeight="1">
      <c r="A33" s="196"/>
      <c r="B33" s="197" t="s">
        <v>22</v>
      </c>
      <c r="D33" s="84"/>
      <c r="E33" s="84"/>
    </row>
    <row r="34" spans="1:6" ht="27" customHeight="1">
      <c r="A34" s="196"/>
      <c r="D34" s="417" t="s">
        <v>23</v>
      </c>
      <c r="E34" s="911" t="s">
        <v>24</v>
      </c>
      <c r="F34" s="912"/>
    </row>
    <row r="35" spans="1:6" ht="27" customHeight="1">
      <c r="A35" s="196"/>
      <c r="D35" s="417" t="s">
        <v>25</v>
      </c>
      <c r="E35" s="911" t="s">
        <v>26</v>
      </c>
      <c r="F35" s="912"/>
    </row>
    <row r="36" spans="1:6" ht="27" customHeight="1">
      <c r="A36" s="196"/>
      <c r="D36" s="417" t="s">
        <v>27</v>
      </c>
      <c r="E36" s="911" t="s">
        <v>28</v>
      </c>
      <c r="F36" s="912"/>
    </row>
    <row r="37" spans="1:6" ht="27" customHeight="1">
      <c r="A37" s="196"/>
      <c r="D37" s="417" t="s">
        <v>29</v>
      </c>
      <c r="E37" s="911" t="s">
        <v>30</v>
      </c>
      <c r="F37" s="912"/>
    </row>
    <row r="38" spans="1:6" ht="27" customHeight="1">
      <c r="A38" s="196"/>
      <c r="D38" s="417" t="s">
        <v>31</v>
      </c>
      <c r="E38" s="911" t="s">
        <v>32</v>
      </c>
      <c r="F38" s="912"/>
    </row>
    <row r="39" spans="1:6" ht="27" customHeight="1">
      <c r="A39" s="196"/>
      <c r="D39" s="417" t="s">
        <v>33</v>
      </c>
      <c r="E39" s="911" t="s">
        <v>34</v>
      </c>
      <c r="F39" s="912"/>
    </row>
    <row r="40" spans="1:6" ht="27" customHeight="1">
      <c r="A40" s="196"/>
      <c r="D40" s="417" t="s">
        <v>35</v>
      </c>
      <c r="E40" s="911" t="s">
        <v>36</v>
      </c>
      <c r="F40" s="912"/>
    </row>
    <row r="41" spans="1:6" ht="27" customHeight="1">
      <c r="A41" s="196"/>
      <c r="D41" s="418" t="s">
        <v>37</v>
      </c>
      <c r="E41" s="911" t="s">
        <v>38</v>
      </c>
      <c r="F41" s="912"/>
    </row>
    <row r="42" spans="1:6" ht="27" customHeight="1">
      <c r="A42" s="196"/>
      <c r="D42" s="418" t="s">
        <v>39</v>
      </c>
      <c r="E42" s="419" t="s">
        <v>40</v>
      </c>
      <c r="F42" s="420"/>
    </row>
    <row r="43" spans="1:6" ht="27" customHeight="1">
      <c r="A43" s="196"/>
      <c r="D43" s="421" t="s">
        <v>41</v>
      </c>
      <c r="E43" s="913" t="s">
        <v>42</v>
      </c>
      <c r="F43" s="914"/>
    </row>
    <row r="44" spans="1:6" ht="27" customHeight="1">
      <c r="A44" s="196"/>
      <c r="D44" s="421" t="s">
        <v>43</v>
      </c>
      <c r="E44" s="913" t="s">
        <v>44</v>
      </c>
      <c r="F44" s="914"/>
    </row>
    <row r="45" spans="1:6" ht="27" customHeight="1">
      <c r="A45" s="196"/>
      <c r="D45" s="421" t="s">
        <v>45</v>
      </c>
      <c r="E45" s="911" t="s">
        <v>46</v>
      </c>
      <c r="F45" s="912"/>
    </row>
    <row r="46" spans="1:6" ht="13.9" customHeight="1">
      <c r="A46" s="196"/>
      <c r="B46" s="197" t="s">
        <v>47</v>
      </c>
      <c r="D46" s="84"/>
      <c r="E46" s="84"/>
    </row>
    <row r="47" spans="1:6" ht="27" customHeight="1">
      <c r="A47" s="196"/>
      <c r="D47" s="422" t="s">
        <v>48</v>
      </c>
      <c r="E47" s="911" t="s">
        <v>49</v>
      </c>
      <c r="F47" s="912"/>
    </row>
    <row r="48" spans="1:6" ht="27" customHeight="1">
      <c r="A48" s="196"/>
      <c r="D48" s="422" t="s">
        <v>50</v>
      </c>
      <c r="E48" s="911" t="s">
        <v>51</v>
      </c>
      <c r="F48" s="912"/>
    </row>
    <row r="49" spans="1:6" ht="27" customHeight="1">
      <c r="A49" s="196"/>
      <c r="D49" s="422" t="s">
        <v>52</v>
      </c>
      <c r="E49" s="911" t="s">
        <v>53</v>
      </c>
      <c r="F49" s="912"/>
    </row>
    <row r="50" spans="1:6" ht="27" customHeight="1">
      <c r="A50" s="196"/>
      <c r="D50" s="422" t="s">
        <v>54</v>
      </c>
      <c r="E50" s="419" t="s">
        <v>55</v>
      </c>
      <c r="F50" s="420"/>
    </row>
    <row r="51" spans="1:6" ht="13.9" customHeight="1">
      <c r="A51" s="196"/>
      <c r="D51" s="909" t="s">
        <v>56</v>
      </c>
      <c r="E51" s="909"/>
    </row>
    <row r="52" spans="1:6" s="182" customFormat="1" ht="27" customHeight="1">
      <c r="A52" s="199"/>
      <c r="D52" s="422" t="s">
        <v>57</v>
      </c>
      <c r="E52" s="911" t="s">
        <v>58</v>
      </c>
      <c r="F52" s="912"/>
    </row>
    <row r="53" spans="1:6" ht="13.9" customHeight="1">
      <c r="A53" s="196"/>
      <c r="D53" s="909" t="s">
        <v>59</v>
      </c>
      <c r="E53" s="909"/>
    </row>
    <row r="54" spans="1:6" s="182" customFormat="1" ht="27" customHeight="1">
      <c r="A54" s="199"/>
      <c r="D54" s="422" t="s">
        <v>60</v>
      </c>
      <c r="E54" s="419" t="s">
        <v>61</v>
      </c>
      <c r="F54" s="420"/>
    </row>
    <row r="55" spans="1:6" ht="13.9" customHeight="1">
      <c r="A55" s="196"/>
      <c r="D55" s="179"/>
      <c r="E55" s="166"/>
    </row>
    <row r="56" spans="1:6" s="167" customFormat="1" ht="13.9" customHeight="1">
      <c r="A56" s="200"/>
      <c r="D56" s="167" t="s">
        <v>62</v>
      </c>
      <c r="E56" s="168"/>
    </row>
    <row r="57" spans="1:6" s="167" customFormat="1" ht="27" customHeight="1">
      <c r="A57" s="200"/>
      <c r="D57" s="918" t="s">
        <v>63</v>
      </c>
      <c r="E57" s="918"/>
      <c r="F57" s="918"/>
    </row>
    <row r="58" spans="1:6" s="167" customFormat="1" ht="13.9" customHeight="1">
      <c r="A58" s="200"/>
      <c r="D58" s="189" t="s">
        <v>64</v>
      </c>
    </row>
    <row r="59" spans="1:6" s="167" customFormat="1" ht="13.9" customHeight="1">
      <c r="A59" s="200"/>
      <c r="D59" s="189" t="s">
        <v>65</v>
      </c>
    </row>
    <row r="60" spans="1:6" s="167" customFormat="1" ht="13.9" customHeight="1">
      <c r="A60" s="200"/>
      <c r="D60" s="167" t="s">
        <v>66</v>
      </c>
      <c r="E60" s="168"/>
    </row>
    <row r="61" spans="1:6" ht="13.9" customHeight="1">
      <c r="A61" s="196"/>
      <c r="D61" s="84"/>
      <c r="E61" s="169"/>
    </row>
    <row r="62" spans="1:6" ht="13.9" customHeight="1">
      <c r="A62" s="196"/>
      <c r="B62" s="197" t="s">
        <v>67</v>
      </c>
      <c r="D62" s="84"/>
      <c r="E62" s="84"/>
    </row>
    <row r="63" spans="1:6" ht="13.9" customHeight="1">
      <c r="A63" s="196"/>
      <c r="D63" s="910" t="s">
        <v>68</v>
      </c>
      <c r="E63" s="910"/>
    </row>
    <row r="64" spans="1:6" s="182" customFormat="1" ht="27" customHeight="1">
      <c r="A64" s="199"/>
      <c r="D64" s="423" t="s">
        <v>69</v>
      </c>
      <c r="E64" s="906" t="s">
        <v>70</v>
      </c>
      <c r="F64" s="906"/>
    </row>
    <row r="65" spans="1:6" s="182" customFormat="1" ht="27" customHeight="1">
      <c r="A65" s="199"/>
      <c r="D65" s="423" t="s">
        <v>71</v>
      </c>
      <c r="E65" s="906" t="s">
        <v>72</v>
      </c>
      <c r="F65" s="906"/>
    </row>
    <row r="66" spans="1:6" s="182" customFormat="1" ht="27" customHeight="1">
      <c r="A66" s="199"/>
      <c r="D66" s="423" t="s">
        <v>73</v>
      </c>
      <c r="E66" s="906" t="s">
        <v>74</v>
      </c>
      <c r="F66" s="906"/>
    </row>
    <row r="67" spans="1:6" ht="13.9" customHeight="1">
      <c r="A67" s="196"/>
      <c r="D67" s="907" t="s">
        <v>75</v>
      </c>
      <c r="E67" s="907"/>
    </row>
    <row r="68" spans="1:6" s="182" customFormat="1" ht="27" customHeight="1">
      <c r="A68" s="199"/>
      <c r="D68" s="423" t="s">
        <v>71</v>
      </c>
      <c r="E68" s="906" t="s">
        <v>76</v>
      </c>
      <c r="F68" s="906"/>
    </row>
    <row r="69" spans="1:6" s="182" customFormat="1" ht="27" customHeight="1">
      <c r="A69" s="199"/>
      <c r="D69" s="423" t="s">
        <v>73</v>
      </c>
      <c r="E69" s="906" t="s">
        <v>77</v>
      </c>
      <c r="F69" s="906"/>
    </row>
    <row r="70" spans="1:6" ht="13.9" customHeight="1">
      <c r="A70" s="196"/>
      <c r="D70" s="907" t="s">
        <v>78</v>
      </c>
      <c r="E70" s="907"/>
    </row>
    <row r="71" spans="1:6" s="182" customFormat="1" ht="27" customHeight="1">
      <c r="A71" s="199"/>
      <c r="D71" s="423" t="s">
        <v>71</v>
      </c>
      <c r="E71" s="906" t="s">
        <v>79</v>
      </c>
      <c r="F71" s="906"/>
    </row>
    <row r="72" spans="1:6" s="182" customFormat="1" ht="27" customHeight="1">
      <c r="A72" s="199"/>
      <c r="D72" s="423" t="s">
        <v>73</v>
      </c>
      <c r="E72" s="906" t="s">
        <v>80</v>
      </c>
      <c r="F72" s="906"/>
    </row>
    <row r="73" spans="1:6" ht="13.9" customHeight="1">
      <c r="A73" s="196"/>
      <c r="D73" s="84"/>
      <c r="E73" s="169"/>
    </row>
    <row r="74" spans="1:6" ht="13.9" customHeight="1">
      <c r="A74" s="197" t="s">
        <v>81</v>
      </c>
      <c r="B74" s="262" t="s">
        <v>82</v>
      </c>
      <c r="D74" s="197" t="s">
        <v>83</v>
      </c>
      <c r="E74" s="84"/>
    </row>
    <row r="75" spans="1:6" ht="13.9" customHeight="1">
      <c r="A75" s="196"/>
      <c r="D75" s="84"/>
      <c r="E75" s="84"/>
    </row>
    <row r="76" spans="1:6" ht="13.9" customHeight="1">
      <c r="A76" s="196"/>
      <c r="B76" s="197" t="s">
        <v>84</v>
      </c>
      <c r="D76" s="84"/>
      <c r="E76" s="84"/>
    </row>
    <row r="77" spans="1:6" s="182" customFormat="1" ht="27" customHeight="1">
      <c r="A77" s="199"/>
      <c r="D77" s="417" t="s">
        <v>85</v>
      </c>
      <c r="E77" s="903" t="s">
        <v>86</v>
      </c>
      <c r="F77" s="903"/>
    </row>
    <row r="78" spans="1:6" s="182" customFormat="1" ht="27" customHeight="1">
      <c r="A78" s="199"/>
      <c r="D78" s="417" t="s">
        <v>87</v>
      </c>
      <c r="E78" s="903" t="s">
        <v>88</v>
      </c>
      <c r="F78" s="903"/>
    </row>
    <row r="79" spans="1:6" s="182" customFormat="1" ht="27" customHeight="1">
      <c r="A79" s="199"/>
      <c r="D79" s="424" t="s">
        <v>89</v>
      </c>
      <c r="E79" s="903" t="s">
        <v>90</v>
      </c>
      <c r="F79" s="903"/>
    </row>
    <row r="80" spans="1:6" s="182" customFormat="1" ht="27" customHeight="1">
      <c r="A80" s="199"/>
      <c r="D80" s="417" t="s">
        <v>91</v>
      </c>
      <c r="E80" s="903" t="s">
        <v>92</v>
      </c>
      <c r="F80" s="903"/>
    </row>
    <row r="81" spans="1:6" ht="13.9" customHeight="1">
      <c r="A81" s="196"/>
      <c r="D81" s="84"/>
      <c r="E81" s="180"/>
    </row>
    <row r="82" spans="1:6" ht="13.9" customHeight="1">
      <c r="A82" s="196"/>
      <c r="B82" s="919" t="s">
        <v>93</v>
      </c>
      <c r="C82" s="919"/>
      <c r="D82" s="919"/>
      <c r="E82" s="919"/>
      <c r="F82" s="919"/>
    </row>
    <row r="83" spans="1:6" ht="13.9" customHeight="1">
      <c r="A83" s="196"/>
      <c r="B83" s="919"/>
      <c r="C83" s="919"/>
      <c r="D83" s="919"/>
      <c r="E83" s="919"/>
      <c r="F83" s="919"/>
    </row>
    <row r="84" spans="1:6" s="182" customFormat="1" ht="27" customHeight="1">
      <c r="A84" s="199"/>
      <c r="D84" s="425" t="s">
        <v>94</v>
      </c>
      <c r="E84" s="903" t="s">
        <v>95</v>
      </c>
      <c r="F84" s="903"/>
    </row>
    <row r="85" spans="1:6" s="182" customFormat="1" ht="27" customHeight="1">
      <c r="A85" s="199"/>
      <c r="D85" s="426" t="s">
        <v>96</v>
      </c>
      <c r="E85" s="903" t="s">
        <v>97</v>
      </c>
      <c r="F85" s="903"/>
    </row>
    <row r="86" spans="1:6" s="182" customFormat="1" ht="27" customHeight="1">
      <c r="A86" s="199"/>
      <c r="D86" s="425" t="s">
        <v>89</v>
      </c>
      <c r="E86" s="903" t="s">
        <v>98</v>
      </c>
      <c r="F86" s="903"/>
    </row>
    <row r="87" spans="1:6" s="182" customFormat="1" ht="27" customHeight="1">
      <c r="A87" s="199"/>
      <c r="D87" s="425" t="s">
        <v>99</v>
      </c>
      <c r="E87" s="903" t="s">
        <v>100</v>
      </c>
      <c r="F87" s="903"/>
    </row>
    <row r="88" spans="1:6" s="182" customFormat="1" ht="27" customHeight="1">
      <c r="A88" s="199"/>
      <c r="D88" s="425" t="s">
        <v>101</v>
      </c>
      <c r="E88" s="911" t="s">
        <v>102</v>
      </c>
      <c r="F88" s="912"/>
    </row>
    <row r="89" spans="1:6" s="182" customFormat="1" ht="43.9" customHeight="1">
      <c r="A89" s="199"/>
      <c r="D89" s="425" t="s">
        <v>103</v>
      </c>
      <c r="E89" s="903" t="s">
        <v>104</v>
      </c>
      <c r="F89" s="903"/>
    </row>
    <row r="90" spans="1:6" ht="13.9" customHeight="1">
      <c r="A90" s="196"/>
      <c r="D90" s="905"/>
      <c r="E90" s="905"/>
    </row>
    <row r="91" spans="1:6" ht="13.9" customHeight="1">
      <c r="A91" s="196"/>
      <c r="D91" s="247"/>
      <c r="E91" s="247"/>
    </row>
    <row r="92" spans="1:6" ht="13.9" customHeight="1">
      <c r="A92" s="196"/>
      <c r="B92" s="197" t="s">
        <v>105</v>
      </c>
      <c r="D92" s="247"/>
      <c r="E92" s="247"/>
    </row>
    <row r="93" spans="1:6" ht="27" customHeight="1">
      <c r="A93" s="196"/>
      <c r="D93" s="425" t="s">
        <v>85</v>
      </c>
      <c r="E93" s="903" t="s">
        <v>106</v>
      </c>
      <c r="F93" s="903"/>
    </row>
    <row r="94" spans="1:6" ht="27" customHeight="1">
      <c r="A94" s="196"/>
      <c r="D94" s="426" t="s">
        <v>96</v>
      </c>
      <c r="E94" s="903" t="s">
        <v>107</v>
      </c>
      <c r="F94" s="903"/>
    </row>
    <row r="95" spans="1:6" ht="27" customHeight="1">
      <c r="A95" s="196"/>
      <c r="D95" s="425" t="s">
        <v>89</v>
      </c>
      <c r="E95" s="903" t="s">
        <v>108</v>
      </c>
      <c r="F95" s="903"/>
    </row>
    <row r="96" spans="1:6" ht="27" customHeight="1">
      <c r="A96" s="196"/>
      <c r="D96" s="425" t="s">
        <v>109</v>
      </c>
      <c r="E96" s="903" t="s">
        <v>110</v>
      </c>
      <c r="F96" s="903"/>
    </row>
    <row r="97" spans="1:6" ht="27" customHeight="1">
      <c r="A97" s="196"/>
      <c r="D97" s="425" t="s">
        <v>111</v>
      </c>
      <c r="E97" s="903" t="s">
        <v>112</v>
      </c>
      <c r="F97" s="903"/>
    </row>
    <row r="98" spans="1:6" ht="13.9" customHeight="1">
      <c r="A98" s="196"/>
      <c r="D98" s="905" t="s">
        <v>113</v>
      </c>
      <c r="E98" s="905"/>
    </row>
    <row r="99" spans="1:6" ht="13.9" customHeight="1">
      <c r="A99" s="196"/>
      <c r="D99" s="84"/>
      <c r="E99" s="84"/>
    </row>
    <row r="100" spans="1:6" ht="13.9" customHeight="1">
      <c r="A100" s="197" t="s">
        <v>114</v>
      </c>
      <c r="B100" s="262" t="s">
        <v>115</v>
      </c>
      <c r="D100" s="901" t="s">
        <v>116</v>
      </c>
      <c r="E100" s="901"/>
      <c r="F100" s="901"/>
    </row>
    <row r="101" spans="1:6" ht="13.9" customHeight="1">
      <c r="A101" s="197"/>
      <c r="B101" s="173"/>
      <c r="D101" s="901"/>
      <c r="E101" s="901"/>
      <c r="F101" s="901"/>
    </row>
    <row r="102" spans="1:6" ht="13.9" customHeight="1">
      <c r="A102" s="197"/>
      <c r="B102" s="173"/>
      <c r="D102" s="184"/>
      <c r="E102" s="184"/>
      <c r="F102" s="184"/>
    </row>
    <row r="103" spans="1:6" ht="13.9" customHeight="1">
      <c r="A103" s="197"/>
      <c r="D103" s="185" t="s">
        <v>117</v>
      </c>
      <c r="E103" s="84"/>
    </row>
    <row r="104" spans="1:6" ht="13.9" customHeight="1">
      <c r="A104" s="196"/>
      <c r="D104" s="186" t="s">
        <v>118</v>
      </c>
      <c r="E104" s="84"/>
    </row>
    <row r="105" spans="1:6" ht="13.9" customHeight="1">
      <c r="A105" s="196"/>
      <c r="D105" s="187" t="s">
        <v>119</v>
      </c>
      <c r="E105" s="84"/>
    </row>
    <row r="106" spans="1:6" ht="13.9" customHeight="1">
      <c r="A106" s="196"/>
      <c r="D106" s="170"/>
      <c r="E106" s="84"/>
    </row>
    <row r="107" spans="1:6" ht="13.9" customHeight="1">
      <c r="A107" s="196"/>
      <c r="D107" s="195" t="s">
        <v>120</v>
      </c>
      <c r="E107" s="84"/>
    </row>
    <row r="108" spans="1:6" ht="27" customHeight="1">
      <c r="A108" s="196"/>
      <c r="D108" s="422" t="s">
        <v>121</v>
      </c>
      <c r="E108" s="903" t="s">
        <v>122</v>
      </c>
      <c r="F108" s="903"/>
    </row>
    <row r="109" spans="1:6" ht="27" customHeight="1">
      <c r="A109" s="196"/>
      <c r="D109" s="422" t="s">
        <v>123</v>
      </c>
      <c r="E109" s="903" t="s">
        <v>124</v>
      </c>
      <c r="F109" s="903"/>
    </row>
    <row r="110" spans="1:6" ht="27" customHeight="1">
      <c r="A110" s="196"/>
      <c r="D110" s="422" t="s">
        <v>125</v>
      </c>
      <c r="E110" s="903" t="s">
        <v>126</v>
      </c>
      <c r="F110" s="903"/>
    </row>
    <row r="111" spans="1:6" ht="27" customHeight="1">
      <c r="A111" s="196"/>
      <c r="D111" s="422" t="s">
        <v>127</v>
      </c>
      <c r="E111" s="903" t="s">
        <v>128</v>
      </c>
      <c r="F111" s="903"/>
    </row>
    <row r="112" spans="1:6" ht="27" customHeight="1">
      <c r="A112" s="196"/>
      <c r="D112" s="422" t="s">
        <v>129</v>
      </c>
      <c r="E112" s="903" t="s">
        <v>130</v>
      </c>
      <c r="F112" s="903"/>
    </row>
    <row r="113" spans="1:6" ht="27" customHeight="1">
      <c r="A113" s="196"/>
      <c r="D113" s="422" t="s">
        <v>131</v>
      </c>
      <c r="E113" s="903" t="s">
        <v>132</v>
      </c>
      <c r="F113" s="903"/>
    </row>
    <row r="114" spans="1:6" ht="27" customHeight="1">
      <c r="A114" s="196"/>
      <c r="D114" s="423" t="s">
        <v>133</v>
      </c>
      <c r="E114" s="903" t="s">
        <v>134</v>
      </c>
      <c r="F114" s="903"/>
    </row>
    <row r="115" spans="1:6" ht="27" customHeight="1">
      <c r="A115" s="196"/>
      <c r="D115" s="422" t="s">
        <v>135</v>
      </c>
      <c r="E115" s="903" t="s">
        <v>136</v>
      </c>
      <c r="F115" s="903"/>
    </row>
    <row r="116" spans="1:6" ht="12.75">
      <c r="A116" s="196"/>
      <c r="C116" s="134"/>
      <c r="D116" s="918" t="s">
        <v>137</v>
      </c>
      <c r="E116" s="918"/>
      <c r="F116" s="183"/>
    </row>
    <row r="117" spans="1:6" ht="12.75">
      <c r="A117" s="196"/>
      <c r="C117" s="134"/>
      <c r="D117" s="205"/>
      <c r="E117" s="205"/>
      <c r="F117" s="183"/>
    </row>
    <row r="118" spans="1:6" ht="13.9" customHeight="1">
      <c r="A118" s="197" t="s">
        <v>138</v>
      </c>
      <c r="B118" s="262" t="s">
        <v>139</v>
      </c>
      <c r="D118" s="919" t="s">
        <v>140</v>
      </c>
      <c r="E118" s="919"/>
    </row>
    <row r="119" spans="1:6" ht="27" customHeight="1">
      <c r="A119" s="196"/>
      <c r="D119" s="422" t="s">
        <v>141</v>
      </c>
      <c r="E119" s="903" t="s">
        <v>142</v>
      </c>
      <c r="F119" s="903"/>
    </row>
    <row r="120" spans="1:6" ht="27" customHeight="1">
      <c r="A120" s="196"/>
      <c r="D120" s="422" t="s">
        <v>143</v>
      </c>
      <c r="E120" s="903" t="s">
        <v>144</v>
      </c>
      <c r="F120" s="903"/>
    </row>
    <row r="121" spans="1:6" ht="27" customHeight="1">
      <c r="A121" s="196"/>
      <c r="D121" s="422" t="s">
        <v>145</v>
      </c>
      <c r="E121" s="903" t="s">
        <v>146</v>
      </c>
      <c r="F121" s="903"/>
    </row>
    <row r="122" spans="1:6" ht="13.9" customHeight="1">
      <c r="A122" s="196"/>
      <c r="D122" s="84"/>
      <c r="E122" s="84"/>
    </row>
    <row r="123" spans="1:6" ht="13.9" customHeight="1">
      <c r="A123" s="197" t="s">
        <v>147</v>
      </c>
      <c r="B123" s="262" t="s">
        <v>148</v>
      </c>
      <c r="D123" s="198" t="s">
        <v>149</v>
      </c>
      <c r="E123" s="171"/>
    </row>
    <row r="124" spans="1:6" ht="27" customHeight="1">
      <c r="A124" s="196"/>
      <c r="D124" s="422" t="s">
        <v>150</v>
      </c>
      <c r="E124" s="903" t="s">
        <v>151</v>
      </c>
      <c r="F124" s="903"/>
    </row>
    <row r="125" spans="1:6" ht="27" customHeight="1">
      <c r="A125" s="196"/>
      <c r="D125" s="422" t="s">
        <v>152</v>
      </c>
      <c r="E125" s="903" t="s">
        <v>153</v>
      </c>
      <c r="F125" s="903"/>
    </row>
    <row r="126" spans="1:6" ht="13.9" customHeight="1">
      <c r="A126" s="196"/>
      <c r="D126" s="84"/>
      <c r="E126" s="84"/>
    </row>
    <row r="127" spans="1:6" ht="13.9" customHeight="1">
      <c r="A127" s="196"/>
      <c r="D127" s="902" t="s">
        <v>154</v>
      </c>
      <c r="E127" s="902"/>
      <c r="F127" s="427"/>
    </row>
    <row r="128" spans="1:6" ht="27" customHeight="1">
      <c r="A128" s="196"/>
      <c r="D128" s="428" t="s">
        <v>155</v>
      </c>
      <c r="E128" s="904" t="s">
        <v>156</v>
      </c>
      <c r="F128" s="904"/>
    </row>
    <row r="129" spans="1:6" ht="27" customHeight="1">
      <c r="A129" s="196"/>
      <c r="D129" s="422" t="s">
        <v>157</v>
      </c>
      <c r="E129" s="903" t="s">
        <v>158</v>
      </c>
      <c r="F129" s="903"/>
    </row>
    <row r="130" spans="1:6" ht="27" customHeight="1">
      <c r="A130" s="196"/>
      <c r="D130" s="422" t="s">
        <v>159</v>
      </c>
      <c r="E130" s="903" t="s">
        <v>160</v>
      </c>
      <c r="F130" s="903"/>
    </row>
    <row r="131" spans="1:6" ht="22.9" customHeight="1">
      <c r="A131" s="196"/>
      <c r="D131" s="422" t="s">
        <v>161</v>
      </c>
      <c r="E131" s="903" t="s">
        <v>162</v>
      </c>
      <c r="F131" s="903"/>
    </row>
    <row r="132" spans="1:6" ht="22.9" customHeight="1">
      <c r="A132" s="196"/>
      <c r="D132" s="84"/>
      <c r="E132" s="84"/>
    </row>
    <row r="133" spans="1:6" ht="22.9" customHeight="1">
      <c r="A133" s="197" t="s">
        <v>163</v>
      </c>
      <c r="B133" s="194" t="s">
        <v>164</v>
      </c>
      <c r="D133" s="901" t="s">
        <v>165</v>
      </c>
      <c r="E133" s="901"/>
    </row>
    <row r="134" spans="1:6" ht="10.9" customHeight="1">
      <c r="D134" s="901"/>
      <c r="E134" s="901"/>
    </row>
    <row r="135" spans="1:6" ht="22.9" hidden="1" customHeight="1">
      <c r="D135" s="901"/>
      <c r="E135" s="901"/>
    </row>
    <row r="136" spans="1:6" ht="18.600000000000001" customHeight="1">
      <c r="A136" s="197" t="s">
        <v>166</v>
      </c>
      <c r="B136" s="262" t="s">
        <v>167</v>
      </c>
      <c r="D136" s="901" t="s">
        <v>168</v>
      </c>
      <c r="E136" s="901"/>
    </row>
    <row r="137" spans="1:6" ht="7.9" customHeight="1">
      <c r="D137" s="901"/>
      <c r="E137" s="901"/>
    </row>
    <row r="138" spans="1:6" ht="22.9" customHeight="1" thickBot="1">
      <c r="A138" s="197">
        <v>9</v>
      </c>
      <c r="B138" s="194" t="s">
        <v>169</v>
      </c>
      <c r="D138" s="896" t="s">
        <v>170</v>
      </c>
      <c r="E138" s="896"/>
    </row>
    <row r="139" spans="1:6" ht="22.9" customHeight="1" thickBot="1">
      <c r="D139" s="254" t="s">
        <v>171</v>
      </c>
      <c r="E139" s="254" t="s">
        <v>172</v>
      </c>
      <c r="F139" s="253"/>
    </row>
    <row r="140" spans="1:6" ht="13.9" customHeight="1">
      <c r="D140" s="429" t="s">
        <v>173</v>
      </c>
      <c r="E140" s="899" t="s">
        <v>174</v>
      </c>
      <c r="F140" s="900"/>
    </row>
    <row r="141" spans="1:6" ht="13.9" customHeight="1">
      <c r="D141" s="430" t="s">
        <v>175</v>
      </c>
      <c r="E141" s="892" t="s">
        <v>174</v>
      </c>
      <c r="F141" s="893"/>
    </row>
    <row r="142" spans="1:6" ht="13.9" customHeight="1">
      <c r="D142" s="430" t="s">
        <v>176</v>
      </c>
      <c r="E142" s="892" t="s">
        <v>177</v>
      </c>
      <c r="F142" s="893"/>
    </row>
    <row r="143" spans="1:6" ht="13.9" customHeight="1">
      <c r="D143" s="430" t="s">
        <v>178</v>
      </c>
      <c r="E143" s="892" t="s">
        <v>179</v>
      </c>
      <c r="F143" s="893"/>
    </row>
    <row r="144" spans="1:6" ht="13.9" customHeight="1">
      <c r="D144" s="430" t="s">
        <v>180</v>
      </c>
      <c r="E144" s="892" t="s">
        <v>179</v>
      </c>
      <c r="F144" s="893"/>
    </row>
    <row r="145" spans="4:6" ht="13.9" customHeight="1">
      <c r="D145" s="430" t="s">
        <v>181</v>
      </c>
      <c r="E145" s="892" t="s">
        <v>179</v>
      </c>
      <c r="F145" s="893"/>
    </row>
    <row r="146" spans="4:6" ht="13.9" customHeight="1">
      <c r="D146" s="430" t="s">
        <v>182</v>
      </c>
      <c r="E146" s="892" t="s">
        <v>183</v>
      </c>
      <c r="F146" s="893"/>
    </row>
    <row r="147" spans="4:6" ht="13.9" customHeight="1">
      <c r="D147" s="430" t="s">
        <v>184</v>
      </c>
      <c r="E147" s="892" t="s">
        <v>185</v>
      </c>
      <c r="F147" s="893"/>
    </row>
    <row r="148" spans="4:6" ht="13.9" customHeight="1">
      <c r="D148" s="430" t="s">
        <v>186</v>
      </c>
      <c r="E148" s="892" t="s">
        <v>186</v>
      </c>
      <c r="F148" s="893"/>
    </row>
    <row r="149" spans="4:6" ht="13.9" customHeight="1">
      <c r="D149" s="430" t="s">
        <v>187</v>
      </c>
      <c r="E149" s="892" t="s">
        <v>187</v>
      </c>
      <c r="F149" s="893"/>
    </row>
    <row r="150" spans="4:6" ht="13.9" customHeight="1">
      <c r="D150" s="430" t="s">
        <v>188</v>
      </c>
      <c r="E150" s="892" t="s">
        <v>185</v>
      </c>
      <c r="F150" s="893"/>
    </row>
    <row r="151" spans="4:6" ht="13.9" customHeight="1">
      <c r="D151" s="430" t="s">
        <v>189</v>
      </c>
      <c r="E151" s="892" t="s">
        <v>185</v>
      </c>
      <c r="F151" s="893"/>
    </row>
    <row r="152" spans="4:6" ht="13.9" customHeight="1">
      <c r="D152" s="430" t="s">
        <v>190</v>
      </c>
      <c r="E152" s="892" t="s">
        <v>185</v>
      </c>
      <c r="F152" s="893"/>
    </row>
    <row r="153" spans="4:6" ht="13.9" customHeight="1">
      <c r="D153" s="430" t="s">
        <v>191</v>
      </c>
      <c r="E153" s="892" t="s">
        <v>192</v>
      </c>
      <c r="F153" s="893"/>
    </row>
    <row r="154" spans="4:6" ht="13.9" customHeight="1">
      <c r="D154" s="430" t="s">
        <v>193</v>
      </c>
      <c r="E154" s="892" t="s">
        <v>177</v>
      </c>
      <c r="F154" s="893"/>
    </row>
    <row r="155" spans="4:6" ht="13.9" customHeight="1">
      <c r="D155" s="430" t="s">
        <v>194</v>
      </c>
      <c r="E155" s="892" t="s">
        <v>195</v>
      </c>
      <c r="F155" s="893"/>
    </row>
    <row r="156" spans="4:6" ht="13.9" customHeight="1">
      <c r="D156" s="430" t="s">
        <v>196</v>
      </c>
      <c r="E156" s="897" t="s">
        <v>197</v>
      </c>
      <c r="F156" s="898"/>
    </row>
    <row r="157" spans="4:6" ht="13.9" customHeight="1">
      <c r="D157" s="430" t="s">
        <v>198</v>
      </c>
      <c r="E157" s="897" t="s">
        <v>199</v>
      </c>
      <c r="F157" s="898"/>
    </row>
    <row r="158" spans="4:6" ht="13.9" customHeight="1">
      <c r="D158" s="430" t="s">
        <v>200</v>
      </c>
      <c r="E158" s="892" t="s">
        <v>192</v>
      </c>
      <c r="F158" s="893"/>
    </row>
    <row r="159" spans="4:6" ht="13.9" customHeight="1">
      <c r="D159" s="430" t="s">
        <v>201</v>
      </c>
      <c r="E159" s="892" t="s">
        <v>174</v>
      </c>
      <c r="F159" s="893"/>
    </row>
    <row r="160" spans="4:6" ht="13.9" customHeight="1">
      <c r="D160" s="430" t="s">
        <v>202</v>
      </c>
      <c r="E160" s="892" t="s">
        <v>192</v>
      </c>
      <c r="F160" s="893"/>
    </row>
    <row r="161" spans="4:6" ht="13.9" customHeight="1">
      <c r="D161" s="430" t="s">
        <v>203</v>
      </c>
      <c r="E161" s="892" t="s">
        <v>177</v>
      </c>
      <c r="F161" s="893"/>
    </row>
    <row r="162" spans="4:6" ht="13.9" customHeight="1">
      <c r="D162" s="430" t="s">
        <v>204</v>
      </c>
      <c r="E162" s="892" t="s">
        <v>204</v>
      </c>
      <c r="F162" s="893"/>
    </row>
    <row r="163" spans="4:6" ht="13.9" customHeight="1">
      <c r="D163" s="430" t="s">
        <v>205</v>
      </c>
      <c r="E163" s="892" t="s">
        <v>206</v>
      </c>
      <c r="F163" s="893"/>
    </row>
    <row r="164" spans="4:6" ht="13.9" customHeight="1">
      <c r="D164" s="430" t="s">
        <v>207</v>
      </c>
      <c r="E164" s="892" t="s">
        <v>177</v>
      </c>
      <c r="F164" s="893"/>
    </row>
    <row r="165" spans="4:6" ht="13.9" customHeight="1">
      <c r="D165" s="430" t="s">
        <v>208</v>
      </c>
      <c r="E165" s="892" t="s">
        <v>174</v>
      </c>
      <c r="F165" s="893"/>
    </row>
    <row r="166" spans="4:6" ht="13.9" customHeight="1">
      <c r="D166" s="430" t="s">
        <v>209</v>
      </c>
      <c r="E166" s="892" t="s">
        <v>177</v>
      </c>
      <c r="F166" s="893"/>
    </row>
    <row r="167" spans="4:6" ht="13.9" customHeight="1">
      <c r="D167" s="430" t="s">
        <v>210</v>
      </c>
      <c r="E167" s="892" t="s">
        <v>177</v>
      </c>
      <c r="F167" s="893"/>
    </row>
    <row r="168" spans="4:6" ht="13.9" customHeight="1">
      <c r="D168" s="430" t="s">
        <v>211</v>
      </c>
      <c r="E168" s="892" t="s">
        <v>177</v>
      </c>
      <c r="F168" s="893"/>
    </row>
    <row r="169" spans="4:6" ht="13.9" customHeight="1">
      <c r="D169" s="430" t="s">
        <v>212</v>
      </c>
      <c r="E169" s="892" t="s">
        <v>212</v>
      </c>
      <c r="F169" s="893"/>
    </row>
    <row r="170" spans="4:6" ht="13.9" customHeight="1">
      <c r="D170" s="430" t="s">
        <v>213</v>
      </c>
      <c r="E170" s="892" t="s">
        <v>183</v>
      </c>
      <c r="F170" s="893"/>
    </row>
    <row r="171" spans="4:6" ht="13.9" customHeight="1">
      <c r="D171" s="430" t="s">
        <v>214</v>
      </c>
      <c r="E171" s="892" t="s">
        <v>174</v>
      </c>
      <c r="F171" s="893"/>
    </row>
    <row r="172" spans="4:6" ht="13.9" customHeight="1">
      <c r="D172" s="430" t="s">
        <v>215</v>
      </c>
      <c r="E172" s="431" t="s">
        <v>215</v>
      </c>
      <c r="F172" s="432"/>
    </row>
    <row r="173" spans="4:6" ht="13.9" customHeight="1">
      <c r="D173" s="430" t="s">
        <v>216</v>
      </c>
      <c r="E173" s="892" t="s">
        <v>177</v>
      </c>
      <c r="F173" s="893"/>
    </row>
    <row r="174" spans="4:6" ht="13.9" customHeight="1">
      <c r="D174" s="430" t="s">
        <v>217</v>
      </c>
      <c r="E174" s="892" t="s">
        <v>177</v>
      </c>
      <c r="F174" s="893"/>
    </row>
    <row r="175" spans="4:6" ht="13.9" customHeight="1">
      <c r="D175" s="430" t="s">
        <v>218</v>
      </c>
      <c r="E175" s="892" t="s">
        <v>218</v>
      </c>
      <c r="F175" s="893"/>
    </row>
    <row r="176" spans="4:6" ht="13.9" customHeight="1" thickBot="1">
      <c r="D176" s="433" t="s">
        <v>219</v>
      </c>
      <c r="E176" s="894" t="s">
        <v>174</v>
      </c>
      <c r="F176" s="895"/>
    </row>
    <row r="178" spans="3:3" s="274" customFormat="1" ht="13.9" customHeight="1"/>
    <row r="179" spans="3:3" s="274" customFormat="1" ht="13.9" customHeight="1">
      <c r="C179" s="275" t="s">
        <v>220</v>
      </c>
    </row>
    <row r="180" spans="3:3" s="274" customFormat="1" ht="13.9" customHeight="1"/>
    <row r="181" spans="3:3" s="274" customFormat="1" ht="13.9" customHeight="1"/>
    <row r="182" spans="3:3" s="274" customFormat="1" ht="13.9" customHeight="1"/>
    <row r="183" spans="3:3" s="274" customFormat="1" ht="13.9" customHeight="1"/>
    <row r="184" spans="3:3" s="274" customFormat="1" ht="13.9" customHeight="1"/>
    <row r="185" spans="3:3" s="274" customFormat="1" ht="13.9" customHeight="1"/>
    <row r="186" spans="3:3" s="274" customFormat="1" ht="13.9" customHeight="1"/>
    <row r="187" spans="3:3" s="274" customFormat="1" ht="13.9" customHeight="1"/>
    <row r="188" spans="3:3" s="274" customFormat="1" ht="13.9" customHeight="1"/>
    <row r="189" spans="3:3" s="274" customFormat="1" ht="13.9" customHeight="1"/>
    <row r="190" spans="3:3" s="274" customFormat="1" ht="13.9" customHeight="1"/>
    <row r="191" spans="3:3" s="274" customFormat="1" ht="13.9" customHeight="1"/>
    <row r="192" spans="3:3" s="274" customFormat="1" ht="13.9" customHeight="1"/>
    <row r="193" s="274" customFormat="1" ht="13.9" customHeight="1"/>
    <row r="194" s="274" customFormat="1" ht="13.9" customHeight="1"/>
    <row r="195" s="274" customFormat="1" ht="13.9" customHeight="1"/>
    <row r="196" s="274" customFormat="1" ht="13.9" customHeight="1"/>
    <row r="197" s="274" customFormat="1" ht="13.9" customHeight="1"/>
    <row r="198" s="274" customFormat="1" ht="13.9" customHeight="1"/>
    <row r="199" s="274" customFormat="1" ht="13.9" customHeight="1"/>
    <row r="200" s="274" customFormat="1" ht="13.9" customHeight="1"/>
    <row r="201" s="274" customFormat="1" ht="13.9" customHeight="1"/>
    <row r="202" s="274" customFormat="1" ht="13.9" customHeight="1"/>
    <row r="203" s="274" customFormat="1" ht="13.9" customHeight="1"/>
    <row r="204" s="274" customFormat="1" ht="13.9" customHeight="1"/>
    <row r="205" s="274" customFormat="1" ht="13.9" customHeight="1"/>
    <row r="206" s="274" customFormat="1" ht="13.9" customHeight="1"/>
    <row r="207" s="274" customFormat="1" ht="13.9" customHeight="1"/>
    <row r="208" s="274" customFormat="1" ht="13.9" customHeight="1"/>
    <row r="209" spans="2:7" s="274" customFormat="1" ht="13.9" customHeight="1"/>
    <row r="210" spans="2:7" s="274" customFormat="1" ht="13.9" customHeight="1"/>
    <row r="211" spans="2:7" s="274" customFormat="1" ht="13.9" customHeight="1"/>
    <row r="212" spans="2:7" s="274" customFormat="1" ht="13.9" customHeight="1"/>
    <row r="213" spans="2:7" s="274" customFormat="1" ht="13.9" customHeight="1"/>
    <row r="214" spans="2:7" s="274" customFormat="1" ht="13.9" customHeight="1"/>
    <row r="215" spans="2:7" s="274" customFormat="1" ht="13.9" customHeight="1"/>
    <row r="217" spans="2:7" ht="13.9" customHeight="1">
      <c r="B217" s="263" t="s">
        <v>221</v>
      </c>
    </row>
    <row r="218" spans="2:7" ht="29.45" customHeight="1">
      <c r="B218" s="890" t="s">
        <v>222</v>
      </c>
      <c r="C218" s="890"/>
      <c r="D218" s="890"/>
      <c r="E218" s="890"/>
      <c r="F218" s="181"/>
      <c r="G218" s="181"/>
    </row>
    <row r="219" spans="2:7" ht="13.9" customHeight="1" thickBot="1"/>
    <row r="220" spans="2:7" ht="13.9" customHeight="1" thickBot="1">
      <c r="C220" s="885" t="s">
        <v>223</v>
      </c>
      <c r="D220" s="886"/>
    </row>
    <row r="244" spans="2:4" ht="13.9" customHeight="1">
      <c r="B244" s="265" t="s">
        <v>224</v>
      </c>
      <c r="C244" s="265" t="s">
        <v>225</v>
      </c>
      <c r="D244" s="266" t="s">
        <v>226</v>
      </c>
    </row>
    <row r="245" spans="2:4" ht="13.9" customHeight="1">
      <c r="B245" s="264" t="s">
        <v>227</v>
      </c>
      <c r="C245" s="267" t="s">
        <v>228</v>
      </c>
      <c r="D245" s="268" t="s">
        <v>229</v>
      </c>
    </row>
    <row r="246" spans="2:4" ht="13.9" customHeight="1">
      <c r="B246" s="267"/>
      <c r="C246" s="267" t="s">
        <v>230</v>
      </c>
      <c r="D246" s="268" t="s">
        <v>231</v>
      </c>
    </row>
    <row r="247" spans="2:4" ht="13.9" customHeight="1">
      <c r="B247" s="267"/>
      <c r="C247" s="267" t="s">
        <v>232</v>
      </c>
      <c r="D247" s="268" t="s">
        <v>233</v>
      </c>
    </row>
    <row r="248" spans="2:4" ht="13.9" customHeight="1">
      <c r="B248" s="267"/>
      <c r="C248" s="267" t="s">
        <v>234</v>
      </c>
      <c r="D248" s="268" t="s">
        <v>235</v>
      </c>
    </row>
    <row r="249" spans="2:4" ht="13.9" customHeight="1">
      <c r="B249" s="267"/>
      <c r="C249" s="267" t="s">
        <v>236</v>
      </c>
      <c r="D249" s="268" t="s">
        <v>237</v>
      </c>
    </row>
    <row r="250" spans="2:4" ht="13.9" customHeight="1">
      <c r="B250" s="267"/>
      <c r="C250" s="267" t="s">
        <v>238</v>
      </c>
      <c r="D250" s="268" t="s">
        <v>239</v>
      </c>
    </row>
    <row r="251" spans="2:4" ht="13.9" customHeight="1">
      <c r="B251" s="267"/>
      <c r="C251" s="267" t="s">
        <v>240</v>
      </c>
      <c r="D251" s="268" t="s">
        <v>241</v>
      </c>
    </row>
    <row r="252" spans="2:4" ht="13.9" customHeight="1">
      <c r="B252" s="267"/>
      <c r="C252" s="267" t="s">
        <v>242</v>
      </c>
      <c r="D252" s="268" t="s">
        <v>243</v>
      </c>
    </row>
    <row r="253" spans="2:4" ht="13.9" customHeight="1">
      <c r="B253" s="267"/>
      <c r="C253" s="267" t="s">
        <v>244</v>
      </c>
      <c r="D253" s="268" t="s">
        <v>245</v>
      </c>
    </row>
    <row r="254" spans="2:4" ht="13.9" customHeight="1">
      <c r="B254" s="267"/>
      <c r="C254" s="267" t="s">
        <v>246</v>
      </c>
      <c r="D254" s="268" t="s">
        <v>247</v>
      </c>
    </row>
    <row r="255" spans="2:4" ht="13.9" customHeight="1">
      <c r="B255" s="267"/>
      <c r="C255" s="267" t="s">
        <v>248</v>
      </c>
      <c r="D255" s="268" t="s">
        <v>249</v>
      </c>
    </row>
    <row r="256" spans="2:4" ht="13.9" customHeight="1">
      <c r="B256" s="267"/>
      <c r="C256" s="267" t="s">
        <v>250</v>
      </c>
      <c r="D256" s="268" t="s">
        <v>251</v>
      </c>
    </row>
    <row r="257" spans="2:4" ht="13.9" customHeight="1">
      <c r="B257" s="267"/>
      <c r="C257" s="267" t="s">
        <v>252</v>
      </c>
      <c r="D257" s="268" t="s">
        <v>253</v>
      </c>
    </row>
    <row r="258" spans="2:4" ht="13.9" customHeight="1">
      <c r="B258" s="267"/>
      <c r="C258" s="267" t="s">
        <v>254</v>
      </c>
      <c r="D258" s="268" t="s">
        <v>255</v>
      </c>
    </row>
    <row r="259" spans="2:4" ht="13.9" customHeight="1">
      <c r="B259" s="267"/>
      <c r="C259" s="267" t="s">
        <v>256</v>
      </c>
      <c r="D259" s="268" t="s">
        <v>257</v>
      </c>
    </row>
    <row r="260" spans="2:4" ht="13.9" customHeight="1">
      <c r="B260" s="267"/>
      <c r="C260" s="267" t="s">
        <v>258</v>
      </c>
      <c r="D260" s="268" t="s">
        <v>259</v>
      </c>
    </row>
    <row r="261" spans="2:4" ht="13.9" customHeight="1">
      <c r="B261" s="267"/>
      <c r="C261" s="267" t="s">
        <v>260</v>
      </c>
      <c r="D261" s="268" t="s">
        <v>261</v>
      </c>
    </row>
    <row r="262" spans="2:4" ht="13.9" customHeight="1">
      <c r="B262" s="267"/>
      <c r="C262" s="267" t="s">
        <v>262</v>
      </c>
      <c r="D262" s="268" t="s">
        <v>263</v>
      </c>
    </row>
    <row r="263" spans="2:4" ht="13.9" customHeight="1">
      <c r="B263" s="267"/>
      <c r="C263" s="267" t="s">
        <v>264</v>
      </c>
      <c r="D263" s="268" t="s">
        <v>265</v>
      </c>
    </row>
    <row r="264" spans="2:4" ht="13.9" customHeight="1">
      <c r="B264" s="264" t="s">
        <v>266</v>
      </c>
      <c r="C264" s="267" t="s">
        <v>267</v>
      </c>
      <c r="D264" s="268" t="s">
        <v>268</v>
      </c>
    </row>
    <row r="265" spans="2:4" ht="13.9" customHeight="1">
      <c r="B265" s="267"/>
      <c r="C265" s="267" t="s">
        <v>269</v>
      </c>
      <c r="D265" s="268" t="s">
        <v>270</v>
      </c>
    </row>
    <row r="266" spans="2:4" ht="13.9" customHeight="1">
      <c r="B266" s="267"/>
      <c r="C266" s="267" t="s">
        <v>271</v>
      </c>
      <c r="D266" s="268" t="s">
        <v>272</v>
      </c>
    </row>
    <row r="267" spans="2:4" ht="13.9" customHeight="1">
      <c r="B267" s="267"/>
      <c r="C267" s="267" t="s">
        <v>273</v>
      </c>
      <c r="D267" s="268" t="s">
        <v>274</v>
      </c>
    </row>
    <row r="268" spans="2:4" ht="13.9" customHeight="1">
      <c r="B268" s="267"/>
      <c r="C268" s="267" t="s">
        <v>275</v>
      </c>
      <c r="D268" s="268" t="s">
        <v>276</v>
      </c>
    </row>
    <row r="269" spans="2:4" ht="13.9" customHeight="1">
      <c r="B269" s="267"/>
      <c r="C269" s="267" t="s">
        <v>277</v>
      </c>
      <c r="D269" s="268" t="s">
        <v>278</v>
      </c>
    </row>
    <row r="270" spans="2:4" ht="13.9" customHeight="1">
      <c r="B270" s="267"/>
      <c r="C270" s="267" t="s">
        <v>279</v>
      </c>
      <c r="D270" s="268" t="s">
        <v>280</v>
      </c>
    </row>
    <row r="271" spans="2:4" ht="13.9" customHeight="1">
      <c r="B271" s="267"/>
      <c r="C271" s="267" t="s">
        <v>281</v>
      </c>
      <c r="D271" s="268" t="s">
        <v>282</v>
      </c>
    </row>
    <row r="272" spans="2:4" ht="13.9" customHeight="1">
      <c r="B272" s="267"/>
      <c r="C272" s="267" t="s">
        <v>283</v>
      </c>
      <c r="D272" s="268" t="s">
        <v>284</v>
      </c>
    </row>
    <row r="273" spans="2:4" ht="13.9" customHeight="1">
      <c r="B273" s="267"/>
      <c r="C273" s="267" t="s">
        <v>285</v>
      </c>
      <c r="D273" s="268" t="s">
        <v>286</v>
      </c>
    </row>
    <row r="274" spans="2:4" ht="13.9" customHeight="1">
      <c r="B274" s="267"/>
      <c r="C274" s="267" t="s">
        <v>287</v>
      </c>
      <c r="D274" s="268" t="s">
        <v>288</v>
      </c>
    </row>
    <row r="275" spans="2:4" ht="13.9" customHeight="1">
      <c r="B275" s="267"/>
      <c r="C275" s="267" t="s">
        <v>289</v>
      </c>
      <c r="D275" s="268" t="s">
        <v>290</v>
      </c>
    </row>
    <row r="276" spans="2:4" ht="13.9" customHeight="1">
      <c r="B276" s="267"/>
      <c r="C276" s="267" t="s">
        <v>291</v>
      </c>
      <c r="D276" s="268" t="s">
        <v>292</v>
      </c>
    </row>
    <row r="277" spans="2:4" ht="13.9" customHeight="1">
      <c r="B277" s="267"/>
      <c r="C277" s="267" t="s">
        <v>271</v>
      </c>
      <c r="D277" s="268" t="s">
        <v>293</v>
      </c>
    </row>
    <row r="278" spans="2:4" ht="13.9" customHeight="1">
      <c r="B278" s="267"/>
      <c r="C278" s="267" t="s">
        <v>294</v>
      </c>
      <c r="D278" s="268" t="s">
        <v>295</v>
      </c>
    </row>
    <row r="279" spans="2:4" ht="13.9" customHeight="1">
      <c r="B279" s="267"/>
      <c r="C279" s="267" t="s">
        <v>296</v>
      </c>
      <c r="D279" s="268" t="s">
        <v>297</v>
      </c>
    </row>
    <row r="280" spans="2:4" ht="13.9" customHeight="1">
      <c r="B280" s="267"/>
      <c r="C280" s="267" t="s">
        <v>298</v>
      </c>
      <c r="D280" s="268" t="s">
        <v>299</v>
      </c>
    </row>
    <row r="281" spans="2:4" ht="13.9" customHeight="1">
      <c r="B281" s="264" t="s">
        <v>300</v>
      </c>
      <c r="C281" s="267" t="s">
        <v>277</v>
      </c>
      <c r="D281" s="268" t="s">
        <v>301</v>
      </c>
    </row>
    <row r="282" spans="2:4" ht="13.9" customHeight="1">
      <c r="B282" s="264"/>
      <c r="C282" s="267" t="s">
        <v>291</v>
      </c>
      <c r="D282" s="268" t="s">
        <v>302</v>
      </c>
    </row>
    <row r="283" spans="2:4" ht="13.9" customHeight="1">
      <c r="B283" s="264"/>
      <c r="C283" s="267" t="s">
        <v>283</v>
      </c>
      <c r="D283" s="268" t="s">
        <v>303</v>
      </c>
    </row>
    <row r="284" spans="2:4" ht="13.9" customHeight="1">
      <c r="B284" s="264"/>
      <c r="C284" s="267" t="s">
        <v>304</v>
      </c>
      <c r="D284" s="268" t="s">
        <v>305</v>
      </c>
    </row>
    <row r="285" spans="2:4" ht="30" customHeight="1">
      <c r="B285" s="269" t="s">
        <v>306</v>
      </c>
      <c r="C285" s="267" t="s">
        <v>307</v>
      </c>
      <c r="D285" s="267" t="s">
        <v>308</v>
      </c>
    </row>
    <row r="286" spans="2:4" ht="13.9" customHeight="1">
      <c r="B286" s="264"/>
      <c r="C286" s="267" t="s">
        <v>248</v>
      </c>
      <c r="D286" s="268" t="s">
        <v>309</v>
      </c>
    </row>
    <row r="287" spans="2:4" ht="13.9" customHeight="1">
      <c r="B287" s="264"/>
      <c r="C287" s="267" t="s">
        <v>310</v>
      </c>
      <c r="D287" s="268" t="s">
        <v>311</v>
      </c>
    </row>
    <row r="288" spans="2:4" ht="13.9" customHeight="1">
      <c r="B288" s="264" t="s">
        <v>312</v>
      </c>
      <c r="C288" s="267" t="s">
        <v>298</v>
      </c>
      <c r="D288" s="268" t="s">
        <v>313</v>
      </c>
    </row>
    <row r="289" spans="2:5" ht="13.9" customHeight="1">
      <c r="B289" s="267"/>
      <c r="C289" s="267" t="s">
        <v>314</v>
      </c>
      <c r="D289" s="268" t="s">
        <v>315</v>
      </c>
    </row>
    <row r="290" spans="2:5" ht="13.9" customHeight="1">
      <c r="B290" s="267"/>
      <c r="C290" s="267"/>
      <c r="D290" s="268"/>
    </row>
    <row r="291" spans="2:5" ht="13.9" customHeight="1">
      <c r="D291" s="84"/>
      <c r="E291" s="84"/>
    </row>
    <row r="292" spans="2:5" ht="13.9" customHeight="1">
      <c r="D292" s="84"/>
      <c r="E292" s="84"/>
    </row>
    <row r="293" spans="2:5" ht="13.9" customHeight="1">
      <c r="D293" s="84"/>
      <c r="E293" s="84"/>
    </row>
    <row r="294" spans="2:5" ht="13.9" customHeight="1">
      <c r="D294" s="84"/>
      <c r="E294" s="84"/>
    </row>
    <row r="295" spans="2:5" ht="13.9" customHeight="1">
      <c r="D295" s="84"/>
      <c r="E295" s="84"/>
    </row>
    <row r="296" spans="2:5" ht="13.9" customHeight="1">
      <c r="D296" s="84"/>
      <c r="E296" s="84"/>
    </row>
    <row r="297" spans="2:5" ht="13.9" customHeight="1">
      <c r="D297" s="84"/>
      <c r="E297" s="84"/>
    </row>
    <row r="298" spans="2:5" ht="13.9" customHeight="1">
      <c r="D298" s="84"/>
      <c r="E298" s="84"/>
    </row>
    <row r="299" spans="2:5" ht="13.9" customHeight="1">
      <c r="D299" s="84"/>
      <c r="E299" s="84"/>
    </row>
    <row r="300" spans="2:5" ht="13.9" customHeight="1" thickBot="1">
      <c r="B300" s="270" t="s">
        <v>316</v>
      </c>
      <c r="D300" s="84"/>
      <c r="E300" s="84"/>
    </row>
    <row r="301" spans="2:5" ht="43.9" customHeight="1">
      <c r="C301" s="271" t="s">
        <v>317</v>
      </c>
      <c r="D301" s="272" t="s">
        <v>318</v>
      </c>
      <c r="E301" s="273" t="s">
        <v>226</v>
      </c>
    </row>
    <row r="302" spans="2:5" ht="13.9" customHeight="1">
      <c r="C302" s="395">
        <v>0</v>
      </c>
      <c r="D302" s="394" t="s">
        <v>319</v>
      </c>
      <c r="E302" s="434" t="s">
        <v>320</v>
      </c>
    </row>
    <row r="303" spans="2:5" ht="13.9" customHeight="1">
      <c r="C303" s="395">
        <v>0.24</v>
      </c>
      <c r="D303" s="394" t="s">
        <v>321</v>
      </c>
      <c r="E303" s="434" t="s">
        <v>322</v>
      </c>
    </row>
    <row r="304" spans="2:5" ht="13.9" customHeight="1">
      <c r="C304" s="395">
        <v>0.24</v>
      </c>
      <c r="D304" s="394" t="s">
        <v>323</v>
      </c>
      <c r="E304" s="434" t="s">
        <v>324</v>
      </c>
    </row>
    <row r="305" spans="2:7" ht="13.9" customHeight="1">
      <c r="C305" s="395">
        <v>0.24</v>
      </c>
      <c r="D305" s="394" t="s">
        <v>325</v>
      </c>
      <c r="E305" s="435"/>
    </row>
    <row r="306" spans="2:7" ht="13.9" customHeight="1">
      <c r="C306" s="395">
        <v>0.28000000000000003</v>
      </c>
      <c r="D306" s="394" t="s">
        <v>326</v>
      </c>
      <c r="E306" s="887" t="s">
        <v>327</v>
      </c>
    </row>
    <row r="307" spans="2:7" ht="13.9" customHeight="1">
      <c r="C307" s="395">
        <v>0.28000000000000003</v>
      </c>
      <c r="D307" s="394" t="s">
        <v>323</v>
      </c>
      <c r="E307" s="888"/>
    </row>
    <row r="308" spans="2:7" ht="13.9" customHeight="1">
      <c r="C308" s="395">
        <v>0.31</v>
      </c>
      <c r="D308" s="394" t="s">
        <v>328</v>
      </c>
      <c r="E308" s="887" t="s">
        <v>329</v>
      </c>
    </row>
    <row r="309" spans="2:7" ht="13.9" customHeight="1">
      <c r="C309" s="395">
        <v>0.31</v>
      </c>
      <c r="D309" s="394" t="s">
        <v>330</v>
      </c>
      <c r="E309" s="889"/>
    </row>
    <row r="310" spans="2:7" ht="13.9" customHeight="1">
      <c r="C310" s="395">
        <v>0.31</v>
      </c>
      <c r="D310" s="394" t="s">
        <v>331</v>
      </c>
      <c r="E310" s="889"/>
    </row>
    <row r="311" spans="2:7" ht="13.9" customHeight="1">
      <c r="C311" s="395">
        <v>0.31</v>
      </c>
      <c r="D311" s="394" t="s">
        <v>332</v>
      </c>
      <c r="E311" s="889"/>
    </row>
    <row r="312" spans="2:7" ht="13.9" customHeight="1">
      <c r="C312" s="395">
        <v>0.31</v>
      </c>
      <c r="D312" s="394" t="s">
        <v>333</v>
      </c>
      <c r="E312" s="888"/>
    </row>
    <row r="313" spans="2:7" ht="13.9" customHeight="1">
      <c r="C313" s="395">
        <v>0.36</v>
      </c>
      <c r="D313" s="394" t="s">
        <v>334</v>
      </c>
      <c r="E313" s="887" t="s">
        <v>335</v>
      </c>
    </row>
    <row r="314" spans="2:7" ht="13.9" customHeight="1">
      <c r="C314" s="395">
        <v>0.36</v>
      </c>
      <c r="D314" s="436" t="s">
        <v>336</v>
      </c>
      <c r="E314" s="888"/>
    </row>
    <row r="315" spans="2:7" ht="13.9" customHeight="1">
      <c r="C315" s="395">
        <v>0.38</v>
      </c>
      <c r="D315" s="394" t="s">
        <v>337</v>
      </c>
      <c r="E315" s="437" t="s">
        <v>338</v>
      </c>
    </row>
    <row r="316" spans="2:7" ht="13.9" customHeight="1">
      <c r="D316" s="84"/>
      <c r="E316" s="84"/>
    </row>
    <row r="317" spans="2:7" ht="13.9" customHeight="1">
      <c r="B317" s="270" t="s">
        <v>339</v>
      </c>
    </row>
    <row r="318" spans="2:7" ht="30" customHeight="1">
      <c r="B318" s="891" t="s">
        <v>340</v>
      </c>
      <c r="C318" s="891"/>
      <c r="D318" s="891"/>
      <c r="E318" s="891"/>
      <c r="F318" s="171"/>
      <c r="G318" s="171"/>
    </row>
    <row r="320" spans="2:7" ht="13.9" customHeight="1">
      <c r="C320" s="275" t="s">
        <v>341</v>
      </c>
    </row>
  </sheetData>
  <sheetProtection algorithmName="SHA-512" hashValue="Kz0vY/P+UxHUt5GrBFuWO15hBA1HdHxJpaJoFDXsCtPW9lznG/fDsVR4XEDXeOzMbjnpwEZ/OvvnHQctftz85Q==" saltValue="tk+FJ6+8DyokJORy9V4cQg==" spinCount="100000" sheet="1" scenarios="1"/>
  <protectedRanges>
    <protectedRange sqref="D180" name="Range1"/>
  </protectedRanges>
  <mergeCells count="117">
    <mergeCell ref="E112:F112"/>
    <mergeCell ref="E114:F114"/>
    <mergeCell ref="E120:F120"/>
    <mergeCell ref="E121:F121"/>
    <mergeCell ref="D118:E118"/>
    <mergeCell ref="E115:F115"/>
    <mergeCell ref="E113:F113"/>
    <mergeCell ref="E119:F119"/>
    <mergeCell ref="D116:E116"/>
    <mergeCell ref="E111:F111"/>
    <mergeCell ref="E77:F77"/>
    <mergeCell ref="E78:F78"/>
    <mergeCell ref="E79:F79"/>
    <mergeCell ref="D57:F57"/>
    <mergeCell ref="E86:F86"/>
    <mergeCell ref="E89:F89"/>
    <mergeCell ref="E108:F108"/>
    <mergeCell ref="E109:F109"/>
    <mergeCell ref="E110:F110"/>
    <mergeCell ref="E69:F69"/>
    <mergeCell ref="E71:F71"/>
    <mergeCell ref="E72:F72"/>
    <mergeCell ref="E84:F84"/>
    <mergeCell ref="E85:F85"/>
    <mergeCell ref="B82:F83"/>
    <mergeCell ref="D98:E98"/>
    <mergeCell ref="E97:F97"/>
    <mergeCell ref="E88:F88"/>
    <mergeCell ref="E87:F87"/>
    <mergeCell ref="E93:F93"/>
    <mergeCell ref="E94:F94"/>
    <mergeCell ref="E95:F95"/>
    <mergeCell ref="E96:F96"/>
    <mergeCell ref="B10:E10"/>
    <mergeCell ref="D51:E51"/>
    <mergeCell ref="D53:E53"/>
    <mergeCell ref="D63:E63"/>
    <mergeCell ref="E34:F34"/>
    <mergeCell ref="E35:F35"/>
    <mergeCell ref="E36:F36"/>
    <mergeCell ref="E37:F37"/>
    <mergeCell ref="E38:F38"/>
    <mergeCell ref="E39:F39"/>
    <mergeCell ref="E40:F40"/>
    <mergeCell ref="E41:F41"/>
    <mergeCell ref="E43:F43"/>
    <mergeCell ref="E44:F44"/>
    <mergeCell ref="E45:F45"/>
    <mergeCell ref="E47:F47"/>
    <mergeCell ref="B21:C21"/>
    <mergeCell ref="B22:C22"/>
    <mergeCell ref="E21:F21"/>
    <mergeCell ref="E22:F22"/>
    <mergeCell ref="E48:F48"/>
    <mergeCell ref="E49:F49"/>
    <mergeCell ref="E52:F52"/>
    <mergeCell ref="D100:F101"/>
    <mergeCell ref="D90:E90"/>
    <mergeCell ref="E80:F80"/>
    <mergeCell ref="E64:F64"/>
    <mergeCell ref="E65:F65"/>
    <mergeCell ref="E66:F66"/>
    <mergeCell ref="E68:F68"/>
    <mergeCell ref="D67:E67"/>
    <mergeCell ref="D70:E70"/>
    <mergeCell ref="D136:E137"/>
    <mergeCell ref="D127:E127"/>
    <mergeCell ref="D133:E135"/>
    <mergeCell ref="E124:F124"/>
    <mergeCell ref="E125:F125"/>
    <mergeCell ref="E128:F128"/>
    <mergeCell ref="E129:F129"/>
    <mergeCell ref="E130:F130"/>
    <mergeCell ref="E131:F131"/>
    <mergeCell ref="E150:F150"/>
    <mergeCell ref="E151:F151"/>
    <mergeCell ref="E142:F142"/>
    <mergeCell ref="E143:F143"/>
    <mergeCell ref="E144:F144"/>
    <mergeCell ref="E145:F145"/>
    <mergeCell ref="E146:F146"/>
    <mergeCell ref="E140:F140"/>
    <mergeCell ref="E141:F141"/>
    <mergeCell ref="D138:E138"/>
    <mergeCell ref="E167:F167"/>
    <mergeCell ref="E168:F168"/>
    <mergeCell ref="E169:F169"/>
    <mergeCell ref="E170:F170"/>
    <mergeCell ref="E171:F171"/>
    <mergeCell ref="E162:F162"/>
    <mergeCell ref="E163:F163"/>
    <mergeCell ref="E164:F164"/>
    <mergeCell ref="E165:F165"/>
    <mergeCell ref="E166:F166"/>
    <mergeCell ref="E157:F157"/>
    <mergeCell ref="E158:F158"/>
    <mergeCell ref="E159:F159"/>
    <mergeCell ref="E160:F160"/>
    <mergeCell ref="E161:F161"/>
    <mergeCell ref="E152:F152"/>
    <mergeCell ref="E153:F153"/>
    <mergeCell ref="E154:F154"/>
    <mergeCell ref="E155:F155"/>
    <mergeCell ref="E156:F156"/>
    <mergeCell ref="E147:F147"/>
    <mergeCell ref="E148:F148"/>
    <mergeCell ref="E149:F149"/>
    <mergeCell ref="C220:D220"/>
    <mergeCell ref="E306:E307"/>
    <mergeCell ref="E308:E312"/>
    <mergeCell ref="E313:E314"/>
    <mergeCell ref="B218:E218"/>
    <mergeCell ref="B318:E318"/>
    <mergeCell ref="E173:F173"/>
    <mergeCell ref="E174:F174"/>
    <mergeCell ref="E175:F175"/>
    <mergeCell ref="E176:F176"/>
  </mergeCells>
  <conditionalFormatting sqref="D68:D69 D71:D72 D54:D55 D63:D66">
    <cfRule type="expression" dxfId="90" priority="3">
      <formula>NC_Type="Space by Space Method"</formula>
    </cfRule>
  </conditionalFormatting>
  <conditionalFormatting sqref="D67">
    <cfRule type="expression" dxfId="89" priority="2">
      <formula>NC_Type="Space by Space Method"</formula>
    </cfRule>
  </conditionalFormatting>
  <conditionalFormatting sqref="D70">
    <cfRule type="expression" dxfId="88" priority="1">
      <formula>NC_Type="Space by Space Method"</formula>
    </cfRule>
  </conditionalFormatting>
  <conditionalFormatting sqref="D52 D54:D55 D63:D72">
    <cfRule type="expression" dxfId="87" priority="4">
      <formula>#REF!="Retrofit"</formula>
    </cfRule>
  </conditionalFormatting>
  <hyperlinks>
    <hyperlink ref="B10" r:id="rId1" display="For any questions or assistance using this Calcuator, please call 1-866-432-5501 or email us at pplbusiness@clearesult.com" xr:uid="{00000000-0004-0000-0000-000000000000}"/>
    <hyperlink ref="B133" location="Report!A1" display="Report!A1" xr:uid="{00000000-0004-0000-0000-000001000000}"/>
    <hyperlink ref="B123" location="Inventory!A1" display="Inventory:" xr:uid="{00000000-0004-0000-0000-000002000000}"/>
    <hyperlink ref="B100" location="'Usage Groups (&gt;120 MWh only)'!A1" display="Usage Groups:" xr:uid="{00000000-0004-0000-0000-000003000000}"/>
    <hyperlink ref="B74" location="LEDFixtCodeInputTable" tooltip=" " display="Fixture and LED Schedule:" xr:uid="{00000000-0004-0000-0000-000004000000}"/>
    <hyperlink ref="B31" location="'Project Info and Summary'!Print_Area" display="Project Info and Summary:" xr:uid="{00000000-0004-0000-0000-000005000000}"/>
    <hyperlink ref="E78" location="'Fixture Identities'!A1" display="Utility Fixture Codes are standard fixture designations that can be found on the Fixture Identities tab for several fixture types. " xr:uid="{00000000-0004-0000-0000-000006000000}"/>
    <hyperlink ref="A136" location="'Utility Fixture Codes'!A1" display="8. Utility Fixture Codes" xr:uid="{00000000-0004-0000-0000-000007000000}"/>
    <hyperlink ref="A118" location="'NC Exterior Lighting Only'!A1" display="4. NC Exterior Lighting Only: " xr:uid="{00000000-0004-0000-0000-000008000000}"/>
    <hyperlink ref="B118" location="'NC Exterior Lighting Only'!A1" display="'NC Exterior Lighting Only'!A1" xr:uid="{00000000-0004-0000-0000-000009000000}"/>
    <hyperlink ref="B136" location="'Fixture Identities'!A1" display="'Fixture Identities'!A1" xr:uid="{00000000-0004-0000-0000-00000A000000}"/>
    <hyperlink ref="E43:F43" location="Instructions!B177:G205" display="Rate of electricity for the project site. Can be estimated from utility bills. Click here for additional information." xr:uid="{00000000-0004-0000-0000-00000B000000}"/>
    <hyperlink ref="E44:F44" location="Instructions!B177:C205" display="Rate of demand for the project site. Can be estimated from utility bills. See PDF for additional information." xr:uid="{00000000-0004-0000-0000-00000C000000}"/>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shapeId="1028" r:id="rId5">
          <objectPr defaultSize="0" autoPict="0" r:id="rId6">
            <anchor moveWithCells="1">
              <from>
                <xdr:col>2</xdr:col>
                <xdr:colOff>57150</xdr:colOff>
                <xdr:row>179</xdr:row>
                <xdr:rowOff>66675</xdr:rowOff>
              </from>
              <to>
                <xdr:col>3</xdr:col>
                <xdr:colOff>857250</xdr:colOff>
                <xdr:row>190</xdr:row>
                <xdr:rowOff>152400</xdr:rowOff>
              </to>
            </anchor>
          </objectPr>
        </oleObject>
      </mc:Choice>
      <mc:Fallback>
        <oleObject progId="Acrobat Document" shapeId="1028" r:id="rId5"/>
      </mc:Fallback>
    </mc:AlternateContent>
    <mc:AlternateContent xmlns:mc="http://schemas.openxmlformats.org/markup-compatibility/2006">
      <mc:Choice Requires="x14">
        <oleObject progId="Acrobat.Document.11" shapeId="1029" r:id="rId7">
          <objectPr defaultSize="0" autoPict="0" r:id="rId8">
            <anchor moveWithCells="1">
              <from>
                <xdr:col>2</xdr:col>
                <xdr:colOff>28575</xdr:colOff>
                <xdr:row>320</xdr:row>
                <xdr:rowOff>66675</xdr:rowOff>
              </from>
              <to>
                <xdr:col>3</xdr:col>
                <xdr:colOff>581025</xdr:colOff>
                <xdr:row>330</xdr:row>
                <xdr:rowOff>0</xdr:rowOff>
              </to>
            </anchor>
          </objectPr>
        </oleObject>
      </mc:Choice>
      <mc:Fallback>
        <oleObject progId="Acrobat.Document.11" shapeId="1029" r:id="rId7"/>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8"/>
  </sheetPr>
  <dimension ref="A1:V114"/>
  <sheetViews>
    <sheetView topLeftCell="A106" workbookViewId="0">
      <selection activeCell="G14" sqref="G14"/>
    </sheetView>
  </sheetViews>
  <sheetFormatPr defaultColWidth="9" defaultRowHeight="15"/>
  <cols>
    <col min="1" max="1" width="3.625" style="74" customWidth="1"/>
    <col min="2" max="2" width="4.625" style="74" customWidth="1"/>
    <col min="3" max="3" width="3.625" style="74" customWidth="1"/>
    <col min="4" max="14" width="10.625" style="74" customWidth="1"/>
    <col min="15" max="22" width="9" style="74"/>
  </cols>
  <sheetData>
    <row r="1" spans="1:22" ht="15" customHeight="1"/>
    <row r="2" spans="1:22" s="7" customFormat="1" ht="21.75">
      <c r="A2" s="285"/>
      <c r="B2" s="2" t="s">
        <v>1843</v>
      </c>
      <c r="C2" s="3"/>
      <c r="D2" s="3"/>
      <c r="E2" s="3"/>
      <c r="F2" s="3"/>
      <c r="G2" s="3"/>
      <c r="H2" s="3"/>
      <c r="I2" s="3"/>
      <c r="J2" s="3"/>
      <c r="K2" s="3"/>
      <c r="L2" s="3"/>
      <c r="M2" s="3"/>
      <c r="N2" s="3"/>
      <c r="O2" s="3"/>
      <c r="P2" s="3"/>
      <c r="Q2" s="3"/>
      <c r="R2" s="3"/>
      <c r="S2" s="3"/>
      <c r="T2" s="3"/>
      <c r="U2" s="3"/>
      <c r="V2" s="3"/>
    </row>
    <row r="3" spans="1:22" s="19" customFormat="1" ht="16.5">
      <c r="A3" s="4"/>
      <c r="B3" s="6" t="s">
        <v>2100</v>
      </c>
      <c r="C3" s="5"/>
      <c r="D3" s="5"/>
      <c r="E3" s="5"/>
      <c r="F3" s="5"/>
      <c r="G3" s="5"/>
      <c r="H3" s="5"/>
      <c r="I3" s="5"/>
      <c r="J3" s="5"/>
      <c r="K3" s="5"/>
      <c r="L3" s="5"/>
      <c r="M3" s="5"/>
      <c r="N3" s="5"/>
      <c r="O3" s="5"/>
      <c r="P3" s="5"/>
      <c r="Q3" s="5"/>
      <c r="R3" s="5"/>
      <c r="S3" s="5"/>
      <c r="T3" s="5"/>
      <c r="U3" s="5"/>
      <c r="V3" s="5"/>
    </row>
    <row r="4" spans="1:22" ht="9.75" customHeight="1"/>
    <row r="5" spans="1:22" ht="15.75">
      <c r="B5" s="286" t="s">
        <v>2101</v>
      </c>
    </row>
    <row r="6" spans="1:22">
      <c r="B6" s="287" t="s">
        <v>2102</v>
      </c>
      <c r="C6" s="288" t="s">
        <v>2103</v>
      </c>
    </row>
    <row r="8" spans="1:22" ht="15.75">
      <c r="B8" s="286" t="s">
        <v>2104</v>
      </c>
    </row>
    <row r="9" spans="1:22">
      <c r="B9" s="287" t="s">
        <v>2102</v>
      </c>
      <c r="C9" s="74" t="s">
        <v>2105</v>
      </c>
    </row>
    <row r="10" spans="1:22">
      <c r="B10" s="287" t="s">
        <v>2106</v>
      </c>
      <c r="C10" s="74" t="s">
        <v>2107</v>
      </c>
    </row>
    <row r="11" spans="1:22">
      <c r="B11" s="287" t="s">
        <v>2108</v>
      </c>
      <c r="C11" s="74" t="s">
        <v>2109</v>
      </c>
    </row>
    <row r="12" spans="1:22">
      <c r="B12" s="287" t="s">
        <v>2110</v>
      </c>
      <c r="C12" s="74" t="s">
        <v>2111</v>
      </c>
    </row>
    <row r="13" spans="1:22">
      <c r="B13" s="287" t="s">
        <v>2112</v>
      </c>
      <c r="C13" s="74" t="s">
        <v>2113</v>
      </c>
    </row>
    <row r="14" spans="1:22">
      <c r="B14" s="287" t="s">
        <v>2114</v>
      </c>
      <c r="C14" s="74" t="s">
        <v>2115</v>
      </c>
    </row>
    <row r="15" spans="1:22">
      <c r="B15" s="287" t="s">
        <v>2116</v>
      </c>
      <c r="C15" s="74" t="s">
        <v>2117</v>
      </c>
    </row>
    <row r="16" spans="1:22">
      <c r="B16" s="287" t="s">
        <v>2118</v>
      </c>
      <c r="C16" s="74" t="s">
        <v>2119</v>
      </c>
    </row>
    <row r="18" spans="2:3" ht="15.75">
      <c r="B18" s="286" t="s">
        <v>2120</v>
      </c>
    </row>
    <row r="19" spans="2:3">
      <c r="B19" s="287" t="s">
        <v>2102</v>
      </c>
      <c r="C19" s="74" t="s">
        <v>2121</v>
      </c>
    </row>
    <row r="20" spans="2:3">
      <c r="B20" s="287" t="s">
        <v>2106</v>
      </c>
      <c r="C20" s="74" t="s">
        <v>2122</v>
      </c>
    </row>
    <row r="21" spans="2:3">
      <c r="B21" s="287" t="s">
        <v>2108</v>
      </c>
      <c r="C21" s="74" t="s">
        <v>2123</v>
      </c>
    </row>
    <row r="22" spans="2:3">
      <c r="B22" s="287" t="s">
        <v>2110</v>
      </c>
      <c r="C22" s="74" t="s">
        <v>2124</v>
      </c>
    </row>
    <row r="23" spans="2:3">
      <c r="B23" s="287" t="s">
        <v>2112</v>
      </c>
      <c r="C23" s="74" t="s">
        <v>2125</v>
      </c>
    </row>
    <row r="25" spans="2:3" ht="15.75">
      <c r="B25" s="286" t="s">
        <v>2126</v>
      </c>
    </row>
    <row r="26" spans="2:3">
      <c r="B26" s="287" t="s">
        <v>2102</v>
      </c>
      <c r="C26" s="74" t="s">
        <v>2127</v>
      </c>
    </row>
    <row r="27" spans="2:3">
      <c r="B27" s="287" t="s">
        <v>2106</v>
      </c>
      <c r="C27" s="74" t="s">
        <v>2128</v>
      </c>
    </row>
    <row r="28" spans="2:3">
      <c r="B28" s="287" t="s">
        <v>2108</v>
      </c>
      <c r="C28" s="74" t="s">
        <v>2129</v>
      </c>
    </row>
    <row r="29" spans="2:3">
      <c r="B29" s="287"/>
    </row>
    <row r="30" spans="2:3" ht="15.75">
      <c r="B30" s="286" t="s">
        <v>2130</v>
      </c>
    </row>
    <row r="31" spans="2:3">
      <c r="B31" s="287" t="s">
        <v>2102</v>
      </c>
      <c r="C31" s="74" t="s">
        <v>2131</v>
      </c>
    </row>
    <row r="32" spans="2:3">
      <c r="B32" s="287" t="s">
        <v>2106</v>
      </c>
      <c r="C32" s="74" t="s">
        <v>2132</v>
      </c>
    </row>
    <row r="33" spans="2:3">
      <c r="B33" s="287" t="s">
        <v>2108</v>
      </c>
      <c r="C33" s="74" t="s">
        <v>2133</v>
      </c>
    </row>
    <row r="34" spans="2:3">
      <c r="B34" s="287" t="s">
        <v>2110</v>
      </c>
      <c r="C34" s="74" t="s">
        <v>2134</v>
      </c>
    </row>
    <row r="36" spans="2:3" ht="15.75">
      <c r="B36" s="286" t="s">
        <v>2135</v>
      </c>
    </row>
    <row r="37" spans="2:3">
      <c r="B37" s="287" t="s">
        <v>2102</v>
      </c>
      <c r="C37" s="74" t="s">
        <v>2136</v>
      </c>
    </row>
    <row r="38" spans="2:3">
      <c r="B38" s="287" t="s">
        <v>2106</v>
      </c>
      <c r="C38" s="74" t="s">
        <v>2137</v>
      </c>
    </row>
    <row r="39" spans="2:3">
      <c r="B39" s="287" t="s">
        <v>2108</v>
      </c>
      <c r="C39" s="74" t="s">
        <v>2138</v>
      </c>
    </row>
    <row r="40" spans="2:3">
      <c r="B40" s="287" t="s">
        <v>2110</v>
      </c>
      <c r="C40" s="74" t="s">
        <v>2139</v>
      </c>
    </row>
    <row r="42" spans="2:3" ht="15.75">
      <c r="B42" s="286" t="s">
        <v>2140</v>
      </c>
    </row>
    <row r="43" spans="2:3">
      <c r="B43" s="287" t="s">
        <v>2102</v>
      </c>
      <c r="C43" s="74" t="s">
        <v>2141</v>
      </c>
    </row>
    <row r="44" spans="2:3">
      <c r="B44" s="289"/>
    </row>
    <row r="45" spans="2:3" ht="15.75">
      <c r="B45" s="286" t="s">
        <v>2142</v>
      </c>
    </row>
    <row r="46" spans="2:3">
      <c r="B46" s="290" t="s">
        <v>2102</v>
      </c>
      <c r="C46" s="74" t="s">
        <v>2143</v>
      </c>
    </row>
    <row r="47" spans="2:3">
      <c r="B47" s="290"/>
      <c r="C47" s="74" t="s">
        <v>2144</v>
      </c>
    </row>
    <row r="48" spans="2:3">
      <c r="B48" s="290" t="s">
        <v>2106</v>
      </c>
      <c r="C48" s="74" t="s">
        <v>2145</v>
      </c>
    </row>
    <row r="49" spans="2:3">
      <c r="B49" s="290" t="s">
        <v>2108</v>
      </c>
      <c r="C49" s="74" t="s">
        <v>2146</v>
      </c>
    </row>
    <row r="51" spans="2:3" ht="15.75">
      <c r="B51" s="286" t="s">
        <v>2147</v>
      </c>
    </row>
    <row r="52" spans="2:3">
      <c r="B52" s="290" t="s">
        <v>2102</v>
      </c>
      <c r="C52" s="74" t="s">
        <v>2148</v>
      </c>
    </row>
    <row r="53" spans="2:3">
      <c r="B53" s="290" t="s">
        <v>2106</v>
      </c>
      <c r="C53" s="74" t="s">
        <v>2149</v>
      </c>
    </row>
    <row r="54" spans="2:3">
      <c r="B54" s="290" t="s">
        <v>2108</v>
      </c>
      <c r="C54" s="74" t="s">
        <v>2150</v>
      </c>
    </row>
    <row r="55" spans="2:3">
      <c r="B55" s="290" t="s">
        <v>2110</v>
      </c>
      <c r="C55" s="74" t="s">
        <v>2151</v>
      </c>
    </row>
    <row r="56" spans="2:3">
      <c r="B56" s="290" t="s">
        <v>2112</v>
      </c>
      <c r="C56" s="74" t="s">
        <v>2152</v>
      </c>
    </row>
    <row r="57" spans="2:3">
      <c r="B57" s="289"/>
      <c r="C57" s="74" t="s">
        <v>2153</v>
      </c>
    </row>
    <row r="58" spans="2:3" ht="15.75">
      <c r="B58" s="286" t="s">
        <v>2154</v>
      </c>
    </row>
    <row r="59" spans="2:3">
      <c r="B59" s="290" t="s">
        <v>2102</v>
      </c>
      <c r="C59" s="74" t="s">
        <v>2155</v>
      </c>
    </row>
    <row r="60" spans="2:3">
      <c r="B60" s="290" t="s">
        <v>2106</v>
      </c>
      <c r="C60" s="74" t="s">
        <v>2156</v>
      </c>
    </row>
    <row r="61" spans="2:3">
      <c r="B61" s="287" t="s">
        <v>2108</v>
      </c>
      <c r="C61" s="74" t="s">
        <v>2157</v>
      </c>
    </row>
    <row r="62" spans="2:3">
      <c r="B62" s="287" t="s">
        <v>2110</v>
      </c>
      <c r="C62" s="74" t="s">
        <v>2158</v>
      </c>
    </row>
    <row r="64" spans="2:3" ht="15.75">
      <c r="B64" s="291" t="s">
        <v>2159</v>
      </c>
    </row>
    <row r="65" spans="2:3">
      <c r="B65" s="290" t="s">
        <v>2102</v>
      </c>
      <c r="C65" s="74" t="s">
        <v>2160</v>
      </c>
    </row>
    <row r="66" spans="2:3">
      <c r="B66" s="290" t="s">
        <v>2106</v>
      </c>
      <c r="C66" s="74" t="s">
        <v>2161</v>
      </c>
    </row>
    <row r="67" spans="2:3">
      <c r="B67" s="290" t="s">
        <v>2108</v>
      </c>
      <c r="C67" s="74" t="s">
        <v>2162</v>
      </c>
    </row>
    <row r="68" spans="2:3">
      <c r="B68" s="290" t="s">
        <v>2110</v>
      </c>
      <c r="C68" s="74" t="s">
        <v>2163</v>
      </c>
    </row>
    <row r="69" spans="2:3">
      <c r="B69" s="290" t="s">
        <v>2112</v>
      </c>
      <c r="C69" s="74" t="s">
        <v>2164</v>
      </c>
    </row>
    <row r="70" spans="2:3">
      <c r="B70" s="290" t="s">
        <v>2114</v>
      </c>
      <c r="C70" s="74" t="s">
        <v>2165</v>
      </c>
    </row>
    <row r="71" spans="2:3">
      <c r="B71" s="290" t="s">
        <v>2116</v>
      </c>
      <c r="C71" s="74" t="s">
        <v>2166</v>
      </c>
    </row>
    <row r="72" spans="2:3">
      <c r="B72" s="290" t="s">
        <v>2118</v>
      </c>
      <c r="C72" s="74" t="s">
        <v>2167</v>
      </c>
    </row>
    <row r="73" spans="2:3">
      <c r="B73" s="287" t="s">
        <v>2168</v>
      </c>
      <c r="C73" s="74" t="s">
        <v>2169</v>
      </c>
    </row>
    <row r="74" spans="2:3">
      <c r="B74" s="292" t="s">
        <v>2170</v>
      </c>
      <c r="C74" s="74" t="s">
        <v>2151</v>
      </c>
    </row>
    <row r="76" spans="2:3" ht="15.75">
      <c r="B76" s="286" t="s">
        <v>2171</v>
      </c>
    </row>
    <row r="77" spans="2:3">
      <c r="B77" s="290" t="s">
        <v>2102</v>
      </c>
      <c r="C77" s="74" t="s">
        <v>2172</v>
      </c>
    </row>
    <row r="78" spans="2:3">
      <c r="B78" s="290" t="s">
        <v>2106</v>
      </c>
      <c r="C78" s="74" t="s">
        <v>2173</v>
      </c>
    </row>
    <row r="79" spans="2:3">
      <c r="B79" s="290" t="s">
        <v>2108</v>
      </c>
      <c r="C79" s="74" t="s">
        <v>2174</v>
      </c>
    </row>
    <row r="80" spans="2:3">
      <c r="B80" s="290" t="s">
        <v>2110</v>
      </c>
      <c r="C80" s="74" t="s">
        <v>2175</v>
      </c>
    </row>
    <row r="81" spans="2:3">
      <c r="B81" s="290" t="s">
        <v>2112</v>
      </c>
      <c r="C81" s="74" t="s">
        <v>2176</v>
      </c>
    </row>
    <row r="82" spans="2:3">
      <c r="B82" s="290" t="s">
        <v>2114</v>
      </c>
      <c r="C82" s="74" t="s">
        <v>2177</v>
      </c>
    </row>
    <row r="83" spans="2:3">
      <c r="B83" s="290" t="s">
        <v>2116</v>
      </c>
      <c r="C83" s="74" t="s">
        <v>2178</v>
      </c>
    </row>
    <row r="84" spans="2:3">
      <c r="B84" s="290" t="s">
        <v>2118</v>
      </c>
      <c r="C84" s="74" t="s">
        <v>2179</v>
      </c>
    </row>
    <row r="85" spans="2:3">
      <c r="B85" s="290" t="s">
        <v>2168</v>
      </c>
      <c r="C85" s="74" t="s">
        <v>2180</v>
      </c>
    </row>
    <row r="86" spans="2:3">
      <c r="B86" s="290" t="s">
        <v>2170</v>
      </c>
      <c r="C86" s="74" t="s">
        <v>2181</v>
      </c>
    </row>
    <row r="87" spans="2:3">
      <c r="B87" s="293" t="s">
        <v>2182</v>
      </c>
    </row>
    <row r="89" spans="2:3" ht="15.75">
      <c r="B89" s="286" t="s">
        <v>2183</v>
      </c>
      <c r="C89" s="294"/>
    </row>
    <row r="90" spans="2:3">
      <c r="B90" s="295" t="s">
        <v>2102</v>
      </c>
      <c r="C90" s="294" t="s">
        <v>2184</v>
      </c>
    </row>
    <row r="91" spans="2:3">
      <c r="B91" s="295" t="s">
        <v>2106</v>
      </c>
      <c r="C91" s="294" t="s">
        <v>2185</v>
      </c>
    </row>
    <row r="92" spans="2:3">
      <c r="B92" s="295" t="s">
        <v>2108</v>
      </c>
      <c r="C92" s="294" t="s">
        <v>2186</v>
      </c>
    </row>
    <row r="93" spans="2:3">
      <c r="B93" s="295" t="s">
        <v>2110</v>
      </c>
      <c r="C93" s="294" t="s">
        <v>2187</v>
      </c>
    </row>
    <row r="94" spans="2:3">
      <c r="B94" s="295" t="s">
        <v>2112</v>
      </c>
      <c r="C94" s="294" t="s">
        <v>2188</v>
      </c>
    </row>
    <row r="95" spans="2:3" ht="15.75">
      <c r="B95" s="295" t="s">
        <v>2114</v>
      </c>
      <c r="C95" s="294" t="s">
        <v>2189</v>
      </c>
    </row>
    <row r="96" spans="2:3">
      <c r="B96" s="295" t="s">
        <v>2116</v>
      </c>
      <c r="C96" s="294" t="s">
        <v>2190</v>
      </c>
    </row>
    <row r="97" spans="2:3">
      <c r="B97" s="295" t="s">
        <v>2118</v>
      </c>
      <c r="C97" s="294" t="s">
        <v>2191</v>
      </c>
    </row>
    <row r="98" spans="2:3">
      <c r="B98" s="295" t="s">
        <v>2168</v>
      </c>
      <c r="C98" s="294" t="s">
        <v>2151</v>
      </c>
    </row>
    <row r="99" spans="2:3">
      <c r="B99" s="295" t="s">
        <v>2170</v>
      </c>
      <c r="C99" s="294" t="s">
        <v>2192</v>
      </c>
    </row>
    <row r="100" spans="2:3">
      <c r="B100" s="296" t="s">
        <v>2193</v>
      </c>
      <c r="C100" s="294" t="s">
        <v>2194</v>
      </c>
    </row>
    <row r="101" spans="2:3">
      <c r="B101" s="296" t="s">
        <v>2195</v>
      </c>
      <c r="C101" s="294" t="s">
        <v>2196</v>
      </c>
    </row>
    <row r="102" spans="2:3">
      <c r="B102" s="296" t="s">
        <v>2197</v>
      </c>
      <c r="C102" s="294" t="s">
        <v>2198</v>
      </c>
    </row>
    <row r="103" spans="2:3">
      <c r="B103" s="296" t="s">
        <v>2199</v>
      </c>
      <c r="C103" s="294" t="s">
        <v>2200</v>
      </c>
    </row>
    <row r="104" spans="2:3">
      <c r="B104" s="292" t="s">
        <v>2201</v>
      </c>
      <c r="C104" s="74" t="s">
        <v>2202</v>
      </c>
    </row>
    <row r="105" spans="2:3">
      <c r="B105" s="292" t="s">
        <v>2203</v>
      </c>
      <c r="C105" s="74" t="s">
        <v>2204</v>
      </c>
    </row>
    <row r="106" spans="2:3">
      <c r="B106" s="292" t="s">
        <v>2205</v>
      </c>
      <c r="C106" s="74" t="s">
        <v>2206</v>
      </c>
    </row>
    <row r="107" spans="2:3">
      <c r="B107" s="292" t="s">
        <v>2207</v>
      </c>
      <c r="C107" s="74" t="s">
        <v>2208</v>
      </c>
    </row>
    <row r="108" spans="2:3">
      <c r="B108" s="292" t="s">
        <v>2209</v>
      </c>
      <c r="C108" s="74" t="s">
        <v>2210</v>
      </c>
    </row>
    <row r="109" spans="2:3">
      <c r="B109" s="292" t="s">
        <v>2211</v>
      </c>
      <c r="C109" s="74" t="s">
        <v>2212</v>
      </c>
    </row>
    <row r="110" spans="2:3">
      <c r="B110" s="292" t="s">
        <v>2213</v>
      </c>
      <c r="C110" s="74" t="s">
        <v>2214</v>
      </c>
    </row>
    <row r="112" spans="2:3" ht="15.75">
      <c r="B112" s="286" t="s">
        <v>2215</v>
      </c>
    </row>
    <row r="113" spans="2:3">
      <c r="B113" s="287" t="s">
        <v>2102</v>
      </c>
      <c r="C113" s="288" t="s">
        <v>2216</v>
      </c>
    </row>
    <row r="114" spans="2:3">
      <c r="B114" s="292" t="s">
        <v>2217</v>
      </c>
      <c r="C114" s="74" t="s">
        <v>2218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7"/>
  </sheetPr>
  <dimension ref="A1:T27"/>
  <sheetViews>
    <sheetView workbookViewId="0">
      <selection activeCell="A2" sqref="A2:A9"/>
    </sheetView>
  </sheetViews>
  <sheetFormatPr defaultColWidth="0" defaultRowHeight="13.15" customHeight="1" zeroHeight="1"/>
  <cols>
    <col min="1" max="1" width="8.75" style="134" customWidth="1"/>
    <col min="2" max="2" width="24.75" style="134" customWidth="1"/>
    <col min="3" max="3" width="40.75" style="134" customWidth="1"/>
    <col min="4" max="5" width="15.75" style="134" customWidth="1"/>
    <col min="6" max="6" width="2.25" style="134" customWidth="1"/>
    <col min="7" max="7" width="2.25" style="134" hidden="1" customWidth="1"/>
    <col min="8" max="8" width="9.75" style="134" hidden="1" customWidth="1"/>
    <col min="9" max="9" width="12.75" style="134" hidden="1" customWidth="1"/>
    <col min="10" max="12" width="0" style="134" hidden="1" customWidth="1"/>
    <col min="13" max="16" width="12.75" style="134" hidden="1" customWidth="1"/>
    <col min="17" max="17" width="2.25" style="134" hidden="1" customWidth="1"/>
    <col min="18" max="18" width="9.75" style="134" hidden="1" customWidth="1"/>
    <col min="19" max="19" width="12.75" style="134" hidden="1" customWidth="1"/>
    <col min="20" max="20" width="0" style="134" hidden="1" customWidth="1"/>
    <col min="21" max="16384" width="8.75" style="134" hidden="1"/>
  </cols>
  <sheetData>
    <row r="1" spans="1:5" ht="12.75">
      <c r="A1" s="250" t="s">
        <v>2219</v>
      </c>
    </row>
    <row r="2" spans="1:5" ht="13.15" customHeight="1">
      <c r="A2" s="1158" t="s">
        <v>1832</v>
      </c>
      <c r="B2" s="1156" t="s">
        <v>2220</v>
      </c>
      <c r="C2" s="1156" t="s">
        <v>2221</v>
      </c>
      <c r="D2" s="1157" t="s">
        <v>2222</v>
      </c>
      <c r="E2" s="1154" t="s">
        <v>2223</v>
      </c>
    </row>
    <row r="3" spans="1:5" ht="12.75">
      <c r="A3" s="1159"/>
      <c r="B3" s="1156"/>
      <c r="C3" s="1156"/>
      <c r="D3" s="1157"/>
      <c r="E3" s="1155"/>
    </row>
    <row r="4" spans="1:5" ht="28.9" customHeight="1">
      <c r="A4" s="1159"/>
      <c r="B4" s="702"/>
      <c r="C4" s="703"/>
      <c r="D4" s="704"/>
      <c r="E4" s="150" t="str">
        <f t="shared" ref="E4:E9" ca="1" si="0">IFERROR(INDEX(xyNCLPD,MATCH(C4,yNCSpaces,0),3),"")</f>
        <v/>
      </c>
    </row>
    <row r="5" spans="1:5" ht="28.9" customHeight="1">
      <c r="A5" s="1159"/>
      <c r="B5" s="702"/>
      <c r="C5" s="703"/>
      <c r="D5" s="704"/>
      <c r="E5" s="150" t="str">
        <f t="shared" ca="1" si="0"/>
        <v/>
      </c>
    </row>
    <row r="6" spans="1:5" ht="28.9" customHeight="1">
      <c r="A6" s="1159"/>
      <c r="B6" s="702"/>
      <c r="C6" s="703"/>
      <c r="D6" s="704"/>
      <c r="E6" s="150" t="str">
        <f t="shared" ca="1" si="0"/>
        <v/>
      </c>
    </row>
    <row r="7" spans="1:5" ht="28.9" customHeight="1">
      <c r="A7" s="1159"/>
      <c r="B7" s="702"/>
      <c r="C7" s="703"/>
      <c r="D7" s="704"/>
      <c r="E7" s="150" t="str">
        <f t="shared" ca="1" si="0"/>
        <v/>
      </c>
    </row>
    <row r="8" spans="1:5" ht="28.9" customHeight="1">
      <c r="A8" s="1159"/>
      <c r="B8" s="702"/>
      <c r="C8" s="703"/>
      <c r="D8" s="704"/>
      <c r="E8" s="150" t="str">
        <f t="shared" ca="1" si="0"/>
        <v/>
      </c>
    </row>
    <row r="9" spans="1:5" ht="28.9" customHeight="1">
      <c r="A9" s="1160"/>
      <c r="B9" s="702"/>
      <c r="C9" s="703"/>
      <c r="D9" s="704"/>
      <c r="E9" s="705" t="str">
        <f t="shared" ca="1" si="0"/>
        <v/>
      </c>
    </row>
    <row r="10" spans="1:5" ht="12.75"/>
    <row r="11" spans="1:5" ht="12.75" hidden="1"/>
    <row r="12" spans="1:5" ht="12.75" hidden="1"/>
    <row r="13" spans="1:5" ht="12.75" hidden="1"/>
    <row r="14" spans="1:5" ht="12.75" hidden="1"/>
    <row r="15" spans="1:5" ht="12.75" hidden="1"/>
    <row r="16" spans="1:5" ht="12.75" hidden="1"/>
    <row r="17" ht="12.75" hidden="1"/>
    <row r="18" ht="12.75" hidden="1"/>
    <row r="19" ht="12.75" hidden="1"/>
    <row r="20" ht="12.75" hidden="1"/>
    <row r="21" ht="12.75" hidden="1"/>
    <row r="22" ht="12.75" hidden="1"/>
    <row r="23" ht="12.75" hidden="1"/>
    <row r="24" ht="12.75" hidden="1"/>
    <row r="25" ht="12.75" hidden="1"/>
    <row r="26" ht="12.75" hidden="1"/>
    <row r="27" ht="12.75" hidden="1"/>
  </sheetData>
  <sheetProtection algorithmName="SHA-512" hashValue="qkxIT60VU57kzTgbY6FW+WIubIrRsYhm5eb716x+0CkZVhQcAfQN2pqq0p6tSuGhHjxrvxOnpUFZNceqIvfGYw==" saltValue="mo/IWfLDy3NCISVyYtv2CA==" spinCount="100000" sheet="1" objects="1" scenarios="1"/>
  <protectedRanges>
    <protectedRange sqref="B4:B9" name="Range1"/>
    <protectedRange sqref="C4:D9" name="Range2"/>
  </protectedRanges>
  <dataConsolidate/>
  <mergeCells count="5">
    <mergeCell ref="E2:E3"/>
    <mergeCell ref="C2:C3"/>
    <mergeCell ref="D2:D3"/>
    <mergeCell ref="A2:A9"/>
    <mergeCell ref="B2:B3"/>
  </mergeCells>
  <conditionalFormatting sqref="A2:E9">
    <cfRule type="expression" dxfId="6" priority="1">
      <formula>PRJ_Type&lt;&gt;"New Construction"</formula>
    </cfRule>
  </conditionalFormatting>
  <dataValidations count="4">
    <dataValidation type="list" allowBlank="1" showInputMessage="1" showErrorMessage="1" sqref="C5:C9" xr:uid="{00000000-0002-0000-0700-000000000000}">
      <formula1>yNCSpaces</formula1>
    </dataValidation>
    <dataValidation allowBlank="1" showInputMessage="1" showErrorMessage="1" promptTitle="Exterior Building Area Name" prompt="Provide a name for the Exterior Building Area. This will appear as a dropdown list in the Inventory Tab." sqref="B4" xr:uid="{00000000-0002-0000-0700-000001000000}"/>
    <dataValidation type="list" allowBlank="1" showInputMessage="1" showErrorMessage="1" promptTitle="New Construction Space Type" prompt="Select the type of space for the corresponding Usage Group Custom Schedule from the dropdown list" sqref="C4" xr:uid="{00000000-0002-0000-0700-000002000000}">
      <formula1>yNCSpaces</formula1>
    </dataValidation>
    <dataValidation allowBlank="1" showInputMessage="1" showErrorMessage="1" promptTitle="NC Space Type Size" prompt="Enter the area of the space for the Usage Group Custom Schedule. The units for the area of space (generally sq.ft.) are noted in the adjacent column. " sqref="D4" xr:uid="{00000000-0002-0000-0700-000003000000}"/>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8CA"/>
  </sheetPr>
  <dimension ref="A1:Y1045"/>
  <sheetViews>
    <sheetView zoomScale="80" zoomScaleNormal="80" workbookViewId="0">
      <selection activeCell="O1" sqref="O1:O1048576"/>
    </sheetView>
  </sheetViews>
  <sheetFormatPr defaultColWidth="9" defaultRowHeight="14.25"/>
  <cols>
    <col min="1" max="1" width="3.25" customWidth="1"/>
    <col min="2" max="2" width="17.75" customWidth="1"/>
    <col min="3" max="4" width="22.625" customWidth="1"/>
    <col min="5" max="5" width="12.625" customWidth="1"/>
    <col min="6" max="6" width="90.625" customWidth="1"/>
    <col min="7" max="13" width="12.625" customWidth="1"/>
    <col min="14" max="14" width="9" customWidth="1"/>
    <col min="15" max="15" width="9" hidden="1" customWidth="1"/>
    <col min="16" max="25" width="9" customWidth="1"/>
  </cols>
  <sheetData>
    <row r="1" spans="1:25" ht="28.15" customHeight="1">
      <c r="A1" s="1168" t="s">
        <v>2276</v>
      </c>
      <c r="B1" s="1168"/>
      <c r="C1" s="1168"/>
      <c r="D1" s="1168"/>
      <c r="E1" s="1168"/>
      <c r="F1" s="1168"/>
      <c r="G1" s="1168"/>
      <c r="H1" s="251"/>
      <c r="I1" s="251"/>
      <c r="J1" s="251"/>
      <c r="K1" s="251"/>
      <c r="L1" s="251"/>
      <c r="M1" s="251"/>
      <c r="O1" s="32"/>
      <c r="P1" s="32"/>
    </row>
    <row r="2" spans="1:25" s="7" customFormat="1" ht="23.25" customHeight="1">
      <c r="B2" s="2" t="str">
        <f>Manual!B2</f>
        <v>2021 TRM Appendix C: Lighting Audit &amp; Design Tool for Commercial and Industrial Projects</v>
      </c>
      <c r="C2" s="8"/>
      <c r="D2" s="8"/>
      <c r="E2" s="8"/>
      <c r="F2" s="8"/>
      <c r="G2" s="8"/>
      <c r="H2" s="8"/>
      <c r="I2" s="8"/>
      <c r="J2" s="8"/>
      <c r="K2" s="8"/>
      <c r="L2" s="8"/>
      <c r="M2" s="8"/>
      <c r="O2" s="342"/>
      <c r="P2" s="342"/>
    </row>
    <row r="3" spans="1:25" s="4" customFormat="1" ht="17.25" customHeight="1">
      <c r="B3" s="6" t="s">
        <v>2277</v>
      </c>
      <c r="C3" s="5"/>
      <c r="D3" s="5"/>
      <c r="E3" s="5"/>
      <c r="F3" s="5"/>
      <c r="G3" s="5"/>
      <c r="H3" s="5"/>
      <c r="I3" s="5"/>
      <c r="J3" s="5"/>
      <c r="K3" s="5"/>
      <c r="L3" s="5"/>
      <c r="M3" s="5"/>
      <c r="N3" s="5"/>
      <c r="O3" s="5"/>
      <c r="P3" s="5"/>
      <c r="Q3" s="5"/>
      <c r="R3" s="5"/>
      <c r="S3" s="5"/>
      <c r="T3" s="5"/>
      <c r="U3" s="5"/>
      <c r="V3" s="5"/>
      <c r="W3" s="5"/>
      <c r="X3" s="5"/>
      <c r="Y3" s="5"/>
    </row>
    <row r="4" spans="1:25" ht="9.75" customHeight="1">
      <c r="B4" s="75"/>
      <c r="C4" s="75"/>
      <c r="D4" s="75"/>
      <c r="E4" s="75"/>
      <c r="F4" s="75"/>
      <c r="G4" s="75"/>
      <c r="H4" s="75"/>
      <c r="I4" s="75"/>
      <c r="J4" s="75"/>
      <c r="K4" s="75"/>
      <c r="L4" s="75"/>
      <c r="M4" s="75"/>
      <c r="O4" s="32"/>
      <c r="P4" s="32"/>
    </row>
    <row r="5" spans="1:25" ht="18" customHeight="1">
      <c r="B5" s="1161" t="s">
        <v>2278</v>
      </c>
      <c r="C5" s="1162"/>
      <c r="D5" s="1162"/>
      <c r="E5" s="1162"/>
      <c r="F5" s="1162"/>
      <c r="G5" s="1162"/>
      <c r="H5" s="1162"/>
      <c r="I5" s="1162"/>
      <c r="J5" s="1162"/>
      <c r="K5" s="1162"/>
      <c r="L5" s="1162"/>
      <c r="M5" s="1163"/>
      <c r="O5" s="32"/>
      <c r="P5" s="32"/>
    </row>
    <row r="6" spans="1:25" ht="18" customHeight="1">
      <c r="B6" s="1164"/>
      <c r="C6" s="1165"/>
      <c r="D6" s="1165"/>
      <c r="E6" s="1165"/>
      <c r="F6" s="1165"/>
      <c r="G6" s="1165"/>
      <c r="H6" s="1165"/>
      <c r="I6" s="1165"/>
      <c r="J6" s="1165"/>
      <c r="K6" s="1165"/>
      <c r="L6" s="1165"/>
      <c r="M6" s="1166"/>
      <c r="O6" s="32"/>
      <c r="P6" s="32"/>
    </row>
    <row r="7" spans="1:25" ht="9.75" customHeight="1">
      <c r="B7" s="1167"/>
      <c r="C7" s="1167"/>
      <c r="D7" s="1167"/>
      <c r="E7" s="1167"/>
      <c r="F7" s="75"/>
      <c r="G7" s="75"/>
      <c r="H7" s="75"/>
      <c r="I7" s="75"/>
      <c r="J7" s="75"/>
      <c r="K7" s="75"/>
      <c r="L7" s="75"/>
      <c r="M7" s="75"/>
      <c r="O7" s="32"/>
      <c r="P7" s="32"/>
    </row>
    <row r="8" spans="1:25" ht="36.75" customHeight="1">
      <c r="B8" s="729" t="s">
        <v>2279</v>
      </c>
      <c r="C8" s="730" t="s">
        <v>2280</v>
      </c>
      <c r="D8" s="730" t="s">
        <v>2281</v>
      </c>
      <c r="E8" s="730" t="s">
        <v>2282</v>
      </c>
      <c r="F8" s="729" t="s">
        <v>2</v>
      </c>
      <c r="G8" s="731" t="s">
        <v>2283</v>
      </c>
      <c r="H8" s="732" t="s">
        <v>2284</v>
      </c>
      <c r="I8" s="732" t="s">
        <v>378</v>
      </c>
      <c r="J8" s="732" t="s">
        <v>2285</v>
      </c>
      <c r="K8" s="733" t="s">
        <v>2286</v>
      </c>
      <c r="L8" s="733" t="s">
        <v>2287</v>
      </c>
      <c r="M8" s="733" t="s">
        <v>502</v>
      </c>
      <c r="O8" s="32"/>
      <c r="P8" s="32"/>
    </row>
    <row r="9" spans="1:25">
      <c r="B9" s="734" t="str">
        <f>IFERROR("LED"&amp;VLOOKUP(F9,xyLED_Codes,2,FALSE)&amp;I9&amp;VLOOKUP(F9,xyLED_Codes,3,FALSE)&amp;"-"&amp;K9,"Custom LED")</f>
        <v>Custom LED</v>
      </c>
      <c r="C9" s="734" t="s">
        <v>256</v>
      </c>
      <c r="D9" s="734" t="s">
        <v>528</v>
      </c>
      <c r="E9" s="734" t="str">
        <f>IF(L9="Custom LED","LED XXW",CONCATENATE("LED ",K9,"W"))</f>
        <v>LED XXW</v>
      </c>
      <c r="F9" s="735">
        <f>'Fixture and LED Schedule'!H39</f>
        <v>0</v>
      </c>
      <c r="G9" s="736" t="s">
        <v>2288</v>
      </c>
      <c r="H9" s="736" t="str">
        <f>IF(LEFT(F9,1)="4",48,IF(LEFT(F9,1)="2",24,""))</f>
        <v/>
      </c>
      <c r="I9" s="737">
        <f>'Fixture and LED Schedule'!F39</f>
        <v>0</v>
      </c>
      <c r="J9" s="737" t="s">
        <v>2289</v>
      </c>
      <c r="K9" s="738">
        <f>'Fixture and LED Schedule'!E39</f>
        <v>0</v>
      </c>
      <c r="L9" s="737" t="str">
        <f>B9</f>
        <v>Custom LED</v>
      </c>
      <c r="M9" s="739" t="str">
        <f>IF('Fixture and LED Schedule'!G39="Yes","Screw-In",IF('Fixture and LED Schedule'!G39="No","General",""))</f>
        <v/>
      </c>
      <c r="O9" t="e">
        <f>VLOOKUP(F9,Lookups!$V$7:$Y$26,4,FALSE)</f>
        <v>#N/A</v>
      </c>
    </row>
    <row r="10" spans="1:25">
      <c r="B10" s="734" t="str">
        <f>IFERROR("LED"&amp;VLOOKUP(F10,xyLED_Codes,2,FALSE)&amp;I10&amp;VLOOKUP(F10,xyLED_Codes,3,FALSE)&amp;"-"&amp;K10,"Custom LED")</f>
        <v>Custom LED</v>
      </c>
      <c r="C10" s="734" t="s">
        <v>256</v>
      </c>
      <c r="D10" s="734" t="s">
        <v>528</v>
      </c>
      <c r="E10" s="734" t="str">
        <f t="shared" ref="E10:E28" si="0">IF(L10="Custom LED","LED XXW",CONCATENATE("LED ",K10,"W"))</f>
        <v>LED XXW</v>
      </c>
      <c r="F10" s="735">
        <f>'Fixture and LED Schedule'!H40</f>
        <v>0</v>
      </c>
      <c r="G10" s="736" t="s">
        <v>2288</v>
      </c>
      <c r="H10" s="736" t="str">
        <f t="shared" ref="H10:H28" si="1">IF(LEFT(F10,1)="4",48,IF(LEFT(F10,1)="2",24,""))</f>
        <v/>
      </c>
      <c r="I10" s="737">
        <f>'Fixture and LED Schedule'!F40</f>
        <v>0</v>
      </c>
      <c r="J10" s="737" t="s">
        <v>2289</v>
      </c>
      <c r="K10" s="738">
        <f>'Fixture and LED Schedule'!E40</f>
        <v>0</v>
      </c>
      <c r="L10" s="737" t="str">
        <f t="shared" ref="L10:L28" si="2">B10</f>
        <v>Custom LED</v>
      </c>
      <c r="M10" s="739" t="str">
        <f>IF('Fixture and LED Schedule'!G40="Yes","Screw-In",IF('Fixture and LED Schedule'!G40="No","General",""))</f>
        <v/>
      </c>
      <c r="O10" t="e">
        <f>VLOOKUP(F10,Lookups!$V$7:$Y$26,4,FALSE)</f>
        <v>#N/A</v>
      </c>
    </row>
    <row r="11" spans="1:25">
      <c r="B11" s="734" t="str">
        <f t="shared" ref="B11:B28" si="3">IFERROR("LED"&amp;VLOOKUP(F11,xyLED_Codes,2,FALSE)&amp;I11&amp;VLOOKUP(F11,xyLED_Codes,3,FALSE)&amp;"-"&amp;K11,"Custom LED")</f>
        <v>Custom LED</v>
      </c>
      <c r="C11" s="734" t="s">
        <v>256</v>
      </c>
      <c r="D11" s="734" t="s">
        <v>528</v>
      </c>
      <c r="E11" s="734" t="str">
        <f t="shared" si="0"/>
        <v>LED XXW</v>
      </c>
      <c r="F11" s="735">
        <f>'Fixture and LED Schedule'!H41</f>
        <v>0</v>
      </c>
      <c r="G11" s="736" t="s">
        <v>2288</v>
      </c>
      <c r="H11" s="736" t="str">
        <f t="shared" si="1"/>
        <v/>
      </c>
      <c r="I11" s="737">
        <f>'Fixture and LED Schedule'!F41</f>
        <v>0</v>
      </c>
      <c r="J11" s="737" t="s">
        <v>2289</v>
      </c>
      <c r="K11" s="738">
        <f>'Fixture and LED Schedule'!E41</f>
        <v>0</v>
      </c>
      <c r="L11" s="737" t="str">
        <f t="shared" si="2"/>
        <v>Custom LED</v>
      </c>
      <c r="M11" s="739" t="str">
        <f>IF('Fixture and LED Schedule'!G41="Yes","Screw-In",IF('Fixture and LED Schedule'!G41="No","General",""))</f>
        <v/>
      </c>
      <c r="O11" t="e">
        <f>VLOOKUP(F11,Lookups!$V$7:$Y$26,4,FALSE)</f>
        <v>#N/A</v>
      </c>
    </row>
    <row r="12" spans="1:25">
      <c r="B12" s="734" t="str">
        <f t="shared" si="3"/>
        <v>Custom LED</v>
      </c>
      <c r="C12" s="734" t="s">
        <v>256</v>
      </c>
      <c r="D12" s="734" t="s">
        <v>528</v>
      </c>
      <c r="E12" s="734" t="str">
        <f t="shared" si="0"/>
        <v>LED XXW</v>
      </c>
      <c r="F12" s="735">
        <f>'Fixture and LED Schedule'!H42</f>
        <v>0</v>
      </c>
      <c r="G12" s="736" t="s">
        <v>2288</v>
      </c>
      <c r="H12" s="736" t="str">
        <f t="shared" si="1"/>
        <v/>
      </c>
      <c r="I12" s="737">
        <f>'Fixture and LED Schedule'!F42</f>
        <v>0</v>
      </c>
      <c r="J12" s="737" t="s">
        <v>2289</v>
      </c>
      <c r="K12" s="738">
        <f>'Fixture and LED Schedule'!E42</f>
        <v>0</v>
      </c>
      <c r="L12" s="737" t="str">
        <f t="shared" si="2"/>
        <v>Custom LED</v>
      </c>
      <c r="M12" s="739" t="str">
        <f>IF('Fixture and LED Schedule'!G42="Yes","Screw-In",IF('Fixture and LED Schedule'!G42="No","General",""))</f>
        <v/>
      </c>
      <c r="O12" t="e">
        <f>VLOOKUP(F12,Lookups!$V$7:$Y$26,4,FALSE)</f>
        <v>#N/A</v>
      </c>
    </row>
    <row r="13" spans="1:25">
      <c r="B13" s="734" t="str">
        <f t="shared" si="3"/>
        <v>Custom LED</v>
      </c>
      <c r="C13" s="734" t="s">
        <v>256</v>
      </c>
      <c r="D13" s="734" t="s">
        <v>528</v>
      </c>
      <c r="E13" s="734" t="str">
        <f t="shared" si="0"/>
        <v>LED XXW</v>
      </c>
      <c r="F13" s="735">
        <f>'Fixture and LED Schedule'!H43</f>
        <v>0</v>
      </c>
      <c r="G13" s="736" t="s">
        <v>2288</v>
      </c>
      <c r="H13" s="736" t="str">
        <f t="shared" si="1"/>
        <v/>
      </c>
      <c r="I13" s="737">
        <f>'Fixture and LED Schedule'!F43</f>
        <v>0</v>
      </c>
      <c r="J13" s="737" t="s">
        <v>2289</v>
      </c>
      <c r="K13" s="738">
        <f>'Fixture and LED Schedule'!E43</f>
        <v>0</v>
      </c>
      <c r="L13" s="737" t="str">
        <f t="shared" si="2"/>
        <v>Custom LED</v>
      </c>
      <c r="M13" s="739" t="str">
        <f>IF('Fixture and LED Schedule'!G43="Yes","Screw-In",IF('Fixture and LED Schedule'!G43="No","General",""))</f>
        <v/>
      </c>
      <c r="O13" t="e">
        <f>VLOOKUP(F13,Lookups!$V$7:$Y$26,4,FALSE)</f>
        <v>#N/A</v>
      </c>
    </row>
    <row r="14" spans="1:25">
      <c r="B14" s="734" t="str">
        <f t="shared" si="3"/>
        <v>Custom LED</v>
      </c>
      <c r="C14" s="734" t="s">
        <v>256</v>
      </c>
      <c r="D14" s="734" t="s">
        <v>528</v>
      </c>
      <c r="E14" s="734" t="str">
        <f t="shared" si="0"/>
        <v>LED XXW</v>
      </c>
      <c r="F14" s="735">
        <f>'Fixture and LED Schedule'!H44</f>
        <v>0</v>
      </c>
      <c r="G14" s="736" t="s">
        <v>2288</v>
      </c>
      <c r="H14" s="736" t="str">
        <f t="shared" si="1"/>
        <v/>
      </c>
      <c r="I14" s="737">
        <f>'Fixture and LED Schedule'!F44</f>
        <v>0</v>
      </c>
      <c r="J14" s="737" t="s">
        <v>2289</v>
      </c>
      <c r="K14" s="738">
        <f>'Fixture and LED Schedule'!E44</f>
        <v>0</v>
      </c>
      <c r="L14" s="737" t="str">
        <f t="shared" si="2"/>
        <v>Custom LED</v>
      </c>
      <c r="M14" s="739" t="str">
        <f>IF('Fixture and LED Schedule'!G44="Yes","Screw-In",IF('Fixture and LED Schedule'!G44="No","General",""))</f>
        <v/>
      </c>
      <c r="O14" t="e">
        <f>VLOOKUP(F14,Lookups!$V$7:$Y$26,4,FALSE)</f>
        <v>#N/A</v>
      </c>
    </row>
    <row r="15" spans="1:25">
      <c r="B15" s="734" t="str">
        <f t="shared" si="3"/>
        <v>Custom LED</v>
      </c>
      <c r="C15" s="734" t="s">
        <v>256</v>
      </c>
      <c r="D15" s="734" t="s">
        <v>528</v>
      </c>
      <c r="E15" s="734" t="str">
        <f t="shared" si="0"/>
        <v>LED XXW</v>
      </c>
      <c r="F15" s="735">
        <f>'Fixture and LED Schedule'!H45</f>
        <v>0</v>
      </c>
      <c r="G15" s="736" t="s">
        <v>2288</v>
      </c>
      <c r="H15" s="736" t="str">
        <f t="shared" si="1"/>
        <v/>
      </c>
      <c r="I15" s="737">
        <f>'Fixture and LED Schedule'!F45</f>
        <v>0</v>
      </c>
      <c r="J15" s="737" t="s">
        <v>2289</v>
      </c>
      <c r="K15" s="738">
        <f>'Fixture and LED Schedule'!E45</f>
        <v>0</v>
      </c>
      <c r="L15" s="737" t="str">
        <f t="shared" si="2"/>
        <v>Custom LED</v>
      </c>
      <c r="M15" s="739" t="str">
        <f>IF('Fixture and LED Schedule'!G45="Yes","Screw-In",IF('Fixture and LED Schedule'!G45="No","General",""))</f>
        <v/>
      </c>
      <c r="O15" t="e">
        <f>VLOOKUP(F15,Lookups!$V$7:$Y$26,4,FALSE)</f>
        <v>#N/A</v>
      </c>
    </row>
    <row r="16" spans="1:25">
      <c r="B16" s="734" t="str">
        <f t="shared" si="3"/>
        <v>Custom LED</v>
      </c>
      <c r="C16" s="734" t="s">
        <v>256</v>
      </c>
      <c r="D16" s="734" t="s">
        <v>528</v>
      </c>
      <c r="E16" s="734" t="str">
        <f t="shared" si="0"/>
        <v>LED XXW</v>
      </c>
      <c r="F16" s="735">
        <f>'Fixture and LED Schedule'!H46</f>
        <v>0</v>
      </c>
      <c r="G16" s="736" t="s">
        <v>2288</v>
      </c>
      <c r="H16" s="736" t="str">
        <f t="shared" si="1"/>
        <v/>
      </c>
      <c r="I16" s="737">
        <f>'Fixture and LED Schedule'!F46</f>
        <v>0</v>
      </c>
      <c r="J16" s="737" t="s">
        <v>2289</v>
      </c>
      <c r="K16" s="738">
        <f>'Fixture and LED Schedule'!E46</f>
        <v>0</v>
      </c>
      <c r="L16" s="737" t="str">
        <f t="shared" si="2"/>
        <v>Custom LED</v>
      </c>
      <c r="M16" s="739" t="str">
        <f>IF('Fixture and LED Schedule'!G46="Yes","Screw-In",IF('Fixture and LED Schedule'!G46="No","General",""))</f>
        <v/>
      </c>
      <c r="O16" t="e">
        <f>VLOOKUP(F16,Lookups!$V$7:$Y$26,4,FALSE)</f>
        <v>#N/A</v>
      </c>
    </row>
    <row r="17" spans="2:15">
      <c r="B17" s="734" t="str">
        <f t="shared" si="3"/>
        <v>Custom LED</v>
      </c>
      <c r="C17" s="734" t="s">
        <v>256</v>
      </c>
      <c r="D17" s="734" t="s">
        <v>528</v>
      </c>
      <c r="E17" s="734" t="str">
        <f t="shared" si="0"/>
        <v>LED XXW</v>
      </c>
      <c r="F17" s="735">
        <f>'Fixture and LED Schedule'!H47</f>
        <v>0</v>
      </c>
      <c r="G17" s="736" t="s">
        <v>2288</v>
      </c>
      <c r="H17" s="736" t="str">
        <f t="shared" si="1"/>
        <v/>
      </c>
      <c r="I17" s="737">
        <f>'Fixture and LED Schedule'!F47</f>
        <v>0</v>
      </c>
      <c r="J17" s="737" t="s">
        <v>2289</v>
      </c>
      <c r="K17" s="738">
        <f>'Fixture and LED Schedule'!E47</f>
        <v>0</v>
      </c>
      <c r="L17" s="737" t="str">
        <f t="shared" si="2"/>
        <v>Custom LED</v>
      </c>
      <c r="M17" s="739" t="str">
        <f>IF('Fixture and LED Schedule'!G47="Yes","Screw-In",IF('Fixture and LED Schedule'!G47="No","General",""))</f>
        <v/>
      </c>
      <c r="O17" t="e">
        <f>VLOOKUP(F17,Lookups!$V$7:$Y$26,4,FALSE)</f>
        <v>#N/A</v>
      </c>
    </row>
    <row r="18" spans="2:15">
      <c r="B18" s="734" t="str">
        <f t="shared" si="3"/>
        <v>Custom LED</v>
      </c>
      <c r="C18" s="734" t="s">
        <v>256</v>
      </c>
      <c r="D18" s="734" t="s">
        <v>528</v>
      </c>
      <c r="E18" s="734" t="str">
        <f t="shared" si="0"/>
        <v>LED XXW</v>
      </c>
      <c r="F18" s="735">
        <f>'Fixture and LED Schedule'!H48</f>
        <v>0</v>
      </c>
      <c r="G18" s="736" t="s">
        <v>2288</v>
      </c>
      <c r="H18" s="736" t="str">
        <f t="shared" si="1"/>
        <v/>
      </c>
      <c r="I18" s="737">
        <f>'Fixture and LED Schedule'!F48</f>
        <v>0</v>
      </c>
      <c r="J18" s="737" t="s">
        <v>2289</v>
      </c>
      <c r="K18" s="738">
        <f>'Fixture and LED Schedule'!E48</f>
        <v>0</v>
      </c>
      <c r="L18" s="737" t="str">
        <f t="shared" si="2"/>
        <v>Custom LED</v>
      </c>
      <c r="M18" s="739" t="str">
        <f>IF('Fixture and LED Schedule'!G48="Yes","Screw-In",IF('Fixture and LED Schedule'!G48="No","General",""))</f>
        <v/>
      </c>
      <c r="O18" t="e">
        <f>VLOOKUP(F18,Lookups!$V$7:$Y$26,4,FALSE)</f>
        <v>#N/A</v>
      </c>
    </row>
    <row r="19" spans="2:15">
      <c r="B19" s="734" t="str">
        <f t="shared" si="3"/>
        <v>Custom LED</v>
      </c>
      <c r="C19" s="734" t="s">
        <v>256</v>
      </c>
      <c r="D19" s="734" t="s">
        <v>528</v>
      </c>
      <c r="E19" s="734" t="str">
        <f t="shared" si="0"/>
        <v>LED XXW</v>
      </c>
      <c r="F19" s="735">
        <f>'Fixture and LED Schedule'!H49</f>
        <v>0</v>
      </c>
      <c r="G19" s="736" t="s">
        <v>2288</v>
      </c>
      <c r="H19" s="736" t="str">
        <f t="shared" si="1"/>
        <v/>
      </c>
      <c r="I19" s="737">
        <f>'Fixture and LED Schedule'!F49</f>
        <v>0</v>
      </c>
      <c r="J19" s="737" t="s">
        <v>2289</v>
      </c>
      <c r="K19" s="738">
        <f>'Fixture and LED Schedule'!E49</f>
        <v>0</v>
      </c>
      <c r="L19" s="737" t="str">
        <f t="shared" si="2"/>
        <v>Custom LED</v>
      </c>
      <c r="M19" s="739" t="str">
        <f>IF('Fixture and LED Schedule'!G49="Yes","Screw-In",IF('Fixture and LED Schedule'!G49="No","General",""))</f>
        <v/>
      </c>
      <c r="O19" t="e">
        <f>VLOOKUP(F19,Lookups!$V$7:$Y$26,4,FALSE)</f>
        <v>#N/A</v>
      </c>
    </row>
    <row r="20" spans="2:15">
      <c r="B20" s="734" t="str">
        <f t="shared" si="3"/>
        <v>Custom LED</v>
      </c>
      <c r="C20" s="734" t="s">
        <v>256</v>
      </c>
      <c r="D20" s="734" t="s">
        <v>528</v>
      </c>
      <c r="E20" s="734" t="str">
        <f t="shared" si="0"/>
        <v>LED XXW</v>
      </c>
      <c r="F20" s="735">
        <f>'Fixture and LED Schedule'!H50</f>
        <v>0</v>
      </c>
      <c r="G20" s="736" t="s">
        <v>2288</v>
      </c>
      <c r="H20" s="736" t="str">
        <f t="shared" si="1"/>
        <v/>
      </c>
      <c r="I20" s="737">
        <f>'Fixture and LED Schedule'!F50</f>
        <v>0</v>
      </c>
      <c r="J20" s="737" t="s">
        <v>2289</v>
      </c>
      <c r="K20" s="738">
        <f>'Fixture and LED Schedule'!E50</f>
        <v>0</v>
      </c>
      <c r="L20" s="737" t="str">
        <f t="shared" si="2"/>
        <v>Custom LED</v>
      </c>
      <c r="M20" s="739" t="str">
        <f>IF('Fixture and LED Schedule'!G50="Yes","Screw-In",IF('Fixture and LED Schedule'!G50="No","General",""))</f>
        <v/>
      </c>
      <c r="O20" t="e">
        <f>VLOOKUP(F20,Lookups!$V$7:$Y$26,4,FALSE)</f>
        <v>#N/A</v>
      </c>
    </row>
    <row r="21" spans="2:15">
      <c r="B21" s="734" t="str">
        <f t="shared" si="3"/>
        <v>Custom LED</v>
      </c>
      <c r="C21" s="734" t="s">
        <v>256</v>
      </c>
      <c r="D21" s="734" t="s">
        <v>528</v>
      </c>
      <c r="E21" s="734" t="str">
        <f t="shared" si="0"/>
        <v>LED XXW</v>
      </c>
      <c r="F21" s="735">
        <f>'Fixture and LED Schedule'!H51</f>
        <v>0</v>
      </c>
      <c r="G21" s="736" t="s">
        <v>2288</v>
      </c>
      <c r="H21" s="736" t="str">
        <f t="shared" si="1"/>
        <v/>
      </c>
      <c r="I21" s="737">
        <f>'Fixture and LED Schedule'!F51</f>
        <v>0</v>
      </c>
      <c r="J21" s="737" t="s">
        <v>2289</v>
      </c>
      <c r="K21" s="738">
        <f>'Fixture and LED Schedule'!E51</f>
        <v>0</v>
      </c>
      <c r="L21" s="737" t="str">
        <f t="shared" si="2"/>
        <v>Custom LED</v>
      </c>
      <c r="M21" s="739" t="str">
        <f>IF('Fixture and LED Schedule'!G51="Yes","Screw-In",IF('Fixture and LED Schedule'!G51="No","General",""))</f>
        <v/>
      </c>
      <c r="O21" t="e">
        <f>VLOOKUP(F21,Lookups!$V$7:$Y$26,4,FALSE)</f>
        <v>#N/A</v>
      </c>
    </row>
    <row r="22" spans="2:15">
      <c r="B22" s="734" t="str">
        <f t="shared" si="3"/>
        <v>Custom LED</v>
      </c>
      <c r="C22" s="734" t="s">
        <v>256</v>
      </c>
      <c r="D22" s="734" t="s">
        <v>528</v>
      </c>
      <c r="E22" s="734" t="str">
        <f t="shared" si="0"/>
        <v>LED XXW</v>
      </c>
      <c r="F22" s="735">
        <f>'Fixture and LED Schedule'!H52</f>
        <v>0</v>
      </c>
      <c r="G22" s="736" t="s">
        <v>2288</v>
      </c>
      <c r="H22" s="736" t="str">
        <f t="shared" si="1"/>
        <v/>
      </c>
      <c r="I22" s="737">
        <f>'Fixture and LED Schedule'!F52</f>
        <v>0</v>
      </c>
      <c r="J22" s="737" t="s">
        <v>2289</v>
      </c>
      <c r="K22" s="738">
        <f>'Fixture and LED Schedule'!E52</f>
        <v>0</v>
      </c>
      <c r="L22" s="737" t="str">
        <f t="shared" si="2"/>
        <v>Custom LED</v>
      </c>
      <c r="M22" s="739" t="str">
        <f>IF('Fixture and LED Schedule'!G52="Yes","Screw-In",IF('Fixture and LED Schedule'!G52="No","General",""))</f>
        <v/>
      </c>
      <c r="O22" t="e">
        <f>VLOOKUP(F22,Lookups!$V$7:$Y$26,4,FALSE)</f>
        <v>#N/A</v>
      </c>
    </row>
    <row r="23" spans="2:15">
      <c r="B23" s="734" t="str">
        <f t="shared" si="3"/>
        <v>Custom LED</v>
      </c>
      <c r="C23" s="734" t="s">
        <v>256</v>
      </c>
      <c r="D23" s="734" t="s">
        <v>528</v>
      </c>
      <c r="E23" s="734" t="str">
        <f t="shared" si="0"/>
        <v>LED XXW</v>
      </c>
      <c r="F23" s="735">
        <f>'Fixture and LED Schedule'!H53</f>
        <v>0</v>
      </c>
      <c r="G23" s="736" t="s">
        <v>2288</v>
      </c>
      <c r="H23" s="736" t="str">
        <f t="shared" si="1"/>
        <v/>
      </c>
      <c r="I23" s="737">
        <f>'Fixture and LED Schedule'!F53</f>
        <v>0</v>
      </c>
      <c r="J23" s="737" t="s">
        <v>2289</v>
      </c>
      <c r="K23" s="738">
        <f>'Fixture and LED Schedule'!E53</f>
        <v>0</v>
      </c>
      <c r="L23" s="737" t="str">
        <f t="shared" si="2"/>
        <v>Custom LED</v>
      </c>
      <c r="M23" s="739" t="str">
        <f>IF('Fixture and LED Schedule'!G53="Yes","Screw-In",IF('Fixture and LED Schedule'!G53="No","General",""))</f>
        <v/>
      </c>
      <c r="O23" t="e">
        <f>VLOOKUP(F23,Lookups!$V$7:$Y$26,4,FALSE)</f>
        <v>#N/A</v>
      </c>
    </row>
    <row r="24" spans="2:15">
      <c r="B24" s="734" t="str">
        <f t="shared" si="3"/>
        <v>Custom LED</v>
      </c>
      <c r="C24" s="734" t="s">
        <v>256</v>
      </c>
      <c r="D24" s="734" t="s">
        <v>528</v>
      </c>
      <c r="E24" s="734" t="str">
        <f t="shared" si="0"/>
        <v>LED XXW</v>
      </c>
      <c r="F24" s="735">
        <f>'Fixture and LED Schedule'!H54</f>
        <v>0</v>
      </c>
      <c r="G24" s="736" t="s">
        <v>2288</v>
      </c>
      <c r="H24" s="736" t="str">
        <f t="shared" si="1"/>
        <v/>
      </c>
      <c r="I24" s="737">
        <f>'Fixture and LED Schedule'!F54</f>
        <v>0</v>
      </c>
      <c r="J24" s="737" t="s">
        <v>2289</v>
      </c>
      <c r="K24" s="738">
        <f>'Fixture and LED Schedule'!E54</f>
        <v>0</v>
      </c>
      <c r="L24" s="737" t="str">
        <f t="shared" si="2"/>
        <v>Custom LED</v>
      </c>
      <c r="M24" s="739" t="str">
        <f>IF('Fixture and LED Schedule'!G54="Yes","Screw-In",IF('Fixture and LED Schedule'!G54="No","General",""))</f>
        <v/>
      </c>
      <c r="O24" t="e">
        <f>VLOOKUP(F24,Lookups!$V$7:$Y$26,4,FALSE)</f>
        <v>#N/A</v>
      </c>
    </row>
    <row r="25" spans="2:15">
      <c r="B25" s="734" t="str">
        <f t="shared" si="3"/>
        <v>Custom LED</v>
      </c>
      <c r="C25" s="734" t="s">
        <v>256</v>
      </c>
      <c r="D25" s="734" t="s">
        <v>528</v>
      </c>
      <c r="E25" s="734" t="str">
        <f t="shared" si="0"/>
        <v>LED XXW</v>
      </c>
      <c r="F25" s="735">
        <f>'Fixture and LED Schedule'!H55</f>
        <v>0</v>
      </c>
      <c r="G25" s="736" t="s">
        <v>2288</v>
      </c>
      <c r="H25" s="736" t="str">
        <f t="shared" si="1"/>
        <v/>
      </c>
      <c r="I25" s="737">
        <f>'Fixture and LED Schedule'!F55</f>
        <v>0</v>
      </c>
      <c r="J25" s="737" t="s">
        <v>2289</v>
      </c>
      <c r="K25" s="738">
        <f>'Fixture and LED Schedule'!E55</f>
        <v>0</v>
      </c>
      <c r="L25" s="737" t="str">
        <f t="shared" si="2"/>
        <v>Custom LED</v>
      </c>
      <c r="M25" s="739" t="str">
        <f>IF('Fixture and LED Schedule'!G55="Yes","Screw-In",IF('Fixture and LED Schedule'!G55="No","General",""))</f>
        <v/>
      </c>
      <c r="O25" t="e">
        <f>VLOOKUP(F25,Lookups!$V$7:$Y$26,4,FALSE)</f>
        <v>#N/A</v>
      </c>
    </row>
    <row r="26" spans="2:15">
      <c r="B26" s="734" t="str">
        <f t="shared" si="3"/>
        <v>Custom LED</v>
      </c>
      <c r="C26" s="734" t="s">
        <v>256</v>
      </c>
      <c r="D26" s="734" t="s">
        <v>528</v>
      </c>
      <c r="E26" s="734" t="str">
        <f t="shared" si="0"/>
        <v>LED XXW</v>
      </c>
      <c r="F26" s="735">
        <f>'Fixture and LED Schedule'!H56</f>
        <v>0</v>
      </c>
      <c r="G26" s="736" t="s">
        <v>2288</v>
      </c>
      <c r="H26" s="736" t="str">
        <f t="shared" si="1"/>
        <v/>
      </c>
      <c r="I26" s="737">
        <f>'Fixture and LED Schedule'!F56</f>
        <v>0</v>
      </c>
      <c r="J26" s="737" t="s">
        <v>2289</v>
      </c>
      <c r="K26" s="738">
        <f>'Fixture and LED Schedule'!E56</f>
        <v>0</v>
      </c>
      <c r="L26" s="737" t="str">
        <f t="shared" si="2"/>
        <v>Custom LED</v>
      </c>
      <c r="M26" s="739" t="str">
        <f>IF('Fixture and LED Schedule'!G56="Yes","Screw-In",IF('Fixture and LED Schedule'!G56="No","General",""))</f>
        <v/>
      </c>
      <c r="O26" t="e">
        <f>VLOOKUP(F26,Lookups!$V$7:$Y$26,4,FALSE)</f>
        <v>#N/A</v>
      </c>
    </row>
    <row r="27" spans="2:15">
      <c r="B27" s="734" t="str">
        <f t="shared" si="3"/>
        <v>Custom LED</v>
      </c>
      <c r="C27" s="734" t="s">
        <v>256</v>
      </c>
      <c r="D27" s="734" t="s">
        <v>528</v>
      </c>
      <c r="E27" s="734" t="str">
        <f t="shared" si="0"/>
        <v>LED XXW</v>
      </c>
      <c r="F27" s="735">
        <f>'Fixture and LED Schedule'!H57</f>
        <v>0</v>
      </c>
      <c r="G27" s="736" t="s">
        <v>2288</v>
      </c>
      <c r="H27" s="736" t="str">
        <f t="shared" si="1"/>
        <v/>
      </c>
      <c r="I27" s="737">
        <f>'Fixture and LED Schedule'!F57</f>
        <v>0</v>
      </c>
      <c r="J27" s="737" t="s">
        <v>2289</v>
      </c>
      <c r="K27" s="738">
        <f>'Fixture and LED Schedule'!E57</f>
        <v>0</v>
      </c>
      <c r="L27" s="737" t="str">
        <f t="shared" si="2"/>
        <v>Custom LED</v>
      </c>
      <c r="M27" s="739" t="str">
        <f>IF('Fixture and LED Schedule'!G57="Yes","Screw-In",IF('Fixture and LED Schedule'!G57="No","General",""))</f>
        <v/>
      </c>
      <c r="O27" t="e">
        <f>VLOOKUP(F27,Lookups!$V$7:$Y$26,4,FALSE)</f>
        <v>#N/A</v>
      </c>
    </row>
    <row r="28" spans="2:15">
      <c r="B28" s="734" t="str">
        <f t="shared" si="3"/>
        <v>Custom LED</v>
      </c>
      <c r="C28" s="734" t="s">
        <v>256</v>
      </c>
      <c r="D28" s="734" t="s">
        <v>528</v>
      </c>
      <c r="E28" s="734" t="str">
        <f t="shared" si="0"/>
        <v>LED XXW</v>
      </c>
      <c r="F28" s="735">
        <f>'Fixture and LED Schedule'!H58</f>
        <v>0</v>
      </c>
      <c r="G28" s="736" t="s">
        <v>2288</v>
      </c>
      <c r="H28" s="736" t="str">
        <f t="shared" si="1"/>
        <v/>
      </c>
      <c r="I28" s="737">
        <f>'Fixture and LED Schedule'!F58</f>
        <v>0</v>
      </c>
      <c r="J28" s="737" t="s">
        <v>2289</v>
      </c>
      <c r="K28" s="738">
        <f>'Fixture and LED Schedule'!E58</f>
        <v>0</v>
      </c>
      <c r="L28" s="737" t="str">
        <f t="shared" si="2"/>
        <v>Custom LED</v>
      </c>
      <c r="M28" s="739" t="str">
        <f>IF('Fixture and LED Schedule'!G58="Yes","Screw-In",IF('Fixture and LED Schedule'!G58="No","General",""))</f>
        <v/>
      </c>
      <c r="O28" t="e">
        <f>VLOOKUP(F28,Lookups!$V$7:$Y$26,4,FALSE)</f>
        <v>#N/A</v>
      </c>
    </row>
    <row r="29" spans="2:15">
      <c r="B29" s="740" t="s">
        <v>2290</v>
      </c>
      <c r="C29" s="740" t="s">
        <v>256</v>
      </c>
      <c r="D29" s="740" t="s">
        <v>529</v>
      </c>
      <c r="E29" s="740" t="s">
        <v>2291</v>
      </c>
      <c r="F29" s="741" t="s">
        <v>2292</v>
      </c>
      <c r="G29" s="742" t="s">
        <v>2288</v>
      </c>
      <c r="H29" s="742"/>
      <c r="I29" s="743">
        <v>1</v>
      </c>
      <c r="J29" s="743">
        <v>2</v>
      </c>
      <c r="K29" s="743">
        <v>2</v>
      </c>
      <c r="L29" s="743" t="s">
        <v>2290</v>
      </c>
      <c r="M29" s="744" t="s">
        <v>605</v>
      </c>
      <c r="O29" t="s">
        <v>529</v>
      </c>
    </row>
    <row r="30" spans="2:15">
      <c r="B30" s="745" t="s">
        <v>2293</v>
      </c>
      <c r="C30" s="740" t="s">
        <v>256</v>
      </c>
      <c r="D30" s="740" t="s">
        <v>529</v>
      </c>
      <c r="E30" s="740" t="s">
        <v>2294</v>
      </c>
      <c r="F30" s="741" t="s">
        <v>2295</v>
      </c>
      <c r="G30" s="742" t="s">
        <v>2288</v>
      </c>
      <c r="H30" s="742"/>
      <c r="I30" s="743">
        <v>1</v>
      </c>
      <c r="J30" s="743">
        <v>3</v>
      </c>
      <c r="K30" s="743">
        <v>3</v>
      </c>
      <c r="L30" s="743" t="s">
        <v>2293</v>
      </c>
      <c r="M30" s="744" t="s">
        <v>605</v>
      </c>
      <c r="O30" t="s">
        <v>529</v>
      </c>
    </row>
    <row r="31" spans="2:15">
      <c r="B31" s="745" t="s">
        <v>2296</v>
      </c>
      <c r="C31" s="740" t="s">
        <v>256</v>
      </c>
      <c r="D31" s="740" t="s">
        <v>529</v>
      </c>
      <c r="E31" s="740" t="s">
        <v>2297</v>
      </c>
      <c r="F31" s="741" t="s">
        <v>2298</v>
      </c>
      <c r="G31" s="742" t="s">
        <v>2288</v>
      </c>
      <c r="H31" s="742"/>
      <c r="I31" s="743">
        <v>1</v>
      </c>
      <c r="J31" s="743">
        <v>4</v>
      </c>
      <c r="K31" s="743">
        <v>4</v>
      </c>
      <c r="L31" s="743" t="s">
        <v>2296</v>
      </c>
      <c r="M31" s="744" t="s">
        <v>605</v>
      </c>
      <c r="O31" t="s">
        <v>529</v>
      </c>
    </row>
    <row r="32" spans="2:15">
      <c r="B32" s="745" t="s">
        <v>2299</v>
      </c>
      <c r="C32" s="740" t="s">
        <v>256</v>
      </c>
      <c r="D32" s="740" t="s">
        <v>529</v>
      </c>
      <c r="E32" s="740" t="s">
        <v>2300</v>
      </c>
      <c r="F32" s="741" t="s">
        <v>2301</v>
      </c>
      <c r="G32" s="742" t="s">
        <v>2288</v>
      </c>
      <c r="H32" s="742"/>
      <c r="I32" s="743">
        <v>1</v>
      </c>
      <c r="J32" s="743">
        <v>5</v>
      </c>
      <c r="K32" s="743">
        <v>5</v>
      </c>
      <c r="L32" s="743" t="s">
        <v>2299</v>
      </c>
      <c r="M32" s="744" t="s">
        <v>605</v>
      </c>
      <c r="O32" t="s">
        <v>529</v>
      </c>
    </row>
    <row r="33" spans="2:15">
      <c r="B33" s="745" t="s">
        <v>2302</v>
      </c>
      <c r="C33" s="740" t="s">
        <v>256</v>
      </c>
      <c r="D33" s="740" t="s">
        <v>529</v>
      </c>
      <c r="E33" s="740" t="s">
        <v>2303</v>
      </c>
      <c r="F33" s="741" t="s">
        <v>2304</v>
      </c>
      <c r="G33" s="742" t="s">
        <v>2288</v>
      </c>
      <c r="H33" s="742"/>
      <c r="I33" s="743">
        <v>1</v>
      </c>
      <c r="J33" s="743">
        <v>6</v>
      </c>
      <c r="K33" s="743">
        <v>6</v>
      </c>
      <c r="L33" s="743" t="s">
        <v>2302</v>
      </c>
      <c r="M33" s="744" t="s">
        <v>605</v>
      </c>
      <c r="O33" t="s">
        <v>529</v>
      </c>
    </row>
    <row r="34" spans="2:15">
      <c r="B34" s="745" t="s">
        <v>2305</v>
      </c>
      <c r="C34" s="740" t="s">
        <v>256</v>
      </c>
      <c r="D34" s="740" t="s">
        <v>529</v>
      </c>
      <c r="E34" s="740" t="s">
        <v>2306</v>
      </c>
      <c r="F34" s="741" t="s">
        <v>2307</v>
      </c>
      <c r="G34" s="742" t="s">
        <v>2288</v>
      </c>
      <c r="H34" s="742"/>
      <c r="I34" s="743">
        <v>1</v>
      </c>
      <c r="J34" s="743">
        <v>7</v>
      </c>
      <c r="K34" s="743">
        <v>7</v>
      </c>
      <c r="L34" s="743" t="s">
        <v>2305</v>
      </c>
      <c r="M34" s="744" t="s">
        <v>605</v>
      </c>
      <c r="O34" t="s">
        <v>529</v>
      </c>
    </row>
    <row r="35" spans="2:15">
      <c r="B35" s="745" t="s">
        <v>2308</v>
      </c>
      <c r="C35" s="740" t="s">
        <v>256</v>
      </c>
      <c r="D35" s="740" t="s">
        <v>529</v>
      </c>
      <c r="E35" s="740" t="s">
        <v>2309</v>
      </c>
      <c r="F35" s="741" t="s">
        <v>2310</v>
      </c>
      <c r="G35" s="742" t="s">
        <v>2288</v>
      </c>
      <c r="H35" s="742"/>
      <c r="I35" s="743">
        <v>1</v>
      </c>
      <c r="J35" s="743">
        <v>8</v>
      </c>
      <c r="K35" s="743">
        <v>8</v>
      </c>
      <c r="L35" s="743" t="s">
        <v>2308</v>
      </c>
      <c r="M35" s="744" t="s">
        <v>605</v>
      </c>
      <c r="O35" t="s">
        <v>529</v>
      </c>
    </row>
    <row r="36" spans="2:15">
      <c r="B36" s="745" t="s">
        <v>2311</v>
      </c>
      <c r="C36" s="740" t="s">
        <v>256</v>
      </c>
      <c r="D36" s="740" t="s">
        <v>529</v>
      </c>
      <c r="E36" s="740" t="s">
        <v>2312</v>
      </c>
      <c r="F36" s="741" t="s">
        <v>2313</v>
      </c>
      <c r="G36" s="742" t="s">
        <v>2288</v>
      </c>
      <c r="H36" s="742"/>
      <c r="I36" s="743">
        <v>1</v>
      </c>
      <c r="J36" s="743">
        <v>9</v>
      </c>
      <c r="K36" s="743">
        <v>9</v>
      </c>
      <c r="L36" s="743" t="s">
        <v>2311</v>
      </c>
      <c r="M36" s="744" t="s">
        <v>605</v>
      </c>
      <c r="O36" t="s">
        <v>529</v>
      </c>
    </row>
    <row r="37" spans="2:15">
      <c r="B37" s="745" t="s">
        <v>2314</v>
      </c>
      <c r="C37" s="740" t="s">
        <v>256</v>
      </c>
      <c r="D37" s="740" t="s">
        <v>529</v>
      </c>
      <c r="E37" s="745" t="s">
        <v>2315</v>
      </c>
      <c r="F37" s="741" t="s">
        <v>2316</v>
      </c>
      <c r="G37" s="742" t="s">
        <v>2288</v>
      </c>
      <c r="H37" s="742"/>
      <c r="I37" s="743">
        <v>1</v>
      </c>
      <c r="J37" s="743">
        <v>10</v>
      </c>
      <c r="K37" s="743">
        <v>10</v>
      </c>
      <c r="L37" s="743" t="s">
        <v>2314</v>
      </c>
      <c r="M37" s="744" t="s">
        <v>605</v>
      </c>
      <c r="O37" t="s">
        <v>529</v>
      </c>
    </row>
    <row r="38" spans="2:15">
      <c r="B38" s="745" t="s">
        <v>2317</v>
      </c>
      <c r="C38" s="740" t="s">
        <v>256</v>
      </c>
      <c r="D38" s="740" t="s">
        <v>529</v>
      </c>
      <c r="E38" s="745" t="s">
        <v>2318</v>
      </c>
      <c r="F38" s="741" t="s">
        <v>2319</v>
      </c>
      <c r="G38" s="742" t="s">
        <v>2288</v>
      </c>
      <c r="H38" s="742"/>
      <c r="I38" s="743">
        <v>1</v>
      </c>
      <c r="J38" s="743">
        <v>11</v>
      </c>
      <c r="K38" s="743">
        <v>11</v>
      </c>
      <c r="L38" s="743" t="s">
        <v>2317</v>
      </c>
      <c r="M38" s="744" t="s">
        <v>605</v>
      </c>
      <c r="O38" t="s">
        <v>529</v>
      </c>
    </row>
    <row r="39" spans="2:15">
      <c r="B39" s="745" t="s">
        <v>2320</v>
      </c>
      <c r="C39" s="740" t="s">
        <v>256</v>
      </c>
      <c r="D39" s="740" t="s">
        <v>529</v>
      </c>
      <c r="E39" s="745" t="s">
        <v>2321</v>
      </c>
      <c r="F39" s="741" t="s">
        <v>2322</v>
      </c>
      <c r="G39" s="742" t="s">
        <v>2288</v>
      </c>
      <c r="H39" s="742"/>
      <c r="I39" s="743">
        <v>1</v>
      </c>
      <c r="J39" s="743">
        <v>12</v>
      </c>
      <c r="K39" s="743">
        <v>12</v>
      </c>
      <c r="L39" s="743" t="s">
        <v>2320</v>
      </c>
      <c r="M39" s="744" t="s">
        <v>605</v>
      </c>
      <c r="O39" t="s">
        <v>529</v>
      </c>
    </row>
    <row r="40" spans="2:15">
      <c r="B40" s="745" t="s">
        <v>2323</v>
      </c>
      <c r="C40" s="740" t="s">
        <v>256</v>
      </c>
      <c r="D40" s="740" t="s">
        <v>529</v>
      </c>
      <c r="E40" s="745" t="s">
        <v>2324</v>
      </c>
      <c r="F40" s="741" t="s">
        <v>2325</v>
      </c>
      <c r="G40" s="742" t="s">
        <v>2288</v>
      </c>
      <c r="H40" s="742"/>
      <c r="I40" s="743">
        <v>1</v>
      </c>
      <c r="J40" s="743">
        <v>13</v>
      </c>
      <c r="K40" s="743">
        <v>13</v>
      </c>
      <c r="L40" s="743" t="s">
        <v>2323</v>
      </c>
      <c r="M40" s="744" t="s">
        <v>605</v>
      </c>
      <c r="O40" t="s">
        <v>529</v>
      </c>
    </row>
    <row r="41" spans="2:15">
      <c r="B41" s="745" t="s">
        <v>2326</v>
      </c>
      <c r="C41" s="740" t="s">
        <v>256</v>
      </c>
      <c r="D41" s="740" t="s">
        <v>529</v>
      </c>
      <c r="E41" s="745" t="s">
        <v>2327</v>
      </c>
      <c r="F41" s="741" t="s">
        <v>2328</v>
      </c>
      <c r="G41" s="742" t="s">
        <v>2288</v>
      </c>
      <c r="H41" s="742"/>
      <c r="I41" s="743">
        <v>1</v>
      </c>
      <c r="J41" s="743">
        <v>14</v>
      </c>
      <c r="K41" s="743">
        <v>14</v>
      </c>
      <c r="L41" s="743" t="s">
        <v>2326</v>
      </c>
      <c r="M41" s="744" t="s">
        <v>605</v>
      </c>
      <c r="O41" t="s">
        <v>529</v>
      </c>
    </row>
    <row r="42" spans="2:15">
      <c r="B42" s="745" t="s">
        <v>2329</v>
      </c>
      <c r="C42" s="740" t="s">
        <v>256</v>
      </c>
      <c r="D42" s="740" t="s">
        <v>529</v>
      </c>
      <c r="E42" s="745" t="s">
        <v>2330</v>
      </c>
      <c r="F42" s="741" t="s">
        <v>2331</v>
      </c>
      <c r="G42" s="742" t="s">
        <v>2288</v>
      </c>
      <c r="H42" s="742"/>
      <c r="I42" s="743">
        <v>1</v>
      </c>
      <c r="J42" s="743">
        <v>15</v>
      </c>
      <c r="K42" s="743">
        <v>15</v>
      </c>
      <c r="L42" s="743" t="s">
        <v>2329</v>
      </c>
      <c r="M42" s="744" t="s">
        <v>605</v>
      </c>
      <c r="O42" t="s">
        <v>529</v>
      </c>
    </row>
    <row r="43" spans="2:15">
      <c r="B43" s="745" t="s">
        <v>2332</v>
      </c>
      <c r="C43" s="740" t="s">
        <v>256</v>
      </c>
      <c r="D43" s="740" t="s">
        <v>529</v>
      </c>
      <c r="E43" s="745" t="s">
        <v>2333</v>
      </c>
      <c r="F43" s="741" t="s">
        <v>2334</v>
      </c>
      <c r="G43" s="742" t="s">
        <v>2288</v>
      </c>
      <c r="H43" s="742"/>
      <c r="I43" s="743">
        <v>1</v>
      </c>
      <c r="J43" s="743">
        <v>16</v>
      </c>
      <c r="K43" s="743">
        <v>16</v>
      </c>
      <c r="L43" s="743" t="s">
        <v>2332</v>
      </c>
      <c r="M43" s="744" t="s">
        <v>605</v>
      </c>
      <c r="O43" t="s">
        <v>529</v>
      </c>
    </row>
    <row r="44" spans="2:15">
      <c r="B44" s="745" t="s">
        <v>2335</v>
      </c>
      <c r="C44" s="740" t="s">
        <v>256</v>
      </c>
      <c r="D44" s="740" t="s">
        <v>529</v>
      </c>
      <c r="E44" s="745" t="s">
        <v>2336</v>
      </c>
      <c r="F44" s="741" t="s">
        <v>2337</v>
      </c>
      <c r="G44" s="742" t="s">
        <v>2288</v>
      </c>
      <c r="H44" s="742"/>
      <c r="I44" s="743">
        <v>1</v>
      </c>
      <c r="J44" s="743">
        <v>17</v>
      </c>
      <c r="K44" s="743">
        <v>17</v>
      </c>
      <c r="L44" s="743" t="s">
        <v>2335</v>
      </c>
      <c r="M44" s="744" t="s">
        <v>605</v>
      </c>
      <c r="O44" t="s">
        <v>529</v>
      </c>
    </row>
    <row r="45" spans="2:15">
      <c r="B45" s="745" t="s">
        <v>2338</v>
      </c>
      <c r="C45" s="740" t="s">
        <v>256</v>
      </c>
      <c r="D45" s="740" t="s">
        <v>529</v>
      </c>
      <c r="E45" s="745" t="s">
        <v>2339</v>
      </c>
      <c r="F45" s="741" t="s">
        <v>2340</v>
      </c>
      <c r="G45" s="742" t="s">
        <v>2288</v>
      </c>
      <c r="H45" s="742"/>
      <c r="I45" s="743">
        <v>1</v>
      </c>
      <c r="J45" s="743">
        <v>18</v>
      </c>
      <c r="K45" s="743">
        <v>18</v>
      </c>
      <c r="L45" s="743" t="s">
        <v>2338</v>
      </c>
      <c r="M45" s="744" t="s">
        <v>605</v>
      </c>
      <c r="O45" t="s">
        <v>529</v>
      </c>
    </row>
    <row r="46" spans="2:15">
      <c r="B46" s="745" t="s">
        <v>2341</v>
      </c>
      <c r="C46" s="740" t="s">
        <v>256</v>
      </c>
      <c r="D46" s="740" t="s">
        <v>529</v>
      </c>
      <c r="E46" s="745" t="s">
        <v>2342</v>
      </c>
      <c r="F46" s="741" t="s">
        <v>2343</v>
      </c>
      <c r="G46" s="742" t="s">
        <v>2288</v>
      </c>
      <c r="H46" s="742"/>
      <c r="I46" s="743">
        <v>1</v>
      </c>
      <c r="J46" s="743">
        <v>19</v>
      </c>
      <c r="K46" s="743">
        <v>19</v>
      </c>
      <c r="L46" s="743" t="s">
        <v>2341</v>
      </c>
      <c r="M46" s="744" t="s">
        <v>605</v>
      </c>
      <c r="O46" t="s">
        <v>529</v>
      </c>
    </row>
    <row r="47" spans="2:15">
      <c r="B47" s="745" t="s">
        <v>2344</v>
      </c>
      <c r="C47" s="740" t="s">
        <v>256</v>
      </c>
      <c r="D47" s="740" t="s">
        <v>529</v>
      </c>
      <c r="E47" s="745" t="s">
        <v>2345</v>
      </c>
      <c r="F47" s="741" t="s">
        <v>2346</v>
      </c>
      <c r="G47" s="742" t="s">
        <v>2288</v>
      </c>
      <c r="H47" s="742"/>
      <c r="I47" s="743">
        <v>1</v>
      </c>
      <c r="J47" s="743">
        <v>20</v>
      </c>
      <c r="K47" s="743">
        <v>20</v>
      </c>
      <c r="L47" s="743" t="s">
        <v>2344</v>
      </c>
      <c r="M47" s="744" t="s">
        <v>605</v>
      </c>
      <c r="O47" t="s">
        <v>529</v>
      </c>
    </row>
    <row r="48" spans="2:15">
      <c r="B48" s="745" t="s">
        <v>2347</v>
      </c>
      <c r="C48" s="740" t="s">
        <v>256</v>
      </c>
      <c r="D48" s="740" t="s">
        <v>529</v>
      </c>
      <c r="E48" s="745" t="s">
        <v>2348</v>
      </c>
      <c r="F48" s="741" t="s">
        <v>2349</v>
      </c>
      <c r="G48" s="742" t="s">
        <v>2288</v>
      </c>
      <c r="H48" s="742"/>
      <c r="I48" s="743">
        <v>1</v>
      </c>
      <c r="J48" s="743">
        <v>21</v>
      </c>
      <c r="K48" s="743">
        <v>21</v>
      </c>
      <c r="L48" s="743" t="s">
        <v>2347</v>
      </c>
      <c r="M48" s="744" t="s">
        <v>605</v>
      </c>
      <c r="O48" t="s">
        <v>529</v>
      </c>
    </row>
    <row r="49" spans="2:15">
      <c r="B49" s="745" t="s">
        <v>2350</v>
      </c>
      <c r="C49" s="740" t="s">
        <v>256</v>
      </c>
      <c r="D49" s="740" t="s">
        <v>529</v>
      </c>
      <c r="E49" s="745" t="s">
        <v>2351</v>
      </c>
      <c r="F49" s="741" t="s">
        <v>2352</v>
      </c>
      <c r="G49" s="742" t="s">
        <v>2288</v>
      </c>
      <c r="H49" s="742"/>
      <c r="I49" s="743">
        <v>1</v>
      </c>
      <c r="J49" s="743">
        <v>22</v>
      </c>
      <c r="K49" s="743">
        <v>22</v>
      </c>
      <c r="L49" s="743" t="s">
        <v>2350</v>
      </c>
      <c r="M49" s="744" t="s">
        <v>605</v>
      </c>
      <c r="O49" t="s">
        <v>529</v>
      </c>
    </row>
    <row r="50" spans="2:15">
      <c r="B50" s="745" t="s">
        <v>2353</v>
      </c>
      <c r="C50" s="740" t="s">
        <v>256</v>
      </c>
      <c r="D50" s="740" t="s">
        <v>529</v>
      </c>
      <c r="E50" s="745" t="s">
        <v>2354</v>
      </c>
      <c r="F50" s="741" t="s">
        <v>2355</v>
      </c>
      <c r="G50" s="742" t="s">
        <v>2288</v>
      </c>
      <c r="H50" s="742"/>
      <c r="I50" s="743">
        <v>1</v>
      </c>
      <c r="J50" s="743">
        <v>26</v>
      </c>
      <c r="K50" s="743">
        <v>26</v>
      </c>
      <c r="L50" s="743" t="s">
        <v>2353</v>
      </c>
      <c r="M50" s="744" t="s">
        <v>605</v>
      </c>
      <c r="O50" t="s">
        <v>529</v>
      </c>
    </row>
    <row r="51" spans="2:15">
      <c r="B51" s="744" t="s">
        <v>2356</v>
      </c>
      <c r="C51" s="744" t="s">
        <v>2357</v>
      </c>
      <c r="D51" s="744" t="s">
        <v>515</v>
      </c>
      <c r="E51" s="744" t="s">
        <v>2358</v>
      </c>
      <c r="F51" s="746" t="s">
        <v>2359</v>
      </c>
      <c r="G51" s="747" t="s">
        <v>2360</v>
      </c>
      <c r="H51" s="747"/>
      <c r="I51" s="744">
        <v>1</v>
      </c>
      <c r="J51" s="744">
        <v>10</v>
      </c>
      <c r="K51" s="744">
        <v>16</v>
      </c>
      <c r="L51" s="744" t="s">
        <v>2356</v>
      </c>
      <c r="M51" s="744" t="s">
        <v>606</v>
      </c>
      <c r="O51" t="s">
        <v>515</v>
      </c>
    </row>
    <row r="52" spans="2:15">
      <c r="B52" s="744" t="s">
        <v>2361</v>
      </c>
      <c r="C52" s="744" t="s">
        <v>2357</v>
      </c>
      <c r="D52" s="744" t="s">
        <v>515</v>
      </c>
      <c r="E52" s="744" t="s">
        <v>2358</v>
      </c>
      <c r="F52" s="746" t="s">
        <v>2359</v>
      </c>
      <c r="G52" s="747" t="s">
        <v>2288</v>
      </c>
      <c r="H52" s="747"/>
      <c r="I52" s="744">
        <v>1</v>
      </c>
      <c r="J52" s="744">
        <v>10</v>
      </c>
      <c r="K52" s="744">
        <v>12</v>
      </c>
      <c r="L52" s="744" t="s">
        <v>2361</v>
      </c>
      <c r="M52" s="744" t="s">
        <v>606</v>
      </c>
      <c r="O52" t="s">
        <v>515</v>
      </c>
    </row>
    <row r="53" spans="2:15">
      <c r="B53" s="744" t="s">
        <v>2362</v>
      </c>
      <c r="C53" s="744" t="s">
        <v>2357</v>
      </c>
      <c r="D53" s="744" t="s">
        <v>515</v>
      </c>
      <c r="E53" s="744" t="s">
        <v>2363</v>
      </c>
      <c r="F53" s="746" t="s">
        <v>2364</v>
      </c>
      <c r="G53" s="747" t="s">
        <v>2360</v>
      </c>
      <c r="H53" s="747"/>
      <c r="I53" s="744">
        <v>1</v>
      </c>
      <c r="J53" s="744">
        <v>11</v>
      </c>
      <c r="K53" s="744">
        <v>13</v>
      </c>
      <c r="L53" s="744" t="s">
        <v>2362</v>
      </c>
      <c r="M53" s="744" t="s">
        <v>606</v>
      </c>
      <c r="O53" t="s">
        <v>515</v>
      </c>
    </row>
    <row r="54" spans="2:15">
      <c r="B54" s="744" t="s">
        <v>2365</v>
      </c>
      <c r="C54" s="744" t="s">
        <v>2357</v>
      </c>
      <c r="D54" s="744" t="s">
        <v>515</v>
      </c>
      <c r="E54" s="744" t="s">
        <v>2366</v>
      </c>
      <c r="F54" s="746" t="s">
        <v>2367</v>
      </c>
      <c r="G54" s="747" t="s">
        <v>2360</v>
      </c>
      <c r="H54" s="747"/>
      <c r="I54" s="744">
        <v>1</v>
      </c>
      <c r="J54" s="744">
        <v>16</v>
      </c>
      <c r="K54" s="744">
        <v>26</v>
      </c>
      <c r="L54" s="744" t="s">
        <v>2365</v>
      </c>
      <c r="M54" s="744" t="s">
        <v>606</v>
      </c>
      <c r="O54" t="s">
        <v>515</v>
      </c>
    </row>
    <row r="55" spans="2:15">
      <c r="B55" s="744" t="s">
        <v>2368</v>
      </c>
      <c r="C55" s="744" t="s">
        <v>2357</v>
      </c>
      <c r="D55" s="744" t="s">
        <v>515</v>
      </c>
      <c r="E55" s="744" t="s">
        <v>2366</v>
      </c>
      <c r="F55" s="746" t="s">
        <v>2367</v>
      </c>
      <c r="G55" s="747" t="s">
        <v>2288</v>
      </c>
      <c r="H55" s="747"/>
      <c r="I55" s="744">
        <v>1</v>
      </c>
      <c r="J55" s="744">
        <v>16</v>
      </c>
      <c r="K55" s="744">
        <v>18</v>
      </c>
      <c r="L55" s="744" t="s">
        <v>2368</v>
      </c>
      <c r="M55" s="744" t="s">
        <v>606</v>
      </c>
      <c r="O55" t="s">
        <v>515</v>
      </c>
    </row>
    <row r="56" spans="2:15">
      <c r="B56" s="744" t="s">
        <v>2369</v>
      </c>
      <c r="C56" s="744" t="s">
        <v>2357</v>
      </c>
      <c r="D56" s="744" t="s">
        <v>515</v>
      </c>
      <c r="E56" s="744" t="s">
        <v>2370</v>
      </c>
      <c r="F56" s="746" t="s">
        <v>2371</v>
      </c>
      <c r="G56" s="747" t="s">
        <v>2360</v>
      </c>
      <c r="H56" s="747"/>
      <c r="I56" s="744">
        <v>1</v>
      </c>
      <c r="J56" s="744">
        <v>21</v>
      </c>
      <c r="K56" s="744">
        <v>26</v>
      </c>
      <c r="L56" s="744" t="s">
        <v>2369</v>
      </c>
      <c r="M56" s="744" t="s">
        <v>606</v>
      </c>
      <c r="O56" t="s">
        <v>515</v>
      </c>
    </row>
    <row r="57" spans="2:15">
      <c r="B57" s="744" t="s">
        <v>2372</v>
      </c>
      <c r="C57" s="744" t="s">
        <v>2357</v>
      </c>
      <c r="D57" s="744" t="s">
        <v>515</v>
      </c>
      <c r="E57" s="744" t="s">
        <v>2370</v>
      </c>
      <c r="F57" s="746" t="s">
        <v>2371</v>
      </c>
      <c r="G57" s="747" t="s">
        <v>2288</v>
      </c>
      <c r="H57" s="747"/>
      <c r="I57" s="744">
        <v>1</v>
      </c>
      <c r="J57" s="744">
        <v>21</v>
      </c>
      <c r="K57" s="744">
        <v>22</v>
      </c>
      <c r="L57" s="744" t="s">
        <v>2372</v>
      </c>
      <c r="M57" s="744" t="s">
        <v>606</v>
      </c>
      <c r="O57" t="s">
        <v>515</v>
      </c>
    </row>
    <row r="58" spans="2:15">
      <c r="B58" s="744" t="s">
        <v>2373</v>
      </c>
      <c r="C58" s="744" t="s">
        <v>2357</v>
      </c>
      <c r="D58" s="744" t="s">
        <v>515</v>
      </c>
      <c r="E58" s="744" t="s">
        <v>2374</v>
      </c>
      <c r="F58" s="746" t="s">
        <v>2375</v>
      </c>
      <c r="G58" s="747" t="s">
        <v>2360</v>
      </c>
      <c r="H58" s="747"/>
      <c r="I58" s="744">
        <v>1</v>
      </c>
      <c r="J58" s="744">
        <v>23</v>
      </c>
      <c r="K58" s="744">
        <v>29</v>
      </c>
      <c r="L58" s="744" t="s">
        <v>2373</v>
      </c>
      <c r="M58" s="744" t="s">
        <v>606</v>
      </c>
      <c r="O58" t="s">
        <v>515</v>
      </c>
    </row>
    <row r="59" spans="2:15">
      <c r="B59" s="744" t="s">
        <v>2376</v>
      </c>
      <c r="C59" s="744" t="s">
        <v>2357</v>
      </c>
      <c r="D59" s="744" t="s">
        <v>515</v>
      </c>
      <c r="E59" s="744" t="s">
        <v>2374</v>
      </c>
      <c r="F59" s="746" t="s">
        <v>2375</v>
      </c>
      <c r="G59" s="747" t="s">
        <v>2288</v>
      </c>
      <c r="H59" s="747"/>
      <c r="I59" s="744">
        <v>1</v>
      </c>
      <c r="J59" s="744">
        <v>23</v>
      </c>
      <c r="K59" s="744">
        <v>25</v>
      </c>
      <c r="L59" s="744" t="s">
        <v>2376</v>
      </c>
      <c r="M59" s="744" t="s">
        <v>606</v>
      </c>
      <c r="O59" t="s">
        <v>515</v>
      </c>
    </row>
    <row r="60" spans="2:15">
      <c r="B60" s="744" t="s">
        <v>2377</v>
      </c>
      <c r="C60" s="744" t="s">
        <v>2357</v>
      </c>
      <c r="D60" s="744" t="s">
        <v>515</v>
      </c>
      <c r="E60" s="744" t="s">
        <v>2378</v>
      </c>
      <c r="F60" s="746" t="s">
        <v>2379</v>
      </c>
      <c r="G60" s="747" t="s">
        <v>2360</v>
      </c>
      <c r="H60" s="747"/>
      <c r="I60" s="744">
        <v>1</v>
      </c>
      <c r="J60" s="744">
        <v>28</v>
      </c>
      <c r="K60" s="744">
        <v>35</v>
      </c>
      <c r="L60" s="744" t="s">
        <v>2377</v>
      </c>
      <c r="M60" s="744" t="s">
        <v>606</v>
      </c>
      <c r="O60" t="s">
        <v>515</v>
      </c>
    </row>
    <row r="61" spans="2:15">
      <c r="B61" s="744" t="s">
        <v>2380</v>
      </c>
      <c r="C61" s="744" t="s">
        <v>2357</v>
      </c>
      <c r="D61" s="744" t="s">
        <v>515</v>
      </c>
      <c r="E61" s="744" t="s">
        <v>2378</v>
      </c>
      <c r="F61" s="746" t="s">
        <v>2379</v>
      </c>
      <c r="G61" s="747" t="s">
        <v>2288</v>
      </c>
      <c r="H61" s="747"/>
      <c r="I61" s="744">
        <v>1</v>
      </c>
      <c r="J61" s="744">
        <v>28</v>
      </c>
      <c r="K61" s="744">
        <v>28</v>
      </c>
      <c r="L61" s="744" t="s">
        <v>2380</v>
      </c>
      <c r="M61" s="744" t="s">
        <v>606</v>
      </c>
      <c r="O61" t="s">
        <v>515</v>
      </c>
    </row>
    <row r="62" spans="2:15">
      <c r="B62" s="744" t="s">
        <v>2381</v>
      </c>
      <c r="C62" s="744" t="s">
        <v>2357</v>
      </c>
      <c r="D62" s="744" t="s">
        <v>515</v>
      </c>
      <c r="E62" s="744" t="s">
        <v>2382</v>
      </c>
      <c r="F62" s="746" t="s">
        <v>2383</v>
      </c>
      <c r="G62" s="747" t="s">
        <v>2360</v>
      </c>
      <c r="H62" s="747"/>
      <c r="I62" s="744">
        <v>1</v>
      </c>
      <c r="J62" s="744">
        <v>38</v>
      </c>
      <c r="K62" s="744">
        <v>46</v>
      </c>
      <c r="L62" s="744" t="s">
        <v>2381</v>
      </c>
      <c r="M62" s="744" t="s">
        <v>606</v>
      </c>
      <c r="O62" t="s">
        <v>515</v>
      </c>
    </row>
    <row r="63" spans="2:15">
      <c r="B63" s="744" t="s">
        <v>2384</v>
      </c>
      <c r="C63" s="744" t="s">
        <v>2357</v>
      </c>
      <c r="D63" s="744" t="s">
        <v>515</v>
      </c>
      <c r="E63" s="744" t="s">
        <v>2382</v>
      </c>
      <c r="F63" s="746" t="s">
        <v>2383</v>
      </c>
      <c r="G63" s="747" t="s">
        <v>2288</v>
      </c>
      <c r="H63" s="747"/>
      <c r="I63" s="744">
        <v>1</v>
      </c>
      <c r="J63" s="744">
        <v>38</v>
      </c>
      <c r="K63" s="744">
        <v>36</v>
      </c>
      <c r="L63" s="744" t="s">
        <v>2384</v>
      </c>
      <c r="M63" s="744" t="s">
        <v>606</v>
      </c>
      <c r="O63" t="s">
        <v>515</v>
      </c>
    </row>
    <row r="64" spans="2:15">
      <c r="B64" s="744" t="s">
        <v>2385</v>
      </c>
      <c r="C64" s="744" t="s">
        <v>2357</v>
      </c>
      <c r="D64" s="744" t="s">
        <v>515</v>
      </c>
      <c r="E64" s="744" t="s">
        <v>2386</v>
      </c>
      <c r="F64" s="746" t="s">
        <v>2387</v>
      </c>
      <c r="G64" s="747" t="s">
        <v>2288</v>
      </c>
      <c r="H64" s="747"/>
      <c r="I64" s="744">
        <v>1</v>
      </c>
      <c r="J64" s="744">
        <v>42</v>
      </c>
      <c r="K64" s="744">
        <v>48</v>
      </c>
      <c r="L64" s="744" t="s">
        <v>2385</v>
      </c>
      <c r="M64" s="744" t="s">
        <v>606</v>
      </c>
      <c r="O64" t="s">
        <v>515</v>
      </c>
    </row>
    <row r="65" spans="2:15">
      <c r="B65" s="744" t="s">
        <v>2388</v>
      </c>
      <c r="C65" s="744" t="s">
        <v>2357</v>
      </c>
      <c r="D65" s="744" t="s">
        <v>515</v>
      </c>
      <c r="E65" s="744" t="s">
        <v>2389</v>
      </c>
      <c r="F65" s="746" t="s">
        <v>2390</v>
      </c>
      <c r="G65" s="747" t="s">
        <v>2360</v>
      </c>
      <c r="H65" s="747"/>
      <c r="I65" s="744">
        <v>1</v>
      </c>
      <c r="J65" s="744">
        <v>10</v>
      </c>
      <c r="K65" s="744">
        <v>15</v>
      </c>
      <c r="L65" s="744" t="s">
        <v>2388</v>
      </c>
      <c r="M65" s="744" t="s">
        <v>606</v>
      </c>
      <c r="O65" t="s">
        <v>515</v>
      </c>
    </row>
    <row r="66" spans="2:15">
      <c r="B66" s="744" t="s">
        <v>2391</v>
      </c>
      <c r="C66" s="744" t="s">
        <v>2357</v>
      </c>
      <c r="D66" s="744" t="s">
        <v>515</v>
      </c>
      <c r="E66" s="744" t="s">
        <v>2392</v>
      </c>
      <c r="F66" s="746" t="s">
        <v>2393</v>
      </c>
      <c r="G66" s="747" t="s">
        <v>2360</v>
      </c>
      <c r="H66" s="747"/>
      <c r="I66" s="744">
        <v>1</v>
      </c>
      <c r="J66" s="744">
        <v>13</v>
      </c>
      <c r="K66" s="744">
        <v>17</v>
      </c>
      <c r="L66" s="744" t="s">
        <v>2391</v>
      </c>
      <c r="M66" s="744" t="s">
        <v>606</v>
      </c>
      <c r="O66" t="s">
        <v>515</v>
      </c>
    </row>
    <row r="67" spans="2:15">
      <c r="B67" s="744" t="s">
        <v>2394</v>
      </c>
      <c r="C67" s="744" t="s">
        <v>2357</v>
      </c>
      <c r="D67" s="744" t="s">
        <v>515</v>
      </c>
      <c r="E67" s="744" t="s">
        <v>2392</v>
      </c>
      <c r="F67" s="746" t="s">
        <v>2395</v>
      </c>
      <c r="G67" s="747" t="s">
        <v>2288</v>
      </c>
      <c r="H67" s="747"/>
      <c r="I67" s="744">
        <v>1</v>
      </c>
      <c r="J67" s="744">
        <v>13</v>
      </c>
      <c r="K67" s="744">
        <v>15</v>
      </c>
      <c r="L67" s="744" t="s">
        <v>2394</v>
      </c>
      <c r="M67" s="744" t="s">
        <v>606</v>
      </c>
      <c r="O67" t="s">
        <v>515</v>
      </c>
    </row>
    <row r="68" spans="2:15">
      <c r="B68" s="744" t="s">
        <v>2396</v>
      </c>
      <c r="C68" s="744" t="s">
        <v>2357</v>
      </c>
      <c r="D68" s="744" t="s">
        <v>515</v>
      </c>
      <c r="E68" s="744" t="s">
        <v>2397</v>
      </c>
      <c r="F68" s="746" t="s">
        <v>2398</v>
      </c>
      <c r="G68" s="747" t="s">
        <v>2360</v>
      </c>
      <c r="H68" s="747"/>
      <c r="I68" s="744">
        <v>1</v>
      </c>
      <c r="J68" s="744">
        <v>15</v>
      </c>
      <c r="K68" s="744">
        <v>20</v>
      </c>
      <c r="L68" s="744" t="s">
        <v>2396</v>
      </c>
      <c r="M68" s="744" t="s">
        <v>606</v>
      </c>
      <c r="O68" t="s">
        <v>515</v>
      </c>
    </row>
    <row r="69" spans="2:15">
      <c r="B69" s="744" t="s">
        <v>2399</v>
      </c>
      <c r="C69" s="744" t="s">
        <v>2357</v>
      </c>
      <c r="D69" s="744" t="s">
        <v>515</v>
      </c>
      <c r="E69" s="744" t="s">
        <v>2400</v>
      </c>
      <c r="F69" s="746" t="s">
        <v>2401</v>
      </c>
      <c r="G69" s="747" t="s">
        <v>2360</v>
      </c>
      <c r="H69" s="747"/>
      <c r="I69" s="744">
        <v>1</v>
      </c>
      <c r="J69" s="744">
        <v>17</v>
      </c>
      <c r="K69" s="744">
        <v>24</v>
      </c>
      <c r="L69" s="744" t="s">
        <v>2399</v>
      </c>
      <c r="M69" s="744" t="s">
        <v>606</v>
      </c>
      <c r="O69" t="s">
        <v>515</v>
      </c>
    </row>
    <row r="70" spans="2:15">
      <c r="B70" s="744" t="s">
        <v>2402</v>
      </c>
      <c r="C70" s="744" t="s">
        <v>2357</v>
      </c>
      <c r="D70" s="744" t="s">
        <v>515</v>
      </c>
      <c r="E70" s="744" t="s">
        <v>2403</v>
      </c>
      <c r="F70" s="746" t="s">
        <v>2404</v>
      </c>
      <c r="G70" s="747" t="s">
        <v>2360</v>
      </c>
      <c r="H70" s="747"/>
      <c r="I70" s="744">
        <v>1</v>
      </c>
      <c r="J70" s="744">
        <v>18</v>
      </c>
      <c r="K70" s="744">
        <v>26</v>
      </c>
      <c r="L70" s="744" t="s">
        <v>2402</v>
      </c>
      <c r="M70" s="744" t="s">
        <v>606</v>
      </c>
      <c r="O70" t="s">
        <v>515</v>
      </c>
    </row>
    <row r="71" spans="2:15">
      <c r="B71" s="744" t="s">
        <v>2405</v>
      </c>
      <c r="C71" s="744" t="s">
        <v>2357</v>
      </c>
      <c r="D71" s="744" t="s">
        <v>515</v>
      </c>
      <c r="E71" s="744" t="s">
        <v>2403</v>
      </c>
      <c r="F71" s="746" t="s">
        <v>2406</v>
      </c>
      <c r="G71" s="747" t="s">
        <v>2288</v>
      </c>
      <c r="H71" s="747"/>
      <c r="I71" s="744">
        <v>1</v>
      </c>
      <c r="J71" s="744">
        <v>18</v>
      </c>
      <c r="K71" s="744">
        <v>20</v>
      </c>
      <c r="L71" s="744" t="s">
        <v>2405</v>
      </c>
      <c r="M71" s="744" t="s">
        <v>606</v>
      </c>
      <c r="O71" t="s">
        <v>515</v>
      </c>
    </row>
    <row r="72" spans="2:15">
      <c r="B72" s="744" t="s">
        <v>2407</v>
      </c>
      <c r="C72" s="744" t="s">
        <v>2357</v>
      </c>
      <c r="D72" s="744" t="s">
        <v>515</v>
      </c>
      <c r="E72" s="744" t="s">
        <v>2408</v>
      </c>
      <c r="F72" s="746" t="s">
        <v>2409</v>
      </c>
      <c r="G72" s="747" t="s">
        <v>2360</v>
      </c>
      <c r="H72" s="747"/>
      <c r="I72" s="744">
        <v>1</v>
      </c>
      <c r="J72" s="744">
        <v>20</v>
      </c>
      <c r="K72" s="744">
        <v>23</v>
      </c>
      <c r="L72" s="744" t="s">
        <v>2407</v>
      </c>
      <c r="M72" s="744" t="s">
        <v>606</v>
      </c>
      <c r="O72" t="s">
        <v>515</v>
      </c>
    </row>
    <row r="73" spans="2:15">
      <c r="B73" s="744" t="s">
        <v>2410</v>
      </c>
      <c r="C73" s="744" t="s">
        <v>2357</v>
      </c>
      <c r="D73" s="744" t="s">
        <v>515</v>
      </c>
      <c r="E73" s="744" t="s">
        <v>2411</v>
      </c>
      <c r="F73" s="746" t="s">
        <v>2412</v>
      </c>
      <c r="G73" s="747" t="s">
        <v>2360</v>
      </c>
      <c r="H73" s="747"/>
      <c r="I73" s="744">
        <v>1</v>
      </c>
      <c r="J73" s="744">
        <v>22</v>
      </c>
      <c r="K73" s="744">
        <v>24</v>
      </c>
      <c r="L73" s="744" t="s">
        <v>2410</v>
      </c>
      <c r="M73" s="744" t="s">
        <v>606</v>
      </c>
      <c r="O73" t="s">
        <v>515</v>
      </c>
    </row>
    <row r="74" spans="2:15">
      <c r="B74" s="744" t="s">
        <v>2413</v>
      </c>
      <c r="C74" s="744" t="s">
        <v>2357</v>
      </c>
      <c r="D74" s="744" t="s">
        <v>515</v>
      </c>
      <c r="E74" s="744" t="s">
        <v>2414</v>
      </c>
      <c r="F74" s="746" t="s">
        <v>2415</v>
      </c>
      <c r="G74" s="747" t="s">
        <v>2360</v>
      </c>
      <c r="H74" s="747"/>
      <c r="I74" s="744">
        <v>1</v>
      </c>
      <c r="J74" s="744">
        <v>25</v>
      </c>
      <c r="K74" s="744">
        <v>33</v>
      </c>
      <c r="L74" s="744" t="s">
        <v>2413</v>
      </c>
      <c r="M74" s="744" t="s">
        <v>606</v>
      </c>
      <c r="O74" t="s">
        <v>515</v>
      </c>
    </row>
    <row r="75" spans="2:15">
      <c r="B75" s="744" t="s">
        <v>2416</v>
      </c>
      <c r="C75" s="744" t="s">
        <v>2357</v>
      </c>
      <c r="D75" s="744" t="s">
        <v>515</v>
      </c>
      <c r="E75" s="744" t="s">
        <v>2417</v>
      </c>
      <c r="F75" s="746" t="s">
        <v>2418</v>
      </c>
      <c r="G75" s="747" t="s">
        <v>2360</v>
      </c>
      <c r="H75" s="747"/>
      <c r="I75" s="744">
        <v>1</v>
      </c>
      <c r="J75" s="744">
        <v>26</v>
      </c>
      <c r="K75" s="744">
        <v>33</v>
      </c>
      <c r="L75" s="744" t="s">
        <v>2416</v>
      </c>
      <c r="M75" s="744" t="s">
        <v>606</v>
      </c>
      <c r="O75" t="s">
        <v>515</v>
      </c>
    </row>
    <row r="76" spans="2:15">
      <c r="B76" s="744" t="s">
        <v>2419</v>
      </c>
      <c r="C76" s="744" t="s">
        <v>2357</v>
      </c>
      <c r="D76" s="744" t="s">
        <v>515</v>
      </c>
      <c r="E76" s="744" t="s">
        <v>2417</v>
      </c>
      <c r="F76" s="746" t="s">
        <v>2420</v>
      </c>
      <c r="G76" s="747" t="s">
        <v>2288</v>
      </c>
      <c r="H76" s="747"/>
      <c r="I76" s="744">
        <v>1</v>
      </c>
      <c r="J76" s="744">
        <v>26</v>
      </c>
      <c r="K76" s="744">
        <v>27</v>
      </c>
      <c r="L76" s="744" t="s">
        <v>2419</v>
      </c>
      <c r="M76" s="744" t="s">
        <v>606</v>
      </c>
      <c r="O76" t="s">
        <v>515</v>
      </c>
    </row>
    <row r="77" spans="2:15">
      <c r="B77" s="744" t="s">
        <v>2421</v>
      </c>
      <c r="C77" s="744" t="s">
        <v>2357</v>
      </c>
      <c r="D77" s="744" t="s">
        <v>515</v>
      </c>
      <c r="E77" s="744" t="s">
        <v>2422</v>
      </c>
      <c r="F77" s="746" t="s">
        <v>2423</v>
      </c>
      <c r="G77" s="747" t="s">
        <v>2360</v>
      </c>
      <c r="H77" s="747"/>
      <c r="I77" s="744">
        <v>1</v>
      </c>
      <c r="J77" s="744">
        <v>28</v>
      </c>
      <c r="K77" s="744">
        <v>33</v>
      </c>
      <c r="L77" s="744" t="s">
        <v>2421</v>
      </c>
      <c r="M77" s="744" t="s">
        <v>606</v>
      </c>
      <c r="O77" t="s">
        <v>515</v>
      </c>
    </row>
    <row r="78" spans="2:15">
      <c r="B78" s="744" t="s">
        <v>2424</v>
      </c>
      <c r="C78" s="744" t="s">
        <v>2357</v>
      </c>
      <c r="D78" s="744" t="s">
        <v>515</v>
      </c>
      <c r="E78" s="744" t="s">
        <v>2425</v>
      </c>
      <c r="F78" s="746" t="s">
        <v>2426</v>
      </c>
      <c r="G78" s="747" t="s">
        <v>2360</v>
      </c>
      <c r="H78" s="747"/>
      <c r="I78" s="744">
        <v>1</v>
      </c>
      <c r="J78" s="744">
        <v>9</v>
      </c>
      <c r="K78" s="744">
        <v>14</v>
      </c>
      <c r="L78" s="744" t="s">
        <v>2424</v>
      </c>
      <c r="M78" s="744" t="s">
        <v>606</v>
      </c>
      <c r="O78" t="s">
        <v>515</v>
      </c>
    </row>
    <row r="79" spans="2:15">
      <c r="B79" s="744" t="s">
        <v>2427</v>
      </c>
      <c r="C79" s="744" t="s">
        <v>2357</v>
      </c>
      <c r="D79" s="744" t="s">
        <v>515</v>
      </c>
      <c r="E79" s="744" t="s">
        <v>2428</v>
      </c>
      <c r="F79" s="746" t="s">
        <v>2429</v>
      </c>
      <c r="G79" s="747" t="s">
        <v>2288</v>
      </c>
      <c r="H79" s="747"/>
      <c r="I79" s="744">
        <v>1</v>
      </c>
      <c r="J79" s="744">
        <v>7</v>
      </c>
      <c r="K79" s="744">
        <v>7</v>
      </c>
      <c r="L79" s="744" t="s">
        <v>2427</v>
      </c>
      <c r="M79" s="744" t="s">
        <v>606</v>
      </c>
      <c r="O79" t="s">
        <v>515</v>
      </c>
    </row>
    <row r="80" spans="2:15">
      <c r="B80" s="744" t="s">
        <v>2430</v>
      </c>
      <c r="C80" s="744" t="s">
        <v>2357</v>
      </c>
      <c r="D80" s="744" t="s">
        <v>515</v>
      </c>
      <c r="E80" s="744" t="s">
        <v>2431</v>
      </c>
      <c r="F80" s="746" t="s">
        <v>2432</v>
      </c>
      <c r="G80" s="747" t="s">
        <v>2288</v>
      </c>
      <c r="H80" s="747"/>
      <c r="I80" s="744">
        <v>1</v>
      </c>
      <c r="J80" s="744">
        <v>9</v>
      </c>
      <c r="K80" s="744">
        <v>9</v>
      </c>
      <c r="L80" s="744" t="s">
        <v>2430</v>
      </c>
      <c r="M80" s="744" t="s">
        <v>606</v>
      </c>
      <c r="O80" t="s">
        <v>515</v>
      </c>
    </row>
    <row r="81" spans="2:15">
      <c r="B81" s="744" t="s">
        <v>2433</v>
      </c>
      <c r="C81" s="744" t="s">
        <v>2357</v>
      </c>
      <c r="D81" s="744" t="s">
        <v>515</v>
      </c>
      <c r="E81" s="744" t="s">
        <v>2434</v>
      </c>
      <c r="F81" s="746" t="s">
        <v>2435</v>
      </c>
      <c r="G81" s="747" t="s">
        <v>2288</v>
      </c>
      <c r="H81" s="747"/>
      <c r="I81" s="744">
        <v>1</v>
      </c>
      <c r="J81" s="744">
        <v>11</v>
      </c>
      <c r="K81" s="744">
        <v>11</v>
      </c>
      <c r="L81" s="744" t="s">
        <v>2433</v>
      </c>
      <c r="M81" s="744" t="s">
        <v>606</v>
      </c>
      <c r="O81" t="s">
        <v>515</v>
      </c>
    </row>
    <row r="82" spans="2:15">
      <c r="B82" s="744" t="s">
        <v>2436</v>
      </c>
      <c r="C82" s="744" t="s">
        <v>2357</v>
      </c>
      <c r="D82" s="744" t="s">
        <v>515</v>
      </c>
      <c r="E82" s="744" t="s">
        <v>2437</v>
      </c>
      <c r="F82" s="746" t="s">
        <v>2438</v>
      </c>
      <c r="G82" s="747" t="s">
        <v>2288</v>
      </c>
      <c r="H82" s="747"/>
      <c r="I82" s="744">
        <v>1</v>
      </c>
      <c r="J82" s="744">
        <v>13</v>
      </c>
      <c r="K82" s="744">
        <v>13</v>
      </c>
      <c r="L82" s="744" t="s">
        <v>2436</v>
      </c>
      <c r="M82" s="744" t="s">
        <v>606</v>
      </c>
      <c r="O82" t="s">
        <v>515</v>
      </c>
    </row>
    <row r="83" spans="2:15">
      <c r="B83" s="744" t="s">
        <v>2439</v>
      </c>
      <c r="C83" s="744" t="s">
        <v>2357</v>
      </c>
      <c r="D83" s="744" t="s">
        <v>515</v>
      </c>
      <c r="E83" s="744" t="s">
        <v>2440</v>
      </c>
      <c r="F83" s="746" t="s">
        <v>2441</v>
      </c>
      <c r="G83" s="747" t="s">
        <v>2288</v>
      </c>
      <c r="H83" s="747"/>
      <c r="I83" s="744">
        <v>1</v>
      </c>
      <c r="J83" s="744">
        <v>15</v>
      </c>
      <c r="K83" s="744">
        <v>15</v>
      </c>
      <c r="L83" s="744" t="s">
        <v>2439</v>
      </c>
      <c r="M83" s="744" t="s">
        <v>606</v>
      </c>
      <c r="O83" t="s">
        <v>515</v>
      </c>
    </row>
    <row r="84" spans="2:15">
      <c r="B84" s="744" t="s">
        <v>2442</v>
      </c>
      <c r="C84" s="744" t="s">
        <v>2357</v>
      </c>
      <c r="D84" s="744" t="s">
        <v>515</v>
      </c>
      <c r="E84" s="744" t="s">
        <v>2443</v>
      </c>
      <c r="F84" s="746" t="s">
        <v>2444</v>
      </c>
      <c r="G84" s="747" t="s">
        <v>2288</v>
      </c>
      <c r="H84" s="747"/>
      <c r="I84" s="744">
        <v>1</v>
      </c>
      <c r="J84" s="744">
        <v>20</v>
      </c>
      <c r="K84" s="744">
        <v>20</v>
      </c>
      <c r="L84" s="744" t="s">
        <v>2442</v>
      </c>
      <c r="M84" s="744" t="s">
        <v>606</v>
      </c>
      <c r="O84" t="s">
        <v>515</v>
      </c>
    </row>
    <row r="85" spans="2:15">
      <c r="B85" s="744" t="s">
        <v>2445</v>
      </c>
      <c r="C85" s="744" t="s">
        <v>2357</v>
      </c>
      <c r="D85" s="744" t="s">
        <v>515</v>
      </c>
      <c r="E85" s="744" t="s">
        <v>2446</v>
      </c>
      <c r="F85" s="746" t="s">
        <v>2447</v>
      </c>
      <c r="G85" s="747" t="s">
        <v>2288</v>
      </c>
      <c r="H85" s="747"/>
      <c r="I85" s="744">
        <v>1</v>
      </c>
      <c r="J85" s="744">
        <v>23</v>
      </c>
      <c r="K85" s="744">
        <v>23</v>
      </c>
      <c r="L85" s="744" t="s">
        <v>2445</v>
      </c>
      <c r="M85" s="744" t="s">
        <v>606</v>
      </c>
      <c r="O85" t="s">
        <v>515</v>
      </c>
    </row>
    <row r="86" spans="2:15">
      <c r="B86" s="744" t="s">
        <v>2448</v>
      </c>
      <c r="C86" s="744" t="s">
        <v>2357</v>
      </c>
      <c r="D86" s="744" t="s">
        <v>515</v>
      </c>
      <c r="E86" s="744" t="s">
        <v>2449</v>
      </c>
      <c r="F86" s="746" t="s">
        <v>2450</v>
      </c>
      <c r="G86" s="747" t="s">
        <v>2288</v>
      </c>
      <c r="H86" s="747"/>
      <c r="I86" s="744">
        <v>1</v>
      </c>
      <c r="J86" s="744">
        <v>26</v>
      </c>
      <c r="K86" s="744">
        <v>26</v>
      </c>
      <c r="L86" s="744" t="s">
        <v>2448</v>
      </c>
      <c r="M86" s="744" t="s">
        <v>606</v>
      </c>
      <c r="O86" t="s">
        <v>515</v>
      </c>
    </row>
    <row r="87" spans="2:15">
      <c r="B87" s="744" t="s">
        <v>2451</v>
      </c>
      <c r="C87" s="744" t="s">
        <v>2357</v>
      </c>
      <c r="D87" s="744" t="s">
        <v>515</v>
      </c>
      <c r="E87" s="744" t="s">
        <v>2452</v>
      </c>
      <c r="F87" s="746" t="s">
        <v>2453</v>
      </c>
      <c r="G87" s="747" t="s">
        <v>2288</v>
      </c>
      <c r="H87" s="747"/>
      <c r="I87" s="744">
        <v>1</v>
      </c>
      <c r="J87" s="744">
        <v>27</v>
      </c>
      <c r="K87" s="744">
        <v>27</v>
      </c>
      <c r="L87" s="744" t="s">
        <v>2451</v>
      </c>
      <c r="M87" s="744" t="s">
        <v>606</v>
      </c>
      <c r="O87" t="s">
        <v>515</v>
      </c>
    </row>
    <row r="88" spans="2:15">
      <c r="B88" s="744" t="s">
        <v>2454</v>
      </c>
      <c r="C88" s="744" t="s">
        <v>2357</v>
      </c>
      <c r="D88" s="744" t="s">
        <v>515</v>
      </c>
      <c r="E88" s="744" t="s">
        <v>2455</v>
      </c>
      <c r="F88" s="746" t="s">
        <v>2456</v>
      </c>
      <c r="G88" s="747" t="s">
        <v>2360</v>
      </c>
      <c r="H88" s="747"/>
      <c r="I88" s="744">
        <v>1</v>
      </c>
      <c r="J88" s="744">
        <v>13</v>
      </c>
      <c r="K88" s="744">
        <v>17</v>
      </c>
      <c r="L88" s="744" t="s">
        <v>2454</v>
      </c>
      <c r="M88" s="744" t="s">
        <v>606</v>
      </c>
      <c r="O88" t="s">
        <v>515</v>
      </c>
    </row>
    <row r="89" spans="2:15">
      <c r="B89" s="744" t="s">
        <v>2457</v>
      </c>
      <c r="C89" s="744" t="s">
        <v>2357</v>
      </c>
      <c r="D89" s="744" t="s">
        <v>515</v>
      </c>
      <c r="E89" s="744" t="s">
        <v>2458</v>
      </c>
      <c r="F89" s="746" t="s">
        <v>2459</v>
      </c>
      <c r="G89" s="747" t="s">
        <v>2360</v>
      </c>
      <c r="H89" s="747"/>
      <c r="I89" s="744">
        <v>1</v>
      </c>
      <c r="J89" s="744">
        <v>18</v>
      </c>
      <c r="K89" s="744">
        <v>24</v>
      </c>
      <c r="L89" s="744" t="s">
        <v>2457</v>
      </c>
      <c r="M89" s="744" t="s">
        <v>606</v>
      </c>
      <c r="O89" t="s">
        <v>515</v>
      </c>
    </row>
    <row r="90" spans="2:15">
      <c r="B90" s="744" t="s">
        <v>2460</v>
      </c>
      <c r="C90" s="744" t="s">
        <v>2357</v>
      </c>
      <c r="D90" s="744" t="s">
        <v>515</v>
      </c>
      <c r="E90" s="744" t="s">
        <v>2461</v>
      </c>
      <c r="F90" s="746" t="s">
        <v>2462</v>
      </c>
      <c r="G90" s="747" t="s">
        <v>2360</v>
      </c>
      <c r="H90" s="747"/>
      <c r="I90" s="744">
        <v>1</v>
      </c>
      <c r="J90" s="744">
        <v>22</v>
      </c>
      <c r="K90" s="744">
        <v>27</v>
      </c>
      <c r="L90" s="744" t="s">
        <v>2460</v>
      </c>
      <c r="M90" s="744" t="s">
        <v>606</v>
      </c>
      <c r="O90" t="s">
        <v>515</v>
      </c>
    </row>
    <row r="91" spans="2:15">
      <c r="B91" s="744" t="s">
        <v>2463</v>
      </c>
      <c r="C91" s="744" t="s">
        <v>2357</v>
      </c>
      <c r="D91" s="744" t="s">
        <v>515</v>
      </c>
      <c r="E91" s="744" t="s">
        <v>2464</v>
      </c>
      <c r="F91" s="746" t="s">
        <v>2465</v>
      </c>
      <c r="G91" s="747" t="s">
        <v>2360</v>
      </c>
      <c r="H91" s="747"/>
      <c r="I91" s="744">
        <v>1</v>
      </c>
      <c r="J91" s="744">
        <v>24</v>
      </c>
      <c r="K91" s="744">
        <v>32</v>
      </c>
      <c r="L91" s="744" t="s">
        <v>2463</v>
      </c>
      <c r="M91" s="744" t="s">
        <v>606</v>
      </c>
      <c r="O91" t="s">
        <v>515</v>
      </c>
    </row>
    <row r="92" spans="2:15">
      <c r="B92" s="744" t="s">
        <v>2466</v>
      </c>
      <c r="C92" s="744" t="s">
        <v>2357</v>
      </c>
      <c r="D92" s="744" t="s">
        <v>515</v>
      </c>
      <c r="E92" s="744" t="s">
        <v>2467</v>
      </c>
      <c r="F92" s="746" t="s">
        <v>2468</v>
      </c>
      <c r="G92" s="747" t="s">
        <v>2360</v>
      </c>
      <c r="H92" s="747"/>
      <c r="I92" s="744">
        <v>1</v>
      </c>
      <c r="J92" s="744">
        <v>28</v>
      </c>
      <c r="K92" s="744">
        <v>33</v>
      </c>
      <c r="L92" s="744" t="s">
        <v>2466</v>
      </c>
      <c r="M92" s="744" t="s">
        <v>606</v>
      </c>
      <c r="O92" t="s">
        <v>515</v>
      </c>
    </row>
    <row r="93" spans="2:15">
      <c r="B93" s="744" t="s">
        <v>2469</v>
      </c>
      <c r="C93" s="744" t="s">
        <v>2357</v>
      </c>
      <c r="D93" s="744" t="s">
        <v>515</v>
      </c>
      <c r="E93" s="744" t="s">
        <v>2470</v>
      </c>
      <c r="F93" s="746" t="s">
        <v>2471</v>
      </c>
      <c r="G93" s="747" t="s">
        <v>2288</v>
      </c>
      <c r="H93" s="747"/>
      <c r="I93" s="744">
        <v>1</v>
      </c>
      <c r="J93" s="744">
        <v>32</v>
      </c>
      <c r="K93" s="744">
        <v>34</v>
      </c>
      <c r="L93" s="744" t="s">
        <v>2469</v>
      </c>
      <c r="M93" s="744" t="s">
        <v>606</v>
      </c>
      <c r="O93" t="s">
        <v>515</v>
      </c>
    </row>
    <row r="94" spans="2:15">
      <c r="B94" s="744" t="s">
        <v>2472</v>
      </c>
      <c r="C94" s="744" t="s">
        <v>2357</v>
      </c>
      <c r="D94" s="744" t="s">
        <v>515</v>
      </c>
      <c r="E94" s="744" t="s">
        <v>2473</v>
      </c>
      <c r="F94" s="746" t="s">
        <v>2474</v>
      </c>
      <c r="G94" s="747" t="s">
        <v>2360</v>
      </c>
      <c r="H94" s="747"/>
      <c r="I94" s="744">
        <v>1</v>
      </c>
      <c r="J94" s="744">
        <v>36</v>
      </c>
      <c r="K94" s="744">
        <v>51</v>
      </c>
      <c r="L94" s="744" t="s">
        <v>2472</v>
      </c>
      <c r="M94" s="744" t="s">
        <v>606</v>
      </c>
      <c r="O94" t="s">
        <v>515</v>
      </c>
    </row>
    <row r="95" spans="2:15">
      <c r="B95" s="744" t="s">
        <v>2475</v>
      </c>
      <c r="C95" s="744" t="s">
        <v>2357</v>
      </c>
      <c r="D95" s="744" t="s">
        <v>515</v>
      </c>
      <c r="E95" s="744" t="s">
        <v>2476</v>
      </c>
      <c r="F95" s="746" t="s">
        <v>2477</v>
      </c>
      <c r="G95" s="747" t="s">
        <v>2360</v>
      </c>
      <c r="H95" s="747"/>
      <c r="I95" s="744">
        <v>1</v>
      </c>
      <c r="J95" s="744">
        <v>40</v>
      </c>
      <c r="K95" s="744">
        <v>46</v>
      </c>
      <c r="L95" s="744" t="s">
        <v>2475</v>
      </c>
      <c r="M95" s="744" t="s">
        <v>606</v>
      </c>
      <c r="O95" t="s">
        <v>515</v>
      </c>
    </row>
    <row r="96" spans="2:15">
      <c r="B96" s="744" t="s">
        <v>2478</v>
      </c>
      <c r="C96" s="744" t="s">
        <v>2357</v>
      </c>
      <c r="D96" s="744" t="s">
        <v>515</v>
      </c>
      <c r="E96" s="744" t="s">
        <v>2476</v>
      </c>
      <c r="F96" s="746" t="s">
        <v>2479</v>
      </c>
      <c r="G96" s="747" t="s">
        <v>2288</v>
      </c>
      <c r="H96" s="747"/>
      <c r="I96" s="744">
        <v>1</v>
      </c>
      <c r="J96" s="744">
        <v>40</v>
      </c>
      <c r="K96" s="744">
        <v>46</v>
      </c>
      <c r="L96" s="744" t="s">
        <v>2478</v>
      </c>
      <c r="M96" s="744" t="s">
        <v>606</v>
      </c>
      <c r="O96" t="s">
        <v>515</v>
      </c>
    </row>
    <row r="97" spans="2:15">
      <c r="B97" s="744" t="s">
        <v>2480</v>
      </c>
      <c r="C97" s="744" t="s">
        <v>2357</v>
      </c>
      <c r="D97" s="744" t="s">
        <v>515</v>
      </c>
      <c r="E97" s="744" t="s">
        <v>2476</v>
      </c>
      <c r="F97" s="746" t="s">
        <v>2481</v>
      </c>
      <c r="G97" s="747" t="s">
        <v>2288</v>
      </c>
      <c r="H97" s="747"/>
      <c r="I97" s="744">
        <v>1</v>
      </c>
      <c r="J97" s="744">
        <v>40</v>
      </c>
      <c r="K97" s="744">
        <v>43</v>
      </c>
      <c r="L97" s="744" t="s">
        <v>2480</v>
      </c>
      <c r="M97" s="744" t="s">
        <v>606</v>
      </c>
      <c r="O97" t="s">
        <v>515</v>
      </c>
    </row>
    <row r="98" spans="2:15">
      <c r="B98" s="744" t="s">
        <v>2482</v>
      </c>
      <c r="C98" s="744" t="s">
        <v>2357</v>
      </c>
      <c r="D98" s="744" t="s">
        <v>515</v>
      </c>
      <c r="E98" s="744" t="s">
        <v>2483</v>
      </c>
      <c r="F98" s="746" t="s">
        <v>2484</v>
      </c>
      <c r="G98" s="747" t="s">
        <v>2360</v>
      </c>
      <c r="H98" s="747"/>
      <c r="I98" s="744">
        <v>1</v>
      </c>
      <c r="J98" s="744">
        <v>5</v>
      </c>
      <c r="K98" s="744">
        <v>9</v>
      </c>
      <c r="L98" s="744" t="s">
        <v>2485</v>
      </c>
      <c r="M98" s="744" t="s">
        <v>606</v>
      </c>
      <c r="O98" t="s">
        <v>515</v>
      </c>
    </row>
    <row r="99" spans="2:15">
      <c r="B99" s="744" t="s">
        <v>431</v>
      </c>
      <c r="C99" s="744" t="s">
        <v>2357</v>
      </c>
      <c r="D99" s="744" t="s">
        <v>515</v>
      </c>
      <c r="E99" s="744" t="s">
        <v>2486</v>
      </c>
      <c r="F99" s="746" t="s">
        <v>2487</v>
      </c>
      <c r="G99" s="747" t="s">
        <v>2288</v>
      </c>
      <c r="H99" s="747"/>
      <c r="I99" s="744">
        <v>1</v>
      </c>
      <c r="J99" s="744">
        <v>50</v>
      </c>
      <c r="K99" s="744">
        <v>54</v>
      </c>
      <c r="L99" s="744" t="s">
        <v>431</v>
      </c>
      <c r="M99" s="744" t="s">
        <v>606</v>
      </c>
      <c r="O99" t="s">
        <v>515</v>
      </c>
    </row>
    <row r="100" spans="2:15">
      <c r="B100" s="744" t="s">
        <v>2488</v>
      </c>
      <c r="C100" s="744" t="s">
        <v>2357</v>
      </c>
      <c r="D100" s="744" t="s">
        <v>515</v>
      </c>
      <c r="E100" s="744" t="s">
        <v>2489</v>
      </c>
      <c r="F100" s="746" t="s">
        <v>2490</v>
      </c>
      <c r="G100" s="747" t="s">
        <v>2288</v>
      </c>
      <c r="H100" s="747"/>
      <c r="I100" s="744">
        <v>1</v>
      </c>
      <c r="J100" s="744">
        <v>55</v>
      </c>
      <c r="K100" s="744">
        <v>56</v>
      </c>
      <c r="L100" s="744" t="s">
        <v>2488</v>
      </c>
      <c r="M100" s="744" t="s">
        <v>606</v>
      </c>
      <c r="O100" t="s">
        <v>515</v>
      </c>
    </row>
    <row r="101" spans="2:15">
      <c r="B101" s="744" t="s">
        <v>2491</v>
      </c>
      <c r="C101" s="744" t="s">
        <v>2357</v>
      </c>
      <c r="D101" s="744" t="s">
        <v>515</v>
      </c>
      <c r="E101" s="744" t="s">
        <v>2492</v>
      </c>
      <c r="F101" s="746" t="s">
        <v>2493</v>
      </c>
      <c r="G101" s="747" t="s">
        <v>2360</v>
      </c>
      <c r="H101" s="747"/>
      <c r="I101" s="744">
        <v>1</v>
      </c>
      <c r="J101" s="744">
        <v>7</v>
      </c>
      <c r="K101" s="744">
        <v>10</v>
      </c>
      <c r="L101" s="744" t="s">
        <v>2491</v>
      </c>
      <c r="M101" s="744" t="s">
        <v>606</v>
      </c>
      <c r="O101" t="s">
        <v>515</v>
      </c>
    </row>
    <row r="102" spans="2:15">
      <c r="B102" s="744" t="s">
        <v>2494</v>
      </c>
      <c r="C102" s="744" t="s">
        <v>2357</v>
      </c>
      <c r="D102" s="744" t="s">
        <v>515</v>
      </c>
      <c r="E102" s="744" t="s">
        <v>2495</v>
      </c>
      <c r="F102" s="746" t="s">
        <v>2496</v>
      </c>
      <c r="G102" s="747" t="s">
        <v>2360</v>
      </c>
      <c r="H102" s="747"/>
      <c r="I102" s="744">
        <v>1</v>
      </c>
      <c r="J102" s="744">
        <v>9</v>
      </c>
      <c r="K102" s="744">
        <v>11</v>
      </c>
      <c r="L102" s="744" t="s">
        <v>2494</v>
      </c>
      <c r="M102" s="744" t="s">
        <v>606</v>
      </c>
      <c r="O102" t="s">
        <v>515</v>
      </c>
    </row>
    <row r="103" spans="2:15">
      <c r="B103" s="744" t="s">
        <v>2497</v>
      </c>
      <c r="C103" s="744" t="s">
        <v>2357</v>
      </c>
      <c r="D103" s="744" t="s">
        <v>515</v>
      </c>
      <c r="E103" s="744" t="s">
        <v>2363</v>
      </c>
      <c r="F103" s="746" t="s">
        <v>2498</v>
      </c>
      <c r="G103" s="747" t="s">
        <v>2360</v>
      </c>
      <c r="H103" s="747"/>
      <c r="I103" s="744">
        <v>2</v>
      </c>
      <c r="J103" s="744">
        <v>11</v>
      </c>
      <c r="K103" s="744">
        <v>26</v>
      </c>
      <c r="L103" s="744" t="s">
        <v>2497</v>
      </c>
      <c r="M103" s="744" t="s">
        <v>606</v>
      </c>
      <c r="O103" t="s">
        <v>515</v>
      </c>
    </row>
    <row r="104" spans="2:15">
      <c r="B104" s="744" t="s">
        <v>2499</v>
      </c>
      <c r="C104" s="744" t="s">
        <v>2357</v>
      </c>
      <c r="D104" s="744" t="s">
        <v>515</v>
      </c>
      <c r="E104" s="744" t="s">
        <v>2386</v>
      </c>
      <c r="F104" s="746" t="s">
        <v>2500</v>
      </c>
      <c r="G104" s="747" t="s">
        <v>2288</v>
      </c>
      <c r="H104" s="747"/>
      <c r="I104" s="744">
        <v>2</v>
      </c>
      <c r="J104" s="744">
        <v>42</v>
      </c>
      <c r="K104" s="744">
        <v>100</v>
      </c>
      <c r="L104" s="744" t="s">
        <v>2499</v>
      </c>
      <c r="M104" s="744" t="s">
        <v>606</v>
      </c>
      <c r="O104" t="s">
        <v>515</v>
      </c>
    </row>
    <row r="105" spans="2:15">
      <c r="B105" s="744" t="s">
        <v>2501</v>
      </c>
      <c r="C105" s="744" t="s">
        <v>2357</v>
      </c>
      <c r="D105" s="744" t="s">
        <v>515</v>
      </c>
      <c r="E105" s="744" t="s">
        <v>2392</v>
      </c>
      <c r="F105" s="746" t="s">
        <v>2502</v>
      </c>
      <c r="G105" s="747" t="s">
        <v>2360</v>
      </c>
      <c r="H105" s="747"/>
      <c r="I105" s="744">
        <v>2</v>
      </c>
      <c r="J105" s="744">
        <v>13</v>
      </c>
      <c r="K105" s="744">
        <v>31</v>
      </c>
      <c r="L105" s="744" t="s">
        <v>2501</v>
      </c>
      <c r="M105" s="744" t="s">
        <v>606</v>
      </c>
      <c r="O105" t="s">
        <v>515</v>
      </c>
    </row>
    <row r="106" spans="2:15">
      <c r="B106" s="744" t="s">
        <v>2503</v>
      </c>
      <c r="C106" s="744" t="s">
        <v>2357</v>
      </c>
      <c r="D106" s="744" t="s">
        <v>515</v>
      </c>
      <c r="E106" s="744" t="s">
        <v>2392</v>
      </c>
      <c r="F106" s="746" t="s">
        <v>2504</v>
      </c>
      <c r="G106" s="747" t="s">
        <v>2288</v>
      </c>
      <c r="H106" s="747"/>
      <c r="I106" s="744">
        <v>2</v>
      </c>
      <c r="J106" s="744">
        <v>13</v>
      </c>
      <c r="K106" s="744">
        <v>28</v>
      </c>
      <c r="L106" s="744" t="s">
        <v>2503</v>
      </c>
      <c r="M106" s="744" t="s">
        <v>606</v>
      </c>
      <c r="O106" t="s">
        <v>515</v>
      </c>
    </row>
    <row r="107" spans="2:15">
      <c r="B107" s="744" t="s">
        <v>2505</v>
      </c>
      <c r="C107" s="744" t="s">
        <v>2357</v>
      </c>
      <c r="D107" s="744" t="s">
        <v>515</v>
      </c>
      <c r="E107" s="744" t="s">
        <v>2400</v>
      </c>
      <c r="F107" s="746" t="s">
        <v>2506</v>
      </c>
      <c r="G107" s="747" t="s">
        <v>2360</v>
      </c>
      <c r="H107" s="747"/>
      <c r="I107" s="744">
        <v>2</v>
      </c>
      <c r="J107" s="744">
        <v>17</v>
      </c>
      <c r="K107" s="744">
        <v>48</v>
      </c>
      <c r="L107" s="744" t="s">
        <v>2505</v>
      </c>
      <c r="M107" s="744" t="s">
        <v>606</v>
      </c>
      <c r="O107" t="s">
        <v>515</v>
      </c>
    </row>
    <row r="108" spans="2:15">
      <c r="B108" s="744" t="s">
        <v>2507</v>
      </c>
      <c r="C108" s="744" t="s">
        <v>2357</v>
      </c>
      <c r="D108" s="744" t="s">
        <v>515</v>
      </c>
      <c r="E108" s="744" t="s">
        <v>2403</v>
      </c>
      <c r="F108" s="746" t="s">
        <v>2508</v>
      </c>
      <c r="G108" s="747" t="s">
        <v>2360</v>
      </c>
      <c r="H108" s="747"/>
      <c r="I108" s="744">
        <v>2</v>
      </c>
      <c r="J108" s="744">
        <v>18</v>
      </c>
      <c r="K108" s="744">
        <v>45</v>
      </c>
      <c r="L108" s="744" t="s">
        <v>2507</v>
      </c>
      <c r="M108" s="744" t="s">
        <v>606</v>
      </c>
      <c r="O108" t="s">
        <v>515</v>
      </c>
    </row>
    <row r="109" spans="2:15">
      <c r="B109" s="744" t="s">
        <v>2509</v>
      </c>
      <c r="C109" s="744" t="s">
        <v>2357</v>
      </c>
      <c r="D109" s="744" t="s">
        <v>515</v>
      </c>
      <c r="E109" s="744" t="s">
        <v>2403</v>
      </c>
      <c r="F109" s="746" t="s">
        <v>2510</v>
      </c>
      <c r="G109" s="747" t="s">
        <v>2288</v>
      </c>
      <c r="H109" s="747"/>
      <c r="I109" s="744">
        <v>2</v>
      </c>
      <c r="J109" s="744">
        <v>18</v>
      </c>
      <c r="K109" s="744">
        <v>38</v>
      </c>
      <c r="L109" s="744" t="s">
        <v>2509</v>
      </c>
      <c r="M109" s="744" t="s">
        <v>606</v>
      </c>
      <c r="O109" t="s">
        <v>515</v>
      </c>
    </row>
    <row r="110" spans="2:15">
      <c r="B110" s="744" t="s">
        <v>2511</v>
      </c>
      <c r="C110" s="744" t="s">
        <v>2357</v>
      </c>
      <c r="D110" s="744" t="s">
        <v>515</v>
      </c>
      <c r="E110" s="744" t="s">
        <v>2408</v>
      </c>
      <c r="F110" s="746" t="s">
        <v>2512</v>
      </c>
      <c r="G110" s="747" t="s">
        <v>2360</v>
      </c>
      <c r="H110" s="747"/>
      <c r="I110" s="744">
        <v>2</v>
      </c>
      <c r="J110" s="744">
        <v>20</v>
      </c>
      <c r="K110" s="744">
        <v>46</v>
      </c>
      <c r="L110" s="744" t="s">
        <v>2511</v>
      </c>
      <c r="M110" s="744" t="s">
        <v>606</v>
      </c>
      <c r="O110" t="s">
        <v>515</v>
      </c>
    </row>
    <row r="111" spans="2:15">
      <c r="B111" s="744" t="s">
        <v>2513</v>
      </c>
      <c r="C111" s="744" t="s">
        <v>2357</v>
      </c>
      <c r="D111" s="744" t="s">
        <v>515</v>
      </c>
      <c r="E111" s="744" t="s">
        <v>2411</v>
      </c>
      <c r="F111" s="746" t="s">
        <v>2514</v>
      </c>
      <c r="G111" s="747" t="s">
        <v>2360</v>
      </c>
      <c r="H111" s="747"/>
      <c r="I111" s="744">
        <v>2</v>
      </c>
      <c r="J111" s="744">
        <v>22</v>
      </c>
      <c r="K111" s="744">
        <v>48</v>
      </c>
      <c r="L111" s="744" t="s">
        <v>2513</v>
      </c>
      <c r="M111" s="744" t="s">
        <v>606</v>
      </c>
      <c r="O111" t="s">
        <v>515</v>
      </c>
    </row>
    <row r="112" spans="2:15">
      <c r="B112" s="744" t="s">
        <v>2515</v>
      </c>
      <c r="C112" s="744" t="s">
        <v>2357</v>
      </c>
      <c r="D112" s="744" t="s">
        <v>515</v>
      </c>
      <c r="E112" s="744" t="s">
        <v>2414</v>
      </c>
      <c r="F112" s="746" t="s">
        <v>2516</v>
      </c>
      <c r="G112" s="747" t="s">
        <v>2360</v>
      </c>
      <c r="H112" s="747"/>
      <c r="I112" s="744">
        <v>2</v>
      </c>
      <c r="J112" s="744">
        <v>25</v>
      </c>
      <c r="K112" s="744">
        <v>66</v>
      </c>
      <c r="L112" s="744" t="s">
        <v>2515</v>
      </c>
      <c r="M112" s="744" t="s">
        <v>606</v>
      </c>
      <c r="O112" t="s">
        <v>515</v>
      </c>
    </row>
    <row r="113" spans="2:15">
      <c r="B113" s="744" t="s">
        <v>2517</v>
      </c>
      <c r="C113" s="744" t="s">
        <v>2357</v>
      </c>
      <c r="D113" s="744" t="s">
        <v>515</v>
      </c>
      <c r="E113" s="744" t="s">
        <v>2417</v>
      </c>
      <c r="F113" s="746" t="s">
        <v>2518</v>
      </c>
      <c r="G113" s="747" t="s">
        <v>2360</v>
      </c>
      <c r="H113" s="747"/>
      <c r="I113" s="744">
        <v>2</v>
      </c>
      <c r="J113" s="744">
        <v>26</v>
      </c>
      <c r="K113" s="744">
        <v>66</v>
      </c>
      <c r="L113" s="744" t="s">
        <v>2517</v>
      </c>
      <c r="M113" s="744" t="s">
        <v>606</v>
      </c>
      <c r="O113" t="s">
        <v>515</v>
      </c>
    </row>
    <row r="114" spans="2:15">
      <c r="B114" s="744" t="s">
        <v>2519</v>
      </c>
      <c r="C114" s="744" t="s">
        <v>2357</v>
      </c>
      <c r="D114" s="744" t="s">
        <v>515</v>
      </c>
      <c r="E114" s="744" t="s">
        <v>2417</v>
      </c>
      <c r="F114" s="746" t="s">
        <v>2520</v>
      </c>
      <c r="G114" s="747" t="s">
        <v>2288</v>
      </c>
      <c r="H114" s="747"/>
      <c r="I114" s="744">
        <v>2</v>
      </c>
      <c r="J114" s="744">
        <v>26</v>
      </c>
      <c r="K114" s="744">
        <v>50</v>
      </c>
      <c r="L114" s="744" t="s">
        <v>2519</v>
      </c>
      <c r="M114" s="744" t="s">
        <v>606</v>
      </c>
      <c r="O114" t="s">
        <v>515</v>
      </c>
    </row>
    <row r="115" spans="2:15">
      <c r="B115" s="744" t="s">
        <v>2521</v>
      </c>
      <c r="C115" s="744" t="s">
        <v>2357</v>
      </c>
      <c r="D115" s="744" t="s">
        <v>515</v>
      </c>
      <c r="E115" s="744" t="s">
        <v>2425</v>
      </c>
      <c r="F115" s="746" t="s">
        <v>2522</v>
      </c>
      <c r="G115" s="747" t="s">
        <v>2360</v>
      </c>
      <c r="H115" s="747"/>
      <c r="I115" s="744">
        <v>2</v>
      </c>
      <c r="J115" s="744">
        <v>9</v>
      </c>
      <c r="K115" s="744">
        <v>23</v>
      </c>
      <c r="L115" s="744" t="s">
        <v>2521</v>
      </c>
      <c r="M115" s="744" t="s">
        <v>606</v>
      </c>
      <c r="O115" t="s">
        <v>515</v>
      </c>
    </row>
    <row r="116" spans="2:15">
      <c r="B116" s="744" t="s">
        <v>2523</v>
      </c>
      <c r="C116" s="744" t="s">
        <v>2357</v>
      </c>
      <c r="D116" s="744" t="s">
        <v>515</v>
      </c>
      <c r="E116" s="744" t="s">
        <v>2455</v>
      </c>
      <c r="F116" s="746" t="s">
        <v>2524</v>
      </c>
      <c r="G116" s="747" t="s">
        <v>2360</v>
      </c>
      <c r="H116" s="747"/>
      <c r="I116" s="744">
        <v>2</v>
      </c>
      <c r="J116" s="744">
        <v>13</v>
      </c>
      <c r="K116" s="744">
        <v>31</v>
      </c>
      <c r="L116" s="744" t="s">
        <v>2523</v>
      </c>
      <c r="M116" s="744" t="s">
        <v>606</v>
      </c>
      <c r="O116" t="s">
        <v>515</v>
      </c>
    </row>
    <row r="117" spans="2:15">
      <c r="B117" s="744" t="s">
        <v>2525</v>
      </c>
      <c r="C117" s="744" t="s">
        <v>2357</v>
      </c>
      <c r="D117" s="744" t="s">
        <v>515</v>
      </c>
      <c r="E117" s="744" t="s">
        <v>2461</v>
      </c>
      <c r="F117" s="746" t="s">
        <v>2526</v>
      </c>
      <c r="G117" s="747" t="s">
        <v>2360</v>
      </c>
      <c r="H117" s="747"/>
      <c r="I117" s="744">
        <v>2</v>
      </c>
      <c r="J117" s="744">
        <v>22</v>
      </c>
      <c r="K117" s="744">
        <v>54</v>
      </c>
      <c r="L117" s="744" t="s">
        <v>2525</v>
      </c>
      <c r="M117" s="744" t="s">
        <v>606</v>
      </c>
      <c r="O117" t="s">
        <v>515</v>
      </c>
    </row>
    <row r="118" spans="2:15">
      <c r="B118" s="744" t="s">
        <v>2527</v>
      </c>
      <c r="C118" s="744" t="s">
        <v>2357</v>
      </c>
      <c r="D118" s="744" t="s">
        <v>515</v>
      </c>
      <c r="E118" s="744" t="s">
        <v>2467</v>
      </c>
      <c r="F118" s="746" t="s">
        <v>2528</v>
      </c>
      <c r="G118" s="747" t="s">
        <v>2360</v>
      </c>
      <c r="H118" s="747"/>
      <c r="I118" s="744">
        <v>2</v>
      </c>
      <c r="J118" s="744">
        <v>28</v>
      </c>
      <c r="K118" s="744">
        <v>66</v>
      </c>
      <c r="L118" s="744" t="s">
        <v>2527</v>
      </c>
      <c r="M118" s="744" t="s">
        <v>606</v>
      </c>
      <c r="O118" t="s">
        <v>515</v>
      </c>
    </row>
    <row r="119" spans="2:15">
      <c r="B119" s="744" t="s">
        <v>2529</v>
      </c>
      <c r="C119" s="744" t="s">
        <v>2357</v>
      </c>
      <c r="D119" s="744" t="s">
        <v>515</v>
      </c>
      <c r="E119" s="744" t="s">
        <v>2470</v>
      </c>
      <c r="F119" s="746" t="s">
        <v>2530</v>
      </c>
      <c r="G119" s="747" t="s">
        <v>2288</v>
      </c>
      <c r="H119" s="747"/>
      <c r="I119" s="744">
        <v>2</v>
      </c>
      <c r="J119" s="744">
        <v>32</v>
      </c>
      <c r="K119" s="744">
        <v>62</v>
      </c>
      <c r="L119" s="744" t="s">
        <v>2529</v>
      </c>
      <c r="M119" s="744" t="s">
        <v>606</v>
      </c>
      <c r="O119" t="s">
        <v>515</v>
      </c>
    </row>
    <row r="120" spans="2:15">
      <c r="B120" s="744" t="s">
        <v>2531</v>
      </c>
      <c r="C120" s="744" t="s">
        <v>2357</v>
      </c>
      <c r="D120" s="744" t="s">
        <v>515</v>
      </c>
      <c r="E120" s="744" t="s">
        <v>2476</v>
      </c>
      <c r="F120" s="746" t="s">
        <v>2532</v>
      </c>
      <c r="G120" s="747" t="s">
        <v>2360</v>
      </c>
      <c r="H120" s="747"/>
      <c r="I120" s="744">
        <v>2</v>
      </c>
      <c r="J120" s="744">
        <v>40</v>
      </c>
      <c r="K120" s="744">
        <v>85</v>
      </c>
      <c r="L120" s="744" t="s">
        <v>2531</v>
      </c>
      <c r="M120" s="744" t="s">
        <v>606</v>
      </c>
      <c r="O120" t="s">
        <v>515</v>
      </c>
    </row>
    <row r="121" spans="2:15">
      <c r="B121" s="744" t="s">
        <v>2533</v>
      </c>
      <c r="C121" s="744" t="s">
        <v>2357</v>
      </c>
      <c r="D121" s="744" t="s">
        <v>515</v>
      </c>
      <c r="E121" s="744" t="s">
        <v>2476</v>
      </c>
      <c r="F121" s="746" t="s">
        <v>2534</v>
      </c>
      <c r="G121" s="747" t="s">
        <v>2288</v>
      </c>
      <c r="H121" s="747"/>
      <c r="I121" s="744">
        <v>2</v>
      </c>
      <c r="J121" s="744">
        <v>40</v>
      </c>
      <c r="K121" s="744">
        <v>72</v>
      </c>
      <c r="L121" s="744" t="s">
        <v>2533</v>
      </c>
      <c r="M121" s="744" t="s">
        <v>606</v>
      </c>
      <c r="O121" t="s">
        <v>515</v>
      </c>
    </row>
    <row r="122" spans="2:15">
      <c r="B122" s="744" t="s">
        <v>2535</v>
      </c>
      <c r="C122" s="744" t="s">
        <v>2357</v>
      </c>
      <c r="D122" s="744" t="s">
        <v>515</v>
      </c>
      <c r="E122" s="744" t="s">
        <v>2476</v>
      </c>
      <c r="F122" s="746" t="s">
        <v>2536</v>
      </c>
      <c r="G122" s="747" t="s">
        <v>2288</v>
      </c>
      <c r="H122" s="747"/>
      <c r="I122" s="744">
        <v>2</v>
      </c>
      <c r="J122" s="744">
        <v>40</v>
      </c>
      <c r="K122" s="744">
        <v>72</v>
      </c>
      <c r="L122" s="744" t="s">
        <v>2535</v>
      </c>
      <c r="M122" s="744" t="s">
        <v>606</v>
      </c>
      <c r="O122" t="s">
        <v>515</v>
      </c>
    </row>
    <row r="123" spans="2:15">
      <c r="B123" s="744" t="s">
        <v>2537</v>
      </c>
      <c r="C123" s="744" t="s">
        <v>2357</v>
      </c>
      <c r="D123" s="744" t="s">
        <v>515</v>
      </c>
      <c r="E123" s="744" t="s">
        <v>2483</v>
      </c>
      <c r="F123" s="746" t="s">
        <v>2538</v>
      </c>
      <c r="G123" s="747" t="s">
        <v>2360</v>
      </c>
      <c r="H123" s="747"/>
      <c r="I123" s="744">
        <v>2</v>
      </c>
      <c r="J123" s="744">
        <v>5</v>
      </c>
      <c r="K123" s="744">
        <v>18</v>
      </c>
      <c r="L123" s="744" t="s">
        <v>2537</v>
      </c>
      <c r="M123" s="744" t="s">
        <v>606</v>
      </c>
      <c r="O123" t="s">
        <v>515</v>
      </c>
    </row>
    <row r="124" spans="2:15">
      <c r="B124" s="744" t="s">
        <v>2539</v>
      </c>
      <c r="C124" s="744" t="s">
        <v>2357</v>
      </c>
      <c r="D124" s="744" t="s">
        <v>515</v>
      </c>
      <c r="E124" s="744" t="s">
        <v>2486</v>
      </c>
      <c r="F124" s="746" t="s">
        <v>2540</v>
      </c>
      <c r="G124" s="747" t="s">
        <v>2288</v>
      </c>
      <c r="H124" s="747"/>
      <c r="I124" s="744">
        <v>2</v>
      </c>
      <c r="J124" s="744">
        <v>50</v>
      </c>
      <c r="K124" s="744">
        <v>108</v>
      </c>
      <c r="L124" s="744" t="s">
        <v>2539</v>
      </c>
      <c r="M124" s="744" t="s">
        <v>606</v>
      </c>
      <c r="O124" t="s">
        <v>515</v>
      </c>
    </row>
    <row r="125" spans="2:15">
      <c r="B125" s="744" t="s">
        <v>2541</v>
      </c>
      <c r="C125" s="744" t="s">
        <v>2357</v>
      </c>
      <c r="D125" s="744" t="s">
        <v>515</v>
      </c>
      <c r="E125" s="744" t="s">
        <v>2489</v>
      </c>
      <c r="F125" s="746" t="s">
        <v>2542</v>
      </c>
      <c r="G125" s="747" t="s">
        <v>2288</v>
      </c>
      <c r="H125" s="747"/>
      <c r="I125" s="744">
        <v>2</v>
      </c>
      <c r="J125" s="744">
        <v>55</v>
      </c>
      <c r="K125" s="744">
        <v>112</v>
      </c>
      <c r="L125" s="744" t="s">
        <v>2541</v>
      </c>
      <c r="M125" s="744" t="s">
        <v>606</v>
      </c>
      <c r="O125" t="s">
        <v>515</v>
      </c>
    </row>
    <row r="126" spans="2:15">
      <c r="B126" s="744" t="s">
        <v>2543</v>
      </c>
      <c r="C126" s="744" t="s">
        <v>2357</v>
      </c>
      <c r="D126" s="744" t="s">
        <v>515</v>
      </c>
      <c r="E126" s="744" t="s">
        <v>2492</v>
      </c>
      <c r="F126" s="746" t="s">
        <v>2544</v>
      </c>
      <c r="G126" s="747" t="s">
        <v>2360</v>
      </c>
      <c r="H126" s="747"/>
      <c r="I126" s="744">
        <v>2</v>
      </c>
      <c r="J126" s="744">
        <v>7</v>
      </c>
      <c r="K126" s="744">
        <v>21</v>
      </c>
      <c r="L126" s="744" t="s">
        <v>2543</v>
      </c>
      <c r="M126" s="744" t="s">
        <v>606</v>
      </c>
      <c r="O126" t="s">
        <v>515</v>
      </c>
    </row>
    <row r="127" spans="2:15">
      <c r="B127" s="744" t="s">
        <v>2545</v>
      </c>
      <c r="C127" s="744" t="s">
        <v>2357</v>
      </c>
      <c r="D127" s="744" t="s">
        <v>515</v>
      </c>
      <c r="E127" s="744" t="s">
        <v>2495</v>
      </c>
      <c r="F127" s="746" t="s">
        <v>2546</v>
      </c>
      <c r="G127" s="747" t="s">
        <v>2360</v>
      </c>
      <c r="H127" s="747"/>
      <c r="I127" s="744">
        <v>2</v>
      </c>
      <c r="J127" s="744">
        <v>9</v>
      </c>
      <c r="K127" s="744">
        <v>23</v>
      </c>
      <c r="L127" s="744" t="s">
        <v>2545</v>
      </c>
      <c r="M127" s="744" t="s">
        <v>606</v>
      </c>
      <c r="O127" t="s">
        <v>515</v>
      </c>
    </row>
    <row r="128" spans="2:15">
      <c r="B128" s="744" t="s">
        <v>2547</v>
      </c>
      <c r="C128" s="744" t="s">
        <v>2357</v>
      </c>
      <c r="D128" s="744" t="s">
        <v>515</v>
      </c>
      <c r="E128" s="744" t="s">
        <v>2548</v>
      </c>
      <c r="F128" s="746" t="s">
        <v>2549</v>
      </c>
      <c r="G128" s="747" t="s">
        <v>2288</v>
      </c>
      <c r="H128" s="747"/>
      <c r="I128" s="744">
        <v>3</v>
      </c>
      <c r="J128" s="744">
        <v>18</v>
      </c>
      <c r="K128" s="744">
        <v>60</v>
      </c>
      <c r="L128" s="744" t="s">
        <v>2547</v>
      </c>
      <c r="M128" s="744" t="s">
        <v>606</v>
      </c>
      <c r="O128" t="s">
        <v>515</v>
      </c>
    </row>
    <row r="129" spans="2:15">
      <c r="B129" s="744" t="s">
        <v>2550</v>
      </c>
      <c r="C129" s="744" t="s">
        <v>2357</v>
      </c>
      <c r="D129" s="744" t="s">
        <v>515</v>
      </c>
      <c r="E129" s="744" t="s">
        <v>2551</v>
      </c>
      <c r="F129" s="746" t="s">
        <v>2552</v>
      </c>
      <c r="G129" s="747" t="s">
        <v>2288</v>
      </c>
      <c r="H129" s="747"/>
      <c r="I129" s="744">
        <v>3</v>
      </c>
      <c r="J129" s="744">
        <v>26</v>
      </c>
      <c r="K129" s="744">
        <v>82</v>
      </c>
      <c r="L129" s="744" t="s">
        <v>2550</v>
      </c>
      <c r="M129" s="744" t="s">
        <v>606</v>
      </c>
      <c r="O129" t="s">
        <v>515</v>
      </c>
    </row>
    <row r="130" spans="2:15">
      <c r="B130" s="744" t="s">
        <v>2553</v>
      </c>
      <c r="C130" s="744" t="s">
        <v>2357</v>
      </c>
      <c r="D130" s="744" t="s">
        <v>515</v>
      </c>
      <c r="E130" s="744" t="s">
        <v>2554</v>
      </c>
      <c r="F130" s="746" t="s">
        <v>2555</v>
      </c>
      <c r="G130" s="747" t="s">
        <v>2288</v>
      </c>
      <c r="H130" s="747"/>
      <c r="I130" s="744">
        <v>3</v>
      </c>
      <c r="J130" s="744">
        <v>32</v>
      </c>
      <c r="K130" s="744">
        <v>114</v>
      </c>
      <c r="L130" s="744" t="s">
        <v>2553</v>
      </c>
      <c r="M130" s="744" t="s">
        <v>606</v>
      </c>
      <c r="O130" t="s">
        <v>515</v>
      </c>
    </row>
    <row r="131" spans="2:15">
      <c r="B131" s="744" t="s">
        <v>2556</v>
      </c>
      <c r="C131" s="744" t="s">
        <v>2357</v>
      </c>
      <c r="D131" s="744" t="s">
        <v>515</v>
      </c>
      <c r="E131" s="744" t="s">
        <v>2386</v>
      </c>
      <c r="F131" s="746" t="s">
        <v>2557</v>
      </c>
      <c r="G131" s="747" t="s">
        <v>2288</v>
      </c>
      <c r="H131" s="747"/>
      <c r="I131" s="744">
        <v>3</v>
      </c>
      <c r="J131" s="744">
        <v>42</v>
      </c>
      <c r="K131" s="744">
        <v>141</v>
      </c>
      <c r="L131" s="744" t="s">
        <v>2556</v>
      </c>
      <c r="M131" s="744" t="s">
        <v>606</v>
      </c>
      <c r="O131" t="s">
        <v>515</v>
      </c>
    </row>
    <row r="132" spans="2:15">
      <c r="B132" s="744" t="s">
        <v>2558</v>
      </c>
      <c r="C132" s="744" t="s">
        <v>2357</v>
      </c>
      <c r="D132" s="744" t="s">
        <v>515</v>
      </c>
      <c r="E132" s="744" t="s">
        <v>2392</v>
      </c>
      <c r="F132" s="746" t="s">
        <v>2559</v>
      </c>
      <c r="G132" s="747" t="s">
        <v>2360</v>
      </c>
      <c r="H132" s="747"/>
      <c r="I132" s="744">
        <v>3</v>
      </c>
      <c r="J132" s="744">
        <v>13</v>
      </c>
      <c r="K132" s="744">
        <v>48</v>
      </c>
      <c r="L132" s="744" t="s">
        <v>2558</v>
      </c>
      <c r="M132" s="744" t="s">
        <v>606</v>
      </c>
      <c r="O132" t="s">
        <v>515</v>
      </c>
    </row>
    <row r="133" spans="2:15">
      <c r="B133" s="744" t="s">
        <v>2560</v>
      </c>
      <c r="C133" s="744" t="s">
        <v>2357</v>
      </c>
      <c r="D133" s="744" t="s">
        <v>515</v>
      </c>
      <c r="E133" s="744" t="s">
        <v>2411</v>
      </c>
      <c r="F133" s="746" t="s">
        <v>2561</v>
      </c>
      <c r="G133" s="747" t="s">
        <v>2360</v>
      </c>
      <c r="H133" s="747"/>
      <c r="I133" s="744">
        <v>3</v>
      </c>
      <c r="J133" s="744">
        <v>22</v>
      </c>
      <c r="K133" s="744">
        <v>72</v>
      </c>
      <c r="L133" s="744" t="s">
        <v>2560</v>
      </c>
      <c r="M133" s="744" t="s">
        <v>606</v>
      </c>
      <c r="O133" t="s">
        <v>515</v>
      </c>
    </row>
    <row r="134" spans="2:15">
      <c r="B134" s="744" t="s">
        <v>2562</v>
      </c>
      <c r="C134" s="744" t="s">
        <v>2357</v>
      </c>
      <c r="D134" s="744" t="s">
        <v>515</v>
      </c>
      <c r="E134" s="744" t="s">
        <v>2417</v>
      </c>
      <c r="F134" s="746" t="s">
        <v>2563</v>
      </c>
      <c r="G134" s="747" t="s">
        <v>2360</v>
      </c>
      <c r="H134" s="747"/>
      <c r="I134" s="744">
        <v>3</v>
      </c>
      <c r="J134" s="744">
        <v>26</v>
      </c>
      <c r="K134" s="744">
        <v>99</v>
      </c>
      <c r="L134" s="744" t="s">
        <v>2562</v>
      </c>
      <c r="M134" s="744" t="s">
        <v>606</v>
      </c>
      <c r="O134" t="s">
        <v>515</v>
      </c>
    </row>
    <row r="135" spans="2:15">
      <c r="B135" s="744" t="s">
        <v>2564</v>
      </c>
      <c r="C135" s="744" t="s">
        <v>2357</v>
      </c>
      <c r="D135" s="744" t="s">
        <v>515</v>
      </c>
      <c r="E135" s="744" t="s">
        <v>2455</v>
      </c>
      <c r="F135" s="746" t="s">
        <v>2565</v>
      </c>
      <c r="G135" s="747" t="s">
        <v>2360</v>
      </c>
      <c r="H135" s="747"/>
      <c r="I135" s="744">
        <v>3</v>
      </c>
      <c r="J135" s="744">
        <v>13</v>
      </c>
      <c r="K135" s="744">
        <v>48</v>
      </c>
      <c r="L135" s="744" t="s">
        <v>2564</v>
      </c>
      <c r="M135" s="744" t="s">
        <v>606</v>
      </c>
      <c r="O135" t="s">
        <v>515</v>
      </c>
    </row>
    <row r="136" spans="2:15">
      <c r="B136" s="744" t="s">
        <v>2566</v>
      </c>
      <c r="C136" s="744" t="s">
        <v>2357</v>
      </c>
      <c r="D136" s="744" t="s">
        <v>515</v>
      </c>
      <c r="E136" s="744" t="s">
        <v>2476</v>
      </c>
      <c r="F136" s="746" t="s">
        <v>2567</v>
      </c>
      <c r="G136" s="747" t="s">
        <v>2360</v>
      </c>
      <c r="H136" s="747"/>
      <c r="I136" s="744">
        <v>3</v>
      </c>
      <c r="J136" s="744">
        <v>40</v>
      </c>
      <c r="K136" s="744">
        <v>133</v>
      </c>
      <c r="L136" s="744" t="s">
        <v>2566</v>
      </c>
      <c r="M136" s="744" t="s">
        <v>606</v>
      </c>
      <c r="O136" t="s">
        <v>515</v>
      </c>
    </row>
    <row r="137" spans="2:15">
      <c r="B137" s="744" t="s">
        <v>2568</v>
      </c>
      <c r="C137" s="744" t="s">
        <v>2357</v>
      </c>
      <c r="D137" s="744" t="s">
        <v>515</v>
      </c>
      <c r="E137" s="744" t="s">
        <v>2476</v>
      </c>
      <c r="F137" s="746" t="s">
        <v>2569</v>
      </c>
      <c r="G137" s="747" t="s">
        <v>2288</v>
      </c>
      <c r="H137" s="747"/>
      <c r="I137" s="744">
        <v>3</v>
      </c>
      <c r="J137" s="744">
        <v>40</v>
      </c>
      <c r="K137" s="744">
        <v>102</v>
      </c>
      <c r="L137" s="744" t="s">
        <v>2568</v>
      </c>
      <c r="M137" s="744" t="s">
        <v>606</v>
      </c>
      <c r="O137" t="s">
        <v>515</v>
      </c>
    </row>
    <row r="138" spans="2:15">
      <c r="B138" s="744" t="s">
        <v>2570</v>
      </c>
      <c r="C138" s="744" t="s">
        <v>2357</v>
      </c>
      <c r="D138" s="744" t="s">
        <v>515</v>
      </c>
      <c r="E138" s="744" t="s">
        <v>2476</v>
      </c>
      <c r="F138" s="746" t="s">
        <v>2571</v>
      </c>
      <c r="G138" s="747" t="s">
        <v>2288</v>
      </c>
      <c r="H138" s="747"/>
      <c r="I138" s="744">
        <v>3</v>
      </c>
      <c r="J138" s="744">
        <v>40</v>
      </c>
      <c r="K138" s="744">
        <v>105</v>
      </c>
      <c r="L138" s="744" t="s">
        <v>2570</v>
      </c>
      <c r="M138" s="744" t="s">
        <v>606</v>
      </c>
      <c r="O138" t="s">
        <v>515</v>
      </c>
    </row>
    <row r="139" spans="2:15">
      <c r="B139" s="744" t="s">
        <v>2572</v>
      </c>
      <c r="C139" s="744" t="s">
        <v>2357</v>
      </c>
      <c r="D139" s="744" t="s">
        <v>515</v>
      </c>
      <c r="E139" s="744" t="s">
        <v>2486</v>
      </c>
      <c r="F139" s="746" t="s">
        <v>2573</v>
      </c>
      <c r="G139" s="747" t="s">
        <v>2288</v>
      </c>
      <c r="H139" s="747"/>
      <c r="I139" s="744">
        <v>3</v>
      </c>
      <c r="J139" s="744">
        <v>50</v>
      </c>
      <c r="K139" s="744">
        <v>162</v>
      </c>
      <c r="L139" s="744" t="s">
        <v>2572</v>
      </c>
      <c r="M139" s="744" t="s">
        <v>606</v>
      </c>
      <c r="O139" t="s">
        <v>515</v>
      </c>
    </row>
    <row r="140" spans="2:15">
      <c r="B140" s="744" t="s">
        <v>2574</v>
      </c>
      <c r="C140" s="744" t="s">
        <v>2357</v>
      </c>
      <c r="D140" s="744" t="s">
        <v>515</v>
      </c>
      <c r="E140" s="744" t="s">
        <v>2489</v>
      </c>
      <c r="F140" s="746" t="s">
        <v>2575</v>
      </c>
      <c r="G140" s="747" t="s">
        <v>2288</v>
      </c>
      <c r="H140" s="747"/>
      <c r="I140" s="744">
        <v>3</v>
      </c>
      <c r="J140" s="744">
        <v>55</v>
      </c>
      <c r="K140" s="744">
        <v>168</v>
      </c>
      <c r="L140" s="744" t="s">
        <v>2574</v>
      </c>
      <c r="M140" s="744" t="s">
        <v>606</v>
      </c>
      <c r="O140" t="s">
        <v>515</v>
      </c>
    </row>
    <row r="141" spans="2:15">
      <c r="B141" s="744" t="s">
        <v>2576</v>
      </c>
      <c r="C141" s="744" t="s">
        <v>2357</v>
      </c>
      <c r="D141" s="744" t="s">
        <v>515</v>
      </c>
      <c r="E141" s="744" t="s">
        <v>2495</v>
      </c>
      <c r="F141" s="746" t="s">
        <v>2577</v>
      </c>
      <c r="G141" s="747" t="s">
        <v>2360</v>
      </c>
      <c r="H141" s="747"/>
      <c r="I141" s="744">
        <v>3</v>
      </c>
      <c r="J141" s="744">
        <v>9</v>
      </c>
      <c r="K141" s="744">
        <v>34</v>
      </c>
      <c r="L141" s="744" t="s">
        <v>2576</v>
      </c>
      <c r="M141" s="744" t="s">
        <v>606</v>
      </c>
      <c r="O141" t="s">
        <v>515</v>
      </c>
    </row>
    <row r="142" spans="2:15">
      <c r="B142" s="744" t="s">
        <v>2578</v>
      </c>
      <c r="C142" s="744" t="s">
        <v>2357</v>
      </c>
      <c r="D142" s="744" t="s">
        <v>515</v>
      </c>
      <c r="E142" s="744" t="s">
        <v>2551</v>
      </c>
      <c r="F142" s="746" t="s">
        <v>2579</v>
      </c>
      <c r="G142" s="747" t="s">
        <v>2288</v>
      </c>
      <c r="H142" s="747"/>
      <c r="I142" s="744">
        <v>4</v>
      </c>
      <c r="J142" s="744">
        <v>26</v>
      </c>
      <c r="K142" s="744">
        <v>108</v>
      </c>
      <c r="L142" s="744" t="s">
        <v>2578</v>
      </c>
      <c r="M142" s="744" t="s">
        <v>606</v>
      </c>
      <c r="O142" t="s">
        <v>515</v>
      </c>
    </row>
    <row r="143" spans="2:15">
      <c r="B143" s="744" t="s">
        <v>2580</v>
      </c>
      <c r="C143" s="744" t="s">
        <v>2357</v>
      </c>
      <c r="D143" s="744" t="s">
        <v>515</v>
      </c>
      <c r="E143" s="744" t="s">
        <v>2554</v>
      </c>
      <c r="F143" s="746" t="s">
        <v>2581</v>
      </c>
      <c r="G143" s="747" t="s">
        <v>2288</v>
      </c>
      <c r="H143" s="747"/>
      <c r="I143" s="744">
        <v>4</v>
      </c>
      <c r="J143" s="744">
        <v>32</v>
      </c>
      <c r="K143" s="744">
        <v>152</v>
      </c>
      <c r="L143" s="744" t="s">
        <v>2580</v>
      </c>
      <c r="M143" s="744" t="s">
        <v>606</v>
      </c>
      <c r="O143" t="s">
        <v>515</v>
      </c>
    </row>
    <row r="144" spans="2:15">
      <c r="B144" s="744" t="s">
        <v>2582</v>
      </c>
      <c r="C144" s="744" t="s">
        <v>2357</v>
      </c>
      <c r="D144" s="744" t="s">
        <v>515</v>
      </c>
      <c r="E144" s="744" t="s">
        <v>2386</v>
      </c>
      <c r="F144" s="746" t="s">
        <v>2583</v>
      </c>
      <c r="G144" s="747" t="s">
        <v>2288</v>
      </c>
      <c r="H144" s="747"/>
      <c r="I144" s="744">
        <v>4</v>
      </c>
      <c r="J144" s="744">
        <v>42</v>
      </c>
      <c r="K144" s="744">
        <v>188</v>
      </c>
      <c r="L144" s="744" t="s">
        <v>2582</v>
      </c>
      <c r="M144" s="744" t="s">
        <v>606</v>
      </c>
      <c r="O144" t="s">
        <v>515</v>
      </c>
    </row>
    <row r="145" spans="2:15">
      <c r="B145" s="744" t="s">
        <v>2584</v>
      </c>
      <c r="C145" s="744" t="s">
        <v>2357</v>
      </c>
      <c r="D145" s="744" t="s">
        <v>515</v>
      </c>
      <c r="E145" s="744" t="s">
        <v>2403</v>
      </c>
      <c r="F145" s="746" t="s">
        <v>2585</v>
      </c>
      <c r="G145" s="747" t="s">
        <v>2360</v>
      </c>
      <c r="H145" s="747"/>
      <c r="I145" s="748">
        <v>4</v>
      </c>
      <c r="J145" s="744">
        <v>18</v>
      </c>
      <c r="K145" s="744">
        <v>90</v>
      </c>
      <c r="L145" s="744" t="s">
        <v>2584</v>
      </c>
      <c r="M145" s="744" t="s">
        <v>606</v>
      </c>
      <c r="O145" t="s">
        <v>515</v>
      </c>
    </row>
    <row r="146" spans="2:15">
      <c r="B146" s="744" t="s">
        <v>2586</v>
      </c>
      <c r="C146" s="744" t="s">
        <v>2357</v>
      </c>
      <c r="D146" s="744" t="s">
        <v>515</v>
      </c>
      <c r="E146" s="744" t="s">
        <v>2461</v>
      </c>
      <c r="F146" s="746" t="s">
        <v>2587</v>
      </c>
      <c r="G146" s="747" t="s">
        <v>2360</v>
      </c>
      <c r="H146" s="747"/>
      <c r="I146" s="744">
        <v>4</v>
      </c>
      <c r="J146" s="744">
        <v>22</v>
      </c>
      <c r="K146" s="744">
        <v>108</v>
      </c>
      <c r="L146" s="744" t="s">
        <v>2586</v>
      </c>
      <c r="M146" s="744" t="s">
        <v>606</v>
      </c>
      <c r="O146" t="s">
        <v>515</v>
      </c>
    </row>
    <row r="147" spans="2:15">
      <c r="B147" s="744" t="s">
        <v>2588</v>
      </c>
      <c r="C147" s="744" t="s">
        <v>2357</v>
      </c>
      <c r="D147" s="744" t="s">
        <v>515</v>
      </c>
      <c r="E147" s="744" t="s">
        <v>2473</v>
      </c>
      <c r="F147" s="746" t="s">
        <v>2589</v>
      </c>
      <c r="G147" s="747" t="s">
        <v>2288</v>
      </c>
      <c r="H147" s="747"/>
      <c r="I147" s="744">
        <v>4</v>
      </c>
      <c r="J147" s="744">
        <v>36</v>
      </c>
      <c r="K147" s="744">
        <v>148</v>
      </c>
      <c r="L147" s="744" t="s">
        <v>2588</v>
      </c>
      <c r="M147" s="744" t="s">
        <v>606</v>
      </c>
      <c r="O147" t="s">
        <v>515</v>
      </c>
    </row>
    <row r="148" spans="2:15">
      <c r="B148" s="744" t="s">
        <v>2590</v>
      </c>
      <c r="C148" s="744" t="s">
        <v>2357</v>
      </c>
      <c r="D148" s="744" t="s">
        <v>515</v>
      </c>
      <c r="E148" s="744" t="s">
        <v>2476</v>
      </c>
      <c r="F148" s="746" t="s">
        <v>2591</v>
      </c>
      <c r="G148" s="747" t="s">
        <v>2288</v>
      </c>
      <c r="H148" s="747"/>
      <c r="I148" s="744">
        <v>4</v>
      </c>
      <c r="J148" s="744">
        <v>40</v>
      </c>
      <c r="K148" s="744">
        <v>144</v>
      </c>
      <c r="L148" s="744" t="s">
        <v>2590</v>
      </c>
      <c r="M148" s="744" t="s">
        <v>606</v>
      </c>
      <c r="O148" t="s">
        <v>515</v>
      </c>
    </row>
    <row r="149" spans="2:15">
      <c r="B149" s="744" t="s">
        <v>2592</v>
      </c>
      <c r="C149" s="744" t="s">
        <v>2357</v>
      </c>
      <c r="D149" s="744" t="s">
        <v>515</v>
      </c>
      <c r="E149" s="744" t="s">
        <v>2486</v>
      </c>
      <c r="F149" s="746" t="s">
        <v>2593</v>
      </c>
      <c r="G149" s="747" t="s">
        <v>2288</v>
      </c>
      <c r="H149" s="747"/>
      <c r="I149" s="744">
        <v>4</v>
      </c>
      <c r="J149" s="744">
        <v>50</v>
      </c>
      <c r="K149" s="744">
        <v>216</v>
      </c>
      <c r="L149" s="744" t="s">
        <v>2592</v>
      </c>
      <c r="M149" s="744" t="s">
        <v>606</v>
      </c>
      <c r="O149" t="s">
        <v>515</v>
      </c>
    </row>
    <row r="150" spans="2:15">
      <c r="B150" s="744" t="s">
        <v>2594</v>
      </c>
      <c r="C150" s="744" t="s">
        <v>2357</v>
      </c>
      <c r="D150" s="744" t="s">
        <v>515</v>
      </c>
      <c r="E150" s="744" t="s">
        <v>2489</v>
      </c>
      <c r="F150" s="746" t="s">
        <v>2595</v>
      </c>
      <c r="G150" s="747" t="s">
        <v>2288</v>
      </c>
      <c r="H150" s="747"/>
      <c r="I150" s="744">
        <v>4</v>
      </c>
      <c r="J150" s="744">
        <v>55</v>
      </c>
      <c r="K150" s="744">
        <v>224</v>
      </c>
      <c r="L150" s="744" t="s">
        <v>2594</v>
      </c>
      <c r="M150" s="744" t="s">
        <v>606</v>
      </c>
      <c r="O150" t="s">
        <v>515</v>
      </c>
    </row>
    <row r="151" spans="2:15">
      <c r="B151" s="744" t="s">
        <v>2596</v>
      </c>
      <c r="C151" s="744" t="s">
        <v>2357</v>
      </c>
      <c r="D151" s="744" t="s">
        <v>515</v>
      </c>
      <c r="E151" s="744" t="s">
        <v>2476</v>
      </c>
      <c r="F151" s="746" t="s">
        <v>2597</v>
      </c>
      <c r="G151" s="747" t="s">
        <v>2288</v>
      </c>
      <c r="H151" s="747"/>
      <c r="I151" s="744">
        <v>5</v>
      </c>
      <c r="J151" s="744">
        <v>40</v>
      </c>
      <c r="K151" s="744">
        <v>190</v>
      </c>
      <c r="L151" s="744" t="s">
        <v>2596</v>
      </c>
      <c r="M151" s="744" t="s">
        <v>606</v>
      </c>
      <c r="O151" t="s">
        <v>515</v>
      </c>
    </row>
    <row r="152" spans="2:15">
      <c r="B152" s="744" t="s">
        <v>2598</v>
      </c>
      <c r="C152" s="744" t="s">
        <v>2357</v>
      </c>
      <c r="D152" s="744" t="s">
        <v>515</v>
      </c>
      <c r="E152" s="744" t="s">
        <v>2486</v>
      </c>
      <c r="F152" s="746" t="s">
        <v>2599</v>
      </c>
      <c r="G152" s="747" t="s">
        <v>2288</v>
      </c>
      <c r="H152" s="747"/>
      <c r="I152" s="744">
        <v>5</v>
      </c>
      <c r="J152" s="744">
        <v>50</v>
      </c>
      <c r="K152" s="744">
        <v>270</v>
      </c>
      <c r="L152" s="744" t="s">
        <v>2598</v>
      </c>
      <c r="M152" s="744" t="s">
        <v>606</v>
      </c>
      <c r="O152" t="s">
        <v>515</v>
      </c>
    </row>
    <row r="153" spans="2:15">
      <c r="B153" s="744" t="s">
        <v>2600</v>
      </c>
      <c r="C153" s="744" t="s">
        <v>2357</v>
      </c>
      <c r="D153" s="744" t="s">
        <v>515</v>
      </c>
      <c r="E153" s="744" t="s">
        <v>2489</v>
      </c>
      <c r="F153" s="746" t="s">
        <v>2601</v>
      </c>
      <c r="G153" s="747" t="s">
        <v>2288</v>
      </c>
      <c r="H153" s="747"/>
      <c r="I153" s="744">
        <v>5</v>
      </c>
      <c r="J153" s="744">
        <v>55</v>
      </c>
      <c r="K153" s="744">
        <v>280</v>
      </c>
      <c r="L153" s="744" t="s">
        <v>2600</v>
      </c>
      <c r="M153" s="744" t="s">
        <v>606</v>
      </c>
      <c r="O153" t="s">
        <v>515</v>
      </c>
    </row>
    <row r="154" spans="2:15">
      <c r="B154" s="744" t="s">
        <v>2602</v>
      </c>
      <c r="C154" s="744" t="s">
        <v>2357</v>
      </c>
      <c r="D154" s="744" t="s">
        <v>515</v>
      </c>
      <c r="E154" s="744" t="s">
        <v>2551</v>
      </c>
      <c r="F154" s="746" t="s">
        <v>2603</v>
      </c>
      <c r="G154" s="747" t="s">
        <v>2288</v>
      </c>
      <c r="H154" s="747"/>
      <c r="I154" s="744">
        <v>6</v>
      </c>
      <c r="J154" s="744">
        <v>26</v>
      </c>
      <c r="K154" s="744">
        <v>162</v>
      </c>
      <c r="L154" s="744" t="s">
        <v>2602</v>
      </c>
      <c r="M154" s="744" t="s">
        <v>606</v>
      </c>
      <c r="O154" t="s">
        <v>515</v>
      </c>
    </row>
    <row r="155" spans="2:15">
      <c r="B155" s="744" t="s">
        <v>2604</v>
      </c>
      <c r="C155" s="744" t="s">
        <v>2357</v>
      </c>
      <c r="D155" s="744" t="s">
        <v>515</v>
      </c>
      <c r="E155" s="744" t="s">
        <v>2554</v>
      </c>
      <c r="F155" s="746" t="s">
        <v>2605</v>
      </c>
      <c r="G155" s="747" t="s">
        <v>2288</v>
      </c>
      <c r="H155" s="747"/>
      <c r="I155" s="744">
        <v>6</v>
      </c>
      <c r="J155" s="744">
        <v>32</v>
      </c>
      <c r="K155" s="744">
        <v>228</v>
      </c>
      <c r="L155" s="744" t="s">
        <v>2604</v>
      </c>
      <c r="M155" s="744" t="s">
        <v>606</v>
      </c>
      <c r="O155" t="s">
        <v>515</v>
      </c>
    </row>
    <row r="156" spans="2:15">
      <c r="B156" s="744" t="s">
        <v>2606</v>
      </c>
      <c r="C156" s="744" t="s">
        <v>2357</v>
      </c>
      <c r="D156" s="744" t="s">
        <v>515</v>
      </c>
      <c r="E156" s="744" t="s">
        <v>2386</v>
      </c>
      <c r="F156" s="746" t="s">
        <v>2607</v>
      </c>
      <c r="G156" s="747" t="s">
        <v>2288</v>
      </c>
      <c r="H156" s="747"/>
      <c r="I156" s="744">
        <v>6</v>
      </c>
      <c r="J156" s="744">
        <v>42</v>
      </c>
      <c r="K156" s="744">
        <v>282</v>
      </c>
      <c r="L156" s="744" t="s">
        <v>2606</v>
      </c>
      <c r="M156" s="744" t="s">
        <v>606</v>
      </c>
      <c r="O156" t="s">
        <v>515</v>
      </c>
    </row>
    <row r="157" spans="2:15">
      <c r="B157" s="744" t="s">
        <v>2608</v>
      </c>
      <c r="C157" s="744" t="s">
        <v>2357</v>
      </c>
      <c r="D157" s="744" t="s">
        <v>515</v>
      </c>
      <c r="E157" s="744" t="s">
        <v>2417</v>
      </c>
      <c r="F157" s="746" t="s">
        <v>2609</v>
      </c>
      <c r="G157" s="747" t="s">
        <v>2288</v>
      </c>
      <c r="H157" s="747"/>
      <c r="I157" s="744">
        <v>6</v>
      </c>
      <c r="J157" s="744">
        <v>26</v>
      </c>
      <c r="K157" s="744">
        <v>150</v>
      </c>
      <c r="L157" s="744" t="s">
        <v>2608</v>
      </c>
      <c r="M157" s="744" t="s">
        <v>606</v>
      </c>
      <c r="O157" t="s">
        <v>515</v>
      </c>
    </row>
    <row r="158" spans="2:15">
      <c r="B158" s="744" t="s">
        <v>2610</v>
      </c>
      <c r="C158" s="744" t="s">
        <v>2357</v>
      </c>
      <c r="D158" s="744" t="s">
        <v>515</v>
      </c>
      <c r="E158" s="744" t="s">
        <v>2470</v>
      </c>
      <c r="F158" s="746" t="s">
        <v>2611</v>
      </c>
      <c r="G158" s="747" t="s">
        <v>2288</v>
      </c>
      <c r="H158" s="747"/>
      <c r="I158" s="744">
        <v>6</v>
      </c>
      <c r="J158" s="744">
        <v>32</v>
      </c>
      <c r="K158" s="744">
        <v>186</v>
      </c>
      <c r="L158" s="744" t="s">
        <v>2610</v>
      </c>
      <c r="M158" s="744" t="s">
        <v>606</v>
      </c>
      <c r="O158" t="s">
        <v>515</v>
      </c>
    </row>
    <row r="159" spans="2:15">
      <c r="B159" s="744" t="s">
        <v>2612</v>
      </c>
      <c r="C159" s="744" t="s">
        <v>2357</v>
      </c>
      <c r="D159" s="744" t="s">
        <v>515</v>
      </c>
      <c r="E159" s="744" t="s">
        <v>2473</v>
      </c>
      <c r="F159" s="746" t="s">
        <v>2613</v>
      </c>
      <c r="G159" s="747" t="s">
        <v>2288</v>
      </c>
      <c r="H159" s="747"/>
      <c r="I159" s="744">
        <v>6</v>
      </c>
      <c r="J159" s="744">
        <v>36</v>
      </c>
      <c r="K159" s="744">
        <v>212</v>
      </c>
      <c r="L159" s="744" t="s">
        <v>2612</v>
      </c>
      <c r="M159" s="744" t="s">
        <v>606</v>
      </c>
      <c r="O159" t="s">
        <v>515</v>
      </c>
    </row>
    <row r="160" spans="2:15">
      <c r="B160" s="744" t="s">
        <v>2614</v>
      </c>
      <c r="C160" s="744" t="s">
        <v>2357</v>
      </c>
      <c r="D160" s="744" t="s">
        <v>515</v>
      </c>
      <c r="E160" s="744" t="s">
        <v>2473</v>
      </c>
      <c r="F160" s="746" t="s">
        <v>2615</v>
      </c>
      <c r="G160" s="747" t="s">
        <v>2288</v>
      </c>
      <c r="H160" s="747"/>
      <c r="I160" s="744">
        <v>6</v>
      </c>
      <c r="J160" s="744">
        <v>36</v>
      </c>
      <c r="K160" s="744">
        <v>198</v>
      </c>
      <c r="L160" s="744" t="s">
        <v>2614</v>
      </c>
      <c r="M160" s="744" t="s">
        <v>606</v>
      </c>
      <c r="O160" t="s">
        <v>515</v>
      </c>
    </row>
    <row r="161" spans="2:15">
      <c r="B161" s="744" t="s">
        <v>2616</v>
      </c>
      <c r="C161" s="744" t="s">
        <v>2357</v>
      </c>
      <c r="D161" s="744" t="s">
        <v>515</v>
      </c>
      <c r="E161" s="744" t="s">
        <v>2473</v>
      </c>
      <c r="F161" s="746" t="s">
        <v>2617</v>
      </c>
      <c r="G161" s="747" t="s">
        <v>2288</v>
      </c>
      <c r="H161" s="747"/>
      <c r="I161" s="744">
        <v>6</v>
      </c>
      <c r="J161" s="744">
        <v>36</v>
      </c>
      <c r="K161" s="744">
        <v>210</v>
      </c>
      <c r="L161" s="744" t="s">
        <v>2618</v>
      </c>
      <c r="M161" s="744" t="s">
        <v>606</v>
      </c>
      <c r="O161" t="s">
        <v>515</v>
      </c>
    </row>
    <row r="162" spans="2:15">
      <c r="B162" s="744" t="s">
        <v>2619</v>
      </c>
      <c r="C162" s="744" t="s">
        <v>2357</v>
      </c>
      <c r="D162" s="744" t="s">
        <v>515</v>
      </c>
      <c r="E162" s="744" t="s">
        <v>2476</v>
      </c>
      <c r="F162" s="746" t="s">
        <v>2620</v>
      </c>
      <c r="G162" s="747" t="s">
        <v>2288</v>
      </c>
      <c r="H162" s="747"/>
      <c r="I162" s="744">
        <v>6</v>
      </c>
      <c r="J162" s="744">
        <v>40</v>
      </c>
      <c r="K162" s="744">
        <v>204</v>
      </c>
      <c r="L162" s="744" t="s">
        <v>2619</v>
      </c>
      <c r="M162" s="744" t="s">
        <v>606</v>
      </c>
      <c r="O162" t="s">
        <v>515</v>
      </c>
    </row>
    <row r="163" spans="2:15">
      <c r="B163" s="744" t="s">
        <v>2621</v>
      </c>
      <c r="C163" s="744" t="s">
        <v>2357</v>
      </c>
      <c r="D163" s="744" t="s">
        <v>515</v>
      </c>
      <c r="E163" s="744" t="s">
        <v>2476</v>
      </c>
      <c r="F163" s="746" t="s">
        <v>2622</v>
      </c>
      <c r="G163" s="747" t="s">
        <v>2288</v>
      </c>
      <c r="H163" s="747"/>
      <c r="I163" s="744">
        <v>6</v>
      </c>
      <c r="J163" s="744">
        <v>40</v>
      </c>
      <c r="K163" s="744">
        <v>220</v>
      </c>
      <c r="L163" s="744" t="s">
        <v>2621</v>
      </c>
      <c r="M163" s="744" t="s">
        <v>606</v>
      </c>
      <c r="O163" t="s">
        <v>515</v>
      </c>
    </row>
    <row r="164" spans="2:15">
      <c r="B164" s="744" t="s">
        <v>2623</v>
      </c>
      <c r="C164" s="744" t="s">
        <v>2357</v>
      </c>
      <c r="D164" s="744" t="s">
        <v>515</v>
      </c>
      <c r="E164" s="744" t="s">
        <v>2476</v>
      </c>
      <c r="F164" s="746" t="s">
        <v>2624</v>
      </c>
      <c r="G164" s="747" t="s">
        <v>2288</v>
      </c>
      <c r="H164" s="747"/>
      <c r="I164" s="744">
        <v>6</v>
      </c>
      <c r="J164" s="744">
        <v>40</v>
      </c>
      <c r="K164" s="744">
        <v>233</v>
      </c>
      <c r="L164" s="744" t="s">
        <v>2625</v>
      </c>
      <c r="M164" s="744" t="s">
        <v>606</v>
      </c>
      <c r="O164" t="s">
        <v>515</v>
      </c>
    </row>
    <row r="165" spans="2:15">
      <c r="B165" s="744" t="s">
        <v>2626</v>
      </c>
      <c r="C165" s="744" t="s">
        <v>2357</v>
      </c>
      <c r="D165" s="744" t="s">
        <v>515</v>
      </c>
      <c r="E165" s="744" t="s">
        <v>2486</v>
      </c>
      <c r="F165" s="746" t="s">
        <v>2627</v>
      </c>
      <c r="G165" s="747" t="s">
        <v>2288</v>
      </c>
      <c r="H165" s="747"/>
      <c r="I165" s="744">
        <v>6</v>
      </c>
      <c r="J165" s="744">
        <v>50</v>
      </c>
      <c r="K165" s="744">
        <v>324</v>
      </c>
      <c r="L165" s="744" t="s">
        <v>2626</v>
      </c>
      <c r="M165" s="744" t="s">
        <v>606</v>
      </c>
      <c r="O165" t="s">
        <v>515</v>
      </c>
    </row>
    <row r="166" spans="2:15">
      <c r="B166" s="744" t="s">
        <v>2628</v>
      </c>
      <c r="C166" s="744" t="s">
        <v>2357</v>
      </c>
      <c r="D166" s="744" t="s">
        <v>515</v>
      </c>
      <c r="E166" s="744" t="s">
        <v>2489</v>
      </c>
      <c r="F166" s="746" t="s">
        <v>2629</v>
      </c>
      <c r="G166" s="747" t="s">
        <v>2288</v>
      </c>
      <c r="H166" s="747"/>
      <c r="I166" s="744">
        <v>6</v>
      </c>
      <c r="J166" s="744">
        <v>55</v>
      </c>
      <c r="K166" s="744">
        <v>336</v>
      </c>
      <c r="L166" s="744" t="s">
        <v>2628</v>
      </c>
      <c r="M166" s="744" t="s">
        <v>606</v>
      </c>
      <c r="O166" t="s">
        <v>515</v>
      </c>
    </row>
    <row r="167" spans="2:15">
      <c r="B167" s="744" t="s">
        <v>2630</v>
      </c>
      <c r="C167" s="744" t="s">
        <v>2357</v>
      </c>
      <c r="D167" s="744" t="s">
        <v>515</v>
      </c>
      <c r="E167" s="744" t="s">
        <v>2489</v>
      </c>
      <c r="F167" s="746" t="s">
        <v>2631</v>
      </c>
      <c r="G167" s="747" t="s">
        <v>2288</v>
      </c>
      <c r="H167" s="747"/>
      <c r="I167" s="744">
        <v>6</v>
      </c>
      <c r="J167" s="744">
        <v>55</v>
      </c>
      <c r="K167" s="744">
        <v>352</v>
      </c>
      <c r="L167" s="744" t="s">
        <v>2630</v>
      </c>
      <c r="M167" s="744" t="s">
        <v>606</v>
      </c>
      <c r="O167" t="s">
        <v>515</v>
      </c>
    </row>
    <row r="168" spans="2:15">
      <c r="B168" s="744" t="s">
        <v>2632</v>
      </c>
      <c r="C168" s="744" t="s">
        <v>2357</v>
      </c>
      <c r="D168" s="744" t="s">
        <v>515</v>
      </c>
      <c r="E168" s="744" t="s">
        <v>2489</v>
      </c>
      <c r="F168" s="746" t="s">
        <v>2633</v>
      </c>
      <c r="G168" s="747" t="s">
        <v>2288</v>
      </c>
      <c r="H168" s="747"/>
      <c r="I168" s="744">
        <v>6</v>
      </c>
      <c r="J168" s="744">
        <v>55</v>
      </c>
      <c r="K168" s="744">
        <v>373</v>
      </c>
      <c r="L168" s="744" t="s">
        <v>2634</v>
      </c>
      <c r="M168" s="744" t="s">
        <v>606</v>
      </c>
      <c r="O168" t="s">
        <v>515</v>
      </c>
    </row>
    <row r="169" spans="2:15">
      <c r="B169" s="744" t="s">
        <v>2635</v>
      </c>
      <c r="C169" s="744" t="s">
        <v>2357</v>
      </c>
      <c r="D169" s="744" t="s">
        <v>515</v>
      </c>
      <c r="E169" s="744" t="s">
        <v>2551</v>
      </c>
      <c r="F169" s="746" t="s">
        <v>2636</v>
      </c>
      <c r="G169" s="747" t="s">
        <v>2288</v>
      </c>
      <c r="H169" s="747"/>
      <c r="I169" s="744">
        <v>8</v>
      </c>
      <c r="J169" s="744">
        <v>26</v>
      </c>
      <c r="K169" s="744">
        <v>216</v>
      </c>
      <c r="L169" s="744" t="s">
        <v>2635</v>
      </c>
      <c r="M169" s="744" t="s">
        <v>606</v>
      </c>
      <c r="O169" t="s">
        <v>515</v>
      </c>
    </row>
    <row r="170" spans="2:15">
      <c r="B170" s="744" t="s">
        <v>2637</v>
      </c>
      <c r="C170" s="744" t="s">
        <v>2357</v>
      </c>
      <c r="D170" s="744" t="s">
        <v>515</v>
      </c>
      <c r="E170" s="744" t="s">
        <v>2554</v>
      </c>
      <c r="F170" s="746" t="s">
        <v>2638</v>
      </c>
      <c r="G170" s="747" t="s">
        <v>2288</v>
      </c>
      <c r="H170" s="747"/>
      <c r="I170" s="744">
        <v>8</v>
      </c>
      <c r="J170" s="744">
        <v>32</v>
      </c>
      <c r="K170" s="744">
        <v>304</v>
      </c>
      <c r="L170" s="744" t="s">
        <v>2637</v>
      </c>
      <c r="M170" s="744" t="s">
        <v>606</v>
      </c>
      <c r="O170" t="s">
        <v>515</v>
      </c>
    </row>
    <row r="171" spans="2:15">
      <c r="B171" s="744" t="s">
        <v>2639</v>
      </c>
      <c r="C171" s="744" t="s">
        <v>2357</v>
      </c>
      <c r="D171" s="744" t="s">
        <v>515</v>
      </c>
      <c r="E171" s="744" t="s">
        <v>2386</v>
      </c>
      <c r="F171" s="746" t="s">
        <v>2640</v>
      </c>
      <c r="G171" s="747" t="s">
        <v>2288</v>
      </c>
      <c r="H171" s="747"/>
      <c r="I171" s="744">
        <v>8</v>
      </c>
      <c r="J171" s="744">
        <v>42</v>
      </c>
      <c r="K171" s="744">
        <v>376</v>
      </c>
      <c r="L171" s="744" t="s">
        <v>2639</v>
      </c>
      <c r="M171" s="744" t="s">
        <v>606</v>
      </c>
      <c r="O171" t="s">
        <v>515</v>
      </c>
    </row>
    <row r="172" spans="2:15">
      <c r="B172" s="744" t="s">
        <v>2641</v>
      </c>
      <c r="C172" s="744" t="s">
        <v>2357</v>
      </c>
      <c r="D172" s="744" t="s">
        <v>515</v>
      </c>
      <c r="E172" s="744" t="s">
        <v>2473</v>
      </c>
      <c r="F172" s="746" t="s">
        <v>2642</v>
      </c>
      <c r="G172" s="747" t="s">
        <v>2288</v>
      </c>
      <c r="H172" s="747"/>
      <c r="I172" s="744">
        <v>8</v>
      </c>
      <c r="J172" s="744">
        <v>36</v>
      </c>
      <c r="K172" s="744">
        <v>296</v>
      </c>
      <c r="L172" s="744" t="s">
        <v>2641</v>
      </c>
      <c r="M172" s="744" t="s">
        <v>606</v>
      </c>
      <c r="O172" t="s">
        <v>515</v>
      </c>
    </row>
    <row r="173" spans="2:15">
      <c r="B173" s="744" t="s">
        <v>2643</v>
      </c>
      <c r="C173" s="744" t="s">
        <v>2357</v>
      </c>
      <c r="D173" s="744" t="s">
        <v>515</v>
      </c>
      <c r="E173" s="744" t="s">
        <v>2473</v>
      </c>
      <c r="F173" s="746" t="s">
        <v>2644</v>
      </c>
      <c r="G173" s="747" t="s">
        <v>2288</v>
      </c>
      <c r="H173" s="747"/>
      <c r="I173" s="744">
        <v>8</v>
      </c>
      <c r="J173" s="744">
        <v>36</v>
      </c>
      <c r="K173" s="744">
        <v>270</v>
      </c>
      <c r="L173" s="744" t="s">
        <v>2643</v>
      </c>
      <c r="M173" s="744" t="s">
        <v>606</v>
      </c>
      <c r="O173" t="s">
        <v>515</v>
      </c>
    </row>
    <row r="174" spans="2:15">
      <c r="B174" s="744" t="s">
        <v>2645</v>
      </c>
      <c r="C174" s="744" t="s">
        <v>2357</v>
      </c>
      <c r="D174" s="744" t="s">
        <v>515</v>
      </c>
      <c r="E174" s="744" t="s">
        <v>2473</v>
      </c>
      <c r="F174" s="746" t="s">
        <v>2646</v>
      </c>
      <c r="G174" s="747" t="s">
        <v>2288</v>
      </c>
      <c r="H174" s="747"/>
      <c r="I174" s="744">
        <v>8</v>
      </c>
      <c r="J174" s="744">
        <v>36</v>
      </c>
      <c r="K174" s="744">
        <v>286</v>
      </c>
      <c r="L174" s="744" t="s">
        <v>2647</v>
      </c>
      <c r="M174" s="744" t="s">
        <v>606</v>
      </c>
      <c r="O174" t="s">
        <v>515</v>
      </c>
    </row>
    <row r="175" spans="2:15">
      <c r="B175" s="744" t="s">
        <v>2648</v>
      </c>
      <c r="C175" s="744" t="s">
        <v>2357</v>
      </c>
      <c r="D175" s="744" t="s">
        <v>515</v>
      </c>
      <c r="E175" s="744" t="s">
        <v>2476</v>
      </c>
      <c r="F175" s="746" t="s">
        <v>2649</v>
      </c>
      <c r="G175" s="747" t="s">
        <v>2288</v>
      </c>
      <c r="H175" s="747"/>
      <c r="I175" s="744">
        <v>8</v>
      </c>
      <c r="J175" s="744">
        <v>40</v>
      </c>
      <c r="K175" s="744">
        <v>288</v>
      </c>
      <c r="L175" s="744" t="s">
        <v>2648</v>
      </c>
      <c r="M175" s="744" t="s">
        <v>606</v>
      </c>
      <c r="O175" t="s">
        <v>515</v>
      </c>
    </row>
    <row r="176" spans="2:15">
      <c r="B176" s="744" t="s">
        <v>2650</v>
      </c>
      <c r="C176" s="744" t="s">
        <v>2357</v>
      </c>
      <c r="D176" s="744" t="s">
        <v>515</v>
      </c>
      <c r="E176" s="744" t="s">
        <v>2476</v>
      </c>
      <c r="F176" s="746" t="s">
        <v>2651</v>
      </c>
      <c r="G176" s="747" t="s">
        <v>2288</v>
      </c>
      <c r="H176" s="747"/>
      <c r="I176" s="744">
        <v>8</v>
      </c>
      <c r="J176" s="744">
        <v>40</v>
      </c>
      <c r="K176" s="744">
        <v>300</v>
      </c>
      <c r="L176" s="744" t="s">
        <v>2650</v>
      </c>
      <c r="M176" s="744" t="s">
        <v>606</v>
      </c>
      <c r="O176" t="s">
        <v>515</v>
      </c>
    </row>
    <row r="177" spans="2:15">
      <c r="B177" s="744" t="s">
        <v>2652</v>
      </c>
      <c r="C177" s="744" t="s">
        <v>2357</v>
      </c>
      <c r="D177" s="744" t="s">
        <v>515</v>
      </c>
      <c r="E177" s="744" t="s">
        <v>2476</v>
      </c>
      <c r="F177" s="746" t="s">
        <v>2653</v>
      </c>
      <c r="G177" s="747" t="s">
        <v>2288</v>
      </c>
      <c r="H177" s="747"/>
      <c r="I177" s="744">
        <v>8</v>
      </c>
      <c r="J177" s="744">
        <v>40</v>
      </c>
      <c r="K177" s="744">
        <v>340</v>
      </c>
      <c r="L177" s="744" t="s">
        <v>2654</v>
      </c>
      <c r="M177" s="744" t="s">
        <v>606</v>
      </c>
      <c r="O177" t="s">
        <v>515</v>
      </c>
    </row>
    <row r="178" spans="2:15">
      <c r="B178" s="744" t="s">
        <v>2655</v>
      </c>
      <c r="C178" s="744" t="s">
        <v>2357</v>
      </c>
      <c r="D178" s="744" t="s">
        <v>515</v>
      </c>
      <c r="E178" s="744" t="s">
        <v>2486</v>
      </c>
      <c r="F178" s="746" t="s">
        <v>2656</v>
      </c>
      <c r="G178" s="747" t="s">
        <v>2288</v>
      </c>
      <c r="H178" s="747"/>
      <c r="I178" s="744">
        <v>8</v>
      </c>
      <c r="J178" s="744">
        <v>50</v>
      </c>
      <c r="K178" s="744">
        <v>432</v>
      </c>
      <c r="L178" s="744" t="s">
        <v>2655</v>
      </c>
      <c r="M178" s="744" t="s">
        <v>606</v>
      </c>
      <c r="O178" t="s">
        <v>515</v>
      </c>
    </row>
    <row r="179" spans="2:15">
      <c r="B179" s="744" t="s">
        <v>2657</v>
      </c>
      <c r="C179" s="744" t="s">
        <v>2357</v>
      </c>
      <c r="D179" s="744" t="s">
        <v>515</v>
      </c>
      <c r="E179" s="744" t="s">
        <v>2489</v>
      </c>
      <c r="F179" s="746" t="s">
        <v>2658</v>
      </c>
      <c r="G179" s="747" t="s">
        <v>2288</v>
      </c>
      <c r="H179" s="747"/>
      <c r="I179" s="744">
        <v>8</v>
      </c>
      <c r="J179" s="744">
        <v>55</v>
      </c>
      <c r="K179" s="744">
        <v>448</v>
      </c>
      <c r="L179" s="744" t="s">
        <v>2657</v>
      </c>
      <c r="M179" s="744" t="s">
        <v>606</v>
      </c>
      <c r="O179" t="s">
        <v>515</v>
      </c>
    </row>
    <row r="180" spans="2:15">
      <c r="B180" s="744" t="s">
        <v>2659</v>
      </c>
      <c r="C180" s="744" t="s">
        <v>2357</v>
      </c>
      <c r="D180" s="744" t="s">
        <v>515</v>
      </c>
      <c r="E180" s="744" t="s">
        <v>2489</v>
      </c>
      <c r="F180" s="746" t="s">
        <v>2660</v>
      </c>
      <c r="G180" s="747" t="s">
        <v>2288</v>
      </c>
      <c r="H180" s="747"/>
      <c r="I180" s="744">
        <v>8</v>
      </c>
      <c r="J180" s="744">
        <v>55</v>
      </c>
      <c r="K180" s="744">
        <v>468</v>
      </c>
      <c r="L180" s="744" t="s">
        <v>2659</v>
      </c>
      <c r="M180" s="744" t="s">
        <v>606</v>
      </c>
      <c r="O180" t="s">
        <v>515</v>
      </c>
    </row>
    <row r="181" spans="2:15">
      <c r="B181" s="744" t="s">
        <v>2661</v>
      </c>
      <c r="C181" s="744" t="s">
        <v>2357</v>
      </c>
      <c r="D181" s="744" t="s">
        <v>515</v>
      </c>
      <c r="E181" s="744" t="s">
        <v>2489</v>
      </c>
      <c r="F181" s="746" t="s">
        <v>2662</v>
      </c>
      <c r="G181" s="747" t="s">
        <v>2288</v>
      </c>
      <c r="H181" s="747"/>
      <c r="I181" s="744">
        <v>8</v>
      </c>
      <c r="J181" s="744">
        <v>55</v>
      </c>
      <c r="K181" s="744">
        <v>496</v>
      </c>
      <c r="L181" s="744" t="s">
        <v>2663</v>
      </c>
      <c r="M181" s="744" t="s">
        <v>606</v>
      </c>
      <c r="O181" t="s">
        <v>515</v>
      </c>
    </row>
    <row r="182" spans="2:15">
      <c r="B182" s="744" t="s">
        <v>2664</v>
      </c>
      <c r="C182" s="744" t="s">
        <v>2357</v>
      </c>
      <c r="D182" s="744" t="s">
        <v>515</v>
      </c>
      <c r="E182" s="744" t="s">
        <v>2473</v>
      </c>
      <c r="F182" s="746" t="s">
        <v>2665</v>
      </c>
      <c r="G182" s="747" t="s">
        <v>2288</v>
      </c>
      <c r="H182" s="747"/>
      <c r="I182" s="744">
        <v>9</v>
      </c>
      <c r="J182" s="744">
        <v>36</v>
      </c>
      <c r="K182" s="744">
        <v>318</v>
      </c>
      <c r="L182" s="744" t="s">
        <v>2664</v>
      </c>
      <c r="M182" s="744" t="s">
        <v>606</v>
      </c>
      <c r="O182" t="s">
        <v>515</v>
      </c>
    </row>
    <row r="183" spans="2:15">
      <c r="B183" s="744" t="s">
        <v>2666</v>
      </c>
      <c r="C183" s="744" t="s">
        <v>2357</v>
      </c>
      <c r="D183" s="744" t="s">
        <v>515</v>
      </c>
      <c r="E183" s="744" t="s">
        <v>2476</v>
      </c>
      <c r="F183" s="746" t="s">
        <v>2667</v>
      </c>
      <c r="G183" s="747" t="s">
        <v>2288</v>
      </c>
      <c r="H183" s="747"/>
      <c r="I183" s="744">
        <v>9</v>
      </c>
      <c r="J183" s="744">
        <v>40</v>
      </c>
      <c r="K183" s="744">
        <v>306</v>
      </c>
      <c r="L183" s="744" t="s">
        <v>2666</v>
      </c>
      <c r="M183" s="744" t="s">
        <v>606</v>
      </c>
      <c r="O183" t="s">
        <v>515</v>
      </c>
    </row>
    <row r="184" spans="2:15">
      <c r="B184" s="744" t="s">
        <v>2668</v>
      </c>
      <c r="C184" s="744" t="s">
        <v>2357</v>
      </c>
      <c r="D184" s="744" t="s">
        <v>515</v>
      </c>
      <c r="E184" s="744" t="s">
        <v>2486</v>
      </c>
      <c r="F184" s="746" t="s">
        <v>2669</v>
      </c>
      <c r="G184" s="747" t="s">
        <v>2288</v>
      </c>
      <c r="H184" s="747"/>
      <c r="I184" s="744">
        <v>9</v>
      </c>
      <c r="J184" s="744">
        <v>50</v>
      </c>
      <c r="K184" s="744">
        <v>486</v>
      </c>
      <c r="L184" s="744" t="s">
        <v>2668</v>
      </c>
      <c r="M184" s="744" t="s">
        <v>606</v>
      </c>
      <c r="O184" t="s">
        <v>515</v>
      </c>
    </row>
    <row r="185" spans="2:15">
      <c r="B185" s="744" t="s">
        <v>2670</v>
      </c>
      <c r="C185" s="744" t="s">
        <v>2357</v>
      </c>
      <c r="D185" s="744" t="s">
        <v>515</v>
      </c>
      <c r="E185" s="744" t="s">
        <v>2489</v>
      </c>
      <c r="F185" s="746" t="s">
        <v>2671</v>
      </c>
      <c r="G185" s="747" t="s">
        <v>2288</v>
      </c>
      <c r="H185" s="747"/>
      <c r="I185" s="744">
        <v>9</v>
      </c>
      <c r="J185" s="744">
        <v>55</v>
      </c>
      <c r="K185" s="744">
        <v>504</v>
      </c>
      <c r="L185" s="744" t="s">
        <v>2670</v>
      </c>
      <c r="M185" s="744" t="s">
        <v>606</v>
      </c>
      <c r="O185" t="s">
        <v>515</v>
      </c>
    </row>
    <row r="186" spans="2:15">
      <c r="B186" s="744" t="s">
        <v>2672</v>
      </c>
      <c r="C186" s="744" t="s">
        <v>2357</v>
      </c>
      <c r="D186" s="744" t="s">
        <v>515</v>
      </c>
      <c r="E186" s="744" t="s">
        <v>2476</v>
      </c>
      <c r="F186" s="746" t="s">
        <v>2673</v>
      </c>
      <c r="G186" s="747" t="s">
        <v>2288</v>
      </c>
      <c r="H186" s="747"/>
      <c r="I186" s="744">
        <v>12</v>
      </c>
      <c r="J186" s="744">
        <v>40</v>
      </c>
      <c r="K186" s="744">
        <v>408</v>
      </c>
      <c r="L186" s="744" t="s">
        <v>2672</v>
      </c>
      <c r="M186" s="744" t="s">
        <v>606</v>
      </c>
      <c r="O186" t="s">
        <v>515</v>
      </c>
    </row>
    <row r="187" spans="2:15">
      <c r="B187" s="744" t="s">
        <v>2674</v>
      </c>
      <c r="C187" s="744" t="s">
        <v>2357</v>
      </c>
      <c r="D187" s="744" t="s">
        <v>515</v>
      </c>
      <c r="E187" s="744" t="s">
        <v>2486</v>
      </c>
      <c r="F187" s="746" t="s">
        <v>2675</v>
      </c>
      <c r="G187" s="747" t="s">
        <v>2288</v>
      </c>
      <c r="H187" s="747"/>
      <c r="I187" s="744">
        <v>12</v>
      </c>
      <c r="J187" s="744">
        <v>50</v>
      </c>
      <c r="K187" s="744">
        <v>648</v>
      </c>
      <c r="L187" s="744" t="s">
        <v>2674</v>
      </c>
      <c r="M187" s="744" t="s">
        <v>606</v>
      </c>
      <c r="O187" t="s">
        <v>515</v>
      </c>
    </row>
    <row r="188" spans="2:15">
      <c r="B188" s="744" t="s">
        <v>2676</v>
      </c>
      <c r="C188" s="744" t="s">
        <v>2357</v>
      </c>
      <c r="D188" s="744" t="s">
        <v>515</v>
      </c>
      <c r="E188" s="744" t="s">
        <v>2489</v>
      </c>
      <c r="F188" s="746" t="s">
        <v>2677</v>
      </c>
      <c r="G188" s="747" t="s">
        <v>2288</v>
      </c>
      <c r="H188" s="747"/>
      <c r="I188" s="744">
        <v>12</v>
      </c>
      <c r="J188" s="744">
        <v>55</v>
      </c>
      <c r="K188" s="744">
        <v>672</v>
      </c>
      <c r="L188" s="744" t="s">
        <v>2676</v>
      </c>
      <c r="M188" s="744" t="s">
        <v>606</v>
      </c>
      <c r="O188" t="s">
        <v>515</v>
      </c>
    </row>
    <row r="189" spans="2:15">
      <c r="B189" s="744" t="s">
        <v>2678</v>
      </c>
      <c r="C189" s="744" t="s">
        <v>2357</v>
      </c>
      <c r="D189" s="744" t="s">
        <v>2679</v>
      </c>
      <c r="E189" s="744" t="s">
        <v>2680</v>
      </c>
      <c r="F189" s="746" t="s">
        <v>2681</v>
      </c>
      <c r="G189" s="747" t="s">
        <v>2288</v>
      </c>
      <c r="H189" s="747"/>
      <c r="I189" s="744">
        <v>1</v>
      </c>
      <c r="J189" s="744">
        <v>7</v>
      </c>
      <c r="K189" s="744">
        <v>7</v>
      </c>
      <c r="L189" s="744" t="s">
        <v>2678</v>
      </c>
      <c r="M189" s="744" t="s">
        <v>605</v>
      </c>
      <c r="O189" t="s">
        <v>521</v>
      </c>
    </row>
    <row r="190" spans="2:15">
      <c r="B190" s="744" t="s">
        <v>2682</v>
      </c>
      <c r="C190" s="744" t="s">
        <v>2357</v>
      </c>
      <c r="D190" s="744" t="s">
        <v>2679</v>
      </c>
      <c r="E190" s="744" t="s">
        <v>2683</v>
      </c>
      <c r="F190" s="746" t="s">
        <v>2684</v>
      </c>
      <c r="G190" s="747" t="s">
        <v>2288</v>
      </c>
      <c r="H190" s="747"/>
      <c r="I190" s="744">
        <v>1</v>
      </c>
      <c r="J190" s="744">
        <v>9</v>
      </c>
      <c r="K190" s="744">
        <v>9</v>
      </c>
      <c r="L190" s="744" t="s">
        <v>2682</v>
      </c>
      <c r="M190" s="744" t="s">
        <v>605</v>
      </c>
      <c r="O190" t="s">
        <v>521</v>
      </c>
    </row>
    <row r="191" spans="2:15">
      <c r="B191" s="744" t="s">
        <v>2685</v>
      </c>
      <c r="C191" s="744" t="s">
        <v>2357</v>
      </c>
      <c r="D191" s="744" t="s">
        <v>2679</v>
      </c>
      <c r="E191" s="744" t="s">
        <v>2686</v>
      </c>
      <c r="F191" s="746" t="s">
        <v>2687</v>
      </c>
      <c r="G191" s="747" t="s">
        <v>2288</v>
      </c>
      <c r="H191" s="747"/>
      <c r="I191" s="744">
        <v>1</v>
      </c>
      <c r="J191" s="744">
        <v>11</v>
      </c>
      <c r="K191" s="744">
        <v>11</v>
      </c>
      <c r="L191" s="744" t="s">
        <v>2685</v>
      </c>
      <c r="M191" s="744" t="s">
        <v>605</v>
      </c>
      <c r="O191" t="s">
        <v>521</v>
      </c>
    </row>
    <row r="192" spans="2:15">
      <c r="B192" s="744" t="s">
        <v>2688</v>
      </c>
      <c r="C192" s="744" t="s">
        <v>2357</v>
      </c>
      <c r="D192" s="744" t="s">
        <v>2679</v>
      </c>
      <c r="E192" s="744" t="s">
        <v>2689</v>
      </c>
      <c r="F192" s="746" t="s">
        <v>2690</v>
      </c>
      <c r="G192" s="747" t="s">
        <v>2288</v>
      </c>
      <c r="H192" s="747"/>
      <c r="I192" s="744">
        <v>1</v>
      </c>
      <c r="J192" s="744">
        <v>12</v>
      </c>
      <c r="K192" s="744">
        <v>12</v>
      </c>
      <c r="L192" s="744" t="s">
        <v>2688</v>
      </c>
      <c r="M192" s="744" t="s">
        <v>605</v>
      </c>
      <c r="O192" t="s">
        <v>521</v>
      </c>
    </row>
    <row r="193" spans="2:15">
      <c r="B193" s="744" t="s">
        <v>2691</v>
      </c>
      <c r="C193" s="744" t="s">
        <v>2357</v>
      </c>
      <c r="D193" s="744" t="s">
        <v>2679</v>
      </c>
      <c r="E193" s="744" t="s">
        <v>2692</v>
      </c>
      <c r="F193" s="746" t="s">
        <v>2693</v>
      </c>
      <c r="G193" s="747" t="s">
        <v>2288</v>
      </c>
      <c r="H193" s="747"/>
      <c r="I193" s="744">
        <v>1</v>
      </c>
      <c r="J193" s="744">
        <v>13</v>
      </c>
      <c r="K193" s="744">
        <v>13</v>
      </c>
      <c r="L193" s="744" t="s">
        <v>2691</v>
      </c>
      <c r="M193" s="744" t="s">
        <v>605</v>
      </c>
      <c r="O193" t="s">
        <v>521</v>
      </c>
    </row>
    <row r="194" spans="2:15">
      <c r="B194" s="744" t="s">
        <v>2694</v>
      </c>
      <c r="C194" s="744" t="s">
        <v>2357</v>
      </c>
      <c r="D194" s="744" t="s">
        <v>2679</v>
      </c>
      <c r="E194" s="744" t="s">
        <v>2695</v>
      </c>
      <c r="F194" s="746" t="s">
        <v>2696</v>
      </c>
      <c r="G194" s="747" t="s">
        <v>2288</v>
      </c>
      <c r="H194" s="747"/>
      <c r="I194" s="744">
        <v>1</v>
      </c>
      <c r="J194" s="744">
        <v>14</v>
      </c>
      <c r="K194" s="744">
        <v>14</v>
      </c>
      <c r="L194" s="744" t="s">
        <v>2694</v>
      </c>
      <c r="M194" s="744" t="s">
        <v>605</v>
      </c>
      <c r="O194" t="s">
        <v>521</v>
      </c>
    </row>
    <row r="195" spans="2:15">
      <c r="B195" s="744" t="s">
        <v>2697</v>
      </c>
      <c r="C195" s="744" t="s">
        <v>2357</v>
      </c>
      <c r="D195" s="744" t="s">
        <v>2679</v>
      </c>
      <c r="E195" s="744" t="s">
        <v>2698</v>
      </c>
      <c r="F195" s="746" t="s">
        <v>2699</v>
      </c>
      <c r="G195" s="747" t="s">
        <v>2288</v>
      </c>
      <c r="H195" s="747"/>
      <c r="I195" s="744">
        <v>1</v>
      </c>
      <c r="J195" s="744">
        <v>15</v>
      </c>
      <c r="K195" s="744">
        <v>15</v>
      </c>
      <c r="L195" s="744" t="s">
        <v>2697</v>
      </c>
      <c r="M195" s="744" t="s">
        <v>605</v>
      </c>
      <c r="O195" t="s">
        <v>521</v>
      </c>
    </row>
    <row r="196" spans="2:15">
      <c r="B196" s="744" t="s">
        <v>2700</v>
      </c>
      <c r="C196" s="744" t="s">
        <v>2357</v>
      </c>
      <c r="D196" s="744" t="s">
        <v>2679</v>
      </c>
      <c r="E196" s="744" t="s">
        <v>2701</v>
      </c>
      <c r="F196" s="746" t="s">
        <v>2702</v>
      </c>
      <c r="G196" s="747" t="s">
        <v>2288</v>
      </c>
      <c r="H196" s="747"/>
      <c r="I196" s="744">
        <v>1</v>
      </c>
      <c r="J196" s="744">
        <v>16</v>
      </c>
      <c r="K196" s="744">
        <v>16</v>
      </c>
      <c r="L196" s="744" t="s">
        <v>2700</v>
      </c>
      <c r="M196" s="744" t="s">
        <v>605</v>
      </c>
      <c r="O196" t="s">
        <v>521</v>
      </c>
    </row>
    <row r="197" spans="2:15">
      <c r="B197" s="744" t="s">
        <v>2703</v>
      </c>
      <c r="C197" s="744" t="s">
        <v>2357</v>
      </c>
      <c r="D197" s="744" t="s">
        <v>2679</v>
      </c>
      <c r="E197" s="744" t="s">
        <v>2704</v>
      </c>
      <c r="F197" s="746" t="s">
        <v>2705</v>
      </c>
      <c r="G197" s="747" t="s">
        <v>2288</v>
      </c>
      <c r="H197" s="747"/>
      <c r="I197" s="744">
        <v>1</v>
      </c>
      <c r="J197" s="744">
        <v>17</v>
      </c>
      <c r="K197" s="744">
        <v>17</v>
      </c>
      <c r="L197" s="744" t="s">
        <v>2703</v>
      </c>
      <c r="M197" s="744" t="s">
        <v>605</v>
      </c>
      <c r="O197" t="s">
        <v>521</v>
      </c>
    </row>
    <row r="198" spans="2:15">
      <c r="B198" s="744" t="s">
        <v>2706</v>
      </c>
      <c r="C198" s="744" t="s">
        <v>2357</v>
      </c>
      <c r="D198" s="744" t="s">
        <v>2679</v>
      </c>
      <c r="E198" s="744" t="s">
        <v>2707</v>
      </c>
      <c r="F198" s="746" t="s">
        <v>2708</v>
      </c>
      <c r="G198" s="747" t="s">
        <v>2288</v>
      </c>
      <c r="H198" s="747"/>
      <c r="I198" s="744">
        <v>1</v>
      </c>
      <c r="J198" s="744">
        <v>18</v>
      </c>
      <c r="K198" s="744">
        <v>18</v>
      </c>
      <c r="L198" s="744" t="s">
        <v>2706</v>
      </c>
      <c r="M198" s="744" t="s">
        <v>605</v>
      </c>
      <c r="O198" t="s">
        <v>521</v>
      </c>
    </row>
    <row r="199" spans="2:15">
      <c r="B199" s="744" t="s">
        <v>2709</v>
      </c>
      <c r="C199" s="744" t="s">
        <v>2357</v>
      </c>
      <c r="D199" s="744" t="s">
        <v>2679</v>
      </c>
      <c r="E199" s="744" t="s">
        <v>2710</v>
      </c>
      <c r="F199" s="746" t="s">
        <v>2711</v>
      </c>
      <c r="G199" s="747" t="s">
        <v>2288</v>
      </c>
      <c r="H199" s="747"/>
      <c r="I199" s="744">
        <v>1</v>
      </c>
      <c r="J199" s="744">
        <v>20</v>
      </c>
      <c r="K199" s="744">
        <v>20</v>
      </c>
      <c r="L199" s="744" t="s">
        <v>2709</v>
      </c>
      <c r="M199" s="744" t="s">
        <v>605</v>
      </c>
      <c r="O199" t="s">
        <v>521</v>
      </c>
    </row>
    <row r="200" spans="2:15">
      <c r="B200" s="744" t="s">
        <v>2712</v>
      </c>
      <c r="C200" s="744" t="s">
        <v>2357</v>
      </c>
      <c r="D200" s="744" t="s">
        <v>2679</v>
      </c>
      <c r="E200" s="744" t="s">
        <v>2713</v>
      </c>
      <c r="F200" s="746" t="s">
        <v>2714</v>
      </c>
      <c r="G200" s="747" t="s">
        <v>2288</v>
      </c>
      <c r="H200" s="747"/>
      <c r="I200" s="744">
        <v>1</v>
      </c>
      <c r="J200" s="744">
        <v>23</v>
      </c>
      <c r="K200" s="744">
        <v>23</v>
      </c>
      <c r="L200" s="744" t="s">
        <v>2712</v>
      </c>
      <c r="M200" s="744" t="s">
        <v>605</v>
      </c>
      <c r="O200" t="s">
        <v>521</v>
      </c>
    </row>
    <row r="201" spans="2:15">
      <c r="B201" s="744" t="s">
        <v>2715</v>
      </c>
      <c r="C201" s="744" t="s">
        <v>2357</v>
      </c>
      <c r="D201" s="744" t="s">
        <v>2679</v>
      </c>
      <c r="E201" s="744" t="s">
        <v>2716</v>
      </c>
      <c r="F201" s="746" t="s">
        <v>2717</v>
      </c>
      <c r="G201" s="747" t="s">
        <v>2288</v>
      </c>
      <c r="H201" s="747"/>
      <c r="I201" s="744">
        <v>1</v>
      </c>
      <c r="J201" s="744">
        <v>26</v>
      </c>
      <c r="K201" s="744">
        <v>26</v>
      </c>
      <c r="L201" s="744" t="s">
        <v>2715</v>
      </c>
      <c r="M201" s="744" t="s">
        <v>605</v>
      </c>
      <c r="O201" t="s">
        <v>521</v>
      </c>
    </row>
    <row r="202" spans="2:15">
      <c r="B202" s="744" t="s">
        <v>2718</v>
      </c>
      <c r="C202" s="744" t="s">
        <v>2357</v>
      </c>
      <c r="D202" s="744" t="s">
        <v>2679</v>
      </c>
      <c r="E202" s="744" t="s">
        <v>2719</v>
      </c>
      <c r="F202" s="746" t="s">
        <v>2720</v>
      </c>
      <c r="G202" s="747" t="s">
        <v>2288</v>
      </c>
      <c r="H202" s="747"/>
      <c r="I202" s="744">
        <v>1</v>
      </c>
      <c r="J202" s="744">
        <v>30</v>
      </c>
      <c r="K202" s="744">
        <v>30</v>
      </c>
      <c r="L202" s="744" t="s">
        <v>2718</v>
      </c>
      <c r="M202" s="744" t="s">
        <v>605</v>
      </c>
      <c r="O202" t="s">
        <v>521</v>
      </c>
    </row>
    <row r="203" spans="2:15">
      <c r="B203" s="744" t="s">
        <v>2721</v>
      </c>
      <c r="C203" s="744" t="s">
        <v>2357</v>
      </c>
      <c r="D203" s="744" t="s">
        <v>523</v>
      </c>
      <c r="E203" s="744" t="s">
        <v>2722</v>
      </c>
      <c r="F203" s="746" t="s">
        <v>2723</v>
      </c>
      <c r="G203" s="747" t="s">
        <v>2288</v>
      </c>
      <c r="H203" s="747"/>
      <c r="I203" s="744">
        <v>1</v>
      </c>
      <c r="J203" s="744">
        <v>1.5</v>
      </c>
      <c r="K203" s="744">
        <v>1.5</v>
      </c>
      <c r="L203" s="744" t="s">
        <v>2721</v>
      </c>
      <c r="M203" s="744" t="s">
        <v>605</v>
      </c>
      <c r="O203" t="s">
        <v>521</v>
      </c>
    </row>
    <row r="204" spans="2:15">
      <c r="B204" s="744" t="s">
        <v>2724</v>
      </c>
      <c r="C204" s="744" t="s">
        <v>2357</v>
      </c>
      <c r="D204" s="744" t="s">
        <v>523</v>
      </c>
      <c r="E204" s="744" t="s">
        <v>2725</v>
      </c>
      <c r="F204" s="746" t="s">
        <v>2726</v>
      </c>
      <c r="G204" s="747" t="s">
        <v>2288</v>
      </c>
      <c r="H204" s="747"/>
      <c r="I204" s="744">
        <v>1</v>
      </c>
      <c r="J204" s="744">
        <v>3</v>
      </c>
      <c r="K204" s="744">
        <v>3</v>
      </c>
      <c r="L204" s="744" t="s">
        <v>2724</v>
      </c>
      <c r="M204" s="744" t="s">
        <v>605</v>
      </c>
      <c r="O204" t="s">
        <v>521</v>
      </c>
    </row>
    <row r="205" spans="2:15">
      <c r="B205" s="744" t="s">
        <v>2727</v>
      </c>
      <c r="C205" s="744" t="s">
        <v>2357</v>
      </c>
      <c r="D205" s="744" t="s">
        <v>523</v>
      </c>
      <c r="E205" s="744" t="s">
        <v>2728</v>
      </c>
      <c r="F205" s="746" t="s">
        <v>2729</v>
      </c>
      <c r="G205" s="747" t="s">
        <v>2288</v>
      </c>
      <c r="H205" s="747"/>
      <c r="I205" s="744">
        <v>1</v>
      </c>
      <c r="J205" s="744">
        <v>5</v>
      </c>
      <c r="K205" s="744">
        <v>5</v>
      </c>
      <c r="L205" s="744" t="s">
        <v>2727</v>
      </c>
      <c r="M205" s="744" t="s">
        <v>605</v>
      </c>
      <c r="O205" t="s">
        <v>521</v>
      </c>
    </row>
    <row r="206" spans="2:15">
      <c r="B206" s="744" t="s">
        <v>2730</v>
      </c>
      <c r="C206" s="744" t="s">
        <v>2357</v>
      </c>
      <c r="D206" s="744" t="s">
        <v>523</v>
      </c>
      <c r="E206" s="744" t="s">
        <v>2731</v>
      </c>
      <c r="F206" s="746" t="s">
        <v>2732</v>
      </c>
      <c r="G206" s="747" t="s">
        <v>2288</v>
      </c>
      <c r="H206" s="747"/>
      <c r="I206" s="744">
        <v>1</v>
      </c>
      <c r="J206" s="744">
        <v>8</v>
      </c>
      <c r="K206" s="744">
        <v>8</v>
      </c>
      <c r="L206" s="744" t="s">
        <v>2730</v>
      </c>
      <c r="M206" s="744" t="s">
        <v>605</v>
      </c>
      <c r="O206" t="s">
        <v>521</v>
      </c>
    </row>
    <row r="207" spans="2:15">
      <c r="B207" s="744" t="s">
        <v>2733</v>
      </c>
      <c r="C207" s="744" t="s">
        <v>2734</v>
      </c>
      <c r="D207" s="744" t="s">
        <v>532</v>
      </c>
      <c r="E207" s="744" t="s">
        <v>2735</v>
      </c>
      <c r="F207" s="746" t="s">
        <v>2736</v>
      </c>
      <c r="G207" s="747" t="s">
        <v>2360</v>
      </c>
      <c r="H207" s="747">
        <f t="shared" ref="H207:H270" si="4">MID(B207,2,1)*12</f>
        <v>12</v>
      </c>
      <c r="I207" s="744">
        <v>1</v>
      </c>
      <c r="J207" s="744">
        <v>15</v>
      </c>
      <c r="K207" s="744">
        <v>19</v>
      </c>
      <c r="L207" s="744" t="s">
        <v>2733</v>
      </c>
      <c r="M207" s="744" t="s">
        <v>606</v>
      </c>
      <c r="O207" t="s">
        <v>532</v>
      </c>
    </row>
    <row r="208" spans="2:15">
      <c r="B208" s="744" t="s">
        <v>2737</v>
      </c>
      <c r="C208" s="744" t="s">
        <v>2734</v>
      </c>
      <c r="D208" s="744" t="s">
        <v>532</v>
      </c>
      <c r="E208" s="744" t="s">
        <v>2735</v>
      </c>
      <c r="F208" s="746" t="s">
        <v>2738</v>
      </c>
      <c r="G208" s="747" t="s">
        <v>2360</v>
      </c>
      <c r="H208" s="747">
        <f t="shared" si="4"/>
        <v>12</v>
      </c>
      <c r="I208" s="744">
        <v>2</v>
      </c>
      <c r="J208" s="744">
        <v>15</v>
      </c>
      <c r="K208" s="744">
        <v>36</v>
      </c>
      <c r="L208" s="744" t="s">
        <v>2737</v>
      </c>
      <c r="M208" s="744" t="s">
        <v>606</v>
      </c>
      <c r="O208" t="s">
        <v>532</v>
      </c>
    </row>
    <row r="209" spans="2:15">
      <c r="B209" s="744" t="s">
        <v>2739</v>
      </c>
      <c r="C209" s="744" t="s">
        <v>2734</v>
      </c>
      <c r="D209" s="744" t="s">
        <v>532</v>
      </c>
      <c r="E209" s="744" t="s">
        <v>2740</v>
      </c>
      <c r="F209" s="746" t="s">
        <v>2741</v>
      </c>
      <c r="G209" s="747" t="s">
        <v>2288</v>
      </c>
      <c r="H209" s="747">
        <f t="shared" si="4"/>
        <v>24</v>
      </c>
      <c r="I209" s="744">
        <v>1</v>
      </c>
      <c r="J209" s="744">
        <v>17</v>
      </c>
      <c r="K209" s="744">
        <v>20</v>
      </c>
      <c r="L209" s="744" t="s">
        <v>2739</v>
      </c>
      <c r="M209" s="744" t="s">
        <v>606</v>
      </c>
      <c r="O209" t="s">
        <v>532</v>
      </c>
    </row>
    <row r="210" spans="2:15">
      <c r="B210" s="744" t="s">
        <v>2742</v>
      </c>
      <c r="C210" s="744" t="s">
        <v>2734</v>
      </c>
      <c r="D210" s="744" t="s">
        <v>532</v>
      </c>
      <c r="E210" s="744" t="s">
        <v>2740</v>
      </c>
      <c r="F210" s="746" t="s">
        <v>2743</v>
      </c>
      <c r="G210" s="747" t="s">
        <v>2288</v>
      </c>
      <c r="H210" s="747">
        <f t="shared" si="4"/>
        <v>24</v>
      </c>
      <c r="I210" s="744">
        <v>1</v>
      </c>
      <c r="J210" s="744">
        <v>17</v>
      </c>
      <c r="K210" s="744">
        <v>17</v>
      </c>
      <c r="L210" s="744" t="s">
        <v>2742</v>
      </c>
      <c r="M210" s="744" t="s">
        <v>606</v>
      </c>
      <c r="O210" t="s">
        <v>532</v>
      </c>
    </row>
    <row r="211" spans="2:15">
      <c r="B211" s="744" t="s">
        <v>2744</v>
      </c>
      <c r="C211" s="744" t="s">
        <v>2734</v>
      </c>
      <c r="D211" s="744" t="s">
        <v>532</v>
      </c>
      <c r="E211" s="744" t="s">
        <v>2740</v>
      </c>
      <c r="F211" s="746" t="s">
        <v>2745</v>
      </c>
      <c r="G211" s="747" t="s">
        <v>2288</v>
      </c>
      <c r="H211" s="747">
        <f t="shared" si="4"/>
        <v>24</v>
      </c>
      <c r="I211" s="744">
        <v>1</v>
      </c>
      <c r="J211" s="744">
        <v>17</v>
      </c>
      <c r="K211" s="744">
        <v>15</v>
      </c>
      <c r="L211" s="744" t="s">
        <v>2744</v>
      </c>
      <c r="M211" s="744" t="s">
        <v>606</v>
      </c>
      <c r="O211" t="s">
        <v>532</v>
      </c>
    </row>
    <row r="212" spans="2:15">
      <c r="B212" s="744" t="s">
        <v>2746</v>
      </c>
      <c r="C212" s="744" t="s">
        <v>2734</v>
      </c>
      <c r="D212" s="744" t="s">
        <v>532</v>
      </c>
      <c r="E212" s="744" t="s">
        <v>2740</v>
      </c>
      <c r="F212" s="746" t="s">
        <v>2747</v>
      </c>
      <c r="G212" s="747" t="s">
        <v>2288</v>
      </c>
      <c r="H212" s="747">
        <f t="shared" si="4"/>
        <v>24</v>
      </c>
      <c r="I212" s="744">
        <v>1</v>
      </c>
      <c r="J212" s="744">
        <v>17</v>
      </c>
      <c r="K212" s="744">
        <v>16</v>
      </c>
      <c r="L212" s="744" t="s">
        <v>2746</v>
      </c>
      <c r="M212" s="744" t="s">
        <v>606</v>
      </c>
      <c r="O212" t="s">
        <v>532</v>
      </c>
    </row>
    <row r="213" spans="2:15">
      <c r="B213" s="744" t="s">
        <v>2748</v>
      </c>
      <c r="C213" s="744" t="s">
        <v>2734</v>
      </c>
      <c r="D213" s="744" t="s">
        <v>532</v>
      </c>
      <c r="E213" s="744" t="s">
        <v>2740</v>
      </c>
      <c r="F213" s="746" t="s">
        <v>2749</v>
      </c>
      <c r="G213" s="747" t="s">
        <v>2288</v>
      </c>
      <c r="H213" s="747">
        <f t="shared" si="4"/>
        <v>24</v>
      </c>
      <c r="I213" s="744">
        <v>1</v>
      </c>
      <c r="J213" s="744">
        <v>17</v>
      </c>
      <c r="K213" s="744">
        <v>14</v>
      </c>
      <c r="L213" s="744" t="s">
        <v>2748</v>
      </c>
      <c r="M213" s="744" t="s">
        <v>606</v>
      </c>
      <c r="O213" t="s">
        <v>532</v>
      </c>
    </row>
    <row r="214" spans="2:15">
      <c r="B214" s="744" t="s">
        <v>2750</v>
      </c>
      <c r="C214" s="744" t="s">
        <v>2734</v>
      </c>
      <c r="D214" s="744" t="s">
        <v>532</v>
      </c>
      <c r="E214" s="744" t="s">
        <v>2740</v>
      </c>
      <c r="F214" s="746" t="s">
        <v>2751</v>
      </c>
      <c r="G214" s="747" t="s">
        <v>2288</v>
      </c>
      <c r="H214" s="747">
        <f t="shared" si="4"/>
        <v>24</v>
      </c>
      <c r="I214" s="744">
        <v>1</v>
      </c>
      <c r="J214" s="744">
        <v>17</v>
      </c>
      <c r="K214" s="744">
        <v>15</v>
      </c>
      <c r="L214" s="744" t="s">
        <v>2750</v>
      </c>
      <c r="M214" s="744" t="s">
        <v>606</v>
      </c>
      <c r="O214" t="s">
        <v>532</v>
      </c>
    </row>
    <row r="215" spans="2:15">
      <c r="B215" s="744" t="s">
        <v>2752</v>
      </c>
      <c r="C215" s="744" t="s">
        <v>2734</v>
      </c>
      <c r="D215" s="744" t="s">
        <v>532</v>
      </c>
      <c r="E215" s="744" t="s">
        <v>2740</v>
      </c>
      <c r="F215" s="746" t="s">
        <v>2753</v>
      </c>
      <c r="G215" s="747" t="s">
        <v>2288</v>
      </c>
      <c r="H215" s="747">
        <f t="shared" si="4"/>
        <v>24</v>
      </c>
      <c r="I215" s="744">
        <v>1</v>
      </c>
      <c r="J215" s="744">
        <v>17</v>
      </c>
      <c r="K215" s="744">
        <v>14</v>
      </c>
      <c r="L215" s="744" t="s">
        <v>2752</v>
      </c>
      <c r="M215" s="744" t="s">
        <v>606</v>
      </c>
      <c r="O215" t="s">
        <v>532</v>
      </c>
    </row>
    <row r="216" spans="2:15">
      <c r="B216" s="744" t="s">
        <v>2754</v>
      </c>
      <c r="C216" s="744" t="s">
        <v>2734</v>
      </c>
      <c r="D216" s="744" t="s">
        <v>532</v>
      </c>
      <c r="E216" s="744" t="s">
        <v>2740</v>
      </c>
      <c r="F216" s="746" t="s">
        <v>2755</v>
      </c>
      <c r="G216" s="747" t="s">
        <v>2288</v>
      </c>
      <c r="H216" s="747">
        <f t="shared" si="4"/>
        <v>24</v>
      </c>
      <c r="I216" s="744">
        <v>1</v>
      </c>
      <c r="J216" s="744">
        <v>17</v>
      </c>
      <c r="K216" s="744">
        <v>16</v>
      </c>
      <c r="L216" s="744" t="s">
        <v>2754</v>
      </c>
      <c r="M216" s="744" t="s">
        <v>606</v>
      </c>
      <c r="O216" t="s">
        <v>532</v>
      </c>
    </row>
    <row r="217" spans="2:15">
      <c r="B217" s="744" t="s">
        <v>2756</v>
      </c>
      <c r="C217" s="744" t="s">
        <v>2734</v>
      </c>
      <c r="D217" s="744" t="s">
        <v>532</v>
      </c>
      <c r="E217" s="744" t="s">
        <v>2740</v>
      </c>
      <c r="F217" s="746" t="s">
        <v>2757</v>
      </c>
      <c r="G217" s="747" t="s">
        <v>2288</v>
      </c>
      <c r="H217" s="747">
        <f t="shared" si="4"/>
        <v>24</v>
      </c>
      <c r="I217" s="744">
        <v>1</v>
      </c>
      <c r="J217" s="744">
        <v>17</v>
      </c>
      <c r="K217" s="744">
        <v>16</v>
      </c>
      <c r="L217" s="744" t="s">
        <v>2756</v>
      </c>
      <c r="M217" s="744" t="s">
        <v>606</v>
      </c>
      <c r="O217" t="s">
        <v>532</v>
      </c>
    </row>
    <row r="218" spans="2:15">
      <c r="B218" s="744" t="s">
        <v>2758</v>
      </c>
      <c r="C218" s="744" t="s">
        <v>2734</v>
      </c>
      <c r="D218" s="744" t="s">
        <v>532</v>
      </c>
      <c r="E218" s="744" t="s">
        <v>2740</v>
      </c>
      <c r="F218" s="746" t="s">
        <v>2759</v>
      </c>
      <c r="G218" s="747" t="s">
        <v>2288</v>
      </c>
      <c r="H218" s="747">
        <f t="shared" si="4"/>
        <v>24</v>
      </c>
      <c r="I218" s="744">
        <v>1</v>
      </c>
      <c r="J218" s="744">
        <v>17</v>
      </c>
      <c r="K218" s="744">
        <v>17</v>
      </c>
      <c r="L218" s="744" t="s">
        <v>2758</v>
      </c>
      <c r="M218" s="744" t="s">
        <v>606</v>
      </c>
      <c r="O218" t="s">
        <v>532</v>
      </c>
    </row>
    <row r="219" spans="2:15">
      <c r="B219" s="744" t="s">
        <v>2760</v>
      </c>
      <c r="C219" s="744" t="s">
        <v>2734</v>
      </c>
      <c r="D219" s="744" t="s">
        <v>532</v>
      </c>
      <c r="E219" s="744" t="s">
        <v>2740</v>
      </c>
      <c r="F219" s="746" t="s">
        <v>2761</v>
      </c>
      <c r="G219" s="747" t="s">
        <v>2288</v>
      </c>
      <c r="H219" s="747">
        <f t="shared" si="4"/>
        <v>24</v>
      </c>
      <c r="I219" s="744">
        <v>1</v>
      </c>
      <c r="J219" s="744">
        <v>17</v>
      </c>
      <c r="K219" s="744">
        <v>17</v>
      </c>
      <c r="L219" s="744" t="s">
        <v>2760</v>
      </c>
      <c r="M219" s="744" t="s">
        <v>606</v>
      </c>
      <c r="O219" t="s">
        <v>532</v>
      </c>
    </row>
    <row r="220" spans="2:15">
      <c r="B220" s="744" t="s">
        <v>2762</v>
      </c>
      <c r="C220" s="744" t="s">
        <v>2734</v>
      </c>
      <c r="D220" s="744" t="s">
        <v>532</v>
      </c>
      <c r="E220" s="744" t="s">
        <v>2740</v>
      </c>
      <c r="F220" s="746" t="s">
        <v>2763</v>
      </c>
      <c r="G220" s="747" t="s">
        <v>2288</v>
      </c>
      <c r="H220" s="747">
        <f t="shared" si="4"/>
        <v>24</v>
      </c>
      <c r="I220" s="744">
        <v>1</v>
      </c>
      <c r="J220" s="744">
        <v>17</v>
      </c>
      <c r="K220" s="744">
        <v>15</v>
      </c>
      <c r="L220" s="744" t="s">
        <v>2762</v>
      </c>
      <c r="M220" s="744" t="s">
        <v>606</v>
      </c>
      <c r="O220" t="s">
        <v>532</v>
      </c>
    </row>
    <row r="221" spans="2:15">
      <c r="B221" s="744" t="s">
        <v>2764</v>
      </c>
      <c r="C221" s="744" t="s">
        <v>2734</v>
      </c>
      <c r="D221" s="744" t="s">
        <v>532</v>
      </c>
      <c r="E221" s="744" t="s">
        <v>2740</v>
      </c>
      <c r="F221" s="746" t="s">
        <v>2765</v>
      </c>
      <c r="G221" s="747" t="s">
        <v>2360</v>
      </c>
      <c r="H221" s="747">
        <f t="shared" si="4"/>
        <v>24</v>
      </c>
      <c r="I221" s="744">
        <v>1</v>
      </c>
      <c r="J221" s="744">
        <v>17</v>
      </c>
      <c r="K221" s="744">
        <v>24</v>
      </c>
      <c r="L221" s="744" t="s">
        <v>2764</v>
      </c>
      <c r="M221" s="744" t="s">
        <v>606</v>
      </c>
      <c r="O221" t="s">
        <v>532</v>
      </c>
    </row>
    <row r="222" spans="2:15">
      <c r="B222" s="744" t="s">
        <v>2766</v>
      </c>
      <c r="C222" s="744" t="s">
        <v>2734</v>
      </c>
      <c r="D222" s="744" t="s">
        <v>532</v>
      </c>
      <c r="E222" s="744" t="s">
        <v>2740</v>
      </c>
      <c r="F222" s="746" t="s">
        <v>2767</v>
      </c>
      <c r="G222" s="747" t="s">
        <v>2768</v>
      </c>
      <c r="H222" s="747">
        <f t="shared" si="4"/>
        <v>24</v>
      </c>
      <c r="I222" s="744">
        <v>2</v>
      </c>
      <c r="J222" s="744">
        <v>17</v>
      </c>
      <c r="K222" s="744">
        <v>45</v>
      </c>
      <c r="L222" s="744" t="s">
        <v>2766</v>
      </c>
      <c r="M222" s="744" t="s">
        <v>606</v>
      </c>
      <c r="O222" t="s">
        <v>532</v>
      </c>
    </row>
    <row r="223" spans="2:15">
      <c r="B223" s="744" t="s">
        <v>2769</v>
      </c>
      <c r="C223" s="744" t="s">
        <v>2734</v>
      </c>
      <c r="D223" s="744" t="s">
        <v>532</v>
      </c>
      <c r="E223" s="744" t="s">
        <v>2740</v>
      </c>
      <c r="F223" s="746" t="s">
        <v>2770</v>
      </c>
      <c r="G223" s="747" t="s">
        <v>2288</v>
      </c>
      <c r="H223" s="747">
        <f t="shared" si="4"/>
        <v>24</v>
      </c>
      <c r="I223" s="744">
        <v>2</v>
      </c>
      <c r="J223" s="744">
        <v>17</v>
      </c>
      <c r="K223" s="744">
        <v>33</v>
      </c>
      <c r="L223" s="744" t="s">
        <v>2769</v>
      </c>
      <c r="M223" s="744" t="s">
        <v>606</v>
      </c>
      <c r="O223" t="s">
        <v>532</v>
      </c>
    </row>
    <row r="224" spans="2:15">
      <c r="B224" s="744" t="s">
        <v>2771</v>
      </c>
      <c r="C224" s="744" t="s">
        <v>2734</v>
      </c>
      <c r="D224" s="744" t="s">
        <v>532</v>
      </c>
      <c r="E224" s="744" t="s">
        <v>2740</v>
      </c>
      <c r="F224" s="746" t="s">
        <v>2772</v>
      </c>
      <c r="G224" s="747" t="s">
        <v>2288</v>
      </c>
      <c r="H224" s="747">
        <f t="shared" si="4"/>
        <v>24</v>
      </c>
      <c r="I224" s="744">
        <v>2</v>
      </c>
      <c r="J224" s="744">
        <v>17</v>
      </c>
      <c r="K224" s="744">
        <v>31</v>
      </c>
      <c r="L224" s="744" t="s">
        <v>2771</v>
      </c>
      <c r="M224" s="744" t="s">
        <v>606</v>
      </c>
      <c r="O224" t="s">
        <v>532</v>
      </c>
    </row>
    <row r="225" spans="2:15">
      <c r="B225" s="744" t="s">
        <v>2773</v>
      </c>
      <c r="C225" s="744" t="s">
        <v>2734</v>
      </c>
      <c r="D225" s="744" t="s">
        <v>532</v>
      </c>
      <c r="E225" s="744" t="s">
        <v>2740</v>
      </c>
      <c r="F225" s="746" t="s">
        <v>2774</v>
      </c>
      <c r="G225" s="747" t="s">
        <v>2288</v>
      </c>
      <c r="H225" s="747">
        <f t="shared" si="4"/>
        <v>24</v>
      </c>
      <c r="I225" s="744">
        <v>2</v>
      </c>
      <c r="J225" s="744">
        <v>17</v>
      </c>
      <c r="K225" s="744">
        <v>28</v>
      </c>
      <c r="L225" s="744" t="s">
        <v>2773</v>
      </c>
      <c r="M225" s="744" t="s">
        <v>606</v>
      </c>
      <c r="O225" t="s">
        <v>532</v>
      </c>
    </row>
    <row r="226" spans="2:15">
      <c r="B226" s="744" t="s">
        <v>2775</v>
      </c>
      <c r="C226" s="744" t="s">
        <v>2734</v>
      </c>
      <c r="D226" s="744" t="s">
        <v>532</v>
      </c>
      <c r="E226" s="744" t="s">
        <v>2740</v>
      </c>
      <c r="F226" s="746" t="s">
        <v>2776</v>
      </c>
      <c r="G226" s="747" t="s">
        <v>2288</v>
      </c>
      <c r="H226" s="747">
        <f t="shared" si="4"/>
        <v>24</v>
      </c>
      <c r="I226" s="744">
        <v>2</v>
      </c>
      <c r="J226" s="744">
        <v>17</v>
      </c>
      <c r="K226" s="744">
        <v>29</v>
      </c>
      <c r="L226" s="744" t="s">
        <v>2775</v>
      </c>
      <c r="M226" s="744" t="s">
        <v>606</v>
      </c>
      <c r="O226" t="s">
        <v>532</v>
      </c>
    </row>
    <row r="227" spans="2:15">
      <c r="B227" s="744" t="s">
        <v>2777</v>
      </c>
      <c r="C227" s="744" t="s">
        <v>2734</v>
      </c>
      <c r="D227" s="744" t="s">
        <v>532</v>
      </c>
      <c r="E227" s="744" t="s">
        <v>2740</v>
      </c>
      <c r="F227" s="746" t="s">
        <v>2778</v>
      </c>
      <c r="G227" s="747" t="s">
        <v>2288</v>
      </c>
      <c r="H227" s="747">
        <f t="shared" si="4"/>
        <v>24</v>
      </c>
      <c r="I227" s="744">
        <v>2</v>
      </c>
      <c r="J227" s="744">
        <v>17</v>
      </c>
      <c r="K227" s="744">
        <v>31</v>
      </c>
      <c r="L227" s="744" t="s">
        <v>2777</v>
      </c>
      <c r="M227" s="744" t="s">
        <v>606</v>
      </c>
      <c r="O227" t="s">
        <v>532</v>
      </c>
    </row>
    <row r="228" spans="2:15">
      <c r="B228" s="744" t="s">
        <v>2779</v>
      </c>
      <c r="C228" s="744" t="s">
        <v>2734</v>
      </c>
      <c r="D228" s="744" t="s">
        <v>532</v>
      </c>
      <c r="E228" s="744" t="s">
        <v>2740</v>
      </c>
      <c r="F228" s="746" t="s">
        <v>2780</v>
      </c>
      <c r="G228" s="747" t="s">
        <v>2288</v>
      </c>
      <c r="H228" s="747">
        <f t="shared" si="4"/>
        <v>24</v>
      </c>
      <c r="I228" s="744">
        <v>2</v>
      </c>
      <c r="J228" s="744">
        <v>17</v>
      </c>
      <c r="K228" s="744">
        <v>34</v>
      </c>
      <c r="L228" s="744" t="s">
        <v>2779</v>
      </c>
      <c r="M228" s="744" t="s">
        <v>606</v>
      </c>
      <c r="O228" t="s">
        <v>532</v>
      </c>
    </row>
    <row r="229" spans="2:15">
      <c r="B229" s="744" t="s">
        <v>2781</v>
      </c>
      <c r="C229" s="744" t="s">
        <v>2734</v>
      </c>
      <c r="D229" s="744" t="s">
        <v>532</v>
      </c>
      <c r="E229" s="744" t="s">
        <v>2740</v>
      </c>
      <c r="F229" s="746" t="s">
        <v>2782</v>
      </c>
      <c r="G229" s="747" t="s">
        <v>2288</v>
      </c>
      <c r="H229" s="747">
        <f t="shared" si="4"/>
        <v>24</v>
      </c>
      <c r="I229" s="744">
        <v>2</v>
      </c>
      <c r="J229" s="744">
        <v>17</v>
      </c>
      <c r="K229" s="744">
        <v>28</v>
      </c>
      <c r="L229" s="744" t="s">
        <v>2781</v>
      </c>
      <c r="M229" s="744" t="s">
        <v>606</v>
      </c>
      <c r="O229" t="s">
        <v>532</v>
      </c>
    </row>
    <row r="230" spans="2:15">
      <c r="B230" s="744" t="s">
        <v>2783</v>
      </c>
      <c r="C230" s="744" t="s">
        <v>2734</v>
      </c>
      <c r="D230" s="744" t="s">
        <v>532</v>
      </c>
      <c r="E230" s="744" t="s">
        <v>2740</v>
      </c>
      <c r="F230" s="746" t="s">
        <v>2784</v>
      </c>
      <c r="G230" s="747" t="s">
        <v>2288</v>
      </c>
      <c r="H230" s="747">
        <f t="shared" si="4"/>
        <v>24</v>
      </c>
      <c r="I230" s="744">
        <v>3</v>
      </c>
      <c r="J230" s="744">
        <v>17</v>
      </c>
      <c r="K230" s="744">
        <v>47</v>
      </c>
      <c r="L230" s="744" t="s">
        <v>2783</v>
      </c>
      <c r="M230" s="744" t="s">
        <v>606</v>
      </c>
      <c r="O230" t="s">
        <v>532</v>
      </c>
    </row>
    <row r="231" spans="2:15">
      <c r="B231" s="744" t="s">
        <v>2785</v>
      </c>
      <c r="C231" s="744" t="s">
        <v>2734</v>
      </c>
      <c r="D231" s="744" t="s">
        <v>532</v>
      </c>
      <c r="E231" s="744" t="s">
        <v>2740</v>
      </c>
      <c r="F231" s="746" t="s">
        <v>2786</v>
      </c>
      <c r="G231" s="747" t="s">
        <v>2288</v>
      </c>
      <c r="H231" s="747">
        <f t="shared" si="4"/>
        <v>24</v>
      </c>
      <c r="I231" s="744">
        <v>3</v>
      </c>
      <c r="J231" s="744">
        <v>17</v>
      </c>
      <c r="K231" s="744">
        <v>49</v>
      </c>
      <c r="L231" s="744" t="s">
        <v>2785</v>
      </c>
      <c r="M231" s="744" t="s">
        <v>606</v>
      </c>
      <c r="O231" t="s">
        <v>532</v>
      </c>
    </row>
    <row r="232" spans="2:15">
      <c r="B232" s="744" t="s">
        <v>2787</v>
      </c>
      <c r="C232" s="744" t="s">
        <v>2734</v>
      </c>
      <c r="D232" s="744" t="s">
        <v>532</v>
      </c>
      <c r="E232" s="744" t="s">
        <v>2740</v>
      </c>
      <c r="F232" s="746" t="s">
        <v>2788</v>
      </c>
      <c r="G232" s="747" t="s">
        <v>2288</v>
      </c>
      <c r="H232" s="747">
        <f t="shared" si="4"/>
        <v>24</v>
      </c>
      <c r="I232" s="744">
        <v>3</v>
      </c>
      <c r="J232" s="744">
        <v>17</v>
      </c>
      <c r="K232" s="744">
        <v>43</v>
      </c>
      <c r="L232" s="744" t="s">
        <v>2787</v>
      </c>
      <c r="M232" s="744" t="s">
        <v>606</v>
      </c>
      <c r="O232" t="s">
        <v>532</v>
      </c>
    </row>
    <row r="233" spans="2:15">
      <c r="B233" s="744" t="s">
        <v>2789</v>
      </c>
      <c r="C233" s="744" t="s">
        <v>2734</v>
      </c>
      <c r="D233" s="744" t="s">
        <v>532</v>
      </c>
      <c r="E233" s="744" t="s">
        <v>2740</v>
      </c>
      <c r="F233" s="746" t="s">
        <v>2790</v>
      </c>
      <c r="G233" s="747" t="s">
        <v>2288</v>
      </c>
      <c r="H233" s="747">
        <f t="shared" si="4"/>
        <v>24</v>
      </c>
      <c r="I233" s="744">
        <v>3</v>
      </c>
      <c r="J233" s="744">
        <v>17</v>
      </c>
      <c r="K233" s="744">
        <v>52</v>
      </c>
      <c r="L233" s="744" t="s">
        <v>2789</v>
      </c>
      <c r="M233" s="744" t="s">
        <v>606</v>
      </c>
      <c r="O233" t="s">
        <v>532</v>
      </c>
    </row>
    <row r="234" spans="2:15">
      <c r="B234" s="744" t="s">
        <v>2791</v>
      </c>
      <c r="C234" s="744" t="s">
        <v>2734</v>
      </c>
      <c r="D234" s="744" t="s">
        <v>532</v>
      </c>
      <c r="E234" s="744" t="s">
        <v>2740</v>
      </c>
      <c r="F234" s="746" t="s">
        <v>2792</v>
      </c>
      <c r="G234" s="747" t="s">
        <v>2288</v>
      </c>
      <c r="H234" s="747">
        <f t="shared" si="4"/>
        <v>24</v>
      </c>
      <c r="I234" s="744">
        <v>3</v>
      </c>
      <c r="J234" s="744">
        <v>17</v>
      </c>
      <c r="K234" s="744">
        <v>41</v>
      </c>
      <c r="L234" s="744" t="s">
        <v>2791</v>
      </c>
      <c r="M234" s="744" t="s">
        <v>606</v>
      </c>
      <c r="O234" t="s">
        <v>532</v>
      </c>
    </row>
    <row r="235" spans="2:15">
      <c r="B235" s="744" t="s">
        <v>2793</v>
      </c>
      <c r="C235" s="744" t="s">
        <v>2734</v>
      </c>
      <c r="D235" s="744" t="s">
        <v>532</v>
      </c>
      <c r="E235" s="744" t="s">
        <v>2740</v>
      </c>
      <c r="F235" s="746" t="s">
        <v>2794</v>
      </c>
      <c r="G235" s="747" t="s">
        <v>2288</v>
      </c>
      <c r="H235" s="747">
        <f t="shared" si="4"/>
        <v>24</v>
      </c>
      <c r="I235" s="744">
        <v>4</v>
      </c>
      <c r="J235" s="744">
        <v>17</v>
      </c>
      <c r="K235" s="744">
        <v>61</v>
      </c>
      <c r="L235" s="744" t="s">
        <v>2793</v>
      </c>
      <c r="M235" s="744" t="s">
        <v>606</v>
      </c>
      <c r="O235" t="s">
        <v>532</v>
      </c>
    </row>
    <row r="236" spans="2:15">
      <c r="B236" s="744" t="s">
        <v>2795</v>
      </c>
      <c r="C236" s="744" t="s">
        <v>2734</v>
      </c>
      <c r="D236" s="744" t="s">
        <v>532</v>
      </c>
      <c r="E236" s="744" t="s">
        <v>2740</v>
      </c>
      <c r="F236" s="746" t="s">
        <v>2796</v>
      </c>
      <c r="G236" s="747" t="s">
        <v>2288</v>
      </c>
      <c r="H236" s="747">
        <f t="shared" si="4"/>
        <v>24</v>
      </c>
      <c r="I236" s="744">
        <v>4</v>
      </c>
      <c r="J236" s="744">
        <v>17</v>
      </c>
      <c r="K236" s="744">
        <v>55</v>
      </c>
      <c r="L236" s="744" t="s">
        <v>2795</v>
      </c>
      <c r="M236" s="744" t="s">
        <v>606</v>
      </c>
      <c r="O236" t="s">
        <v>532</v>
      </c>
    </row>
    <row r="237" spans="2:15">
      <c r="B237" s="744" t="s">
        <v>2797</v>
      </c>
      <c r="C237" s="744" t="s">
        <v>2734</v>
      </c>
      <c r="D237" s="744" t="s">
        <v>532</v>
      </c>
      <c r="E237" s="744" t="s">
        <v>2740</v>
      </c>
      <c r="F237" s="746" t="s">
        <v>2798</v>
      </c>
      <c r="G237" s="747" t="s">
        <v>2288</v>
      </c>
      <c r="H237" s="747">
        <f t="shared" si="4"/>
        <v>24</v>
      </c>
      <c r="I237" s="744">
        <v>4</v>
      </c>
      <c r="J237" s="744">
        <v>17</v>
      </c>
      <c r="K237" s="744">
        <v>68</v>
      </c>
      <c r="L237" s="744" t="s">
        <v>2797</v>
      </c>
      <c r="M237" s="744" t="s">
        <v>606</v>
      </c>
      <c r="O237" t="s">
        <v>532</v>
      </c>
    </row>
    <row r="238" spans="2:15">
      <c r="B238" s="744" t="s">
        <v>2799</v>
      </c>
      <c r="C238" s="744" t="s">
        <v>2734</v>
      </c>
      <c r="D238" s="744" t="s">
        <v>532</v>
      </c>
      <c r="E238" s="744" t="s">
        <v>2740</v>
      </c>
      <c r="F238" s="746" t="s">
        <v>2800</v>
      </c>
      <c r="G238" s="747" t="s">
        <v>2288</v>
      </c>
      <c r="H238" s="747">
        <f t="shared" si="4"/>
        <v>24</v>
      </c>
      <c r="I238" s="744">
        <v>4</v>
      </c>
      <c r="J238" s="744">
        <v>17</v>
      </c>
      <c r="K238" s="744">
        <v>57</v>
      </c>
      <c r="L238" s="744" t="s">
        <v>2799</v>
      </c>
      <c r="M238" s="744" t="s">
        <v>606</v>
      </c>
      <c r="O238" t="s">
        <v>532</v>
      </c>
    </row>
    <row r="239" spans="2:15">
      <c r="B239" s="744" t="s">
        <v>2801</v>
      </c>
      <c r="C239" s="744" t="s">
        <v>2734</v>
      </c>
      <c r="D239" s="744" t="s">
        <v>532</v>
      </c>
      <c r="E239" s="744" t="s">
        <v>2802</v>
      </c>
      <c r="F239" s="746" t="s">
        <v>2803</v>
      </c>
      <c r="G239" s="747" t="s">
        <v>2288</v>
      </c>
      <c r="H239" s="747">
        <f t="shared" si="4"/>
        <v>36</v>
      </c>
      <c r="I239" s="744">
        <v>1</v>
      </c>
      <c r="J239" s="744">
        <v>25</v>
      </c>
      <c r="K239" s="744">
        <v>26</v>
      </c>
      <c r="L239" s="744" t="s">
        <v>2801</v>
      </c>
      <c r="M239" s="744" t="s">
        <v>606</v>
      </c>
      <c r="O239" t="s">
        <v>532</v>
      </c>
    </row>
    <row r="240" spans="2:15">
      <c r="B240" s="744" t="s">
        <v>2804</v>
      </c>
      <c r="C240" s="744" t="s">
        <v>2734</v>
      </c>
      <c r="D240" s="744" t="s">
        <v>532</v>
      </c>
      <c r="E240" s="744" t="s">
        <v>2802</v>
      </c>
      <c r="F240" s="746" t="s">
        <v>2805</v>
      </c>
      <c r="G240" s="747" t="s">
        <v>2288</v>
      </c>
      <c r="H240" s="747">
        <f t="shared" si="4"/>
        <v>36</v>
      </c>
      <c r="I240" s="744">
        <v>1</v>
      </c>
      <c r="J240" s="744">
        <v>25</v>
      </c>
      <c r="K240" s="744">
        <v>23</v>
      </c>
      <c r="L240" s="744" t="s">
        <v>2804</v>
      </c>
      <c r="M240" s="744" t="s">
        <v>606</v>
      </c>
      <c r="O240" t="s">
        <v>532</v>
      </c>
    </row>
    <row r="241" spans="2:15">
      <c r="B241" s="744" t="s">
        <v>2806</v>
      </c>
      <c r="C241" s="744" t="s">
        <v>2734</v>
      </c>
      <c r="D241" s="744" t="s">
        <v>532</v>
      </c>
      <c r="E241" s="744" t="s">
        <v>2802</v>
      </c>
      <c r="F241" s="746" t="s">
        <v>2807</v>
      </c>
      <c r="G241" s="747" t="s">
        <v>2288</v>
      </c>
      <c r="H241" s="747">
        <f t="shared" si="4"/>
        <v>36</v>
      </c>
      <c r="I241" s="744">
        <v>1</v>
      </c>
      <c r="J241" s="744">
        <v>25</v>
      </c>
      <c r="K241" s="744">
        <v>24</v>
      </c>
      <c r="L241" s="744" t="s">
        <v>2806</v>
      </c>
      <c r="M241" s="744" t="s">
        <v>606</v>
      </c>
      <c r="O241" t="s">
        <v>532</v>
      </c>
    </row>
    <row r="242" spans="2:15">
      <c r="B242" s="744" t="s">
        <v>2808</v>
      </c>
      <c r="C242" s="744" t="s">
        <v>2734</v>
      </c>
      <c r="D242" s="744" t="s">
        <v>532</v>
      </c>
      <c r="E242" s="744" t="s">
        <v>2802</v>
      </c>
      <c r="F242" s="746" t="s">
        <v>2809</v>
      </c>
      <c r="G242" s="747" t="s">
        <v>2288</v>
      </c>
      <c r="H242" s="747">
        <f t="shared" si="4"/>
        <v>36</v>
      </c>
      <c r="I242" s="744">
        <v>1</v>
      </c>
      <c r="J242" s="744">
        <v>25</v>
      </c>
      <c r="K242" s="744">
        <v>23</v>
      </c>
      <c r="L242" s="744" t="s">
        <v>2808</v>
      </c>
      <c r="M242" s="744" t="s">
        <v>606</v>
      </c>
      <c r="O242" t="s">
        <v>532</v>
      </c>
    </row>
    <row r="243" spans="2:15">
      <c r="B243" s="744" t="s">
        <v>2810</v>
      </c>
      <c r="C243" s="744" t="s">
        <v>2734</v>
      </c>
      <c r="D243" s="744" t="s">
        <v>532</v>
      </c>
      <c r="E243" s="744" t="s">
        <v>2802</v>
      </c>
      <c r="F243" s="746" t="s">
        <v>2811</v>
      </c>
      <c r="G243" s="747" t="s">
        <v>2288</v>
      </c>
      <c r="H243" s="747">
        <f t="shared" si="4"/>
        <v>36</v>
      </c>
      <c r="I243" s="744">
        <v>1</v>
      </c>
      <c r="J243" s="744">
        <v>25</v>
      </c>
      <c r="K243" s="744">
        <v>22</v>
      </c>
      <c r="L243" s="744" t="s">
        <v>2810</v>
      </c>
      <c r="M243" s="744" t="s">
        <v>606</v>
      </c>
      <c r="O243" t="s">
        <v>532</v>
      </c>
    </row>
    <row r="244" spans="2:15">
      <c r="B244" s="744" t="s">
        <v>2812</v>
      </c>
      <c r="C244" s="744" t="s">
        <v>2734</v>
      </c>
      <c r="D244" s="744" t="s">
        <v>532</v>
      </c>
      <c r="E244" s="744" t="s">
        <v>2802</v>
      </c>
      <c r="F244" s="746" t="s">
        <v>2813</v>
      </c>
      <c r="G244" s="747" t="s">
        <v>2288</v>
      </c>
      <c r="H244" s="747">
        <f t="shared" si="4"/>
        <v>36</v>
      </c>
      <c r="I244" s="744">
        <v>1</v>
      </c>
      <c r="J244" s="744">
        <v>25</v>
      </c>
      <c r="K244" s="744">
        <v>22</v>
      </c>
      <c r="L244" s="744" t="s">
        <v>2812</v>
      </c>
      <c r="M244" s="744" t="s">
        <v>606</v>
      </c>
      <c r="O244" t="s">
        <v>532</v>
      </c>
    </row>
    <row r="245" spans="2:15">
      <c r="B245" s="744" t="s">
        <v>2814</v>
      </c>
      <c r="C245" s="744" t="s">
        <v>2734</v>
      </c>
      <c r="D245" s="744" t="s">
        <v>532</v>
      </c>
      <c r="E245" s="744" t="s">
        <v>2802</v>
      </c>
      <c r="F245" s="746" t="s">
        <v>2815</v>
      </c>
      <c r="G245" s="747" t="s">
        <v>2288</v>
      </c>
      <c r="H245" s="747">
        <f t="shared" si="4"/>
        <v>36</v>
      </c>
      <c r="I245" s="744">
        <v>1</v>
      </c>
      <c r="J245" s="744">
        <v>25</v>
      </c>
      <c r="K245" s="744">
        <v>22</v>
      </c>
      <c r="L245" s="744" t="s">
        <v>2814</v>
      </c>
      <c r="M245" s="744" t="s">
        <v>606</v>
      </c>
      <c r="O245" t="s">
        <v>532</v>
      </c>
    </row>
    <row r="246" spans="2:15">
      <c r="B246" s="744" t="s">
        <v>2816</v>
      </c>
      <c r="C246" s="744" t="s">
        <v>2734</v>
      </c>
      <c r="D246" s="744" t="s">
        <v>532</v>
      </c>
      <c r="E246" s="744" t="s">
        <v>2802</v>
      </c>
      <c r="F246" s="746" t="s">
        <v>2817</v>
      </c>
      <c r="G246" s="747" t="s">
        <v>2288</v>
      </c>
      <c r="H246" s="747">
        <f t="shared" si="4"/>
        <v>36</v>
      </c>
      <c r="I246" s="744">
        <v>1</v>
      </c>
      <c r="J246" s="744">
        <v>25</v>
      </c>
      <c r="K246" s="744">
        <v>22</v>
      </c>
      <c r="L246" s="744" t="s">
        <v>2816</v>
      </c>
      <c r="M246" s="744" t="s">
        <v>606</v>
      </c>
      <c r="O246" t="s">
        <v>532</v>
      </c>
    </row>
    <row r="247" spans="2:15">
      <c r="B247" s="744" t="s">
        <v>2818</v>
      </c>
      <c r="C247" s="744" t="s">
        <v>2734</v>
      </c>
      <c r="D247" s="744" t="s">
        <v>532</v>
      </c>
      <c r="E247" s="744" t="s">
        <v>2802</v>
      </c>
      <c r="F247" s="746" t="s">
        <v>2819</v>
      </c>
      <c r="G247" s="747" t="s">
        <v>2288</v>
      </c>
      <c r="H247" s="747">
        <f t="shared" si="4"/>
        <v>36</v>
      </c>
      <c r="I247" s="744">
        <v>1</v>
      </c>
      <c r="J247" s="744">
        <v>25</v>
      </c>
      <c r="K247" s="744">
        <v>28</v>
      </c>
      <c r="L247" s="744" t="s">
        <v>2818</v>
      </c>
      <c r="M247" s="744" t="s">
        <v>606</v>
      </c>
      <c r="O247" t="s">
        <v>532</v>
      </c>
    </row>
    <row r="248" spans="2:15">
      <c r="B248" s="744" t="s">
        <v>2820</v>
      </c>
      <c r="C248" s="744" t="s">
        <v>2734</v>
      </c>
      <c r="D248" s="744" t="s">
        <v>532</v>
      </c>
      <c r="E248" s="744" t="s">
        <v>2802</v>
      </c>
      <c r="F248" s="746" t="s">
        <v>2821</v>
      </c>
      <c r="G248" s="747" t="s">
        <v>2288</v>
      </c>
      <c r="H248" s="747">
        <f t="shared" si="4"/>
        <v>36</v>
      </c>
      <c r="I248" s="744">
        <v>1</v>
      </c>
      <c r="J248" s="744">
        <v>25</v>
      </c>
      <c r="K248" s="744">
        <v>27</v>
      </c>
      <c r="L248" s="744" t="s">
        <v>2820</v>
      </c>
      <c r="M248" s="744" t="s">
        <v>606</v>
      </c>
      <c r="O248" t="s">
        <v>532</v>
      </c>
    </row>
    <row r="249" spans="2:15">
      <c r="B249" s="744" t="s">
        <v>2822</v>
      </c>
      <c r="C249" s="744" t="s">
        <v>2734</v>
      </c>
      <c r="D249" s="744" t="s">
        <v>532</v>
      </c>
      <c r="E249" s="744" t="s">
        <v>2802</v>
      </c>
      <c r="F249" s="746" t="s">
        <v>2823</v>
      </c>
      <c r="G249" s="747" t="s">
        <v>2288</v>
      </c>
      <c r="H249" s="747">
        <f t="shared" si="4"/>
        <v>36</v>
      </c>
      <c r="I249" s="744">
        <v>1</v>
      </c>
      <c r="J249" s="744">
        <v>25</v>
      </c>
      <c r="K249" s="744">
        <v>24</v>
      </c>
      <c r="L249" s="744" t="s">
        <v>2822</v>
      </c>
      <c r="M249" s="744" t="s">
        <v>606</v>
      </c>
      <c r="O249" t="s">
        <v>532</v>
      </c>
    </row>
    <row r="250" spans="2:15">
      <c r="B250" s="744" t="s">
        <v>2824</v>
      </c>
      <c r="C250" s="744" t="s">
        <v>2734</v>
      </c>
      <c r="D250" s="744" t="s">
        <v>532</v>
      </c>
      <c r="E250" s="744" t="s">
        <v>2802</v>
      </c>
      <c r="F250" s="746" t="s">
        <v>2825</v>
      </c>
      <c r="G250" s="747" t="s">
        <v>2288</v>
      </c>
      <c r="H250" s="747">
        <f t="shared" si="4"/>
        <v>36</v>
      </c>
      <c r="I250" s="744">
        <v>1</v>
      </c>
      <c r="J250" s="744">
        <v>25</v>
      </c>
      <c r="K250" s="744">
        <v>23</v>
      </c>
      <c r="L250" s="744" t="s">
        <v>2824</v>
      </c>
      <c r="M250" s="744" t="s">
        <v>606</v>
      </c>
      <c r="O250" t="s">
        <v>532</v>
      </c>
    </row>
    <row r="251" spans="2:15">
      <c r="B251" s="744" t="s">
        <v>2826</v>
      </c>
      <c r="C251" s="744" t="s">
        <v>2734</v>
      </c>
      <c r="D251" s="744" t="s">
        <v>532</v>
      </c>
      <c r="E251" s="744" t="s">
        <v>2802</v>
      </c>
      <c r="F251" s="746" t="s">
        <v>2827</v>
      </c>
      <c r="G251" s="747" t="s">
        <v>2288</v>
      </c>
      <c r="H251" s="747">
        <f t="shared" si="4"/>
        <v>36</v>
      </c>
      <c r="I251" s="744">
        <v>1</v>
      </c>
      <c r="J251" s="744">
        <v>25</v>
      </c>
      <c r="K251" s="744">
        <v>24</v>
      </c>
      <c r="L251" s="744" t="s">
        <v>2826</v>
      </c>
      <c r="M251" s="744" t="s">
        <v>606</v>
      </c>
      <c r="O251" t="s">
        <v>532</v>
      </c>
    </row>
    <row r="252" spans="2:15">
      <c r="B252" s="744" t="s">
        <v>2828</v>
      </c>
      <c r="C252" s="744" t="s">
        <v>2734</v>
      </c>
      <c r="D252" s="744" t="s">
        <v>532</v>
      </c>
      <c r="E252" s="744" t="s">
        <v>2802</v>
      </c>
      <c r="F252" s="746" t="s">
        <v>2829</v>
      </c>
      <c r="G252" s="747" t="s">
        <v>2288</v>
      </c>
      <c r="H252" s="747">
        <f t="shared" si="4"/>
        <v>36</v>
      </c>
      <c r="I252" s="744">
        <v>1</v>
      </c>
      <c r="J252" s="744">
        <v>25</v>
      </c>
      <c r="K252" s="744">
        <v>22</v>
      </c>
      <c r="L252" s="744" t="s">
        <v>2828</v>
      </c>
      <c r="M252" s="744" t="s">
        <v>606</v>
      </c>
      <c r="O252" t="s">
        <v>532</v>
      </c>
    </row>
    <row r="253" spans="2:15">
      <c r="B253" s="744" t="s">
        <v>2830</v>
      </c>
      <c r="C253" s="744" t="s">
        <v>2734</v>
      </c>
      <c r="D253" s="744" t="s">
        <v>532</v>
      </c>
      <c r="E253" s="744" t="s">
        <v>2802</v>
      </c>
      <c r="F253" s="746" t="s">
        <v>2831</v>
      </c>
      <c r="G253" s="747" t="s">
        <v>2288</v>
      </c>
      <c r="H253" s="747">
        <f t="shared" si="4"/>
        <v>36</v>
      </c>
      <c r="I253" s="744">
        <v>1</v>
      </c>
      <c r="J253" s="744">
        <v>25</v>
      </c>
      <c r="K253" s="744">
        <v>26</v>
      </c>
      <c r="L253" s="744" t="s">
        <v>2830</v>
      </c>
      <c r="M253" s="744" t="s">
        <v>606</v>
      </c>
      <c r="O253" t="s">
        <v>532</v>
      </c>
    </row>
    <row r="254" spans="2:15">
      <c r="B254" s="744" t="s">
        <v>2832</v>
      </c>
      <c r="C254" s="744" t="s">
        <v>2734</v>
      </c>
      <c r="D254" s="744" t="s">
        <v>532</v>
      </c>
      <c r="E254" s="744" t="s">
        <v>2802</v>
      </c>
      <c r="F254" s="746" t="s">
        <v>2833</v>
      </c>
      <c r="G254" s="747" t="s">
        <v>2288</v>
      </c>
      <c r="H254" s="747">
        <f t="shared" si="4"/>
        <v>36</v>
      </c>
      <c r="I254" s="744">
        <v>1</v>
      </c>
      <c r="J254" s="744">
        <v>25</v>
      </c>
      <c r="K254" s="744">
        <v>23</v>
      </c>
      <c r="L254" s="744" t="s">
        <v>2832</v>
      </c>
      <c r="M254" s="744" t="s">
        <v>606</v>
      </c>
      <c r="O254" t="s">
        <v>532</v>
      </c>
    </row>
    <row r="255" spans="2:15">
      <c r="B255" s="744" t="s">
        <v>2834</v>
      </c>
      <c r="C255" s="744" t="s">
        <v>2734</v>
      </c>
      <c r="D255" s="744" t="s">
        <v>532</v>
      </c>
      <c r="E255" s="744" t="s">
        <v>2802</v>
      </c>
      <c r="F255" s="746" t="s">
        <v>2835</v>
      </c>
      <c r="G255" s="747" t="s">
        <v>2288</v>
      </c>
      <c r="H255" s="747">
        <f t="shared" si="4"/>
        <v>36</v>
      </c>
      <c r="I255" s="744">
        <v>2</v>
      </c>
      <c r="J255" s="744">
        <v>25</v>
      </c>
      <c r="K255" s="744">
        <v>46</v>
      </c>
      <c r="L255" s="744" t="s">
        <v>2834</v>
      </c>
      <c r="M255" s="744" t="s">
        <v>606</v>
      </c>
      <c r="O255" t="s">
        <v>532</v>
      </c>
    </row>
    <row r="256" spans="2:15">
      <c r="B256" s="744" t="s">
        <v>2836</v>
      </c>
      <c r="C256" s="744" t="s">
        <v>2734</v>
      </c>
      <c r="D256" s="744" t="s">
        <v>532</v>
      </c>
      <c r="E256" s="744" t="s">
        <v>2802</v>
      </c>
      <c r="F256" s="746" t="s">
        <v>2837</v>
      </c>
      <c r="G256" s="747" t="s">
        <v>2288</v>
      </c>
      <c r="H256" s="747">
        <f t="shared" si="4"/>
        <v>36</v>
      </c>
      <c r="I256" s="744">
        <v>2</v>
      </c>
      <c r="J256" s="744">
        <v>25</v>
      </c>
      <c r="K256" s="744">
        <v>44</v>
      </c>
      <c r="L256" s="744" t="s">
        <v>2836</v>
      </c>
      <c r="M256" s="744" t="s">
        <v>606</v>
      </c>
      <c r="O256" t="s">
        <v>532</v>
      </c>
    </row>
    <row r="257" spans="2:15">
      <c r="B257" s="744" t="s">
        <v>2838</v>
      </c>
      <c r="C257" s="744" t="s">
        <v>2734</v>
      </c>
      <c r="D257" s="744" t="s">
        <v>532</v>
      </c>
      <c r="E257" s="744" t="s">
        <v>2802</v>
      </c>
      <c r="F257" s="746" t="s">
        <v>2839</v>
      </c>
      <c r="G257" s="747" t="s">
        <v>2288</v>
      </c>
      <c r="H257" s="747">
        <f t="shared" si="4"/>
        <v>36</v>
      </c>
      <c r="I257" s="744">
        <v>2</v>
      </c>
      <c r="J257" s="744">
        <v>25</v>
      </c>
      <c r="K257" s="744">
        <v>43</v>
      </c>
      <c r="L257" s="744" t="s">
        <v>2838</v>
      </c>
      <c r="M257" s="744" t="s">
        <v>606</v>
      </c>
      <c r="O257" t="s">
        <v>532</v>
      </c>
    </row>
    <row r="258" spans="2:15">
      <c r="B258" s="744" t="s">
        <v>2840</v>
      </c>
      <c r="C258" s="744" t="s">
        <v>2734</v>
      </c>
      <c r="D258" s="744" t="s">
        <v>532</v>
      </c>
      <c r="E258" s="744" t="s">
        <v>2802</v>
      </c>
      <c r="F258" s="746" t="s">
        <v>2841</v>
      </c>
      <c r="G258" s="747" t="s">
        <v>2288</v>
      </c>
      <c r="H258" s="747">
        <f t="shared" si="4"/>
        <v>36</v>
      </c>
      <c r="I258" s="744">
        <v>2</v>
      </c>
      <c r="J258" s="744">
        <v>25</v>
      </c>
      <c r="K258" s="744">
        <v>48</v>
      </c>
      <c r="L258" s="744" t="s">
        <v>2840</v>
      </c>
      <c r="M258" s="744" t="s">
        <v>606</v>
      </c>
      <c r="O258" t="s">
        <v>532</v>
      </c>
    </row>
    <row r="259" spans="2:15">
      <c r="B259" s="744" t="s">
        <v>2842</v>
      </c>
      <c r="C259" s="744" t="s">
        <v>2734</v>
      </c>
      <c r="D259" s="744" t="s">
        <v>532</v>
      </c>
      <c r="E259" s="744" t="s">
        <v>2802</v>
      </c>
      <c r="F259" s="746" t="s">
        <v>2843</v>
      </c>
      <c r="G259" s="747" t="s">
        <v>2288</v>
      </c>
      <c r="H259" s="747">
        <f t="shared" si="4"/>
        <v>36</v>
      </c>
      <c r="I259" s="744">
        <v>2</v>
      </c>
      <c r="J259" s="744">
        <v>25</v>
      </c>
      <c r="K259" s="744">
        <v>46</v>
      </c>
      <c r="L259" s="744" t="s">
        <v>2842</v>
      </c>
      <c r="M259" s="744" t="s">
        <v>606</v>
      </c>
      <c r="O259" t="s">
        <v>532</v>
      </c>
    </row>
    <row r="260" spans="2:15">
      <c r="B260" s="744" t="s">
        <v>2844</v>
      </c>
      <c r="C260" s="744" t="s">
        <v>2734</v>
      </c>
      <c r="D260" s="744" t="s">
        <v>532</v>
      </c>
      <c r="E260" s="744" t="s">
        <v>2802</v>
      </c>
      <c r="F260" s="746" t="s">
        <v>2845</v>
      </c>
      <c r="G260" s="747" t="s">
        <v>2768</v>
      </c>
      <c r="H260" s="747">
        <f t="shared" si="4"/>
        <v>36</v>
      </c>
      <c r="I260" s="744">
        <v>2</v>
      </c>
      <c r="J260" s="744">
        <v>25</v>
      </c>
      <c r="K260" s="744">
        <v>65</v>
      </c>
      <c r="L260" s="744" t="s">
        <v>2844</v>
      </c>
      <c r="M260" s="744" t="s">
        <v>606</v>
      </c>
      <c r="O260" t="s">
        <v>532</v>
      </c>
    </row>
    <row r="261" spans="2:15">
      <c r="B261" s="744" t="s">
        <v>2846</v>
      </c>
      <c r="C261" s="744" t="s">
        <v>2734</v>
      </c>
      <c r="D261" s="744" t="s">
        <v>532</v>
      </c>
      <c r="E261" s="744" t="s">
        <v>2802</v>
      </c>
      <c r="F261" s="746" t="s">
        <v>2847</v>
      </c>
      <c r="G261" s="747" t="s">
        <v>2288</v>
      </c>
      <c r="H261" s="747">
        <f t="shared" si="4"/>
        <v>36</v>
      </c>
      <c r="I261" s="744">
        <v>2</v>
      </c>
      <c r="J261" s="744">
        <v>25</v>
      </c>
      <c r="K261" s="744">
        <v>46</v>
      </c>
      <c r="L261" s="744" t="s">
        <v>2846</v>
      </c>
      <c r="M261" s="744" t="s">
        <v>606</v>
      </c>
      <c r="O261" t="s">
        <v>532</v>
      </c>
    </row>
    <row r="262" spans="2:15">
      <c r="B262" s="744" t="s">
        <v>2848</v>
      </c>
      <c r="C262" s="744" t="s">
        <v>2734</v>
      </c>
      <c r="D262" s="744" t="s">
        <v>532</v>
      </c>
      <c r="E262" s="744" t="s">
        <v>2802</v>
      </c>
      <c r="F262" s="746" t="s">
        <v>2849</v>
      </c>
      <c r="G262" s="747" t="s">
        <v>2288</v>
      </c>
      <c r="H262" s="747">
        <f t="shared" si="4"/>
        <v>36</v>
      </c>
      <c r="I262" s="744">
        <v>2</v>
      </c>
      <c r="J262" s="744">
        <v>25</v>
      </c>
      <c r="K262" s="744">
        <v>45</v>
      </c>
      <c r="L262" s="744" t="s">
        <v>2848</v>
      </c>
      <c r="M262" s="744" t="s">
        <v>606</v>
      </c>
      <c r="O262" t="s">
        <v>532</v>
      </c>
    </row>
    <row r="263" spans="2:15">
      <c r="B263" s="744" t="s">
        <v>2850</v>
      </c>
      <c r="C263" s="744" t="s">
        <v>2734</v>
      </c>
      <c r="D263" s="744" t="s">
        <v>532</v>
      </c>
      <c r="E263" s="744" t="s">
        <v>2802</v>
      </c>
      <c r="F263" s="746" t="s">
        <v>2851</v>
      </c>
      <c r="G263" s="747" t="s">
        <v>2288</v>
      </c>
      <c r="H263" s="747">
        <f t="shared" si="4"/>
        <v>36</v>
      </c>
      <c r="I263" s="744">
        <v>2</v>
      </c>
      <c r="J263" s="744">
        <v>25</v>
      </c>
      <c r="K263" s="744">
        <v>50</v>
      </c>
      <c r="L263" s="744" t="s">
        <v>2850</v>
      </c>
      <c r="M263" s="744" t="s">
        <v>606</v>
      </c>
      <c r="O263" t="s">
        <v>532</v>
      </c>
    </row>
    <row r="264" spans="2:15">
      <c r="B264" s="744" t="s">
        <v>2852</v>
      </c>
      <c r="C264" s="744" t="s">
        <v>2734</v>
      </c>
      <c r="D264" s="744" t="s">
        <v>532</v>
      </c>
      <c r="E264" s="744" t="s">
        <v>2802</v>
      </c>
      <c r="F264" s="746" t="s">
        <v>2853</v>
      </c>
      <c r="G264" s="747" t="s">
        <v>2288</v>
      </c>
      <c r="H264" s="747">
        <f t="shared" si="4"/>
        <v>36</v>
      </c>
      <c r="I264" s="744">
        <v>2</v>
      </c>
      <c r="J264" s="744">
        <v>25</v>
      </c>
      <c r="K264" s="744">
        <v>42</v>
      </c>
      <c r="L264" s="744" t="s">
        <v>2852</v>
      </c>
      <c r="M264" s="744" t="s">
        <v>606</v>
      </c>
      <c r="O264" t="s">
        <v>532</v>
      </c>
    </row>
    <row r="265" spans="2:15">
      <c r="B265" s="744" t="s">
        <v>2854</v>
      </c>
      <c r="C265" s="744" t="s">
        <v>2734</v>
      </c>
      <c r="D265" s="744" t="s">
        <v>532</v>
      </c>
      <c r="E265" s="744" t="s">
        <v>2802</v>
      </c>
      <c r="F265" s="746" t="s">
        <v>2855</v>
      </c>
      <c r="G265" s="747" t="s">
        <v>2288</v>
      </c>
      <c r="H265" s="747">
        <f t="shared" si="4"/>
        <v>36</v>
      </c>
      <c r="I265" s="744">
        <v>2</v>
      </c>
      <c r="J265" s="744">
        <v>25</v>
      </c>
      <c r="K265" s="744">
        <v>70</v>
      </c>
      <c r="L265" s="744" t="s">
        <v>2854</v>
      </c>
      <c r="M265" s="744" t="s">
        <v>606</v>
      </c>
      <c r="O265" t="s">
        <v>532</v>
      </c>
    </row>
    <row r="266" spans="2:15">
      <c r="B266" s="744" t="s">
        <v>2856</v>
      </c>
      <c r="C266" s="744" t="s">
        <v>2734</v>
      </c>
      <c r="D266" s="744" t="s">
        <v>532</v>
      </c>
      <c r="E266" s="744" t="s">
        <v>2802</v>
      </c>
      <c r="F266" s="746" t="s">
        <v>2857</v>
      </c>
      <c r="G266" s="747" t="s">
        <v>2288</v>
      </c>
      <c r="H266" s="747">
        <f t="shared" si="4"/>
        <v>36</v>
      </c>
      <c r="I266" s="744">
        <v>3</v>
      </c>
      <c r="J266" s="744">
        <v>25</v>
      </c>
      <c r="K266" s="744">
        <v>67</v>
      </c>
      <c r="L266" s="744" t="s">
        <v>2856</v>
      </c>
      <c r="M266" s="744" t="s">
        <v>606</v>
      </c>
      <c r="O266" t="s">
        <v>532</v>
      </c>
    </row>
    <row r="267" spans="2:15">
      <c r="B267" s="744" t="s">
        <v>2858</v>
      </c>
      <c r="C267" s="744" t="s">
        <v>2734</v>
      </c>
      <c r="D267" s="744" t="s">
        <v>532</v>
      </c>
      <c r="E267" s="744" t="s">
        <v>2802</v>
      </c>
      <c r="F267" s="746" t="s">
        <v>2859</v>
      </c>
      <c r="G267" s="747" t="s">
        <v>2288</v>
      </c>
      <c r="H267" s="747">
        <f t="shared" si="4"/>
        <v>36</v>
      </c>
      <c r="I267" s="744">
        <v>3</v>
      </c>
      <c r="J267" s="744">
        <v>25</v>
      </c>
      <c r="K267" s="744">
        <v>66</v>
      </c>
      <c r="L267" s="744" t="s">
        <v>2858</v>
      </c>
      <c r="M267" s="744" t="s">
        <v>606</v>
      </c>
      <c r="O267" t="s">
        <v>532</v>
      </c>
    </row>
    <row r="268" spans="2:15">
      <c r="B268" s="744" t="s">
        <v>2860</v>
      </c>
      <c r="C268" s="744" t="s">
        <v>2734</v>
      </c>
      <c r="D268" s="744" t="s">
        <v>532</v>
      </c>
      <c r="E268" s="744" t="s">
        <v>2802</v>
      </c>
      <c r="F268" s="746" t="s">
        <v>2861</v>
      </c>
      <c r="G268" s="747" t="s">
        <v>2288</v>
      </c>
      <c r="H268" s="747">
        <f t="shared" si="4"/>
        <v>36</v>
      </c>
      <c r="I268" s="744">
        <v>3</v>
      </c>
      <c r="J268" s="744">
        <v>25</v>
      </c>
      <c r="K268" s="744">
        <v>72</v>
      </c>
      <c r="L268" s="744" t="s">
        <v>2860</v>
      </c>
      <c r="M268" s="744" t="s">
        <v>606</v>
      </c>
      <c r="O268" t="s">
        <v>532</v>
      </c>
    </row>
    <row r="269" spans="2:15">
      <c r="B269" s="744" t="s">
        <v>2862</v>
      </c>
      <c r="C269" s="744" t="s">
        <v>2734</v>
      </c>
      <c r="D269" s="744" t="s">
        <v>532</v>
      </c>
      <c r="E269" s="744" t="s">
        <v>2802</v>
      </c>
      <c r="F269" s="746" t="s">
        <v>2863</v>
      </c>
      <c r="G269" s="747" t="s">
        <v>2288</v>
      </c>
      <c r="H269" s="747">
        <f t="shared" si="4"/>
        <v>36</v>
      </c>
      <c r="I269" s="744">
        <v>3</v>
      </c>
      <c r="J269" s="744">
        <v>25</v>
      </c>
      <c r="K269" s="744">
        <v>62</v>
      </c>
      <c r="L269" s="744" t="s">
        <v>2862</v>
      </c>
      <c r="M269" s="744" t="s">
        <v>606</v>
      </c>
      <c r="O269" t="s">
        <v>532</v>
      </c>
    </row>
    <row r="270" spans="2:15">
      <c r="B270" s="744" t="s">
        <v>2864</v>
      </c>
      <c r="C270" s="744" t="s">
        <v>2734</v>
      </c>
      <c r="D270" s="744" t="s">
        <v>532</v>
      </c>
      <c r="E270" s="744" t="s">
        <v>2802</v>
      </c>
      <c r="F270" s="746" t="s">
        <v>2865</v>
      </c>
      <c r="G270" s="747" t="s">
        <v>2288</v>
      </c>
      <c r="H270" s="747">
        <f t="shared" si="4"/>
        <v>36</v>
      </c>
      <c r="I270" s="744">
        <v>4</v>
      </c>
      <c r="J270" s="744">
        <v>25</v>
      </c>
      <c r="K270" s="744">
        <v>87</v>
      </c>
      <c r="L270" s="744" t="s">
        <v>2864</v>
      </c>
      <c r="M270" s="744" t="s">
        <v>606</v>
      </c>
      <c r="O270" t="s">
        <v>532</v>
      </c>
    </row>
    <row r="271" spans="2:15">
      <c r="B271" s="744" t="s">
        <v>2866</v>
      </c>
      <c r="C271" s="744" t="s">
        <v>2734</v>
      </c>
      <c r="D271" s="744" t="s">
        <v>532</v>
      </c>
      <c r="E271" s="744" t="s">
        <v>2802</v>
      </c>
      <c r="F271" s="746" t="s">
        <v>2867</v>
      </c>
      <c r="G271" s="747" t="s">
        <v>2288</v>
      </c>
      <c r="H271" s="747">
        <f t="shared" ref="H271:H334" si="5">MID(B271,2,1)*12</f>
        <v>36</v>
      </c>
      <c r="I271" s="744">
        <v>4</v>
      </c>
      <c r="J271" s="744">
        <v>25</v>
      </c>
      <c r="K271" s="744">
        <v>86</v>
      </c>
      <c r="L271" s="744" t="s">
        <v>2866</v>
      </c>
      <c r="M271" s="744" t="s">
        <v>606</v>
      </c>
      <c r="O271" t="s">
        <v>532</v>
      </c>
    </row>
    <row r="272" spans="2:15">
      <c r="B272" s="744" t="s">
        <v>2868</v>
      </c>
      <c r="C272" s="744" t="s">
        <v>2734</v>
      </c>
      <c r="D272" s="744" t="s">
        <v>532</v>
      </c>
      <c r="E272" s="744" t="s">
        <v>2802</v>
      </c>
      <c r="F272" s="746" t="s">
        <v>2869</v>
      </c>
      <c r="G272" s="747" t="s">
        <v>2288</v>
      </c>
      <c r="H272" s="747">
        <f t="shared" si="5"/>
        <v>36</v>
      </c>
      <c r="I272" s="744">
        <v>4</v>
      </c>
      <c r="J272" s="744">
        <v>25</v>
      </c>
      <c r="K272" s="744">
        <v>89</v>
      </c>
      <c r="L272" s="744" t="s">
        <v>2868</v>
      </c>
      <c r="M272" s="744" t="s">
        <v>606</v>
      </c>
      <c r="O272" t="s">
        <v>532</v>
      </c>
    </row>
    <row r="273" spans="2:15">
      <c r="B273" s="744" t="s">
        <v>2870</v>
      </c>
      <c r="C273" s="744" t="s">
        <v>2734</v>
      </c>
      <c r="D273" s="744" t="s">
        <v>532</v>
      </c>
      <c r="E273" s="744" t="s">
        <v>2802</v>
      </c>
      <c r="F273" s="746" t="s">
        <v>2871</v>
      </c>
      <c r="G273" s="747" t="s">
        <v>2288</v>
      </c>
      <c r="H273" s="747">
        <f t="shared" si="5"/>
        <v>36</v>
      </c>
      <c r="I273" s="744">
        <v>4</v>
      </c>
      <c r="J273" s="744">
        <v>25</v>
      </c>
      <c r="K273" s="744">
        <v>84</v>
      </c>
      <c r="L273" s="744" t="s">
        <v>2870</v>
      </c>
      <c r="M273" s="744" t="s">
        <v>606</v>
      </c>
      <c r="O273" t="s">
        <v>532</v>
      </c>
    </row>
    <row r="274" spans="2:15">
      <c r="B274" s="744" t="s">
        <v>2872</v>
      </c>
      <c r="C274" s="744" t="s">
        <v>2734</v>
      </c>
      <c r="D274" s="744" t="s">
        <v>532</v>
      </c>
      <c r="E274" s="744" t="s">
        <v>2802</v>
      </c>
      <c r="F274" s="746" t="s">
        <v>2873</v>
      </c>
      <c r="G274" s="747" t="s">
        <v>2288</v>
      </c>
      <c r="H274" s="747">
        <f t="shared" si="5"/>
        <v>36</v>
      </c>
      <c r="I274" s="744">
        <v>6</v>
      </c>
      <c r="J274" s="744">
        <v>25</v>
      </c>
      <c r="K274" s="744">
        <v>134</v>
      </c>
      <c r="L274" s="744" t="s">
        <v>2872</v>
      </c>
      <c r="M274" s="744" t="s">
        <v>606</v>
      </c>
      <c r="O274" t="s">
        <v>532</v>
      </c>
    </row>
    <row r="275" spans="2:15">
      <c r="B275" s="744" t="s">
        <v>2874</v>
      </c>
      <c r="C275" s="744" t="s">
        <v>2734</v>
      </c>
      <c r="D275" s="744" t="s">
        <v>532</v>
      </c>
      <c r="E275" s="744" t="s">
        <v>2875</v>
      </c>
      <c r="F275" s="746" t="s">
        <v>2876</v>
      </c>
      <c r="G275" s="747" t="s">
        <v>2288</v>
      </c>
      <c r="H275" s="747">
        <f t="shared" si="5"/>
        <v>48</v>
      </c>
      <c r="I275" s="744">
        <v>1</v>
      </c>
      <c r="J275" s="744">
        <v>32</v>
      </c>
      <c r="K275" s="744">
        <v>31</v>
      </c>
      <c r="L275" s="744" t="s">
        <v>2874</v>
      </c>
      <c r="M275" s="744" t="s">
        <v>606</v>
      </c>
      <c r="O275" t="s">
        <v>532</v>
      </c>
    </row>
    <row r="276" spans="2:15">
      <c r="B276" s="744" t="s">
        <v>2877</v>
      </c>
      <c r="C276" s="744" t="s">
        <v>2734</v>
      </c>
      <c r="D276" s="744" t="s">
        <v>532</v>
      </c>
      <c r="E276" s="744" t="s">
        <v>2878</v>
      </c>
      <c r="F276" s="746" t="s">
        <v>2879</v>
      </c>
      <c r="G276" s="747" t="s">
        <v>2288</v>
      </c>
      <c r="H276" s="747">
        <f t="shared" si="5"/>
        <v>48</v>
      </c>
      <c r="I276" s="744">
        <v>1</v>
      </c>
      <c r="J276" s="744">
        <v>30</v>
      </c>
      <c r="K276" s="744">
        <v>28</v>
      </c>
      <c r="L276" s="744" t="s">
        <v>2877</v>
      </c>
      <c r="M276" s="744" t="s">
        <v>606</v>
      </c>
      <c r="O276" t="s">
        <v>532</v>
      </c>
    </row>
    <row r="277" spans="2:15">
      <c r="B277" s="744" t="s">
        <v>2880</v>
      </c>
      <c r="C277" s="744" t="s">
        <v>2734</v>
      </c>
      <c r="D277" s="744" t="s">
        <v>532</v>
      </c>
      <c r="E277" s="744" t="s">
        <v>2878</v>
      </c>
      <c r="F277" s="746" t="s">
        <v>2881</v>
      </c>
      <c r="G277" s="747" t="s">
        <v>2288</v>
      </c>
      <c r="H277" s="747">
        <f t="shared" si="5"/>
        <v>48</v>
      </c>
      <c r="I277" s="744">
        <v>1</v>
      </c>
      <c r="J277" s="744">
        <v>30</v>
      </c>
      <c r="K277" s="744">
        <v>27</v>
      </c>
      <c r="L277" s="744" t="s">
        <v>2880</v>
      </c>
      <c r="M277" s="744" t="s">
        <v>606</v>
      </c>
      <c r="O277" t="s">
        <v>532</v>
      </c>
    </row>
    <row r="278" spans="2:15">
      <c r="B278" s="744" t="s">
        <v>2882</v>
      </c>
      <c r="C278" s="744" t="s">
        <v>2734</v>
      </c>
      <c r="D278" s="744" t="s">
        <v>532</v>
      </c>
      <c r="E278" s="744" t="s">
        <v>2878</v>
      </c>
      <c r="F278" s="746" t="s">
        <v>2883</v>
      </c>
      <c r="G278" s="747" t="s">
        <v>2288</v>
      </c>
      <c r="H278" s="747">
        <f t="shared" si="5"/>
        <v>48</v>
      </c>
      <c r="I278" s="744">
        <v>1</v>
      </c>
      <c r="J278" s="744">
        <v>30</v>
      </c>
      <c r="K278" s="744">
        <v>27</v>
      </c>
      <c r="L278" s="744" t="s">
        <v>2882</v>
      </c>
      <c r="M278" s="744" t="s">
        <v>606</v>
      </c>
      <c r="O278" t="s">
        <v>532</v>
      </c>
    </row>
    <row r="279" spans="2:15">
      <c r="B279" s="744" t="s">
        <v>2884</v>
      </c>
      <c r="C279" s="744" t="s">
        <v>2734</v>
      </c>
      <c r="D279" s="744" t="s">
        <v>532</v>
      </c>
      <c r="E279" s="744" t="s">
        <v>2878</v>
      </c>
      <c r="F279" s="746" t="s">
        <v>2885</v>
      </c>
      <c r="G279" s="747" t="s">
        <v>2288</v>
      </c>
      <c r="H279" s="747">
        <f t="shared" si="5"/>
        <v>48</v>
      </c>
      <c r="I279" s="744">
        <v>1</v>
      </c>
      <c r="J279" s="744">
        <v>30</v>
      </c>
      <c r="K279" s="744">
        <v>26</v>
      </c>
      <c r="L279" s="744" t="s">
        <v>2884</v>
      </c>
      <c r="M279" s="744" t="s">
        <v>606</v>
      </c>
      <c r="O279" t="s">
        <v>532</v>
      </c>
    </row>
    <row r="280" spans="2:15">
      <c r="B280" s="744" t="s">
        <v>2886</v>
      </c>
      <c r="C280" s="744" t="s">
        <v>2734</v>
      </c>
      <c r="D280" s="744" t="s">
        <v>532</v>
      </c>
      <c r="E280" s="744" t="s">
        <v>2878</v>
      </c>
      <c r="F280" s="746" t="s">
        <v>2887</v>
      </c>
      <c r="G280" s="747" t="s">
        <v>2288</v>
      </c>
      <c r="H280" s="747">
        <f t="shared" si="5"/>
        <v>48</v>
      </c>
      <c r="I280" s="744">
        <v>1</v>
      </c>
      <c r="J280" s="744">
        <v>30</v>
      </c>
      <c r="K280" s="744">
        <v>25</v>
      </c>
      <c r="L280" s="744" t="s">
        <v>2886</v>
      </c>
      <c r="M280" s="744" t="s">
        <v>606</v>
      </c>
      <c r="O280" t="s">
        <v>532</v>
      </c>
    </row>
    <row r="281" spans="2:15">
      <c r="B281" s="744" t="s">
        <v>2888</v>
      </c>
      <c r="C281" s="744" t="s">
        <v>2734</v>
      </c>
      <c r="D281" s="744" t="s">
        <v>532</v>
      </c>
      <c r="E281" s="744" t="s">
        <v>2878</v>
      </c>
      <c r="F281" s="746" t="s">
        <v>2889</v>
      </c>
      <c r="G281" s="747" t="s">
        <v>2288</v>
      </c>
      <c r="H281" s="747">
        <f t="shared" si="5"/>
        <v>48</v>
      </c>
      <c r="I281" s="744">
        <v>1</v>
      </c>
      <c r="J281" s="744">
        <v>30</v>
      </c>
      <c r="K281" s="744">
        <v>24</v>
      </c>
      <c r="L281" s="744" t="s">
        <v>2888</v>
      </c>
      <c r="M281" s="744" t="s">
        <v>606</v>
      </c>
      <c r="O281" t="s">
        <v>532</v>
      </c>
    </row>
    <row r="282" spans="2:15">
      <c r="B282" s="744" t="s">
        <v>2890</v>
      </c>
      <c r="C282" s="744" t="s">
        <v>2734</v>
      </c>
      <c r="D282" s="744" t="s">
        <v>532</v>
      </c>
      <c r="E282" s="744" t="s">
        <v>2878</v>
      </c>
      <c r="F282" s="746" t="s">
        <v>2891</v>
      </c>
      <c r="G282" s="747" t="s">
        <v>2288</v>
      </c>
      <c r="H282" s="747">
        <f t="shared" si="5"/>
        <v>48</v>
      </c>
      <c r="I282" s="744">
        <v>1</v>
      </c>
      <c r="J282" s="744">
        <v>30</v>
      </c>
      <c r="K282" s="744">
        <v>24</v>
      </c>
      <c r="L282" s="744" t="s">
        <v>2890</v>
      </c>
      <c r="M282" s="744" t="s">
        <v>606</v>
      </c>
      <c r="O282" t="s">
        <v>532</v>
      </c>
    </row>
    <row r="283" spans="2:15">
      <c r="B283" s="744" t="s">
        <v>2892</v>
      </c>
      <c r="C283" s="744" t="s">
        <v>2734</v>
      </c>
      <c r="D283" s="744" t="s">
        <v>532</v>
      </c>
      <c r="E283" s="744" t="s">
        <v>2878</v>
      </c>
      <c r="F283" s="746" t="s">
        <v>2893</v>
      </c>
      <c r="G283" s="747" t="s">
        <v>2288</v>
      </c>
      <c r="H283" s="747">
        <f t="shared" si="5"/>
        <v>48</v>
      </c>
      <c r="I283" s="744">
        <v>1</v>
      </c>
      <c r="J283" s="744">
        <v>30</v>
      </c>
      <c r="K283" s="744">
        <v>23</v>
      </c>
      <c r="L283" s="744" t="s">
        <v>2892</v>
      </c>
      <c r="M283" s="744" t="s">
        <v>606</v>
      </c>
      <c r="O283" t="s">
        <v>532</v>
      </c>
    </row>
    <row r="284" spans="2:15">
      <c r="B284" s="744" t="s">
        <v>2894</v>
      </c>
      <c r="C284" s="744" t="s">
        <v>2734</v>
      </c>
      <c r="D284" s="744" t="s">
        <v>532</v>
      </c>
      <c r="E284" s="744" t="s">
        <v>2878</v>
      </c>
      <c r="F284" s="746" t="s">
        <v>2895</v>
      </c>
      <c r="G284" s="747" t="s">
        <v>2288</v>
      </c>
      <c r="H284" s="747">
        <f t="shared" si="5"/>
        <v>48</v>
      </c>
      <c r="I284" s="744">
        <v>1</v>
      </c>
      <c r="J284" s="744">
        <v>30</v>
      </c>
      <c r="K284" s="744">
        <v>37</v>
      </c>
      <c r="L284" s="744" t="s">
        <v>2894</v>
      </c>
      <c r="M284" s="744" t="s">
        <v>606</v>
      </c>
      <c r="O284" t="s">
        <v>532</v>
      </c>
    </row>
    <row r="285" spans="2:15">
      <c r="B285" s="744" t="s">
        <v>2896</v>
      </c>
      <c r="C285" s="744" t="s">
        <v>2734</v>
      </c>
      <c r="D285" s="744" t="s">
        <v>532</v>
      </c>
      <c r="E285" s="744" t="s">
        <v>2878</v>
      </c>
      <c r="F285" s="746" t="s">
        <v>2897</v>
      </c>
      <c r="G285" s="747" t="s">
        <v>2288</v>
      </c>
      <c r="H285" s="747">
        <f t="shared" si="5"/>
        <v>48</v>
      </c>
      <c r="I285" s="744">
        <v>1</v>
      </c>
      <c r="J285" s="744">
        <v>30</v>
      </c>
      <c r="K285" s="744">
        <v>36</v>
      </c>
      <c r="L285" s="744" t="s">
        <v>2896</v>
      </c>
      <c r="M285" s="744" t="s">
        <v>606</v>
      </c>
      <c r="O285" t="s">
        <v>532</v>
      </c>
    </row>
    <row r="286" spans="2:15">
      <c r="B286" s="744" t="s">
        <v>2898</v>
      </c>
      <c r="C286" s="744" t="s">
        <v>2734</v>
      </c>
      <c r="D286" s="744" t="s">
        <v>532</v>
      </c>
      <c r="E286" s="744" t="s">
        <v>2878</v>
      </c>
      <c r="F286" s="746" t="s">
        <v>2899</v>
      </c>
      <c r="G286" s="747" t="s">
        <v>2288</v>
      </c>
      <c r="H286" s="747">
        <f t="shared" si="5"/>
        <v>48</v>
      </c>
      <c r="I286" s="744">
        <v>1</v>
      </c>
      <c r="J286" s="744">
        <v>30</v>
      </c>
      <c r="K286" s="744">
        <v>36</v>
      </c>
      <c r="L286" s="744" t="s">
        <v>2898</v>
      </c>
      <c r="M286" s="744" t="s">
        <v>606</v>
      </c>
      <c r="O286" t="s">
        <v>532</v>
      </c>
    </row>
    <row r="287" spans="2:15">
      <c r="B287" s="744" t="s">
        <v>2900</v>
      </c>
      <c r="C287" s="744" t="s">
        <v>2734</v>
      </c>
      <c r="D287" s="744" t="s">
        <v>532</v>
      </c>
      <c r="E287" s="744" t="s">
        <v>2901</v>
      </c>
      <c r="F287" s="746" t="s">
        <v>2879</v>
      </c>
      <c r="G287" s="747" t="s">
        <v>2288</v>
      </c>
      <c r="H287" s="747">
        <f t="shared" si="5"/>
        <v>48</v>
      </c>
      <c r="I287" s="744">
        <v>1</v>
      </c>
      <c r="J287" s="744">
        <v>28</v>
      </c>
      <c r="K287" s="744">
        <v>26</v>
      </c>
      <c r="L287" s="744" t="s">
        <v>2900</v>
      </c>
      <c r="M287" s="744" t="s">
        <v>606</v>
      </c>
      <c r="O287" t="s">
        <v>532</v>
      </c>
    </row>
    <row r="288" spans="2:15">
      <c r="B288" s="744" t="s">
        <v>2902</v>
      </c>
      <c r="C288" s="744" t="s">
        <v>2734</v>
      </c>
      <c r="D288" s="744" t="s">
        <v>532</v>
      </c>
      <c r="E288" s="744" t="s">
        <v>2901</v>
      </c>
      <c r="F288" s="746" t="s">
        <v>2881</v>
      </c>
      <c r="G288" s="747" t="s">
        <v>2288</v>
      </c>
      <c r="H288" s="747">
        <f t="shared" si="5"/>
        <v>48</v>
      </c>
      <c r="I288" s="744">
        <v>1</v>
      </c>
      <c r="J288" s="744">
        <v>28</v>
      </c>
      <c r="K288" s="744">
        <v>25</v>
      </c>
      <c r="L288" s="744" t="s">
        <v>2902</v>
      </c>
      <c r="M288" s="744" t="s">
        <v>606</v>
      </c>
      <c r="O288" t="s">
        <v>532</v>
      </c>
    </row>
    <row r="289" spans="2:15">
      <c r="B289" s="744" t="s">
        <v>2903</v>
      </c>
      <c r="C289" s="744" t="s">
        <v>2734</v>
      </c>
      <c r="D289" s="744" t="s">
        <v>532</v>
      </c>
      <c r="E289" s="744" t="s">
        <v>2901</v>
      </c>
      <c r="F289" s="746" t="s">
        <v>2883</v>
      </c>
      <c r="G289" s="747" t="s">
        <v>2288</v>
      </c>
      <c r="H289" s="747">
        <f t="shared" si="5"/>
        <v>48</v>
      </c>
      <c r="I289" s="744">
        <v>1</v>
      </c>
      <c r="J289" s="744">
        <v>28</v>
      </c>
      <c r="K289" s="744">
        <v>25</v>
      </c>
      <c r="L289" s="744" t="s">
        <v>2903</v>
      </c>
      <c r="M289" s="744" t="s">
        <v>606</v>
      </c>
      <c r="O289" t="s">
        <v>532</v>
      </c>
    </row>
    <row r="290" spans="2:15">
      <c r="B290" s="744" t="s">
        <v>2904</v>
      </c>
      <c r="C290" s="744" t="s">
        <v>2734</v>
      </c>
      <c r="D290" s="744" t="s">
        <v>532</v>
      </c>
      <c r="E290" s="744" t="s">
        <v>2901</v>
      </c>
      <c r="F290" s="746" t="s">
        <v>2885</v>
      </c>
      <c r="G290" s="747" t="s">
        <v>2288</v>
      </c>
      <c r="H290" s="747">
        <f t="shared" si="5"/>
        <v>48</v>
      </c>
      <c r="I290" s="744">
        <v>1</v>
      </c>
      <c r="J290" s="744">
        <v>28</v>
      </c>
      <c r="K290" s="744">
        <v>24</v>
      </c>
      <c r="L290" s="744" t="s">
        <v>2904</v>
      </c>
      <c r="M290" s="744" t="s">
        <v>606</v>
      </c>
      <c r="O290" t="s">
        <v>532</v>
      </c>
    </row>
    <row r="291" spans="2:15">
      <c r="B291" s="744" t="s">
        <v>2905</v>
      </c>
      <c r="C291" s="744" t="s">
        <v>2734</v>
      </c>
      <c r="D291" s="744" t="s">
        <v>532</v>
      </c>
      <c r="E291" s="744" t="s">
        <v>2901</v>
      </c>
      <c r="F291" s="746" t="s">
        <v>2887</v>
      </c>
      <c r="G291" s="747" t="s">
        <v>2288</v>
      </c>
      <c r="H291" s="747">
        <f t="shared" si="5"/>
        <v>48</v>
      </c>
      <c r="I291" s="744">
        <v>1</v>
      </c>
      <c r="J291" s="744">
        <v>28</v>
      </c>
      <c r="K291" s="744">
        <v>23</v>
      </c>
      <c r="L291" s="744" t="s">
        <v>2905</v>
      </c>
      <c r="M291" s="744" t="s">
        <v>606</v>
      </c>
      <c r="O291" t="s">
        <v>532</v>
      </c>
    </row>
    <row r="292" spans="2:15">
      <c r="B292" s="744" t="s">
        <v>2906</v>
      </c>
      <c r="C292" s="744" t="s">
        <v>2734</v>
      </c>
      <c r="D292" s="744" t="s">
        <v>532</v>
      </c>
      <c r="E292" s="744" t="s">
        <v>2901</v>
      </c>
      <c r="F292" s="746" t="s">
        <v>2889</v>
      </c>
      <c r="G292" s="747" t="s">
        <v>2288</v>
      </c>
      <c r="H292" s="747">
        <f t="shared" si="5"/>
        <v>48</v>
      </c>
      <c r="I292" s="744">
        <v>1</v>
      </c>
      <c r="J292" s="744">
        <v>28</v>
      </c>
      <c r="K292" s="744">
        <v>22</v>
      </c>
      <c r="L292" s="744" t="s">
        <v>2906</v>
      </c>
      <c r="M292" s="744" t="s">
        <v>606</v>
      </c>
      <c r="O292" t="s">
        <v>532</v>
      </c>
    </row>
    <row r="293" spans="2:15">
      <c r="B293" s="744" t="s">
        <v>2907</v>
      </c>
      <c r="C293" s="744" t="s">
        <v>2734</v>
      </c>
      <c r="D293" s="744" t="s">
        <v>532</v>
      </c>
      <c r="E293" s="744" t="s">
        <v>2901</v>
      </c>
      <c r="F293" s="746" t="s">
        <v>2891</v>
      </c>
      <c r="G293" s="747" t="s">
        <v>2288</v>
      </c>
      <c r="H293" s="747">
        <f t="shared" si="5"/>
        <v>48</v>
      </c>
      <c r="I293" s="744">
        <v>1</v>
      </c>
      <c r="J293" s="744">
        <v>28</v>
      </c>
      <c r="K293" s="744">
        <v>22</v>
      </c>
      <c r="L293" s="744" t="s">
        <v>2907</v>
      </c>
      <c r="M293" s="744" t="s">
        <v>606</v>
      </c>
      <c r="O293" t="s">
        <v>532</v>
      </c>
    </row>
    <row r="294" spans="2:15">
      <c r="B294" s="744" t="s">
        <v>2908</v>
      </c>
      <c r="C294" s="744" t="s">
        <v>2734</v>
      </c>
      <c r="D294" s="744" t="s">
        <v>532</v>
      </c>
      <c r="E294" s="744" t="s">
        <v>2901</v>
      </c>
      <c r="F294" s="746" t="s">
        <v>2893</v>
      </c>
      <c r="G294" s="747" t="s">
        <v>2288</v>
      </c>
      <c r="H294" s="747">
        <f t="shared" si="5"/>
        <v>48</v>
      </c>
      <c r="I294" s="744">
        <v>1</v>
      </c>
      <c r="J294" s="744">
        <v>28</v>
      </c>
      <c r="K294" s="744">
        <v>21</v>
      </c>
      <c r="L294" s="744" t="s">
        <v>2908</v>
      </c>
      <c r="M294" s="744" t="s">
        <v>606</v>
      </c>
      <c r="O294" t="s">
        <v>532</v>
      </c>
    </row>
    <row r="295" spans="2:15">
      <c r="B295" s="744" t="s">
        <v>2909</v>
      </c>
      <c r="C295" s="744" t="s">
        <v>2734</v>
      </c>
      <c r="D295" s="744" t="s">
        <v>532</v>
      </c>
      <c r="E295" s="744" t="s">
        <v>2901</v>
      </c>
      <c r="F295" s="746" t="s">
        <v>2895</v>
      </c>
      <c r="G295" s="747" t="s">
        <v>2288</v>
      </c>
      <c r="H295" s="747">
        <f t="shared" si="5"/>
        <v>48</v>
      </c>
      <c r="I295" s="744">
        <v>1</v>
      </c>
      <c r="J295" s="744">
        <v>28</v>
      </c>
      <c r="K295" s="744">
        <v>33</v>
      </c>
      <c r="L295" s="744" t="s">
        <v>2909</v>
      </c>
      <c r="M295" s="744" t="s">
        <v>606</v>
      </c>
      <c r="O295" t="s">
        <v>532</v>
      </c>
    </row>
    <row r="296" spans="2:15">
      <c r="B296" s="744" t="s">
        <v>2910</v>
      </c>
      <c r="C296" s="744" t="s">
        <v>2734</v>
      </c>
      <c r="D296" s="744" t="s">
        <v>532</v>
      </c>
      <c r="E296" s="744" t="s">
        <v>2901</v>
      </c>
      <c r="F296" s="746" t="s">
        <v>2897</v>
      </c>
      <c r="G296" s="747" t="s">
        <v>2288</v>
      </c>
      <c r="H296" s="747">
        <f t="shared" si="5"/>
        <v>48</v>
      </c>
      <c r="I296" s="744">
        <v>1</v>
      </c>
      <c r="J296" s="744">
        <v>28</v>
      </c>
      <c r="K296" s="744">
        <v>32</v>
      </c>
      <c r="L296" s="744" t="s">
        <v>2910</v>
      </c>
      <c r="M296" s="744" t="s">
        <v>606</v>
      </c>
      <c r="O296" t="s">
        <v>532</v>
      </c>
    </row>
    <row r="297" spans="2:15">
      <c r="B297" s="744" t="s">
        <v>2911</v>
      </c>
      <c r="C297" s="744" t="s">
        <v>2734</v>
      </c>
      <c r="D297" s="744" t="s">
        <v>532</v>
      </c>
      <c r="E297" s="744" t="s">
        <v>2901</v>
      </c>
      <c r="F297" s="746" t="s">
        <v>2899</v>
      </c>
      <c r="G297" s="747" t="s">
        <v>2288</v>
      </c>
      <c r="H297" s="747">
        <f t="shared" si="5"/>
        <v>48</v>
      </c>
      <c r="I297" s="744">
        <v>1</v>
      </c>
      <c r="J297" s="744">
        <v>28</v>
      </c>
      <c r="K297" s="744">
        <v>32</v>
      </c>
      <c r="L297" s="744" t="s">
        <v>2911</v>
      </c>
      <c r="M297" s="744" t="s">
        <v>606</v>
      </c>
      <c r="O297" t="s">
        <v>532</v>
      </c>
    </row>
    <row r="298" spans="2:15">
      <c r="B298" s="744" t="s">
        <v>2912</v>
      </c>
      <c r="C298" s="744" t="s">
        <v>2734</v>
      </c>
      <c r="D298" s="744" t="s">
        <v>532</v>
      </c>
      <c r="E298" s="744" t="s">
        <v>2875</v>
      </c>
      <c r="F298" s="746" t="s">
        <v>2913</v>
      </c>
      <c r="G298" s="747" t="s">
        <v>2288</v>
      </c>
      <c r="H298" s="747">
        <f t="shared" si="5"/>
        <v>48</v>
      </c>
      <c r="I298" s="744">
        <v>1</v>
      </c>
      <c r="J298" s="744">
        <v>32</v>
      </c>
      <c r="K298" s="744">
        <v>30</v>
      </c>
      <c r="L298" s="744" t="s">
        <v>2912</v>
      </c>
      <c r="M298" s="744" t="s">
        <v>606</v>
      </c>
      <c r="O298" t="s">
        <v>532</v>
      </c>
    </row>
    <row r="299" spans="2:15">
      <c r="B299" s="744" t="s">
        <v>2914</v>
      </c>
      <c r="C299" s="744" t="s">
        <v>2734</v>
      </c>
      <c r="D299" s="744" t="s">
        <v>532</v>
      </c>
      <c r="E299" s="744" t="s">
        <v>2875</v>
      </c>
      <c r="F299" s="746" t="s">
        <v>2915</v>
      </c>
      <c r="G299" s="747" t="s">
        <v>2288</v>
      </c>
      <c r="H299" s="747">
        <f t="shared" si="5"/>
        <v>48</v>
      </c>
      <c r="I299" s="744">
        <v>1</v>
      </c>
      <c r="J299" s="744">
        <v>32</v>
      </c>
      <c r="K299" s="744">
        <v>33</v>
      </c>
      <c r="L299" s="744" t="s">
        <v>2914</v>
      </c>
      <c r="M299" s="744" t="s">
        <v>606</v>
      </c>
      <c r="O299" t="s">
        <v>532</v>
      </c>
    </row>
    <row r="300" spans="2:15">
      <c r="B300" s="744" t="s">
        <v>2916</v>
      </c>
      <c r="C300" s="744" t="s">
        <v>2734</v>
      </c>
      <c r="D300" s="744" t="s">
        <v>532</v>
      </c>
      <c r="E300" s="744" t="s">
        <v>2875</v>
      </c>
      <c r="F300" s="746" t="s">
        <v>2917</v>
      </c>
      <c r="G300" s="747" t="s">
        <v>2288</v>
      </c>
      <c r="H300" s="747">
        <f t="shared" si="5"/>
        <v>48</v>
      </c>
      <c r="I300" s="744">
        <v>1</v>
      </c>
      <c r="J300" s="744">
        <v>32</v>
      </c>
      <c r="K300" s="744">
        <v>26</v>
      </c>
      <c r="L300" s="744" t="s">
        <v>2916</v>
      </c>
      <c r="M300" s="744" t="s">
        <v>606</v>
      </c>
      <c r="O300" t="s">
        <v>532</v>
      </c>
    </row>
    <row r="301" spans="2:15">
      <c r="B301" s="744" t="s">
        <v>2918</v>
      </c>
      <c r="C301" s="744" t="s">
        <v>2734</v>
      </c>
      <c r="D301" s="744" t="s">
        <v>532</v>
      </c>
      <c r="E301" s="744" t="s">
        <v>2875</v>
      </c>
      <c r="F301" s="746" t="s">
        <v>2919</v>
      </c>
      <c r="G301" s="747" t="s">
        <v>2288</v>
      </c>
      <c r="H301" s="747">
        <f t="shared" si="5"/>
        <v>48</v>
      </c>
      <c r="I301" s="744">
        <v>1</v>
      </c>
      <c r="J301" s="744">
        <v>32</v>
      </c>
      <c r="K301" s="744">
        <v>30</v>
      </c>
      <c r="L301" s="744" t="s">
        <v>2918</v>
      </c>
      <c r="M301" s="744" t="s">
        <v>606</v>
      </c>
      <c r="O301" t="s">
        <v>532</v>
      </c>
    </row>
    <row r="302" spans="2:15">
      <c r="B302" s="744" t="s">
        <v>2920</v>
      </c>
      <c r="C302" s="744" t="s">
        <v>2734</v>
      </c>
      <c r="D302" s="744" t="s">
        <v>532</v>
      </c>
      <c r="E302" s="744" t="s">
        <v>2875</v>
      </c>
      <c r="F302" s="746" t="s">
        <v>2921</v>
      </c>
      <c r="G302" s="747" t="s">
        <v>2288</v>
      </c>
      <c r="H302" s="747">
        <f t="shared" si="5"/>
        <v>48</v>
      </c>
      <c r="I302" s="744">
        <v>1</v>
      </c>
      <c r="J302" s="744">
        <v>32</v>
      </c>
      <c r="K302" s="744">
        <v>31</v>
      </c>
      <c r="L302" s="744" t="s">
        <v>2920</v>
      </c>
      <c r="M302" s="744" t="s">
        <v>606</v>
      </c>
      <c r="O302" t="s">
        <v>532</v>
      </c>
    </row>
    <row r="303" spans="2:15">
      <c r="B303" s="744" t="s">
        <v>2922</v>
      </c>
      <c r="C303" s="744" t="s">
        <v>2734</v>
      </c>
      <c r="D303" s="744" t="s">
        <v>532</v>
      </c>
      <c r="E303" s="744" t="s">
        <v>2875</v>
      </c>
      <c r="F303" s="746" t="s">
        <v>2923</v>
      </c>
      <c r="G303" s="747" t="s">
        <v>2288</v>
      </c>
      <c r="H303" s="747">
        <f t="shared" si="5"/>
        <v>48</v>
      </c>
      <c r="I303" s="744">
        <v>1</v>
      </c>
      <c r="J303" s="744">
        <v>32</v>
      </c>
      <c r="K303" s="744">
        <v>26</v>
      </c>
      <c r="L303" s="744" t="s">
        <v>2922</v>
      </c>
      <c r="M303" s="744" t="s">
        <v>606</v>
      </c>
      <c r="O303" t="s">
        <v>532</v>
      </c>
    </row>
    <row r="304" spans="2:15">
      <c r="B304" s="744" t="s">
        <v>2924</v>
      </c>
      <c r="C304" s="744" t="s">
        <v>2734</v>
      </c>
      <c r="D304" s="744" t="s">
        <v>532</v>
      </c>
      <c r="E304" s="744" t="s">
        <v>2875</v>
      </c>
      <c r="F304" s="746" t="s">
        <v>2925</v>
      </c>
      <c r="G304" s="747" t="s">
        <v>2288</v>
      </c>
      <c r="H304" s="747">
        <f t="shared" si="5"/>
        <v>48</v>
      </c>
      <c r="I304" s="744">
        <v>1</v>
      </c>
      <c r="J304" s="744">
        <v>32</v>
      </c>
      <c r="K304" s="744">
        <v>28</v>
      </c>
      <c r="L304" s="744" t="s">
        <v>2924</v>
      </c>
      <c r="M304" s="744" t="s">
        <v>606</v>
      </c>
      <c r="O304" t="s">
        <v>532</v>
      </c>
    </row>
    <row r="305" spans="2:15">
      <c r="B305" s="744" t="s">
        <v>2926</v>
      </c>
      <c r="C305" s="744" t="s">
        <v>2734</v>
      </c>
      <c r="D305" s="744" t="s">
        <v>532</v>
      </c>
      <c r="E305" s="744" t="s">
        <v>2875</v>
      </c>
      <c r="F305" s="746" t="s">
        <v>2927</v>
      </c>
      <c r="G305" s="747" t="s">
        <v>2288</v>
      </c>
      <c r="H305" s="747">
        <f t="shared" si="5"/>
        <v>48</v>
      </c>
      <c r="I305" s="744">
        <v>1</v>
      </c>
      <c r="J305" s="744">
        <v>32</v>
      </c>
      <c r="K305" s="744">
        <v>26</v>
      </c>
      <c r="L305" s="744" t="s">
        <v>2926</v>
      </c>
      <c r="M305" s="744" t="s">
        <v>606</v>
      </c>
      <c r="O305" t="s">
        <v>532</v>
      </c>
    </row>
    <row r="306" spans="2:15">
      <c r="B306" s="744" t="s">
        <v>2928</v>
      </c>
      <c r="C306" s="744" t="s">
        <v>2734</v>
      </c>
      <c r="D306" s="744" t="s">
        <v>532</v>
      </c>
      <c r="E306" s="744" t="s">
        <v>2875</v>
      </c>
      <c r="F306" s="746" t="s">
        <v>2929</v>
      </c>
      <c r="G306" s="747" t="s">
        <v>2288</v>
      </c>
      <c r="H306" s="747">
        <f t="shared" si="5"/>
        <v>48</v>
      </c>
      <c r="I306" s="744">
        <v>1</v>
      </c>
      <c r="J306" s="744">
        <v>32</v>
      </c>
      <c r="K306" s="744">
        <v>36</v>
      </c>
      <c r="L306" s="744" t="s">
        <v>2928</v>
      </c>
      <c r="M306" s="744" t="s">
        <v>606</v>
      </c>
      <c r="O306" t="s">
        <v>532</v>
      </c>
    </row>
    <row r="307" spans="2:15">
      <c r="B307" s="744" t="s">
        <v>2930</v>
      </c>
      <c r="C307" s="744" t="s">
        <v>2734</v>
      </c>
      <c r="D307" s="744" t="s">
        <v>532</v>
      </c>
      <c r="E307" s="744" t="s">
        <v>2875</v>
      </c>
      <c r="F307" s="746" t="s">
        <v>2931</v>
      </c>
      <c r="G307" s="747" t="s">
        <v>2768</v>
      </c>
      <c r="H307" s="747">
        <f t="shared" si="5"/>
        <v>48</v>
      </c>
      <c r="I307" s="744">
        <v>1</v>
      </c>
      <c r="J307" s="744">
        <v>32</v>
      </c>
      <c r="K307" s="744">
        <v>35</v>
      </c>
      <c r="L307" s="744" t="s">
        <v>2930</v>
      </c>
      <c r="M307" s="744" t="s">
        <v>606</v>
      </c>
      <c r="O307" t="s">
        <v>532</v>
      </c>
    </row>
    <row r="308" spans="2:15">
      <c r="B308" s="744" t="s">
        <v>2932</v>
      </c>
      <c r="C308" s="744" t="s">
        <v>2734</v>
      </c>
      <c r="D308" s="744" t="s">
        <v>532</v>
      </c>
      <c r="E308" s="744" t="s">
        <v>2875</v>
      </c>
      <c r="F308" s="746" t="s">
        <v>2933</v>
      </c>
      <c r="G308" s="747" t="s">
        <v>2288</v>
      </c>
      <c r="H308" s="747">
        <f t="shared" si="5"/>
        <v>48</v>
      </c>
      <c r="I308" s="744">
        <v>1</v>
      </c>
      <c r="J308" s="744">
        <v>32</v>
      </c>
      <c r="K308" s="744">
        <v>32</v>
      </c>
      <c r="L308" s="744" t="s">
        <v>2932</v>
      </c>
      <c r="M308" s="744" t="s">
        <v>606</v>
      </c>
      <c r="O308" t="s">
        <v>532</v>
      </c>
    </row>
    <row r="309" spans="2:15">
      <c r="B309" s="744" t="s">
        <v>2934</v>
      </c>
      <c r="C309" s="744" t="s">
        <v>2734</v>
      </c>
      <c r="D309" s="744" t="s">
        <v>532</v>
      </c>
      <c r="E309" s="744" t="s">
        <v>2875</v>
      </c>
      <c r="F309" s="746" t="s">
        <v>2935</v>
      </c>
      <c r="G309" s="747" t="s">
        <v>2288</v>
      </c>
      <c r="H309" s="747">
        <f t="shared" si="5"/>
        <v>48</v>
      </c>
      <c r="I309" s="744">
        <v>1</v>
      </c>
      <c r="J309" s="744">
        <v>32</v>
      </c>
      <c r="K309" s="744">
        <v>30</v>
      </c>
      <c r="L309" s="744" t="s">
        <v>2934</v>
      </c>
      <c r="M309" s="744" t="s">
        <v>606</v>
      </c>
      <c r="O309" t="s">
        <v>532</v>
      </c>
    </row>
    <row r="310" spans="2:15">
      <c r="B310" s="744" t="s">
        <v>2936</v>
      </c>
      <c r="C310" s="744" t="s">
        <v>2734</v>
      </c>
      <c r="D310" s="744" t="s">
        <v>532</v>
      </c>
      <c r="E310" s="744" t="s">
        <v>2875</v>
      </c>
      <c r="F310" s="746" t="s">
        <v>2937</v>
      </c>
      <c r="G310" s="747" t="s">
        <v>2288</v>
      </c>
      <c r="H310" s="747">
        <f t="shared" si="5"/>
        <v>48</v>
      </c>
      <c r="I310" s="744">
        <v>1</v>
      </c>
      <c r="J310" s="744">
        <v>32</v>
      </c>
      <c r="K310" s="744">
        <v>39</v>
      </c>
      <c r="L310" s="744" t="s">
        <v>2936</v>
      </c>
      <c r="M310" s="744" t="s">
        <v>606</v>
      </c>
      <c r="O310" t="s">
        <v>532</v>
      </c>
    </row>
    <row r="311" spans="2:15">
      <c r="B311" s="744" t="s">
        <v>2938</v>
      </c>
      <c r="C311" s="744" t="s">
        <v>2734</v>
      </c>
      <c r="D311" s="744" t="s">
        <v>532</v>
      </c>
      <c r="E311" s="744" t="s">
        <v>2875</v>
      </c>
      <c r="F311" s="746" t="s">
        <v>2939</v>
      </c>
      <c r="G311" s="747" t="s">
        <v>2288</v>
      </c>
      <c r="H311" s="747">
        <f t="shared" si="5"/>
        <v>48</v>
      </c>
      <c r="I311" s="744">
        <v>1</v>
      </c>
      <c r="J311" s="744">
        <v>32</v>
      </c>
      <c r="K311" s="744">
        <v>27</v>
      </c>
      <c r="L311" s="744" t="s">
        <v>2938</v>
      </c>
      <c r="M311" s="744" t="s">
        <v>606</v>
      </c>
      <c r="O311" t="s">
        <v>532</v>
      </c>
    </row>
    <row r="312" spans="2:15">
      <c r="B312" s="744" t="s">
        <v>2940</v>
      </c>
      <c r="C312" s="744" t="s">
        <v>2734</v>
      </c>
      <c r="D312" s="744" t="s">
        <v>532</v>
      </c>
      <c r="E312" s="744" t="s">
        <v>2875</v>
      </c>
      <c r="F312" s="746" t="s">
        <v>2941</v>
      </c>
      <c r="G312" s="747" t="s">
        <v>2288</v>
      </c>
      <c r="H312" s="747">
        <f t="shared" si="5"/>
        <v>48</v>
      </c>
      <c r="I312" s="744">
        <v>1</v>
      </c>
      <c r="J312" s="744">
        <v>32</v>
      </c>
      <c r="K312" s="744">
        <v>31</v>
      </c>
      <c r="L312" s="744" t="s">
        <v>2940</v>
      </c>
      <c r="M312" s="744" t="s">
        <v>606</v>
      </c>
      <c r="O312" t="s">
        <v>532</v>
      </c>
    </row>
    <row r="313" spans="2:15">
      <c r="B313" s="744" t="s">
        <v>2942</v>
      </c>
      <c r="C313" s="744" t="s">
        <v>2734</v>
      </c>
      <c r="D313" s="744" t="s">
        <v>532</v>
      </c>
      <c r="E313" s="744" t="s">
        <v>2875</v>
      </c>
      <c r="F313" s="746" t="s">
        <v>2943</v>
      </c>
      <c r="G313" s="747" t="s">
        <v>2288</v>
      </c>
      <c r="H313" s="747">
        <f t="shared" si="5"/>
        <v>48</v>
      </c>
      <c r="I313" s="744">
        <v>1</v>
      </c>
      <c r="J313" s="744">
        <v>32</v>
      </c>
      <c r="K313" s="744">
        <v>33</v>
      </c>
      <c r="L313" s="744" t="s">
        <v>2942</v>
      </c>
      <c r="M313" s="744" t="s">
        <v>606</v>
      </c>
      <c r="O313" t="s">
        <v>532</v>
      </c>
    </row>
    <row r="314" spans="2:15">
      <c r="B314" s="744" t="s">
        <v>2944</v>
      </c>
      <c r="C314" s="744" t="s">
        <v>2734</v>
      </c>
      <c r="D314" s="744" t="s">
        <v>532</v>
      </c>
      <c r="E314" s="744" t="s">
        <v>2875</v>
      </c>
      <c r="F314" s="746" t="s">
        <v>2945</v>
      </c>
      <c r="G314" s="747" t="s">
        <v>2288</v>
      </c>
      <c r="H314" s="747">
        <f t="shared" si="5"/>
        <v>48</v>
      </c>
      <c r="I314" s="744">
        <v>1</v>
      </c>
      <c r="J314" s="744">
        <v>32</v>
      </c>
      <c r="K314" s="744">
        <v>25</v>
      </c>
      <c r="L314" s="744" t="s">
        <v>2944</v>
      </c>
      <c r="M314" s="744" t="s">
        <v>606</v>
      </c>
      <c r="O314" t="s">
        <v>532</v>
      </c>
    </row>
    <row r="315" spans="2:15">
      <c r="B315" s="744" t="s">
        <v>2946</v>
      </c>
      <c r="C315" s="744" t="s">
        <v>2734</v>
      </c>
      <c r="D315" s="744" t="s">
        <v>532</v>
      </c>
      <c r="E315" s="744" t="s">
        <v>2875</v>
      </c>
      <c r="F315" s="746" t="s">
        <v>2947</v>
      </c>
      <c r="G315" s="747" t="s">
        <v>2288</v>
      </c>
      <c r="H315" s="747">
        <f t="shared" si="5"/>
        <v>48</v>
      </c>
      <c r="I315" s="744">
        <v>1</v>
      </c>
      <c r="J315" s="744">
        <v>32</v>
      </c>
      <c r="K315" s="744">
        <v>30</v>
      </c>
      <c r="L315" s="744" t="s">
        <v>2946</v>
      </c>
      <c r="M315" s="744" t="s">
        <v>606</v>
      </c>
      <c r="O315" t="s">
        <v>532</v>
      </c>
    </row>
    <row r="316" spans="2:15">
      <c r="B316" s="744" t="s">
        <v>2948</v>
      </c>
      <c r="C316" s="744" t="s">
        <v>2734</v>
      </c>
      <c r="D316" s="744" t="s">
        <v>532</v>
      </c>
      <c r="E316" s="744" t="s">
        <v>2875</v>
      </c>
      <c r="F316" s="746" t="s">
        <v>2949</v>
      </c>
      <c r="G316" s="747" t="s">
        <v>2288</v>
      </c>
      <c r="H316" s="747">
        <f t="shared" si="5"/>
        <v>48</v>
      </c>
      <c r="I316" s="744">
        <v>1</v>
      </c>
      <c r="J316" s="744">
        <v>32</v>
      </c>
      <c r="K316" s="744">
        <v>26</v>
      </c>
      <c r="L316" s="744" t="s">
        <v>2948</v>
      </c>
      <c r="M316" s="744" t="s">
        <v>606</v>
      </c>
      <c r="O316" t="s">
        <v>532</v>
      </c>
    </row>
    <row r="317" spans="2:15">
      <c r="B317" s="744" t="s">
        <v>2950</v>
      </c>
      <c r="C317" s="744" t="s">
        <v>2734</v>
      </c>
      <c r="D317" s="744" t="s">
        <v>532</v>
      </c>
      <c r="E317" s="744" t="s">
        <v>2875</v>
      </c>
      <c r="F317" s="746" t="s">
        <v>2951</v>
      </c>
      <c r="G317" s="747" t="s">
        <v>2288</v>
      </c>
      <c r="H317" s="747">
        <f t="shared" si="5"/>
        <v>48</v>
      </c>
      <c r="I317" s="744">
        <v>1</v>
      </c>
      <c r="J317" s="744">
        <v>32</v>
      </c>
      <c r="K317" s="744">
        <v>39</v>
      </c>
      <c r="L317" s="744" t="s">
        <v>2950</v>
      </c>
      <c r="M317" s="744" t="s">
        <v>606</v>
      </c>
      <c r="O317" t="s">
        <v>532</v>
      </c>
    </row>
    <row r="318" spans="2:15">
      <c r="B318" s="744" t="s">
        <v>2952</v>
      </c>
      <c r="C318" s="744" t="s">
        <v>2734</v>
      </c>
      <c r="D318" s="744" t="s">
        <v>532</v>
      </c>
      <c r="E318" s="744" t="s">
        <v>2875</v>
      </c>
      <c r="F318" s="746" t="s">
        <v>2953</v>
      </c>
      <c r="G318" s="747" t="s">
        <v>2288</v>
      </c>
      <c r="H318" s="747">
        <f t="shared" si="5"/>
        <v>48</v>
      </c>
      <c r="I318" s="744">
        <v>1</v>
      </c>
      <c r="J318" s="744">
        <v>32</v>
      </c>
      <c r="K318" s="744">
        <v>27</v>
      </c>
      <c r="L318" s="744" t="s">
        <v>2952</v>
      </c>
      <c r="M318" s="744" t="s">
        <v>606</v>
      </c>
      <c r="O318" t="s">
        <v>532</v>
      </c>
    </row>
    <row r="319" spans="2:15">
      <c r="B319" s="743" t="s">
        <v>2954</v>
      </c>
      <c r="C319" s="744" t="s">
        <v>2734</v>
      </c>
      <c r="D319" s="744" t="s">
        <v>532</v>
      </c>
      <c r="E319" s="743" t="s">
        <v>2802</v>
      </c>
      <c r="F319" s="741" t="s">
        <v>2955</v>
      </c>
      <c r="G319" s="749" t="s">
        <v>2288</v>
      </c>
      <c r="H319" s="747">
        <f t="shared" si="5"/>
        <v>48</v>
      </c>
      <c r="I319" s="743">
        <v>1</v>
      </c>
      <c r="J319" s="743">
        <v>25</v>
      </c>
      <c r="K319" s="743">
        <v>22</v>
      </c>
      <c r="L319" s="743" t="s">
        <v>2954</v>
      </c>
      <c r="M319" s="744" t="s">
        <v>606</v>
      </c>
      <c r="O319" t="s">
        <v>532</v>
      </c>
    </row>
    <row r="320" spans="2:15">
      <c r="B320" s="743" t="s">
        <v>2956</v>
      </c>
      <c r="C320" s="744" t="s">
        <v>2734</v>
      </c>
      <c r="D320" s="744" t="s">
        <v>532</v>
      </c>
      <c r="E320" s="743" t="s">
        <v>2802</v>
      </c>
      <c r="F320" s="741" t="s">
        <v>2957</v>
      </c>
      <c r="G320" s="749" t="s">
        <v>2288</v>
      </c>
      <c r="H320" s="747">
        <f t="shared" si="5"/>
        <v>48</v>
      </c>
      <c r="I320" s="743">
        <v>1</v>
      </c>
      <c r="J320" s="743">
        <v>25</v>
      </c>
      <c r="K320" s="743">
        <v>22</v>
      </c>
      <c r="L320" s="743" t="s">
        <v>2956</v>
      </c>
      <c r="M320" s="744" t="s">
        <v>606</v>
      </c>
      <c r="O320" t="s">
        <v>532</v>
      </c>
    </row>
    <row r="321" spans="2:15">
      <c r="B321" s="743" t="s">
        <v>2958</v>
      </c>
      <c r="C321" s="744" t="s">
        <v>2734</v>
      </c>
      <c r="D321" s="744" t="s">
        <v>532</v>
      </c>
      <c r="E321" s="743" t="s">
        <v>2802</v>
      </c>
      <c r="F321" s="741" t="s">
        <v>2959</v>
      </c>
      <c r="G321" s="749" t="s">
        <v>2288</v>
      </c>
      <c r="H321" s="747">
        <f t="shared" si="5"/>
        <v>48</v>
      </c>
      <c r="I321" s="743">
        <v>1</v>
      </c>
      <c r="J321" s="743">
        <v>25</v>
      </c>
      <c r="K321" s="743">
        <v>22</v>
      </c>
      <c r="L321" s="743" t="s">
        <v>2958</v>
      </c>
      <c r="M321" s="744" t="s">
        <v>606</v>
      </c>
      <c r="O321" t="s">
        <v>532</v>
      </c>
    </row>
    <row r="322" spans="2:15">
      <c r="B322" s="743" t="s">
        <v>2960</v>
      </c>
      <c r="C322" s="744" t="s">
        <v>2734</v>
      </c>
      <c r="D322" s="744" t="s">
        <v>532</v>
      </c>
      <c r="E322" s="743" t="s">
        <v>2802</v>
      </c>
      <c r="F322" s="741" t="s">
        <v>2961</v>
      </c>
      <c r="G322" s="749" t="s">
        <v>2288</v>
      </c>
      <c r="H322" s="747">
        <f t="shared" si="5"/>
        <v>48</v>
      </c>
      <c r="I322" s="743">
        <v>1</v>
      </c>
      <c r="J322" s="743">
        <v>25</v>
      </c>
      <c r="K322" s="743">
        <v>22</v>
      </c>
      <c r="L322" s="743" t="s">
        <v>2960</v>
      </c>
      <c r="M322" s="744" t="s">
        <v>606</v>
      </c>
      <c r="O322" t="s">
        <v>532</v>
      </c>
    </row>
    <row r="323" spans="2:15">
      <c r="B323" s="743" t="s">
        <v>2962</v>
      </c>
      <c r="C323" s="744" t="s">
        <v>2734</v>
      </c>
      <c r="D323" s="744" t="s">
        <v>532</v>
      </c>
      <c r="E323" s="743" t="s">
        <v>2802</v>
      </c>
      <c r="F323" s="741" t="s">
        <v>2963</v>
      </c>
      <c r="G323" s="749" t="s">
        <v>2288</v>
      </c>
      <c r="H323" s="747">
        <f t="shared" si="5"/>
        <v>48</v>
      </c>
      <c r="I323" s="743">
        <v>1</v>
      </c>
      <c r="J323" s="743">
        <v>25</v>
      </c>
      <c r="K323" s="743">
        <v>20</v>
      </c>
      <c r="L323" s="743" t="s">
        <v>2962</v>
      </c>
      <c r="M323" s="744" t="s">
        <v>606</v>
      </c>
      <c r="O323" t="s">
        <v>532</v>
      </c>
    </row>
    <row r="324" spans="2:15">
      <c r="B324" s="743" t="s">
        <v>2964</v>
      </c>
      <c r="C324" s="744" t="s">
        <v>2734</v>
      </c>
      <c r="D324" s="744" t="s">
        <v>532</v>
      </c>
      <c r="E324" s="743" t="s">
        <v>2802</v>
      </c>
      <c r="F324" s="741" t="s">
        <v>2965</v>
      </c>
      <c r="G324" s="749" t="s">
        <v>2288</v>
      </c>
      <c r="H324" s="747">
        <f t="shared" si="5"/>
        <v>48</v>
      </c>
      <c r="I324" s="743">
        <v>1</v>
      </c>
      <c r="J324" s="743">
        <v>25</v>
      </c>
      <c r="K324" s="743">
        <v>19</v>
      </c>
      <c r="L324" s="743" t="s">
        <v>2964</v>
      </c>
      <c r="M324" s="744" t="s">
        <v>606</v>
      </c>
      <c r="O324" t="s">
        <v>532</v>
      </c>
    </row>
    <row r="325" spans="2:15">
      <c r="B325" s="743" t="s">
        <v>2966</v>
      </c>
      <c r="C325" s="744" t="s">
        <v>2734</v>
      </c>
      <c r="D325" s="744" t="s">
        <v>532</v>
      </c>
      <c r="E325" s="743" t="s">
        <v>2802</v>
      </c>
      <c r="F325" s="741" t="s">
        <v>2967</v>
      </c>
      <c r="G325" s="749" t="s">
        <v>2288</v>
      </c>
      <c r="H325" s="747">
        <f t="shared" si="5"/>
        <v>48</v>
      </c>
      <c r="I325" s="743">
        <v>1</v>
      </c>
      <c r="J325" s="743">
        <v>25</v>
      </c>
      <c r="K325" s="743">
        <v>19</v>
      </c>
      <c r="L325" s="743" t="s">
        <v>2966</v>
      </c>
      <c r="M325" s="744" t="s">
        <v>606</v>
      </c>
      <c r="O325" t="s">
        <v>532</v>
      </c>
    </row>
    <row r="326" spans="2:15">
      <c r="B326" s="743" t="s">
        <v>2968</v>
      </c>
      <c r="C326" s="744" t="s">
        <v>2734</v>
      </c>
      <c r="D326" s="744" t="s">
        <v>532</v>
      </c>
      <c r="E326" s="743" t="s">
        <v>2802</v>
      </c>
      <c r="F326" s="741" t="s">
        <v>2969</v>
      </c>
      <c r="G326" s="749" t="s">
        <v>2288</v>
      </c>
      <c r="H326" s="747">
        <f t="shared" si="5"/>
        <v>48</v>
      </c>
      <c r="I326" s="743">
        <v>1</v>
      </c>
      <c r="J326" s="743">
        <v>25</v>
      </c>
      <c r="K326" s="743">
        <v>19</v>
      </c>
      <c r="L326" s="743" t="s">
        <v>2968</v>
      </c>
      <c r="M326" s="744" t="s">
        <v>606</v>
      </c>
      <c r="O326" t="s">
        <v>532</v>
      </c>
    </row>
    <row r="327" spans="2:15">
      <c r="B327" s="743" t="s">
        <v>2970</v>
      </c>
      <c r="C327" s="744" t="s">
        <v>2734</v>
      </c>
      <c r="D327" s="744" t="s">
        <v>532</v>
      </c>
      <c r="E327" s="743" t="s">
        <v>2802</v>
      </c>
      <c r="F327" s="741" t="s">
        <v>2971</v>
      </c>
      <c r="G327" s="749" t="s">
        <v>2288</v>
      </c>
      <c r="H327" s="747">
        <f t="shared" si="5"/>
        <v>48</v>
      </c>
      <c r="I327" s="743">
        <v>1</v>
      </c>
      <c r="J327" s="743">
        <v>25</v>
      </c>
      <c r="K327" s="743">
        <v>30</v>
      </c>
      <c r="L327" s="743" t="s">
        <v>2970</v>
      </c>
      <c r="M327" s="744" t="s">
        <v>606</v>
      </c>
      <c r="O327" t="s">
        <v>532</v>
      </c>
    </row>
    <row r="328" spans="2:15">
      <c r="B328" s="743" t="s">
        <v>2972</v>
      </c>
      <c r="C328" s="744" t="s">
        <v>2734</v>
      </c>
      <c r="D328" s="744" t="s">
        <v>532</v>
      </c>
      <c r="E328" s="743" t="s">
        <v>2802</v>
      </c>
      <c r="F328" s="741" t="s">
        <v>2973</v>
      </c>
      <c r="G328" s="749" t="s">
        <v>2288</v>
      </c>
      <c r="H328" s="747">
        <f t="shared" si="5"/>
        <v>48</v>
      </c>
      <c r="I328" s="743">
        <v>1</v>
      </c>
      <c r="J328" s="743">
        <v>25</v>
      </c>
      <c r="K328" s="743">
        <v>30</v>
      </c>
      <c r="L328" s="743" t="s">
        <v>2972</v>
      </c>
      <c r="M328" s="744" t="s">
        <v>606</v>
      </c>
      <c r="O328" t="s">
        <v>532</v>
      </c>
    </row>
    <row r="329" spans="2:15">
      <c r="B329" s="743" t="s">
        <v>2974</v>
      </c>
      <c r="C329" s="744" t="s">
        <v>2734</v>
      </c>
      <c r="D329" s="744" t="s">
        <v>532</v>
      </c>
      <c r="E329" s="743" t="s">
        <v>2802</v>
      </c>
      <c r="F329" s="741" t="s">
        <v>2975</v>
      </c>
      <c r="G329" s="749" t="s">
        <v>2288</v>
      </c>
      <c r="H329" s="747">
        <f t="shared" si="5"/>
        <v>48</v>
      </c>
      <c r="I329" s="743">
        <v>1</v>
      </c>
      <c r="J329" s="743">
        <v>25</v>
      </c>
      <c r="K329" s="743">
        <v>30</v>
      </c>
      <c r="L329" s="743" t="s">
        <v>2974</v>
      </c>
      <c r="M329" s="744" t="s">
        <v>606</v>
      </c>
      <c r="O329" t="s">
        <v>532</v>
      </c>
    </row>
    <row r="330" spans="2:15">
      <c r="B330" s="743" t="s">
        <v>2976</v>
      </c>
      <c r="C330" s="744" t="s">
        <v>2734</v>
      </c>
      <c r="D330" s="744" t="s">
        <v>532</v>
      </c>
      <c r="E330" s="743" t="s">
        <v>2802</v>
      </c>
      <c r="F330" s="741" t="s">
        <v>2977</v>
      </c>
      <c r="G330" s="749" t="s">
        <v>2288</v>
      </c>
      <c r="H330" s="747">
        <f t="shared" si="5"/>
        <v>48</v>
      </c>
      <c r="I330" s="743">
        <v>1</v>
      </c>
      <c r="J330" s="743">
        <v>25</v>
      </c>
      <c r="K330" s="743">
        <v>29</v>
      </c>
      <c r="L330" s="743" t="s">
        <v>2976</v>
      </c>
      <c r="M330" s="744" t="s">
        <v>606</v>
      </c>
      <c r="O330" t="s">
        <v>532</v>
      </c>
    </row>
    <row r="331" spans="2:15">
      <c r="B331" s="744" t="s">
        <v>426</v>
      </c>
      <c r="C331" s="744" t="s">
        <v>2734</v>
      </c>
      <c r="D331" s="744" t="s">
        <v>532</v>
      </c>
      <c r="E331" s="744" t="s">
        <v>2875</v>
      </c>
      <c r="F331" s="746" t="s">
        <v>2978</v>
      </c>
      <c r="G331" s="747" t="s">
        <v>2288</v>
      </c>
      <c r="H331" s="747">
        <f t="shared" si="5"/>
        <v>48</v>
      </c>
      <c r="I331" s="744">
        <v>2</v>
      </c>
      <c r="J331" s="744">
        <v>32</v>
      </c>
      <c r="K331" s="744">
        <v>59</v>
      </c>
      <c r="L331" s="744" t="s">
        <v>426</v>
      </c>
      <c r="M331" s="744" t="s">
        <v>606</v>
      </c>
      <c r="O331" t="s">
        <v>532</v>
      </c>
    </row>
    <row r="332" spans="2:15">
      <c r="B332" s="744" t="s">
        <v>2979</v>
      </c>
      <c r="C332" s="744" t="s">
        <v>2734</v>
      </c>
      <c r="D332" s="744" t="s">
        <v>532</v>
      </c>
      <c r="E332" s="744" t="s">
        <v>2878</v>
      </c>
      <c r="F332" s="746" t="s">
        <v>2980</v>
      </c>
      <c r="G332" s="747" t="s">
        <v>2288</v>
      </c>
      <c r="H332" s="747">
        <f t="shared" si="5"/>
        <v>48</v>
      </c>
      <c r="I332" s="744">
        <v>2</v>
      </c>
      <c r="J332" s="744">
        <v>30</v>
      </c>
      <c r="K332" s="744">
        <v>53</v>
      </c>
      <c r="L332" s="744" t="s">
        <v>2979</v>
      </c>
      <c r="M332" s="744" t="s">
        <v>606</v>
      </c>
      <c r="O332" t="s">
        <v>532</v>
      </c>
    </row>
    <row r="333" spans="2:15">
      <c r="B333" s="744" t="s">
        <v>2981</v>
      </c>
      <c r="C333" s="744" t="s">
        <v>2734</v>
      </c>
      <c r="D333" s="744" t="s">
        <v>532</v>
      </c>
      <c r="E333" s="744" t="s">
        <v>2878</v>
      </c>
      <c r="F333" s="746" t="s">
        <v>2982</v>
      </c>
      <c r="G333" s="747" t="s">
        <v>2288</v>
      </c>
      <c r="H333" s="747">
        <f t="shared" si="5"/>
        <v>48</v>
      </c>
      <c r="I333" s="744">
        <v>2</v>
      </c>
      <c r="J333" s="744">
        <v>30</v>
      </c>
      <c r="K333" s="744">
        <v>52</v>
      </c>
      <c r="L333" s="744" t="s">
        <v>2983</v>
      </c>
      <c r="M333" s="744" t="s">
        <v>606</v>
      </c>
      <c r="O333" t="s">
        <v>532</v>
      </c>
    </row>
    <row r="334" spans="2:15">
      <c r="B334" s="744" t="s">
        <v>2984</v>
      </c>
      <c r="C334" s="744" t="s">
        <v>2734</v>
      </c>
      <c r="D334" s="744" t="s">
        <v>532</v>
      </c>
      <c r="E334" s="744" t="s">
        <v>2878</v>
      </c>
      <c r="F334" s="746" t="s">
        <v>2985</v>
      </c>
      <c r="G334" s="747" t="s">
        <v>2288</v>
      </c>
      <c r="H334" s="747">
        <f t="shared" si="5"/>
        <v>48</v>
      </c>
      <c r="I334" s="744">
        <v>2</v>
      </c>
      <c r="J334" s="744">
        <v>30</v>
      </c>
      <c r="K334" s="744">
        <v>47</v>
      </c>
      <c r="L334" s="744" t="s">
        <v>2984</v>
      </c>
      <c r="M334" s="744" t="s">
        <v>606</v>
      </c>
      <c r="O334" t="s">
        <v>532</v>
      </c>
    </row>
    <row r="335" spans="2:15">
      <c r="B335" s="744" t="s">
        <v>2986</v>
      </c>
      <c r="C335" s="744" t="s">
        <v>2734</v>
      </c>
      <c r="D335" s="744" t="s">
        <v>532</v>
      </c>
      <c r="E335" s="744" t="s">
        <v>2878</v>
      </c>
      <c r="F335" s="746" t="s">
        <v>2987</v>
      </c>
      <c r="G335" s="747" t="s">
        <v>2288</v>
      </c>
      <c r="H335" s="747">
        <f t="shared" ref="H335:H398" si="6">MID(B335,2,1)*12</f>
        <v>48</v>
      </c>
      <c r="I335" s="744">
        <v>2</v>
      </c>
      <c r="J335" s="744">
        <v>30</v>
      </c>
      <c r="K335" s="744">
        <v>46</v>
      </c>
      <c r="L335" s="744" t="s">
        <v>2988</v>
      </c>
      <c r="M335" s="744" t="s">
        <v>606</v>
      </c>
      <c r="O335" t="s">
        <v>532</v>
      </c>
    </row>
    <row r="336" spans="2:15">
      <c r="B336" s="744" t="s">
        <v>2989</v>
      </c>
      <c r="C336" s="744" t="s">
        <v>2734</v>
      </c>
      <c r="D336" s="744" t="s">
        <v>532</v>
      </c>
      <c r="E336" s="744" t="s">
        <v>2878</v>
      </c>
      <c r="F336" s="746" t="s">
        <v>2990</v>
      </c>
      <c r="G336" s="747" t="s">
        <v>2288</v>
      </c>
      <c r="H336" s="747">
        <f t="shared" si="6"/>
        <v>48</v>
      </c>
      <c r="I336" s="744">
        <v>2</v>
      </c>
      <c r="J336" s="744">
        <v>30</v>
      </c>
      <c r="K336" s="744">
        <v>72</v>
      </c>
      <c r="L336" s="744" t="s">
        <v>2989</v>
      </c>
      <c r="M336" s="744" t="s">
        <v>606</v>
      </c>
      <c r="O336" t="s">
        <v>532</v>
      </c>
    </row>
    <row r="337" spans="2:15">
      <c r="B337" s="744" t="s">
        <v>380</v>
      </c>
      <c r="C337" s="744" t="s">
        <v>2734</v>
      </c>
      <c r="D337" s="744" t="s">
        <v>532</v>
      </c>
      <c r="E337" s="744" t="s">
        <v>2901</v>
      </c>
      <c r="F337" s="746" t="s">
        <v>2980</v>
      </c>
      <c r="G337" s="747" t="s">
        <v>2288</v>
      </c>
      <c r="H337" s="747">
        <f t="shared" si="6"/>
        <v>48</v>
      </c>
      <c r="I337" s="744">
        <v>2</v>
      </c>
      <c r="J337" s="744">
        <v>28</v>
      </c>
      <c r="K337" s="744">
        <v>48</v>
      </c>
      <c r="L337" s="744" t="s">
        <v>380</v>
      </c>
      <c r="M337" s="744" t="s">
        <v>606</v>
      </c>
      <c r="O337" t="s">
        <v>532</v>
      </c>
    </row>
    <row r="338" spans="2:15">
      <c r="B338" s="744" t="s">
        <v>2991</v>
      </c>
      <c r="C338" s="744" t="s">
        <v>2734</v>
      </c>
      <c r="D338" s="744" t="s">
        <v>532</v>
      </c>
      <c r="E338" s="744" t="s">
        <v>2901</v>
      </c>
      <c r="F338" s="746" t="s">
        <v>2982</v>
      </c>
      <c r="G338" s="747" t="s">
        <v>2288</v>
      </c>
      <c r="H338" s="747">
        <f t="shared" si="6"/>
        <v>48</v>
      </c>
      <c r="I338" s="744">
        <v>2</v>
      </c>
      <c r="J338" s="744">
        <v>28</v>
      </c>
      <c r="K338" s="744">
        <v>47</v>
      </c>
      <c r="L338" s="744" t="s">
        <v>2992</v>
      </c>
      <c r="M338" s="744" t="s">
        <v>606</v>
      </c>
      <c r="O338" t="s">
        <v>532</v>
      </c>
    </row>
    <row r="339" spans="2:15">
      <c r="B339" s="744" t="s">
        <v>2993</v>
      </c>
      <c r="C339" s="744" t="s">
        <v>2734</v>
      </c>
      <c r="D339" s="744" t="s">
        <v>532</v>
      </c>
      <c r="E339" s="744" t="s">
        <v>2901</v>
      </c>
      <c r="F339" s="746" t="s">
        <v>2985</v>
      </c>
      <c r="G339" s="747" t="s">
        <v>2288</v>
      </c>
      <c r="H339" s="747">
        <f t="shared" si="6"/>
        <v>48</v>
      </c>
      <c r="I339" s="744">
        <v>2</v>
      </c>
      <c r="J339" s="744">
        <v>28</v>
      </c>
      <c r="K339" s="744">
        <v>45</v>
      </c>
      <c r="L339" s="744" t="s">
        <v>2993</v>
      </c>
      <c r="M339" s="744" t="s">
        <v>606</v>
      </c>
      <c r="O339" t="s">
        <v>532</v>
      </c>
    </row>
    <row r="340" spans="2:15">
      <c r="B340" s="744" t="s">
        <v>2994</v>
      </c>
      <c r="C340" s="744" t="s">
        <v>2734</v>
      </c>
      <c r="D340" s="744" t="s">
        <v>532</v>
      </c>
      <c r="E340" s="744" t="s">
        <v>2901</v>
      </c>
      <c r="F340" s="746" t="s">
        <v>2987</v>
      </c>
      <c r="G340" s="747" t="s">
        <v>2288</v>
      </c>
      <c r="H340" s="747">
        <f t="shared" si="6"/>
        <v>48</v>
      </c>
      <c r="I340" s="744">
        <v>2</v>
      </c>
      <c r="J340" s="744">
        <v>28</v>
      </c>
      <c r="K340" s="744">
        <v>44</v>
      </c>
      <c r="L340" s="744" t="s">
        <v>2995</v>
      </c>
      <c r="M340" s="744" t="s">
        <v>606</v>
      </c>
      <c r="O340" t="s">
        <v>532</v>
      </c>
    </row>
    <row r="341" spans="2:15">
      <c r="B341" s="744" t="s">
        <v>2996</v>
      </c>
      <c r="C341" s="744" t="s">
        <v>2734</v>
      </c>
      <c r="D341" s="744" t="s">
        <v>532</v>
      </c>
      <c r="E341" s="744" t="s">
        <v>2901</v>
      </c>
      <c r="F341" s="746" t="s">
        <v>2990</v>
      </c>
      <c r="G341" s="747" t="s">
        <v>2288</v>
      </c>
      <c r="H341" s="747">
        <f t="shared" si="6"/>
        <v>48</v>
      </c>
      <c r="I341" s="744">
        <v>2</v>
      </c>
      <c r="J341" s="744">
        <v>28</v>
      </c>
      <c r="K341" s="744">
        <v>67</v>
      </c>
      <c r="L341" s="744" t="s">
        <v>2996</v>
      </c>
      <c r="M341" s="744" t="s">
        <v>606</v>
      </c>
      <c r="O341" t="s">
        <v>532</v>
      </c>
    </row>
    <row r="342" spans="2:15">
      <c r="B342" s="744" t="s">
        <v>2997</v>
      </c>
      <c r="C342" s="744" t="s">
        <v>2734</v>
      </c>
      <c r="D342" s="744" t="s">
        <v>532</v>
      </c>
      <c r="E342" s="744" t="s">
        <v>2875</v>
      </c>
      <c r="F342" s="746" t="s">
        <v>2998</v>
      </c>
      <c r="G342" s="747" t="s">
        <v>2288</v>
      </c>
      <c r="H342" s="747">
        <f t="shared" si="6"/>
        <v>48</v>
      </c>
      <c r="I342" s="744">
        <v>2</v>
      </c>
      <c r="J342" s="744">
        <v>32</v>
      </c>
      <c r="K342" s="744">
        <v>56</v>
      </c>
      <c r="L342" s="744" t="s">
        <v>2997</v>
      </c>
      <c r="M342" s="744" t="s">
        <v>606</v>
      </c>
      <c r="O342" t="s">
        <v>532</v>
      </c>
    </row>
    <row r="343" spans="2:15">
      <c r="B343" s="744" t="s">
        <v>2999</v>
      </c>
      <c r="C343" s="744" t="s">
        <v>2734</v>
      </c>
      <c r="D343" s="744" t="s">
        <v>532</v>
      </c>
      <c r="E343" s="744" t="s">
        <v>2875</v>
      </c>
      <c r="F343" s="746" t="s">
        <v>3000</v>
      </c>
      <c r="G343" s="747" t="s">
        <v>2288</v>
      </c>
      <c r="H343" s="747">
        <f t="shared" si="6"/>
        <v>48</v>
      </c>
      <c r="I343" s="744">
        <v>2</v>
      </c>
      <c r="J343" s="744">
        <v>32</v>
      </c>
      <c r="K343" s="744">
        <v>51</v>
      </c>
      <c r="L343" s="744" t="s">
        <v>2999</v>
      </c>
      <c r="M343" s="744" t="s">
        <v>606</v>
      </c>
      <c r="O343" t="s">
        <v>532</v>
      </c>
    </row>
    <row r="344" spans="2:15">
      <c r="B344" s="744" t="s">
        <v>3001</v>
      </c>
      <c r="C344" s="744" t="s">
        <v>2734</v>
      </c>
      <c r="D344" s="744" t="s">
        <v>532</v>
      </c>
      <c r="E344" s="744" t="s">
        <v>2875</v>
      </c>
      <c r="F344" s="746" t="s">
        <v>3002</v>
      </c>
      <c r="G344" s="747" t="s">
        <v>2288</v>
      </c>
      <c r="H344" s="747">
        <f t="shared" si="6"/>
        <v>48</v>
      </c>
      <c r="I344" s="744">
        <v>2</v>
      </c>
      <c r="J344" s="744">
        <v>32</v>
      </c>
      <c r="K344" s="744">
        <v>65</v>
      </c>
      <c r="L344" s="744" t="s">
        <v>3001</v>
      </c>
      <c r="M344" s="744" t="s">
        <v>606</v>
      </c>
      <c r="O344" t="s">
        <v>532</v>
      </c>
    </row>
    <row r="345" spans="2:15">
      <c r="B345" s="744" t="s">
        <v>3003</v>
      </c>
      <c r="C345" s="744" t="s">
        <v>2734</v>
      </c>
      <c r="D345" s="744" t="s">
        <v>532</v>
      </c>
      <c r="E345" s="744" t="s">
        <v>2875</v>
      </c>
      <c r="F345" s="746" t="s">
        <v>3004</v>
      </c>
      <c r="G345" s="747" t="s">
        <v>2288</v>
      </c>
      <c r="H345" s="747">
        <f t="shared" si="6"/>
        <v>48</v>
      </c>
      <c r="I345" s="744">
        <v>2</v>
      </c>
      <c r="J345" s="744">
        <v>32</v>
      </c>
      <c r="K345" s="744">
        <v>52</v>
      </c>
      <c r="L345" s="744" t="s">
        <v>3003</v>
      </c>
      <c r="M345" s="744" t="s">
        <v>606</v>
      </c>
      <c r="O345" t="s">
        <v>532</v>
      </c>
    </row>
    <row r="346" spans="2:15">
      <c r="B346" s="744" t="s">
        <v>3005</v>
      </c>
      <c r="C346" s="744" t="s">
        <v>2734</v>
      </c>
      <c r="D346" s="744" t="s">
        <v>532</v>
      </c>
      <c r="E346" s="744" t="s">
        <v>2875</v>
      </c>
      <c r="F346" s="746" t="s">
        <v>3006</v>
      </c>
      <c r="G346" s="747" t="s">
        <v>2288</v>
      </c>
      <c r="H346" s="747">
        <f t="shared" si="6"/>
        <v>48</v>
      </c>
      <c r="I346" s="744">
        <v>2</v>
      </c>
      <c r="J346" s="744">
        <v>32</v>
      </c>
      <c r="K346" s="744">
        <v>79</v>
      </c>
      <c r="L346" s="744" t="s">
        <v>3005</v>
      </c>
      <c r="M346" s="744" t="s">
        <v>606</v>
      </c>
      <c r="O346" t="s">
        <v>532</v>
      </c>
    </row>
    <row r="347" spans="2:15">
      <c r="B347" s="744" t="s">
        <v>3007</v>
      </c>
      <c r="C347" s="744" t="s">
        <v>2734</v>
      </c>
      <c r="D347" s="744" t="s">
        <v>532</v>
      </c>
      <c r="E347" s="744" t="s">
        <v>2875</v>
      </c>
      <c r="F347" s="746" t="s">
        <v>3008</v>
      </c>
      <c r="G347" s="747" t="s">
        <v>2768</v>
      </c>
      <c r="H347" s="747">
        <f t="shared" si="6"/>
        <v>48</v>
      </c>
      <c r="I347" s="744">
        <v>2</v>
      </c>
      <c r="J347" s="744">
        <v>32</v>
      </c>
      <c r="K347" s="744">
        <v>71</v>
      </c>
      <c r="L347" s="744" t="s">
        <v>3007</v>
      </c>
      <c r="M347" s="744" t="s">
        <v>606</v>
      </c>
      <c r="O347" t="s">
        <v>532</v>
      </c>
    </row>
    <row r="348" spans="2:15">
      <c r="B348" s="744" t="s">
        <v>3009</v>
      </c>
      <c r="C348" s="744" t="s">
        <v>2734</v>
      </c>
      <c r="D348" s="744" t="s">
        <v>532</v>
      </c>
      <c r="E348" s="744" t="s">
        <v>2875</v>
      </c>
      <c r="F348" s="746" t="s">
        <v>3010</v>
      </c>
      <c r="G348" s="747" t="s">
        <v>2288</v>
      </c>
      <c r="H348" s="747">
        <f t="shared" si="6"/>
        <v>48</v>
      </c>
      <c r="I348" s="744">
        <v>2</v>
      </c>
      <c r="J348" s="744">
        <v>32</v>
      </c>
      <c r="K348" s="744">
        <v>60</v>
      </c>
      <c r="L348" s="744" t="s">
        <v>3009</v>
      </c>
      <c r="M348" s="744" t="s">
        <v>606</v>
      </c>
      <c r="O348" t="s">
        <v>532</v>
      </c>
    </row>
    <row r="349" spans="2:15">
      <c r="B349" s="744" t="s">
        <v>3011</v>
      </c>
      <c r="C349" s="744" t="s">
        <v>2734</v>
      </c>
      <c r="D349" s="744" t="s">
        <v>532</v>
      </c>
      <c r="E349" s="744" t="s">
        <v>2875</v>
      </c>
      <c r="F349" s="746" t="s">
        <v>3012</v>
      </c>
      <c r="G349" s="747" t="s">
        <v>2288</v>
      </c>
      <c r="H349" s="747">
        <f t="shared" si="6"/>
        <v>48</v>
      </c>
      <c r="I349" s="744">
        <v>2</v>
      </c>
      <c r="J349" s="744">
        <v>32</v>
      </c>
      <c r="K349" s="744">
        <v>59</v>
      </c>
      <c r="L349" s="744" t="s">
        <v>3011</v>
      </c>
      <c r="M349" s="744" t="s">
        <v>606</v>
      </c>
      <c r="O349" t="s">
        <v>532</v>
      </c>
    </row>
    <row r="350" spans="2:15">
      <c r="B350" s="744" t="s">
        <v>3013</v>
      </c>
      <c r="C350" s="744" t="s">
        <v>2734</v>
      </c>
      <c r="D350" s="744" t="s">
        <v>532</v>
      </c>
      <c r="E350" s="744" t="s">
        <v>2875</v>
      </c>
      <c r="F350" s="746" t="s">
        <v>3014</v>
      </c>
      <c r="G350" s="747" t="s">
        <v>2288</v>
      </c>
      <c r="H350" s="747">
        <f t="shared" si="6"/>
        <v>48</v>
      </c>
      <c r="I350" s="744">
        <v>2</v>
      </c>
      <c r="J350" s="744">
        <v>32</v>
      </c>
      <c r="K350" s="744">
        <v>53</v>
      </c>
      <c r="L350" s="744" t="s">
        <v>3013</v>
      </c>
      <c r="M350" s="744" t="s">
        <v>606</v>
      </c>
      <c r="O350" t="s">
        <v>532</v>
      </c>
    </row>
    <row r="351" spans="2:15">
      <c r="B351" s="744" t="s">
        <v>3015</v>
      </c>
      <c r="C351" s="744" t="s">
        <v>2734</v>
      </c>
      <c r="D351" s="744" t="s">
        <v>532</v>
      </c>
      <c r="E351" s="744" t="s">
        <v>2875</v>
      </c>
      <c r="F351" s="746" t="s">
        <v>3016</v>
      </c>
      <c r="G351" s="747" t="s">
        <v>2288</v>
      </c>
      <c r="H351" s="747">
        <f t="shared" si="6"/>
        <v>48</v>
      </c>
      <c r="I351" s="744">
        <v>2</v>
      </c>
      <c r="J351" s="744">
        <v>32</v>
      </c>
      <c r="K351" s="744">
        <v>70</v>
      </c>
      <c r="L351" s="744" t="s">
        <v>3015</v>
      </c>
      <c r="M351" s="744" t="s">
        <v>606</v>
      </c>
      <c r="O351" t="s">
        <v>532</v>
      </c>
    </row>
    <row r="352" spans="2:15">
      <c r="B352" s="744" t="s">
        <v>3017</v>
      </c>
      <c r="C352" s="744" t="s">
        <v>2734</v>
      </c>
      <c r="D352" s="744" t="s">
        <v>532</v>
      </c>
      <c r="E352" s="744" t="s">
        <v>2875</v>
      </c>
      <c r="F352" s="746" t="s">
        <v>3018</v>
      </c>
      <c r="G352" s="747" t="s">
        <v>2288</v>
      </c>
      <c r="H352" s="747">
        <f t="shared" si="6"/>
        <v>48</v>
      </c>
      <c r="I352" s="744">
        <v>2</v>
      </c>
      <c r="J352" s="744">
        <v>32</v>
      </c>
      <c r="K352" s="744">
        <v>54</v>
      </c>
      <c r="L352" s="744" t="s">
        <v>3017</v>
      </c>
      <c r="M352" s="744" t="s">
        <v>606</v>
      </c>
      <c r="O352" t="s">
        <v>532</v>
      </c>
    </row>
    <row r="353" spans="2:15">
      <c r="B353" s="744" t="s">
        <v>3019</v>
      </c>
      <c r="C353" s="744" t="s">
        <v>2734</v>
      </c>
      <c r="D353" s="744" t="s">
        <v>532</v>
      </c>
      <c r="E353" s="744" t="s">
        <v>2875</v>
      </c>
      <c r="F353" s="746" t="s">
        <v>3020</v>
      </c>
      <c r="G353" s="747" t="s">
        <v>2288</v>
      </c>
      <c r="H353" s="747">
        <f t="shared" si="6"/>
        <v>48</v>
      </c>
      <c r="I353" s="744">
        <v>2</v>
      </c>
      <c r="J353" s="744">
        <v>32</v>
      </c>
      <c r="K353" s="744">
        <v>85</v>
      </c>
      <c r="L353" s="744" t="s">
        <v>3019</v>
      </c>
      <c r="M353" s="744" t="s">
        <v>606</v>
      </c>
      <c r="O353" t="s">
        <v>532</v>
      </c>
    </row>
    <row r="354" spans="2:15">
      <c r="B354" s="743" t="s">
        <v>3021</v>
      </c>
      <c r="C354" s="744" t="s">
        <v>2734</v>
      </c>
      <c r="D354" s="744" t="s">
        <v>532</v>
      </c>
      <c r="E354" s="743" t="s">
        <v>2802</v>
      </c>
      <c r="F354" s="741" t="s">
        <v>3022</v>
      </c>
      <c r="G354" s="749" t="s">
        <v>2288</v>
      </c>
      <c r="H354" s="747">
        <f t="shared" si="6"/>
        <v>48</v>
      </c>
      <c r="I354" s="743">
        <v>2</v>
      </c>
      <c r="J354" s="743">
        <v>25</v>
      </c>
      <c r="K354" s="743">
        <v>43</v>
      </c>
      <c r="L354" s="743" t="s">
        <v>3021</v>
      </c>
      <c r="M354" s="744" t="s">
        <v>606</v>
      </c>
      <c r="O354" t="s">
        <v>532</v>
      </c>
    </row>
    <row r="355" spans="2:15">
      <c r="B355" s="743" t="s">
        <v>3023</v>
      </c>
      <c r="C355" s="744" t="s">
        <v>2734</v>
      </c>
      <c r="D355" s="744" t="s">
        <v>532</v>
      </c>
      <c r="E355" s="743" t="s">
        <v>2802</v>
      </c>
      <c r="F355" s="741" t="s">
        <v>3024</v>
      </c>
      <c r="G355" s="749" t="s">
        <v>2288</v>
      </c>
      <c r="H355" s="747">
        <f t="shared" si="6"/>
        <v>48</v>
      </c>
      <c r="I355" s="743">
        <v>2</v>
      </c>
      <c r="J355" s="743">
        <v>25</v>
      </c>
      <c r="K355" s="743">
        <v>43</v>
      </c>
      <c r="L355" s="743" t="s">
        <v>3023</v>
      </c>
      <c r="M355" s="744" t="s">
        <v>606</v>
      </c>
      <c r="O355" t="s">
        <v>532</v>
      </c>
    </row>
    <row r="356" spans="2:15">
      <c r="B356" s="743" t="s">
        <v>3025</v>
      </c>
      <c r="C356" s="744" t="s">
        <v>2734</v>
      </c>
      <c r="D356" s="744" t="s">
        <v>532</v>
      </c>
      <c r="E356" s="743" t="s">
        <v>2802</v>
      </c>
      <c r="F356" s="741" t="s">
        <v>3026</v>
      </c>
      <c r="G356" s="749" t="s">
        <v>2288</v>
      </c>
      <c r="H356" s="747">
        <f t="shared" si="6"/>
        <v>48</v>
      </c>
      <c r="I356" s="743">
        <v>2</v>
      </c>
      <c r="J356" s="743">
        <v>25</v>
      </c>
      <c r="K356" s="743">
        <v>38</v>
      </c>
      <c r="L356" s="743" t="s">
        <v>3025</v>
      </c>
      <c r="M356" s="744" t="s">
        <v>606</v>
      </c>
      <c r="O356" t="s">
        <v>532</v>
      </c>
    </row>
    <row r="357" spans="2:15">
      <c r="B357" s="743" t="s">
        <v>3027</v>
      </c>
      <c r="C357" s="744" t="s">
        <v>2734</v>
      </c>
      <c r="D357" s="744" t="s">
        <v>532</v>
      </c>
      <c r="E357" s="743" t="s">
        <v>2802</v>
      </c>
      <c r="F357" s="741" t="s">
        <v>3028</v>
      </c>
      <c r="G357" s="749" t="s">
        <v>2288</v>
      </c>
      <c r="H357" s="747">
        <f t="shared" si="6"/>
        <v>48</v>
      </c>
      <c r="I357" s="743">
        <v>2</v>
      </c>
      <c r="J357" s="743">
        <v>25</v>
      </c>
      <c r="K357" s="743">
        <v>38</v>
      </c>
      <c r="L357" s="743" t="s">
        <v>3027</v>
      </c>
      <c r="M357" s="744" t="s">
        <v>606</v>
      </c>
      <c r="O357" t="s">
        <v>532</v>
      </c>
    </row>
    <row r="358" spans="2:15">
      <c r="B358" s="743" t="s">
        <v>3029</v>
      </c>
      <c r="C358" s="744" t="s">
        <v>2734</v>
      </c>
      <c r="D358" s="744" t="s">
        <v>532</v>
      </c>
      <c r="E358" s="743" t="s">
        <v>2802</v>
      </c>
      <c r="F358" s="741" t="s">
        <v>3030</v>
      </c>
      <c r="G358" s="749" t="s">
        <v>2288</v>
      </c>
      <c r="H358" s="747">
        <f t="shared" si="6"/>
        <v>48</v>
      </c>
      <c r="I358" s="743">
        <v>2</v>
      </c>
      <c r="J358" s="743">
        <v>25</v>
      </c>
      <c r="K358" s="743">
        <v>58</v>
      </c>
      <c r="L358" s="743" t="s">
        <v>3029</v>
      </c>
      <c r="M358" s="744" t="s">
        <v>606</v>
      </c>
      <c r="O358" t="s">
        <v>532</v>
      </c>
    </row>
    <row r="359" spans="2:15">
      <c r="B359" s="743" t="s">
        <v>3031</v>
      </c>
      <c r="C359" s="744" t="s">
        <v>2734</v>
      </c>
      <c r="D359" s="744" t="s">
        <v>532</v>
      </c>
      <c r="E359" s="743" t="s">
        <v>2802</v>
      </c>
      <c r="F359" s="741" t="s">
        <v>3032</v>
      </c>
      <c r="G359" s="749" t="s">
        <v>2288</v>
      </c>
      <c r="H359" s="747">
        <f t="shared" si="6"/>
        <v>48</v>
      </c>
      <c r="I359" s="743">
        <v>2</v>
      </c>
      <c r="J359" s="743">
        <v>25</v>
      </c>
      <c r="K359" s="743">
        <v>58</v>
      </c>
      <c r="L359" s="743" t="s">
        <v>3031</v>
      </c>
      <c r="M359" s="744" t="s">
        <v>606</v>
      </c>
      <c r="O359" t="s">
        <v>532</v>
      </c>
    </row>
    <row r="360" spans="2:15">
      <c r="B360" s="744" t="s">
        <v>3033</v>
      </c>
      <c r="C360" s="744" t="s">
        <v>2734</v>
      </c>
      <c r="D360" s="744" t="s">
        <v>532</v>
      </c>
      <c r="E360" s="744" t="s">
        <v>2875</v>
      </c>
      <c r="F360" s="746" t="s">
        <v>3034</v>
      </c>
      <c r="G360" s="747" t="s">
        <v>2288</v>
      </c>
      <c r="H360" s="747">
        <f t="shared" si="6"/>
        <v>48</v>
      </c>
      <c r="I360" s="744">
        <v>3</v>
      </c>
      <c r="J360" s="744">
        <v>32</v>
      </c>
      <c r="K360" s="744">
        <v>89</v>
      </c>
      <c r="L360" s="744" t="s">
        <v>3033</v>
      </c>
      <c r="M360" s="744" t="s">
        <v>606</v>
      </c>
      <c r="O360" t="s">
        <v>532</v>
      </c>
    </row>
    <row r="361" spans="2:15">
      <c r="B361" s="744" t="s">
        <v>3035</v>
      </c>
      <c r="C361" s="744" t="s">
        <v>2734</v>
      </c>
      <c r="D361" s="744" t="s">
        <v>532</v>
      </c>
      <c r="E361" s="744" t="s">
        <v>2878</v>
      </c>
      <c r="F361" s="746" t="s">
        <v>3036</v>
      </c>
      <c r="G361" s="747" t="s">
        <v>2288</v>
      </c>
      <c r="H361" s="747">
        <f t="shared" si="6"/>
        <v>48</v>
      </c>
      <c r="I361" s="744">
        <v>3</v>
      </c>
      <c r="J361" s="744">
        <v>30</v>
      </c>
      <c r="K361" s="744">
        <v>78</v>
      </c>
      <c r="L361" s="744" t="s">
        <v>3035</v>
      </c>
      <c r="M361" s="744" t="s">
        <v>606</v>
      </c>
      <c r="O361" t="s">
        <v>532</v>
      </c>
    </row>
    <row r="362" spans="2:15">
      <c r="B362" s="744" t="s">
        <v>3037</v>
      </c>
      <c r="C362" s="744" t="s">
        <v>2734</v>
      </c>
      <c r="D362" s="744" t="s">
        <v>532</v>
      </c>
      <c r="E362" s="744" t="s">
        <v>2878</v>
      </c>
      <c r="F362" s="746" t="s">
        <v>3038</v>
      </c>
      <c r="G362" s="747" t="s">
        <v>2288</v>
      </c>
      <c r="H362" s="747">
        <f t="shared" si="6"/>
        <v>48</v>
      </c>
      <c r="I362" s="744">
        <v>3</v>
      </c>
      <c r="J362" s="744">
        <v>30</v>
      </c>
      <c r="K362" s="744">
        <v>70</v>
      </c>
      <c r="L362" s="744" t="s">
        <v>3037</v>
      </c>
      <c r="M362" s="744" t="s">
        <v>606</v>
      </c>
      <c r="O362" t="s">
        <v>532</v>
      </c>
    </row>
    <row r="363" spans="2:15">
      <c r="B363" s="744" t="s">
        <v>3039</v>
      </c>
      <c r="C363" s="744" t="s">
        <v>2734</v>
      </c>
      <c r="D363" s="744" t="s">
        <v>532</v>
      </c>
      <c r="E363" s="744" t="s">
        <v>2878</v>
      </c>
      <c r="F363" s="746" t="s">
        <v>3040</v>
      </c>
      <c r="G363" s="747" t="s">
        <v>2288</v>
      </c>
      <c r="H363" s="747">
        <f t="shared" si="6"/>
        <v>48</v>
      </c>
      <c r="I363" s="744">
        <v>3</v>
      </c>
      <c r="J363" s="744">
        <v>30</v>
      </c>
      <c r="K363" s="744">
        <v>105</v>
      </c>
      <c r="L363" s="744" t="s">
        <v>3039</v>
      </c>
      <c r="M363" s="744" t="s">
        <v>606</v>
      </c>
      <c r="O363" t="s">
        <v>532</v>
      </c>
    </row>
    <row r="364" spans="2:15">
      <c r="B364" s="744" t="s">
        <v>3041</v>
      </c>
      <c r="C364" s="744" t="s">
        <v>2734</v>
      </c>
      <c r="D364" s="744" t="s">
        <v>532</v>
      </c>
      <c r="E364" s="744" t="s">
        <v>2901</v>
      </c>
      <c r="F364" s="746" t="s">
        <v>3036</v>
      </c>
      <c r="G364" s="747" t="s">
        <v>2288</v>
      </c>
      <c r="H364" s="747">
        <f t="shared" si="6"/>
        <v>48</v>
      </c>
      <c r="I364" s="744">
        <v>3</v>
      </c>
      <c r="J364" s="744">
        <v>28</v>
      </c>
      <c r="K364" s="744">
        <v>72</v>
      </c>
      <c r="L364" s="744" t="s">
        <v>3041</v>
      </c>
      <c r="M364" s="744" t="s">
        <v>606</v>
      </c>
      <c r="O364" t="s">
        <v>532</v>
      </c>
    </row>
    <row r="365" spans="2:15">
      <c r="B365" s="744" t="s">
        <v>3042</v>
      </c>
      <c r="C365" s="744" t="s">
        <v>2734</v>
      </c>
      <c r="D365" s="744" t="s">
        <v>532</v>
      </c>
      <c r="E365" s="744" t="s">
        <v>2901</v>
      </c>
      <c r="F365" s="746" t="s">
        <v>3038</v>
      </c>
      <c r="G365" s="747" t="s">
        <v>2288</v>
      </c>
      <c r="H365" s="747">
        <f t="shared" si="6"/>
        <v>48</v>
      </c>
      <c r="I365" s="744">
        <v>3</v>
      </c>
      <c r="J365" s="744">
        <v>28</v>
      </c>
      <c r="K365" s="744">
        <v>66</v>
      </c>
      <c r="L365" s="744" t="s">
        <v>3042</v>
      </c>
      <c r="M365" s="744" t="s">
        <v>606</v>
      </c>
      <c r="O365" t="s">
        <v>532</v>
      </c>
    </row>
    <row r="366" spans="2:15">
      <c r="B366" s="744" t="s">
        <v>3043</v>
      </c>
      <c r="C366" s="744" t="s">
        <v>2734</v>
      </c>
      <c r="D366" s="744" t="s">
        <v>532</v>
      </c>
      <c r="E366" s="744" t="s">
        <v>2901</v>
      </c>
      <c r="F366" s="746" t="s">
        <v>3040</v>
      </c>
      <c r="G366" s="747" t="s">
        <v>2288</v>
      </c>
      <c r="H366" s="747">
        <f t="shared" si="6"/>
        <v>48</v>
      </c>
      <c r="I366" s="744">
        <v>3</v>
      </c>
      <c r="J366" s="744">
        <v>28</v>
      </c>
      <c r="K366" s="744">
        <v>98</v>
      </c>
      <c r="L366" s="744" t="s">
        <v>3043</v>
      </c>
      <c r="M366" s="744" t="s">
        <v>606</v>
      </c>
      <c r="O366" t="s">
        <v>532</v>
      </c>
    </row>
    <row r="367" spans="2:15">
      <c r="B367" s="744" t="s">
        <v>3044</v>
      </c>
      <c r="C367" s="744" t="s">
        <v>2734</v>
      </c>
      <c r="D367" s="744" t="s">
        <v>532</v>
      </c>
      <c r="E367" s="744" t="s">
        <v>2875</v>
      </c>
      <c r="F367" s="746" t="s">
        <v>3045</v>
      </c>
      <c r="G367" s="747" t="s">
        <v>2288</v>
      </c>
      <c r="H367" s="747">
        <f t="shared" si="6"/>
        <v>48</v>
      </c>
      <c r="I367" s="744">
        <v>3</v>
      </c>
      <c r="J367" s="744">
        <v>32</v>
      </c>
      <c r="K367" s="744">
        <v>90</v>
      </c>
      <c r="L367" s="744" t="s">
        <v>3044</v>
      </c>
      <c r="M367" s="744" t="s">
        <v>606</v>
      </c>
      <c r="O367" t="s">
        <v>532</v>
      </c>
    </row>
    <row r="368" spans="2:15">
      <c r="B368" s="744" t="s">
        <v>3046</v>
      </c>
      <c r="C368" s="744" t="s">
        <v>2734</v>
      </c>
      <c r="D368" s="744" t="s">
        <v>532</v>
      </c>
      <c r="E368" s="744" t="s">
        <v>2875</v>
      </c>
      <c r="F368" s="746" t="s">
        <v>3047</v>
      </c>
      <c r="G368" s="747" t="s">
        <v>2288</v>
      </c>
      <c r="H368" s="747">
        <f t="shared" si="6"/>
        <v>48</v>
      </c>
      <c r="I368" s="744">
        <v>3</v>
      </c>
      <c r="J368" s="744">
        <v>32</v>
      </c>
      <c r="K368" s="744">
        <v>93</v>
      </c>
      <c r="L368" s="744" t="s">
        <v>3046</v>
      </c>
      <c r="M368" s="744" t="s">
        <v>606</v>
      </c>
      <c r="O368" t="s">
        <v>532</v>
      </c>
    </row>
    <row r="369" spans="2:15">
      <c r="B369" s="744" t="s">
        <v>3048</v>
      </c>
      <c r="C369" s="744" t="s">
        <v>2734</v>
      </c>
      <c r="D369" s="744" t="s">
        <v>532</v>
      </c>
      <c r="E369" s="744" t="s">
        <v>2875</v>
      </c>
      <c r="F369" s="746" t="s">
        <v>3049</v>
      </c>
      <c r="G369" s="747" t="s">
        <v>2288</v>
      </c>
      <c r="H369" s="747">
        <f t="shared" si="6"/>
        <v>48</v>
      </c>
      <c r="I369" s="744">
        <v>3</v>
      </c>
      <c r="J369" s="744">
        <v>32</v>
      </c>
      <c r="K369" s="744">
        <v>78</v>
      </c>
      <c r="L369" s="744" t="s">
        <v>3048</v>
      </c>
      <c r="M369" s="744" t="s">
        <v>606</v>
      </c>
      <c r="O369" t="s">
        <v>532</v>
      </c>
    </row>
    <row r="370" spans="2:15">
      <c r="B370" s="744" t="s">
        <v>3050</v>
      </c>
      <c r="C370" s="744" t="s">
        <v>2734</v>
      </c>
      <c r="D370" s="744" t="s">
        <v>532</v>
      </c>
      <c r="E370" s="744" t="s">
        <v>2875</v>
      </c>
      <c r="F370" s="746" t="s">
        <v>3051</v>
      </c>
      <c r="G370" s="747" t="s">
        <v>2288</v>
      </c>
      <c r="H370" s="747">
        <f t="shared" si="6"/>
        <v>48</v>
      </c>
      <c r="I370" s="744">
        <v>3</v>
      </c>
      <c r="J370" s="744">
        <v>32</v>
      </c>
      <c r="K370" s="744">
        <v>112</v>
      </c>
      <c r="L370" s="744" t="s">
        <v>3050</v>
      </c>
      <c r="M370" s="744" t="s">
        <v>606</v>
      </c>
      <c r="O370" t="s">
        <v>532</v>
      </c>
    </row>
    <row r="371" spans="2:15">
      <c r="B371" s="744" t="s">
        <v>3052</v>
      </c>
      <c r="C371" s="744" t="s">
        <v>2734</v>
      </c>
      <c r="D371" s="744" t="s">
        <v>532</v>
      </c>
      <c r="E371" s="744" t="s">
        <v>2875</v>
      </c>
      <c r="F371" s="746" t="s">
        <v>3053</v>
      </c>
      <c r="G371" s="747" t="s">
        <v>2768</v>
      </c>
      <c r="H371" s="747">
        <f t="shared" si="6"/>
        <v>48</v>
      </c>
      <c r="I371" s="744">
        <v>3</v>
      </c>
      <c r="J371" s="744">
        <v>32</v>
      </c>
      <c r="K371" s="744">
        <v>110</v>
      </c>
      <c r="L371" s="744" t="s">
        <v>3052</v>
      </c>
      <c r="M371" s="744" t="s">
        <v>606</v>
      </c>
      <c r="O371" t="s">
        <v>532</v>
      </c>
    </row>
    <row r="372" spans="2:15">
      <c r="B372" s="744" t="s">
        <v>518</v>
      </c>
      <c r="C372" s="744" t="s">
        <v>2734</v>
      </c>
      <c r="D372" s="744" t="s">
        <v>532</v>
      </c>
      <c r="E372" s="744" t="s">
        <v>2875</v>
      </c>
      <c r="F372" s="746" t="s">
        <v>3054</v>
      </c>
      <c r="G372" s="747" t="s">
        <v>2288</v>
      </c>
      <c r="H372" s="747">
        <f t="shared" si="6"/>
        <v>48</v>
      </c>
      <c r="I372" s="744">
        <v>3</v>
      </c>
      <c r="J372" s="744">
        <v>32</v>
      </c>
      <c r="K372" s="744">
        <v>93</v>
      </c>
      <c r="L372" s="744" t="s">
        <v>518</v>
      </c>
      <c r="M372" s="744" t="s">
        <v>606</v>
      </c>
      <c r="O372" t="s">
        <v>532</v>
      </c>
    </row>
    <row r="373" spans="2:15">
      <c r="B373" s="744" t="s">
        <v>3055</v>
      </c>
      <c r="C373" s="744" t="s">
        <v>2734</v>
      </c>
      <c r="D373" s="744" t="s">
        <v>532</v>
      </c>
      <c r="E373" s="744" t="s">
        <v>2875</v>
      </c>
      <c r="F373" s="746" t="s">
        <v>3056</v>
      </c>
      <c r="G373" s="747" t="s">
        <v>2288</v>
      </c>
      <c r="H373" s="747">
        <f t="shared" si="6"/>
        <v>48</v>
      </c>
      <c r="I373" s="744">
        <v>3</v>
      </c>
      <c r="J373" s="744">
        <v>32</v>
      </c>
      <c r="K373" s="744">
        <v>92</v>
      </c>
      <c r="L373" s="744" t="s">
        <v>3055</v>
      </c>
      <c r="M373" s="744" t="s">
        <v>606</v>
      </c>
      <c r="O373" t="s">
        <v>532</v>
      </c>
    </row>
    <row r="374" spans="2:15">
      <c r="B374" s="744" t="s">
        <v>3057</v>
      </c>
      <c r="C374" s="744" t="s">
        <v>2734</v>
      </c>
      <c r="D374" s="744" t="s">
        <v>532</v>
      </c>
      <c r="E374" s="744" t="s">
        <v>2875</v>
      </c>
      <c r="F374" s="746" t="s">
        <v>3058</v>
      </c>
      <c r="G374" s="747" t="s">
        <v>2288</v>
      </c>
      <c r="H374" s="747">
        <f t="shared" si="6"/>
        <v>48</v>
      </c>
      <c r="I374" s="744">
        <v>3</v>
      </c>
      <c r="J374" s="744">
        <v>32</v>
      </c>
      <c r="K374" s="744">
        <v>98</v>
      </c>
      <c r="L374" s="744" t="s">
        <v>3057</v>
      </c>
      <c r="M374" s="744" t="s">
        <v>606</v>
      </c>
      <c r="O374" t="s">
        <v>532</v>
      </c>
    </row>
    <row r="375" spans="2:15">
      <c r="B375" s="744" t="s">
        <v>3059</v>
      </c>
      <c r="C375" s="744" t="s">
        <v>2734</v>
      </c>
      <c r="D375" s="744" t="s">
        <v>532</v>
      </c>
      <c r="E375" s="744" t="s">
        <v>2875</v>
      </c>
      <c r="F375" s="746" t="s">
        <v>3060</v>
      </c>
      <c r="G375" s="747" t="s">
        <v>2288</v>
      </c>
      <c r="H375" s="747">
        <f t="shared" si="6"/>
        <v>48</v>
      </c>
      <c r="I375" s="744">
        <v>3</v>
      </c>
      <c r="J375" s="744">
        <v>32</v>
      </c>
      <c r="K375" s="744">
        <v>76</v>
      </c>
      <c r="L375" s="744" t="s">
        <v>3059</v>
      </c>
      <c r="M375" s="744" t="s">
        <v>606</v>
      </c>
      <c r="O375" t="s">
        <v>532</v>
      </c>
    </row>
    <row r="376" spans="2:15">
      <c r="B376" s="743" t="s">
        <v>3061</v>
      </c>
      <c r="C376" s="744" t="s">
        <v>2734</v>
      </c>
      <c r="D376" s="744" t="s">
        <v>532</v>
      </c>
      <c r="E376" s="743" t="s">
        <v>2802</v>
      </c>
      <c r="F376" s="741" t="s">
        <v>3062</v>
      </c>
      <c r="G376" s="749" t="s">
        <v>2288</v>
      </c>
      <c r="H376" s="747">
        <f t="shared" si="6"/>
        <v>48</v>
      </c>
      <c r="I376" s="743">
        <v>3</v>
      </c>
      <c r="J376" s="743">
        <v>25</v>
      </c>
      <c r="K376" s="743">
        <v>65</v>
      </c>
      <c r="L376" s="743" t="s">
        <v>3061</v>
      </c>
      <c r="M376" s="744" t="s">
        <v>606</v>
      </c>
      <c r="O376" t="s">
        <v>532</v>
      </c>
    </row>
    <row r="377" spans="2:15">
      <c r="B377" s="743" t="s">
        <v>3063</v>
      </c>
      <c r="C377" s="744" t="s">
        <v>2734</v>
      </c>
      <c r="D377" s="744" t="s">
        <v>532</v>
      </c>
      <c r="E377" s="743" t="s">
        <v>2802</v>
      </c>
      <c r="F377" s="741" t="s">
        <v>3064</v>
      </c>
      <c r="G377" s="749" t="s">
        <v>2288</v>
      </c>
      <c r="H377" s="747">
        <f t="shared" si="6"/>
        <v>48</v>
      </c>
      <c r="I377" s="743">
        <v>3</v>
      </c>
      <c r="J377" s="743">
        <v>25</v>
      </c>
      <c r="K377" s="743">
        <v>57</v>
      </c>
      <c r="L377" s="743" t="s">
        <v>3063</v>
      </c>
      <c r="M377" s="744" t="s">
        <v>606</v>
      </c>
      <c r="O377" t="s">
        <v>532</v>
      </c>
    </row>
    <row r="378" spans="2:15">
      <c r="B378" s="743" t="s">
        <v>3065</v>
      </c>
      <c r="C378" s="744" t="s">
        <v>2734</v>
      </c>
      <c r="D378" s="744" t="s">
        <v>532</v>
      </c>
      <c r="E378" s="743" t="s">
        <v>2802</v>
      </c>
      <c r="F378" s="741" t="s">
        <v>3066</v>
      </c>
      <c r="G378" s="749" t="s">
        <v>2288</v>
      </c>
      <c r="H378" s="747">
        <f t="shared" si="6"/>
        <v>48</v>
      </c>
      <c r="I378" s="743">
        <v>3</v>
      </c>
      <c r="J378" s="743">
        <v>25</v>
      </c>
      <c r="K378" s="743">
        <v>87</v>
      </c>
      <c r="L378" s="743" t="s">
        <v>3065</v>
      </c>
      <c r="M378" s="744" t="s">
        <v>606</v>
      </c>
      <c r="O378" t="s">
        <v>532</v>
      </c>
    </row>
    <row r="379" spans="2:15">
      <c r="B379" s="744" t="s">
        <v>3067</v>
      </c>
      <c r="C379" s="744" t="s">
        <v>2734</v>
      </c>
      <c r="D379" s="744" t="s">
        <v>532</v>
      </c>
      <c r="E379" s="744" t="s">
        <v>2875</v>
      </c>
      <c r="F379" s="746" t="s">
        <v>3068</v>
      </c>
      <c r="G379" s="747" t="s">
        <v>2288</v>
      </c>
      <c r="H379" s="747">
        <f t="shared" si="6"/>
        <v>48</v>
      </c>
      <c r="I379" s="744">
        <v>4</v>
      </c>
      <c r="J379" s="744">
        <v>32</v>
      </c>
      <c r="K379" s="744">
        <v>112</v>
      </c>
      <c r="L379" s="744" t="s">
        <v>3067</v>
      </c>
      <c r="M379" s="744" t="s">
        <v>606</v>
      </c>
      <c r="O379" t="s">
        <v>532</v>
      </c>
    </row>
    <row r="380" spans="2:15">
      <c r="B380" s="744" t="s">
        <v>3069</v>
      </c>
      <c r="C380" s="744" t="s">
        <v>2734</v>
      </c>
      <c r="D380" s="744" t="s">
        <v>532</v>
      </c>
      <c r="E380" s="744" t="s">
        <v>2875</v>
      </c>
      <c r="F380" s="746" t="s">
        <v>3070</v>
      </c>
      <c r="G380" s="747" t="s">
        <v>2288</v>
      </c>
      <c r="H380" s="747">
        <f t="shared" si="6"/>
        <v>48</v>
      </c>
      <c r="I380" s="744">
        <v>4</v>
      </c>
      <c r="J380" s="744">
        <v>32</v>
      </c>
      <c r="K380" s="744">
        <v>151</v>
      </c>
      <c r="L380" s="744" t="s">
        <v>3069</v>
      </c>
      <c r="M380" s="744" t="s">
        <v>606</v>
      </c>
      <c r="O380" t="s">
        <v>532</v>
      </c>
    </row>
    <row r="381" spans="2:15">
      <c r="B381" s="744" t="s">
        <v>3071</v>
      </c>
      <c r="C381" s="744" t="s">
        <v>2734</v>
      </c>
      <c r="D381" s="744" t="s">
        <v>532</v>
      </c>
      <c r="E381" s="744" t="s">
        <v>2878</v>
      </c>
      <c r="F381" s="746" t="s">
        <v>3072</v>
      </c>
      <c r="G381" s="747" t="s">
        <v>2288</v>
      </c>
      <c r="H381" s="747">
        <f t="shared" si="6"/>
        <v>48</v>
      </c>
      <c r="I381" s="744">
        <v>4</v>
      </c>
      <c r="J381" s="744">
        <v>30</v>
      </c>
      <c r="K381" s="744">
        <v>105</v>
      </c>
      <c r="L381" s="744" t="s">
        <v>3071</v>
      </c>
      <c r="M381" s="744" t="s">
        <v>606</v>
      </c>
      <c r="O381" t="s">
        <v>532</v>
      </c>
    </row>
    <row r="382" spans="2:15">
      <c r="B382" s="744" t="s">
        <v>3073</v>
      </c>
      <c r="C382" s="744" t="s">
        <v>2734</v>
      </c>
      <c r="D382" s="744" t="s">
        <v>532</v>
      </c>
      <c r="E382" s="744" t="s">
        <v>2878</v>
      </c>
      <c r="F382" s="746" t="s">
        <v>3074</v>
      </c>
      <c r="G382" s="747" t="s">
        <v>2288</v>
      </c>
      <c r="H382" s="747">
        <f t="shared" si="6"/>
        <v>48</v>
      </c>
      <c r="I382" s="744">
        <v>4</v>
      </c>
      <c r="J382" s="744">
        <v>30</v>
      </c>
      <c r="K382" s="744">
        <v>91</v>
      </c>
      <c r="L382" s="744" t="s">
        <v>3073</v>
      </c>
      <c r="M382" s="744" t="s">
        <v>606</v>
      </c>
      <c r="O382" t="s">
        <v>532</v>
      </c>
    </row>
    <row r="383" spans="2:15">
      <c r="B383" s="744" t="s">
        <v>3075</v>
      </c>
      <c r="C383" s="744" t="s">
        <v>2734</v>
      </c>
      <c r="D383" s="744" t="s">
        <v>532</v>
      </c>
      <c r="E383" s="744" t="s">
        <v>2878</v>
      </c>
      <c r="F383" s="746" t="s">
        <v>3076</v>
      </c>
      <c r="G383" s="747" t="s">
        <v>2288</v>
      </c>
      <c r="H383" s="747">
        <f t="shared" si="6"/>
        <v>48</v>
      </c>
      <c r="I383" s="744">
        <v>4</v>
      </c>
      <c r="J383" s="744">
        <v>30</v>
      </c>
      <c r="K383" s="744">
        <v>140</v>
      </c>
      <c r="L383" s="744" t="s">
        <v>3075</v>
      </c>
      <c r="M383" s="744" t="s">
        <v>606</v>
      </c>
      <c r="O383" t="s">
        <v>532</v>
      </c>
    </row>
    <row r="384" spans="2:15">
      <c r="B384" s="744" t="s">
        <v>3077</v>
      </c>
      <c r="C384" s="744" t="s">
        <v>2734</v>
      </c>
      <c r="D384" s="744" t="s">
        <v>532</v>
      </c>
      <c r="E384" s="744" t="s">
        <v>2901</v>
      </c>
      <c r="F384" s="746" t="s">
        <v>3072</v>
      </c>
      <c r="G384" s="747" t="s">
        <v>2288</v>
      </c>
      <c r="H384" s="747">
        <f t="shared" si="6"/>
        <v>48</v>
      </c>
      <c r="I384" s="744">
        <v>4</v>
      </c>
      <c r="J384" s="744">
        <v>28</v>
      </c>
      <c r="K384" s="744">
        <v>96</v>
      </c>
      <c r="L384" s="744" t="s">
        <v>3077</v>
      </c>
      <c r="M384" s="744" t="s">
        <v>606</v>
      </c>
      <c r="O384" t="s">
        <v>532</v>
      </c>
    </row>
    <row r="385" spans="2:15">
      <c r="B385" s="744" t="s">
        <v>3078</v>
      </c>
      <c r="C385" s="744" t="s">
        <v>2734</v>
      </c>
      <c r="D385" s="744" t="s">
        <v>532</v>
      </c>
      <c r="E385" s="744" t="s">
        <v>2901</v>
      </c>
      <c r="F385" s="746" t="s">
        <v>3074</v>
      </c>
      <c r="G385" s="747" t="s">
        <v>2288</v>
      </c>
      <c r="H385" s="747">
        <f t="shared" si="6"/>
        <v>48</v>
      </c>
      <c r="I385" s="744">
        <v>4</v>
      </c>
      <c r="J385" s="744">
        <v>28</v>
      </c>
      <c r="K385" s="744">
        <v>86</v>
      </c>
      <c r="L385" s="744" t="s">
        <v>3078</v>
      </c>
      <c r="M385" s="744" t="s">
        <v>606</v>
      </c>
      <c r="O385" t="s">
        <v>532</v>
      </c>
    </row>
    <row r="386" spans="2:15">
      <c r="B386" s="744" t="s">
        <v>3079</v>
      </c>
      <c r="C386" s="744" t="s">
        <v>2734</v>
      </c>
      <c r="D386" s="744" t="s">
        <v>532</v>
      </c>
      <c r="E386" s="744" t="s">
        <v>2901</v>
      </c>
      <c r="F386" s="746" t="s">
        <v>3076</v>
      </c>
      <c r="G386" s="747" t="s">
        <v>2288</v>
      </c>
      <c r="H386" s="747">
        <f t="shared" si="6"/>
        <v>48</v>
      </c>
      <c r="I386" s="744">
        <v>4</v>
      </c>
      <c r="J386" s="744">
        <v>28</v>
      </c>
      <c r="K386" s="744">
        <v>131</v>
      </c>
      <c r="L386" s="744" t="s">
        <v>3079</v>
      </c>
      <c r="M386" s="744" t="s">
        <v>606</v>
      </c>
      <c r="O386" t="s">
        <v>532</v>
      </c>
    </row>
    <row r="387" spans="2:15">
      <c r="B387" s="744" t="s">
        <v>3080</v>
      </c>
      <c r="C387" s="744" t="s">
        <v>2734</v>
      </c>
      <c r="D387" s="744" t="s">
        <v>532</v>
      </c>
      <c r="E387" s="744" t="s">
        <v>2875</v>
      </c>
      <c r="F387" s="746" t="s">
        <v>3081</v>
      </c>
      <c r="G387" s="747" t="s">
        <v>2288</v>
      </c>
      <c r="H387" s="747">
        <f t="shared" si="6"/>
        <v>48</v>
      </c>
      <c r="I387" s="744">
        <v>4</v>
      </c>
      <c r="J387" s="744">
        <v>32</v>
      </c>
      <c r="K387" s="744">
        <v>118</v>
      </c>
      <c r="L387" s="744" t="s">
        <v>3080</v>
      </c>
      <c r="M387" s="744" t="s">
        <v>606</v>
      </c>
      <c r="O387" t="s">
        <v>532</v>
      </c>
    </row>
    <row r="388" spans="2:15">
      <c r="B388" s="744" t="s">
        <v>3082</v>
      </c>
      <c r="C388" s="744" t="s">
        <v>2734</v>
      </c>
      <c r="D388" s="744" t="s">
        <v>532</v>
      </c>
      <c r="E388" s="744" t="s">
        <v>2875</v>
      </c>
      <c r="F388" s="746" t="s">
        <v>3083</v>
      </c>
      <c r="G388" s="747" t="s">
        <v>2288</v>
      </c>
      <c r="H388" s="747">
        <f t="shared" si="6"/>
        <v>48</v>
      </c>
      <c r="I388" s="744">
        <v>4</v>
      </c>
      <c r="J388" s="744">
        <v>32</v>
      </c>
      <c r="K388" s="744">
        <v>102</v>
      </c>
      <c r="L388" s="744" t="s">
        <v>3082</v>
      </c>
      <c r="M388" s="744" t="s">
        <v>606</v>
      </c>
      <c r="O388" t="s">
        <v>532</v>
      </c>
    </row>
    <row r="389" spans="2:15">
      <c r="B389" s="744" t="s">
        <v>3084</v>
      </c>
      <c r="C389" s="744" t="s">
        <v>2734</v>
      </c>
      <c r="D389" s="744" t="s">
        <v>532</v>
      </c>
      <c r="E389" s="744" t="s">
        <v>2875</v>
      </c>
      <c r="F389" s="746" t="s">
        <v>3085</v>
      </c>
      <c r="G389" s="747" t="s">
        <v>2768</v>
      </c>
      <c r="H389" s="747">
        <f t="shared" si="6"/>
        <v>48</v>
      </c>
      <c r="I389" s="744">
        <v>4</v>
      </c>
      <c r="J389" s="744">
        <v>32</v>
      </c>
      <c r="K389" s="744">
        <v>142</v>
      </c>
      <c r="L389" s="744" t="s">
        <v>3084</v>
      </c>
      <c r="M389" s="744" t="s">
        <v>606</v>
      </c>
      <c r="O389" t="s">
        <v>532</v>
      </c>
    </row>
    <row r="390" spans="2:15">
      <c r="B390" s="744" t="s">
        <v>3086</v>
      </c>
      <c r="C390" s="744" t="s">
        <v>2734</v>
      </c>
      <c r="D390" s="744" t="s">
        <v>532</v>
      </c>
      <c r="E390" s="744" t="s">
        <v>2875</v>
      </c>
      <c r="F390" s="746" t="s">
        <v>3087</v>
      </c>
      <c r="G390" s="747" t="s">
        <v>2288</v>
      </c>
      <c r="H390" s="747">
        <f t="shared" si="6"/>
        <v>48</v>
      </c>
      <c r="I390" s="744">
        <v>4</v>
      </c>
      <c r="J390" s="744">
        <v>32</v>
      </c>
      <c r="K390" s="744">
        <v>118</v>
      </c>
      <c r="L390" s="744" t="s">
        <v>3086</v>
      </c>
      <c r="M390" s="744" t="s">
        <v>606</v>
      </c>
      <c r="O390" t="s">
        <v>532</v>
      </c>
    </row>
    <row r="391" spans="2:15">
      <c r="B391" s="744" t="s">
        <v>3088</v>
      </c>
      <c r="C391" s="744" t="s">
        <v>2734</v>
      </c>
      <c r="D391" s="744" t="s">
        <v>532</v>
      </c>
      <c r="E391" s="744" t="s">
        <v>2875</v>
      </c>
      <c r="F391" s="746" t="s">
        <v>3089</v>
      </c>
      <c r="G391" s="747" t="s">
        <v>2288</v>
      </c>
      <c r="H391" s="747">
        <f t="shared" si="6"/>
        <v>48</v>
      </c>
      <c r="I391" s="744">
        <v>4</v>
      </c>
      <c r="J391" s="744">
        <v>32</v>
      </c>
      <c r="K391" s="744">
        <v>120</v>
      </c>
      <c r="L391" s="744" t="s">
        <v>3088</v>
      </c>
      <c r="M391" s="744" t="s">
        <v>606</v>
      </c>
      <c r="O391" t="s">
        <v>532</v>
      </c>
    </row>
    <row r="392" spans="2:15">
      <c r="B392" s="744" t="s">
        <v>3090</v>
      </c>
      <c r="C392" s="744" t="s">
        <v>2734</v>
      </c>
      <c r="D392" s="744" t="s">
        <v>532</v>
      </c>
      <c r="E392" s="744" t="s">
        <v>2875</v>
      </c>
      <c r="F392" s="746" t="s">
        <v>3091</v>
      </c>
      <c r="G392" s="747" t="s">
        <v>2288</v>
      </c>
      <c r="H392" s="747">
        <f t="shared" si="6"/>
        <v>48</v>
      </c>
      <c r="I392" s="744">
        <v>4</v>
      </c>
      <c r="J392" s="744">
        <v>32</v>
      </c>
      <c r="K392" s="744">
        <v>105</v>
      </c>
      <c r="L392" s="744" t="s">
        <v>3090</v>
      </c>
      <c r="M392" s="744" t="s">
        <v>606</v>
      </c>
      <c r="O392" t="s">
        <v>532</v>
      </c>
    </row>
    <row r="393" spans="2:15">
      <c r="B393" s="743" t="s">
        <v>3092</v>
      </c>
      <c r="C393" s="744" t="s">
        <v>2734</v>
      </c>
      <c r="D393" s="744" t="s">
        <v>532</v>
      </c>
      <c r="E393" s="743" t="s">
        <v>2875</v>
      </c>
      <c r="F393" s="741" t="s">
        <v>3093</v>
      </c>
      <c r="G393" s="749" t="s">
        <v>2288</v>
      </c>
      <c r="H393" s="747">
        <f t="shared" si="6"/>
        <v>48</v>
      </c>
      <c r="I393" s="743">
        <v>4</v>
      </c>
      <c r="J393" s="743">
        <v>32</v>
      </c>
      <c r="K393" s="743">
        <v>144</v>
      </c>
      <c r="L393" s="743" t="s">
        <v>3092</v>
      </c>
      <c r="M393" s="744" t="s">
        <v>606</v>
      </c>
      <c r="O393" t="s">
        <v>532</v>
      </c>
    </row>
    <row r="394" spans="2:15">
      <c r="B394" s="743" t="s">
        <v>3094</v>
      </c>
      <c r="C394" s="744" t="s">
        <v>2734</v>
      </c>
      <c r="D394" s="744" t="s">
        <v>532</v>
      </c>
      <c r="E394" s="743" t="s">
        <v>2802</v>
      </c>
      <c r="F394" s="741" t="s">
        <v>3095</v>
      </c>
      <c r="G394" s="749" t="s">
        <v>2288</v>
      </c>
      <c r="H394" s="747">
        <f t="shared" si="6"/>
        <v>48</v>
      </c>
      <c r="I394" s="743">
        <v>4</v>
      </c>
      <c r="J394" s="743">
        <v>25</v>
      </c>
      <c r="K394" s="743">
        <v>85</v>
      </c>
      <c r="L394" s="743" t="s">
        <v>3094</v>
      </c>
      <c r="M394" s="744" t="s">
        <v>606</v>
      </c>
      <c r="O394" t="s">
        <v>532</v>
      </c>
    </row>
    <row r="395" spans="2:15">
      <c r="B395" s="743" t="s">
        <v>3096</v>
      </c>
      <c r="C395" s="744" t="s">
        <v>2734</v>
      </c>
      <c r="D395" s="744" t="s">
        <v>532</v>
      </c>
      <c r="E395" s="743" t="s">
        <v>2802</v>
      </c>
      <c r="F395" s="741" t="s">
        <v>3097</v>
      </c>
      <c r="G395" s="749" t="s">
        <v>2288</v>
      </c>
      <c r="H395" s="747">
        <f t="shared" si="6"/>
        <v>48</v>
      </c>
      <c r="I395" s="743">
        <v>4</v>
      </c>
      <c r="J395" s="743">
        <v>25</v>
      </c>
      <c r="K395" s="743">
        <v>76</v>
      </c>
      <c r="L395" s="743" t="s">
        <v>3096</v>
      </c>
      <c r="M395" s="744" t="s">
        <v>606</v>
      </c>
      <c r="O395" t="s">
        <v>532</v>
      </c>
    </row>
    <row r="396" spans="2:15">
      <c r="B396" s="743" t="s">
        <v>3098</v>
      </c>
      <c r="C396" s="744" t="s">
        <v>2734</v>
      </c>
      <c r="D396" s="744" t="s">
        <v>532</v>
      </c>
      <c r="E396" s="743" t="s">
        <v>2802</v>
      </c>
      <c r="F396" s="741" t="s">
        <v>3099</v>
      </c>
      <c r="G396" s="749" t="s">
        <v>2288</v>
      </c>
      <c r="H396" s="747">
        <f t="shared" si="6"/>
        <v>48</v>
      </c>
      <c r="I396" s="743">
        <v>4</v>
      </c>
      <c r="J396" s="743">
        <v>25</v>
      </c>
      <c r="K396" s="743">
        <v>112</v>
      </c>
      <c r="L396" s="743" t="s">
        <v>3098</v>
      </c>
      <c r="M396" s="744" t="s">
        <v>606</v>
      </c>
      <c r="O396" t="s">
        <v>532</v>
      </c>
    </row>
    <row r="397" spans="2:15">
      <c r="B397" s="744" t="s">
        <v>3100</v>
      </c>
      <c r="C397" s="744" t="s">
        <v>2734</v>
      </c>
      <c r="D397" s="744" t="s">
        <v>532</v>
      </c>
      <c r="E397" s="744" t="s">
        <v>2875</v>
      </c>
      <c r="F397" s="746" t="s">
        <v>3101</v>
      </c>
      <c r="G397" s="747" t="s">
        <v>2288</v>
      </c>
      <c r="H397" s="747">
        <f t="shared" si="6"/>
        <v>48</v>
      </c>
      <c r="I397" s="744">
        <v>5</v>
      </c>
      <c r="J397" s="744">
        <v>32</v>
      </c>
      <c r="K397" s="744">
        <v>148</v>
      </c>
      <c r="L397" s="744" t="s">
        <v>3100</v>
      </c>
      <c r="M397" s="744" t="s">
        <v>606</v>
      </c>
      <c r="O397" t="s">
        <v>532</v>
      </c>
    </row>
    <row r="398" spans="2:15">
      <c r="B398" s="744" t="s">
        <v>3102</v>
      </c>
      <c r="C398" s="744" t="s">
        <v>2734</v>
      </c>
      <c r="D398" s="744" t="s">
        <v>532</v>
      </c>
      <c r="E398" s="744" t="s">
        <v>2875</v>
      </c>
      <c r="F398" s="746" t="s">
        <v>3103</v>
      </c>
      <c r="G398" s="747" t="s">
        <v>2288</v>
      </c>
      <c r="H398" s="747">
        <f t="shared" si="6"/>
        <v>48</v>
      </c>
      <c r="I398" s="744">
        <v>6</v>
      </c>
      <c r="J398" s="744">
        <v>32</v>
      </c>
      <c r="K398" s="744">
        <v>175</v>
      </c>
      <c r="L398" s="744" t="s">
        <v>3102</v>
      </c>
      <c r="M398" s="744" t="s">
        <v>606</v>
      </c>
      <c r="O398" t="s">
        <v>532</v>
      </c>
    </row>
    <row r="399" spans="2:15">
      <c r="B399" s="744" t="s">
        <v>3104</v>
      </c>
      <c r="C399" s="744" t="s">
        <v>2734</v>
      </c>
      <c r="D399" s="744" t="s">
        <v>532</v>
      </c>
      <c r="E399" s="744" t="s">
        <v>2875</v>
      </c>
      <c r="F399" s="746" t="s">
        <v>3105</v>
      </c>
      <c r="G399" s="747" t="s">
        <v>2288</v>
      </c>
      <c r="H399" s="747">
        <f t="shared" ref="H399:H462" si="7">MID(B399,2,1)*12</f>
        <v>48</v>
      </c>
      <c r="I399" s="744">
        <v>6</v>
      </c>
      <c r="J399" s="744">
        <v>32</v>
      </c>
      <c r="K399" s="744">
        <v>156</v>
      </c>
      <c r="L399" s="744" t="s">
        <v>3104</v>
      </c>
      <c r="M399" s="744" t="s">
        <v>606</v>
      </c>
      <c r="O399" t="s">
        <v>532</v>
      </c>
    </row>
    <row r="400" spans="2:15">
      <c r="B400" s="744" t="s">
        <v>3106</v>
      </c>
      <c r="C400" s="744" t="s">
        <v>2734</v>
      </c>
      <c r="D400" s="744" t="s">
        <v>532</v>
      </c>
      <c r="E400" s="744" t="s">
        <v>2875</v>
      </c>
      <c r="F400" s="746" t="s">
        <v>3107</v>
      </c>
      <c r="G400" s="747" t="s">
        <v>2288</v>
      </c>
      <c r="H400" s="747">
        <f t="shared" si="7"/>
        <v>48</v>
      </c>
      <c r="I400" s="744">
        <v>6</v>
      </c>
      <c r="J400" s="744">
        <v>32</v>
      </c>
      <c r="K400" s="744">
        <v>182</v>
      </c>
      <c r="L400" s="744" t="s">
        <v>3106</v>
      </c>
      <c r="M400" s="744" t="s">
        <v>606</v>
      </c>
      <c r="O400" t="s">
        <v>532</v>
      </c>
    </row>
    <row r="401" spans="2:15">
      <c r="B401" s="743" t="s">
        <v>3108</v>
      </c>
      <c r="C401" s="744" t="s">
        <v>2734</v>
      </c>
      <c r="D401" s="744" t="s">
        <v>532</v>
      </c>
      <c r="E401" s="743" t="s">
        <v>2875</v>
      </c>
      <c r="F401" s="741" t="s">
        <v>3109</v>
      </c>
      <c r="G401" s="749" t="s">
        <v>2288</v>
      </c>
      <c r="H401" s="747">
        <f t="shared" si="7"/>
        <v>48</v>
      </c>
      <c r="I401" s="743">
        <v>6</v>
      </c>
      <c r="J401" s="743">
        <v>32</v>
      </c>
      <c r="K401" s="743">
        <v>222</v>
      </c>
      <c r="L401" s="743" t="s">
        <v>3108</v>
      </c>
      <c r="M401" s="744" t="s">
        <v>606</v>
      </c>
      <c r="O401" t="s">
        <v>532</v>
      </c>
    </row>
    <row r="402" spans="2:15">
      <c r="B402" s="743" t="s">
        <v>3110</v>
      </c>
      <c r="C402" s="744" t="s">
        <v>2734</v>
      </c>
      <c r="D402" s="744" t="s">
        <v>532</v>
      </c>
      <c r="E402" s="743" t="s">
        <v>2875</v>
      </c>
      <c r="F402" s="741" t="s">
        <v>3111</v>
      </c>
      <c r="G402" s="749" t="s">
        <v>2288</v>
      </c>
      <c r="H402" s="747">
        <f t="shared" si="7"/>
        <v>48</v>
      </c>
      <c r="I402" s="743">
        <v>6</v>
      </c>
      <c r="J402" s="743">
        <v>32</v>
      </c>
      <c r="K402" s="743">
        <v>255</v>
      </c>
      <c r="L402" s="743" t="s">
        <v>3110</v>
      </c>
      <c r="M402" s="744" t="s">
        <v>606</v>
      </c>
      <c r="O402" t="s">
        <v>532</v>
      </c>
    </row>
    <row r="403" spans="2:15">
      <c r="B403" s="743" t="s">
        <v>3112</v>
      </c>
      <c r="C403" s="744" t="s">
        <v>2734</v>
      </c>
      <c r="D403" s="744" t="s">
        <v>532</v>
      </c>
      <c r="E403" s="743" t="s">
        <v>2878</v>
      </c>
      <c r="F403" s="746" t="s">
        <v>3113</v>
      </c>
      <c r="G403" s="749" t="s">
        <v>2288</v>
      </c>
      <c r="H403" s="747">
        <f t="shared" si="7"/>
        <v>48</v>
      </c>
      <c r="I403" s="743">
        <v>6</v>
      </c>
      <c r="J403" s="743">
        <v>32</v>
      </c>
      <c r="K403" s="743">
        <v>158</v>
      </c>
      <c r="L403" s="743" t="s">
        <v>3112</v>
      </c>
      <c r="M403" s="744" t="s">
        <v>606</v>
      </c>
      <c r="O403" t="s">
        <v>532</v>
      </c>
    </row>
    <row r="404" spans="2:15">
      <c r="B404" s="743" t="s">
        <v>3114</v>
      </c>
      <c r="C404" s="744" t="s">
        <v>2734</v>
      </c>
      <c r="D404" s="744" t="s">
        <v>532</v>
      </c>
      <c r="E404" s="743" t="s">
        <v>2901</v>
      </c>
      <c r="F404" s="746" t="s">
        <v>3115</v>
      </c>
      <c r="G404" s="749" t="s">
        <v>2288</v>
      </c>
      <c r="H404" s="747">
        <f t="shared" si="7"/>
        <v>48</v>
      </c>
      <c r="I404" s="743">
        <v>6</v>
      </c>
      <c r="J404" s="743">
        <v>32</v>
      </c>
      <c r="K404" s="743">
        <v>144</v>
      </c>
      <c r="L404" s="743" t="s">
        <v>3114</v>
      </c>
      <c r="M404" s="744" t="s">
        <v>606</v>
      </c>
      <c r="O404" t="s">
        <v>532</v>
      </c>
    </row>
    <row r="405" spans="2:15">
      <c r="B405" s="744" t="s">
        <v>3116</v>
      </c>
      <c r="C405" s="744" t="s">
        <v>2734</v>
      </c>
      <c r="D405" s="744" t="s">
        <v>532</v>
      </c>
      <c r="E405" s="744" t="s">
        <v>2875</v>
      </c>
      <c r="F405" s="746" t="s">
        <v>3117</v>
      </c>
      <c r="G405" s="747" t="s">
        <v>2288</v>
      </c>
      <c r="H405" s="747">
        <f t="shared" si="7"/>
        <v>48</v>
      </c>
      <c r="I405" s="744">
        <v>8</v>
      </c>
      <c r="J405" s="744">
        <v>32</v>
      </c>
      <c r="K405" s="744">
        <v>224</v>
      </c>
      <c r="L405" s="744" t="s">
        <v>3116</v>
      </c>
      <c r="M405" s="744" t="s">
        <v>606</v>
      </c>
      <c r="O405" t="s">
        <v>532</v>
      </c>
    </row>
    <row r="406" spans="2:15">
      <c r="B406" s="744" t="s">
        <v>3118</v>
      </c>
      <c r="C406" s="744" t="s">
        <v>2734</v>
      </c>
      <c r="D406" s="744" t="s">
        <v>532</v>
      </c>
      <c r="E406" s="744" t="s">
        <v>2875</v>
      </c>
      <c r="F406" s="746" t="s">
        <v>3119</v>
      </c>
      <c r="G406" s="747" t="s">
        <v>2288</v>
      </c>
      <c r="H406" s="747">
        <f t="shared" si="7"/>
        <v>48</v>
      </c>
      <c r="I406" s="744">
        <v>8</v>
      </c>
      <c r="J406" s="744">
        <v>32</v>
      </c>
      <c r="K406" s="744">
        <v>204</v>
      </c>
      <c r="L406" s="744" t="s">
        <v>3118</v>
      </c>
      <c r="M406" s="744" t="s">
        <v>606</v>
      </c>
      <c r="O406" t="s">
        <v>532</v>
      </c>
    </row>
    <row r="407" spans="2:15">
      <c r="B407" s="743" t="s">
        <v>3120</v>
      </c>
      <c r="C407" s="744" t="s">
        <v>2734</v>
      </c>
      <c r="D407" s="744" t="s">
        <v>532</v>
      </c>
      <c r="E407" s="743" t="s">
        <v>3121</v>
      </c>
      <c r="F407" s="741" t="s">
        <v>3122</v>
      </c>
      <c r="G407" s="749" t="s">
        <v>2288</v>
      </c>
      <c r="H407" s="747">
        <f t="shared" si="7"/>
        <v>48</v>
      </c>
      <c r="I407" s="743">
        <v>8</v>
      </c>
      <c r="J407" s="743">
        <v>44</v>
      </c>
      <c r="K407" s="743">
        <v>392</v>
      </c>
      <c r="L407" s="743" t="s">
        <v>3120</v>
      </c>
      <c r="M407" s="744" t="s">
        <v>606</v>
      </c>
      <c r="O407" t="s">
        <v>532</v>
      </c>
    </row>
    <row r="408" spans="2:15">
      <c r="B408" s="743" t="s">
        <v>3123</v>
      </c>
      <c r="C408" s="744" t="s">
        <v>2734</v>
      </c>
      <c r="D408" s="744" t="s">
        <v>532</v>
      </c>
      <c r="E408" s="743" t="s">
        <v>3124</v>
      </c>
      <c r="F408" s="741" t="s">
        <v>3125</v>
      </c>
      <c r="G408" s="749" t="s">
        <v>2288</v>
      </c>
      <c r="H408" s="747">
        <f t="shared" si="7"/>
        <v>48</v>
      </c>
      <c r="I408" s="743">
        <v>10</v>
      </c>
      <c r="J408" s="743">
        <v>54</v>
      </c>
      <c r="K408" s="743">
        <v>588</v>
      </c>
      <c r="L408" s="743" t="s">
        <v>3123</v>
      </c>
      <c r="M408" s="744" t="s">
        <v>606</v>
      </c>
      <c r="O408" t="s">
        <v>532</v>
      </c>
    </row>
    <row r="409" spans="2:15">
      <c r="B409" s="743" t="s">
        <v>3126</v>
      </c>
      <c r="C409" s="744" t="s">
        <v>2734</v>
      </c>
      <c r="D409" s="744" t="s">
        <v>532</v>
      </c>
      <c r="E409" s="743" t="s">
        <v>3124</v>
      </c>
      <c r="F409" s="741" t="s">
        <v>3127</v>
      </c>
      <c r="G409" s="749" t="s">
        <v>2288</v>
      </c>
      <c r="H409" s="747">
        <f t="shared" si="7"/>
        <v>48</v>
      </c>
      <c r="I409" s="743">
        <v>12</v>
      </c>
      <c r="J409" s="743">
        <v>54</v>
      </c>
      <c r="K409" s="743">
        <v>702</v>
      </c>
      <c r="L409" s="743" t="s">
        <v>3126</v>
      </c>
      <c r="M409" s="744" t="s">
        <v>606</v>
      </c>
      <c r="O409" t="s">
        <v>532</v>
      </c>
    </row>
    <row r="410" spans="2:15">
      <c r="B410" s="744" t="s">
        <v>3128</v>
      </c>
      <c r="C410" s="744" t="s">
        <v>2734</v>
      </c>
      <c r="D410" s="744" t="s">
        <v>532</v>
      </c>
      <c r="E410" s="744" t="s">
        <v>3129</v>
      </c>
      <c r="F410" s="746" t="s">
        <v>3130</v>
      </c>
      <c r="G410" s="747" t="s">
        <v>2288</v>
      </c>
      <c r="H410" s="747">
        <f t="shared" si="7"/>
        <v>60</v>
      </c>
      <c r="I410" s="744">
        <v>1</v>
      </c>
      <c r="J410" s="744">
        <v>40</v>
      </c>
      <c r="K410" s="744">
        <v>36</v>
      </c>
      <c r="L410" s="744" t="s">
        <v>3128</v>
      </c>
      <c r="M410" s="744" t="s">
        <v>606</v>
      </c>
      <c r="O410" t="s">
        <v>532</v>
      </c>
    </row>
    <row r="411" spans="2:15">
      <c r="B411" s="744" t="s">
        <v>3131</v>
      </c>
      <c r="C411" s="744" t="s">
        <v>2734</v>
      </c>
      <c r="D411" s="744" t="s">
        <v>532</v>
      </c>
      <c r="E411" s="744" t="s">
        <v>3129</v>
      </c>
      <c r="F411" s="746" t="s">
        <v>3132</v>
      </c>
      <c r="G411" s="747" t="s">
        <v>2288</v>
      </c>
      <c r="H411" s="747">
        <f t="shared" si="7"/>
        <v>60</v>
      </c>
      <c r="I411" s="744">
        <v>1</v>
      </c>
      <c r="J411" s="744">
        <v>40</v>
      </c>
      <c r="K411" s="744">
        <v>36</v>
      </c>
      <c r="L411" s="744" t="s">
        <v>3131</v>
      </c>
      <c r="M411" s="744" t="s">
        <v>606</v>
      </c>
      <c r="O411" t="s">
        <v>532</v>
      </c>
    </row>
    <row r="412" spans="2:15">
      <c r="B412" s="744" t="s">
        <v>3133</v>
      </c>
      <c r="C412" s="744" t="s">
        <v>2734</v>
      </c>
      <c r="D412" s="744" t="s">
        <v>532</v>
      </c>
      <c r="E412" s="744" t="s">
        <v>3129</v>
      </c>
      <c r="F412" s="746" t="s">
        <v>3134</v>
      </c>
      <c r="G412" s="747" t="s">
        <v>2288</v>
      </c>
      <c r="H412" s="747">
        <f t="shared" si="7"/>
        <v>60</v>
      </c>
      <c r="I412" s="744">
        <v>1</v>
      </c>
      <c r="J412" s="744">
        <v>40</v>
      </c>
      <c r="K412" s="744">
        <v>35</v>
      </c>
      <c r="L412" s="744" t="s">
        <v>3133</v>
      </c>
      <c r="M412" s="744" t="s">
        <v>606</v>
      </c>
      <c r="O412" t="s">
        <v>532</v>
      </c>
    </row>
    <row r="413" spans="2:15">
      <c r="B413" s="744" t="s">
        <v>3135</v>
      </c>
      <c r="C413" s="744" t="s">
        <v>2734</v>
      </c>
      <c r="D413" s="744" t="s">
        <v>532</v>
      </c>
      <c r="E413" s="744" t="s">
        <v>3129</v>
      </c>
      <c r="F413" s="746" t="s">
        <v>3136</v>
      </c>
      <c r="G413" s="747" t="s">
        <v>2288</v>
      </c>
      <c r="H413" s="747">
        <f t="shared" si="7"/>
        <v>60</v>
      </c>
      <c r="I413" s="744">
        <v>1</v>
      </c>
      <c r="J413" s="744">
        <v>40</v>
      </c>
      <c r="K413" s="744">
        <v>34</v>
      </c>
      <c r="L413" s="744" t="s">
        <v>3135</v>
      </c>
      <c r="M413" s="744" t="s">
        <v>606</v>
      </c>
      <c r="O413" t="s">
        <v>532</v>
      </c>
    </row>
    <row r="414" spans="2:15">
      <c r="B414" s="744" t="s">
        <v>3137</v>
      </c>
      <c r="C414" s="744" t="s">
        <v>2734</v>
      </c>
      <c r="D414" s="744" t="s">
        <v>532</v>
      </c>
      <c r="E414" s="744" t="s">
        <v>3129</v>
      </c>
      <c r="F414" s="746" t="s">
        <v>3138</v>
      </c>
      <c r="G414" s="747" t="s">
        <v>2288</v>
      </c>
      <c r="H414" s="747">
        <f t="shared" si="7"/>
        <v>60</v>
      </c>
      <c r="I414" s="744">
        <v>1</v>
      </c>
      <c r="J414" s="744">
        <v>40</v>
      </c>
      <c r="K414" s="744">
        <v>43</v>
      </c>
      <c r="L414" s="744" t="s">
        <v>3137</v>
      </c>
      <c r="M414" s="744" t="s">
        <v>606</v>
      </c>
      <c r="O414" t="s">
        <v>532</v>
      </c>
    </row>
    <row r="415" spans="2:15">
      <c r="B415" s="744" t="s">
        <v>3139</v>
      </c>
      <c r="C415" s="744" t="s">
        <v>2734</v>
      </c>
      <c r="D415" s="744" t="s">
        <v>532</v>
      </c>
      <c r="E415" s="744" t="s">
        <v>3129</v>
      </c>
      <c r="F415" s="746" t="s">
        <v>3140</v>
      </c>
      <c r="G415" s="747" t="s">
        <v>2288</v>
      </c>
      <c r="H415" s="747">
        <f t="shared" si="7"/>
        <v>60</v>
      </c>
      <c r="I415" s="744">
        <v>2</v>
      </c>
      <c r="J415" s="744">
        <v>40</v>
      </c>
      <c r="K415" s="744">
        <v>72</v>
      </c>
      <c r="L415" s="744" t="s">
        <v>3139</v>
      </c>
      <c r="M415" s="744" t="s">
        <v>606</v>
      </c>
      <c r="O415" t="s">
        <v>532</v>
      </c>
    </row>
    <row r="416" spans="2:15">
      <c r="B416" s="744" t="s">
        <v>3141</v>
      </c>
      <c r="C416" s="744" t="s">
        <v>2734</v>
      </c>
      <c r="D416" s="744" t="s">
        <v>532</v>
      </c>
      <c r="E416" s="744" t="s">
        <v>3129</v>
      </c>
      <c r="F416" s="746" t="s">
        <v>3142</v>
      </c>
      <c r="G416" s="747" t="s">
        <v>2288</v>
      </c>
      <c r="H416" s="747">
        <f t="shared" si="7"/>
        <v>60</v>
      </c>
      <c r="I416" s="744">
        <v>2</v>
      </c>
      <c r="J416" s="744">
        <v>40</v>
      </c>
      <c r="K416" s="744">
        <v>67</v>
      </c>
      <c r="L416" s="744" t="s">
        <v>3141</v>
      </c>
      <c r="M416" s="744" t="s">
        <v>606</v>
      </c>
      <c r="O416" t="s">
        <v>532</v>
      </c>
    </row>
    <row r="417" spans="2:15">
      <c r="B417" s="744" t="s">
        <v>3143</v>
      </c>
      <c r="C417" s="744" t="s">
        <v>2734</v>
      </c>
      <c r="D417" s="744" t="s">
        <v>532</v>
      </c>
      <c r="E417" s="744" t="s">
        <v>3129</v>
      </c>
      <c r="F417" s="746" t="s">
        <v>3144</v>
      </c>
      <c r="G417" s="747" t="s">
        <v>2288</v>
      </c>
      <c r="H417" s="747">
        <f t="shared" si="7"/>
        <v>60</v>
      </c>
      <c r="I417" s="744">
        <v>2</v>
      </c>
      <c r="J417" s="744">
        <v>40</v>
      </c>
      <c r="K417" s="744">
        <v>80</v>
      </c>
      <c r="L417" s="744" t="s">
        <v>3143</v>
      </c>
      <c r="M417" s="744" t="s">
        <v>606</v>
      </c>
      <c r="O417" t="s">
        <v>532</v>
      </c>
    </row>
    <row r="418" spans="2:15">
      <c r="B418" s="744" t="s">
        <v>3145</v>
      </c>
      <c r="C418" s="744" t="s">
        <v>2734</v>
      </c>
      <c r="D418" s="744" t="s">
        <v>532</v>
      </c>
      <c r="E418" s="744" t="s">
        <v>3129</v>
      </c>
      <c r="F418" s="746" t="s">
        <v>3146</v>
      </c>
      <c r="G418" s="747" t="s">
        <v>2288</v>
      </c>
      <c r="H418" s="747">
        <f t="shared" si="7"/>
        <v>60</v>
      </c>
      <c r="I418" s="744">
        <v>2</v>
      </c>
      <c r="J418" s="744">
        <v>40</v>
      </c>
      <c r="K418" s="744">
        <v>73</v>
      </c>
      <c r="L418" s="744" t="s">
        <v>3145</v>
      </c>
      <c r="M418" s="744" t="s">
        <v>606</v>
      </c>
      <c r="O418" t="s">
        <v>532</v>
      </c>
    </row>
    <row r="419" spans="2:15">
      <c r="B419" s="744" t="s">
        <v>3147</v>
      </c>
      <c r="C419" s="744" t="s">
        <v>2734</v>
      </c>
      <c r="D419" s="744" t="s">
        <v>532</v>
      </c>
      <c r="E419" s="744" t="s">
        <v>3129</v>
      </c>
      <c r="F419" s="746" t="s">
        <v>3148</v>
      </c>
      <c r="G419" s="747" t="s">
        <v>2288</v>
      </c>
      <c r="H419" s="747">
        <f t="shared" si="7"/>
        <v>60</v>
      </c>
      <c r="I419" s="744">
        <v>3</v>
      </c>
      <c r="J419" s="744">
        <v>40</v>
      </c>
      <c r="K419" s="744">
        <v>106</v>
      </c>
      <c r="L419" s="744" t="s">
        <v>3147</v>
      </c>
      <c r="M419" s="744" t="s">
        <v>606</v>
      </c>
      <c r="O419" t="s">
        <v>532</v>
      </c>
    </row>
    <row r="420" spans="2:15">
      <c r="B420" s="744" t="s">
        <v>3149</v>
      </c>
      <c r="C420" s="744" t="s">
        <v>2734</v>
      </c>
      <c r="D420" s="744" t="s">
        <v>532</v>
      </c>
      <c r="E420" s="744" t="s">
        <v>3129</v>
      </c>
      <c r="F420" s="746" t="s">
        <v>3150</v>
      </c>
      <c r="G420" s="747" t="s">
        <v>2288</v>
      </c>
      <c r="H420" s="747">
        <f t="shared" si="7"/>
        <v>60</v>
      </c>
      <c r="I420" s="744">
        <v>3</v>
      </c>
      <c r="J420" s="744">
        <v>40</v>
      </c>
      <c r="K420" s="744">
        <v>108</v>
      </c>
      <c r="L420" s="744" t="s">
        <v>3149</v>
      </c>
      <c r="M420" s="744" t="s">
        <v>606</v>
      </c>
      <c r="O420" t="s">
        <v>532</v>
      </c>
    </row>
    <row r="421" spans="2:15">
      <c r="B421" s="744" t="s">
        <v>3151</v>
      </c>
      <c r="C421" s="744" t="s">
        <v>2734</v>
      </c>
      <c r="D421" s="744" t="s">
        <v>532</v>
      </c>
      <c r="E421" s="744" t="s">
        <v>3129</v>
      </c>
      <c r="F421" s="746" t="s">
        <v>3152</v>
      </c>
      <c r="G421" s="747" t="s">
        <v>2288</v>
      </c>
      <c r="H421" s="747">
        <f t="shared" si="7"/>
        <v>60</v>
      </c>
      <c r="I421" s="744">
        <v>4</v>
      </c>
      <c r="J421" s="744">
        <v>40</v>
      </c>
      <c r="K421" s="744">
        <v>134</v>
      </c>
      <c r="L421" s="744" t="s">
        <v>3151</v>
      </c>
      <c r="M421" s="744" t="s">
        <v>606</v>
      </c>
      <c r="O421" t="s">
        <v>532</v>
      </c>
    </row>
    <row r="422" spans="2:15">
      <c r="B422" s="744" t="s">
        <v>3153</v>
      </c>
      <c r="C422" s="744" t="s">
        <v>2734</v>
      </c>
      <c r="D422" s="744" t="s">
        <v>532</v>
      </c>
      <c r="E422" s="744" t="s">
        <v>3129</v>
      </c>
      <c r="F422" s="746" t="s">
        <v>3154</v>
      </c>
      <c r="G422" s="747" t="s">
        <v>2288</v>
      </c>
      <c r="H422" s="747">
        <f t="shared" si="7"/>
        <v>60</v>
      </c>
      <c r="I422" s="744">
        <v>4</v>
      </c>
      <c r="J422" s="744">
        <v>40</v>
      </c>
      <c r="K422" s="744">
        <v>126</v>
      </c>
      <c r="L422" s="744" t="s">
        <v>3153</v>
      </c>
      <c r="M422" s="744" t="s">
        <v>606</v>
      </c>
      <c r="O422" t="s">
        <v>532</v>
      </c>
    </row>
    <row r="423" spans="2:15">
      <c r="B423" s="744" t="s">
        <v>3155</v>
      </c>
      <c r="C423" s="744" t="s">
        <v>2734</v>
      </c>
      <c r="D423" s="744" t="s">
        <v>532</v>
      </c>
      <c r="E423" s="744" t="s">
        <v>3156</v>
      </c>
      <c r="F423" s="746" t="s">
        <v>3157</v>
      </c>
      <c r="G423" s="747" t="s">
        <v>2288</v>
      </c>
      <c r="H423" s="747">
        <f t="shared" si="7"/>
        <v>72</v>
      </c>
      <c r="I423" s="744">
        <v>2</v>
      </c>
      <c r="J423" s="744">
        <v>65</v>
      </c>
      <c r="K423" s="744">
        <v>147</v>
      </c>
      <c r="L423" s="744" t="s">
        <v>3155</v>
      </c>
      <c r="M423" s="744" t="s">
        <v>606</v>
      </c>
      <c r="O423" t="s">
        <v>532</v>
      </c>
    </row>
    <row r="424" spans="2:15">
      <c r="B424" s="744" t="s">
        <v>3158</v>
      </c>
      <c r="C424" s="744" t="s">
        <v>2734</v>
      </c>
      <c r="D424" s="744" t="s">
        <v>532</v>
      </c>
      <c r="E424" s="744" t="s">
        <v>3159</v>
      </c>
      <c r="F424" s="746" t="s">
        <v>3160</v>
      </c>
      <c r="G424" s="747" t="s">
        <v>2288</v>
      </c>
      <c r="H424" s="747">
        <f t="shared" si="7"/>
        <v>96</v>
      </c>
      <c r="I424" s="744">
        <v>1</v>
      </c>
      <c r="J424" s="744">
        <v>59</v>
      </c>
      <c r="K424" s="744">
        <v>58</v>
      </c>
      <c r="L424" s="744" t="s">
        <v>3158</v>
      </c>
      <c r="M424" s="744" t="s">
        <v>606</v>
      </c>
      <c r="O424" t="s">
        <v>532</v>
      </c>
    </row>
    <row r="425" spans="2:15">
      <c r="B425" s="744" t="s">
        <v>3161</v>
      </c>
      <c r="C425" s="744" t="s">
        <v>2734</v>
      </c>
      <c r="D425" s="744" t="s">
        <v>532</v>
      </c>
      <c r="E425" s="744" t="s">
        <v>3159</v>
      </c>
      <c r="F425" s="746" t="s">
        <v>3162</v>
      </c>
      <c r="G425" s="747" t="s">
        <v>2288</v>
      </c>
      <c r="H425" s="747">
        <f t="shared" si="7"/>
        <v>96</v>
      </c>
      <c r="I425" s="744">
        <v>1</v>
      </c>
      <c r="J425" s="744">
        <v>59</v>
      </c>
      <c r="K425" s="744">
        <v>55</v>
      </c>
      <c r="L425" s="744" t="s">
        <v>3161</v>
      </c>
      <c r="M425" s="744" t="s">
        <v>606</v>
      </c>
      <c r="O425" t="s">
        <v>532</v>
      </c>
    </row>
    <row r="426" spans="2:15">
      <c r="B426" s="744" t="s">
        <v>3163</v>
      </c>
      <c r="C426" s="744" t="s">
        <v>2734</v>
      </c>
      <c r="D426" s="744" t="s">
        <v>532</v>
      </c>
      <c r="E426" s="744" t="s">
        <v>3159</v>
      </c>
      <c r="F426" s="746" t="s">
        <v>3164</v>
      </c>
      <c r="G426" s="747" t="s">
        <v>2288</v>
      </c>
      <c r="H426" s="747">
        <f t="shared" si="7"/>
        <v>96</v>
      </c>
      <c r="I426" s="744">
        <v>1</v>
      </c>
      <c r="J426" s="744">
        <v>59</v>
      </c>
      <c r="K426" s="744">
        <v>49</v>
      </c>
      <c r="L426" s="744" t="s">
        <v>3163</v>
      </c>
      <c r="M426" s="744" t="s">
        <v>606</v>
      </c>
      <c r="O426" t="s">
        <v>532</v>
      </c>
    </row>
    <row r="427" spans="2:15">
      <c r="B427" s="744" t="s">
        <v>3165</v>
      </c>
      <c r="C427" s="744" t="s">
        <v>2734</v>
      </c>
      <c r="D427" s="744" t="s">
        <v>532</v>
      </c>
      <c r="E427" s="744" t="s">
        <v>3159</v>
      </c>
      <c r="F427" s="746" t="s">
        <v>3166</v>
      </c>
      <c r="G427" s="747" t="s">
        <v>2288</v>
      </c>
      <c r="H427" s="747">
        <f t="shared" si="7"/>
        <v>96</v>
      </c>
      <c r="I427" s="744">
        <v>1</v>
      </c>
      <c r="J427" s="744">
        <v>59</v>
      </c>
      <c r="K427" s="744">
        <v>68</v>
      </c>
      <c r="L427" s="744" t="s">
        <v>3165</v>
      </c>
      <c r="M427" s="744" t="s">
        <v>606</v>
      </c>
      <c r="O427" t="s">
        <v>532</v>
      </c>
    </row>
    <row r="428" spans="2:15">
      <c r="B428" s="744" t="s">
        <v>3167</v>
      </c>
      <c r="C428" s="744" t="s">
        <v>2734</v>
      </c>
      <c r="D428" s="744" t="s">
        <v>532</v>
      </c>
      <c r="E428" s="744" t="s">
        <v>3159</v>
      </c>
      <c r="F428" s="746" t="s">
        <v>3168</v>
      </c>
      <c r="G428" s="747" t="s">
        <v>2288</v>
      </c>
      <c r="H428" s="747">
        <f t="shared" si="7"/>
        <v>96</v>
      </c>
      <c r="I428" s="744">
        <v>1</v>
      </c>
      <c r="J428" s="744">
        <v>59</v>
      </c>
      <c r="K428" s="744">
        <v>57</v>
      </c>
      <c r="L428" s="744" t="s">
        <v>3167</v>
      </c>
      <c r="M428" s="744" t="s">
        <v>606</v>
      </c>
      <c r="O428" t="s">
        <v>532</v>
      </c>
    </row>
    <row r="429" spans="2:15">
      <c r="B429" s="744" t="s">
        <v>3169</v>
      </c>
      <c r="C429" s="744" t="s">
        <v>2734</v>
      </c>
      <c r="D429" s="744" t="s">
        <v>532</v>
      </c>
      <c r="E429" s="744" t="s">
        <v>3159</v>
      </c>
      <c r="F429" s="746" t="s">
        <v>3170</v>
      </c>
      <c r="G429" s="747" t="s">
        <v>2288</v>
      </c>
      <c r="H429" s="747">
        <f t="shared" si="7"/>
        <v>96</v>
      </c>
      <c r="I429" s="744">
        <v>1</v>
      </c>
      <c r="J429" s="744">
        <v>59</v>
      </c>
      <c r="K429" s="744">
        <v>71</v>
      </c>
      <c r="L429" s="744" t="s">
        <v>3169</v>
      </c>
      <c r="M429" s="744" t="s">
        <v>606</v>
      </c>
      <c r="O429" t="s">
        <v>532</v>
      </c>
    </row>
    <row r="430" spans="2:15">
      <c r="B430" s="744" t="s">
        <v>3171</v>
      </c>
      <c r="C430" s="744" t="s">
        <v>2734</v>
      </c>
      <c r="D430" s="744" t="s">
        <v>532</v>
      </c>
      <c r="E430" s="744" t="s">
        <v>3172</v>
      </c>
      <c r="F430" s="746" t="s">
        <v>3173</v>
      </c>
      <c r="G430" s="747" t="s">
        <v>2288</v>
      </c>
      <c r="H430" s="747">
        <f t="shared" si="7"/>
        <v>96</v>
      </c>
      <c r="I430" s="744">
        <v>1</v>
      </c>
      <c r="J430" s="744">
        <v>86</v>
      </c>
      <c r="K430" s="744">
        <v>85</v>
      </c>
      <c r="L430" s="744" t="s">
        <v>3171</v>
      </c>
      <c r="M430" s="744" t="s">
        <v>606</v>
      </c>
      <c r="O430" t="s">
        <v>532</v>
      </c>
    </row>
    <row r="431" spans="2:15">
      <c r="B431" s="744" t="s">
        <v>3174</v>
      </c>
      <c r="C431" s="744" t="s">
        <v>2734</v>
      </c>
      <c r="D431" s="744" t="s">
        <v>532</v>
      </c>
      <c r="E431" s="744" t="s">
        <v>3172</v>
      </c>
      <c r="F431" s="746" t="s">
        <v>3175</v>
      </c>
      <c r="G431" s="747" t="s">
        <v>2288</v>
      </c>
      <c r="H431" s="747">
        <f t="shared" si="7"/>
        <v>96</v>
      </c>
      <c r="I431" s="744">
        <v>1</v>
      </c>
      <c r="J431" s="744">
        <v>86</v>
      </c>
      <c r="K431" s="744">
        <v>80</v>
      </c>
      <c r="L431" s="744" t="s">
        <v>3174</v>
      </c>
      <c r="M431" s="744" t="s">
        <v>606</v>
      </c>
      <c r="O431" t="s">
        <v>532</v>
      </c>
    </row>
    <row r="432" spans="2:15">
      <c r="B432" s="744" t="s">
        <v>3176</v>
      </c>
      <c r="C432" s="744" t="s">
        <v>2734</v>
      </c>
      <c r="D432" s="744" t="s">
        <v>532</v>
      </c>
      <c r="E432" s="744" t="s">
        <v>3159</v>
      </c>
      <c r="F432" s="746" t="s">
        <v>3177</v>
      </c>
      <c r="G432" s="747" t="s">
        <v>2288</v>
      </c>
      <c r="H432" s="747">
        <f t="shared" si="7"/>
        <v>96</v>
      </c>
      <c r="I432" s="744">
        <v>2</v>
      </c>
      <c r="J432" s="744">
        <v>59</v>
      </c>
      <c r="K432" s="744">
        <v>109</v>
      </c>
      <c r="L432" s="744" t="s">
        <v>3176</v>
      </c>
      <c r="M432" s="744" t="s">
        <v>606</v>
      </c>
      <c r="O432" t="s">
        <v>532</v>
      </c>
    </row>
    <row r="433" spans="2:15">
      <c r="B433" s="744" t="s">
        <v>3178</v>
      </c>
      <c r="C433" s="744" t="s">
        <v>2734</v>
      </c>
      <c r="D433" s="744" t="s">
        <v>532</v>
      </c>
      <c r="E433" s="744" t="s">
        <v>3159</v>
      </c>
      <c r="F433" s="746" t="s">
        <v>3179</v>
      </c>
      <c r="G433" s="747" t="s">
        <v>2288</v>
      </c>
      <c r="H433" s="747">
        <f t="shared" si="7"/>
        <v>96</v>
      </c>
      <c r="I433" s="744">
        <v>2</v>
      </c>
      <c r="J433" s="744">
        <v>59</v>
      </c>
      <c r="K433" s="744">
        <v>98</v>
      </c>
      <c r="L433" s="744" t="s">
        <v>3178</v>
      </c>
      <c r="M433" s="744" t="s">
        <v>606</v>
      </c>
      <c r="O433" t="s">
        <v>532</v>
      </c>
    </row>
    <row r="434" spans="2:15">
      <c r="B434" s="744" t="s">
        <v>3180</v>
      </c>
      <c r="C434" s="744" t="s">
        <v>2734</v>
      </c>
      <c r="D434" s="744" t="s">
        <v>532</v>
      </c>
      <c r="E434" s="744" t="s">
        <v>3172</v>
      </c>
      <c r="F434" s="746" t="s">
        <v>3181</v>
      </c>
      <c r="G434" s="747" t="s">
        <v>2288</v>
      </c>
      <c r="H434" s="747">
        <f t="shared" si="7"/>
        <v>96</v>
      </c>
      <c r="I434" s="744">
        <v>2</v>
      </c>
      <c r="J434" s="744">
        <v>86</v>
      </c>
      <c r="K434" s="744">
        <v>160</v>
      </c>
      <c r="L434" s="744" t="s">
        <v>3180</v>
      </c>
      <c r="M434" s="744" t="s">
        <v>606</v>
      </c>
      <c r="O434" t="s">
        <v>532</v>
      </c>
    </row>
    <row r="435" spans="2:15">
      <c r="B435" s="744" t="s">
        <v>3182</v>
      </c>
      <c r="C435" s="744" t="s">
        <v>2734</v>
      </c>
      <c r="D435" s="744" t="s">
        <v>532</v>
      </c>
      <c r="E435" s="744" t="s">
        <v>3159</v>
      </c>
      <c r="F435" s="746" t="s">
        <v>3183</v>
      </c>
      <c r="G435" s="747" t="s">
        <v>2288</v>
      </c>
      <c r="H435" s="747">
        <f t="shared" si="7"/>
        <v>96</v>
      </c>
      <c r="I435" s="744">
        <v>3</v>
      </c>
      <c r="J435" s="744">
        <v>59</v>
      </c>
      <c r="K435" s="744">
        <v>167</v>
      </c>
      <c r="L435" s="744" t="s">
        <v>3182</v>
      </c>
      <c r="M435" s="744" t="s">
        <v>606</v>
      </c>
      <c r="O435" t="s">
        <v>532</v>
      </c>
    </row>
    <row r="436" spans="2:15">
      <c r="B436" s="744" t="s">
        <v>3184</v>
      </c>
      <c r="C436" s="744" t="s">
        <v>2734</v>
      </c>
      <c r="D436" s="744" t="s">
        <v>532</v>
      </c>
      <c r="E436" s="744" t="s">
        <v>3159</v>
      </c>
      <c r="F436" s="746" t="s">
        <v>3185</v>
      </c>
      <c r="G436" s="747" t="s">
        <v>2288</v>
      </c>
      <c r="H436" s="747">
        <f t="shared" si="7"/>
        <v>96</v>
      </c>
      <c r="I436" s="744">
        <v>4</v>
      </c>
      <c r="J436" s="744">
        <v>59</v>
      </c>
      <c r="K436" s="744">
        <v>219</v>
      </c>
      <c r="L436" s="744" t="s">
        <v>3184</v>
      </c>
      <c r="M436" s="744" t="s">
        <v>606</v>
      </c>
      <c r="O436" t="s">
        <v>532</v>
      </c>
    </row>
    <row r="437" spans="2:15">
      <c r="B437" s="744" t="s">
        <v>3186</v>
      </c>
      <c r="C437" s="744" t="s">
        <v>2734</v>
      </c>
      <c r="D437" s="744" t="s">
        <v>532</v>
      </c>
      <c r="E437" s="744" t="s">
        <v>3172</v>
      </c>
      <c r="F437" s="746" t="s">
        <v>3187</v>
      </c>
      <c r="G437" s="747" t="s">
        <v>2288</v>
      </c>
      <c r="H437" s="747">
        <f t="shared" si="7"/>
        <v>96</v>
      </c>
      <c r="I437" s="744">
        <v>4</v>
      </c>
      <c r="J437" s="744">
        <v>86</v>
      </c>
      <c r="K437" s="744">
        <v>320</v>
      </c>
      <c r="L437" s="744" t="s">
        <v>3186</v>
      </c>
      <c r="M437" s="744" t="s">
        <v>606</v>
      </c>
      <c r="O437" t="s">
        <v>532</v>
      </c>
    </row>
    <row r="438" spans="2:15">
      <c r="B438" s="744" t="s">
        <v>3188</v>
      </c>
      <c r="C438" s="744" t="s">
        <v>2734</v>
      </c>
      <c r="D438" s="744" t="s">
        <v>532</v>
      </c>
      <c r="E438" s="744" t="s">
        <v>3159</v>
      </c>
      <c r="F438" s="746" t="s">
        <v>3189</v>
      </c>
      <c r="G438" s="747" t="s">
        <v>2288</v>
      </c>
      <c r="H438" s="747">
        <f t="shared" si="7"/>
        <v>96</v>
      </c>
      <c r="I438" s="744">
        <v>6</v>
      </c>
      <c r="J438" s="744">
        <v>59</v>
      </c>
      <c r="K438" s="744">
        <v>328</v>
      </c>
      <c r="L438" s="744" t="s">
        <v>3188</v>
      </c>
      <c r="M438" s="744" t="s">
        <v>606</v>
      </c>
      <c r="O438" t="s">
        <v>532</v>
      </c>
    </row>
    <row r="439" spans="2:15">
      <c r="B439" s="744" t="s">
        <v>3190</v>
      </c>
      <c r="C439" s="744" t="s">
        <v>2734</v>
      </c>
      <c r="D439" s="744" t="s">
        <v>531</v>
      </c>
      <c r="E439" s="744" t="s">
        <v>3191</v>
      </c>
      <c r="F439" s="746" t="s">
        <v>3192</v>
      </c>
      <c r="G439" s="747" t="s">
        <v>2288</v>
      </c>
      <c r="H439" s="747">
        <f t="shared" si="7"/>
        <v>24</v>
      </c>
      <c r="I439" s="744">
        <v>1</v>
      </c>
      <c r="J439" s="744">
        <v>14</v>
      </c>
      <c r="K439" s="744">
        <v>18</v>
      </c>
      <c r="L439" s="744" t="s">
        <v>3190</v>
      </c>
      <c r="M439" s="744" t="s">
        <v>606</v>
      </c>
      <c r="O439" t="s">
        <v>531</v>
      </c>
    </row>
    <row r="440" spans="2:15">
      <c r="B440" s="744" t="s">
        <v>3193</v>
      </c>
      <c r="C440" s="744" t="s">
        <v>2734</v>
      </c>
      <c r="D440" s="744" t="s">
        <v>531</v>
      </c>
      <c r="E440" s="744" t="s">
        <v>3194</v>
      </c>
      <c r="F440" s="746" t="s">
        <v>3195</v>
      </c>
      <c r="G440" s="747" t="s">
        <v>2288</v>
      </c>
      <c r="H440" s="747">
        <f t="shared" si="7"/>
        <v>24</v>
      </c>
      <c r="I440" s="744">
        <v>1</v>
      </c>
      <c r="J440" s="744">
        <v>24</v>
      </c>
      <c r="K440" s="744">
        <v>29</v>
      </c>
      <c r="L440" s="744" t="s">
        <v>3193</v>
      </c>
      <c r="M440" s="744" t="s">
        <v>606</v>
      </c>
      <c r="O440" t="s">
        <v>531</v>
      </c>
    </row>
    <row r="441" spans="2:15">
      <c r="B441" s="744" t="s">
        <v>3196</v>
      </c>
      <c r="C441" s="744" t="s">
        <v>2734</v>
      </c>
      <c r="D441" s="744" t="s">
        <v>531</v>
      </c>
      <c r="E441" s="744" t="s">
        <v>3194</v>
      </c>
      <c r="F441" s="746" t="s">
        <v>3197</v>
      </c>
      <c r="G441" s="747" t="s">
        <v>2288</v>
      </c>
      <c r="H441" s="747">
        <f t="shared" si="7"/>
        <v>24</v>
      </c>
      <c r="I441" s="744">
        <v>2</v>
      </c>
      <c r="J441" s="744">
        <v>24</v>
      </c>
      <c r="K441" s="744">
        <v>55</v>
      </c>
      <c r="L441" s="744" t="s">
        <v>3196</v>
      </c>
      <c r="M441" s="744" t="s">
        <v>606</v>
      </c>
      <c r="O441" t="s">
        <v>531</v>
      </c>
    </row>
    <row r="442" spans="2:15">
      <c r="B442" s="744" t="s">
        <v>3198</v>
      </c>
      <c r="C442" s="744" t="s">
        <v>2734</v>
      </c>
      <c r="D442" s="744" t="s">
        <v>531</v>
      </c>
      <c r="E442" s="744" t="s">
        <v>3191</v>
      </c>
      <c r="F442" s="746" t="s">
        <v>3199</v>
      </c>
      <c r="G442" s="747" t="s">
        <v>2288</v>
      </c>
      <c r="H442" s="747">
        <f t="shared" si="7"/>
        <v>24</v>
      </c>
      <c r="I442" s="744">
        <v>2</v>
      </c>
      <c r="J442" s="744">
        <v>14</v>
      </c>
      <c r="K442" s="744">
        <v>35</v>
      </c>
      <c r="L442" s="744" t="s">
        <v>3198</v>
      </c>
      <c r="M442" s="744" t="s">
        <v>606</v>
      </c>
      <c r="O442" t="s">
        <v>531</v>
      </c>
    </row>
    <row r="443" spans="2:15">
      <c r="B443" s="744" t="s">
        <v>3200</v>
      </c>
      <c r="C443" s="744" t="s">
        <v>2734</v>
      </c>
      <c r="D443" s="744" t="s">
        <v>531</v>
      </c>
      <c r="E443" s="744" t="s">
        <v>3201</v>
      </c>
      <c r="F443" s="746" t="s">
        <v>3202</v>
      </c>
      <c r="G443" s="747" t="s">
        <v>2288</v>
      </c>
      <c r="H443" s="747">
        <f t="shared" si="7"/>
        <v>36</v>
      </c>
      <c r="I443" s="744">
        <v>1</v>
      </c>
      <c r="J443" s="744">
        <v>39</v>
      </c>
      <c r="K443" s="744">
        <v>43</v>
      </c>
      <c r="L443" s="744" t="s">
        <v>3200</v>
      </c>
      <c r="M443" s="744" t="s">
        <v>606</v>
      </c>
      <c r="O443" t="s">
        <v>531</v>
      </c>
    </row>
    <row r="444" spans="2:15">
      <c r="B444" s="744" t="s">
        <v>3203</v>
      </c>
      <c r="C444" s="744" t="s">
        <v>2734</v>
      </c>
      <c r="D444" s="744" t="s">
        <v>531</v>
      </c>
      <c r="E444" s="744" t="s">
        <v>3204</v>
      </c>
      <c r="F444" s="746" t="s">
        <v>3205</v>
      </c>
      <c r="G444" s="747" t="s">
        <v>2288</v>
      </c>
      <c r="H444" s="747">
        <f t="shared" si="7"/>
        <v>36</v>
      </c>
      <c r="I444" s="744">
        <v>1</v>
      </c>
      <c r="J444" s="744">
        <v>21</v>
      </c>
      <c r="K444" s="744">
        <v>27</v>
      </c>
      <c r="L444" s="744" t="s">
        <v>3203</v>
      </c>
      <c r="M444" s="744" t="s">
        <v>606</v>
      </c>
      <c r="O444" t="s">
        <v>531</v>
      </c>
    </row>
    <row r="445" spans="2:15">
      <c r="B445" s="744" t="s">
        <v>3206</v>
      </c>
      <c r="C445" s="744" t="s">
        <v>2734</v>
      </c>
      <c r="D445" s="744" t="s">
        <v>531</v>
      </c>
      <c r="E445" s="744" t="s">
        <v>3201</v>
      </c>
      <c r="F445" s="746" t="s">
        <v>3207</v>
      </c>
      <c r="G445" s="747" t="s">
        <v>2288</v>
      </c>
      <c r="H445" s="747">
        <f t="shared" si="7"/>
        <v>36</v>
      </c>
      <c r="I445" s="744">
        <v>2</v>
      </c>
      <c r="J445" s="744">
        <v>39</v>
      </c>
      <c r="K445" s="744">
        <v>85</v>
      </c>
      <c r="L445" s="744" t="s">
        <v>3206</v>
      </c>
      <c r="M445" s="744" t="s">
        <v>606</v>
      </c>
      <c r="O445" t="s">
        <v>531</v>
      </c>
    </row>
    <row r="446" spans="2:15">
      <c r="B446" s="744" t="s">
        <v>3208</v>
      </c>
      <c r="C446" s="744" t="s">
        <v>2734</v>
      </c>
      <c r="D446" s="744" t="s">
        <v>531</v>
      </c>
      <c r="E446" s="744" t="s">
        <v>3209</v>
      </c>
      <c r="F446" s="746" t="s">
        <v>3210</v>
      </c>
      <c r="G446" s="747" t="s">
        <v>2360</v>
      </c>
      <c r="H446" s="747">
        <f t="shared" si="7"/>
        <v>36</v>
      </c>
      <c r="I446" s="744">
        <v>2</v>
      </c>
      <c r="J446" s="744">
        <v>50</v>
      </c>
      <c r="K446" s="744">
        <v>114</v>
      </c>
      <c r="L446" s="744" t="s">
        <v>3208</v>
      </c>
      <c r="M446" s="744" t="s">
        <v>606</v>
      </c>
      <c r="O446" t="s">
        <v>531</v>
      </c>
    </row>
    <row r="447" spans="2:15">
      <c r="B447" s="744" t="s">
        <v>3211</v>
      </c>
      <c r="C447" s="744" t="s">
        <v>2734</v>
      </c>
      <c r="D447" s="744" t="s">
        <v>531</v>
      </c>
      <c r="E447" s="744" t="s">
        <v>3204</v>
      </c>
      <c r="F447" s="746" t="s">
        <v>3205</v>
      </c>
      <c r="G447" s="747" t="s">
        <v>2288</v>
      </c>
      <c r="H447" s="747">
        <f t="shared" si="7"/>
        <v>36</v>
      </c>
      <c r="I447" s="744">
        <v>2</v>
      </c>
      <c r="J447" s="744">
        <v>21</v>
      </c>
      <c r="K447" s="744">
        <v>52</v>
      </c>
      <c r="L447" s="744" t="s">
        <v>3211</v>
      </c>
      <c r="M447" s="744" t="s">
        <v>606</v>
      </c>
      <c r="O447" t="s">
        <v>531</v>
      </c>
    </row>
    <row r="448" spans="2:15">
      <c r="B448" s="744" t="s">
        <v>3212</v>
      </c>
      <c r="C448" s="744" t="s">
        <v>2734</v>
      </c>
      <c r="D448" s="744" t="s">
        <v>531</v>
      </c>
      <c r="E448" s="744" t="s">
        <v>3124</v>
      </c>
      <c r="F448" s="746" t="s">
        <v>3213</v>
      </c>
      <c r="G448" s="747" t="s">
        <v>2288</v>
      </c>
      <c r="H448" s="747">
        <f t="shared" si="7"/>
        <v>48</v>
      </c>
      <c r="I448" s="744">
        <v>1</v>
      </c>
      <c r="J448" s="744">
        <v>54</v>
      </c>
      <c r="K448" s="744">
        <v>59</v>
      </c>
      <c r="L448" s="744" t="s">
        <v>3212</v>
      </c>
      <c r="M448" s="744" t="s">
        <v>606</v>
      </c>
      <c r="O448" t="s">
        <v>531</v>
      </c>
    </row>
    <row r="449" spans="2:15">
      <c r="B449" s="744" t="s">
        <v>3214</v>
      </c>
      <c r="C449" s="744" t="s">
        <v>2734</v>
      </c>
      <c r="D449" s="744" t="s">
        <v>531</v>
      </c>
      <c r="E449" s="744" t="s">
        <v>3215</v>
      </c>
      <c r="F449" s="746" t="s">
        <v>3216</v>
      </c>
      <c r="G449" s="747" t="s">
        <v>2288</v>
      </c>
      <c r="H449" s="747">
        <f t="shared" si="7"/>
        <v>48</v>
      </c>
      <c r="I449" s="744">
        <v>1</v>
      </c>
      <c r="J449" s="744">
        <v>28</v>
      </c>
      <c r="K449" s="744">
        <v>32</v>
      </c>
      <c r="L449" s="744" t="s">
        <v>3214</v>
      </c>
      <c r="M449" s="744" t="s">
        <v>606</v>
      </c>
      <c r="O449" t="s">
        <v>531</v>
      </c>
    </row>
    <row r="450" spans="2:15">
      <c r="B450" s="743" t="s">
        <v>3217</v>
      </c>
      <c r="C450" s="744" t="s">
        <v>2734</v>
      </c>
      <c r="D450" s="744" t="s">
        <v>531</v>
      </c>
      <c r="E450" s="743" t="s">
        <v>3218</v>
      </c>
      <c r="F450" s="741" t="s">
        <v>3219</v>
      </c>
      <c r="G450" s="749" t="s">
        <v>2288</v>
      </c>
      <c r="H450" s="747">
        <f t="shared" si="7"/>
        <v>48</v>
      </c>
      <c r="I450" s="743">
        <v>1</v>
      </c>
      <c r="J450" s="743">
        <v>54</v>
      </c>
      <c r="K450" s="743">
        <v>62</v>
      </c>
      <c r="L450" s="743" t="s">
        <v>3217</v>
      </c>
      <c r="M450" s="744" t="s">
        <v>606</v>
      </c>
      <c r="O450" t="s">
        <v>531</v>
      </c>
    </row>
    <row r="451" spans="2:15">
      <c r="B451" s="744" t="s">
        <v>3220</v>
      </c>
      <c r="C451" s="744" t="s">
        <v>2734</v>
      </c>
      <c r="D451" s="744" t="s">
        <v>531</v>
      </c>
      <c r="E451" s="744" t="s">
        <v>3124</v>
      </c>
      <c r="F451" s="746" t="s">
        <v>3221</v>
      </c>
      <c r="G451" s="747" t="s">
        <v>2288</v>
      </c>
      <c r="H451" s="747">
        <f t="shared" si="7"/>
        <v>48</v>
      </c>
      <c r="I451" s="744">
        <v>2</v>
      </c>
      <c r="J451" s="744">
        <v>54</v>
      </c>
      <c r="K451" s="744">
        <v>117</v>
      </c>
      <c r="L451" s="744" t="s">
        <v>3220</v>
      </c>
      <c r="M451" s="744" t="s">
        <v>606</v>
      </c>
      <c r="O451" t="s">
        <v>531</v>
      </c>
    </row>
    <row r="452" spans="2:15">
      <c r="B452" s="743" t="s">
        <v>3222</v>
      </c>
      <c r="C452" s="744" t="s">
        <v>2734</v>
      </c>
      <c r="D452" s="744" t="s">
        <v>531</v>
      </c>
      <c r="E452" s="743" t="s">
        <v>3218</v>
      </c>
      <c r="F452" s="741" t="s">
        <v>3223</v>
      </c>
      <c r="G452" s="749" t="s">
        <v>2288</v>
      </c>
      <c r="H452" s="747">
        <f t="shared" si="7"/>
        <v>48</v>
      </c>
      <c r="I452" s="743">
        <v>2</v>
      </c>
      <c r="J452" s="743">
        <v>54</v>
      </c>
      <c r="K452" s="743">
        <v>118</v>
      </c>
      <c r="L452" s="743" t="s">
        <v>3222</v>
      </c>
      <c r="M452" s="744" t="s">
        <v>606</v>
      </c>
      <c r="O452" t="s">
        <v>531</v>
      </c>
    </row>
    <row r="453" spans="2:15">
      <c r="B453" s="744" t="s">
        <v>3224</v>
      </c>
      <c r="C453" s="744" t="s">
        <v>2734</v>
      </c>
      <c r="D453" s="744" t="s">
        <v>531</v>
      </c>
      <c r="E453" s="744" t="s">
        <v>3124</v>
      </c>
      <c r="F453" s="746" t="s">
        <v>3225</v>
      </c>
      <c r="G453" s="747" t="s">
        <v>2288</v>
      </c>
      <c r="H453" s="747">
        <f t="shared" si="7"/>
        <v>48</v>
      </c>
      <c r="I453" s="744">
        <v>3</v>
      </c>
      <c r="J453" s="744">
        <v>54</v>
      </c>
      <c r="K453" s="744">
        <v>177</v>
      </c>
      <c r="L453" s="744" t="s">
        <v>3224</v>
      </c>
      <c r="M453" s="744" t="s">
        <v>606</v>
      </c>
      <c r="O453" t="s">
        <v>531</v>
      </c>
    </row>
    <row r="454" spans="2:15">
      <c r="B454" s="743" t="s">
        <v>3226</v>
      </c>
      <c r="C454" s="744" t="s">
        <v>2734</v>
      </c>
      <c r="D454" s="744" t="s">
        <v>531</v>
      </c>
      <c r="E454" s="743" t="s">
        <v>3218</v>
      </c>
      <c r="F454" s="741" t="s">
        <v>3227</v>
      </c>
      <c r="G454" s="749" t="s">
        <v>2288</v>
      </c>
      <c r="H454" s="747">
        <f t="shared" si="7"/>
        <v>48</v>
      </c>
      <c r="I454" s="743">
        <v>3</v>
      </c>
      <c r="J454" s="743">
        <v>54</v>
      </c>
      <c r="K454" s="743">
        <v>182</v>
      </c>
      <c r="L454" s="743" t="s">
        <v>3226</v>
      </c>
      <c r="M454" s="744" t="s">
        <v>606</v>
      </c>
      <c r="O454" t="s">
        <v>531</v>
      </c>
    </row>
    <row r="455" spans="2:15">
      <c r="B455" s="744" t="s">
        <v>3228</v>
      </c>
      <c r="C455" s="744" t="s">
        <v>2734</v>
      </c>
      <c r="D455" s="744" t="s">
        <v>531</v>
      </c>
      <c r="E455" s="744" t="s">
        <v>3124</v>
      </c>
      <c r="F455" s="746" t="s">
        <v>3229</v>
      </c>
      <c r="G455" s="747" t="s">
        <v>2288</v>
      </c>
      <c r="H455" s="747">
        <f t="shared" si="7"/>
        <v>48</v>
      </c>
      <c r="I455" s="744">
        <v>4</v>
      </c>
      <c r="J455" s="744">
        <v>54</v>
      </c>
      <c r="K455" s="744">
        <v>234</v>
      </c>
      <c r="L455" s="744" t="s">
        <v>3228</v>
      </c>
      <c r="M455" s="744" t="s">
        <v>606</v>
      </c>
      <c r="O455" t="s">
        <v>531</v>
      </c>
    </row>
    <row r="456" spans="2:15">
      <c r="B456" s="743" t="s">
        <v>3230</v>
      </c>
      <c r="C456" s="744" t="s">
        <v>2734</v>
      </c>
      <c r="D456" s="744" t="s">
        <v>531</v>
      </c>
      <c r="E456" s="743" t="s">
        <v>3218</v>
      </c>
      <c r="F456" s="741" t="s">
        <v>3231</v>
      </c>
      <c r="G456" s="749" t="s">
        <v>2288</v>
      </c>
      <c r="H456" s="747">
        <f t="shared" si="7"/>
        <v>48</v>
      </c>
      <c r="I456" s="743">
        <v>4</v>
      </c>
      <c r="J456" s="743">
        <v>54</v>
      </c>
      <c r="K456" s="743">
        <v>240</v>
      </c>
      <c r="L456" s="743" t="s">
        <v>3230</v>
      </c>
      <c r="M456" s="744" t="s">
        <v>606</v>
      </c>
      <c r="O456" t="s">
        <v>531</v>
      </c>
    </row>
    <row r="457" spans="2:15">
      <c r="B457" s="744" t="s">
        <v>3232</v>
      </c>
      <c r="C457" s="744" t="s">
        <v>2734</v>
      </c>
      <c r="D457" s="744" t="s">
        <v>531</v>
      </c>
      <c r="E457" s="744" t="s">
        <v>3124</v>
      </c>
      <c r="F457" s="746" t="s">
        <v>3233</v>
      </c>
      <c r="G457" s="747" t="s">
        <v>2288</v>
      </c>
      <c r="H457" s="747">
        <f t="shared" si="7"/>
        <v>48</v>
      </c>
      <c r="I457" s="744">
        <v>5</v>
      </c>
      <c r="J457" s="744">
        <v>54</v>
      </c>
      <c r="K457" s="744">
        <v>294</v>
      </c>
      <c r="L457" s="744" t="s">
        <v>3232</v>
      </c>
      <c r="M457" s="744" t="s">
        <v>606</v>
      </c>
      <c r="O457" t="s">
        <v>531</v>
      </c>
    </row>
    <row r="458" spans="2:15">
      <c r="B458" s="744" t="s">
        <v>3234</v>
      </c>
      <c r="C458" s="744" t="s">
        <v>2734</v>
      </c>
      <c r="D458" s="744" t="s">
        <v>531</v>
      </c>
      <c r="E458" s="744" t="s">
        <v>3124</v>
      </c>
      <c r="F458" s="746" t="s">
        <v>3235</v>
      </c>
      <c r="G458" s="747" t="s">
        <v>2288</v>
      </c>
      <c r="H458" s="747">
        <f t="shared" si="7"/>
        <v>48</v>
      </c>
      <c r="I458" s="744">
        <v>6</v>
      </c>
      <c r="J458" s="744">
        <v>54</v>
      </c>
      <c r="K458" s="744">
        <v>351</v>
      </c>
      <c r="L458" s="744" t="s">
        <v>3234</v>
      </c>
      <c r="M458" s="744" t="s">
        <v>606</v>
      </c>
      <c r="O458" t="s">
        <v>531</v>
      </c>
    </row>
    <row r="459" spans="2:15">
      <c r="B459" s="743" t="s">
        <v>3236</v>
      </c>
      <c r="C459" s="744" t="s">
        <v>2734</v>
      </c>
      <c r="D459" s="744" t="s">
        <v>531</v>
      </c>
      <c r="E459" s="743" t="s">
        <v>3218</v>
      </c>
      <c r="F459" s="741" t="s">
        <v>3237</v>
      </c>
      <c r="G459" s="749" t="s">
        <v>2288</v>
      </c>
      <c r="H459" s="747">
        <f t="shared" si="7"/>
        <v>48</v>
      </c>
      <c r="I459" s="743">
        <v>6</v>
      </c>
      <c r="J459" s="743">
        <v>54</v>
      </c>
      <c r="K459" s="743">
        <v>364</v>
      </c>
      <c r="L459" s="743" t="s">
        <v>3236</v>
      </c>
      <c r="M459" s="744" t="s">
        <v>606</v>
      </c>
      <c r="O459" t="s">
        <v>531</v>
      </c>
    </row>
    <row r="460" spans="2:15">
      <c r="B460" s="744" t="s">
        <v>3238</v>
      </c>
      <c r="C460" s="744" t="s">
        <v>2734</v>
      </c>
      <c r="D460" s="744" t="s">
        <v>531</v>
      </c>
      <c r="E460" s="744" t="s">
        <v>3124</v>
      </c>
      <c r="F460" s="746" t="s">
        <v>3239</v>
      </c>
      <c r="G460" s="747" t="s">
        <v>2288</v>
      </c>
      <c r="H460" s="747">
        <f t="shared" si="7"/>
        <v>48</v>
      </c>
      <c r="I460" s="744">
        <v>8</v>
      </c>
      <c r="J460" s="744">
        <v>54</v>
      </c>
      <c r="K460" s="744">
        <v>468</v>
      </c>
      <c r="L460" s="744" t="s">
        <v>3238</v>
      </c>
      <c r="M460" s="744" t="s">
        <v>606</v>
      </c>
      <c r="O460" t="s">
        <v>531</v>
      </c>
    </row>
    <row r="461" spans="2:15">
      <c r="B461" s="744" t="s">
        <v>3240</v>
      </c>
      <c r="C461" s="744" t="s">
        <v>2734</v>
      </c>
      <c r="D461" s="744" t="s">
        <v>531</v>
      </c>
      <c r="E461" s="744" t="s">
        <v>3241</v>
      </c>
      <c r="F461" s="746" t="s">
        <v>3242</v>
      </c>
      <c r="G461" s="747" t="s">
        <v>2288</v>
      </c>
      <c r="H461" s="747">
        <f t="shared" si="7"/>
        <v>60</v>
      </c>
      <c r="I461" s="744">
        <v>1</v>
      </c>
      <c r="J461" s="744">
        <v>80</v>
      </c>
      <c r="K461" s="744">
        <v>89</v>
      </c>
      <c r="L461" s="744" t="s">
        <v>3240</v>
      </c>
      <c r="M461" s="744" t="s">
        <v>606</v>
      </c>
      <c r="O461" t="s">
        <v>531</v>
      </c>
    </row>
    <row r="462" spans="2:15">
      <c r="B462" s="744" t="s">
        <v>3243</v>
      </c>
      <c r="C462" s="744" t="s">
        <v>2734</v>
      </c>
      <c r="D462" s="744" t="s">
        <v>531</v>
      </c>
      <c r="E462" s="744" t="s">
        <v>3244</v>
      </c>
      <c r="F462" s="746" t="s">
        <v>3245</v>
      </c>
      <c r="G462" s="747" t="s">
        <v>2288</v>
      </c>
      <c r="H462" s="747">
        <f t="shared" si="7"/>
        <v>60</v>
      </c>
      <c r="I462" s="744">
        <v>1</v>
      </c>
      <c r="J462" s="744">
        <v>35</v>
      </c>
      <c r="K462" s="744">
        <v>39</v>
      </c>
      <c r="L462" s="744" t="s">
        <v>3243</v>
      </c>
      <c r="M462" s="744" t="s">
        <v>606</v>
      </c>
      <c r="O462" t="s">
        <v>531</v>
      </c>
    </row>
    <row r="463" spans="2:15">
      <c r="B463" s="744" t="s">
        <v>3246</v>
      </c>
      <c r="C463" s="744" t="s">
        <v>2734</v>
      </c>
      <c r="D463" s="744" t="s">
        <v>531</v>
      </c>
      <c r="E463" s="744" t="s">
        <v>3244</v>
      </c>
      <c r="F463" s="746" t="s">
        <v>3247</v>
      </c>
      <c r="G463" s="747" t="s">
        <v>2288</v>
      </c>
      <c r="H463" s="747">
        <f t="shared" ref="H463:H526" si="8">MID(B463,2,1)*12</f>
        <v>60</v>
      </c>
      <c r="I463" s="744">
        <v>2</v>
      </c>
      <c r="J463" s="744">
        <v>35</v>
      </c>
      <c r="K463" s="744">
        <v>76</v>
      </c>
      <c r="L463" s="744" t="s">
        <v>3246</v>
      </c>
      <c r="M463" s="744" t="s">
        <v>606</v>
      </c>
      <c r="O463" t="s">
        <v>531</v>
      </c>
    </row>
    <row r="464" spans="2:15" ht="15">
      <c r="B464" s="744" t="s">
        <v>3248</v>
      </c>
      <c r="C464" s="744" t="s">
        <v>2734</v>
      </c>
      <c r="D464" s="744" t="s">
        <v>3249</v>
      </c>
      <c r="E464" s="744" t="s">
        <v>3250</v>
      </c>
      <c r="F464" s="746" t="s">
        <v>3251</v>
      </c>
      <c r="G464" s="747" t="s">
        <v>2360</v>
      </c>
      <c r="H464" s="747">
        <f t="shared" si="8"/>
        <v>12</v>
      </c>
      <c r="I464" s="744">
        <v>1</v>
      </c>
      <c r="J464" s="744">
        <v>15</v>
      </c>
      <c r="K464" s="744">
        <v>19</v>
      </c>
      <c r="L464" s="750" t="s">
        <v>2733</v>
      </c>
      <c r="M464" s="744" t="s">
        <v>606</v>
      </c>
    </row>
    <row r="465" spans="2:13" ht="15">
      <c r="B465" s="744" t="s">
        <v>3252</v>
      </c>
      <c r="C465" s="744" t="s">
        <v>2734</v>
      </c>
      <c r="D465" s="744" t="s">
        <v>3249</v>
      </c>
      <c r="E465" s="744" t="s">
        <v>3250</v>
      </c>
      <c r="F465" s="746" t="s">
        <v>3253</v>
      </c>
      <c r="G465" s="747" t="s">
        <v>2360</v>
      </c>
      <c r="H465" s="747">
        <f t="shared" si="8"/>
        <v>12</v>
      </c>
      <c r="I465" s="744">
        <v>2</v>
      </c>
      <c r="J465" s="744">
        <v>15</v>
      </c>
      <c r="K465" s="744">
        <v>36</v>
      </c>
      <c r="L465" s="750" t="s">
        <v>2737</v>
      </c>
      <c r="M465" s="744" t="s">
        <v>606</v>
      </c>
    </row>
    <row r="466" spans="2:13" ht="15">
      <c r="B466" s="744" t="s">
        <v>3254</v>
      </c>
      <c r="C466" s="744" t="s">
        <v>2734</v>
      </c>
      <c r="D466" s="744" t="s">
        <v>3249</v>
      </c>
      <c r="E466" s="744" t="s">
        <v>3255</v>
      </c>
      <c r="F466" s="746" t="s">
        <v>3256</v>
      </c>
      <c r="G466" s="747" t="s">
        <v>2360</v>
      </c>
      <c r="H466" s="747">
        <f t="shared" si="8"/>
        <v>24</v>
      </c>
      <c r="I466" s="744">
        <v>1</v>
      </c>
      <c r="J466" s="744">
        <v>35</v>
      </c>
      <c r="K466" s="744">
        <v>62</v>
      </c>
      <c r="L466" s="750" t="s">
        <v>2739</v>
      </c>
      <c r="M466" s="744" t="s">
        <v>606</v>
      </c>
    </row>
    <row r="467" spans="2:13" ht="15">
      <c r="B467" s="744" t="s">
        <v>3257</v>
      </c>
      <c r="C467" s="744" t="s">
        <v>2734</v>
      </c>
      <c r="D467" s="744" t="s">
        <v>3249</v>
      </c>
      <c r="E467" s="744" t="s">
        <v>3258</v>
      </c>
      <c r="F467" s="746" t="s">
        <v>3259</v>
      </c>
      <c r="G467" s="747" t="s">
        <v>2768</v>
      </c>
      <c r="H467" s="747">
        <f t="shared" si="8"/>
        <v>24</v>
      </c>
      <c r="I467" s="744">
        <v>1</v>
      </c>
      <c r="J467" s="744">
        <v>20</v>
      </c>
      <c r="K467" s="744">
        <v>26</v>
      </c>
      <c r="L467" s="750" t="s">
        <v>2739</v>
      </c>
      <c r="M467" s="744" t="s">
        <v>606</v>
      </c>
    </row>
    <row r="468" spans="2:13" ht="15">
      <c r="B468" s="744" t="s">
        <v>3260</v>
      </c>
      <c r="C468" s="744" t="s">
        <v>2734</v>
      </c>
      <c r="D468" s="744" t="s">
        <v>3249</v>
      </c>
      <c r="E468" s="744" t="s">
        <v>3258</v>
      </c>
      <c r="F468" s="746" t="s">
        <v>3259</v>
      </c>
      <c r="G468" s="747" t="s">
        <v>2360</v>
      </c>
      <c r="H468" s="747">
        <f t="shared" si="8"/>
        <v>24</v>
      </c>
      <c r="I468" s="744">
        <v>1</v>
      </c>
      <c r="J468" s="744">
        <v>20</v>
      </c>
      <c r="K468" s="744">
        <v>28</v>
      </c>
      <c r="L468" s="750" t="s">
        <v>2739</v>
      </c>
      <c r="M468" s="744" t="s">
        <v>606</v>
      </c>
    </row>
    <row r="469" spans="2:13" ht="15">
      <c r="B469" s="744" t="s">
        <v>3261</v>
      </c>
      <c r="C469" s="744" t="s">
        <v>2734</v>
      </c>
      <c r="D469" s="744" t="s">
        <v>3249</v>
      </c>
      <c r="E469" s="744" t="s">
        <v>3255</v>
      </c>
      <c r="F469" s="746" t="s">
        <v>3262</v>
      </c>
      <c r="G469" s="747" t="s">
        <v>2360</v>
      </c>
      <c r="H469" s="747">
        <f t="shared" si="8"/>
        <v>24</v>
      </c>
      <c r="I469" s="744">
        <v>2</v>
      </c>
      <c r="J469" s="744">
        <v>35</v>
      </c>
      <c r="K469" s="744">
        <v>90</v>
      </c>
      <c r="L469" s="750" t="s">
        <v>2769</v>
      </c>
      <c r="M469" s="744" t="s">
        <v>606</v>
      </c>
    </row>
    <row r="470" spans="2:13" ht="15">
      <c r="B470" s="744" t="s">
        <v>3263</v>
      </c>
      <c r="C470" s="744" t="s">
        <v>2734</v>
      </c>
      <c r="D470" s="744" t="s">
        <v>3249</v>
      </c>
      <c r="E470" s="744" t="s">
        <v>3258</v>
      </c>
      <c r="F470" s="746" t="s">
        <v>3264</v>
      </c>
      <c r="G470" s="747" t="s">
        <v>2768</v>
      </c>
      <c r="H470" s="747">
        <f t="shared" si="8"/>
        <v>24</v>
      </c>
      <c r="I470" s="744">
        <v>2</v>
      </c>
      <c r="J470" s="744">
        <v>20</v>
      </c>
      <c r="K470" s="744">
        <v>51</v>
      </c>
      <c r="L470" s="750" t="s">
        <v>2769</v>
      </c>
      <c r="M470" s="744" t="s">
        <v>606</v>
      </c>
    </row>
    <row r="471" spans="2:13" ht="15">
      <c r="B471" s="744" t="s">
        <v>3265</v>
      </c>
      <c r="C471" s="744" t="s">
        <v>2734</v>
      </c>
      <c r="D471" s="744" t="s">
        <v>3249</v>
      </c>
      <c r="E471" s="744" t="s">
        <v>3258</v>
      </c>
      <c r="F471" s="746" t="s">
        <v>3264</v>
      </c>
      <c r="G471" s="747" t="s">
        <v>2360</v>
      </c>
      <c r="H471" s="747">
        <f t="shared" si="8"/>
        <v>24</v>
      </c>
      <c r="I471" s="744">
        <v>2</v>
      </c>
      <c r="J471" s="744">
        <v>20</v>
      </c>
      <c r="K471" s="744">
        <v>56</v>
      </c>
      <c r="L471" s="750" t="s">
        <v>2769</v>
      </c>
      <c r="M471" s="744" t="s">
        <v>606</v>
      </c>
    </row>
    <row r="472" spans="2:13" ht="15">
      <c r="B472" s="744" t="s">
        <v>3266</v>
      </c>
      <c r="C472" s="744" t="s">
        <v>2734</v>
      </c>
      <c r="D472" s="744" t="s">
        <v>3249</v>
      </c>
      <c r="E472" s="744" t="s">
        <v>3258</v>
      </c>
      <c r="F472" s="746" t="s">
        <v>3267</v>
      </c>
      <c r="G472" s="747" t="s">
        <v>2768</v>
      </c>
      <c r="H472" s="747">
        <f t="shared" si="8"/>
        <v>24</v>
      </c>
      <c r="I472" s="744">
        <v>3</v>
      </c>
      <c r="J472" s="744">
        <v>20</v>
      </c>
      <c r="K472" s="744">
        <v>77</v>
      </c>
      <c r="L472" s="750" t="s">
        <v>2783</v>
      </c>
      <c r="M472" s="744" t="s">
        <v>606</v>
      </c>
    </row>
    <row r="473" spans="2:13" ht="15">
      <c r="B473" s="744" t="s">
        <v>3268</v>
      </c>
      <c r="C473" s="744" t="s">
        <v>2734</v>
      </c>
      <c r="D473" s="744" t="s">
        <v>3249</v>
      </c>
      <c r="E473" s="744" t="s">
        <v>3258</v>
      </c>
      <c r="F473" s="746" t="s">
        <v>3267</v>
      </c>
      <c r="G473" s="747" t="s">
        <v>2360</v>
      </c>
      <c r="H473" s="747">
        <f t="shared" si="8"/>
        <v>24</v>
      </c>
      <c r="I473" s="744">
        <v>3</v>
      </c>
      <c r="J473" s="744">
        <v>20</v>
      </c>
      <c r="K473" s="744">
        <v>84</v>
      </c>
      <c r="L473" s="750" t="s">
        <v>2783</v>
      </c>
      <c r="M473" s="744" t="s">
        <v>606</v>
      </c>
    </row>
    <row r="474" spans="2:13" ht="15">
      <c r="B474" s="744" t="s">
        <v>3269</v>
      </c>
      <c r="C474" s="744" t="s">
        <v>2734</v>
      </c>
      <c r="D474" s="744" t="s">
        <v>3249</v>
      </c>
      <c r="E474" s="744" t="s">
        <v>3258</v>
      </c>
      <c r="F474" s="746" t="s">
        <v>3270</v>
      </c>
      <c r="G474" s="747" t="s">
        <v>2768</v>
      </c>
      <c r="H474" s="747">
        <f t="shared" si="8"/>
        <v>24</v>
      </c>
      <c r="I474" s="744">
        <v>4</v>
      </c>
      <c r="J474" s="744">
        <v>20</v>
      </c>
      <c r="K474" s="744">
        <v>102</v>
      </c>
      <c r="L474" s="750" t="s">
        <v>2793</v>
      </c>
      <c r="M474" s="744" t="s">
        <v>606</v>
      </c>
    </row>
    <row r="475" spans="2:13" ht="15">
      <c r="B475" s="744" t="s">
        <v>3271</v>
      </c>
      <c r="C475" s="744" t="s">
        <v>2734</v>
      </c>
      <c r="D475" s="744" t="s">
        <v>3249</v>
      </c>
      <c r="E475" s="744" t="s">
        <v>3258</v>
      </c>
      <c r="F475" s="746" t="s">
        <v>3270</v>
      </c>
      <c r="G475" s="747" t="s">
        <v>2360</v>
      </c>
      <c r="H475" s="747">
        <f t="shared" si="8"/>
        <v>24</v>
      </c>
      <c r="I475" s="744">
        <v>4</v>
      </c>
      <c r="J475" s="744">
        <v>20</v>
      </c>
      <c r="K475" s="744">
        <v>112</v>
      </c>
      <c r="L475" s="750" t="s">
        <v>2793</v>
      </c>
      <c r="M475" s="744" t="s">
        <v>606</v>
      </c>
    </row>
    <row r="476" spans="2:13" ht="15">
      <c r="B476" s="744" t="s">
        <v>3272</v>
      </c>
      <c r="C476" s="744" t="s">
        <v>2734</v>
      </c>
      <c r="D476" s="744" t="s">
        <v>3249</v>
      </c>
      <c r="E476" s="744" t="s">
        <v>3258</v>
      </c>
      <c r="F476" s="746" t="s">
        <v>3273</v>
      </c>
      <c r="G476" s="747" t="s">
        <v>2768</v>
      </c>
      <c r="H476" s="747">
        <f t="shared" si="8"/>
        <v>24</v>
      </c>
      <c r="I476" s="744">
        <v>6</v>
      </c>
      <c r="J476" s="744">
        <v>20</v>
      </c>
      <c r="K476" s="744">
        <v>153</v>
      </c>
      <c r="L476" s="750" t="s">
        <v>3274</v>
      </c>
      <c r="M476" s="744" t="s">
        <v>606</v>
      </c>
    </row>
    <row r="477" spans="2:13" ht="15">
      <c r="B477" s="744" t="s">
        <v>3275</v>
      </c>
      <c r="C477" s="744" t="s">
        <v>2734</v>
      </c>
      <c r="D477" s="744" t="s">
        <v>3249</v>
      </c>
      <c r="E477" s="744" t="s">
        <v>3258</v>
      </c>
      <c r="F477" s="746" t="s">
        <v>3273</v>
      </c>
      <c r="G477" s="747" t="s">
        <v>2360</v>
      </c>
      <c r="H477" s="747">
        <f t="shared" si="8"/>
        <v>24</v>
      </c>
      <c r="I477" s="744">
        <v>6</v>
      </c>
      <c r="J477" s="744">
        <v>20</v>
      </c>
      <c r="K477" s="744">
        <v>168</v>
      </c>
      <c r="L477" s="750" t="s">
        <v>3274</v>
      </c>
      <c r="M477" s="744" t="s">
        <v>606</v>
      </c>
    </row>
    <row r="478" spans="2:13" ht="15">
      <c r="B478" s="744" t="s">
        <v>3276</v>
      </c>
      <c r="C478" s="744" t="s">
        <v>2734</v>
      </c>
      <c r="D478" s="744" t="s">
        <v>3249</v>
      </c>
      <c r="E478" s="744" t="s">
        <v>3277</v>
      </c>
      <c r="F478" s="746" t="s">
        <v>3278</v>
      </c>
      <c r="G478" s="747" t="s">
        <v>2768</v>
      </c>
      <c r="H478" s="747">
        <f t="shared" si="8"/>
        <v>36</v>
      </c>
      <c r="I478" s="744">
        <v>1</v>
      </c>
      <c r="J478" s="744">
        <v>25</v>
      </c>
      <c r="K478" s="744">
        <v>38</v>
      </c>
      <c r="L478" s="750" t="s">
        <v>2801</v>
      </c>
      <c r="M478" s="744" t="s">
        <v>606</v>
      </c>
    </row>
    <row r="479" spans="2:13" ht="15">
      <c r="B479" s="744" t="s">
        <v>3279</v>
      </c>
      <c r="C479" s="744" t="s">
        <v>2734</v>
      </c>
      <c r="D479" s="744" t="s">
        <v>3249</v>
      </c>
      <c r="E479" s="744" t="s">
        <v>3277</v>
      </c>
      <c r="F479" s="746" t="s">
        <v>3280</v>
      </c>
      <c r="G479" s="747" t="s">
        <v>2768</v>
      </c>
      <c r="H479" s="747">
        <f t="shared" si="8"/>
        <v>36</v>
      </c>
      <c r="I479" s="744">
        <v>1</v>
      </c>
      <c r="J479" s="744">
        <v>25</v>
      </c>
      <c r="K479" s="744">
        <v>33</v>
      </c>
      <c r="L479" s="750" t="s">
        <v>2801</v>
      </c>
      <c r="M479" s="744" t="s">
        <v>606</v>
      </c>
    </row>
    <row r="480" spans="2:13" ht="15">
      <c r="B480" s="744" t="s">
        <v>3281</v>
      </c>
      <c r="C480" s="744" t="s">
        <v>2734</v>
      </c>
      <c r="D480" s="744" t="s">
        <v>3249</v>
      </c>
      <c r="E480" s="744" t="s">
        <v>3277</v>
      </c>
      <c r="F480" s="746" t="s">
        <v>3282</v>
      </c>
      <c r="G480" s="747" t="s">
        <v>2288</v>
      </c>
      <c r="H480" s="747">
        <f t="shared" si="8"/>
        <v>36</v>
      </c>
      <c r="I480" s="744">
        <v>1</v>
      </c>
      <c r="J480" s="744">
        <v>25</v>
      </c>
      <c r="K480" s="744">
        <v>26</v>
      </c>
      <c r="L480" s="750" t="s">
        <v>2801</v>
      </c>
      <c r="M480" s="744" t="s">
        <v>606</v>
      </c>
    </row>
    <row r="481" spans="2:13" ht="15">
      <c r="B481" s="744" t="s">
        <v>3283</v>
      </c>
      <c r="C481" s="744" t="s">
        <v>2734</v>
      </c>
      <c r="D481" s="744" t="s">
        <v>3249</v>
      </c>
      <c r="E481" s="744" t="s">
        <v>3277</v>
      </c>
      <c r="F481" s="746" t="s">
        <v>3282</v>
      </c>
      <c r="G481" s="747" t="s">
        <v>2360</v>
      </c>
      <c r="H481" s="747">
        <f t="shared" si="8"/>
        <v>36</v>
      </c>
      <c r="I481" s="744">
        <v>1</v>
      </c>
      <c r="J481" s="744">
        <v>25</v>
      </c>
      <c r="K481" s="744">
        <v>42</v>
      </c>
      <c r="L481" s="750" t="s">
        <v>2801</v>
      </c>
      <c r="M481" s="744" t="s">
        <v>606</v>
      </c>
    </row>
    <row r="482" spans="2:13" ht="15">
      <c r="B482" s="744" t="s">
        <v>3284</v>
      </c>
      <c r="C482" s="744" t="s">
        <v>2734</v>
      </c>
      <c r="D482" s="744" t="s">
        <v>3249</v>
      </c>
      <c r="E482" s="744" t="s">
        <v>3277</v>
      </c>
      <c r="F482" s="746" t="s">
        <v>3285</v>
      </c>
      <c r="G482" s="747" t="s">
        <v>2360</v>
      </c>
      <c r="H482" s="747">
        <f t="shared" si="8"/>
        <v>36</v>
      </c>
      <c r="I482" s="744">
        <v>1</v>
      </c>
      <c r="J482" s="744">
        <v>25</v>
      </c>
      <c r="K482" s="744">
        <v>37</v>
      </c>
      <c r="L482" s="750" t="s">
        <v>2801</v>
      </c>
      <c r="M482" s="744" t="s">
        <v>606</v>
      </c>
    </row>
    <row r="483" spans="2:13" ht="15">
      <c r="B483" s="744" t="s">
        <v>3286</v>
      </c>
      <c r="C483" s="744" t="s">
        <v>2734</v>
      </c>
      <c r="D483" s="744" t="s">
        <v>3249</v>
      </c>
      <c r="E483" s="744" t="s">
        <v>3287</v>
      </c>
      <c r="F483" s="746" t="s">
        <v>3288</v>
      </c>
      <c r="G483" s="747" t="s">
        <v>2768</v>
      </c>
      <c r="H483" s="747">
        <f t="shared" si="8"/>
        <v>36</v>
      </c>
      <c r="I483" s="744">
        <v>1</v>
      </c>
      <c r="J483" s="744">
        <v>30</v>
      </c>
      <c r="K483" s="744">
        <v>37</v>
      </c>
      <c r="L483" s="750" t="s">
        <v>2801</v>
      </c>
      <c r="M483" s="744" t="s">
        <v>606</v>
      </c>
    </row>
    <row r="484" spans="2:13" ht="15">
      <c r="B484" s="744" t="s">
        <v>3289</v>
      </c>
      <c r="C484" s="744" t="s">
        <v>2734</v>
      </c>
      <c r="D484" s="744" t="s">
        <v>3249</v>
      </c>
      <c r="E484" s="744" t="s">
        <v>3209</v>
      </c>
      <c r="F484" s="746" t="s">
        <v>3290</v>
      </c>
      <c r="G484" s="747" t="s">
        <v>2360</v>
      </c>
      <c r="H484" s="747">
        <f t="shared" si="8"/>
        <v>36</v>
      </c>
      <c r="I484" s="744">
        <v>1</v>
      </c>
      <c r="J484" s="744">
        <v>50</v>
      </c>
      <c r="K484" s="744">
        <v>70</v>
      </c>
      <c r="L484" s="750" t="s">
        <v>2801</v>
      </c>
      <c r="M484" s="744" t="s">
        <v>606</v>
      </c>
    </row>
    <row r="485" spans="2:13" ht="15">
      <c r="B485" s="744" t="s">
        <v>3291</v>
      </c>
      <c r="C485" s="744" t="s">
        <v>2734</v>
      </c>
      <c r="D485" s="744" t="s">
        <v>3249</v>
      </c>
      <c r="E485" s="744" t="s">
        <v>3287</v>
      </c>
      <c r="F485" s="746" t="s">
        <v>3292</v>
      </c>
      <c r="G485" s="747" t="s">
        <v>2288</v>
      </c>
      <c r="H485" s="747">
        <f t="shared" si="8"/>
        <v>36</v>
      </c>
      <c r="I485" s="744">
        <v>1</v>
      </c>
      <c r="J485" s="744">
        <v>30</v>
      </c>
      <c r="K485" s="744">
        <v>31</v>
      </c>
      <c r="L485" s="750" t="s">
        <v>2801</v>
      </c>
      <c r="M485" s="744" t="s">
        <v>606</v>
      </c>
    </row>
    <row r="486" spans="2:13" ht="15">
      <c r="B486" s="744" t="s">
        <v>3293</v>
      </c>
      <c r="C486" s="744" t="s">
        <v>2734</v>
      </c>
      <c r="D486" s="744" t="s">
        <v>3249</v>
      </c>
      <c r="E486" s="744" t="s">
        <v>3287</v>
      </c>
      <c r="F486" s="746" t="s">
        <v>3292</v>
      </c>
      <c r="G486" s="747" t="s">
        <v>2360</v>
      </c>
      <c r="H486" s="747">
        <f t="shared" si="8"/>
        <v>36</v>
      </c>
      <c r="I486" s="744">
        <v>1</v>
      </c>
      <c r="J486" s="744">
        <v>30</v>
      </c>
      <c r="K486" s="744">
        <v>46</v>
      </c>
      <c r="L486" s="750" t="s">
        <v>2801</v>
      </c>
      <c r="M486" s="744" t="s">
        <v>606</v>
      </c>
    </row>
    <row r="487" spans="2:13" ht="15">
      <c r="B487" s="744" t="s">
        <v>3294</v>
      </c>
      <c r="C487" s="744" t="s">
        <v>2734</v>
      </c>
      <c r="D487" s="744" t="s">
        <v>3249</v>
      </c>
      <c r="E487" s="744" t="s">
        <v>3287</v>
      </c>
      <c r="F487" s="746" t="s">
        <v>3295</v>
      </c>
      <c r="G487" s="747" t="s">
        <v>2360</v>
      </c>
      <c r="H487" s="747">
        <f t="shared" si="8"/>
        <v>36</v>
      </c>
      <c r="I487" s="744">
        <v>1</v>
      </c>
      <c r="J487" s="744">
        <v>30</v>
      </c>
      <c r="K487" s="744">
        <v>41</v>
      </c>
      <c r="L487" s="750" t="s">
        <v>2801</v>
      </c>
      <c r="M487" s="744" t="s">
        <v>606</v>
      </c>
    </row>
    <row r="488" spans="2:13" ht="15">
      <c r="B488" s="744" t="s">
        <v>3296</v>
      </c>
      <c r="C488" s="744" t="s">
        <v>2734</v>
      </c>
      <c r="D488" s="744" t="s">
        <v>3249</v>
      </c>
      <c r="E488" s="744" t="s">
        <v>3277</v>
      </c>
      <c r="F488" s="746" t="s">
        <v>3297</v>
      </c>
      <c r="G488" s="747" t="s">
        <v>2768</v>
      </c>
      <c r="H488" s="747">
        <f t="shared" si="8"/>
        <v>36</v>
      </c>
      <c r="I488" s="744">
        <v>2</v>
      </c>
      <c r="J488" s="744">
        <v>25</v>
      </c>
      <c r="K488" s="744">
        <v>66</v>
      </c>
      <c r="L488" s="750" t="s">
        <v>2834</v>
      </c>
      <c r="M488" s="744" t="s">
        <v>606</v>
      </c>
    </row>
    <row r="489" spans="2:13" ht="15">
      <c r="B489" s="744" t="s">
        <v>3298</v>
      </c>
      <c r="C489" s="744" t="s">
        <v>2734</v>
      </c>
      <c r="D489" s="744" t="s">
        <v>3249</v>
      </c>
      <c r="E489" s="744" t="s">
        <v>3277</v>
      </c>
      <c r="F489" s="746" t="s">
        <v>3297</v>
      </c>
      <c r="G489" s="747" t="s">
        <v>2288</v>
      </c>
      <c r="H489" s="747">
        <f t="shared" si="8"/>
        <v>36</v>
      </c>
      <c r="I489" s="744">
        <v>2</v>
      </c>
      <c r="J489" s="744">
        <v>25</v>
      </c>
      <c r="K489" s="744">
        <v>50</v>
      </c>
      <c r="L489" s="750" t="s">
        <v>2834</v>
      </c>
      <c r="M489" s="744" t="s">
        <v>606</v>
      </c>
    </row>
    <row r="490" spans="2:13" ht="15">
      <c r="B490" s="744" t="s">
        <v>3299</v>
      </c>
      <c r="C490" s="744" t="s">
        <v>2734</v>
      </c>
      <c r="D490" s="744" t="s">
        <v>3249</v>
      </c>
      <c r="E490" s="744" t="s">
        <v>3277</v>
      </c>
      <c r="F490" s="746" t="s">
        <v>3297</v>
      </c>
      <c r="G490" s="747" t="s">
        <v>2360</v>
      </c>
      <c r="H490" s="747">
        <f t="shared" si="8"/>
        <v>36</v>
      </c>
      <c r="I490" s="744">
        <v>2</v>
      </c>
      <c r="J490" s="744">
        <v>25</v>
      </c>
      <c r="K490" s="744">
        <v>73</v>
      </c>
      <c r="L490" s="750" t="s">
        <v>2834</v>
      </c>
      <c r="M490" s="744" t="s">
        <v>606</v>
      </c>
    </row>
    <row r="491" spans="2:13" ht="15">
      <c r="B491" s="744" t="s">
        <v>3300</v>
      </c>
      <c r="C491" s="744" t="s">
        <v>2734</v>
      </c>
      <c r="D491" s="744" t="s">
        <v>3249</v>
      </c>
      <c r="E491" s="744" t="s">
        <v>3287</v>
      </c>
      <c r="F491" s="746" t="s">
        <v>3301</v>
      </c>
      <c r="G491" s="747" t="s">
        <v>2768</v>
      </c>
      <c r="H491" s="747">
        <f t="shared" si="8"/>
        <v>36</v>
      </c>
      <c r="I491" s="744">
        <v>2</v>
      </c>
      <c r="J491" s="744">
        <v>30</v>
      </c>
      <c r="K491" s="744">
        <v>74</v>
      </c>
      <c r="L491" s="750" t="s">
        <v>2834</v>
      </c>
      <c r="M491" s="744" t="s">
        <v>606</v>
      </c>
    </row>
    <row r="492" spans="2:13" ht="15">
      <c r="B492" s="744" t="s">
        <v>3302</v>
      </c>
      <c r="C492" s="744" t="s">
        <v>2734</v>
      </c>
      <c r="D492" s="744" t="s">
        <v>3249</v>
      </c>
      <c r="E492" s="744" t="s">
        <v>3287</v>
      </c>
      <c r="F492" s="746" t="s">
        <v>3301</v>
      </c>
      <c r="G492" s="747" t="s">
        <v>2288</v>
      </c>
      <c r="H492" s="747">
        <f t="shared" si="8"/>
        <v>36</v>
      </c>
      <c r="I492" s="744">
        <v>2</v>
      </c>
      <c r="J492" s="744">
        <v>30</v>
      </c>
      <c r="K492" s="744">
        <v>58</v>
      </c>
      <c r="L492" s="750" t="s">
        <v>2834</v>
      </c>
      <c r="M492" s="744" t="s">
        <v>606</v>
      </c>
    </row>
    <row r="493" spans="2:13" ht="15">
      <c r="B493" s="744" t="s">
        <v>3303</v>
      </c>
      <c r="C493" s="744" t="s">
        <v>2734</v>
      </c>
      <c r="D493" s="744" t="s">
        <v>3249</v>
      </c>
      <c r="E493" s="744" t="s">
        <v>3287</v>
      </c>
      <c r="F493" s="746" t="s">
        <v>3301</v>
      </c>
      <c r="G493" s="747" t="s">
        <v>2360</v>
      </c>
      <c r="H493" s="747">
        <f t="shared" si="8"/>
        <v>36</v>
      </c>
      <c r="I493" s="744">
        <v>2</v>
      </c>
      <c r="J493" s="744">
        <v>30</v>
      </c>
      <c r="K493" s="744">
        <v>81</v>
      </c>
      <c r="L493" s="750" t="s">
        <v>2834</v>
      </c>
      <c r="M493" s="744" t="s">
        <v>606</v>
      </c>
    </row>
    <row r="494" spans="2:13" ht="15">
      <c r="B494" s="744" t="s">
        <v>3304</v>
      </c>
      <c r="C494" s="744" t="s">
        <v>2734</v>
      </c>
      <c r="D494" s="744" t="s">
        <v>3249</v>
      </c>
      <c r="E494" s="744" t="s">
        <v>3277</v>
      </c>
      <c r="F494" s="746" t="s">
        <v>3305</v>
      </c>
      <c r="G494" s="747" t="s">
        <v>2768</v>
      </c>
      <c r="H494" s="747">
        <f t="shared" si="8"/>
        <v>36</v>
      </c>
      <c r="I494" s="744">
        <v>3</v>
      </c>
      <c r="J494" s="744">
        <v>25</v>
      </c>
      <c r="K494" s="744">
        <v>104</v>
      </c>
      <c r="L494" s="750" t="s">
        <v>2856</v>
      </c>
      <c r="M494" s="744" t="s">
        <v>606</v>
      </c>
    </row>
    <row r="495" spans="2:13" ht="15">
      <c r="B495" s="744" t="s">
        <v>3306</v>
      </c>
      <c r="C495" s="744" t="s">
        <v>2734</v>
      </c>
      <c r="D495" s="744" t="s">
        <v>3249</v>
      </c>
      <c r="E495" s="744" t="s">
        <v>3277</v>
      </c>
      <c r="F495" s="746" t="s">
        <v>3305</v>
      </c>
      <c r="G495" s="747" t="s">
        <v>2288</v>
      </c>
      <c r="H495" s="747">
        <f t="shared" si="8"/>
        <v>36</v>
      </c>
      <c r="I495" s="744">
        <v>3</v>
      </c>
      <c r="J495" s="744">
        <v>25</v>
      </c>
      <c r="K495" s="744">
        <v>76</v>
      </c>
      <c r="L495" s="750" t="s">
        <v>2856</v>
      </c>
      <c r="M495" s="744" t="s">
        <v>606</v>
      </c>
    </row>
    <row r="496" spans="2:13" ht="15">
      <c r="B496" s="744" t="s">
        <v>3307</v>
      </c>
      <c r="C496" s="744" t="s">
        <v>2734</v>
      </c>
      <c r="D496" s="744" t="s">
        <v>3249</v>
      </c>
      <c r="E496" s="744" t="s">
        <v>3277</v>
      </c>
      <c r="F496" s="746" t="s">
        <v>3308</v>
      </c>
      <c r="G496" s="747" t="s">
        <v>2360</v>
      </c>
      <c r="H496" s="747">
        <f t="shared" si="8"/>
        <v>36</v>
      </c>
      <c r="I496" s="744">
        <v>3</v>
      </c>
      <c r="J496" s="744">
        <v>25</v>
      </c>
      <c r="K496" s="744">
        <v>115</v>
      </c>
      <c r="L496" s="750" t="s">
        <v>2856</v>
      </c>
      <c r="M496" s="744" t="s">
        <v>606</v>
      </c>
    </row>
    <row r="497" spans="2:13" ht="15">
      <c r="B497" s="744" t="s">
        <v>3309</v>
      </c>
      <c r="C497" s="744" t="s">
        <v>2734</v>
      </c>
      <c r="D497" s="744" t="s">
        <v>3249</v>
      </c>
      <c r="E497" s="744" t="s">
        <v>3287</v>
      </c>
      <c r="F497" s="746" t="s">
        <v>3310</v>
      </c>
      <c r="G497" s="747" t="s">
        <v>2768</v>
      </c>
      <c r="H497" s="747">
        <f t="shared" si="8"/>
        <v>36</v>
      </c>
      <c r="I497" s="744">
        <v>3</v>
      </c>
      <c r="J497" s="744">
        <v>30</v>
      </c>
      <c r="K497" s="744">
        <v>120</v>
      </c>
      <c r="L497" s="750" t="s">
        <v>2856</v>
      </c>
      <c r="M497" s="744" t="s">
        <v>606</v>
      </c>
    </row>
    <row r="498" spans="2:13" ht="15">
      <c r="B498" s="744" t="s">
        <v>3311</v>
      </c>
      <c r="C498" s="744" t="s">
        <v>2734</v>
      </c>
      <c r="D498" s="744" t="s">
        <v>3249</v>
      </c>
      <c r="E498" s="744" t="s">
        <v>3287</v>
      </c>
      <c r="F498" s="746" t="s">
        <v>3312</v>
      </c>
      <c r="G498" s="747" t="s">
        <v>2360</v>
      </c>
      <c r="H498" s="747">
        <f t="shared" si="8"/>
        <v>36</v>
      </c>
      <c r="I498" s="744">
        <v>3</v>
      </c>
      <c r="J498" s="744">
        <v>30</v>
      </c>
      <c r="K498" s="744">
        <v>127</v>
      </c>
      <c r="L498" s="750" t="s">
        <v>2856</v>
      </c>
      <c r="M498" s="744" t="s">
        <v>606</v>
      </c>
    </row>
    <row r="499" spans="2:13" ht="15">
      <c r="B499" s="744" t="s">
        <v>3313</v>
      </c>
      <c r="C499" s="744" t="s">
        <v>2734</v>
      </c>
      <c r="D499" s="744" t="s">
        <v>3249</v>
      </c>
      <c r="E499" s="744" t="s">
        <v>3277</v>
      </c>
      <c r="F499" s="746" t="s">
        <v>3314</v>
      </c>
      <c r="G499" s="747" t="s">
        <v>2768</v>
      </c>
      <c r="H499" s="747">
        <f t="shared" si="8"/>
        <v>36</v>
      </c>
      <c r="I499" s="744">
        <v>4</v>
      </c>
      <c r="J499" s="744">
        <v>25</v>
      </c>
      <c r="K499" s="744">
        <v>132</v>
      </c>
      <c r="L499" s="750" t="s">
        <v>2864</v>
      </c>
      <c r="M499" s="744" t="s">
        <v>606</v>
      </c>
    </row>
    <row r="500" spans="2:13" ht="15">
      <c r="B500" s="744" t="s">
        <v>3315</v>
      </c>
      <c r="C500" s="744" t="s">
        <v>2734</v>
      </c>
      <c r="D500" s="744" t="s">
        <v>3249</v>
      </c>
      <c r="E500" s="744" t="s">
        <v>3277</v>
      </c>
      <c r="F500" s="746" t="s">
        <v>3314</v>
      </c>
      <c r="G500" s="747" t="s">
        <v>2288</v>
      </c>
      <c r="H500" s="747">
        <f t="shared" si="8"/>
        <v>36</v>
      </c>
      <c r="I500" s="744">
        <v>4</v>
      </c>
      <c r="J500" s="744">
        <v>25</v>
      </c>
      <c r="K500" s="744">
        <v>100</v>
      </c>
      <c r="L500" s="750" t="s">
        <v>2864</v>
      </c>
      <c r="M500" s="744" t="s">
        <v>606</v>
      </c>
    </row>
    <row r="501" spans="2:13" ht="15">
      <c r="B501" s="744" t="s">
        <v>3316</v>
      </c>
      <c r="C501" s="744" t="s">
        <v>2734</v>
      </c>
      <c r="D501" s="744" t="s">
        <v>3249</v>
      </c>
      <c r="E501" s="744" t="s">
        <v>3287</v>
      </c>
      <c r="F501" s="746" t="s">
        <v>3317</v>
      </c>
      <c r="G501" s="747" t="s">
        <v>2768</v>
      </c>
      <c r="H501" s="747">
        <f t="shared" si="8"/>
        <v>36</v>
      </c>
      <c r="I501" s="744">
        <v>4</v>
      </c>
      <c r="J501" s="744">
        <v>30</v>
      </c>
      <c r="K501" s="744">
        <v>148</v>
      </c>
      <c r="L501" s="750" t="s">
        <v>2864</v>
      </c>
      <c r="M501" s="744" t="s">
        <v>606</v>
      </c>
    </row>
    <row r="502" spans="2:13" ht="15">
      <c r="B502" s="744" t="s">
        <v>3318</v>
      </c>
      <c r="C502" s="744" t="s">
        <v>2734</v>
      </c>
      <c r="D502" s="744" t="s">
        <v>3249</v>
      </c>
      <c r="E502" s="744" t="s">
        <v>3287</v>
      </c>
      <c r="F502" s="746" t="s">
        <v>3317</v>
      </c>
      <c r="G502" s="747" t="s">
        <v>2288</v>
      </c>
      <c r="H502" s="747">
        <f t="shared" si="8"/>
        <v>36</v>
      </c>
      <c r="I502" s="744">
        <v>4</v>
      </c>
      <c r="J502" s="744">
        <v>30</v>
      </c>
      <c r="K502" s="744">
        <v>116</v>
      </c>
      <c r="L502" s="750" t="s">
        <v>2864</v>
      </c>
      <c r="M502" s="744" t="s">
        <v>606</v>
      </c>
    </row>
    <row r="503" spans="2:13" ht="15">
      <c r="B503" s="744" t="s">
        <v>3319</v>
      </c>
      <c r="C503" s="744" t="s">
        <v>2734</v>
      </c>
      <c r="D503" s="744" t="s">
        <v>3249</v>
      </c>
      <c r="E503" s="744" t="s">
        <v>3287</v>
      </c>
      <c r="F503" s="746" t="s">
        <v>3317</v>
      </c>
      <c r="G503" s="747" t="s">
        <v>2360</v>
      </c>
      <c r="H503" s="747">
        <f t="shared" si="8"/>
        <v>36</v>
      </c>
      <c r="I503" s="744">
        <v>4</v>
      </c>
      <c r="J503" s="744">
        <v>30</v>
      </c>
      <c r="K503" s="744">
        <v>162</v>
      </c>
      <c r="L503" s="750" t="s">
        <v>2864</v>
      </c>
      <c r="M503" s="744" t="s">
        <v>606</v>
      </c>
    </row>
    <row r="504" spans="2:13" ht="15">
      <c r="B504" s="744" t="s">
        <v>3320</v>
      </c>
      <c r="C504" s="744" t="s">
        <v>2734</v>
      </c>
      <c r="D504" s="744" t="s">
        <v>3249</v>
      </c>
      <c r="E504" s="744" t="s">
        <v>3277</v>
      </c>
      <c r="F504" s="746" t="s">
        <v>3321</v>
      </c>
      <c r="G504" s="747" t="s">
        <v>2768</v>
      </c>
      <c r="H504" s="747">
        <f t="shared" si="8"/>
        <v>36</v>
      </c>
      <c r="I504" s="744">
        <v>6</v>
      </c>
      <c r="J504" s="744">
        <v>25</v>
      </c>
      <c r="K504" s="744">
        <v>198</v>
      </c>
      <c r="L504" s="750" t="s">
        <v>3322</v>
      </c>
      <c r="M504" s="744" t="s">
        <v>606</v>
      </c>
    </row>
    <row r="505" spans="2:13" ht="15">
      <c r="B505" s="744" t="s">
        <v>3323</v>
      </c>
      <c r="C505" s="744" t="s">
        <v>2734</v>
      </c>
      <c r="D505" s="744" t="s">
        <v>3249</v>
      </c>
      <c r="E505" s="744" t="s">
        <v>3287</v>
      </c>
      <c r="F505" s="746" t="s">
        <v>3324</v>
      </c>
      <c r="G505" s="747" t="s">
        <v>2768</v>
      </c>
      <c r="H505" s="747">
        <f t="shared" si="8"/>
        <v>36</v>
      </c>
      <c r="I505" s="744">
        <v>6</v>
      </c>
      <c r="J505" s="744">
        <v>30</v>
      </c>
      <c r="K505" s="744">
        <v>238</v>
      </c>
      <c r="L505" s="750" t="s">
        <v>3322</v>
      </c>
      <c r="M505" s="744" t="s">
        <v>606</v>
      </c>
    </row>
    <row r="506" spans="2:13" ht="15">
      <c r="B506" s="744" t="s">
        <v>3325</v>
      </c>
      <c r="C506" s="744" t="s">
        <v>2734</v>
      </c>
      <c r="D506" s="744" t="s">
        <v>3249</v>
      </c>
      <c r="E506" s="744" t="s">
        <v>3326</v>
      </c>
      <c r="F506" s="746" t="s">
        <v>3327</v>
      </c>
      <c r="G506" s="747" t="s">
        <v>2768</v>
      </c>
      <c r="H506" s="747">
        <f t="shared" si="8"/>
        <v>48</v>
      </c>
      <c r="I506" s="744">
        <v>1</v>
      </c>
      <c r="J506" s="744">
        <v>34</v>
      </c>
      <c r="K506" s="744">
        <v>43</v>
      </c>
      <c r="L506" s="750" t="s">
        <v>2874</v>
      </c>
      <c r="M506" s="744" t="s">
        <v>606</v>
      </c>
    </row>
    <row r="507" spans="2:13" ht="15">
      <c r="B507" s="744" t="s">
        <v>3328</v>
      </c>
      <c r="C507" s="744" t="s">
        <v>2734</v>
      </c>
      <c r="D507" s="744" t="s">
        <v>3249</v>
      </c>
      <c r="E507" s="744" t="s">
        <v>3326</v>
      </c>
      <c r="F507" s="746" t="s">
        <v>3329</v>
      </c>
      <c r="G507" s="747" t="s">
        <v>2768</v>
      </c>
      <c r="H507" s="747">
        <f t="shared" si="8"/>
        <v>48</v>
      </c>
      <c r="I507" s="744">
        <v>1</v>
      </c>
      <c r="J507" s="744">
        <v>34</v>
      </c>
      <c r="K507" s="744">
        <v>43</v>
      </c>
      <c r="L507" s="750" t="s">
        <v>2874</v>
      </c>
      <c r="M507" s="744" t="s">
        <v>606</v>
      </c>
    </row>
    <row r="508" spans="2:13" ht="15">
      <c r="B508" s="744" t="s">
        <v>3330</v>
      </c>
      <c r="C508" s="744" t="s">
        <v>2734</v>
      </c>
      <c r="D508" s="744" t="s">
        <v>3249</v>
      </c>
      <c r="E508" s="744" t="s">
        <v>3326</v>
      </c>
      <c r="F508" s="746" t="s">
        <v>3331</v>
      </c>
      <c r="G508" s="747" t="s">
        <v>2768</v>
      </c>
      <c r="H508" s="747">
        <f t="shared" si="8"/>
        <v>48</v>
      </c>
      <c r="I508" s="744">
        <v>1</v>
      </c>
      <c r="J508" s="744">
        <v>34</v>
      </c>
      <c r="K508" s="744">
        <v>36</v>
      </c>
      <c r="L508" s="750" t="s">
        <v>2874</v>
      </c>
      <c r="M508" s="744" t="s">
        <v>606</v>
      </c>
    </row>
    <row r="509" spans="2:13" ht="15">
      <c r="B509" s="744" t="s">
        <v>3332</v>
      </c>
      <c r="C509" s="744" t="s">
        <v>2734</v>
      </c>
      <c r="D509" s="744" t="s">
        <v>3249</v>
      </c>
      <c r="E509" s="744" t="s">
        <v>3333</v>
      </c>
      <c r="F509" s="746" t="s">
        <v>3334</v>
      </c>
      <c r="G509" s="747" t="s">
        <v>2360</v>
      </c>
      <c r="H509" s="747">
        <f t="shared" si="8"/>
        <v>48</v>
      </c>
      <c r="I509" s="744">
        <v>1</v>
      </c>
      <c r="J509" s="744">
        <v>55</v>
      </c>
      <c r="K509" s="744">
        <v>80</v>
      </c>
      <c r="L509" s="750" t="s">
        <v>2874</v>
      </c>
      <c r="M509" s="744" t="s">
        <v>606</v>
      </c>
    </row>
    <row r="510" spans="2:13" ht="15">
      <c r="B510" s="744" t="s">
        <v>3335</v>
      </c>
      <c r="C510" s="744" t="s">
        <v>2734</v>
      </c>
      <c r="D510" s="744" t="s">
        <v>3249</v>
      </c>
      <c r="E510" s="744" t="s">
        <v>3336</v>
      </c>
      <c r="F510" s="746" t="s">
        <v>3337</v>
      </c>
      <c r="G510" s="747" t="s">
        <v>2360</v>
      </c>
      <c r="H510" s="747">
        <f t="shared" si="8"/>
        <v>48</v>
      </c>
      <c r="I510" s="744">
        <v>1</v>
      </c>
      <c r="J510" s="744">
        <v>30</v>
      </c>
      <c r="K510" s="744">
        <v>51</v>
      </c>
      <c r="L510" s="750" t="s">
        <v>2874</v>
      </c>
      <c r="M510" s="744" t="s">
        <v>606</v>
      </c>
    </row>
    <row r="511" spans="2:13" ht="15">
      <c r="B511" s="744" t="s">
        <v>3338</v>
      </c>
      <c r="C511" s="744" t="s">
        <v>2734</v>
      </c>
      <c r="D511" s="744" t="s">
        <v>3249</v>
      </c>
      <c r="E511" s="744" t="s">
        <v>3326</v>
      </c>
      <c r="F511" s="746" t="s">
        <v>3339</v>
      </c>
      <c r="G511" s="747" t="s">
        <v>2288</v>
      </c>
      <c r="H511" s="747">
        <f t="shared" si="8"/>
        <v>48</v>
      </c>
      <c r="I511" s="744">
        <v>1</v>
      </c>
      <c r="J511" s="744">
        <v>34</v>
      </c>
      <c r="K511" s="744">
        <v>32</v>
      </c>
      <c r="L511" s="750" t="s">
        <v>2874</v>
      </c>
      <c r="M511" s="744" t="s">
        <v>606</v>
      </c>
    </row>
    <row r="512" spans="2:13" ht="15">
      <c r="B512" s="744" t="s">
        <v>3340</v>
      </c>
      <c r="C512" s="744" t="s">
        <v>2734</v>
      </c>
      <c r="D512" s="744" t="s">
        <v>3249</v>
      </c>
      <c r="E512" s="744" t="s">
        <v>3326</v>
      </c>
      <c r="F512" s="746" t="s">
        <v>3341</v>
      </c>
      <c r="G512" s="747" t="s">
        <v>2288</v>
      </c>
      <c r="H512" s="747">
        <f t="shared" si="8"/>
        <v>48</v>
      </c>
      <c r="I512" s="744">
        <v>1</v>
      </c>
      <c r="J512" s="744">
        <v>34</v>
      </c>
      <c r="K512" s="744">
        <v>32</v>
      </c>
      <c r="L512" s="750" t="s">
        <v>2874</v>
      </c>
      <c r="M512" s="744" t="s">
        <v>606</v>
      </c>
    </row>
    <row r="513" spans="2:13" ht="15">
      <c r="B513" s="744" t="s">
        <v>3342</v>
      </c>
      <c r="C513" s="744" t="s">
        <v>2734</v>
      </c>
      <c r="D513" s="744" t="s">
        <v>3249</v>
      </c>
      <c r="E513" s="744" t="s">
        <v>3326</v>
      </c>
      <c r="F513" s="746" t="s">
        <v>3327</v>
      </c>
      <c r="G513" s="747" t="s">
        <v>2360</v>
      </c>
      <c r="H513" s="747">
        <f t="shared" si="8"/>
        <v>48</v>
      </c>
      <c r="I513" s="744">
        <v>1</v>
      </c>
      <c r="J513" s="744">
        <v>34</v>
      </c>
      <c r="K513" s="744">
        <v>50</v>
      </c>
      <c r="L513" s="750" t="s">
        <v>2874</v>
      </c>
      <c r="M513" s="744" t="s">
        <v>606</v>
      </c>
    </row>
    <row r="514" spans="2:13" ht="15">
      <c r="B514" s="744" t="s">
        <v>3343</v>
      </c>
      <c r="C514" s="744" t="s">
        <v>2734</v>
      </c>
      <c r="D514" s="744" t="s">
        <v>3249</v>
      </c>
      <c r="E514" s="744" t="s">
        <v>3344</v>
      </c>
      <c r="F514" s="746" t="s">
        <v>3345</v>
      </c>
      <c r="G514" s="747" t="s">
        <v>2360</v>
      </c>
      <c r="H514" s="747">
        <f t="shared" si="8"/>
        <v>48</v>
      </c>
      <c r="I514" s="744">
        <v>1</v>
      </c>
      <c r="J514" s="744"/>
      <c r="K514" s="744">
        <v>123</v>
      </c>
      <c r="L514" s="750" t="s">
        <v>2874</v>
      </c>
      <c r="M514" s="744" t="s">
        <v>606</v>
      </c>
    </row>
    <row r="515" spans="2:13" ht="15">
      <c r="B515" s="744" t="s">
        <v>3346</v>
      </c>
      <c r="C515" s="744" t="s">
        <v>2734</v>
      </c>
      <c r="D515" s="744" t="s">
        <v>3249</v>
      </c>
      <c r="E515" s="744" t="s">
        <v>3347</v>
      </c>
      <c r="F515" s="746" t="s">
        <v>3348</v>
      </c>
      <c r="G515" s="744" t="s">
        <v>2288</v>
      </c>
      <c r="H515" s="747">
        <f t="shared" si="8"/>
        <v>48</v>
      </c>
      <c r="I515" s="744">
        <v>1</v>
      </c>
      <c r="J515" s="744">
        <v>25</v>
      </c>
      <c r="K515" s="751">
        <v>25</v>
      </c>
      <c r="L515" s="750" t="s">
        <v>2874</v>
      </c>
      <c r="M515" s="744" t="s">
        <v>606</v>
      </c>
    </row>
    <row r="516" spans="2:13" ht="15">
      <c r="B516" s="744" t="s">
        <v>3349</v>
      </c>
      <c r="C516" s="744" t="s">
        <v>2734</v>
      </c>
      <c r="D516" s="744" t="s">
        <v>3249</v>
      </c>
      <c r="E516" s="744" t="s">
        <v>3347</v>
      </c>
      <c r="F516" s="746" t="s">
        <v>3350</v>
      </c>
      <c r="G516" s="744" t="s">
        <v>2288</v>
      </c>
      <c r="H516" s="747">
        <f t="shared" si="8"/>
        <v>48</v>
      </c>
      <c r="I516" s="744">
        <v>1</v>
      </c>
      <c r="J516" s="744">
        <v>25</v>
      </c>
      <c r="K516" s="751">
        <v>19</v>
      </c>
      <c r="L516" s="750" t="s">
        <v>2874</v>
      </c>
      <c r="M516" s="744" t="s">
        <v>606</v>
      </c>
    </row>
    <row r="517" spans="2:13" ht="15">
      <c r="B517" s="744" t="s">
        <v>3351</v>
      </c>
      <c r="C517" s="744" t="s">
        <v>2734</v>
      </c>
      <c r="D517" s="744" t="s">
        <v>3249</v>
      </c>
      <c r="E517" s="744" t="s">
        <v>3347</v>
      </c>
      <c r="F517" s="746" t="s">
        <v>3352</v>
      </c>
      <c r="G517" s="744" t="s">
        <v>2288</v>
      </c>
      <c r="H517" s="747">
        <f t="shared" si="8"/>
        <v>48</v>
      </c>
      <c r="I517" s="744">
        <v>1</v>
      </c>
      <c r="J517" s="744">
        <v>25</v>
      </c>
      <c r="K517" s="751">
        <v>20</v>
      </c>
      <c r="L517" s="750" t="s">
        <v>2874</v>
      </c>
      <c r="M517" s="744" t="s">
        <v>606</v>
      </c>
    </row>
    <row r="518" spans="2:13" ht="15">
      <c r="B518" s="744" t="s">
        <v>3353</v>
      </c>
      <c r="C518" s="744" t="s">
        <v>2734</v>
      </c>
      <c r="D518" s="744" t="s">
        <v>3249</v>
      </c>
      <c r="E518" s="744" t="s">
        <v>3354</v>
      </c>
      <c r="F518" s="746" t="s">
        <v>3355</v>
      </c>
      <c r="G518" s="747" t="s">
        <v>2768</v>
      </c>
      <c r="H518" s="747">
        <f t="shared" si="8"/>
        <v>48</v>
      </c>
      <c r="I518" s="744">
        <v>1</v>
      </c>
      <c r="J518" s="744">
        <v>40</v>
      </c>
      <c r="K518" s="744">
        <v>50</v>
      </c>
      <c r="L518" s="750" t="s">
        <v>2874</v>
      </c>
      <c r="M518" s="744" t="s">
        <v>606</v>
      </c>
    </row>
    <row r="519" spans="2:13" ht="15">
      <c r="B519" s="744" t="s">
        <v>3356</v>
      </c>
      <c r="C519" s="744" t="s">
        <v>2734</v>
      </c>
      <c r="D519" s="744" t="s">
        <v>3249</v>
      </c>
      <c r="E519" s="744" t="s">
        <v>3357</v>
      </c>
      <c r="F519" s="746" t="s">
        <v>3358</v>
      </c>
      <c r="G519" s="747" t="s">
        <v>2360</v>
      </c>
      <c r="H519" s="747">
        <f t="shared" si="8"/>
        <v>48</v>
      </c>
      <c r="I519" s="744">
        <v>1</v>
      </c>
      <c r="J519" s="744">
        <v>60</v>
      </c>
      <c r="K519" s="744">
        <v>85</v>
      </c>
      <c r="L519" s="750" t="s">
        <v>2874</v>
      </c>
      <c r="M519" s="744" t="s">
        <v>606</v>
      </c>
    </row>
    <row r="520" spans="2:13" ht="15">
      <c r="B520" s="744" t="s">
        <v>3359</v>
      </c>
      <c r="C520" s="744" t="s">
        <v>2734</v>
      </c>
      <c r="D520" s="744" t="s">
        <v>3249</v>
      </c>
      <c r="E520" s="744" t="s">
        <v>3360</v>
      </c>
      <c r="F520" s="746" t="s">
        <v>3361</v>
      </c>
      <c r="G520" s="747" t="s">
        <v>2288</v>
      </c>
      <c r="H520" s="747">
        <f t="shared" si="8"/>
        <v>48</v>
      </c>
      <c r="I520" s="744">
        <v>1</v>
      </c>
      <c r="J520" s="744">
        <v>39</v>
      </c>
      <c r="K520" s="744">
        <v>46</v>
      </c>
      <c r="L520" s="750" t="s">
        <v>2874</v>
      </c>
      <c r="M520" s="744" t="s">
        <v>606</v>
      </c>
    </row>
    <row r="521" spans="2:13" ht="15">
      <c r="B521" s="744" t="s">
        <v>3362</v>
      </c>
      <c r="C521" s="744" t="s">
        <v>2734</v>
      </c>
      <c r="D521" s="744" t="s">
        <v>3249</v>
      </c>
      <c r="E521" s="744" t="s">
        <v>3360</v>
      </c>
      <c r="F521" s="746" t="s">
        <v>3363</v>
      </c>
      <c r="G521" s="747" t="s">
        <v>2288</v>
      </c>
      <c r="H521" s="747">
        <f t="shared" si="8"/>
        <v>48</v>
      </c>
      <c r="I521" s="744">
        <v>1</v>
      </c>
      <c r="J521" s="744">
        <v>39</v>
      </c>
      <c r="K521" s="744">
        <v>37</v>
      </c>
      <c r="L521" s="750" t="s">
        <v>2874</v>
      </c>
      <c r="M521" s="744" t="s">
        <v>606</v>
      </c>
    </row>
    <row r="522" spans="2:13" ht="15">
      <c r="B522" s="744" t="s">
        <v>3364</v>
      </c>
      <c r="C522" s="744" t="s">
        <v>2734</v>
      </c>
      <c r="D522" s="744" t="s">
        <v>3249</v>
      </c>
      <c r="E522" s="744" t="s">
        <v>3360</v>
      </c>
      <c r="F522" s="746" t="s">
        <v>3365</v>
      </c>
      <c r="G522" s="747" t="s">
        <v>2360</v>
      </c>
      <c r="H522" s="747">
        <f t="shared" si="8"/>
        <v>48</v>
      </c>
      <c r="I522" s="744">
        <v>1</v>
      </c>
      <c r="J522" s="744">
        <v>39</v>
      </c>
      <c r="K522" s="744">
        <v>60</v>
      </c>
      <c r="L522" s="750" t="s">
        <v>2874</v>
      </c>
      <c r="M522" s="744" t="s">
        <v>606</v>
      </c>
    </row>
    <row r="523" spans="2:13" ht="15">
      <c r="B523" s="744" t="s">
        <v>3366</v>
      </c>
      <c r="C523" s="744" t="s">
        <v>2734</v>
      </c>
      <c r="D523" s="744" t="s">
        <v>3249</v>
      </c>
      <c r="E523" s="744" t="s">
        <v>3360</v>
      </c>
      <c r="F523" s="746" t="s">
        <v>3367</v>
      </c>
      <c r="G523" s="747" t="s">
        <v>2360</v>
      </c>
      <c r="H523" s="747">
        <f t="shared" si="8"/>
        <v>48</v>
      </c>
      <c r="I523" s="744">
        <v>1</v>
      </c>
      <c r="J523" s="744">
        <v>39</v>
      </c>
      <c r="K523" s="744">
        <v>52</v>
      </c>
      <c r="L523" s="750" t="s">
        <v>2874</v>
      </c>
      <c r="M523" s="744" t="s">
        <v>606</v>
      </c>
    </row>
    <row r="524" spans="2:13" ht="15">
      <c r="B524" s="744" t="s">
        <v>3368</v>
      </c>
      <c r="C524" s="744" t="s">
        <v>2734</v>
      </c>
      <c r="D524" s="744" t="s">
        <v>3249</v>
      </c>
      <c r="E524" s="744" t="s">
        <v>3354</v>
      </c>
      <c r="F524" s="746" t="s">
        <v>3369</v>
      </c>
      <c r="G524" s="747" t="s">
        <v>2288</v>
      </c>
      <c r="H524" s="747">
        <f t="shared" si="8"/>
        <v>48</v>
      </c>
      <c r="I524" s="744">
        <v>1</v>
      </c>
      <c r="J524" s="744">
        <v>40</v>
      </c>
      <c r="K524" s="744">
        <v>36</v>
      </c>
      <c r="L524" s="750" t="s">
        <v>2874</v>
      </c>
      <c r="M524" s="744" t="s">
        <v>606</v>
      </c>
    </row>
    <row r="525" spans="2:13" ht="15">
      <c r="B525" s="744" t="s">
        <v>3370</v>
      </c>
      <c r="C525" s="744" t="s">
        <v>2734</v>
      </c>
      <c r="D525" s="744" t="s">
        <v>3249</v>
      </c>
      <c r="E525" s="744" t="s">
        <v>3354</v>
      </c>
      <c r="F525" s="746" t="s">
        <v>3355</v>
      </c>
      <c r="G525" s="747" t="s">
        <v>2360</v>
      </c>
      <c r="H525" s="747">
        <f t="shared" si="8"/>
        <v>48</v>
      </c>
      <c r="I525" s="744">
        <v>1</v>
      </c>
      <c r="J525" s="744">
        <v>40</v>
      </c>
      <c r="K525" s="744">
        <v>57</v>
      </c>
      <c r="L525" s="750" t="s">
        <v>2874</v>
      </c>
      <c r="M525" s="744" t="s">
        <v>606</v>
      </c>
    </row>
    <row r="526" spans="2:13" ht="15">
      <c r="B526" s="744" t="s">
        <v>3371</v>
      </c>
      <c r="C526" s="744" t="s">
        <v>2734</v>
      </c>
      <c r="D526" s="744" t="s">
        <v>3249</v>
      </c>
      <c r="E526" s="744" t="s">
        <v>3372</v>
      </c>
      <c r="F526" s="746" t="s">
        <v>3373</v>
      </c>
      <c r="G526" s="747" t="s">
        <v>2360</v>
      </c>
      <c r="H526" s="747">
        <f t="shared" si="8"/>
        <v>48</v>
      </c>
      <c r="I526" s="744">
        <v>1</v>
      </c>
      <c r="J526" s="744">
        <v>110</v>
      </c>
      <c r="K526" s="744">
        <v>135</v>
      </c>
      <c r="L526" s="750" t="s">
        <v>2874</v>
      </c>
      <c r="M526" s="744" t="s">
        <v>606</v>
      </c>
    </row>
    <row r="527" spans="2:13" ht="15">
      <c r="B527" s="744" t="s">
        <v>3374</v>
      </c>
      <c r="C527" s="744" t="s">
        <v>2734</v>
      </c>
      <c r="D527" s="744" t="s">
        <v>3249</v>
      </c>
      <c r="E527" s="744" t="s">
        <v>3326</v>
      </c>
      <c r="F527" s="746" t="s">
        <v>3375</v>
      </c>
      <c r="G527" s="747" t="s">
        <v>2768</v>
      </c>
      <c r="H527" s="747">
        <f t="shared" ref="H527:H590" si="9">MID(B527,2,1)*12</f>
        <v>48</v>
      </c>
      <c r="I527" s="744">
        <v>2</v>
      </c>
      <c r="J527" s="744">
        <v>34</v>
      </c>
      <c r="K527" s="744">
        <v>72</v>
      </c>
      <c r="L527" s="750" t="s">
        <v>426</v>
      </c>
      <c r="M527" s="744" t="s">
        <v>606</v>
      </c>
    </row>
    <row r="528" spans="2:13" ht="15">
      <c r="B528" s="744" t="s">
        <v>3376</v>
      </c>
      <c r="C528" s="744" t="s">
        <v>2734</v>
      </c>
      <c r="D528" s="744" t="s">
        <v>3249</v>
      </c>
      <c r="E528" s="744" t="s">
        <v>3326</v>
      </c>
      <c r="F528" s="746" t="s">
        <v>3377</v>
      </c>
      <c r="G528" s="747" t="s">
        <v>2768</v>
      </c>
      <c r="H528" s="747">
        <f t="shared" si="9"/>
        <v>48</v>
      </c>
      <c r="I528" s="744">
        <v>2</v>
      </c>
      <c r="J528" s="744">
        <v>34</v>
      </c>
      <c r="K528" s="744">
        <v>76</v>
      </c>
      <c r="L528" s="750" t="s">
        <v>426</v>
      </c>
      <c r="M528" s="744" t="s">
        <v>606</v>
      </c>
    </row>
    <row r="529" spans="2:13" ht="15">
      <c r="B529" s="744" t="s">
        <v>3378</v>
      </c>
      <c r="C529" s="744" t="s">
        <v>2734</v>
      </c>
      <c r="D529" s="744" t="s">
        <v>3249</v>
      </c>
      <c r="E529" s="744" t="s">
        <v>3333</v>
      </c>
      <c r="F529" s="746" t="s">
        <v>3379</v>
      </c>
      <c r="G529" s="747" t="s">
        <v>2360</v>
      </c>
      <c r="H529" s="747">
        <f t="shared" si="9"/>
        <v>48</v>
      </c>
      <c r="I529" s="744">
        <v>2</v>
      </c>
      <c r="J529" s="744">
        <v>55</v>
      </c>
      <c r="K529" s="744">
        <v>135</v>
      </c>
      <c r="L529" s="750" t="s">
        <v>426</v>
      </c>
      <c r="M529" s="744" t="s">
        <v>606</v>
      </c>
    </row>
    <row r="530" spans="2:13" ht="15">
      <c r="B530" s="744" t="s">
        <v>3380</v>
      </c>
      <c r="C530" s="744" t="s">
        <v>2734</v>
      </c>
      <c r="D530" s="744" t="s">
        <v>3249</v>
      </c>
      <c r="E530" s="744" t="s">
        <v>3336</v>
      </c>
      <c r="F530" s="746" t="s">
        <v>3381</v>
      </c>
      <c r="G530" s="747" t="s">
        <v>2360</v>
      </c>
      <c r="H530" s="747">
        <f t="shared" si="9"/>
        <v>48</v>
      </c>
      <c r="I530" s="744">
        <v>2</v>
      </c>
      <c r="J530" s="744">
        <v>30</v>
      </c>
      <c r="K530" s="744">
        <v>82</v>
      </c>
      <c r="L530" s="750" t="s">
        <v>426</v>
      </c>
      <c r="M530" s="744" t="s">
        <v>606</v>
      </c>
    </row>
    <row r="531" spans="2:13" ht="15">
      <c r="B531" s="744" t="s">
        <v>3382</v>
      </c>
      <c r="C531" s="744" t="s">
        <v>2734</v>
      </c>
      <c r="D531" s="744" t="s">
        <v>3249</v>
      </c>
      <c r="E531" s="744" t="s">
        <v>3326</v>
      </c>
      <c r="F531" s="746" t="s">
        <v>3383</v>
      </c>
      <c r="G531" s="747" t="s">
        <v>2288</v>
      </c>
      <c r="H531" s="747">
        <f t="shared" si="9"/>
        <v>48</v>
      </c>
      <c r="I531" s="744">
        <v>2</v>
      </c>
      <c r="J531" s="744">
        <v>34</v>
      </c>
      <c r="K531" s="744">
        <v>60</v>
      </c>
      <c r="L531" s="750" t="s">
        <v>426</v>
      </c>
      <c r="M531" s="744" t="s">
        <v>606</v>
      </c>
    </row>
    <row r="532" spans="2:13" ht="15">
      <c r="B532" s="744" t="s">
        <v>3384</v>
      </c>
      <c r="C532" s="744" t="s">
        <v>2734</v>
      </c>
      <c r="D532" s="744" t="s">
        <v>3249</v>
      </c>
      <c r="E532" s="744" t="s">
        <v>3326</v>
      </c>
      <c r="F532" s="746" t="s">
        <v>3375</v>
      </c>
      <c r="G532" s="747" t="s">
        <v>2360</v>
      </c>
      <c r="H532" s="747">
        <f t="shared" si="9"/>
        <v>48</v>
      </c>
      <c r="I532" s="744">
        <v>2</v>
      </c>
      <c r="J532" s="744">
        <v>34</v>
      </c>
      <c r="K532" s="744">
        <v>80</v>
      </c>
      <c r="L532" s="750" t="s">
        <v>426</v>
      </c>
      <c r="M532" s="744" t="s">
        <v>606</v>
      </c>
    </row>
    <row r="533" spans="2:13" ht="15">
      <c r="B533" s="744" t="s">
        <v>3385</v>
      </c>
      <c r="C533" s="744" t="s">
        <v>2734</v>
      </c>
      <c r="D533" s="744" t="s">
        <v>3249</v>
      </c>
      <c r="E533" s="744" t="s">
        <v>3344</v>
      </c>
      <c r="F533" s="746" t="s">
        <v>3386</v>
      </c>
      <c r="G533" s="747" t="s">
        <v>2360</v>
      </c>
      <c r="H533" s="747">
        <f t="shared" si="9"/>
        <v>48</v>
      </c>
      <c r="I533" s="744">
        <v>2</v>
      </c>
      <c r="J533" s="744"/>
      <c r="K533" s="744">
        <v>210</v>
      </c>
      <c r="L533" s="750" t="s">
        <v>426</v>
      </c>
      <c r="M533" s="744" t="s">
        <v>606</v>
      </c>
    </row>
    <row r="534" spans="2:13" ht="15">
      <c r="B534" s="744" t="s">
        <v>3387</v>
      </c>
      <c r="C534" s="744" t="s">
        <v>2734</v>
      </c>
      <c r="D534" s="744" t="s">
        <v>3249</v>
      </c>
      <c r="E534" s="744" t="s">
        <v>3347</v>
      </c>
      <c r="F534" s="746" t="s">
        <v>3388</v>
      </c>
      <c r="G534" s="744" t="s">
        <v>2288</v>
      </c>
      <c r="H534" s="747">
        <f t="shared" si="9"/>
        <v>48</v>
      </c>
      <c r="I534" s="744">
        <v>2</v>
      </c>
      <c r="J534" s="744">
        <v>25</v>
      </c>
      <c r="K534" s="751">
        <v>40</v>
      </c>
      <c r="L534" s="750" t="s">
        <v>426</v>
      </c>
      <c r="M534" s="744" t="s">
        <v>606</v>
      </c>
    </row>
    <row r="535" spans="2:13" ht="15">
      <c r="B535" s="744" t="s">
        <v>3389</v>
      </c>
      <c r="C535" s="744" t="s">
        <v>2734</v>
      </c>
      <c r="D535" s="744" t="s">
        <v>3249</v>
      </c>
      <c r="E535" s="744" t="s">
        <v>3347</v>
      </c>
      <c r="F535" s="746" t="s">
        <v>3390</v>
      </c>
      <c r="G535" s="744" t="s">
        <v>2288</v>
      </c>
      <c r="H535" s="747">
        <f t="shared" si="9"/>
        <v>48</v>
      </c>
      <c r="I535" s="744">
        <v>2</v>
      </c>
      <c r="J535" s="744">
        <v>25</v>
      </c>
      <c r="K535" s="751">
        <v>39</v>
      </c>
      <c r="L535" s="750" t="s">
        <v>426</v>
      </c>
      <c r="M535" s="744" t="s">
        <v>606</v>
      </c>
    </row>
    <row r="536" spans="2:13" ht="15">
      <c r="B536" s="744" t="s">
        <v>3391</v>
      </c>
      <c r="C536" s="744" t="s">
        <v>2734</v>
      </c>
      <c r="D536" s="744" t="s">
        <v>3249</v>
      </c>
      <c r="E536" s="744" t="s">
        <v>3354</v>
      </c>
      <c r="F536" s="746" t="s">
        <v>3392</v>
      </c>
      <c r="G536" s="747" t="s">
        <v>2768</v>
      </c>
      <c r="H536" s="747">
        <f t="shared" si="9"/>
        <v>48</v>
      </c>
      <c r="I536" s="744">
        <v>2</v>
      </c>
      <c r="J536" s="744">
        <v>40</v>
      </c>
      <c r="K536" s="744">
        <v>86</v>
      </c>
      <c r="L536" s="750" t="s">
        <v>426</v>
      </c>
      <c r="M536" s="744" t="s">
        <v>606</v>
      </c>
    </row>
    <row r="537" spans="2:13" ht="15">
      <c r="B537" s="744" t="s">
        <v>3393</v>
      </c>
      <c r="C537" s="744" t="s">
        <v>2734</v>
      </c>
      <c r="D537" s="744" t="s">
        <v>3249</v>
      </c>
      <c r="E537" s="744" t="s">
        <v>3357</v>
      </c>
      <c r="F537" s="746" t="s">
        <v>3394</v>
      </c>
      <c r="G537" s="747" t="s">
        <v>2360</v>
      </c>
      <c r="H537" s="747">
        <f t="shared" si="9"/>
        <v>48</v>
      </c>
      <c r="I537" s="744">
        <v>2</v>
      </c>
      <c r="J537" s="744">
        <v>60</v>
      </c>
      <c r="K537" s="744">
        <v>145</v>
      </c>
      <c r="L537" s="750" t="s">
        <v>426</v>
      </c>
      <c r="M537" s="744" t="s">
        <v>606</v>
      </c>
    </row>
    <row r="538" spans="2:13" ht="15">
      <c r="B538" s="744" t="s">
        <v>3395</v>
      </c>
      <c r="C538" s="744" t="s">
        <v>2734</v>
      </c>
      <c r="D538" s="744" t="s">
        <v>3249</v>
      </c>
      <c r="E538" s="744" t="s">
        <v>3360</v>
      </c>
      <c r="F538" s="746" t="s">
        <v>3396</v>
      </c>
      <c r="G538" s="747" t="s">
        <v>2288</v>
      </c>
      <c r="H538" s="747">
        <f t="shared" si="9"/>
        <v>48</v>
      </c>
      <c r="I538" s="744">
        <v>2</v>
      </c>
      <c r="J538" s="744">
        <v>39</v>
      </c>
      <c r="K538" s="744">
        <v>74</v>
      </c>
      <c r="L538" s="750" t="s">
        <v>426</v>
      </c>
      <c r="M538" s="744" t="s">
        <v>606</v>
      </c>
    </row>
    <row r="539" spans="2:13" ht="15">
      <c r="B539" s="744" t="s">
        <v>3397</v>
      </c>
      <c r="C539" s="744" t="s">
        <v>2734</v>
      </c>
      <c r="D539" s="744" t="s">
        <v>3249</v>
      </c>
      <c r="E539" s="744" t="s">
        <v>3360</v>
      </c>
      <c r="F539" s="746" t="s">
        <v>3398</v>
      </c>
      <c r="G539" s="747" t="s">
        <v>2360</v>
      </c>
      <c r="H539" s="747">
        <f t="shared" si="9"/>
        <v>48</v>
      </c>
      <c r="I539" s="744">
        <v>2</v>
      </c>
      <c r="J539" s="744">
        <v>39</v>
      </c>
      <c r="K539" s="744">
        <v>103</v>
      </c>
      <c r="L539" s="750" t="s">
        <v>426</v>
      </c>
      <c r="M539" s="744" t="s">
        <v>606</v>
      </c>
    </row>
    <row r="540" spans="2:13" ht="15">
      <c r="B540" s="744" t="s">
        <v>3399</v>
      </c>
      <c r="C540" s="744" t="s">
        <v>2734</v>
      </c>
      <c r="D540" s="744" t="s">
        <v>3249</v>
      </c>
      <c r="E540" s="744" t="s">
        <v>3215</v>
      </c>
      <c r="F540" s="746" t="s">
        <v>3400</v>
      </c>
      <c r="G540" s="747" t="s">
        <v>2288</v>
      </c>
      <c r="H540" s="747">
        <f t="shared" si="9"/>
        <v>48</v>
      </c>
      <c r="I540" s="744">
        <v>2</v>
      </c>
      <c r="J540" s="744">
        <v>28</v>
      </c>
      <c r="K540" s="744">
        <v>63</v>
      </c>
      <c r="L540" s="750" t="s">
        <v>426</v>
      </c>
      <c r="M540" s="744" t="s">
        <v>606</v>
      </c>
    </row>
    <row r="541" spans="2:13" ht="15">
      <c r="B541" s="744" t="s">
        <v>3401</v>
      </c>
      <c r="C541" s="744" t="s">
        <v>2734</v>
      </c>
      <c r="D541" s="744" t="s">
        <v>3249</v>
      </c>
      <c r="E541" s="744" t="s">
        <v>3354</v>
      </c>
      <c r="F541" s="746" t="s">
        <v>3392</v>
      </c>
      <c r="G541" s="747" t="s">
        <v>2360</v>
      </c>
      <c r="H541" s="747">
        <f t="shared" si="9"/>
        <v>48</v>
      </c>
      <c r="I541" s="744">
        <v>2</v>
      </c>
      <c r="J541" s="744">
        <v>40</v>
      </c>
      <c r="K541" s="744">
        <v>94</v>
      </c>
      <c r="L541" s="750" t="s">
        <v>426</v>
      </c>
      <c r="M541" s="744" t="s">
        <v>606</v>
      </c>
    </row>
    <row r="542" spans="2:13" ht="15">
      <c r="B542" s="744" t="s">
        <v>3402</v>
      </c>
      <c r="C542" s="744" t="s">
        <v>2734</v>
      </c>
      <c r="D542" s="744" t="s">
        <v>3249</v>
      </c>
      <c r="E542" s="744" t="s">
        <v>3372</v>
      </c>
      <c r="F542" s="746" t="s">
        <v>3403</v>
      </c>
      <c r="G542" s="747" t="s">
        <v>2360</v>
      </c>
      <c r="H542" s="747">
        <f t="shared" si="9"/>
        <v>48</v>
      </c>
      <c r="I542" s="744">
        <v>2</v>
      </c>
      <c r="J542" s="744">
        <v>110</v>
      </c>
      <c r="K542" s="744">
        <v>242</v>
      </c>
      <c r="L542" s="750" t="s">
        <v>426</v>
      </c>
      <c r="M542" s="744" t="s">
        <v>606</v>
      </c>
    </row>
    <row r="543" spans="2:13" ht="15">
      <c r="B543" s="744" t="s">
        <v>3404</v>
      </c>
      <c r="C543" s="744" t="s">
        <v>2734</v>
      </c>
      <c r="D543" s="744" t="s">
        <v>3249</v>
      </c>
      <c r="E543" s="744" t="s">
        <v>3326</v>
      </c>
      <c r="F543" s="746" t="s">
        <v>3405</v>
      </c>
      <c r="G543" s="747" t="s">
        <v>2768</v>
      </c>
      <c r="H543" s="747">
        <f t="shared" si="9"/>
        <v>48</v>
      </c>
      <c r="I543" s="744">
        <v>3</v>
      </c>
      <c r="J543" s="744">
        <v>34</v>
      </c>
      <c r="K543" s="744">
        <v>115</v>
      </c>
      <c r="L543" s="750" t="s">
        <v>3033</v>
      </c>
      <c r="M543" s="744" t="s">
        <v>606</v>
      </c>
    </row>
    <row r="544" spans="2:13" ht="15">
      <c r="B544" s="744" t="s">
        <v>3406</v>
      </c>
      <c r="C544" s="744" t="s">
        <v>2734</v>
      </c>
      <c r="D544" s="744" t="s">
        <v>3249</v>
      </c>
      <c r="E544" s="744" t="s">
        <v>3333</v>
      </c>
      <c r="F544" s="746" t="s">
        <v>3407</v>
      </c>
      <c r="G544" s="747" t="s">
        <v>2360</v>
      </c>
      <c r="H544" s="747">
        <f t="shared" si="9"/>
        <v>48</v>
      </c>
      <c r="I544" s="744">
        <v>3</v>
      </c>
      <c r="J544" s="744">
        <v>55</v>
      </c>
      <c r="K544" s="744">
        <v>215</v>
      </c>
      <c r="L544" s="750" t="s">
        <v>3033</v>
      </c>
      <c r="M544" s="744" t="s">
        <v>606</v>
      </c>
    </row>
    <row r="545" spans="2:13" ht="15">
      <c r="B545" s="744" t="s">
        <v>3408</v>
      </c>
      <c r="C545" s="744" t="s">
        <v>2734</v>
      </c>
      <c r="D545" s="744" t="s">
        <v>3249</v>
      </c>
      <c r="E545" s="744" t="s">
        <v>3336</v>
      </c>
      <c r="F545" s="746" t="s">
        <v>3409</v>
      </c>
      <c r="G545" s="747" t="s">
        <v>2360</v>
      </c>
      <c r="H545" s="747">
        <f t="shared" si="9"/>
        <v>48</v>
      </c>
      <c r="I545" s="744">
        <v>3</v>
      </c>
      <c r="J545" s="744">
        <v>30</v>
      </c>
      <c r="K545" s="744">
        <v>133</v>
      </c>
      <c r="L545" s="750" t="s">
        <v>3033</v>
      </c>
      <c r="M545" s="744" t="s">
        <v>606</v>
      </c>
    </row>
    <row r="546" spans="2:13" ht="15">
      <c r="B546" s="744" t="s">
        <v>3410</v>
      </c>
      <c r="C546" s="744" t="s">
        <v>2734</v>
      </c>
      <c r="D546" s="744" t="s">
        <v>3249</v>
      </c>
      <c r="E546" s="744" t="s">
        <v>3326</v>
      </c>
      <c r="F546" s="746" t="s">
        <v>3411</v>
      </c>
      <c r="G546" s="747" t="s">
        <v>2288</v>
      </c>
      <c r="H546" s="747">
        <f t="shared" si="9"/>
        <v>48</v>
      </c>
      <c r="I546" s="744">
        <v>3</v>
      </c>
      <c r="J546" s="744">
        <v>34</v>
      </c>
      <c r="K546" s="744">
        <v>92</v>
      </c>
      <c r="L546" s="750" t="s">
        <v>3033</v>
      </c>
      <c r="M546" s="744" t="s">
        <v>606</v>
      </c>
    </row>
    <row r="547" spans="2:13" ht="15">
      <c r="B547" s="744" t="s">
        <v>3412</v>
      </c>
      <c r="C547" s="744" t="s">
        <v>2734</v>
      </c>
      <c r="D547" s="744" t="s">
        <v>3249</v>
      </c>
      <c r="E547" s="744" t="s">
        <v>3326</v>
      </c>
      <c r="F547" s="746" t="s">
        <v>3405</v>
      </c>
      <c r="G547" s="747" t="s">
        <v>2360</v>
      </c>
      <c r="H547" s="747">
        <f t="shared" si="9"/>
        <v>48</v>
      </c>
      <c r="I547" s="744">
        <v>3</v>
      </c>
      <c r="J547" s="744">
        <v>34</v>
      </c>
      <c r="K547" s="744">
        <v>130</v>
      </c>
      <c r="L547" s="750" t="s">
        <v>3033</v>
      </c>
      <c r="M547" s="744" t="s">
        <v>606</v>
      </c>
    </row>
    <row r="548" spans="2:13" ht="15">
      <c r="B548" s="744" t="s">
        <v>3413</v>
      </c>
      <c r="C548" s="744" t="s">
        <v>2734</v>
      </c>
      <c r="D548" s="744" t="s">
        <v>3249</v>
      </c>
      <c r="E548" s="744" t="s">
        <v>3344</v>
      </c>
      <c r="F548" s="746" t="s">
        <v>3414</v>
      </c>
      <c r="G548" s="747" t="s">
        <v>2360</v>
      </c>
      <c r="H548" s="747">
        <f t="shared" si="9"/>
        <v>48</v>
      </c>
      <c r="I548" s="744">
        <v>3</v>
      </c>
      <c r="J548" s="744"/>
      <c r="K548" s="744">
        <v>333</v>
      </c>
      <c r="L548" s="750" t="s">
        <v>3033</v>
      </c>
      <c r="M548" s="744" t="s">
        <v>606</v>
      </c>
    </row>
    <row r="549" spans="2:13" ht="15">
      <c r="B549" s="744" t="s">
        <v>3415</v>
      </c>
      <c r="C549" s="744" t="s">
        <v>2734</v>
      </c>
      <c r="D549" s="744" t="s">
        <v>3249</v>
      </c>
      <c r="E549" s="744" t="s">
        <v>3347</v>
      </c>
      <c r="F549" s="746" t="s">
        <v>3416</v>
      </c>
      <c r="G549" s="744" t="s">
        <v>2288</v>
      </c>
      <c r="H549" s="747">
        <f t="shared" si="9"/>
        <v>48</v>
      </c>
      <c r="I549" s="744">
        <v>3</v>
      </c>
      <c r="J549" s="744">
        <v>25</v>
      </c>
      <c r="K549" s="751">
        <v>60</v>
      </c>
      <c r="L549" s="750" t="s">
        <v>3033</v>
      </c>
      <c r="M549" s="744" t="s">
        <v>606</v>
      </c>
    </row>
    <row r="550" spans="2:13" ht="15">
      <c r="B550" s="744" t="s">
        <v>3417</v>
      </c>
      <c r="C550" s="744" t="s">
        <v>2734</v>
      </c>
      <c r="D550" s="744" t="s">
        <v>3249</v>
      </c>
      <c r="E550" s="744" t="s">
        <v>3354</v>
      </c>
      <c r="F550" s="746" t="s">
        <v>3418</v>
      </c>
      <c r="G550" s="747" t="s">
        <v>2768</v>
      </c>
      <c r="H550" s="747">
        <f t="shared" si="9"/>
        <v>48</v>
      </c>
      <c r="I550" s="744">
        <v>3</v>
      </c>
      <c r="J550" s="744">
        <v>40</v>
      </c>
      <c r="K550" s="744">
        <v>136</v>
      </c>
      <c r="L550" s="750" t="s">
        <v>3033</v>
      </c>
      <c r="M550" s="744" t="s">
        <v>606</v>
      </c>
    </row>
    <row r="551" spans="2:13" ht="15">
      <c r="B551" s="744" t="s">
        <v>3419</v>
      </c>
      <c r="C551" s="744" t="s">
        <v>2734</v>
      </c>
      <c r="D551" s="744" t="s">
        <v>3249</v>
      </c>
      <c r="E551" s="744" t="s">
        <v>3357</v>
      </c>
      <c r="F551" s="746" t="s">
        <v>3420</v>
      </c>
      <c r="G551" s="747" t="s">
        <v>2360</v>
      </c>
      <c r="H551" s="747">
        <f t="shared" si="9"/>
        <v>48</v>
      </c>
      <c r="I551" s="744">
        <v>3</v>
      </c>
      <c r="J551" s="744">
        <v>60</v>
      </c>
      <c r="K551" s="744">
        <v>230</v>
      </c>
      <c r="L551" s="750" t="s">
        <v>3033</v>
      </c>
      <c r="M551" s="744" t="s">
        <v>606</v>
      </c>
    </row>
    <row r="552" spans="2:13" ht="15">
      <c r="B552" s="744" t="s">
        <v>3421</v>
      </c>
      <c r="C552" s="744" t="s">
        <v>2734</v>
      </c>
      <c r="D552" s="744" t="s">
        <v>3249</v>
      </c>
      <c r="E552" s="744" t="s">
        <v>3354</v>
      </c>
      <c r="F552" s="746" t="s">
        <v>3422</v>
      </c>
      <c r="G552" s="747" t="s">
        <v>2288</v>
      </c>
      <c r="H552" s="747">
        <f t="shared" si="9"/>
        <v>48</v>
      </c>
      <c r="I552" s="744">
        <v>3</v>
      </c>
      <c r="J552" s="744">
        <v>39</v>
      </c>
      <c r="K552" s="744">
        <v>120</v>
      </c>
      <c r="L552" s="750" t="s">
        <v>3033</v>
      </c>
      <c r="M552" s="744" t="s">
        <v>606</v>
      </c>
    </row>
    <row r="553" spans="2:13" ht="15">
      <c r="B553" s="744" t="s">
        <v>3423</v>
      </c>
      <c r="C553" s="744" t="s">
        <v>2734</v>
      </c>
      <c r="D553" s="744" t="s">
        <v>3249</v>
      </c>
      <c r="E553" s="744" t="s">
        <v>3360</v>
      </c>
      <c r="F553" s="746" t="s">
        <v>3424</v>
      </c>
      <c r="G553" s="747" t="s">
        <v>2360</v>
      </c>
      <c r="H553" s="747">
        <f t="shared" si="9"/>
        <v>48</v>
      </c>
      <c r="I553" s="744">
        <v>3</v>
      </c>
      <c r="J553" s="744">
        <v>39</v>
      </c>
      <c r="K553" s="744">
        <v>162</v>
      </c>
      <c r="L553" s="750" t="s">
        <v>3033</v>
      </c>
      <c r="M553" s="744" t="s">
        <v>606</v>
      </c>
    </row>
    <row r="554" spans="2:13" ht="15">
      <c r="B554" s="744" t="s">
        <v>3425</v>
      </c>
      <c r="C554" s="744" t="s">
        <v>2734</v>
      </c>
      <c r="D554" s="744" t="s">
        <v>3249</v>
      </c>
      <c r="E554" s="744" t="s">
        <v>3354</v>
      </c>
      <c r="F554" s="746" t="s">
        <v>3418</v>
      </c>
      <c r="G554" s="747" t="s">
        <v>2360</v>
      </c>
      <c r="H554" s="747">
        <f t="shared" si="9"/>
        <v>48</v>
      </c>
      <c r="I554" s="744">
        <v>3</v>
      </c>
      <c r="J554" s="744">
        <v>40</v>
      </c>
      <c r="K554" s="744">
        <v>151</v>
      </c>
      <c r="L554" s="750" t="s">
        <v>3033</v>
      </c>
      <c r="M554" s="744" t="s">
        <v>606</v>
      </c>
    </row>
    <row r="555" spans="2:13" ht="15">
      <c r="B555" s="744" t="s">
        <v>3426</v>
      </c>
      <c r="C555" s="744" t="s">
        <v>2734</v>
      </c>
      <c r="D555" s="744" t="s">
        <v>3249</v>
      </c>
      <c r="E555" s="744" t="s">
        <v>3372</v>
      </c>
      <c r="F555" s="746" t="s">
        <v>3427</v>
      </c>
      <c r="G555" s="747" t="s">
        <v>2360</v>
      </c>
      <c r="H555" s="747">
        <f t="shared" si="9"/>
        <v>48</v>
      </c>
      <c r="I555" s="744">
        <v>3</v>
      </c>
      <c r="J555" s="744">
        <v>110</v>
      </c>
      <c r="K555" s="744">
        <v>377</v>
      </c>
      <c r="L555" s="750" t="s">
        <v>3033</v>
      </c>
      <c r="M555" s="744" t="s">
        <v>606</v>
      </c>
    </row>
    <row r="556" spans="2:13" ht="15">
      <c r="B556" s="744" t="s">
        <v>424</v>
      </c>
      <c r="C556" s="744" t="s">
        <v>2734</v>
      </c>
      <c r="D556" s="744" t="s">
        <v>3249</v>
      </c>
      <c r="E556" s="744" t="s">
        <v>3326</v>
      </c>
      <c r="F556" s="746" t="s">
        <v>3428</v>
      </c>
      <c r="G556" s="747" t="s">
        <v>2768</v>
      </c>
      <c r="H556" s="747">
        <f t="shared" si="9"/>
        <v>48</v>
      </c>
      <c r="I556" s="744">
        <v>4</v>
      </c>
      <c r="J556" s="744">
        <v>34</v>
      </c>
      <c r="K556" s="744">
        <v>144</v>
      </c>
      <c r="L556" s="750" t="s">
        <v>3067</v>
      </c>
      <c r="M556" s="744" t="s">
        <v>606</v>
      </c>
    </row>
    <row r="557" spans="2:13" ht="15">
      <c r="B557" s="744" t="s">
        <v>3429</v>
      </c>
      <c r="C557" s="744" t="s">
        <v>2734</v>
      </c>
      <c r="D557" s="744" t="s">
        <v>3249</v>
      </c>
      <c r="E557" s="744" t="s">
        <v>3326</v>
      </c>
      <c r="F557" s="746" t="s">
        <v>3430</v>
      </c>
      <c r="G557" s="747" t="s">
        <v>2768</v>
      </c>
      <c r="H557" s="747">
        <f t="shared" si="9"/>
        <v>48</v>
      </c>
      <c r="I557" s="744">
        <v>4</v>
      </c>
      <c r="J557" s="744">
        <v>34</v>
      </c>
      <c r="K557" s="744">
        <v>152</v>
      </c>
      <c r="L557" s="750" t="s">
        <v>3067</v>
      </c>
      <c r="M557" s="744" t="s">
        <v>606</v>
      </c>
    </row>
    <row r="558" spans="2:13" ht="15">
      <c r="B558" s="744" t="s">
        <v>3431</v>
      </c>
      <c r="C558" s="744" t="s">
        <v>2734</v>
      </c>
      <c r="D558" s="744" t="s">
        <v>3249</v>
      </c>
      <c r="E558" s="744" t="s">
        <v>3333</v>
      </c>
      <c r="F558" s="746" t="s">
        <v>3432</v>
      </c>
      <c r="G558" s="747" t="s">
        <v>2360</v>
      </c>
      <c r="H558" s="747">
        <f t="shared" si="9"/>
        <v>48</v>
      </c>
      <c r="I558" s="744">
        <v>4</v>
      </c>
      <c r="J558" s="744">
        <v>55</v>
      </c>
      <c r="K558" s="744">
        <v>270</v>
      </c>
      <c r="L558" s="750" t="s">
        <v>3067</v>
      </c>
      <c r="M558" s="744" t="s">
        <v>606</v>
      </c>
    </row>
    <row r="559" spans="2:13" ht="15">
      <c r="B559" s="744" t="s">
        <v>3433</v>
      </c>
      <c r="C559" s="744" t="s">
        <v>2734</v>
      </c>
      <c r="D559" s="744" t="s">
        <v>3249</v>
      </c>
      <c r="E559" s="744" t="s">
        <v>3336</v>
      </c>
      <c r="F559" s="746" t="s">
        <v>3434</v>
      </c>
      <c r="G559" s="747" t="s">
        <v>2360</v>
      </c>
      <c r="H559" s="747">
        <f t="shared" si="9"/>
        <v>48</v>
      </c>
      <c r="I559" s="744">
        <v>4</v>
      </c>
      <c r="J559" s="744">
        <v>30</v>
      </c>
      <c r="K559" s="744">
        <v>164</v>
      </c>
      <c r="L559" s="750" t="s">
        <v>3067</v>
      </c>
      <c r="M559" s="744" t="s">
        <v>606</v>
      </c>
    </row>
    <row r="560" spans="2:13" ht="15">
      <c r="B560" s="744" t="s">
        <v>3435</v>
      </c>
      <c r="C560" s="744" t="s">
        <v>2734</v>
      </c>
      <c r="D560" s="744" t="s">
        <v>3249</v>
      </c>
      <c r="E560" s="744" t="s">
        <v>3326</v>
      </c>
      <c r="F560" s="746" t="s">
        <v>3436</v>
      </c>
      <c r="G560" s="747" t="s">
        <v>2288</v>
      </c>
      <c r="H560" s="747">
        <f t="shared" si="9"/>
        <v>48</v>
      </c>
      <c r="I560" s="744">
        <v>4</v>
      </c>
      <c r="J560" s="744">
        <v>34</v>
      </c>
      <c r="K560" s="744">
        <v>120</v>
      </c>
      <c r="L560" s="750" t="s">
        <v>3067</v>
      </c>
      <c r="M560" s="744" t="s">
        <v>606</v>
      </c>
    </row>
    <row r="561" spans="2:13" ht="15">
      <c r="B561" s="744" t="s">
        <v>3437</v>
      </c>
      <c r="C561" s="744" t="s">
        <v>2734</v>
      </c>
      <c r="D561" s="744" t="s">
        <v>3249</v>
      </c>
      <c r="E561" s="744" t="s">
        <v>3326</v>
      </c>
      <c r="F561" s="746" t="s">
        <v>3428</v>
      </c>
      <c r="G561" s="747" t="s">
        <v>2360</v>
      </c>
      <c r="H561" s="747">
        <f t="shared" si="9"/>
        <v>48</v>
      </c>
      <c r="I561" s="744">
        <v>4</v>
      </c>
      <c r="J561" s="744">
        <v>34</v>
      </c>
      <c r="K561" s="744">
        <v>160</v>
      </c>
      <c r="L561" s="750" t="s">
        <v>3067</v>
      </c>
      <c r="M561" s="744" t="s">
        <v>606</v>
      </c>
    </row>
    <row r="562" spans="2:13" ht="15">
      <c r="B562" s="744" t="s">
        <v>3438</v>
      </c>
      <c r="C562" s="744" t="s">
        <v>2734</v>
      </c>
      <c r="D562" s="744" t="s">
        <v>3249</v>
      </c>
      <c r="E562" s="744" t="s">
        <v>3344</v>
      </c>
      <c r="F562" s="746" t="s">
        <v>3439</v>
      </c>
      <c r="G562" s="747" t="s">
        <v>2360</v>
      </c>
      <c r="H562" s="747">
        <f t="shared" si="9"/>
        <v>48</v>
      </c>
      <c r="I562" s="744">
        <v>4</v>
      </c>
      <c r="J562" s="744"/>
      <c r="K562" s="744">
        <v>420</v>
      </c>
      <c r="L562" s="750" t="s">
        <v>3067</v>
      </c>
      <c r="M562" s="744" t="s">
        <v>606</v>
      </c>
    </row>
    <row r="563" spans="2:13" ht="15">
      <c r="B563" s="744" t="s">
        <v>3440</v>
      </c>
      <c r="C563" s="744" t="s">
        <v>2734</v>
      </c>
      <c r="D563" s="744" t="s">
        <v>3249</v>
      </c>
      <c r="E563" s="744" t="s">
        <v>3347</v>
      </c>
      <c r="F563" s="746" t="s">
        <v>3441</v>
      </c>
      <c r="G563" s="744" t="s">
        <v>2288</v>
      </c>
      <c r="H563" s="747">
        <f t="shared" si="9"/>
        <v>48</v>
      </c>
      <c r="I563" s="744">
        <v>4</v>
      </c>
      <c r="J563" s="744">
        <v>25</v>
      </c>
      <c r="K563" s="751">
        <v>80</v>
      </c>
      <c r="L563" s="750" t="s">
        <v>3067</v>
      </c>
      <c r="M563" s="744" t="s">
        <v>606</v>
      </c>
    </row>
    <row r="564" spans="2:13" ht="15">
      <c r="B564" s="744" t="s">
        <v>3442</v>
      </c>
      <c r="C564" s="744" t="s">
        <v>2734</v>
      </c>
      <c r="D564" s="744" t="s">
        <v>3249</v>
      </c>
      <c r="E564" s="744" t="s">
        <v>3354</v>
      </c>
      <c r="F564" s="746" t="s">
        <v>3443</v>
      </c>
      <c r="G564" s="747" t="s">
        <v>2768</v>
      </c>
      <c r="H564" s="747">
        <f t="shared" si="9"/>
        <v>48</v>
      </c>
      <c r="I564" s="744">
        <v>4</v>
      </c>
      <c r="J564" s="744">
        <v>40</v>
      </c>
      <c r="K564" s="744">
        <v>172</v>
      </c>
      <c r="L564" s="750" t="s">
        <v>3067</v>
      </c>
      <c r="M564" s="744" t="s">
        <v>606</v>
      </c>
    </row>
    <row r="565" spans="2:13" ht="15">
      <c r="B565" s="744" t="s">
        <v>3444</v>
      </c>
      <c r="C565" s="744" t="s">
        <v>2734</v>
      </c>
      <c r="D565" s="744" t="s">
        <v>3249</v>
      </c>
      <c r="E565" s="744" t="s">
        <v>3357</v>
      </c>
      <c r="F565" s="746" t="s">
        <v>3445</v>
      </c>
      <c r="G565" s="747" t="s">
        <v>2360</v>
      </c>
      <c r="H565" s="747">
        <f t="shared" si="9"/>
        <v>48</v>
      </c>
      <c r="I565" s="744">
        <v>4</v>
      </c>
      <c r="J565" s="744">
        <v>60</v>
      </c>
      <c r="K565" s="744">
        <v>290</v>
      </c>
      <c r="L565" s="750" t="s">
        <v>3067</v>
      </c>
      <c r="M565" s="744" t="s">
        <v>606</v>
      </c>
    </row>
    <row r="566" spans="2:13" ht="15">
      <c r="B566" s="744" t="s">
        <v>3446</v>
      </c>
      <c r="C566" s="744" t="s">
        <v>2734</v>
      </c>
      <c r="D566" s="744" t="s">
        <v>3249</v>
      </c>
      <c r="E566" s="744" t="s">
        <v>3360</v>
      </c>
      <c r="F566" s="746" t="s">
        <v>3447</v>
      </c>
      <c r="G566" s="747" t="s">
        <v>2288</v>
      </c>
      <c r="H566" s="747">
        <f t="shared" si="9"/>
        <v>48</v>
      </c>
      <c r="I566" s="744">
        <v>4</v>
      </c>
      <c r="J566" s="744">
        <v>39</v>
      </c>
      <c r="K566" s="744">
        <v>148</v>
      </c>
      <c r="L566" s="750" t="s">
        <v>3067</v>
      </c>
      <c r="M566" s="744" t="s">
        <v>606</v>
      </c>
    </row>
    <row r="567" spans="2:13" ht="15">
      <c r="B567" s="744" t="s">
        <v>3448</v>
      </c>
      <c r="C567" s="744" t="s">
        <v>2734</v>
      </c>
      <c r="D567" s="744" t="s">
        <v>3249</v>
      </c>
      <c r="E567" s="744" t="s">
        <v>3360</v>
      </c>
      <c r="F567" s="746" t="s">
        <v>3449</v>
      </c>
      <c r="G567" s="747" t="s">
        <v>2360</v>
      </c>
      <c r="H567" s="747">
        <f t="shared" si="9"/>
        <v>48</v>
      </c>
      <c r="I567" s="744">
        <v>4</v>
      </c>
      <c r="J567" s="744">
        <v>39</v>
      </c>
      <c r="K567" s="744">
        <v>204</v>
      </c>
      <c r="L567" s="750" t="s">
        <v>3067</v>
      </c>
      <c r="M567" s="744" t="s">
        <v>606</v>
      </c>
    </row>
    <row r="568" spans="2:13" ht="15">
      <c r="B568" s="744" t="s">
        <v>3450</v>
      </c>
      <c r="C568" s="744" t="s">
        <v>2734</v>
      </c>
      <c r="D568" s="744" t="s">
        <v>3249</v>
      </c>
      <c r="E568" s="744" t="s">
        <v>3354</v>
      </c>
      <c r="F568" s="746" t="s">
        <v>3443</v>
      </c>
      <c r="G568" s="747" t="s">
        <v>2360</v>
      </c>
      <c r="H568" s="747">
        <f t="shared" si="9"/>
        <v>48</v>
      </c>
      <c r="I568" s="744">
        <v>4</v>
      </c>
      <c r="J568" s="744">
        <v>40</v>
      </c>
      <c r="K568" s="744">
        <v>188</v>
      </c>
      <c r="L568" s="750" t="s">
        <v>3067</v>
      </c>
      <c r="M568" s="744" t="s">
        <v>606</v>
      </c>
    </row>
    <row r="569" spans="2:13" ht="15">
      <c r="B569" s="744" t="s">
        <v>3451</v>
      </c>
      <c r="C569" s="744" t="s">
        <v>2734</v>
      </c>
      <c r="D569" s="744" t="s">
        <v>3249</v>
      </c>
      <c r="E569" s="744" t="s">
        <v>3372</v>
      </c>
      <c r="F569" s="746" t="s">
        <v>3452</v>
      </c>
      <c r="G569" s="747" t="s">
        <v>2360</v>
      </c>
      <c r="H569" s="747">
        <f t="shared" si="9"/>
        <v>48</v>
      </c>
      <c r="I569" s="744">
        <v>4</v>
      </c>
      <c r="J569" s="744">
        <v>110</v>
      </c>
      <c r="K569" s="744">
        <v>484</v>
      </c>
      <c r="L569" s="750" t="s">
        <v>3067</v>
      </c>
      <c r="M569" s="744" t="s">
        <v>606</v>
      </c>
    </row>
    <row r="570" spans="2:13" ht="15">
      <c r="B570" s="744" t="s">
        <v>3453</v>
      </c>
      <c r="C570" s="744" t="s">
        <v>2734</v>
      </c>
      <c r="D570" s="744" t="s">
        <v>3249</v>
      </c>
      <c r="E570" s="744" t="s">
        <v>3326</v>
      </c>
      <c r="F570" s="746" t="s">
        <v>3454</v>
      </c>
      <c r="G570" s="747" t="s">
        <v>2768</v>
      </c>
      <c r="H570" s="747">
        <f t="shared" si="9"/>
        <v>48</v>
      </c>
      <c r="I570" s="744">
        <v>6</v>
      </c>
      <c r="J570" s="744">
        <v>34</v>
      </c>
      <c r="K570" s="744">
        <v>216</v>
      </c>
      <c r="L570" s="750" t="s">
        <v>3102</v>
      </c>
      <c r="M570" s="744" t="s">
        <v>606</v>
      </c>
    </row>
    <row r="571" spans="2:13" ht="15">
      <c r="B571" s="744" t="s">
        <v>3455</v>
      </c>
      <c r="C571" s="744" t="s">
        <v>2734</v>
      </c>
      <c r="D571" s="744" t="s">
        <v>3249</v>
      </c>
      <c r="E571" s="744" t="s">
        <v>3326</v>
      </c>
      <c r="F571" s="746" t="s">
        <v>3454</v>
      </c>
      <c r="G571" s="747" t="s">
        <v>2288</v>
      </c>
      <c r="H571" s="747">
        <f t="shared" si="9"/>
        <v>48</v>
      </c>
      <c r="I571" s="744">
        <v>6</v>
      </c>
      <c r="J571" s="744">
        <v>34</v>
      </c>
      <c r="K571" s="744">
        <v>186</v>
      </c>
      <c r="L571" s="750" t="s">
        <v>3102</v>
      </c>
      <c r="M571" s="744" t="s">
        <v>606</v>
      </c>
    </row>
    <row r="572" spans="2:13" ht="15">
      <c r="B572" s="744" t="s">
        <v>3456</v>
      </c>
      <c r="C572" s="744" t="s">
        <v>2734</v>
      </c>
      <c r="D572" s="744" t="s">
        <v>3249</v>
      </c>
      <c r="E572" s="744" t="s">
        <v>3326</v>
      </c>
      <c r="F572" s="746" t="s">
        <v>3454</v>
      </c>
      <c r="G572" s="747" t="s">
        <v>2360</v>
      </c>
      <c r="H572" s="747">
        <f t="shared" si="9"/>
        <v>48</v>
      </c>
      <c r="I572" s="744">
        <v>6</v>
      </c>
      <c r="J572" s="744">
        <v>34</v>
      </c>
      <c r="K572" s="744">
        <v>236</v>
      </c>
      <c r="L572" s="750" t="s">
        <v>3102</v>
      </c>
      <c r="M572" s="744" t="s">
        <v>606</v>
      </c>
    </row>
    <row r="573" spans="2:13" ht="15">
      <c r="B573" s="744" t="s">
        <v>3457</v>
      </c>
      <c r="C573" s="744" t="s">
        <v>2734</v>
      </c>
      <c r="D573" s="744" t="s">
        <v>3249</v>
      </c>
      <c r="E573" s="744" t="s">
        <v>3333</v>
      </c>
      <c r="F573" s="746" t="s">
        <v>3458</v>
      </c>
      <c r="G573" s="744" t="s">
        <v>2360</v>
      </c>
      <c r="H573" s="747">
        <f t="shared" si="9"/>
        <v>48</v>
      </c>
      <c r="I573" s="744">
        <v>6</v>
      </c>
      <c r="J573" s="744">
        <v>55</v>
      </c>
      <c r="K573" s="744">
        <v>405</v>
      </c>
      <c r="L573" s="750" t="s">
        <v>3102</v>
      </c>
      <c r="M573" s="744" t="s">
        <v>606</v>
      </c>
    </row>
    <row r="574" spans="2:13" ht="15">
      <c r="B574" s="744" t="s">
        <v>3459</v>
      </c>
      <c r="C574" s="744" t="s">
        <v>2734</v>
      </c>
      <c r="D574" s="744" t="s">
        <v>3249</v>
      </c>
      <c r="E574" s="744" t="s">
        <v>3354</v>
      </c>
      <c r="F574" s="746" t="s">
        <v>3460</v>
      </c>
      <c r="G574" s="747" t="s">
        <v>2768</v>
      </c>
      <c r="H574" s="747">
        <f t="shared" si="9"/>
        <v>48</v>
      </c>
      <c r="I574" s="744">
        <v>6</v>
      </c>
      <c r="J574" s="744">
        <v>40</v>
      </c>
      <c r="K574" s="744">
        <v>258</v>
      </c>
      <c r="L574" s="750" t="s">
        <v>3102</v>
      </c>
      <c r="M574" s="744" t="s">
        <v>606</v>
      </c>
    </row>
    <row r="575" spans="2:13" ht="15">
      <c r="B575" s="744" t="s">
        <v>3461</v>
      </c>
      <c r="C575" s="744" t="s">
        <v>2734</v>
      </c>
      <c r="D575" s="744" t="s">
        <v>3249</v>
      </c>
      <c r="E575" s="744" t="s">
        <v>3354</v>
      </c>
      <c r="F575" s="746" t="s">
        <v>3460</v>
      </c>
      <c r="G575" s="747" t="s">
        <v>2360</v>
      </c>
      <c r="H575" s="747">
        <f t="shared" si="9"/>
        <v>48</v>
      </c>
      <c r="I575" s="744">
        <v>6</v>
      </c>
      <c r="J575" s="744">
        <v>40</v>
      </c>
      <c r="K575" s="744">
        <v>282</v>
      </c>
      <c r="L575" s="750" t="s">
        <v>3102</v>
      </c>
      <c r="M575" s="744" t="s">
        <v>606</v>
      </c>
    </row>
    <row r="576" spans="2:13" ht="15">
      <c r="B576" s="744" t="s">
        <v>3462</v>
      </c>
      <c r="C576" s="744" t="s">
        <v>2734</v>
      </c>
      <c r="D576" s="744" t="s">
        <v>3249</v>
      </c>
      <c r="E576" s="744" t="s">
        <v>3326</v>
      </c>
      <c r="F576" s="746" t="s">
        <v>3463</v>
      </c>
      <c r="G576" s="747" t="s">
        <v>2768</v>
      </c>
      <c r="H576" s="747">
        <f t="shared" si="9"/>
        <v>48</v>
      </c>
      <c r="I576" s="744">
        <v>8</v>
      </c>
      <c r="J576" s="744">
        <v>34</v>
      </c>
      <c r="K576" s="744">
        <v>288</v>
      </c>
      <c r="L576" s="750" t="s">
        <v>3116</v>
      </c>
      <c r="M576" s="744" t="s">
        <v>606</v>
      </c>
    </row>
    <row r="577" spans="2:15" ht="15">
      <c r="B577" s="744" t="s">
        <v>3464</v>
      </c>
      <c r="C577" s="744" t="s">
        <v>2734</v>
      </c>
      <c r="D577" s="744" t="s">
        <v>3249</v>
      </c>
      <c r="E577" s="744" t="s">
        <v>3333</v>
      </c>
      <c r="F577" s="746" t="s">
        <v>3465</v>
      </c>
      <c r="G577" s="744" t="s">
        <v>2360</v>
      </c>
      <c r="H577" s="747">
        <f t="shared" si="9"/>
        <v>48</v>
      </c>
      <c r="I577" s="744">
        <v>8</v>
      </c>
      <c r="J577" s="744">
        <v>55</v>
      </c>
      <c r="K577" s="744">
        <v>540</v>
      </c>
      <c r="L577" s="750" t="s">
        <v>3116</v>
      </c>
      <c r="M577" s="744" t="s">
        <v>606</v>
      </c>
    </row>
    <row r="578" spans="2:15">
      <c r="B578" s="744" t="s">
        <v>3466</v>
      </c>
      <c r="C578" s="744" t="s">
        <v>2734</v>
      </c>
      <c r="D578" s="744" t="s">
        <v>532</v>
      </c>
      <c r="E578" s="744" t="s">
        <v>3467</v>
      </c>
      <c r="F578" s="746" t="s">
        <v>3468</v>
      </c>
      <c r="G578" s="747" t="s">
        <v>2288</v>
      </c>
      <c r="H578" s="747">
        <f t="shared" si="9"/>
        <v>60</v>
      </c>
      <c r="I578" s="744">
        <v>1</v>
      </c>
      <c r="J578" s="744">
        <v>55</v>
      </c>
      <c r="K578" s="744">
        <v>59</v>
      </c>
      <c r="L578" s="744" t="s">
        <v>2289</v>
      </c>
      <c r="M578" s="744" t="s">
        <v>606</v>
      </c>
      <c r="O578" t="s">
        <v>532</v>
      </c>
    </row>
    <row r="579" spans="2:15" ht="15">
      <c r="B579" s="744" t="s">
        <v>3469</v>
      </c>
      <c r="C579" s="744" t="s">
        <v>2734</v>
      </c>
      <c r="D579" s="744" t="s">
        <v>3249</v>
      </c>
      <c r="E579" s="744" t="s">
        <v>3470</v>
      </c>
      <c r="F579" s="746" t="s">
        <v>3471</v>
      </c>
      <c r="G579" s="747" t="s">
        <v>2768</v>
      </c>
      <c r="H579" s="747">
        <f t="shared" si="9"/>
        <v>60</v>
      </c>
      <c r="I579" s="744">
        <v>1</v>
      </c>
      <c r="J579" s="744">
        <v>75</v>
      </c>
      <c r="K579" s="744">
        <v>88</v>
      </c>
      <c r="L579" s="750" t="s">
        <v>3128</v>
      </c>
      <c r="M579" s="744" t="s">
        <v>606</v>
      </c>
    </row>
    <row r="580" spans="2:15" ht="15">
      <c r="B580" s="744" t="s">
        <v>3472</v>
      </c>
      <c r="C580" s="744" t="s">
        <v>2734</v>
      </c>
      <c r="D580" s="744" t="s">
        <v>3249</v>
      </c>
      <c r="E580" s="744" t="s">
        <v>3470</v>
      </c>
      <c r="F580" s="746" t="s">
        <v>3471</v>
      </c>
      <c r="G580" s="747" t="s">
        <v>2288</v>
      </c>
      <c r="H580" s="747">
        <f t="shared" si="9"/>
        <v>60</v>
      </c>
      <c r="I580" s="744">
        <v>1</v>
      </c>
      <c r="J580" s="744">
        <v>75</v>
      </c>
      <c r="K580" s="744">
        <v>69</v>
      </c>
      <c r="L580" s="750" t="s">
        <v>3128</v>
      </c>
      <c r="M580" s="744" t="s">
        <v>606</v>
      </c>
    </row>
    <row r="581" spans="2:15" ht="15">
      <c r="B581" s="744" t="s">
        <v>3473</v>
      </c>
      <c r="C581" s="744" t="s">
        <v>2734</v>
      </c>
      <c r="D581" s="744" t="s">
        <v>3249</v>
      </c>
      <c r="E581" s="744" t="s">
        <v>3470</v>
      </c>
      <c r="F581" s="746" t="s">
        <v>3471</v>
      </c>
      <c r="G581" s="747" t="s">
        <v>2360</v>
      </c>
      <c r="H581" s="747">
        <f t="shared" si="9"/>
        <v>60</v>
      </c>
      <c r="I581" s="744">
        <v>1</v>
      </c>
      <c r="J581" s="744">
        <v>75</v>
      </c>
      <c r="K581" s="744">
        <v>92</v>
      </c>
      <c r="L581" s="750" t="s">
        <v>3128</v>
      </c>
      <c r="M581" s="744" t="s">
        <v>606</v>
      </c>
    </row>
    <row r="582" spans="2:15" ht="15">
      <c r="B582" s="744" t="s">
        <v>3474</v>
      </c>
      <c r="C582" s="744" t="s">
        <v>2734</v>
      </c>
      <c r="D582" s="744" t="s">
        <v>3249</v>
      </c>
      <c r="E582" s="744" t="s">
        <v>3475</v>
      </c>
      <c r="F582" s="746" t="s">
        <v>3476</v>
      </c>
      <c r="G582" s="747" t="s">
        <v>2288</v>
      </c>
      <c r="H582" s="747">
        <f t="shared" si="9"/>
        <v>60</v>
      </c>
      <c r="I582" s="744">
        <v>1</v>
      </c>
      <c r="J582" s="744">
        <v>50</v>
      </c>
      <c r="K582" s="744">
        <v>44</v>
      </c>
      <c r="L582" s="750" t="s">
        <v>3128</v>
      </c>
      <c r="M582" s="744" t="s">
        <v>606</v>
      </c>
    </row>
    <row r="583" spans="2:15" ht="15">
      <c r="B583" s="744" t="s">
        <v>3477</v>
      </c>
      <c r="C583" s="744" t="s">
        <v>2734</v>
      </c>
      <c r="D583" s="744" t="s">
        <v>3249</v>
      </c>
      <c r="E583" s="744" t="s">
        <v>3475</v>
      </c>
      <c r="F583" s="746" t="s">
        <v>3476</v>
      </c>
      <c r="G583" s="747" t="s">
        <v>2360</v>
      </c>
      <c r="H583" s="747">
        <f t="shared" si="9"/>
        <v>60</v>
      </c>
      <c r="I583" s="744">
        <v>1</v>
      </c>
      <c r="J583" s="744">
        <v>50</v>
      </c>
      <c r="K583" s="744">
        <v>63</v>
      </c>
      <c r="L583" s="750" t="s">
        <v>3128</v>
      </c>
      <c r="M583" s="744" t="s">
        <v>606</v>
      </c>
    </row>
    <row r="584" spans="2:15" ht="15">
      <c r="B584" s="744" t="s">
        <v>3478</v>
      </c>
      <c r="C584" s="744" t="s">
        <v>2734</v>
      </c>
      <c r="D584" s="744" t="s">
        <v>3249</v>
      </c>
      <c r="E584" s="744" t="s">
        <v>3479</v>
      </c>
      <c r="F584" s="746" t="s">
        <v>3480</v>
      </c>
      <c r="G584" s="747" t="s">
        <v>2360</v>
      </c>
      <c r="H584" s="747">
        <f t="shared" si="9"/>
        <v>60</v>
      </c>
      <c r="I584" s="744">
        <v>1</v>
      </c>
      <c r="J584" s="744">
        <v>135</v>
      </c>
      <c r="K584" s="744">
        <v>165</v>
      </c>
      <c r="L584" s="750" t="s">
        <v>3128</v>
      </c>
      <c r="M584" s="744" t="s">
        <v>606</v>
      </c>
    </row>
    <row r="585" spans="2:15">
      <c r="B585" s="744" t="s">
        <v>3481</v>
      </c>
      <c r="C585" s="744" t="s">
        <v>2734</v>
      </c>
      <c r="D585" s="744" t="s">
        <v>532</v>
      </c>
      <c r="E585" s="744" t="s">
        <v>3467</v>
      </c>
      <c r="F585" s="746" t="s">
        <v>3482</v>
      </c>
      <c r="G585" s="747" t="s">
        <v>2288</v>
      </c>
      <c r="H585" s="747">
        <f t="shared" si="9"/>
        <v>60</v>
      </c>
      <c r="I585" s="744">
        <v>2</v>
      </c>
      <c r="J585" s="744">
        <v>55</v>
      </c>
      <c r="K585" s="744">
        <v>123</v>
      </c>
      <c r="L585" s="744" t="s">
        <v>2289</v>
      </c>
      <c r="M585" s="744" t="s">
        <v>606</v>
      </c>
      <c r="O585" t="s">
        <v>532</v>
      </c>
    </row>
    <row r="586" spans="2:15" ht="15">
      <c r="B586" s="744" t="s">
        <v>3483</v>
      </c>
      <c r="C586" s="744" t="s">
        <v>2734</v>
      </c>
      <c r="D586" s="744" t="s">
        <v>3249</v>
      </c>
      <c r="E586" s="744" t="s">
        <v>3470</v>
      </c>
      <c r="F586" s="746" t="s">
        <v>3484</v>
      </c>
      <c r="G586" s="747" t="s">
        <v>2768</v>
      </c>
      <c r="H586" s="747">
        <f t="shared" si="9"/>
        <v>60</v>
      </c>
      <c r="I586" s="744">
        <v>2</v>
      </c>
      <c r="J586" s="744">
        <v>75</v>
      </c>
      <c r="K586" s="744">
        <v>176</v>
      </c>
      <c r="L586" s="750" t="s">
        <v>3139</v>
      </c>
      <c r="M586" s="744" t="s">
        <v>606</v>
      </c>
    </row>
    <row r="587" spans="2:15" ht="15">
      <c r="B587" s="744" t="s">
        <v>3485</v>
      </c>
      <c r="C587" s="744" t="s">
        <v>2734</v>
      </c>
      <c r="D587" s="744" t="s">
        <v>3249</v>
      </c>
      <c r="E587" s="744" t="s">
        <v>3470</v>
      </c>
      <c r="F587" s="746" t="s">
        <v>3484</v>
      </c>
      <c r="G587" s="747" t="s">
        <v>2288</v>
      </c>
      <c r="H587" s="747">
        <f t="shared" si="9"/>
        <v>60</v>
      </c>
      <c r="I587" s="744">
        <v>2</v>
      </c>
      <c r="J587" s="744">
        <v>75</v>
      </c>
      <c r="K587" s="744">
        <v>138</v>
      </c>
      <c r="L587" s="750" t="s">
        <v>3139</v>
      </c>
      <c r="M587" s="744" t="s">
        <v>606</v>
      </c>
    </row>
    <row r="588" spans="2:15" ht="15">
      <c r="B588" s="744" t="s">
        <v>3486</v>
      </c>
      <c r="C588" s="744" t="s">
        <v>2734</v>
      </c>
      <c r="D588" s="744" t="s">
        <v>3249</v>
      </c>
      <c r="E588" s="744" t="s">
        <v>3470</v>
      </c>
      <c r="F588" s="746" t="s">
        <v>3484</v>
      </c>
      <c r="G588" s="747" t="s">
        <v>2360</v>
      </c>
      <c r="H588" s="747">
        <f t="shared" si="9"/>
        <v>60</v>
      </c>
      <c r="I588" s="744">
        <v>2</v>
      </c>
      <c r="J588" s="744">
        <v>75</v>
      </c>
      <c r="K588" s="744">
        <v>168</v>
      </c>
      <c r="L588" s="750" t="s">
        <v>3139</v>
      </c>
      <c r="M588" s="744" t="s">
        <v>606</v>
      </c>
    </row>
    <row r="589" spans="2:15" ht="15">
      <c r="B589" s="744" t="s">
        <v>3487</v>
      </c>
      <c r="C589" s="744" t="s">
        <v>2734</v>
      </c>
      <c r="D589" s="744" t="s">
        <v>3249</v>
      </c>
      <c r="E589" s="744" t="s">
        <v>3475</v>
      </c>
      <c r="F589" s="746" t="s">
        <v>3488</v>
      </c>
      <c r="G589" s="747" t="s">
        <v>2288</v>
      </c>
      <c r="H589" s="747">
        <f t="shared" si="9"/>
        <v>60</v>
      </c>
      <c r="I589" s="744">
        <v>2</v>
      </c>
      <c r="J589" s="744">
        <v>50</v>
      </c>
      <c r="K589" s="744">
        <v>88</v>
      </c>
      <c r="L589" s="750" t="s">
        <v>3139</v>
      </c>
      <c r="M589" s="744" t="s">
        <v>606</v>
      </c>
    </row>
    <row r="590" spans="2:15" ht="15">
      <c r="B590" s="744" t="s">
        <v>3489</v>
      </c>
      <c r="C590" s="744" t="s">
        <v>2734</v>
      </c>
      <c r="D590" s="744" t="s">
        <v>3249</v>
      </c>
      <c r="E590" s="744" t="s">
        <v>3475</v>
      </c>
      <c r="F590" s="746" t="s">
        <v>3488</v>
      </c>
      <c r="G590" s="747" t="s">
        <v>2360</v>
      </c>
      <c r="H590" s="747">
        <f t="shared" si="9"/>
        <v>60</v>
      </c>
      <c r="I590" s="744">
        <v>2</v>
      </c>
      <c r="J590" s="744">
        <v>50</v>
      </c>
      <c r="K590" s="744">
        <v>128</v>
      </c>
      <c r="L590" s="750" t="s">
        <v>3139</v>
      </c>
      <c r="M590" s="744" t="s">
        <v>606</v>
      </c>
    </row>
    <row r="591" spans="2:15" ht="15">
      <c r="B591" s="744" t="s">
        <v>3490</v>
      </c>
      <c r="C591" s="744" t="s">
        <v>2734</v>
      </c>
      <c r="D591" s="744" t="s">
        <v>3249</v>
      </c>
      <c r="E591" s="744" t="s">
        <v>3479</v>
      </c>
      <c r="F591" s="746" t="s">
        <v>3491</v>
      </c>
      <c r="G591" s="747" t="s">
        <v>2360</v>
      </c>
      <c r="H591" s="747">
        <f t="shared" ref="H591:H654" si="10">MID(B591,2,1)*12</f>
        <v>60</v>
      </c>
      <c r="I591" s="744">
        <v>2</v>
      </c>
      <c r="J591" s="744">
        <v>135</v>
      </c>
      <c r="K591" s="744">
        <v>310</v>
      </c>
      <c r="L591" s="750" t="s">
        <v>3139</v>
      </c>
      <c r="M591" s="744" t="s">
        <v>606</v>
      </c>
    </row>
    <row r="592" spans="2:15" ht="15">
      <c r="B592" s="744" t="s">
        <v>3492</v>
      </c>
      <c r="C592" s="744" t="s">
        <v>2734</v>
      </c>
      <c r="D592" s="744" t="s">
        <v>3249</v>
      </c>
      <c r="E592" s="744" t="s">
        <v>3493</v>
      </c>
      <c r="F592" s="746" t="s">
        <v>3494</v>
      </c>
      <c r="G592" s="747" t="s">
        <v>2288</v>
      </c>
      <c r="H592" s="747">
        <f t="shared" si="10"/>
        <v>72</v>
      </c>
      <c r="I592" s="744">
        <v>1</v>
      </c>
      <c r="J592" s="744">
        <v>55</v>
      </c>
      <c r="K592" s="744">
        <v>68</v>
      </c>
      <c r="L592" s="750" t="s">
        <v>3495</v>
      </c>
      <c r="M592" s="744" t="s">
        <v>606</v>
      </c>
    </row>
    <row r="593" spans="2:13" ht="15">
      <c r="B593" s="744" t="s">
        <v>3496</v>
      </c>
      <c r="C593" s="744" t="s">
        <v>2734</v>
      </c>
      <c r="D593" s="744" t="s">
        <v>3249</v>
      </c>
      <c r="E593" s="744" t="s">
        <v>3493</v>
      </c>
      <c r="F593" s="746" t="s">
        <v>3497</v>
      </c>
      <c r="G593" s="747" t="s">
        <v>2768</v>
      </c>
      <c r="H593" s="747">
        <f t="shared" si="10"/>
        <v>72</v>
      </c>
      <c r="I593" s="744">
        <v>1</v>
      </c>
      <c r="J593" s="744">
        <v>55</v>
      </c>
      <c r="K593" s="744">
        <v>76</v>
      </c>
      <c r="L593" s="750" t="s">
        <v>3495</v>
      </c>
      <c r="M593" s="744" t="s">
        <v>606</v>
      </c>
    </row>
    <row r="594" spans="2:13" ht="15">
      <c r="B594" s="744" t="s">
        <v>3498</v>
      </c>
      <c r="C594" s="744" t="s">
        <v>2734</v>
      </c>
      <c r="D594" s="744" t="s">
        <v>3249</v>
      </c>
      <c r="E594" s="744" t="s">
        <v>3499</v>
      </c>
      <c r="F594" s="746" t="s">
        <v>3500</v>
      </c>
      <c r="G594" s="747" t="s">
        <v>2360</v>
      </c>
      <c r="H594" s="747">
        <f t="shared" si="10"/>
        <v>72</v>
      </c>
      <c r="I594" s="744">
        <v>1</v>
      </c>
      <c r="J594" s="744">
        <v>85</v>
      </c>
      <c r="K594" s="744">
        <v>120</v>
      </c>
      <c r="L594" s="750" t="s">
        <v>3495</v>
      </c>
      <c r="M594" s="744" t="s">
        <v>606</v>
      </c>
    </row>
    <row r="595" spans="2:13" ht="15">
      <c r="B595" s="744" t="s">
        <v>3501</v>
      </c>
      <c r="C595" s="744" t="s">
        <v>2734</v>
      </c>
      <c r="D595" s="744" t="s">
        <v>3249</v>
      </c>
      <c r="E595" s="744" t="s">
        <v>3493</v>
      </c>
      <c r="F595" s="746" t="s">
        <v>3497</v>
      </c>
      <c r="G595" s="747" t="s">
        <v>2360</v>
      </c>
      <c r="H595" s="747">
        <f t="shared" si="10"/>
        <v>72</v>
      </c>
      <c r="I595" s="744">
        <v>1</v>
      </c>
      <c r="J595" s="744">
        <v>55</v>
      </c>
      <c r="K595" s="744">
        <v>90</v>
      </c>
      <c r="L595" s="750" t="s">
        <v>3495</v>
      </c>
      <c r="M595" s="744" t="s">
        <v>606</v>
      </c>
    </row>
    <row r="596" spans="2:13" ht="15">
      <c r="B596" s="744" t="s">
        <v>3502</v>
      </c>
      <c r="C596" s="744" t="s">
        <v>2734</v>
      </c>
      <c r="D596" s="744" t="s">
        <v>3249</v>
      </c>
      <c r="E596" s="744" t="s">
        <v>3503</v>
      </c>
      <c r="F596" s="746" t="s">
        <v>3504</v>
      </c>
      <c r="G596" s="747" t="s">
        <v>2360</v>
      </c>
      <c r="H596" s="747">
        <f t="shared" si="10"/>
        <v>72</v>
      </c>
      <c r="I596" s="744">
        <v>1</v>
      </c>
      <c r="J596" s="744">
        <v>160</v>
      </c>
      <c r="K596" s="744">
        <v>180</v>
      </c>
      <c r="L596" s="750" t="s">
        <v>3495</v>
      </c>
      <c r="M596" s="744" t="s">
        <v>606</v>
      </c>
    </row>
    <row r="597" spans="2:13" ht="15">
      <c r="B597" s="744" t="s">
        <v>3505</v>
      </c>
      <c r="C597" s="744" t="s">
        <v>2734</v>
      </c>
      <c r="D597" s="744" t="s">
        <v>3249</v>
      </c>
      <c r="E597" s="744" t="s">
        <v>3493</v>
      </c>
      <c r="F597" s="746" t="s">
        <v>3506</v>
      </c>
      <c r="G597" s="747" t="s">
        <v>2288</v>
      </c>
      <c r="H597" s="747">
        <f t="shared" si="10"/>
        <v>72</v>
      </c>
      <c r="I597" s="744">
        <v>2</v>
      </c>
      <c r="J597" s="744">
        <v>55</v>
      </c>
      <c r="K597" s="744">
        <v>108</v>
      </c>
      <c r="L597" s="750" t="s">
        <v>3507</v>
      </c>
      <c r="M597" s="744" t="s">
        <v>606</v>
      </c>
    </row>
    <row r="598" spans="2:13" ht="15">
      <c r="B598" s="744" t="s">
        <v>3508</v>
      </c>
      <c r="C598" s="744" t="s">
        <v>2734</v>
      </c>
      <c r="D598" s="744" t="s">
        <v>3249</v>
      </c>
      <c r="E598" s="744" t="s">
        <v>3493</v>
      </c>
      <c r="F598" s="746" t="s">
        <v>3509</v>
      </c>
      <c r="G598" s="747" t="s">
        <v>2768</v>
      </c>
      <c r="H598" s="747">
        <f t="shared" si="10"/>
        <v>72</v>
      </c>
      <c r="I598" s="744">
        <v>2</v>
      </c>
      <c r="J598" s="744">
        <v>55</v>
      </c>
      <c r="K598" s="744">
        <v>122</v>
      </c>
      <c r="L598" s="750" t="s">
        <v>3507</v>
      </c>
      <c r="M598" s="744" t="s">
        <v>606</v>
      </c>
    </row>
    <row r="599" spans="2:13" ht="15">
      <c r="B599" s="744" t="s">
        <v>3510</v>
      </c>
      <c r="C599" s="744" t="s">
        <v>2734</v>
      </c>
      <c r="D599" s="744" t="s">
        <v>3249</v>
      </c>
      <c r="E599" s="744" t="s">
        <v>3499</v>
      </c>
      <c r="F599" s="746" t="s">
        <v>3511</v>
      </c>
      <c r="G599" s="747" t="s">
        <v>2768</v>
      </c>
      <c r="H599" s="747">
        <f t="shared" si="10"/>
        <v>72</v>
      </c>
      <c r="I599" s="744">
        <v>2</v>
      </c>
      <c r="J599" s="744">
        <v>85</v>
      </c>
      <c r="K599" s="744">
        <v>194</v>
      </c>
      <c r="L599" s="750" t="s">
        <v>3507</v>
      </c>
      <c r="M599" s="744" t="s">
        <v>606</v>
      </c>
    </row>
    <row r="600" spans="2:13" ht="15">
      <c r="B600" s="744" t="s">
        <v>3512</v>
      </c>
      <c r="C600" s="744" t="s">
        <v>2734</v>
      </c>
      <c r="D600" s="744" t="s">
        <v>3249</v>
      </c>
      <c r="E600" s="744" t="s">
        <v>3499</v>
      </c>
      <c r="F600" s="746" t="s">
        <v>3511</v>
      </c>
      <c r="G600" s="747" t="s">
        <v>2360</v>
      </c>
      <c r="H600" s="747">
        <f t="shared" si="10"/>
        <v>72</v>
      </c>
      <c r="I600" s="744">
        <v>2</v>
      </c>
      <c r="J600" s="744">
        <v>85</v>
      </c>
      <c r="K600" s="744">
        <v>220</v>
      </c>
      <c r="L600" s="750" t="s">
        <v>3507</v>
      </c>
      <c r="M600" s="744" t="s">
        <v>606</v>
      </c>
    </row>
    <row r="601" spans="2:13" ht="15">
      <c r="B601" s="744" t="s">
        <v>3513</v>
      </c>
      <c r="C601" s="744" t="s">
        <v>2734</v>
      </c>
      <c r="D601" s="744" t="s">
        <v>3249</v>
      </c>
      <c r="E601" s="744" t="s">
        <v>3493</v>
      </c>
      <c r="F601" s="746" t="s">
        <v>3509</v>
      </c>
      <c r="G601" s="747" t="s">
        <v>2288</v>
      </c>
      <c r="H601" s="747">
        <f t="shared" si="10"/>
        <v>72</v>
      </c>
      <c r="I601" s="744">
        <v>2</v>
      </c>
      <c r="J601" s="744">
        <v>55</v>
      </c>
      <c r="K601" s="744">
        <v>108</v>
      </c>
      <c r="L601" s="750" t="s">
        <v>3507</v>
      </c>
      <c r="M601" s="744" t="s">
        <v>606</v>
      </c>
    </row>
    <row r="602" spans="2:13" ht="15">
      <c r="B602" s="744" t="s">
        <v>432</v>
      </c>
      <c r="C602" s="744" t="s">
        <v>2734</v>
      </c>
      <c r="D602" s="744" t="s">
        <v>3249</v>
      </c>
      <c r="E602" s="744" t="s">
        <v>3493</v>
      </c>
      <c r="F602" s="746" t="s">
        <v>3509</v>
      </c>
      <c r="G602" s="747" t="s">
        <v>2360</v>
      </c>
      <c r="H602" s="747">
        <f t="shared" si="10"/>
        <v>72</v>
      </c>
      <c r="I602" s="744">
        <v>2</v>
      </c>
      <c r="J602" s="744">
        <v>55</v>
      </c>
      <c r="K602" s="744">
        <v>145</v>
      </c>
      <c r="L602" s="750" t="s">
        <v>3507</v>
      </c>
      <c r="M602" s="744" t="s">
        <v>606</v>
      </c>
    </row>
    <row r="603" spans="2:13" ht="15">
      <c r="B603" s="744" t="s">
        <v>433</v>
      </c>
      <c r="C603" s="744" t="s">
        <v>2734</v>
      </c>
      <c r="D603" s="744" t="s">
        <v>3249</v>
      </c>
      <c r="E603" s="744" t="s">
        <v>3503</v>
      </c>
      <c r="F603" s="746" t="s">
        <v>3514</v>
      </c>
      <c r="G603" s="747" t="s">
        <v>2360</v>
      </c>
      <c r="H603" s="747">
        <f t="shared" si="10"/>
        <v>72</v>
      </c>
      <c r="I603" s="744">
        <v>2</v>
      </c>
      <c r="J603" s="744">
        <v>160</v>
      </c>
      <c r="K603" s="744">
        <v>330</v>
      </c>
      <c r="L603" s="750" t="s">
        <v>3507</v>
      </c>
      <c r="M603" s="744" t="s">
        <v>606</v>
      </c>
    </row>
    <row r="604" spans="2:13" ht="15">
      <c r="B604" s="744" t="s">
        <v>3515</v>
      </c>
      <c r="C604" s="744" t="s">
        <v>2734</v>
      </c>
      <c r="D604" s="744" t="s">
        <v>3249</v>
      </c>
      <c r="E604" s="744" t="s">
        <v>3493</v>
      </c>
      <c r="F604" s="746" t="s">
        <v>3516</v>
      </c>
      <c r="G604" s="747" t="s">
        <v>2288</v>
      </c>
      <c r="H604" s="747">
        <f t="shared" si="10"/>
        <v>72</v>
      </c>
      <c r="I604" s="744">
        <v>3</v>
      </c>
      <c r="J604" s="744">
        <v>55</v>
      </c>
      <c r="K604" s="744">
        <v>176</v>
      </c>
      <c r="L604" s="750" t="s">
        <v>3517</v>
      </c>
      <c r="M604" s="744" t="s">
        <v>606</v>
      </c>
    </row>
    <row r="605" spans="2:13" ht="15">
      <c r="B605" s="744" t="s">
        <v>3518</v>
      </c>
      <c r="C605" s="744" t="s">
        <v>2734</v>
      </c>
      <c r="D605" s="744" t="s">
        <v>3249</v>
      </c>
      <c r="E605" s="744" t="s">
        <v>3493</v>
      </c>
      <c r="F605" s="746" t="s">
        <v>3519</v>
      </c>
      <c r="G605" s="747" t="s">
        <v>2360</v>
      </c>
      <c r="H605" s="747">
        <f t="shared" si="10"/>
        <v>72</v>
      </c>
      <c r="I605" s="744">
        <v>3</v>
      </c>
      <c r="J605" s="744">
        <v>55</v>
      </c>
      <c r="K605" s="744">
        <v>202</v>
      </c>
      <c r="L605" s="750" t="s">
        <v>3517</v>
      </c>
      <c r="M605" s="744" t="s">
        <v>606</v>
      </c>
    </row>
    <row r="606" spans="2:13" ht="15">
      <c r="B606" s="744" t="s">
        <v>3520</v>
      </c>
      <c r="C606" s="744" t="s">
        <v>2734</v>
      </c>
      <c r="D606" s="744" t="s">
        <v>3249</v>
      </c>
      <c r="E606" s="744" t="s">
        <v>3493</v>
      </c>
      <c r="F606" s="746" t="s">
        <v>3521</v>
      </c>
      <c r="G606" s="747" t="s">
        <v>2288</v>
      </c>
      <c r="H606" s="747">
        <f t="shared" si="10"/>
        <v>72</v>
      </c>
      <c r="I606" s="744">
        <v>4</v>
      </c>
      <c r="J606" s="744">
        <v>55</v>
      </c>
      <c r="K606" s="744">
        <v>216</v>
      </c>
      <c r="L606" s="750" t="s">
        <v>3522</v>
      </c>
      <c r="M606" s="744" t="s">
        <v>606</v>
      </c>
    </row>
    <row r="607" spans="2:13" ht="15">
      <c r="B607" s="744" t="s">
        <v>3523</v>
      </c>
      <c r="C607" s="744" t="s">
        <v>2734</v>
      </c>
      <c r="D607" s="744" t="s">
        <v>3249</v>
      </c>
      <c r="E607" s="744" t="s">
        <v>3493</v>
      </c>
      <c r="F607" s="746" t="s">
        <v>3524</v>
      </c>
      <c r="G607" s="747" t="s">
        <v>2768</v>
      </c>
      <c r="H607" s="747">
        <f t="shared" si="10"/>
        <v>72</v>
      </c>
      <c r="I607" s="744">
        <v>4</v>
      </c>
      <c r="J607" s="744">
        <v>55</v>
      </c>
      <c r="K607" s="744">
        <v>230</v>
      </c>
      <c r="L607" s="750" t="s">
        <v>3522</v>
      </c>
      <c r="M607" s="744" t="s">
        <v>606</v>
      </c>
    </row>
    <row r="608" spans="2:13" ht="15">
      <c r="B608" s="744" t="s">
        <v>3525</v>
      </c>
      <c r="C608" s="744" t="s">
        <v>2734</v>
      </c>
      <c r="D608" s="744" t="s">
        <v>3249</v>
      </c>
      <c r="E608" s="744" t="s">
        <v>3499</v>
      </c>
      <c r="F608" s="746" t="s">
        <v>3526</v>
      </c>
      <c r="G608" s="747" t="s">
        <v>2768</v>
      </c>
      <c r="H608" s="747">
        <f t="shared" si="10"/>
        <v>72</v>
      </c>
      <c r="I608" s="744">
        <v>4</v>
      </c>
      <c r="J608" s="744">
        <v>85</v>
      </c>
      <c r="K608" s="744">
        <v>388</v>
      </c>
      <c r="L608" s="750" t="s">
        <v>3522</v>
      </c>
      <c r="M608" s="744" t="s">
        <v>606</v>
      </c>
    </row>
    <row r="609" spans="2:13" ht="15">
      <c r="B609" s="744" t="s">
        <v>3527</v>
      </c>
      <c r="C609" s="744" t="s">
        <v>2734</v>
      </c>
      <c r="D609" s="744" t="s">
        <v>3249</v>
      </c>
      <c r="E609" s="744" t="s">
        <v>3493</v>
      </c>
      <c r="F609" s="746" t="s">
        <v>3524</v>
      </c>
      <c r="G609" s="747" t="s">
        <v>2360</v>
      </c>
      <c r="H609" s="747">
        <f t="shared" si="10"/>
        <v>72</v>
      </c>
      <c r="I609" s="744">
        <v>4</v>
      </c>
      <c r="J609" s="744">
        <v>55</v>
      </c>
      <c r="K609" s="744">
        <v>244</v>
      </c>
      <c r="L609" s="750" t="s">
        <v>3522</v>
      </c>
      <c r="M609" s="744" t="s">
        <v>606</v>
      </c>
    </row>
    <row r="610" spans="2:13" ht="15">
      <c r="B610" s="744" t="s">
        <v>3528</v>
      </c>
      <c r="C610" s="744" t="s">
        <v>2734</v>
      </c>
      <c r="D610" s="744" t="s">
        <v>3249</v>
      </c>
      <c r="E610" s="744" t="s">
        <v>3529</v>
      </c>
      <c r="F610" s="746" t="s">
        <v>3530</v>
      </c>
      <c r="G610" s="747" t="s">
        <v>2768</v>
      </c>
      <c r="H610" s="747">
        <f t="shared" si="10"/>
        <v>96</v>
      </c>
      <c r="I610" s="744">
        <v>1</v>
      </c>
      <c r="J610" s="744">
        <v>60</v>
      </c>
      <c r="K610" s="744">
        <v>61</v>
      </c>
      <c r="L610" s="750" t="s">
        <v>3158</v>
      </c>
      <c r="M610" s="744" t="s">
        <v>606</v>
      </c>
    </row>
    <row r="611" spans="2:13" ht="15">
      <c r="B611" s="744" t="s">
        <v>3531</v>
      </c>
      <c r="C611" s="744" t="s">
        <v>2734</v>
      </c>
      <c r="D611" s="744" t="s">
        <v>3249</v>
      </c>
      <c r="E611" s="744" t="s">
        <v>3529</v>
      </c>
      <c r="F611" s="746" t="s">
        <v>3532</v>
      </c>
      <c r="G611" s="747" t="s">
        <v>2768</v>
      </c>
      <c r="H611" s="747">
        <f t="shared" si="10"/>
        <v>96</v>
      </c>
      <c r="I611" s="744">
        <v>1</v>
      </c>
      <c r="J611" s="744">
        <v>60</v>
      </c>
      <c r="K611" s="744">
        <v>62</v>
      </c>
      <c r="L611" s="750" t="s">
        <v>3158</v>
      </c>
      <c r="M611" s="744" t="s">
        <v>606</v>
      </c>
    </row>
    <row r="612" spans="2:13" ht="15">
      <c r="B612" s="744" t="s">
        <v>3533</v>
      </c>
      <c r="C612" s="744" t="s">
        <v>2734</v>
      </c>
      <c r="D612" s="744" t="s">
        <v>3249</v>
      </c>
      <c r="E612" s="744" t="s">
        <v>3534</v>
      </c>
      <c r="F612" s="746" t="s">
        <v>3535</v>
      </c>
      <c r="G612" s="747" t="s">
        <v>2288</v>
      </c>
      <c r="H612" s="747">
        <f t="shared" si="10"/>
        <v>96</v>
      </c>
      <c r="I612" s="744">
        <v>1</v>
      </c>
      <c r="J612" s="744">
        <v>95</v>
      </c>
      <c r="K612" s="744">
        <v>80</v>
      </c>
      <c r="L612" s="750" t="s">
        <v>3171</v>
      </c>
      <c r="M612" s="744" t="s">
        <v>606</v>
      </c>
    </row>
    <row r="613" spans="2:13" ht="15">
      <c r="B613" s="744" t="s">
        <v>3536</v>
      </c>
      <c r="C613" s="744" t="s">
        <v>2734</v>
      </c>
      <c r="D613" s="744" t="s">
        <v>3249</v>
      </c>
      <c r="E613" s="744" t="s">
        <v>3534</v>
      </c>
      <c r="F613" s="746" t="s">
        <v>3537</v>
      </c>
      <c r="G613" s="747" t="s">
        <v>2288</v>
      </c>
      <c r="H613" s="747">
        <f t="shared" si="10"/>
        <v>96</v>
      </c>
      <c r="I613" s="744">
        <v>1</v>
      </c>
      <c r="J613" s="744">
        <v>95</v>
      </c>
      <c r="K613" s="744">
        <v>85</v>
      </c>
      <c r="L613" s="750" t="s">
        <v>3171</v>
      </c>
      <c r="M613" s="744" t="s">
        <v>606</v>
      </c>
    </row>
    <row r="614" spans="2:13" ht="15">
      <c r="B614" s="744" t="s">
        <v>3538</v>
      </c>
      <c r="C614" s="744" t="s">
        <v>2734</v>
      </c>
      <c r="D614" s="744" t="s">
        <v>3249</v>
      </c>
      <c r="E614" s="744" t="s">
        <v>3534</v>
      </c>
      <c r="F614" s="746" t="s">
        <v>3535</v>
      </c>
      <c r="G614" s="747" t="s">
        <v>2360</v>
      </c>
      <c r="H614" s="747">
        <f t="shared" si="10"/>
        <v>96</v>
      </c>
      <c r="I614" s="744">
        <v>1</v>
      </c>
      <c r="J614" s="744">
        <v>95</v>
      </c>
      <c r="K614" s="744">
        <v>125</v>
      </c>
      <c r="L614" s="750" t="s">
        <v>3171</v>
      </c>
      <c r="M614" s="744" t="s">
        <v>606</v>
      </c>
    </row>
    <row r="615" spans="2:13" ht="15">
      <c r="B615" s="744" t="s">
        <v>3539</v>
      </c>
      <c r="C615" s="744" t="s">
        <v>2734</v>
      </c>
      <c r="D615" s="744" t="s">
        <v>3249</v>
      </c>
      <c r="E615" s="744" t="s">
        <v>3529</v>
      </c>
      <c r="F615" s="746" t="s">
        <v>3530</v>
      </c>
      <c r="G615" s="747" t="s">
        <v>2288</v>
      </c>
      <c r="H615" s="747">
        <f t="shared" si="10"/>
        <v>96</v>
      </c>
      <c r="I615" s="744">
        <v>1</v>
      </c>
      <c r="J615" s="744">
        <v>60</v>
      </c>
      <c r="K615" s="744">
        <v>60</v>
      </c>
      <c r="L615" s="750" t="s">
        <v>3158</v>
      </c>
      <c r="M615" s="744" t="s">
        <v>606</v>
      </c>
    </row>
    <row r="616" spans="2:13" ht="15">
      <c r="B616" s="744" t="s">
        <v>3540</v>
      </c>
      <c r="C616" s="744" t="s">
        <v>2734</v>
      </c>
      <c r="D616" s="744" t="s">
        <v>3249</v>
      </c>
      <c r="E616" s="744" t="s">
        <v>3529</v>
      </c>
      <c r="F616" s="746" t="s">
        <v>3541</v>
      </c>
      <c r="G616" s="747" t="s">
        <v>2288</v>
      </c>
      <c r="H616" s="747">
        <f t="shared" si="10"/>
        <v>96</v>
      </c>
      <c r="I616" s="744">
        <v>1</v>
      </c>
      <c r="J616" s="744">
        <v>60</v>
      </c>
      <c r="K616" s="744">
        <v>55</v>
      </c>
      <c r="L616" s="750" t="s">
        <v>3158</v>
      </c>
      <c r="M616" s="744" t="s">
        <v>606</v>
      </c>
    </row>
    <row r="617" spans="2:13" ht="15">
      <c r="B617" s="744" t="s">
        <v>3542</v>
      </c>
      <c r="C617" s="744" t="s">
        <v>2734</v>
      </c>
      <c r="D617" s="744" t="s">
        <v>3249</v>
      </c>
      <c r="E617" s="744" t="s">
        <v>3529</v>
      </c>
      <c r="F617" s="746" t="s">
        <v>3530</v>
      </c>
      <c r="G617" s="747" t="s">
        <v>2360</v>
      </c>
      <c r="H617" s="747">
        <f t="shared" si="10"/>
        <v>96</v>
      </c>
      <c r="I617" s="744">
        <v>1</v>
      </c>
      <c r="J617" s="744">
        <v>60</v>
      </c>
      <c r="K617" s="744">
        <v>83</v>
      </c>
      <c r="L617" s="750" t="s">
        <v>3158</v>
      </c>
      <c r="M617" s="744" t="s">
        <v>606</v>
      </c>
    </row>
    <row r="618" spans="2:13" ht="15">
      <c r="B618" s="744" t="s">
        <v>3543</v>
      </c>
      <c r="C618" s="744" t="s">
        <v>2734</v>
      </c>
      <c r="D618" s="744" t="s">
        <v>3249</v>
      </c>
      <c r="E618" s="744" t="s">
        <v>3529</v>
      </c>
      <c r="F618" s="746" t="s">
        <v>3532</v>
      </c>
      <c r="G618" s="747" t="s">
        <v>2360</v>
      </c>
      <c r="H618" s="747">
        <f t="shared" si="10"/>
        <v>96</v>
      </c>
      <c r="I618" s="744">
        <v>1</v>
      </c>
      <c r="J618" s="744">
        <v>60</v>
      </c>
      <c r="K618" s="744">
        <v>64</v>
      </c>
      <c r="L618" s="750" t="s">
        <v>3158</v>
      </c>
      <c r="M618" s="744" t="s">
        <v>606</v>
      </c>
    </row>
    <row r="619" spans="2:13" ht="15">
      <c r="B619" s="744" t="s">
        <v>3544</v>
      </c>
      <c r="C619" s="744" t="s">
        <v>2734</v>
      </c>
      <c r="D619" s="744" t="s">
        <v>3249</v>
      </c>
      <c r="E619" s="744" t="s">
        <v>3545</v>
      </c>
      <c r="F619" s="746" t="s">
        <v>3546</v>
      </c>
      <c r="G619" s="747" t="s">
        <v>2360</v>
      </c>
      <c r="H619" s="747">
        <f t="shared" si="10"/>
        <v>96</v>
      </c>
      <c r="I619" s="744">
        <v>1</v>
      </c>
      <c r="J619" s="744">
        <v>185</v>
      </c>
      <c r="K619" s="744">
        <v>200</v>
      </c>
      <c r="L619" s="750" t="s">
        <v>3171</v>
      </c>
      <c r="M619" s="744" t="s">
        <v>606</v>
      </c>
    </row>
    <row r="620" spans="2:13" ht="15">
      <c r="B620" s="744" t="s">
        <v>3547</v>
      </c>
      <c r="C620" s="744" t="s">
        <v>2734</v>
      </c>
      <c r="D620" s="744" t="s">
        <v>3249</v>
      </c>
      <c r="E620" s="744" t="s">
        <v>3548</v>
      </c>
      <c r="F620" s="746" t="s">
        <v>3549</v>
      </c>
      <c r="G620" s="747" t="s">
        <v>2768</v>
      </c>
      <c r="H620" s="747">
        <f t="shared" si="10"/>
        <v>96</v>
      </c>
      <c r="I620" s="744">
        <v>1</v>
      </c>
      <c r="J620" s="744">
        <v>75</v>
      </c>
      <c r="K620" s="744">
        <v>91</v>
      </c>
      <c r="L620" s="750" t="s">
        <v>3158</v>
      </c>
      <c r="M620" s="744" t="s">
        <v>606</v>
      </c>
    </row>
    <row r="621" spans="2:13" ht="15">
      <c r="B621" s="744" t="s">
        <v>3550</v>
      </c>
      <c r="C621" s="744" t="s">
        <v>2734</v>
      </c>
      <c r="D621" s="744" t="s">
        <v>3249</v>
      </c>
      <c r="E621" s="744" t="s">
        <v>3551</v>
      </c>
      <c r="F621" s="746" t="s">
        <v>3552</v>
      </c>
      <c r="G621" s="747" t="s">
        <v>2768</v>
      </c>
      <c r="H621" s="747">
        <f t="shared" si="10"/>
        <v>96</v>
      </c>
      <c r="I621" s="744">
        <v>1</v>
      </c>
      <c r="J621" s="744">
        <v>110</v>
      </c>
      <c r="K621" s="744">
        <v>132</v>
      </c>
      <c r="L621" s="750" t="s">
        <v>3171</v>
      </c>
      <c r="M621" s="744" t="s">
        <v>606</v>
      </c>
    </row>
    <row r="622" spans="2:13" ht="15">
      <c r="B622" s="744" t="s">
        <v>3553</v>
      </c>
      <c r="C622" s="744" t="s">
        <v>2734</v>
      </c>
      <c r="D622" s="744" t="s">
        <v>3249</v>
      </c>
      <c r="E622" s="744" t="s">
        <v>3551</v>
      </c>
      <c r="F622" s="746" t="s">
        <v>3554</v>
      </c>
      <c r="G622" s="747" t="s">
        <v>2288</v>
      </c>
      <c r="H622" s="747">
        <f t="shared" si="10"/>
        <v>96</v>
      </c>
      <c r="I622" s="744">
        <v>1</v>
      </c>
      <c r="J622" s="744">
        <v>110</v>
      </c>
      <c r="K622" s="744">
        <v>98</v>
      </c>
      <c r="L622" s="750" t="s">
        <v>3171</v>
      </c>
      <c r="M622" s="744" t="s">
        <v>606</v>
      </c>
    </row>
    <row r="623" spans="2:13" ht="15">
      <c r="B623" s="744" t="s">
        <v>3555</v>
      </c>
      <c r="C623" s="744" t="s">
        <v>2734</v>
      </c>
      <c r="D623" s="744" t="s">
        <v>3249</v>
      </c>
      <c r="E623" s="744" t="s">
        <v>3551</v>
      </c>
      <c r="F623" s="746" t="s">
        <v>3552</v>
      </c>
      <c r="G623" s="747" t="s">
        <v>2360</v>
      </c>
      <c r="H623" s="747">
        <f t="shared" si="10"/>
        <v>96</v>
      </c>
      <c r="I623" s="744">
        <v>1</v>
      </c>
      <c r="J623" s="744">
        <v>110</v>
      </c>
      <c r="K623" s="744">
        <v>145</v>
      </c>
      <c r="L623" s="750" t="s">
        <v>3171</v>
      </c>
      <c r="M623" s="744" t="s">
        <v>606</v>
      </c>
    </row>
    <row r="624" spans="2:13" ht="15">
      <c r="B624" s="744" t="s">
        <v>3556</v>
      </c>
      <c r="C624" s="744" t="s">
        <v>2734</v>
      </c>
      <c r="D624" s="744" t="s">
        <v>3249</v>
      </c>
      <c r="E624" s="744" t="s">
        <v>3548</v>
      </c>
      <c r="F624" s="746" t="s">
        <v>3557</v>
      </c>
      <c r="G624" s="747" t="s">
        <v>2288</v>
      </c>
      <c r="H624" s="747">
        <f t="shared" si="10"/>
        <v>96</v>
      </c>
      <c r="I624" s="744">
        <v>1</v>
      </c>
      <c r="J624" s="744">
        <v>75</v>
      </c>
      <c r="K624" s="744">
        <v>70</v>
      </c>
      <c r="L624" s="750" t="s">
        <v>3158</v>
      </c>
      <c r="M624" s="744" t="s">
        <v>606</v>
      </c>
    </row>
    <row r="625" spans="2:13" ht="15">
      <c r="B625" s="744" t="s">
        <v>3558</v>
      </c>
      <c r="C625" s="744" t="s">
        <v>2734</v>
      </c>
      <c r="D625" s="744" t="s">
        <v>3249</v>
      </c>
      <c r="E625" s="744" t="s">
        <v>3548</v>
      </c>
      <c r="F625" s="746" t="s">
        <v>3559</v>
      </c>
      <c r="G625" s="747" t="s">
        <v>2288</v>
      </c>
      <c r="H625" s="747">
        <f t="shared" si="10"/>
        <v>96</v>
      </c>
      <c r="I625" s="744">
        <v>1</v>
      </c>
      <c r="J625" s="744">
        <v>75</v>
      </c>
      <c r="K625" s="744">
        <v>67</v>
      </c>
      <c r="L625" s="750" t="s">
        <v>3158</v>
      </c>
      <c r="M625" s="744" t="s">
        <v>606</v>
      </c>
    </row>
    <row r="626" spans="2:13" ht="15">
      <c r="B626" s="744" t="s">
        <v>3560</v>
      </c>
      <c r="C626" s="744" t="s">
        <v>2734</v>
      </c>
      <c r="D626" s="744" t="s">
        <v>3249</v>
      </c>
      <c r="E626" s="744" t="s">
        <v>3548</v>
      </c>
      <c r="F626" s="746" t="s">
        <v>3549</v>
      </c>
      <c r="G626" s="747" t="s">
        <v>2360</v>
      </c>
      <c r="H626" s="747">
        <f t="shared" si="10"/>
        <v>96</v>
      </c>
      <c r="I626" s="744">
        <v>1</v>
      </c>
      <c r="J626" s="744">
        <v>75</v>
      </c>
      <c r="K626" s="744">
        <v>100</v>
      </c>
      <c r="L626" s="750" t="s">
        <v>3158</v>
      </c>
      <c r="M626" s="744" t="s">
        <v>606</v>
      </c>
    </row>
    <row r="627" spans="2:13" ht="15">
      <c r="B627" s="744" t="s">
        <v>3561</v>
      </c>
      <c r="C627" s="744" t="s">
        <v>2734</v>
      </c>
      <c r="D627" s="744" t="s">
        <v>3249</v>
      </c>
      <c r="E627" s="744" t="s">
        <v>3562</v>
      </c>
      <c r="F627" s="746" t="s">
        <v>3563</v>
      </c>
      <c r="G627" s="747" t="s">
        <v>2360</v>
      </c>
      <c r="H627" s="747">
        <f t="shared" si="10"/>
        <v>96</v>
      </c>
      <c r="I627" s="744">
        <v>1</v>
      </c>
      <c r="J627" s="744">
        <v>215</v>
      </c>
      <c r="K627" s="744">
        <v>230</v>
      </c>
      <c r="L627" s="750" t="s">
        <v>3171</v>
      </c>
      <c r="M627" s="744" t="s">
        <v>606</v>
      </c>
    </row>
    <row r="628" spans="2:13" ht="15">
      <c r="B628" s="744" t="s">
        <v>3564</v>
      </c>
      <c r="C628" s="744" t="s">
        <v>2734</v>
      </c>
      <c r="D628" s="744" t="s">
        <v>3249</v>
      </c>
      <c r="E628" s="744" t="s">
        <v>3529</v>
      </c>
      <c r="F628" s="746" t="s">
        <v>3565</v>
      </c>
      <c r="G628" s="747" t="s">
        <v>2768</v>
      </c>
      <c r="H628" s="747">
        <f t="shared" si="10"/>
        <v>96</v>
      </c>
      <c r="I628" s="744">
        <v>2</v>
      </c>
      <c r="J628" s="744">
        <v>60</v>
      </c>
      <c r="K628" s="744">
        <v>123</v>
      </c>
      <c r="L628" s="750" t="s">
        <v>3176</v>
      </c>
      <c r="M628" s="744" t="s">
        <v>606</v>
      </c>
    </row>
    <row r="629" spans="2:13" ht="15">
      <c r="B629" s="744" t="s">
        <v>3566</v>
      </c>
      <c r="C629" s="744" t="s">
        <v>2734</v>
      </c>
      <c r="D629" s="744" t="s">
        <v>3249</v>
      </c>
      <c r="E629" s="744" t="s">
        <v>3534</v>
      </c>
      <c r="F629" s="746" t="s">
        <v>3567</v>
      </c>
      <c r="G629" s="747" t="s">
        <v>2768</v>
      </c>
      <c r="H629" s="747">
        <f t="shared" si="10"/>
        <v>96</v>
      </c>
      <c r="I629" s="744">
        <v>2</v>
      </c>
      <c r="J629" s="744">
        <v>95</v>
      </c>
      <c r="K629" s="744">
        <v>207</v>
      </c>
      <c r="L629" s="750" t="s">
        <v>3180</v>
      </c>
      <c r="M629" s="744" t="s">
        <v>606</v>
      </c>
    </row>
    <row r="630" spans="2:13" ht="15">
      <c r="B630" s="744" t="s">
        <v>3568</v>
      </c>
      <c r="C630" s="744" t="s">
        <v>2734</v>
      </c>
      <c r="D630" s="744" t="s">
        <v>3249</v>
      </c>
      <c r="E630" s="744" t="s">
        <v>3534</v>
      </c>
      <c r="F630" s="746" t="s">
        <v>3567</v>
      </c>
      <c r="G630" s="747" t="s">
        <v>2288</v>
      </c>
      <c r="H630" s="747">
        <f t="shared" si="10"/>
        <v>96</v>
      </c>
      <c r="I630" s="744">
        <v>2</v>
      </c>
      <c r="J630" s="744">
        <v>95</v>
      </c>
      <c r="K630" s="744">
        <v>170</v>
      </c>
      <c r="L630" s="750" t="s">
        <v>3180</v>
      </c>
      <c r="M630" s="744" t="s">
        <v>606</v>
      </c>
    </row>
    <row r="631" spans="2:13" ht="15">
      <c r="B631" s="744" t="s">
        <v>517</v>
      </c>
      <c r="C631" s="744" t="s">
        <v>2734</v>
      </c>
      <c r="D631" s="744" t="s">
        <v>3249</v>
      </c>
      <c r="E631" s="744" t="s">
        <v>3534</v>
      </c>
      <c r="F631" s="746" t="s">
        <v>3567</v>
      </c>
      <c r="G631" s="747" t="s">
        <v>2360</v>
      </c>
      <c r="H631" s="747">
        <f t="shared" si="10"/>
        <v>96</v>
      </c>
      <c r="I631" s="744">
        <v>2</v>
      </c>
      <c r="J631" s="744">
        <v>95</v>
      </c>
      <c r="K631" s="744">
        <v>227</v>
      </c>
      <c r="L631" s="750" t="s">
        <v>3180</v>
      </c>
      <c r="M631" s="744" t="s">
        <v>606</v>
      </c>
    </row>
    <row r="632" spans="2:13" ht="15">
      <c r="B632" s="744" t="s">
        <v>3569</v>
      </c>
      <c r="C632" s="744" t="s">
        <v>2734</v>
      </c>
      <c r="D632" s="744" t="s">
        <v>3249</v>
      </c>
      <c r="E632" s="744" t="s">
        <v>3529</v>
      </c>
      <c r="F632" s="746" t="s">
        <v>3565</v>
      </c>
      <c r="G632" s="747" t="s">
        <v>2288</v>
      </c>
      <c r="H632" s="747">
        <f t="shared" si="10"/>
        <v>96</v>
      </c>
      <c r="I632" s="744">
        <v>2</v>
      </c>
      <c r="J632" s="744">
        <v>60</v>
      </c>
      <c r="K632" s="744">
        <v>110</v>
      </c>
      <c r="L632" s="750" t="s">
        <v>3176</v>
      </c>
      <c r="M632" s="744" t="s">
        <v>606</v>
      </c>
    </row>
    <row r="633" spans="2:13" ht="15">
      <c r="B633" s="744" t="s">
        <v>3570</v>
      </c>
      <c r="C633" s="744" t="s">
        <v>2734</v>
      </c>
      <c r="D633" s="744" t="s">
        <v>3249</v>
      </c>
      <c r="E633" s="744" t="s">
        <v>3529</v>
      </c>
      <c r="F633" s="746" t="s">
        <v>3565</v>
      </c>
      <c r="G633" s="747" t="s">
        <v>2360</v>
      </c>
      <c r="H633" s="747">
        <f t="shared" si="10"/>
        <v>96</v>
      </c>
      <c r="I633" s="744">
        <v>2</v>
      </c>
      <c r="J633" s="744">
        <v>60</v>
      </c>
      <c r="K633" s="744">
        <v>138</v>
      </c>
      <c r="L633" s="750" t="s">
        <v>3176</v>
      </c>
      <c r="M633" s="744" t="s">
        <v>606</v>
      </c>
    </row>
    <row r="634" spans="2:13" ht="15">
      <c r="B634" s="744" t="s">
        <v>3571</v>
      </c>
      <c r="C634" s="744" t="s">
        <v>2734</v>
      </c>
      <c r="D634" s="744" t="s">
        <v>3249</v>
      </c>
      <c r="E634" s="744" t="s">
        <v>3545</v>
      </c>
      <c r="F634" s="746" t="s">
        <v>3572</v>
      </c>
      <c r="G634" s="747" t="s">
        <v>2360</v>
      </c>
      <c r="H634" s="747">
        <f t="shared" si="10"/>
        <v>96</v>
      </c>
      <c r="I634" s="744">
        <v>2</v>
      </c>
      <c r="J634" s="744">
        <v>185</v>
      </c>
      <c r="K634" s="744">
        <v>390</v>
      </c>
      <c r="L634" s="750" t="s">
        <v>3180</v>
      </c>
      <c r="M634" s="744" t="s">
        <v>606</v>
      </c>
    </row>
    <row r="635" spans="2:13" ht="15">
      <c r="B635" s="744" t="s">
        <v>3573</v>
      </c>
      <c r="C635" s="744" t="s">
        <v>2734</v>
      </c>
      <c r="D635" s="744" t="s">
        <v>3249</v>
      </c>
      <c r="E635" s="744" t="s">
        <v>3548</v>
      </c>
      <c r="F635" s="746" t="s">
        <v>3574</v>
      </c>
      <c r="G635" s="747" t="s">
        <v>2768</v>
      </c>
      <c r="H635" s="747">
        <f t="shared" si="10"/>
        <v>96</v>
      </c>
      <c r="I635" s="744">
        <v>2</v>
      </c>
      <c r="J635" s="744">
        <v>75</v>
      </c>
      <c r="K635" s="744">
        <v>158</v>
      </c>
      <c r="L635" s="750" t="s">
        <v>3176</v>
      </c>
      <c r="M635" s="744" t="s">
        <v>606</v>
      </c>
    </row>
    <row r="636" spans="2:13" ht="15">
      <c r="B636" s="744" t="s">
        <v>3575</v>
      </c>
      <c r="C636" s="744" t="s">
        <v>2734</v>
      </c>
      <c r="D636" s="744" t="s">
        <v>3249</v>
      </c>
      <c r="E636" s="744" t="s">
        <v>3551</v>
      </c>
      <c r="F636" s="746" t="s">
        <v>3576</v>
      </c>
      <c r="G636" s="747" t="s">
        <v>2768</v>
      </c>
      <c r="H636" s="747">
        <f t="shared" si="10"/>
        <v>96</v>
      </c>
      <c r="I636" s="744">
        <v>2</v>
      </c>
      <c r="J636" s="744">
        <v>110</v>
      </c>
      <c r="K636" s="744">
        <v>237</v>
      </c>
      <c r="L636" s="750" t="s">
        <v>3180</v>
      </c>
      <c r="M636" s="744" t="s">
        <v>606</v>
      </c>
    </row>
    <row r="637" spans="2:13" ht="15">
      <c r="B637" s="744" t="s">
        <v>3577</v>
      </c>
      <c r="C637" s="744" t="s">
        <v>2734</v>
      </c>
      <c r="D637" s="744" t="s">
        <v>3249</v>
      </c>
      <c r="E637" s="744" t="s">
        <v>3551</v>
      </c>
      <c r="F637" s="746" t="s">
        <v>3576</v>
      </c>
      <c r="G637" s="747" t="s">
        <v>2288</v>
      </c>
      <c r="H637" s="747">
        <f t="shared" si="10"/>
        <v>96</v>
      </c>
      <c r="I637" s="744">
        <v>2</v>
      </c>
      <c r="J637" s="744">
        <v>110</v>
      </c>
      <c r="K637" s="744">
        <v>195</v>
      </c>
      <c r="L637" s="750" t="s">
        <v>3180</v>
      </c>
      <c r="M637" s="744" t="s">
        <v>606</v>
      </c>
    </row>
    <row r="638" spans="2:13" ht="15">
      <c r="B638" s="744" t="s">
        <v>3578</v>
      </c>
      <c r="C638" s="744" t="s">
        <v>2734</v>
      </c>
      <c r="D638" s="744" t="s">
        <v>3249</v>
      </c>
      <c r="E638" s="744" t="s">
        <v>3551</v>
      </c>
      <c r="F638" s="746" t="s">
        <v>3576</v>
      </c>
      <c r="G638" s="747" t="s">
        <v>2360</v>
      </c>
      <c r="H638" s="747">
        <f t="shared" si="10"/>
        <v>96</v>
      </c>
      <c r="I638" s="744">
        <v>2</v>
      </c>
      <c r="J638" s="744">
        <v>110</v>
      </c>
      <c r="K638" s="744">
        <v>257</v>
      </c>
      <c r="L638" s="750" t="s">
        <v>3180</v>
      </c>
      <c r="M638" s="744" t="s">
        <v>606</v>
      </c>
    </row>
    <row r="639" spans="2:13" ht="15">
      <c r="B639" s="744" t="s">
        <v>3579</v>
      </c>
      <c r="C639" s="744" t="s">
        <v>2734</v>
      </c>
      <c r="D639" s="744" t="s">
        <v>3249</v>
      </c>
      <c r="E639" s="744" t="s">
        <v>3548</v>
      </c>
      <c r="F639" s="746" t="s">
        <v>3580</v>
      </c>
      <c r="G639" s="747" t="s">
        <v>2288</v>
      </c>
      <c r="H639" s="747">
        <f t="shared" si="10"/>
        <v>96</v>
      </c>
      <c r="I639" s="744">
        <v>2</v>
      </c>
      <c r="J639" s="744">
        <v>75</v>
      </c>
      <c r="K639" s="744">
        <v>134</v>
      </c>
      <c r="L639" s="750" t="s">
        <v>3176</v>
      </c>
      <c r="M639" s="744" t="s">
        <v>606</v>
      </c>
    </row>
    <row r="640" spans="2:13" ht="15">
      <c r="B640" s="744" t="s">
        <v>3581</v>
      </c>
      <c r="C640" s="744" t="s">
        <v>2734</v>
      </c>
      <c r="D640" s="744" t="s">
        <v>3249</v>
      </c>
      <c r="E640" s="744" t="s">
        <v>3548</v>
      </c>
      <c r="F640" s="746" t="s">
        <v>3574</v>
      </c>
      <c r="G640" s="747" t="s">
        <v>2360</v>
      </c>
      <c r="H640" s="747">
        <f t="shared" si="10"/>
        <v>96</v>
      </c>
      <c r="I640" s="744">
        <v>2</v>
      </c>
      <c r="J640" s="744">
        <v>75</v>
      </c>
      <c r="K640" s="744">
        <v>173</v>
      </c>
      <c r="L640" s="750" t="s">
        <v>3176</v>
      </c>
      <c r="M640" s="744" t="s">
        <v>606</v>
      </c>
    </row>
    <row r="641" spans="2:13" ht="15">
      <c r="B641" s="744" t="s">
        <v>3582</v>
      </c>
      <c r="C641" s="744" t="s">
        <v>2734</v>
      </c>
      <c r="D641" s="744" t="s">
        <v>3249</v>
      </c>
      <c r="E641" s="744" t="s">
        <v>3562</v>
      </c>
      <c r="F641" s="746" t="s">
        <v>3583</v>
      </c>
      <c r="G641" s="747" t="s">
        <v>2360</v>
      </c>
      <c r="H641" s="747">
        <f t="shared" si="10"/>
        <v>96</v>
      </c>
      <c r="I641" s="744">
        <v>2</v>
      </c>
      <c r="J641" s="744">
        <v>215</v>
      </c>
      <c r="K641" s="744">
        <v>450</v>
      </c>
      <c r="L641" s="750" t="s">
        <v>3180</v>
      </c>
      <c r="M641" s="744" t="s">
        <v>606</v>
      </c>
    </row>
    <row r="642" spans="2:13" ht="15">
      <c r="B642" s="744" t="s">
        <v>3584</v>
      </c>
      <c r="C642" s="744" t="s">
        <v>2734</v>
      </c>
      <c r="D642" s="744" t="s">
        <v>3249</v>
      </c>
      <c r="E642" s="744" t="s">
        <v>3529</v>
      </c>
      <c r="F642" s="746" t="s">
        <v>3585</v>
      </c>
      <c r="G642" s="747" t="s">
        <v>2768</v>
      </c>
      <c r="H642" s="747">
        <f t="shared" si="10"/>
        <v>96</v>
      </c>
      <c r="I642" s="744">
        <v>3</v>
      </c>
      <c r="J642" s="744">
        <v>60</v>
      </c>
      <c r="K642" s="744">
        <v>210</v>
      </c>
      <c r="L642" s="750" t="s">
        <v>3182</v>
      </c>
      <c r="M642" s="744" t="s">
        <v>606</v>
      </c>
    </row>
    <row r="643" spans="2:13" ht="15">
      <c r="B643" s="744" t="s">
        <v>3586</v>
      </c>
      <c r="C643" s="744" t="s">
        <v>2734</v>
      </c>
      <c r="D643" s="744" t="s">
        <v>3249</v>
      </c>
      <c r="E643" s="744" t="s">
        <v>3534</v>
      </c>
      <c r="F643" s="746" t="s">
        <v>3587</v>
      </c>
      <c r="G643" s="747" t="s">
        <v>3588</v>
      </c>
      <c r="H643" s="747">
        <f t="shared" si="10"/>
        <v>96</v>
      </c>
      <c r="I643" s="744">
        <v>3</v>
      </c>
      <c r="J643" s="744">
        <v>95</v>
      </c>
      <c r="K643" s="744">
        <v>319</v>
      </c>
      <c r="L643" s="750" t="s">
        <v>3589</v>
      </c>
      <c r="M643" s="744" t="s">
        <v>606</v>
      </c>
    </row>
    <row r="644" spans="2:13" ht="15">
      <c r="B644" s="744" t="s">
        <v>3590</v>
      </c>
      <c r="C644" s="744" t="s">
        <v>2734</v>
      </c>
      <c r="D644" s="744" t="s">
        <v>3249</v>
      </c>
      <c r="E644" s="744" t="s">
        <v>3534</v>
      </c>
      <c r="F644" s="746" t="s">
        <v>3591</v>
      </c>
      <c r="G644" s="747" t="s">
        <v>2360</v>
      </c>
      <c r="H644" s="747">
        <f t="shared" si="10"/>
        <v>96</v>
      </c>
      <c r="I644" s="744">
        <v>3</v>
      </c>
      <c r="J644" s="744">
        <v>95</v>
      </c>
      <c r="K644" s="744">
        <v>352</v>
      </c>
      <c r="L644" s="750" t="s">
        <v>3589</v>
      </c>
      <c r="M644" s="744" t="s">
        <v>606</v>
      </c>
    </row>
    <row r="645" spans="2:13" ht="15">
      <c r="B645" s="744" t="s">
        <v>3592</v>
      </c>
      <c r="C645" s="744" t="s">
        <v>2734</v>
      </c>
      <c r="D645" s="744" t="s">
        <v>3249</v>
      </c>
      <c r="E645" s="744" t="s">
        <v>3529</v>
      </c>
      <c r="F645" s="746" t="s">
        <v>3585</v>
      </c>
      <c r="G645" s="747" t="s">
        <v>2288</v>
      </c>
      <c r="H645" s="747">
        <f t="shared" si="10"/>
        <v>96</v>
      </c>
      <c r="I645" s="744">
        <v>3</v>
      </c>
      <c r="J645" s="744">
        <v>60</v>
      </c>
      <c r="K645" s="744">
        <v>179</v>
      </c>
      <c r="L645" s="750" t="s">
        <v>3182</v>
      </c>
      <c r="M645" s="744" t="s">
        <v>606</v>
      </c>
    </row>
    <row r="646" spans="2:13" ht="15">
      <c r="B646" s="744" t="s">
        <v>3593</v>
      </c>
      <c r="C646" s="744" t="s">
        <v>2734</v>
      </c>
      <c r="D646" s="744" t="s">
        <v>3249</v>
      </c>
      <c r="E646" s="744" t="s">
        <v>3529</v>
      </c>
      <c r="F646" s="746" t="s">
        <v>3585</v>
      </c>
      <c r="G646" s="747" t="s">
        <v>2360</v>
      </c>
      <c r="H646" s="747">
        <f t="shared" si="10"/>
        <v>96</v>
      </c>
      <c r="I646" s="744">
        <v>3</v>
      </c>
      <c r="J646" s="744">
        <v>60</v>
      </c>
      <c r="K646" s="744">
        <v>221</v>
      </c>
      <c r="L646" s="750" t="s">
        <v>3182</v>
      </c>
      <c r="M646" s="744" t="s">
        <v>606</v>
      </c>
    </row>
    <row r="647" spans="2:13" ht="15">
      <c r="B647" s="744" t="s">
        <v>3594</v>
      </c>
      <c r="C647" s="744" t="s">
        <v>2734</v>
      </c>
      <c r="D647" s="744" t="s">
        <v>3249</v>
      </c>
      <c r="E647" s="744" t="s">
        <v>3545</v>
      </c>
      <c r="F647" s="746" t="s">
        <v>3595</v>
      </c>
      <c r="G647" s="747" t="s">
        <v>2360</v>
      </c>
      <c r="H647" s="747">
        <f t="shared" si="10"/>
        <v>96</v>
      </c>
      <c r="I647" s="744">
        <v>3</v>
      </c>
      <c r="J647" s="744">
        <v>185</v>
      </c>
      <c r="K647" s="744">
        <v>590</v>
      </c>
      <c r="L647" s="750" t="s">
        <v>3589</v>
      </c>
      <c r="M647" s="744" t="s">
        <v>606</v>
      </c>
    </row>
    <row r="648" spans="2:13" ht="15">
      <c r="B648" s="744" t="s">
        <v>3596</v>
      </c>
      <c r="C648" s="744" t="s">
        <v>2734</v>
      </c>
      <c r="D648" s="744" t="s">
        <v>3249</v>
      </c>
      <c r="E648" s="744" t="s">
        <v>3551</v>
      </c>
      <c r="F648" s="746" t="s">
        <v>3597</v>
      </c>
      <c r="G648" s="747" t="s">
        <v>2360</v>
      </c>
      <c r="H648" s="747">
        <f t="shared" si="10"/>
        <v>96</v>
      </c>
      <c r="I648" s="744">
        <v>3</v>
      </c>
      <c r="J648" s="744">
        <v>110</v>
      </c>
      <c r="K648" s="744">
        <v>392</v>
      </c>
      <c r="L648" s="750" t="s">
        <v>3589</v>
      </c>
      <c r="M648" s="744" t="s">
        <v>606</v>
      </c>
    </row>
    <row r="649" spans="2:13" ht="15">
      <c r="B649" s="744" t="s">
        <v>3598</v>
      </c>
      <c r="C649" s="744" t="s">
        <v>2734</v>
      </c>
      <c r="D649" s="744" t="s">
        <v>3249</v>
      </c>
      <c r="E649" s="744" t="s">
        <v>3548</v>
      </c>
      <c r="F649" s="746" t="s">
        <v>3599</v>
      </c>
      <c r="G649" s="747" t="s">
        <v>2360</v>
      </c>
      <c r="H649" s="747">
        <f t="shared" si="10"/>
        <v>96</v>
      </c>
      <c r="I649" s="744">
        <v>3</v>
      </c>
      <c r="J649" s="744">
        <v>75</v>
      </c>
      <c r="K649" s="744">
        <v>273</v>
      </c>
      <c r="L649" s="750" t="s">
        <v>3182</v>
      </c>
      <c r="M649" s="744" t="s">
        <v>606</v>
      </c>
    </row>
    <row r="650" spans="2:13" ht="15">
      <c r="B650" s="744" t="s">
        <v>3600</v>
      </c>
      <c r="C650" s="744" t="s">
        <v>2734</v>
      </c>
      <c r="D650" s="744" t="s">
        <v>3249</v>
      </c>
      <c r="E650" s="744" t="s">
        <v>3562</v>
      </c>
      <c r="F650" s="746" t="s">
        <v>3601</v>
      </c>
      <c r="G650" s="747" t="s">
        <v>2360</v>
      </c>
      <c r="H650" s="747">
        <f t="shared" si="10"/>
        <v>96</v>
      </c>
      <c r="I650" s="744">
        <v>3</v>
      </c>
      <c r="J650" s="744">
        <v>215</v>
      </c>
      <c r="K650" s="744">
        <v>680</v>
      </c>
      <c r="L650" s="750" t="s">
        <v>3589</v>
      </c>
      <c r="M650" s="744" t="s">
        <v>606</v>
      </c>
    </row>
    <row r="651" spans="2:13" ht="15">
      <c r="B651" s="744" t="s">
        <v>3602</v>
      </c>
      <c r="C651" s="744" t="s">
        <v>2734</v>
      </c>
      <c r="D651" s="744" t="s">
        <v>3249</v>
      </c>
      <c r="E651" s="744" t="s">
        <v>3529</v>
      </c>
      <c r="F651" s="746" t="s">
        <v>3603</v>
      </c>
      <c r="G651" s="747" t="s">
        <v>2768</v>
      </c>
      <c r="H651" s="747">
        <f t="shared" si="10"/>
        <v>96</v>
      </c>
      <c r="I651" s="744">
        <v>4</v>
      </c>
      <c r="J651" s="744">
        <v>60</v>
      </c>
      <c r="K651" s="744">
        <v>246</v>
      </c>
      <c r="L651" s="750" t="s">
        <v>3184</v>
      </c>
      <c r="M651" s="744" t="s">
        <v>606</v>
      </c>
    </row>
    <row r="652" spans="2:13" ht="15">
      <c r="B652" s="744" t="s">
        <v>3604</v>
      </c>
      <c r="C652" s="744" t="s">
        <v>2734</v>
      </c>
      <c r="D652" s="744" t="s">
        <v>3249</v>
      </c>
      <c r="E652" s="744" t="s">
        <v>3534</v>
      </c>
      <c r="F652" s="746" t="s">
        <v>3605</v>
      </c>
      <c r="G652" s="747" t="s">
        <v>2768</v>
      </c>
      <c r="H652" s="747">
        <f t="shared" si="10"/>
        <v>96</v>
      </c>
      <c r="I652" s="744">
        <v>4</v>
      </c>
      <c r="J652" s="744">
        <v>95</v>
      </c>
      <c r="K652" s="744">
        <v>414</v>
      </c>
      <c r="L652" s="750" t="s">
        <v>3186</v>
      </c>
      <c r="M652" s="744" t="s">
        <v>606</v>
      </c>
    </row>
    <row r="653" spans="2:13" ht="15">
      <c r="B653" s="744" t="s">
        <v>3606</v>
      </c>
      <c r="C653" s="744" t="s">
        <v>2734</v>
      </c>
      <c r="D653" s="744" t="s">
        <v>3249</v>
      </c>
      <c r="E653" s="744" t="s">
        <v>3534</v>
      </c>
      <c r="F653" s="746" t="s">
        <v>3605</v>
      </c>
      <c r="G653" s="747" t="s">
        <v>2288</v>
      </c>
      <c r="H653" s="747">
        <f t="shared" si="10"/>
        <v>96</v>
      </c>
      <c r="I653" s="744">
        <v>4</v>
      </c>
      <c r="J653" s="744">
        <v>95</v>
      </c>
      <c r="K653" s="744">
        <v>340</v>
      </c>
      <c r="L653" s="750" t="s">
        <v>3186</v>
      </c>
      <c r="M653" s="744" t="s">
        <v>606</v>
      </c>
    </row>
    <row r="654" spans="2:13" ht="15">
      <c r="B654" s="744" t="s">
        <v>3607</v>
      </c>
      <c r="C654" s="744" t="s">
        <v>2734</v>
      </c>
      <c r="D654" s="744" t="s">
        <v>3249</v>
      </c>
      <c r="E654" s="744" t="s">
        <v>3534</v>
      </c>
      <c r="F654" s="746" t="s">
        <v>3605</v>
      </c>
      <c r="G654" s="747" t="s">
        <v>2360</v>
      </c>
      <c r="H654" s="747">
        <f t="shared" si="10"/>
        <v>96</v>
      </c>
      <c r="I654" s="744">
        <v>4</v>
      </c>
      <c r="J654" s="744">
        <v>95</v>
      </c>
      <c r="K654" s="744">
        <v>454</v>
      </c>
      <c r="L654" s="750" t="s">
        <v>3186</v>
      </c>
      <c r="M654" s="744" t="s">
        <v>606</v>
      </c>
    </row>
    <row r="655" spans="2:13" ht="15">
      <c r="B655" s="744" t="s">
        <v>3608</v>
      </c>
      <c r="C655" s="744" t="s">
        <v>2734</v>
      </c>
      <c r="D655" s="744" t="s">
        <v>3249</v>
      </c>
      <c r="E655" s="744" t="s">
        <v>3529</v>
      </c>
      <c r="F655" s="746" t="s">
        <v>3603</v>
      </c>
      <c r="G655" s="747" t="s">
        <v>2288</v>
      </c>
      <c r="H655" s="747">
        <f t="shared" ref="H655:H668" si="11">MID(B655,2,1)*12</f>
        <v>96</v>
      </c>
      <c r="I655" s="744">
        <v>4</v>
      </c>
      <c r="J655" s="744">
        <v>60</v>
      </c>
      <c r="K655" s="744">
        <v>220</v>
      </c>
      <c r="L655" s="750" t="s">
        <v>3184</v>
      </c>
      <c r="M655" s="744" t="s">
        <v>606</v>
      </c>
    </row>
    <row r="656" spans="2:13" ht="15">
      <c r="B656" s="744" t="s">
        <v>3609</v>
      </c>
      <c r="C656" s="744" t="s">
        <v>2734</v>
      </c>
      <c r="D656" s="744" t="s">
        <v>3249</v>
      </c>
      <c r="E656" s="744" t="s">
        <v>3529</v>
      </c>
      <c r="F656" s="746" t="s">
        <v>3603</v>
      </c>
      <c r="G656" s="747" t="s">
        <v>2360</v>
      </c>
      <c r="H656" s="747">
        <f t="shared" si="11"/>
        <v>96</v>
      </c>
      <c r="I656" s="744">
        <v>4</v>
      </c>
      <c r="J656" s="744">
        <v>60</v>
      </c>
      <c r="K656" s="744">
        <v>276</v>
      </c>
      <c r="L656" s="750" t="s">
        <v>3184</v>
      </c>
      <c r="M656" s="744" t="s">
        <v>606</v>
      </c>
    </row>
    <row r="657" spans="2:15" ht="15">
      <c r="B657" s="744" t="s">
        <v>3610</v>
      </c>
      <c r="C657" s="744" t="s">
        <v>2734</v>
      </c>
      <c r="D657" s="744" t="s">
        <v>3249</v>
      </c>
      <c r="E657" s="744" t="s">
        <v>3545</v>
      </c>
      <c r="F657" s="746" t="s">
        <v>3611</v>
      </c>
      <c r="G657" s="747" t="s">
        <v>2360</v>
      </c>
      <c r="H657" s="747">
        <f t="shared" si="11"/>
        <v>96</v>
      </c>
      <c r="I657" s="744">
        <v>4</v>
      </c>
      <c r="J657" s="744">
        <v>185</v>
      </c>
      <c r="K657" s="744">
        <v>780</v>
      </c>
      <c r="L657" s="750" t="s">
        <v>3186</v>
      </c>
      <c r="M657" s="744" t="s">
        <v>606</v>
      </c>
    </row>
    <row r="658" spans="2:15" ht="15">
      <c r="B658" s="744" t="s">
        <v>3612</v>
      </c>
      <c r="C658" s="744" t="s">
        <v>2734</v>
      </c>
      <c r="D658" s="744" t="s">
        <v>3249</v>
      </c>
      <c r="E658" s="744" t="s">
        <v>3548</v>
      </c>
      <c r="F658" s="746" t="s">
        <v>3613</v>
      </c>
      <c r="G658" s="747" t="s">
        <v>2768</v>
      </c>
      <c r="H658" s="747">
        <f t="shared" si="11"/>
        <v>96</v>
      </c>
      <c r="I658" s="744">
        <v>4</v>
      </c>
      <c r="J658" s="744">
        <v>75</v>
      </c>
      <c r="K658" s="744">
        <v>316</v>
      </c>
      <c r="L658" s="750" t="s">
        <v>3184</v>
      </c>
      <c r="M658" s="744" t="s">
        <v>606</v>
      </c>
    </row>
    <row r="659" spans="2:15" ht="15">
      <c r="B659" s="744" t="s">
        <v>3614</v>
      </c>
      <c r="C659" s="744" t="s">
        <v>2734</v>
      </c>
      <c r="D659" s="744" t="s">
        <v>3249</v>
      </c>
      <c r="E659" s="744" t="s">
        <v>3551</v>
      </c>
      <c r="F659" s="746" t="s">
        <v>3615</v>
      </c>
      <c r="G659" s="747" t="s">
        <v>2768</v>
      </c>
      <c r="H659" s="747">
        <f t="shared" si="11"/>
        <v>96</v>
      </c>
      <c r="I659" s="744">
        <v>4</v>
      </c>
      <c r="J659" s="744">
        <v>110</v>
      </c>
      <c r="K659" s="744">
        <v>474</v>
      </c>
      <c r="L659" s="750" t="s">
        <v>3186</v>
      </c>
      <c r="M659" s="744" t="s">
        <v>606</v>
      </c>
    </row>
    <row r="660" spans="2:15" ht="15">
      <c r="B660" s="744" t="s">
        <v>3616</v>
      </c>
      <c r="C660" s="744" t="s">
        <v>2734</v>
      </c>
      <c r="D660" s="744" t="s">
        <v>3249</v>
      </c>
      <c r="E660" s="744" t="s">
        <v>3551</v>
      </c>
      <c r="F660" s="746" t="s">
        <v>3617</v>
      </c>
      <c r="G660" s="747" t="s">
        <v>2288</v>
      </c>
      <c r="H660" s="747">
        <f t="shared" si="11"/>
        <v>96</v>
      </c>
      <c r="I660" s="744">
        <v>4</v>
      </c>
      <c r="J660" s="744">
        <v>110</v>
      </c>
      <c r="K660" s="744">
        <v>390</v>
      </c>
      <c r="L660" s="750" t="s">
        <v>3186</v>
      </c>
      <c r="M660" s="744" t="s">
        <v>606</v>
      </c>
    </row>
    <row r="661" spans="2:15" ht="15">
      <c r="B661" s="744" t="s">
        <v>3618</v>
      </c>
      <c r="C661" s="744" t="s">
        <v>2734</v>
      </c>
      <c r="D661" s="744" t="s">
        <v>3249</v>
      </c>
      <c r="E661" s="744" t="s">
        <v>3551</v>
      </c>
      <c r="F661" s="746" t="s">
        <v>3615</v>
      </c>
      <c r="G661" s="747" t="s">
        <v>2360</v>
      </c>
      <c r="H661" s="747">
        <f t="shared" si="11"/>
        <v>96</v>
      </c>
      <c r="I661" s="744">
        <v>4</v>
      </c>
      <c r="J661" s="744">
        <v>110</v>
      </c>
      <c r="K661" s="744">
        <v>514</v>
      </c>
      <c r="L661" s="750" t="s">
        <v>3186</v>
      </c>
      <c r="M661" s="744" t="s">
        <v>606</v>
      </c>
    </row>
    <row r="662" spans="2:15" ht="15">
      <c r="B662" s="744" t="s">
        <v>3619</v>
      </c>
      <c r="C662" s="744" t="s">
        <v>2734</v>
      </c>
      <c r="D662" s="744" t="s">
        <v>3249</v>
      </c>
      <c r="E662" s="744" t="s">
        <v>3548</v>
      </c>
      <c r="F662" s="746" t="s">
        <v>3620</v>
      </c>
      <c r="G662" s="747" t="s">
        <v>2288</v>
      </c>
      <c r="H662" s="747">
        <f t="shared" si="11"/>
        <v>96</v>
      </c>
      <c r="I662" s="744">
        <v>4</v>
      </c>
      <c r="J662" s="744">
        <v>75</v>
      </c>
      <c r="K662" s="744">
        <v>268</v>
      </c>
      <c r="L662" s="750" t="s">
        <v>3184</v>
      </c>
      <c r="M662" s="744" t="s">
        <v>606</v>
      </c>
    </row>
    <row r="663" spans="2:15" ht="15">
      <c r="B663" s="744" t="s">
        <v>3621</v>
      </c>
      <c r="C663" s="744" t="s">
        <v>2734</v>
      </c>
      <c r="D663" s="744" t="s">
        <v>3249</v>
      </c>
      <c r="E663" s="744" t="s">
        <v>3548</v>
      </c>
      <c r="F663" s="746" t="s">
        <v>3613</v>
      </c>
      <c r="G663" s="747" t="s">
        <v>2360</v>
      </c>
      <c r="H663" s="747">
        <f t="shared" si="11"/>
        <v>96</v>
      </c>
      <c r="I663" s="744">
        <v>4</v>
      </c>
      <c r="J663" s="744">
        <v>75</v>
      </c>
      <c r="K663" s="744">
        <v>346</v>
      </c>
      <c r="L663" s="750" t="s">
        <v>3184</v>
      </c>
      <c r="M663" s="744" t="s">
        <v>606</v>
      </c>
    </row>
    <row r="664" spans="2:15" ht="15">
      <c r="B664" s="744" t="s">
        <v>3622</v>
      </c>
      <c r="C664" s="744" t="s">
        <v>2734</v>
      </c>
      <c r="D664" s="744" t="s">
        <v>3249</v>
      </c>
      <c r="E664" s="744" t="s">
        <v>3562</v>
      </c>
      <c r="F664" s="746" t="s">
        <v>3623</v>
      </c>
      <c r="G664" s="747" t="s">
        <v>2360</v>
      </c>
      <c r="H664" s="747">
        <f t="shared" si="11"/>
        <v>96</v>
      </c>
      <c r="I664" s="744">
        <v>4</v>
      </c>
      <c r="J664" s="744">
        <v>215</v>
      </c>
      <c r="K664" s="744">
        <v>900</v>
      </c>
      <c r="L664" s="750" t="s">
        <v>3186</v>
      </c>
      <c r="M664" s="744" t="s">
        <v>606</v>
      </c>
    </row>
    <row r="665" spans="2:15" ht="15">
      <c r="B665" s="744" t="s">
        <v>3624</v>
      </c>
      <c r="C665" s="744" t="s">
        <v>2734</v>
      </c>
      <c r="D665" s="744" t="s">
        <v>3249</v>
      </c>
      <c r="E665" s="744" t="s">
        <v>3534</v>
      </c>
      <c r="F665" s="746" t="s">
        <v>3625</v>
      </c>
      <c r="G665" s="747" t="s">
        <v>2360</v>
      </c>
      <c r="H665" s="747">
        <f t="shared" si="11"/>
        <v>96</v>
      </c>
      <c r="I665" s="744">
        <v>6</v>
      </c>
      <c r="J665" s="744">
        <v>95</v>
      </c>
      <c r="K665" s="744">
        <v>721</v>
      </c>
      <c r="L665" s="750" t="s">
        <v>3626</v>
      </c>
      <c r="M665" s="744" t="s">
        <v>606</v>
      </c>
    </row>
    <row r="666" spans="2:15" ht="15">
      <c r="B666" s="744" t="s">
        <v>3627</v>
      </c>
      <c r="C666" s="744" t="s">
        <v>2734</v>
      </c>
      <c r="D666" s="744" t="s">
        <v>3249</v>
      </c>
      <c r="E666" s="744" t="s">
        <v>3529</v>
      </c>
      <c r="F666" s="746" t="s">
        <v>3628</v>
      </c>
      <c r="G666" s="747" t="s">
        <v>2768</v>
      </c>
      <c r="H666" s="747">
        <f t="shared" si="11"/>
        <v>96</v>
      </c>
      <c r="I666" s="744">
        <v>6</v>
      </c>
      <c r="J666" s="744">
        <v>60</v>
      </c>
      <c r="K666" s="744">
        <v>369</v>
      </c>
      <c r="L666" s="750" t="s">
        <v>3188</v>
      </c>
      <c r="M666" s="744" t="s">
        <v>606</v>
      </c>
    </row>
    <row r="667" spans="2:15" ht="15">
      <c r="B667" s="744" t="s">
        <v>3629</v>
      </c>
      <c r="C667" s="744" t="s">
        <v>2734</v>
      </c>
      <c r="D667" s="744" t="s">
        <v>3249</v>
      </c>
      <c r="E667" s="744" t="s">
        <v>3529</v>
      </c>
      <c r="F667" s="746" t="s">
        <v>3628</v>
      </c>
      <c r="G667" s="747" t="s">
        <v>2288</v>
      </c>
      <c r="H667" s="747">
        <f t="shared" si="11"/>
        <v>96</v>
      </c>
      <c r="I667" s="744">
        <v>6</v>
      </c>
      <c r="J667" s="744">
        <v>60</v>
      </c>
      <c r="K667" s="744">
        <v>330</v>
      </c>
      <c r="L667" s="750" t="s">
        <v>3188</v>
      </c>
      <c r="M667" s="744" t="s">
        <v>606</v>
      </c>
    </row>
    <row r="668" spans="2:15" ht="15">
      <c r="B668" s="744" t="s">
        <v>3630</v>
      </c>
      <c r="C668" s="744" t="s">
        <v>2734</v>
      </c>
      <c r="D668" s="744" t="s">
        <v>3631</v>
      </c>
      <c r="E668" s="744" t="s">
        <v>3632</v>
      </c>
      <c r="F668" s="746" t="s">
        <v>3633</v>
      </c>
      <c r="G668" s="747" t="s">
        <v>2360</v>
      </c>
      <c r="H668" s="747">
        <f t="shared" si="11"/>
        <v>48</v>
      </c>
      <c r="I668" s="744">
        <v>1</v>
      </c>
      <c r="J668" s="744">
        <v>40</v>
      </c>
      <c r="K668" s="744">
        <v>51</v>
      </c>
      <c r="L668" s="750" t="s">
        <v>2874</v>
      </c>
      <c r="M668" s="744" t="s">
        <v>606</v>
      </c>
    </row>
    <row r="669" spans="2:15">
      <c r="B669" s="744" t="s">
        <v>3634</v>
      </c>
      <c r="C669" s="744" t="s">
        <v>533</v>
      </c>
      <c r="D669" s="744" t="s">
        <v>533</v>
      </c>
      <c r="E669" s="744" t="s">
        <v>3635</v>
      </c>
      <c r="F669" s="746" t="s">
        <v>3636</v>
      </c>
      <c r="G669" s="747" t="s">
        <v>2768</v>
      </c>
      <c r="H669" s="747">
        <v>24</v>
      </c>
      <c r="I669" s="744">
        <v>1</v>
      </c>
      <c r="J669" s="744">
        <v>34</v>
      </c>
      <c r="K669" s="744">
        <v>43</v>
      </c>
      <c r="L669" s="744" t="s">
        <v>3634</v>
      </c>
      <c r="M669" s="744" t="s">
        <v>606</v>
      </c>
      <c r="O669" t="s">
        <v>533</v>
      </c>
    </row>
    <row r="670" spans="2:15">
      <c r="B670" s="744" t="s">
        <v>3637</v>
      </c>
      <c r="C670" s="744" t="s">
        <v>533</v>
      </c>
      <c r="D670" s="744" t="s">
        <v>533</v>
      </c>
      <c r="E670" s="744" t="s">
        <v>3638</v>
      </c>
      <c r="F670" s="746" t="s">
        <v>3639</v>
      </c>
      <c r="G670" s="747" t="s">
        <v>2288</v>
      </c>
      <c r="H670" s="747">
        <v>24</v>
      </c>
      <c r="I670" s="744">
        <v>1</v>
      </c>
      <c r="J670" s="744">
        <v>32</v>
      </c>
      <c r="K670" s="744">
        <v>31</v>
      </c>
      <c r="L670" s="744" t="s">
        <v>3637</v>
      </c>
      <c r="M670" s="744" t="s">
        <v>606</v>
      </c>
      <c r="O670" t="s">
        <v>533</v>
      </c>
    </row>
    <row r="671" spans="2:15">
      <c r="B671" s="744" t="s">
        <v>3640</v>
      </c>
      <c r="C671" s="744" t="s">
        <v>533</v>
      </c>
      <c r="D671" s="744" t="s">
        <v>533</v>
      </c>
      <c r="E671" s="744" t="s">
        <v>3638</v>
      </c>
      <c r="F671" s="746" t="s">
        <v>3641</v>
      </c>
      <c r="G671" s="747" t="s">
        <v>2288</v>
      </c>
      <c r="H671" s="747">
        <v>24</v>
      </c>
      <c r="I671" s="744">
        <v>1</v>
      </c>
      <c r="J671" s="744">
        <v>32</v>
      </c>
      <c r="K671" s="744">
        <v>32</v>
      </c>
      <c r="L671" s="744" t="s">
        <v>3640</v>
      </c>
      <c r="M671" s="744" t="s">
        <v>606</v>
      </c>
      <c r="O671" t="s">
        <v>533</v>
      </c>
    </row>
    <row r="672" spans="2:15">
      <c r="B672" s="744" t="s">
        <v>3642</v>
      </c>
      <c r="C672" s="744" t="s">
        <v>533</v>
      </c>
      <c r="D672" s="744" t="s">
        <v>533</v>
      </c>
      <c r="E672" s="744" t="s">
        <v>3638</v>
      </c>
      <c r="F672" s="746" t="s">
        <v>3643</v>
      </c>
      <c r="G672" s="744" t="s">
        <v>2288</v>
      </c>
      <c r="H672" s="747">
        <v>24</v>
      </c>
      <c r="I672" s="744">
        <v>1</v>
      </c>
      <c r="J672" s="744">
        <v>31</v>
      </c>
      <c r="K672" s="751">
        <v>27</v>
      </c>
      <c r="L672" s="751" t="s">
        <v>3642</v>
      </c>
      <c r="M672" s="744" t="s">
        <v>606</v>
      </c>
      <c r="O672" t="s">
        <v>533</v>
      </c>
    </row>
    <row r="673" spans="2:15">
      <c r="B673" s="744" t="s">
        <v>3644</v>
      </c>
      <c r="C673" s="744" t="s">
        <v>533</v>
      </c>
      <c r="D673" s="744" t="s">
        <v>533</v>
      </c>
      <c r="E673" s="744" t="s">
        <v>3645</v>
      </c>
      <c r="F673" s="746" t="s">
        <v>3646</v>
      </c>
      <c r="G673" s="747" t="s">
        <v>2360</v>
      </c>
      <c r="H673" s="747">
        <v>24</v>
      </c>
      <c r="I673" s="744">
        <v>2</v>
      </c>
      <c r="J673" s="744">
        <v>40</v>
      </c>
      <c r="K673" s="744">
        <v>96</v>
      </c>
      <c r="L673" s="744" t="s">
        <v>3644</v>
      </c>
      <c r="M673" s="744" t="s">
        <v>606</v>
      </c>
      <c r="O673" t="s">
        <v>533</v>
      </c>
    </row>
    <row r="674" spans="2:15">
      <c r="B674" s="744" t="s">
        <v>3647</v>
      </c>
      <c r="C674" s="744" t="s">
        <v>533</v>
      </c>
      <c r="D674" s="744" t="s">
        <v>533</v>
      </c>
      <c r="E674" s="744" t="s">
        <v>3645</v>
      </c>
      <c r="F674" s="746" t="s">
        <v>3646</v>
      </c>
      <c r="G674" s="747" t="s">
        <v>2768</v>
      </c>
      <c r="H674" s="747">
        <v>24</v>
      </c>
      <c r="I674" s="744">
        <v>2</v>
      </c>
      <c r="J674" s="744">
        <v>40</v>
      </c>
      <c r="K674" s="744">
        <v>85</v>
      </c>
      <c r="L674" s="744" t="s">
        <v>3647</v>
      </c>
      <c r="M674" s="744" t="s">
        <v>606</v>
      </c>
      <c r="O674" t="s">
        <v>533</v>
      </c>
    </row>
    <row r="675" spans="2:15">
      <c r="B675" s="744" t="s">
        <v>3648</v>
      </c>
      <c r="C675" s="744" t="s">
        <v>533</v>
      </c>
      <c r="D675" s="744" t="s">
        <v>533</v>
      </c>
      <c r="E675" s="744" t="s">
        <v>3635</v>
      </c>
      <c r="F675" s="746" t="s">
        <v>3649</v>
      </c>
      <c r="G675" s="747" t="s">
        <v>2768</v>
      </c>
      <c r="H675" s="747">
        <v>24</v>
      </c>
      <c r="I675" s="744">
        <v>2</v>
      </c>
      <c r="J675" s="744">
        <v>34</v>
      </c>
      <c r="K675" s="744">
        <v>72</v>
      </c>
      <c r="L675" s="744" t="s">
        <v>3648</v>
      </c>
      <c r="M675" s="744" t="s">
        <v>606</v>
      </c>
      <c r="O675" t="s">
        <v>533</v>
      </c>
    </row>
    <row r="676" spans="2:15">
      <c r="B676" s="744" t="s">
        <v>3650</v>
      </c>
      <c r="C676" s="744" t="s">
        <v>533</v>
      </c>
      <c r="D676" s="744" t="s">
        <v>533</v>
      </c>
      <c r="E676" s="744" t="s">
        <v>3635</v>
      </c>
      <c r="F676" s="746" t="s">
        <v>3649</v>
      </c>
      <c r="G676" s="747" t="s">
        <v>2360</v>
      </c>
      <c r="H676" s="747">
        <v>24</v>
      </c>
      <c r="I676" s="744">
        <v>2</v>
      </c>
      <c r="J676" s="744">
        <v>34</v>
      </c>
      <c r="K676" s="744">
        <v>82</v>
      </c>
      <c r="L676" s="744" t="s">
        <v>3650</v>
      </c>
      <c r="M676" s="744" t="s">
        <v>606</v>
      </c>
      <c r="O676" t="s">
        <v>533</v>
      </c>
    </row>
    <row r="677" spans="2:15">
      <c r="B677" s="744" t="s">
        <v>3651</v>
      </c>
      <c r="C677" s="744" t="s">
        <v>533</v>
      </c>
      <c r="D677" s="744" t="s">
        <v>533</v>
      </c>
      <c r="E677" s="744" t="s">
        <v>3638</v>
      </c>
      <c r="F677" s="746" t="s">
        <v>3652</v>
      </c>
      <c r="G677" s="747" t="s">
        <v>2288</v>
      </c>
      <c r="H677" s="747">
        <v>24</v>
      </c>
      <c r="I677" s="744">
        <v>2</v>
      </c>
      <c r="J677" s="744">
        <v>32</v>
      </c>
      <c r="K677" s="744">
        <v>59</v>
      </c>
      <c r="L677" s="744" t="s">
        <v>3651</v>
      </c>
      <c r="M677" s="744" t="s">
        <v>606</v>
      </c>
      <c r="O677" t="s">
        <v>533</v>
      </c>
    </row>
    <row r="678" spans="2:15">
      <c r="B678" s="744" t="s">
        <v>3653</v>
      </c>
      <c r="C678" s="744" t="s">
        <v>533</v>
      </c>
      <c r="D678" s="744" t="s">
        <v>533</v>
      </c>
      <c r="E678" s="744" t="s">
        <v>3638</v>
      </c>
      <c r="F678" s="746" t="s">
        <v>3654</v>
      </c>
      <c r="G678" s="747" t="s">
        <v>2288</v>
      </c>
      <c r="H678" s="747">
        <v>24</v>
      </c>
      <c r="I678" s="744">
        <v>2</v>
      </c>
      <c r="J678" s="744">
        <v>32</v>
      </c>
      <c r="K678" s="744">
        <v>56</v>
      </c>
      <c r="L678" s="744" t="s">
        <v>3653</v>
      </c>
      <c r="M678" s="744" t="s">
        <v>606</v>
      </c>
      <c r="O678" t="s">
        <v>533</v>
      </c>
    </row>
    <row r="679" spans="2:15">
      <c r="B679" s="744" t="s">
        <v>3655</v>
      </c>
      <c r="C679" s="744" t="s">
        <v>533</v>
      </c>
      <c r="D679" s="744" t="s">
        <v>533</v>
      </c>
      <c r="E679" s="744" t="s">
        <v>3638</v>
      </c>
      <c r="F679" s="746" t="s">
        <v>3656</v>
      </c>
      <c r="G679" s="747" t="s">
        <v>2288</v>
      </c>
      <c r="H679" s="747">
        <v>24</v>
      </c>
      <c r="I679" s="744">
        <v>2</v>
      </c>
      <c r="J679" s="744">
        <v>32</v>
      </c>
      <c r="K679" s="744">
        <v>51</v>
      </c>
      <c r="L679" s="744" t="s">
        <v>3655</v>
      </c>
      <c r="M679" s="744" t="s">
        <v>606</v>
      </c>
      <c r="O679" t="s">
        <v>533</v>
      </c>
    </row>
    <row r="680" spans="2:15">
      <c r="B680" s="744" t="s">
        <v>3657</v>
      </c>
      <c r="C680" s="744" t="s">
        <v>533</v>
      </c>
      <c r="D680" s="744" t="s">
        <v>533</v>
      </c>
      <c r="E680" s="744" t="s">
        <v>3638</v>
      </c>
      <c r="F680" s="746" t="s">
        <v>3658</v>
      </c>
      <c r="G680" s="747" t="s">
        <v>2288</v>
      </c>
      <c r="H680" s="747">
        <v>24</v>
      </c>
      <c r="I680" s="744">
        <v>2</v>
      </c>
      <c r="J680" s="744">
        <v>32</v>
      </c>
      <c r="K680" s="744">
        <v>65</v>
      </c>
      <c r="L680" s="744" t="s">
        <v>3657</v>
      </c>
      <c r="M680" s="744" t="s">
        <v>606</v>
      </c>
      <c r="O680" t="s">
        <v>533</v>
      </c>
    </row>
    <row r="681" spans="2:15">
      <c r="B681" s="744" t="s">
        <v>3659</v>
      </c>
      <c r="C681" s="744" t="s">
        <v>533</v>
      </c>
      <c r="D681" s="744" t="s">
        <v>533</v>
      </c>
      <c r="E681" s="744" t="s">
        <v>3638</v>
      </c>
      <c r="F681" s="746" t="s">
        <v>3660</v>
      </c>
      <c r="G681" s="747" t="s">
        <v>2288</v>
      </c>
      <c r="H681" s="747">
        <v>24</v>
      </c>
      <c r="I681" s="744">
        <v>2</v>
      </c>
      <c r="J681" s="744">
        <v>32</v>
      </c>
      <c r="K681" s="744">
        <v>52</v>
      </c>
      <c r="L681" s="744" t="s">
        <v>3659</v>
      </c>
      <c r="M681" s="744" t="s">
        <v>606</v>
      </c>
      <c r="O681" t="s">
        <v>533</v>
      </c>
    </row>
    <row r="682" spans="2:15">
      <c r="B682" s="744" t="s">
        <v>3661</v>
      </c>
      <c r="C682" s="744" t="s">
        <v>533</v>
      </c>
      <c r="D682" s="744" t="s">
        <v>533</v>
      </c>
      <c r="E682" s="744" t="s">
        <v>3638</v>
      </c>
      <c r="F682" s="746" t="s">
        <v>3662</v>
      </c>
      <c r="G682" s="747" t="s">
        <v>2288</v>
      </c>
      <c r="H682" s="747">
        <v>24</v>
      </c>
      <c r="I682" s="744">
        <v>2</v>
      </c>
      <c r="J682" s="744">
        <v>32</v>
      </c>
      <c r="K682" s="744">
        <v>60</v>
      </c>
      <c r="L682" s="744" t="s">
        <v>3661</v>
      </c>
      <c r="M682" s="744" t="s">
        <v>606</v>
      </c>
      <c r="O682" t="s">
        <v>533</v>
      </c>
    </row>
    <row r="683" spans="2:15">
      <c r="B683" s="744" t="s">
        <v>3663</v>
      </c>
      <c r="C683" s="744" t="s">
        <v>533</v>
      </c>
      <c r="D683" s="744" t="s">
        <v>533</v>
      </c>
      <c r="E683" s="744" t="s">
        <v>3638</v>
      </c>
      <c r="F683" s="746" t="s">
        <v>3664</v>
      </c>
      <c r="G683" s="747" t="s">
        <v>2288</v>
      </c>
      <c r="H683" s="747">
        <v>24</v>
      </c>
      <c r="I683" s="744">
        <v>2</v>
      </c>
      <c r="J683" s="744">
        <v>32</v>
      </c>
      <c r="K683" s="744">
        <v>59</v>
      </c>
      <c r="L683" s="744" t="s">
        <v>3663</v>
      </c>
      <c r="M683" s="744" t="s">
        <v>606</v>
      </c>
      <c r="O683" t="s">
        <v>533</v>
      </c>
    </row>
    <row r="684" spans="2:15">
      <c r="B684" s="744" t="s">
        <v>3665</v>
      </c>
      <c r="C684" s="744" t="s">
        <v>533</v>
      </c>
      <c r="D684" s="744" t="s">
        <v>533</v>
      </c>
      <c r="E684" s="744" t="s">
        <v>3638</v>
      </c>
      <c r="F684" s="746" t="s">
        <v>3666</v>
      </c>
      <c r="G684" s="744" t="s">
        <v>2288</v>
      </c>
      <c r="H684" s="747">
        <v>24</v>
      </c>
      <c r="I684" s="752">
        <v>2</v>
      </c>
      <c r="J684" s="744">
        <v>31</v>
      </c>
      <c r="K684" s="751">
        <v>54</v>
      </c>
      <c r="L684" s="751" t="s">
        <v>3665</v>
      </c>
      <c r="M684" s="744" t="s">
        <v>606</v>
      </c>
      <c r="O684" t="s">
        <v>533</v>
      </c>
    </row>
    <row r="685" spans="2:15">
      <c r="B685" s="744" t="s">
        <v>3667</v>
      </c>
      <c r="C685" s="744" t="s">
        <v>533</v>
      </c>
      <c r="D685" s="744" t="s">
        <v>533</v>
      </c>
      <c r="E685" s="744" t="s">
        <v>3635</v>
      </c>
      <c r="F685" s="746" t="s">
        <v>3668</v>
      </c>
      <c r="G685" s="747" t="s">
        <v>2768</v>
      </c>
      <c r="H685" s="747">
        <v>24</v>
      </c>
      <c r="I685" s="744">
        <v>3</v>
      </c>
      <c r="J685" s="744">
        <v>35</v>
      </c>
      <c r="K685" s="744">
        <v>115</v>
      </c>
      <c r="L685" s="744" t="s">
        <v>3667</v>
      </c>
      <c r="M685" s="744" t="s">
        <v>606</v>
      </c>
      <c r="O685" t="s">
        <v>533</v>
      </c>
    </row>
    <row r="686" spans="2:15">
      <c r="B686" s="744" t="s">
        <v>3669</v>
      </c>
      <c r="C686" s="744" t="s">
        <v>533</v>
      </c>
      <c r="D686" s="744" t="s">
        <v>533</v>
      </c>
      <c r="E686" s="744" t="s">
        <v>3638</v>
      </c>
      <c r="F686" s="746" t="s">
        <v>3670</v>
      </c>
      <c r="G686" s="747" t="s">
        <v>2288</v>
      </c>
      <c r="H686" s="747">
        <v>24</v>
      </c>
      <c r="I686" s="744">
        <v>3</v>
      </c>
      <c r="J686" s="744">
        <v>32</v>
      </c>
      <c r="K686" s="744">
        <v>89</v>
      </c>
      <c r="L686" s="744" t="s">
        <v>3669</v>
      </c>
      <c r="M686" s="744" t="s">
        <v>606</v>
      </c>
      <c r="O686" t="s">
        <v>533</v>
      </c>
    </row>
    <row r="687" spans="2:15">
      <c r="B687" s="744" t="s">
        <v>3671</v>
      </c>
      <c r="C687" s="744" t="s">
        <v>533</v>
      </c>
      <c r="D687" s="744" t="s">
        <v>533</v>
      </c>
      <c r="E687" s="744" t="s">
        <v>3638</v>
      </c>
      <c r="F687" s="746" t="s">
        <v>3672</v>
      </c>
      <c r="G687" s="747" t="s">
        <v>2288</v>
      </c>
      <c r="H687" s="747">
        <v>24</v>
      </c>
      <c r="I687" s="744">
        <v>3</v>
      </c>
      <c r="J687" s="744">
        <v>32</v>
      </c>
      <c r="K687" s="744">
        <v>78</v>
      </c>
      <c r="L687" s="744" t="s">
        <v>3671</v>
      </c>
      <c r="M687" s="744" t="s">
        <v>606</v>
      </c>
      <c r="O687" t="s">
        <v>533</v>
      </c>
    </row>
    <row r="688" spans="2:15">
      <c r="B688" s="744" t="s">
        <v>3673</v>
      </c>
      <c r="C688" s="744" t="s">
        <v>3674</v>
      </c>
      <c r="D688" s="744" t="s">
        <v>3674</v>
      </c>
      <c r="E688" s="744" t="s">
        <v>3675</v>
      </c>
      <c r="F688" s="746" t="s">
        <v>3676</v>
      </c>
      <c r="G688" s="747" t="s">
        <v>2360</v>
      </c>
      <c r="H688" s="747">
        <v>12</v>
      </c>
      <c r="I688" s="744">
        <v>1</v>
      </c>
      <c r="J688" s="744">
        <v>32</v>
      </c>
      <c r="K688" s="744">
        <v>31</v>
      </c>
      <c r="L688" s="744" t="s">
        <v>3673</v>
      </c>
      <c r="M688" s="744" t="s">
        <v>606</v>
      </c>
      <c r="O688" t="s">
        <v>522</v>
      </c>
    </row>
    <row r="689" spans="2:15">
      <c r="B689" s="744" t="s">
        <v>3677</v>
      </c>
      <c r="C689" s="744" t="s">
        <v>3674</v>
      </c>
      <c r="D689" s="744" t="s">
        <v>3674</v>
      </c>
      <c r="E689" s="744" t="s">
        <v>3678</v>
      </c>
      <c r="F689" s="746" t="s">
        <v>3679</v>
      </c>
      <c r="G689" s="747" t="s">
        <v>2360</v>
      </c>
      <c r="H689" s="747">
        <v>16</v>
      </c>
      <c r="I689" s="744">
        <v>1</v>
      </c>
      <c r="J689" s="744">
        <v>40</v>
      </c>
      <c r="K689" s="744">
        <v>35</v>
      </c>
      <c r="L689" s="744" t="s">
        <v>3677</v>
      </c>
      <c r="M689" s="744" t="s">
        <v>606</v>
      </c>
      <c r="O689" t="s">
        <v>522</v>
      </c>
    </row>
    <row r="690" spans="2:15">
      <c r="B690" s="744" t="s">
        <v>3680</v>
      </c>
      <c r="C690" s="744" t="s">
        <v>3674</v>
      </c>
      <c r="D690" s="744" t="s">
        <v>3674</v>
      </c>
      <c r="E690" s="744" t="s">
        <v>3681</v>
      </c>
      <c r="F690" s="746" t="s">
        <v>3682</v>
      </c>
      <c r="G690" s="747" t="s">
        <v>2360</v>
      </c>
      <c r="H690" s="747"/>
      <c r="I690" s="744">
        <v>1</v>
      </c>
      <c r="J690" s="744">
        <v>20</v>
      </c>
      <c r="K690" s="744">
        <v>20</v>
      </c>
      <c r="L690" s="744" t="s">
        <v>3680</v>
      </c>
      <c r="M690" s="744" t="s">
        <v>606</v>
      </c>
      <c r="O690" t="s">
        <v>522</v>
      </c>
    </row>
    <row r="691" spans="2:15">
      <c r="B691" s="744" t="s">
        <v>3683</v>
      </c>
      <c r="C691" s="744" t="s">
        <v>3674</v>
      </c>
      <c r="D691" s="744" t="s">
        <v>3674</v>
      </c>
      <c r="E691" s="744" t="s">
        <v>3684</v>
      </c>
      <c r="F691" s="746" t="s">
        <v>3685</v>
      </c>
      <c r="G691" s="747" t="s">
        <v>2360</v>
      </c>
      <c r="H691" s="747"/>
      <c r="I691" s="744">
        <v>1</v>
      </c>
      <c r="J691" s="744">
        <v>22</v>
      </c>
      <c r="K691" s="744">
        <v>20</v>
      </c>
      <c r="L691" s="744" t="s">
        <v>3683</v>
      </c>
      <c r="M691" s="744" t="s">
        <v>606</v>
      </c>
      <c r="O691" t="s">
        <v>522</v>
      </c>
    </row>
    <row r="692" spans="2:15">
      <c r="B692" s="744" t="s">
        <v>3686</v>
      </c>
      <c r="C692" s="744" t="s">
        <v>3674</v>
      </c>
      <c r="D692" s="744" t="s">
        <v>3674</v>
      </c>
      <c r="E692" s="744" t="s">
        <v>3687</v>
      </c>
      <c r="F692" s="746" t="s">
        <v>3688</v>
      </c>
      <c r="G692" s="747" t="s">
        <v>2360</v>
      </c>
      <c r="H692" s="747"/>
      <c r="I692" s="744">
        <v>1</v>
      </c>
      <c r="J692" s="744" t="s">
        <v>3689</v>
      </c>
      <c r="K692" s="744">
        <v>58</v>
      </c>
      <c r="L692" s="744" t="s">
        <v>3686</v>
      </c>
      <c r="M692" s="744" t="s">
        <v>606</v>
      </c>
      <c r="O692" t="s">
        <v>522</v>
      </c>
    </row>
    <row r="693" spans="2:15">
      <c r="B693" s="744" t="s">
        <v>3690</v>
      </c>
      <c r="C693" s="744" t="s">
        <v>3674</v>
      </c>
      <c r="D693" s="744" t="s">
        <v>3674</v>
      </c>
      <c r="E693" s="744" t="s">
        <v>3675</v>
      </c>
      <c r="F693" s="746" t="s">
        <v>3691</v>
      </c>
      <c r="G693" s="747" t="s">
        <v>2360</v>
      </c>
      <c r="H693" s="747"/>
      <c r="I693" s="744">
        <v>1</v>
      </c>
      <c r="J693" s="744">
        <v>32</v>
      </c>
      <c r="K693" s="744">
        <v>40</v>
      </c>
      <c r="L693" s="744" t="s">
        <v>3690</v>
      </c>
      <c r="M693" s="744" t="s">
        <v>606</v>
      </c>
      <c r="O693" t="s">
        <v>522</v>
      </c>
    </row>
    <row r="694" spans="2:15">
      <c r="B694" s="744" t="s">
        <v>3692</v>
      </c>
      <c r="C694" s="744" t="s">
        <v>3674</v>
      </c>
      <c r="D694" s="744" t="s">
        <v>3674</v>
      </c>
      <c r="E694" s="744" t="s">
        <v>3693</v>
      </c>
      <c r="F694" s="746" t="s">
        <v>3694</v>
      </c>
      <c r="G694" s="747" t="s">
        <v>2360</v>
      </c>
      <c r="H694" s="747"/>
      <c r="I694" s="744">
        <v>1</v>
      </c>
      <c r="J694" s="744" t="s">
        <v>3695</v>
      </c>
      <c r="K694" s="744">
        <v>80</v>
      </c>
      <c r="L694" s="744" t="s">
        <v>3692</v>
      </c>
      <c r="M694" s="744" t="s">
        <v>606</v>
      </c>
      <c r="O694" t="s">
        <v>522</v>
      </c>
    </row>
    <row r="695" spans="2:15">
      <c r="B695" s="744" t="s">
        <v>3696</v>
      </c>
      <c r="C695" s="744" t="s">
        <v>3674</v>
      </c>
      <c r="D695" s="744" t="s">
        <v>3674</v>
      </c>
      <c r="E695" s="744" t="s">
        <v>3678</v>
      </c>
      <c r="F695" s="746" t="s">
        <v>3691</v>
      </c>
      <c r="G695" s="747" t="s">
        <v>2360</v>
      </c>
      <c r="H695" s="747"/>
      <c r="I695" s="744">
        <v>1</v>
      </c>
      <c r="J695" s="744">
        <v>32</v>
      </c>
      <c r="K695" s="744">
        <v>42</v>
      </c>
      <c r="L695" s="744" t="s">
        <v>3696</v>
      </c>
      <c r="M695" s="744" t="s">
        <v>606</v>
      </c>
      <c r="O695" t="s">
        <v>522</v>
      </c>
    </row>
    <row r="696" spans="2:15">
      <c r="B696" s="744" t="s">
        <v>3697</v>
      </c>
      <c r="C696" s="744" t="s">
        <v>3674</v>
      </c>
      <c r="D696" s="744" t="s">
        <v>3674</v>
      </c>
      <c r="E696" s="744" t="s">
        <v>3698</v>
      </c>
      <c r="F696" s="746" t="s">
        <v>3699</v>
      </c>
      <c r="G696" s="747" t="s">
        <v>2360</v>
      </c>
      <c r="H696" s="747"/>
      <c r="I696" s="744">
        <v>1</v>
      </c>
      <c r="J696" s="744">
        <v>44</v>
      </c>
      <c r="K696" s="744">
        <v>46</v>
      </c>
      <c r="L696" s="744" t="s">
        <v>3697</v>
      </c>
      <c r="M696" s="744" t="s">
        <v>606</v>
      </c>
      <c r="O696" t="s">
        <v>522</v>
      </c>
    </row>
    <row r="697" spans="2:15">
      <c r="B697" s="744" t="s">
        <v>3700</v>
      </c>
      <c r="C697" s="744" t="s">
        <v>3674</v>
      </c>
      <c r="D697" s="744" t="s">
        <v>3674</v>
      </c>
      <c r="E697" s="744" t="s">
        <v>3681</v>
      </c>
      <c r="F697" s="746" t="s">
        <v>3701</v>
      </c>
      <c r="G697" s="747" t="s">
        <v>2360</v>
      </c>
      <c r="H697" s="747">
        <v>6</v>
      </c>
      <c r="I697" s="744">
        <v>1</v>
      </c>
      <c r="J697" s="744">
        <v>20</v>
      </c>
      <c r="K697" s="744">
        <v>25</v>
      </c>
      <c r="L697" s="744" t="s">
        <v>3700</v>
      </c>
      <c r="M697" s="744" t="s">
        <v>606</v>
      </c>
      <c r="O697" t="s">
        <v>522</v>
      </c>
    </row>
    <row r="698" spans="2:15">
      <c r="B698" s="744" t="s">
        <v>3702</v>
      </c>
      <c r="C698" s="744" t="s">
        <v>3674</v>
      </c>
      <c r="D698" s="744" t="s">
        <v>3674</v>
      </c>
      <c r="E698" s="744" t="s">
        <v>3684</v>
      </c>
      <c r="F698" s="746" t="s">
        <v>3703</v>
      </c>
      <c r="G698" s="747" t="s">
        <v>2360</v>
      </c>
      <c r="H698" s="747">
        <v>8</v>
      </c>
      <c r="I698" s="744">
        <v>1</v>
      </c>
      <c r="J698" s="744">
        <v>22</v>
      </c>
      <c r="K698" s="744">
        <v>26</v>
      </c>
      <c r="L698" s="744" t="s">
        <v>3702</v>
      </c>
      <c r="M698" s="744" t="s">
        <v>606</v>
      </c>
      <c r="O698" t="s">
        <v>522</v>
      </c>
    </row>
    <row r="699" spans="2:15">
      <c r="B699" s="744" t="s">
        <v>3704</v>
      </c>
      <c r="C699" s="744" t="s">
        <v>3674</v>
      </c>
      <c r="D699" s="744" t="s">
        <v>3674</v>
      </c>
      <c r="E699" s="744" t="s">
        <v>3675</v>
      </c>
      <c r="F699" s="746" t="s">
        <v>3705</v>
      </c>
      <c r="G699" s="747" t="s">
        <v>2360</v>
      </c>
      <c r="H699" s="747">
        <v>12</v>
      </c>
      <c r="I699" s="744">
        <v>2</v>
      </c>
      <c r="J699" s="744">
        <v>32</v>
      </c>
      <c r="K699" s="744">
        <v>62</v>
      </c>
      <c r="L699" s="744" t="s">
        <v>3704</v>
      </c>
      <c r="M699" s="744" t="s">
        <v>606</v>
      </c>
      <c r="O699" t="s">
        <v>522</v>
      </c>
    </row>
    <row r="700" spans="2:15">
      <c r="B700" s="744" t="s">
        <v>3706</v>
      </c>
      <c r="C700" s="744" t="s">
        <v>3674</v>
      </c>
      <c r="D700" s="744" t="s">
        <v>3674</v>
      </c>
      <c r="E700" s="744" t="s">
        <v>3684</v>
      </c>
      <c r="F700" s="746" t="s">
        <v>3707</v>
      </c>
      <c r="G700" s="747" t="s">
        <v>2360</v>
      </c>
      <c r="H700" s="747">
        <v>8</v>
      </c>
      <c r="I700" s="744">
        <v>2</v>
      </c>
      <c r="J700" s="744">
        <v>22</v>
      </c>
      <c r="K700" s="744">
        <v>52</v>
      </c>
      <c r="L700" s="744" t="s">
        <v>3706</v>
      </c>
      <c r="M700" s="744" t="s">
        <v>606</v>
      </c>
      <c r="O700" t="s">
        <v>522</v>
      </c>
    </row>
    <row r="701" spans="2:15">
      <c r="B701" s="744" t="s">
        <v>3708</v>
      </c>
      <c r="C701" s="744" t="s">
        <v>525</v>
      </c>
      <c r="D701" s="744" t="s">
        <v>525</v>
      </c>
      <c r="E701" s="744" t="s">
        <v>425</v>
      </c>
      <c r="F701" s="746" t="s">
        <v>3709</v>
      </c>
      <c r="G701" s="747" t="s">
        <v>2768</v>
      </c>
      <c r="H701" s="747"/>
      <c r="I701" s="744">
        <v>0</v>
      </c>
      <c r="J701" s="744">
        <v>0</v>
      </c>
      <c r="K701" s="744">
        <v>4</v>
      </c>
      <c r="L701" s="744" t="s">
        <v>3708</v>
      </c>
      <c r="M701" s="744" t="s">
        <v>606</v>
      </c>
      <c r="O701" t="s">
        <v>525</v>
      </c>
    </row>
    <row r="702" spans="2:15">
      <c r="B702" s="744" t="s">
        <v>3710</v>
      </c>
      <c r="C702" s="744" t="s">
        <v>525</v>
      </c>
      <c r="D702" s="744" t="s">
        <v>525</v>
      </c>
      <c r="E702" s="744" t="s">
        <v>425</v>
      </c>
      <c r="F702" s="746" t="s">
        <v>3711</v>
      </c>
      <c r="G702" s="747" t="s">
        <v>2768</v>
      </c>
      <c r="H702" s="747"/>
      <c r="I702" s="744">
        <v>0</v>
      </c>
      <c r="J702" s="744">
        <v>0</v>
      </c>
      <c r="K702" s="744">
        <v>8</v>
      </c>
      <c r="L702" s="744" t="s">
        <v>3710</v>
      </c>
      <c r="M702" s="744" t="s">
        <v>606</v>
      </c>
      <c r="O702" t="s">
        <v>525</v>
      </c>
    </row>
    <row r="703" spans="2:15">
      <c r="B703" s="744" t="s">
        <v>3712</v>
      </c>
      <c r="C703" s="744" t="s">
        <v>526</v>
      </c>
      <c r="D703" s="744" t="s">
        <v>526</v>
      </c>
      <c r="E703" s="744" t="s">
        <v>2483</v>
      </c>
      <c r="F703" s="746" t="s">
        <v>3713</v>
      </c>
      <c r="G703" s="747" t="s">
        <v>2360</v>
      </c>
      <c r="H703" s="747"/>
      <c r="I703" s="744">
        <v>1</v>
      </c>
      <c r="J703" s="744">
        <v>5</v>
      </c>
      <c r="K703" s="744">
        <v>9</v>
      </c>
      <c r="L703" s="744" t="s">
        <v>3712</v>
      </c>
      <c r="M703" s="744" t="s">
        <v>606</v>
      </c>
      <c r="O703" t="s">
        <v>526</v>
      </c>
    </row>
    <row r="704" spans="2:15">
      <c r="B704" s="744" t="s">
        <v>3714</v>
      </c>
      <c r="C704" s="744" t="s">
        <v>526</v>
      </c>
      <c r="D704" s="744" t="s">
        <v>526</v>
      </c>
      <c r="E704" s="744" t="s">
        <v>2492</v>
      </c>
      <c r="F704" s="746" t="s">
        <v>3715</v>
      </c>
      <c r="G704" s="747" t="s">
        <v>2360</v>
      </c>
      <c r="H704" s="747"/>
      <c r="I704" s="744">
        <v>1</v>
      </c>
      <c r="J704" s="744">
        <v>7</v>
      </c>
      <c r="K704" s="744">
        <v>10</v>
      </c>
      <c r="L704" s="744" t="s">
        <v>3714</v>
      </c>
      <c r="M704" s="744" t="s">
        <v>606</v>
      </c>
      <c r="O704" t="s">
        <v>526</v>
      </c>
    </row>
    <row r="705" spans="2:15">
      <c r="B705" s="744" t="s">
        <v>3716</v>
      </c>
      <c r="C705" s="744" t="s">
        <v>526</v>
      </c>
      <c r="D705" s="744" t="s">
        <v>526</v>
      </c>
      <c r="E705" s="744" t="s">
        <v>3717</v>
      </c>
      <c r="F705" s="746" t="s">
        <v>3718</v>
      </c>
      <c r="G705" s="747" t="s">
        <v>2360</v>
      </c>
      <c r="H705" s="747"/>
      <c r="I705" s="744">
        <v>1</v>
      </c>
      <c r="J705" s="744">
        <v>8</v>
      </c>
      <c r="K705" s="744">
        <v>12</v>
      </c>
      <c r="L705" s="744" t="s">
        <v>3716</v>
      </c>
      <c r="M705" s="744" t="s">
        <v>606</v>
      </c>
      <c r="O705" t="s">
        <v>526</v>
      </c>
    </row>
    <row r="706" spans="2:15">
      <c r="B706" s="744" t="s">
        <v>3719</v>
      </c>
      <c r="C706" s="744" t="s">
        <v>526</v>
      </c>
      <c r="D706" s="744" t="s">
        <v>526</v>
      </c>
      <c r="E706" s="744" t="s">
        <v>2495</v>
      </c>
      <c r="F706" s="746" t="s">
        <v>3720</v>
      </c>
      <c r="G706" s="747" t="s">
        <v>2360</v>
      </c>
      <c r="H706" s="747"/>
      <c r="I706" s="744">
        <v>1</v>
      </c>
      <c r="J706" s="744">
        <v>9</v>
      </c>
      <c r="K706" s="744">
        <v>12</v>
      </c>
      <c r="L706" s="744" t="s">
        <v>3719</v>
      </c>
      <c r="M706" s="744" t="s">
        <v>606</v>
      </c>
      <c r="O706" t="s">
        <v>526</v>
      </c>
    </row>
    <row r="707" spans="2:15">
      <c r="B707" s="744" t="s">
        <v>3721</v>
      </c>
      <c r="C707" s="744" t="s">
        <v>526</v>
      </c>
      <c r="D707" s="744" t="s">
        <v>526</v>
      </c>
      <c r="E707" s="744" t="s">
        <v>3722</v>
      </c>
      <c r="F707" s="746" t="s">
        <v>3723</v>
      </c>
      <c r="G707" s="747"/>
      <c r="H707" s="747"/>
      <c r="I707" s="744">
        <v>1</v>
      </c>
      <c r="J707" s="744">
        <v>15</v>
      </c>
      <c r="K707" s="744">
        <v>15</v>
      </c>
      <c r="L707" s="744" t="s">
        <v>3721</v>
      </c>
      <c r="M707" s="744" t="s">
        <v>606</v>
      </c>
      <c r="O707" t="s">
        <v>526</v>
      </c>
    </row>
    <row r="708" spans="2:15">
      <c r="B708" s="744" t="s">
        <v>3724</v>
      </c>
      <c r="C708" s="744" t="s">
        <v>526</v>
      </c>
      <c r="D708" s="744" t="s">
        <v>526</v>
      </c>
      <c r="E708" s="744" t="s">
        <v>3725</v>
      </c>
      <c r="F708" s="746" t="s">
        <v>3726</v>
      </c>
      <c r="G708" s="747"/>
      <c r="H708" s="747"/>
      <c r="I708" s="744">
        <v>1</v>
      </c>
      <c r="J708" s="744">
        <v>20</v>
      </c>
      <c r="K708" s="744">
        <v>20</v>
      </c>
      <c r="L708" s="744" t="s">
        <v>3724</v>
      </c>
      <c r="M708" s="744" t="s">
        <v>606</v>
      </c>
      <c r="O708" t="s">
        <v>526</v>
      </c>
    </row>
    <row r="709" spans="2:15">
      <c r="B709" s="744" t="s">
        <v>3727</v>
      </c>
      <c r="C709" s="744" t="s">
        <v>526</v>
      </c>
      <c r="D709" s="744" t="s">
        <v>526</v>
      </c>
      <c r="E709" s="744" t="s">
        <v>3728</v>
      </c>
      <c r="F709" s="746" t="s">
        <v>3729</v>
      </c>
      <c r="G709" s="747"/>
      <c r="H709" s="747"/>
      <c r="I709" s="744">
        <v>1</v>
      </c>
      <c r="J709" s="744">
        <v>25</v>
      </c>
      <c r="K709" s="744">
        <v>25</v>
      </c>
      <c r="L709" s="744" t="s">
        <v>3727</v>
      </c>
      <c r="M709" s="744" t="s">
        <v>606</v>
      </c>
      <c r="O709" t="s">
        <v>526</v>
      </c>
    </row>
    <row r="710" spans="2:15">
      <c r="B710" s="744" t="s">
        <v>3730</v>
      </c>
      <c r="C710" s="744" t="s">
        <v>526</v>
      </c>
      <c r="D710" s="744" t="s">
        <v>526</v>
      </c>
      <c r="E710" s="744" t="s">
        <v>3731</v>
      </c>
      <c r="F710" s="746" t="s">
        <v>3732</v>
      </c>
      <c r="G710" s="747"/>
      <c r="H710" s="747"/>
      <c r="I710" s="744">
        <v>1</v>
      </c>
      <c r="J710" s="744">
        <v>34</v>
      </c>
      <c r="K710" s="744">
        <v>34</v>
      </c>
      <c r="L710" s="744" t="s">
        <v>3730</v>
      </c>
      <c r="M710" s="744" t="s">
        <v>606</v>
      </c>
      <c r="O710" t="s">
        <v>526</v>
      </c>
    </row>
    <row r="711" spans="2:15">
      <c r="B711" s="744" t="s">
        <v>3733</v>
      </c>
      <c r="C711" s="744" t="s">
        <v>526</v>
      </c>
      <c r="D711" s="744" t="s">
        <v>526</v>
      </c>
      <c r="E711" s="744" t="s">
        <v>3734</v>
      </c>
      <c r="F711" s="746" t="s">
        <v>3735</v>
      </c>
      <c r="G711" s="747"/>
      <c r="H711" s="747"/>
      <c r="I711" s="744">
        <v>1</v>
      </c>
      <c r="J711" s="744">
        <v>40</v>
      </c>
      <c r="K711" s="744">
        <v>40</v>
      </c>
      <c r="L711" s="744" t="s">
        <v>3733</v>
      </c>
      <c r="M711" s="744" t="s">
        <v>606</v>
      </c>
      <c r="O711" t="s">
        <v>526</v>
      </c>
    </row>
    <row r="712" spans="2:15">
      <c r="B712" s="744" t="s">
        <v>3736</v>
      </c>
      <c r="C712" s="744" t="s">
        <v>526</v>
      </c>
      <c r="D712" s="744" t="s">
        <v>526</v>
      </c>
      <c r="E712" s="744" t="s">
        <v>3737</v>
      </c>
      <c r="F712" s="746" t="s">
        <v>3738</v>
      </c>
      <c r="G712" s="747"/>
      <c r="H712" s="747"/>
      <c r="I712" s="744">
        <v>1</v>
      </c>
      <c r="J712" s="744">
        <v>5</v>
      </c>
      <c r="K712" s="744">
        <v>5</v>
      </c>
      <c r="L712" s="744" t="s">
        <v>3736</v>
      </c>
      <c r="M712" s="744" t="s">
        <v>606</v>
      </c>
      <c r="O712" t="s">
        <v>526</v>
      </c>
    </row>
    <row r="713" spans="2:15">
      <c r="B713" s="744" t="s">
        <v>3739</v>
      </c>
      <c r="C713" s="744" t="s">
        <v>526</v>
      </c>
      <c r="D713" s="744" t="s">
        <v>526</v>
      </c>
      <c r="E713" s="744" t="s">
        <v>3740</v>
      </c>
      <c r="F713" s="746" t="s">
        <v>3741</v>
      </c>
      <c r="G713" s="747"/>
      <c r="H713" s="747"/>
      <c r="I713" s="744">
        <v>1</v>
      </c>
      <c r="J713" s="744">
        <v>7.5</v>
      </c>
      <c r="K713" s="744">
        <v>8</v>
      </c>
      <c r="L713" s="744" t="s">
        <v>3739</v>
      </c>
      <c r="M713" s="744" t="s">
        <v>606</v>
      </c>
      <c r="O713" t="s">
        <v>526</v>
      </c>
    </row>
    <row r="714" spans="2:15">
      <c r="B714" s="744" t="s">
        <v>3742</v>
      </c>
      <c r="C714" s="744" t="s">
        <v>526</v>
      </c>
      <c r="D714" s="744" t="s">
        <v>526</v>
      </c>
      <c r="E714" s="744" t="s">
        <v>3743</v>
      </c>
      <c r="F714" s="746" t="s">
        <v>3744</v>
      </c>
      <c r="G714" s="747"/>
      <c r="H714" s="747"/>
      <c r="I714" s="744">
        <v>1</v>
      </c>
      <c r="J714" s="744">
        <v>0.5</v>
      </c>
      <c r="K714" s="744">
        <v>0.5</v>
      </c>
      <c r="L714" s="744" t="s">
        <v>3742</v>
      </c>
      <c r="M714" s="744" t="s">
        <v>606</v>
      </c>
      <c r="O714" t="s">
        <v>526</v>
      </c>
    </row>
    <row r="715" spans="2:15">
      <c r="B715" s="744" t="s">
        <v>3745</v>
      </c>
      <c r="C715" s="744" t="s">
        <v>526</v>
      </c>
      <c r="D715" s="744" t="s">
        <v>526</v>
      </c>
      <c r="E715" s="744" t="s">
        <v>3746</v>
      </c>
      <c r="F715" s="746" t="s">
        <v>3747</v>
      </c>
      <c r="G715" s="747"/>
      <c r="H715" s="747"/>
      <c r="I715" s="744">
        <v>1</v>
      </c>
      <c r="J715" s="744">
        <v>1.5</v>
      </c>
      <c r="K715" s="744">
        <v>1.5</v>
      </c>
      <c r="L715" s="744" t="s">
        <v>3745</v>
      </c>
      <c r="M715" s="744" t="s">
        <v>606</v>
      </c>
      <c r="O715" t="s">
        <v>526</v>
      </c>
    </row>
    <row r="716" spans="2:15">
      <c r="B716" s="744" t="s">
        <v>3748</v>
      </c>
      <c r="C716" s="744" t="s">
        <v>526</v>
      </c>
      <c r="D716" s="744" t="s">
        <v>526</v>
      </c>
      <c r="E716" s="744" t="s">
        <v>3749</v>
      </c>
      <c r="F716" s="746" t="s">
        <v>3750</v>
      </c>
      <c r="G716" s="747"/>
      <c r="H716" s="747"/>
      <c r="I716" s="744">
        <v>1</v>
      </c>
      <c r="J716" s="744">
        <v>10.5</v>
      </c>
      <c r="K716" s="744">
        <v>10.5</v>
      </c>
      <c r="L716" s="744" t="s">
        <v>3748</v>
      </c>
      <c r="M716" s="744" t="s">
        <v>606</v>
      </c>
      <c r="O716" t="s">
        <v>526</v>
      </c>
    </row>
    <row r="717" spans="2:15">
      <c r="B717" s="744" t="s">
        <v>3751</v>
      </c>
      <c r="C717" s="744" t="s">
        <v>526</v>
      </c>
      <c r="D717" s="744" t="s">
        <v>526</v>
      </c>
      <c r="E717" s="744" t="s">
        <v>3752</v>
      </c>
      <c r="F717" s="746" t="s">
        <v>3753</v>
      </c>
      <c r="G717" s="747"/>
      <c r="H717" s="747"/>
      <c r="I717" s="744">
        <v>1</v>
      </c>
      <c r="J717" s="744">
        <v>2</v>
      </c>
      <c r="K717" s="744">
        <v>2</v>
      </c>
      <c r="L717" s="744" t="s">
        <v>3751</v>
      </c>
      <c r="M717" s="744" t="s">
        <v>606</v>
      </c>
      <c r="O717" t="s">
        <v>526</v>
      </c>
    </row>
    <row r="718" spans="2:15">
      <c r="B718" s="744" t="s">
        <v>3754</v>
      </c>
      <c r="C718" s="744" t="s">
        <v>526</v>
      </c>
      <c r="D718" s="744" t="s">
        <v>526</v>
      </c>
      <c r="E718" s="744" t="s">
        <v>3755</v>
      </c>
      <c r="F718" s="746" t="s">
        <v>3756</v>
      </c>
      <c r="G718" s="747"/>
      <c r="H718" s="747"/>
      <c r="I718" s="744">
        <v>1</v>
      </c>
      <c r="J718" s="744">
        <v>3</v>
      </c>
      <c r="K718" s="744">
        <v>3</v>
      </c>
      <c r="L718" s="744" t="s">
        <v>3754</v>
      </c>
      <c r="M718" s="744" t="s">
        <v>606</v>
      </c>
      <c r="O718" t="s">
        <v>526</v>
      </c>
    </row>
    <row r="719" spans="2:15">
      <c r="B719" s="744" t="s">
        <v>3757</v>
      </c>
      <c r="C719" s="744" t="s">
        <v>526</v>
      </c>
      <c r="D719" s="744" t="s">
        <v>526</v>
      </c>
      <c r="E719" s="744" t="s">
        <v>3758</v>
      </c>
      <c r="F719" s="746" t="s">
        <v>3759</v>
      </c>
      <c r="G719" s="747"/>
      <c r="H719" s="747"/>
      <c r="I719" s="744">
        <v>1</v>
      </c>
      <c r="J719" s="744">
        <v>5</v>
      </c>
      <c r="K719" s="744">
        <v>5</v>
      </c>
      <c r="L719" s="744" t="s">
        <v>3757</v>
      </c>
      <c r="M719" s="744" t="s">
        <v>606</v>
      </c>
      <c r="O719" t="s">
        <v>526</v>
      </c>
    </row>
    <row r="720" spans="2:15">
      <c r="B720" s="744" t="s">
        <v>3760</v>
      </c>
      <c r="C720" s="744" t="s">
        <v>526</v>
      </c>
      <c r="D720" s="744" t="s">
        <v>526</v>
      </c>
      <c r="E720" s="744" t="s">
        <v>3761</v>
      </c>
      <c r="F720" s="746" t="s">
        <v>3762</v>
      </c>
      <c r="G720" s="747"/>
      <c r="H720" s="747"/>
      <c r="I720" s="744">
        <v>1</v>
      </c>
      <c r="J720" s="744">
        <v>8</v>
      </c>
      <c r="K720" s="744">
        <v>8</v>
      </c>
      <c r="L720" s="744" t="s">
        <v>3760</v>
      </c>
      <c r="M720" s="744" t="s">
        <v>606</v>
      </c>
      <c r="O720" t="s">
        <v>526</v>
      </c>
    </row>
    <row r="721" spans="2:15">
      <c r="B721" s="744" t="s">
        <v>3763</v>
      </c>
      <c r="C721" s="744" t="s">
        <v>526</v>
      </c>
      <c r="D721" s="744" t="s">
        <v>526</v>
      </c>
      <c r="E721" s="744" t="s">
        <v>2483</v>
      </c>
      <c r="F721" s="746" t="s">
        <v>3764</v>
      </c>
      <c r="G721" s="747" t="s">
        <v>2360</v>
      </c>
      <c r="H721" s="747"/>
      <c r="I721" s="744">
        <v>2</v>
      </c>
      <c r="J721" s="744">
        <v>5</v>
      </c>
      <c r="K721" s="744">
        <v>20</v>
      </c>
      <c r="L721" s="744" t="s">
        <v>3763</v>
      </c>
      <c r="M721" s="744" t="s">
        <v>606</v>
      </c>
      <c r="O721" t="s">
        <v>526</v>
      </c>
    </row>
    <row r="722" spans="2:15">
      <c r="B722" s="744" t="s">
        <v>3765</v>
      </c>
      <c r="C722" s="744" t="s">
        <v>526</v>
      </c>
      <c r="D722" s="744" t="s">
        <v>526</v>
      </c>
      <c r="E722" s="744" t="s">
        <v>2492</v>
      </c>
      <c r="F722" s="746" t="s">
        <v>3766</v>
      </c>
      <c r="G722" s="747" t="s">
        <v>2360</v>
      </c>
      <c r="H722" s="747"/>
      <c r="I722" s="744">
        <v>2</v>
      </c>
      <c r="J722" s="744">
        <v>7</v>
      </c>
      <c r="K722" s="744">
        <v>21</v>
      </c>
      <c r="L722" s="744" t="s">
        <v>3765</v>
      </c>
      <c r="M722" s="744" t="s">
        <v>606</v>
      </c>
      <c r="O722" t="s">
        <v>526</v>
      </c>
    </row>
    <row r="723" spans="2:15">
      <c r="B723" s="744" t="s">
        <v>3767</v>
      </c>
      <c r="C723" s="744" t="s">
        <v>526</v>
      </c>
      <c r="D723" s="744" t="s">
        <v>526</v>
      </c>
      <c r="E723" s="744" t="s">
        <v>3717</v>
      </c>
      <c r="F723" s="746" t="s">
        <v>3768</v>
      </c>
      <c r="G723" s="747" t="s">
        <v>2360</v>
      </c>
      <c r="H723" s="747"/>
      <c r="I723" s="744">
        <v>2</v>
      </c>
      <c r="J723" s="744">
        <v>8</v>
      </c>
      <c r="K723" s="744">
        <v>24</v>
      </c>
      <c r="L723" s="744" t="s">
        <v>3767</v>
      </c>
      <c r="M723" s="744" t="s">
        <v>606</v>
      </c>
      <c r="O723" t="s">
        <v>526</v>
      </c>
    </row>
    <row r="724" spans="2:15">
      <c r="B724" s="744" t="s">
        <v>3769</v>
      </c>
      <c r="C724" s="744" t="s">
        <v>526</v>
      </c>
      <c r="D724" s="744" t="s">
        <v>526</v>
      </c>
      <c r="E724" s="744" t="s">
        <v>2495</v>
      </c>
      <c r="F724" s="746" t="s">
        <v>3770</v>
      </c>
      <c r="G724" s="747" t="s">
        <v>2360</v>
      </c>
      <c r="H724" s="747"/>
      <c r="I724" s="744">
        <v>2</v>
      </c>
      <c r="J724" s="744">
        <v>9</v>
      </c>
      <c r="K724" s="744">
        <v>20</v>
      </c>
      <c r="L724" s="744" t="s">
        <v>3769</v>
      </c>
      <c r="M724" s="744" t="s">
        <v>606</v>
      </c>
      <c r="O724" t="s">
        <v>526</v>
      </c>
    </row>
    <row r="725" spans="2:15">
      <c r="B725" s="744" t="s">
        <v>3771</v>
      </c>
      <c r="C725" s="744" t="s">
        <v>526</v>
      </c>
      <c r="D725" s="744" t="s">
        <v>526</v>
      </c>
      <c r="E725" s="744" t="s">
        <v>3772</v>
      </c>
      <c r="F725" s="746" t="s">
        <v>3773</v>
      </c>
      <c r="G725" s="747"/>
      <c r="H725" s="747"/>
      <c r="I725" s="744">
        <v>2</v>
      </c>
      <c r="J725" s="744">
        <v>10</v>
      </c>
      <c r="K725" s="744">
        <v>20</v>
      </c>
      <c r="L725" s="744" t="s">
        <v>3771</v>
      </c>
      <c r="M725" s="744" t="s">
        <v>606</v>
      </c>
      <c r="O725" t="s">
        <v>526</v>
      </c>
    </row>
    <row r="726" spans="2:15">
      <c r="B726" s="744" t="s">
        <v>3774</v>
      </c>
      <c r="C726" s="744" t="s">
        <v>526</v>
      </c>
      <c r="D726" s="744" t="s">
        <v>526</v>
      </c>
      <c r="E726" s="744" t="s">
        <v>3722</v>
      </c>
      <c r="F726" s="746" t="s">
        <v>3775</v>
      </c>
      <c r="G726" s="747"/>
      <c r="H726" s="747"/>
      <c r="I726" s="744">
        <v>2</v>
      </c>
      <c r="J726" s="744">
        <v>15</v>
      </c>
      <c r="K726" s="744">
        <v>30</v>
      </c>
      <c r="L726" s="744" t="s">
        <v>3774</v>
      </c>
      <c r="M726" s="744" t="s">
        <v>606</v>
      </c>
      <c r="O726" t="s">
        <v>526</v>
      </c>
    </row>
    <row r="727" spans="2:15">
      <c r="B727" s="744" t="s">
        <v>3776</v>
      </c>
      <c r="C727" s="744" t="s">
        <v>526</v>
      </c>
      <c r="D727" s="744" t="s">
        <v>526</v>
      </c>
      <c r="E727" s="744" t="s">
        <v>3725</v>
      </c>
      <c r="F727" s="746" t="s">
        <v>3777</v>
      </c>
      <c r="G727" s="747"/>
      <c r="H727" s="747"/>
      <c r="I727" s="744">
        <v>2</v>
      </c>
      <c r="J727" s="744">
        <v>20</v>
      </c>
      <c r="K727" s="744">
        <v>40</v>
      </c>
      <c r="L727" s="744" t="s">
        <v>3776</v>
      </c>
      <c r="M727" s="744" t="s">
        <v>606</v>
      </c>
      <c r="O727" t="s">
        <v>526</v>
      </c>
    </row>
    <row r="728" spans="2:15">
      <c r="B728" s="744" t="s">
        <v>3778</v>
      </c>
      <c r="C728" s="744" t="s">
        <v>526</v>
      </c>
      <c r="D728" s="744" t="s">
        <v>526</v>
      </c>
      <c r="E728" s="744" t="s">
        <v>3728</v>
      </c>
      <c r="F728" s="746" t="s">
        <v>3779</v>
      </c>
      <c r="G728" s="747"/>
      <c r="H728" s="747"/>
      <c r="I728" s="744">
        <v>2</v>
      </c>
      <c r="J728" s="744">
        <v>25</v>
      </c>
      <c r="K728" s="744">
        <v>50</v>
      </c>
      <c r="L728" s="744" t="s">
        <v>3778</v>
      </c>
      <c r="M728" s="744" t="s">
        <v>606</v>
      </c>
      <c r="O728" t="s">
        <v>526</v>
      </c>
    </row>
    <row r="729" spans="2:15">
      <c r="B729" s="744" t="s">
        <v>3780</v>
      </c>
      <c r="C729" s="744" t="s">
        <v>526</v>
      </c>
      <c r="D729" s="744" t="s">
        <v>526</v>
      </c>
      <c r="E729" s="744" t="s">
        <v>3731</v>
      </c>
      <c r="F729" s="746" t="s">
        <v>3781</v>
      </c>
      <c r="G729" s="747"/>
      <c r="H729" s="747"/>
      <c r="I729" s="744">
        <v>2</v>
      </c>
      <c r="J729" s="744">
        <v>34</v>
      </c>
      <c r="K729" s="744">
        <v>68</v>
      </c>
      <c r="L729" s="744" t="s">
        <v>3780</v>
      </c>
      <c r="M729" s="744" t="s">
        <v>606</v>
      </c>
      <c r="O729" t="s">
        <v>526</v>
      </c>
    </row>
    <row r="730" spans="2:15">
      <c r="B730" s="744" t="s">
        <v>3782</v>
      </c>
      <c r="C730" s="744" t="s">
        <v>526</v>
      </c>
      <c r="D730" s="744" t="s">
        <v>526</v>
      </c>
      <c r="E730" s="744" t="s">
        <v>3734</v>
      </c>
      <c r="F730" s="746" t="s">
        <v>3783</v>
      </c>
      <c r="G730" s="747"/>
      <c r="H730" s="747"/>
      <c r="I730" s="744">
        <v>2</v>
      </c>
      <c r="J730" s="744">
        <v>40</v>
      </c>
      <c r="K730" s="744">
        <v>80</v>
      </c>
      <c r="L730" s="744" t="s">
        <v>3782</v>
      </c>
      <c r="M730" s="744" t="s">
        <v>606</v>
      </c>
      <c r="O730" t="s">
        <v>526</v>
      </c>
    </row>
    <row r="731" spans="2:15">
      <c r="B731" s="744" t="s">
        <v>3784</v>
      </c>
      <c r="C731" s="744" t="s">
        <v>526</v>
      </c>
      <c r="D731" s="744" t="s">
        <v>526</v>
      </c>
      <c r="E731" s="744" t="s">
        <v>3737</v>
      </c>
      <c r="F731" s="746" t="s">
        <v>3785</v>
      </c>
      <c r="G731" s="747"/>
      <c r="H731" s="747"/>
      <c r="I731" s="744">
        <v>2</v>
      </c>
      <c r="J731" s="744">
        <v>5</v>
      </c>
      <c r="K731" s="744">
        <v>10</v>
      </c>
      <c r="L731" s="744" t="s">
        <v>3784</v>
      </c>
      <c r="M731" s="744" t="s">
        <v>606</v>
      </c>
      <c r="O731" t="s">
        <v>526</v>
      </c>
    </row>
    <row r="732" spans="2:15">
      <c r="B732" s="744" t="s">
        <v>3786</v>
      </c>
      <c r="C732" s="744" t="s">
        <v>526</v>
      </c>
      <c r="D732" s="744" t="s">
        <v>526</v>
      </c>
      <c r="E732" s="744" t="s">
        <v>3787</v>
      </c>
      <c r="F732" s="746" t="s">
        <v>3788</v>
      </c>
      <c r="G732" s="747"/>
      <c r="H732" s="747"/>
      <c r="I732" s="744">
        <v>2</v>
      </c>
      <c r="J732" s="744">
        <v>50</v>
      </c>
      <c r="K732" s="744">
        <v>100</v>
      </c>
      <c r="L732" s="744" t="s">
        <v>3786</v>
      </c>
      <c r="M732" s="744" t="s">
        <v>606</v>
      </c>
      <c r="O732" t="s">
        <v>526</v>
      </c>
    </row>
    <row r="733" spans="2:15">
      <c r="B733" s="744" t="s">
        <v>3789</v>
      </c>
      <c r="C733" s="744" t="s">
        <v>526</v>
      </c>
      <c r="D733" s="744" t="s">
        <v>526</v>
      </c>
      <c r="E733" s="744" t="s">
        <v>3740</v>
      </c>
      <c r="F733" s="746" t="s">
        <v>3790</v>
      </c>
      <c r="G733" s="747"/>
      <c r="H733" s="747"/>
      <c r="I733" s="744">
        <v>2</v>
      </c>
      <c r="J733" s="744">
        <v>7.5</v>
      </c>
      <c r="K733" s="744">
        <v>15</v>
      </c>
      <c r="L733" s="744" t="s">
        <v>3789</v>
      </c>
      <c r="M733" s="744" t="s">
        <v>606</v>
      </c>
      <c r="O733" t="s">
        <v>526</v>
      </c>
    </row>
    <row r="734" spans="2:15">
      <c r="B734" s="744" t="s">
        <v>3791</v>
      </c>
      <c r="C734" s="744" t="s">
        <v>526</v>
      </c>
      <c r="D734" s="744" t="s">
        <v>526</v>
      </c>
      <c r="E734" s="744" t="s">
        <v>3743</v>
      </c>
      <c r="F734" s="746" t="s">
        <v>3792</v>
      </c>
      <c r="G734" s="747"/>
      <c r="H734" s="747"/>
      <c r="I734" s="744">
        <v>2</v>
      </c>
      <c r="J734" s="744">
        <v>0.5</v>
      </c>
      <c r="K734" s="744">
        <v>1</v>
      </c>
      <c r="L734" s="744" t="s">
        <v>3791</v>
      </c>
      <c r="M734" s="744" t="s">
        <v>606</v>
      </c>
      <c r="O734" t="s">
        <v>537</v>
      </c>
    </row>
    <row r="735" spans="2:15">
      <c r="B735" s="744" t="s">
        <v>3793</v>
      </c>
      <c r="C735" s="744" t="s">
        <v>526</v>
      </c>
      <c r="D735" s="744" t="s">
        <v>526</v>
      </c>
      <c r="E735" s="744" t="s">
        <v>3746</v>
      </c>
      <c r="F735" s="746" t="s">
        <v>3794</v>
      </c>
      <c r="G735" s="747"/>
      <c r="H735" s="747"/>
      <c r="I735" s="744">
        <v>2</v>
      </c>
      <c r="J735" s="744">
        <v>1.5</v>
      </c>
      <c r="K735" s="744">
        <v>3</v>
      </c>
      <c r="L735" s="744" t="s">
        <v>3793</v>
      </c>
      <c r="M735" s="744" t="s">
        <v>606</v>
      </c>
      <c r="O735" t="s">
        <v>537</v>
      </c>
    </row>
    <row r="736" spans="2:15">
      <c r="B736" s="744" t="s">
        <v>3795</v>
      </c>
      <c r="C736" s="744" t="s">
        <v>526</v>
      </c>
      <c r="D736" s="744" t="s">
        <v>526</v>
      </c>
      <c r="E736" s="744" t="s">
        <v>3749</v>
      </c>
      <c r="F736" s="746" t="s">
        <v>3796</v>
      </c>
      <c r="G736" s="747"/>
      <c r="H736" s="747"/>
      <c r="I736" s="744">
        <v>2</v>
      </c>
      <c r="J736" s="744">
        <v>10.5</v>
      </c>
      <c r="K736" s="744">
        <v>21</v>
      </c>
      <c r="L736" s="744" t="s">
        <v>3795</v>
      </c>
      <c r="M736" s="744" t="s">
        <v>606</v>
      </c>
      <c r="O736" t="s">
        <v>537</v>
      </c>
    </row>
    <row r="737" spans="2:15">
      <c r="B737" s="744" t="s">
        <v>3797</v>
      </c>
      <c r="C737" s="744" t="s">
        <v>526</v>
      </c>
      <c r="D737" s="744" t="s">
        <v>526</v>
      </c>
      <c r="E737" s="744" t="s">
        <v>3752</v>
      </c>
      <c r="F737" s="746" t="s">
        <v>3798</v>
      </c>
      <c r="G737" s="747"/>
      <c r="H737" s="747"/>
      <c r="I737" s="744">
        <v>2</v>
      </c>
      <c r="J737" s="744">
        <v>2</v>
      </c>
      <c r="K737" s="744">
        <v>4</v>
      </c>
      <c r="L737" s="744" t="s">
        <v>3797</v>
      </c>
      <c r="M737" s="744" t="s">
        <v>606</v>
      </c>
      <c r="O737" t="s">
        <v>537</v>
      </c>
    </row>
    <row r="738" spans="2:15">
      <c r="B738" s="744" t="s">
        <v>3799</v>
      </c>
      <c r="C738" s="744" t="s">
        <v>526</v>
      </c>
      <c r="D738" s="744" t="s">
        <v>526</v>
      </c>
      <c r="E738" s="744" t="s">
        <v>3755</v>
      </c>
      <c r="F738" s="746" t="s">
        <v>3800</v>
      </c>
      <c r="G738" s="747"/>
      <c r="H738" s="747"/>
      <c r="I738" s="744">
        <v>2</v>
      </c>
      <c r="J738" s="744">
        <v>3</v>
      </c>
      <c r="K738" s="744">
        <v>6</v>
      </c>
      <c r="L738" s="744" t="s">
        <v>3799</v>
      </c>
      <c r="M738" s="744" t="s">
        <v>606</v>
      </c>
      <c r="O738" t="s">
        <v>537</v>
      </c>
    </row>
    <row r="739" spans="2:15">
      <c r="B739" s="744" t="s">
        <v>3801</v>
      </c>
      <c r="C739" s="744" t="s">
        <v>526</v>
      </c>
      <c r="D739" s="744" t="s">
        <v>526</v>
      </c>
      <c r="E739" s="744" t="s">
        <v>3758</v>
      </c>
      <c r="F739" s="746" t="s">
        <v>3802</v>
      </c>
      <c r="G739" s="747"/>
      <c r="H739" s="747"/>
      <c r="I739" s="744">
        <v>2</v>
      </c>
      <c r="J739" s="744">
        <v>5</v>
      </c>
      <c r="K739" s="744">
        <v>10</v>
      </c>
      <c r="L739" s="744" t="s">
        <v>3801</v>
      </c>
      <c r="M739" s="744" t="s">
        <v>606</v>
      </c>
      <c r="O739" t="s">
        <v>537</v>
      </c>
    </row>
    <row r="740" spans="2:15">
      <c r="B740" s="744" t="s">
        <v>3803</v>
      </c>
      <c r="C740" s="744" t="s">
        <v>526</v>
      </c>
      <c r="D740" s="744" t="s">
        <v>526</v>
      </c>
      <c r="E740" s="744" t="s">
        <v>3761</v>
      </c>
      <c r="F740" s="746" t="s">
        <v>3804</v>
      </c>
      <c r="G740" s="747"/>
      <c r="H740" s="747"/>
      <c r="I740" s="744">
        <v>2</v>
      </c>
      <c r="J740" s="744">
        <v>8</v>
      </c>
      <c r="K740" s="744">
        <v>16</v>
      </c>
      <c r="L740" s="744" t="s">
        <v>3803</v>
      </c>
      <c r="M740" s="744" t="s">
        <v>606</v>
      </c>
      <c r="O740" t="s">
        <v>537</v>
      </c>
    </row>
    <row r="741" spans="2:15" ht="15">
      <c r="B741" s="744" t="s">
        <v>3805</v>
      </c>
      <c r="C741" s="744" t="s">
        <v>255</v>
      </c>
      <c r="D741" s="744" t="s">
        <v>3806</v>
      </c>
      <c r="E741" s="744" t="s">
        <v>3807</v>
      </c>
      <c r="F741" s="746" t="s">
        <v>3808</v>
      </c>
      <c r="G741" s="747"/>
      <c r="H741" s="747"/>
      <c r="I741" s="744">
        <v>1</v>
      </c>
      <c r="J741" s="744">
        <v>100</v>
      </c>
      <c r="K741" s="744">
        <v>100</v>
      </c>
      <c r="L741" s="750" t="s">
        <v>3809</v>
      </c>
      <c r="M741" s="744" t="s">
        <v>605</v>
      </c>
    </row>
    <row r="742" spans="2:15">
      <c r="B742" s="744" t="s">
        <v>3810</v>
      </c>
      <c r="C742" s="744" t="s">
        <v>255</v>
      </c>
      <c r="D742" s="744" t="s">
        <v>3806</v>
      </c>
      <c r="E742" s="744" t="s">
        <v>3811</v>
      </c>
      <c r="F742" s="746" t="s">
        <v>3812</v>
      </c>
      <c r="G742" s="747"/>
      <c r="H742" s="747"/>
      <c r="I742" s="744">
        <v>1</v>
      </c>
      <c r="J742" s="744">
        <v>1000</v>
      </c>
      <c r="K742" s="744">
        <v>1000</v>
      </c>
      <c r="L742" s="744" t="s">
        <v>3810</v>
      </c>
      <c r="M742" s="744" t="s">
        <v>605</v>
      </c>
    </row>
    <row r="743" spans="2:15" ht="15">
      <c r="B743" s="744" t="s">
        <v>3813</v>
      </c>
      <c r="C743" s="744" t="s">
        <v>255</v>
      </c>
      <c r="D743" s="744" t="s">
        <v>3806</v>
      </c>
      <c r="E743" s="744" t="s">
        <v>3814</v>
      </c>
      <c r="F743" s="746" t="s">
        <v>3815</v>
      </c>
      <c r="G743" s="747"/>
      <c r="H743" s="747"/>
      <c r="I743" s="744">
        <v>1</v>
      </c>
      <c r="J743" s="744">
        <v>90</v>
      </c>
      <c r="K743" s="744">
        <v>90</v>
      </c>
      <c r="L743" s="750" t="s">
        <v>3816</v>
      </c>
      <c r="M743" s="744" t="s">
        <v>605</v>
      </c>
    </row>
    <row r="744" spans="2:15" ht="15">
      <c r="B744" s="744" t="s">
        <v>3817</v>
      </c>
      <c r="C744" s="744" t="s">
        <v>255</v>
      </c>
      <c r="D744" s="744" t="s">
        <v>3806</v>
      </c>
      <c r="E744" s="744" t="s">
        <v>3818</v>
      </c>
      <c r="F744" s="746" t="s">
        <v>3819</v>
      </c>
      <c r="G744" s="747"/>
      <c r="H744" s="747"/>
      <c r="I744" s="744">
        <v>1</v>
      </c>
      <c r="J744" s="744">
        <v>90</v>
      </c>
      <c r="K744" s="744">
        <v>90</v>
      </c>
      <c r="L744" s="750" t="s">
        <v>3816</v>
      </c>
      <c r="M744" s="744" t="s">
        <v>605</v>
      </c>
    </row>
    <row r="745" spans="2:15" ht="15">
      <c r="B745" s="744" t="s">
        <v>3820</v>
      </c>
      <c r="C745" s="744" t="s">
        <v>255</v>
      </c>
      <c r="D745" s="744" t="s">
        <v>3806</v>
      </c>
      <c r="E745" s="744" t="s">
        <v>3821</v>
      </c>
      <c r="F745" s="746" t="s">
        <v>3822</v>
      </c>
      <c r="G745" s="747"/>
      <c r="H745" s="747"/>
      <c r="I745" s="744">
        <v>1</v>
      </c>
      <c r="J745" s="744">
        <v>120</v>
      </c>
      <c r="K745" s="744">
        <v>120</v>
      </c>
      <c r="L745" s="750" t="s">
        <v>3823</v>
      </c>
      <c r="M745" s="744" t="s">
        <v>605</v>
      </c>
    </row>
    <row r="746" spans="2:15" ht="15">
      <c r="B746" s="744" t="s">
        <v>3824</v>
      </c>
      <c r="C746" s="744" t="s">
        <v>255</v>
      </c>
      <c r="D746" s="744" t="s">
        <v>3806</v>
      </c>
      <c r="E746" s="744" t="s">
        <v>3825</v>
      </c>
      <c r="F746" s="746" t="s">
        <v>3826</v>
      </c>
      <c r="G746" s="747"/>
      <c r="H746" s="747"/>
      <c r="I746" s="744">
        <v>1</v>
      </c>
      <c r="J746" s="744">
        <v>125</v>
      </c>
      <c r="K746" s="744">
        <v>125</v>
      </c>
      <c r="L746" s="750" t="s">
        <v>3827</v>
      </c>
      <c r="M746" s="744" t="s">
        <v>605</v>
      </c>
    </row>
    <row r="747" spans="2:15" ht="15">
      <c r="B747" s="744" t="s">
        <v>3828</v>
      </c>
      <c r="C747" s="744" t="s">
        <v>255</v>
      </c>
      <c r="D747" s="744" t="s">
        <v>3806</v>
      </c>
      <c r="E747" s="744" t="s">
        <v>3829</v>
      </c>
      <c r="F747" s="746" t="s">
        <v>3830</v>
      </c>
      <c r="G747" s="747"/>
      <c r="H747" s="747"/>
      <c r="I747" s="744">
        <v>1</v>
      </c>
      <c r="J747" s="744">
        <v>135</v>
      </c>
      <c r="K747" s="744">
        <v>135</v>
      </c>
      <c r="L747" s="750" t="s">
        <v>3831</v>
      </c>
      <c r="M747" s="744" t="s">
        <v>605</v>
      </c>
    </row>
    <row r="748" spans="2:15">
      <c r="B748" s="744" t="s">
        <v>3832</v>
      </c>
      <c r="C748" s="744" t="s">
        <v>255</v>
      </c>
      <c r="D748" s="744" t="s">
        <v>3806</v>
      </c>
      <c r="E748" s="744" t="s">
        <v>3722</v>
      </c>
      <c r="F748" s="746" t="s">
        <v>3833</v>
      </c>
      <c r="G748" s="747"/>
      <c r="H748" s="747"/>
      <c r="I748" s="744">
        <v>1</v>
      </c>
      <c r="J748" s="744">
        <v>15</v>
      </c>
      <c r="K748" s="744">
        <v>15</v>
      </c>
      <c r="L748" s="744" t="s">
        <v>3832</v>
      </c>
      <c r="M748" s="744" t="s">
        <v>605</v>
      </c>
    </row>
    <row r="749" spans="2:15" ht="15">
      <c r="B749" s="744" t="s">
        <v>3834</v>
      </c>
      <c r="C749" s="744" t="s">
        <v>255</v>
      </c>
      <c r="D749" s="744" t="s">
        <v>3806</v>
      </c>
      <c r="E749" s="744" t="s">
        <v>3835</v>
      </c>
      <c r="F749" s="746" t="s">
        <v>3836</v>
      </c>
      <c r="G749" s="747"/>
      <c r="H749" s="747"/>
      <c r="I749" s="744">
        <v>1</v>
      </c>
      <c r="J749" s="744">
        <v>150</v>
      </c>
      <c r="K749" s="744">
        <v>150</v>
      </c>
      <c r="L749" s="750" t="s">
        <v>3837</v>
      </c>
      <c r="M749" s="744" t="s">
        <v>605</v>
      </c>
    </row>
    <row r="750" spans="2:15">
      <c r="B750" s="744" t="s">
        <v>3838</v>
      </c>
      <c r="C750" s="744" t="s">
        <v>255</v>
      </c>
      <c r="D750" s="744" t="s">
        <v>3806</v>
      </c>
      <c r="E750" s="744" t="s">
        <v>3839</v>
      </c>
      <c r="F750" s="746" t="s">
        <v>3840</v>
      </c>
      <c r="G750" s="747"/>
      <c r="H750" s="747"/>
      <c r="I750" s="744">
        <v>1</v>
      </c>
      <c r="J750" s="744">
        <v>1500</v>
      </c>
      <c r="K750" s="744">
        <v>1500</v>
      </c>
      <c r="L750" s="744" t="s">
        <v>3838</v>
      </c>
      <c r="M750" s="744" t="s">
        <v>605</v>
      </c>
    </row>
    <row r="751" spans="2:15" ht="15">
      <c r="B751" s="744" t="s">
        <v>3841</v>
      </c>
      <c r="C751" s="744" t="s">
        <v>255</v>
      </c>
      <c r="D751" s="744" t="s">
        <v>3806</v>
      </c>
      <c r="E751" s="744" t="s">
        <v>3842</v>
      </c>
      <c r="F751" s="746" t="s">
        <v>3843</v>
      </c>
      <c r="G751" s="747"/>
      <c r="H751" s="747"/>
      <c r="I751" s="744">
        <v>1</v>
      </c>
      <c r="J751" s="744">
        <v>135</v>
      </c>
      <c r="K751" s="744">
        <v>135</v>
      </c>
      <c r="L751" s="750" t="s">
        <v>3831</v>
      </c>
      <c r="M751" s="744" t="s">
        <v>605</v>
      </c>
    </row>
    <row r="752" spans="2:15" ht="15">
      <c r="B752" s="744" t="s">
        <v>3844</v>
      </c>
      <c r="C752" s="744" t="s">
        <v>255</v>
      </c>
      <c r="D752" s="744" t="s">
        <v>3806</v>
      </c>
      <c r="E752" s="744" t="s">
        <v>3845</v>
      </c>
      <c r="F752" s="746" t="s">
        <v>3846</v>
      </c>
      <c r="G752" s="747"/>
      <c r="H752" s="747"/>
      <c r="I752" s="744">
        <v>1</v>
      </c>
      <c r="J752" s="744">
        <v>135</v>
      </c>
      <c r="K752" s="744">
        <v>135</v>
      </c>
      <c r="L752" s="750" t="s">
        <v>3831</v>
      </c>
      <c r="M752" s="744" t="s">
        <v>605</v>
      </c>
    </row>
    <row r="753" spans="2:13" ht="15">
      <c r="B753" s="744" t="s">
        <v>3847</v>
      </c>
      <c r="C753" s="744" t="s">
        <v>255</v>
      </c>
      <c r="D753" s="744" t="s">
        <v>3806</v>
      </c>
      <c r="E753" s="744" t="s">
        <v>3848</v>
      </c>
      <c r="F753" s="746" t="s">
        <v>3849</v>
      </c>
      <c r="G753" s="747"/>
      <c r="H753" s="747"/>
      <c r="I753" s="744">
        <v>1</v>
      </c>
      <c r="J753" s="744">
        <v>170</v>
      </c>
      <c r="K753" s="744">
        <v>170</v>
      </c>
      <c r="L753" s="750" t="s">
        <v>3850</v>
      </c>
      <c r="M753" s="744" t="s">
        <v>605</v>
      </c>
    </row>
    <row r="754" spans="2:13">
      <c r="B754" s="744" t="s">
        <v>3851</v>
      </c>
      <c r="C754" s="744" t="s">
        <v>255</v>
      </c>
      <c r="D754" s="744" t="s">
        <v>3806</v>
      </c>
      <c r="E754" s="744" t="s">
        <v>3725</v>
      </c>
      <c r="F754" s="746" t="s">
        <v>3852</v>
      </c>
      <c r="G754" s="747"/>
      <c r="H754" s="747"/>
      <c r="I754" s="744">
        <v>1</v>
      </c>
      <c r="J754" s="744">
        <v>20</v>
      </c>
      <c r="K754" s="744">
        <v>20</v>
      </c>
      <c r="L754" s="744" t="s">
        <v>3851</v>
      </c>
      <c r="M754" s="744" t="s">
        <v>605</v>
      </c>
    </row>
    <row r="755" spans="2:13">
      <c r="B755" s="744" t="s">
        <v>3853</v>
      </c>
      <c r="C755" s="744" t="s">
        <v>255</v>
      </c>
      <c r="D755" s="744" t="s">
        <v>3806</v>
      </c>
      <c r="E755" s="744" t="s">
        <v>3854</v>
      </c>
      <c r="F755" s="746" t="s">
        <v>3855</v>
      </c>
      <c r="G755" s="747"/>
      <c r="H755" s="747"/>
      <c r="I755" s="744">
        <v>1</v>
      </c>
      <c r="J755" s="744">
        <v>200</v>
      </c>
      <c r="K755" s="744">
        <v>200</v>
      </c>
      <c r="L755" s="744" t="s">
        <v>3853</v>
      </c>
      <c r="M755" s="744" t="s">
        <v>605</v>
      </c>
    </row>
    <row r="756" spans="2:13">
      <c r="B756" s="744" t="s">
        <v>3856</v>
      </c>
      <c r="C756" s="744" t="s">
        <v>255</v>
      </c>
      <c r="D756" s="744" t="s">
        <v>3806</v>
      </c>
      <c r="E756" s="744" t="s">
        <v>3857</v>
      </c>
      <c r="F756" s="746" t="s">
        <v>3858</v>
      </c>
      <c r="G756" s="747"/>
      <c r="H756" s="747"/>
      <c r="I756" s="744">
        <v>1</v>
      </c>
      <c r="J756" s="744">
        <v>2000</v>
      </c>
      <c r="K756" s="744">
        <v>2000</v>
      </c>
      <c r="L756" s="744" t="s">
        <v>3856</v>
      </c>
      <c r="M756" s="744" t="s">
        <v>605</v>
      </c>
    </row>
    <row r="757" spans="2:13">
      <c r="B757" s="744" t="s">
        <v>3859</v>
      </c>
      <c r="C757" s="744" t="s">
        <v>255</v>
      </c>
      <c r="D757" s="744" t="s">
        <v>3806</v>
      </c>
      <c r="E757" s="744" t="s">
        <v>3860</v>
      </c>
      <c r="F757" s="746" t="s">
        <v>3861</v>
      </c>
      <c r="G757" s="747"/>
      <c r="H757" s="747"/>
      <c r="I757" s="744">
        <v>1</v>
      </c>
      <c r="J757" s="744">
        <v>200</v>
      </c>
      <c r="K757" s="744">
        <v>200</v>
      </c>
      <c r="L757" s="744" t="s">
        <v>3859</v>
      </c>
      <c r="M757" s="744" t="s">
        <v>605</v>
      </c>
    </row>
    <row r="758" spans="2:13">
      <c r="B758" s="744" t="s">
        <v>3862</v>
      </c>
      <c r="C758" s="744" t="s">
        <v>255</v>
      </c>
      <c r="D758" s="744" t="s">
        <v>3806</v>
      </c>
      <c r="E758" s="744" t="s">
        <v>3728</v>
      </c>
      <c r="F758" s="746" t="s">
        <v>3863</v>
      </c>
      <c r="G758" s="747"/>
      <c r="H758" s="747"/>
      <c r="I758" s="744">
        <v>1</v>
      </c>
      <c r="J758" s="744">
        <v>25</v>
      </c>
      <c r="K758" s="744">
        <v>25</v>
      </c>
      <c r="L758" s="744" t="s">
        <v>3862</v>
      </c>
      <c r="M758" s="744" t="s">
        <v>605</v>
      </c>
    </row>
    <row r="759" spans="2:13">
      <c r="B759" s="744" t="s">
        <v>3864</v>
      </c>
      <c r="C759" s="744" t="s">
        <v>255</v>
      </c>
      <c r="D759" s="744" t="s">
        <v>3806</v>
      </c>
      <c r="E759" s="744" t="s">
        <v>3865</v>
      </c>
      <c r="F759" s="746" t="s">
        <v>3866</v>
      </c>
      <c r="G759" s="747"/>
      <c r="H759" s="747"/>
      <c r="I759" s="744">
        <v>1</v>
      </c>
      <c r="J759" s="744">
        <v>250</v>
      </c>
      <c r="K759" s="744">
        <v>250</v>
      </c>
      <c r="L759" s="744" t="s">
        <v>3864</v>
      </c>
      <c r="M759" s="744" t="s">
        <v>605</v>
      </c>
    </row>
    <row r="760" spans="2:13">
      <c r="B760" s="744" t="s">
        <v>3867</v>
      </c>
      <c r="C760" s="744" t="s">
        <v>255</v>
      </c>
      <c r="D760" s="744" t="s">
        <v>3806</v>
      </c>
      <c r="E760" s="744" t="s">
        <v>3868</v>
      </c>
      <c r="F760" s="746" t="s">
        <v>3869</v>
      </c>
      <c r="G760" s="747"/>
      <c r="H760" s="747"/>
      <c r="I760" s="744">
        <v>1</v>
      </c>
      <c r="J760" s="744">
        <v>300</v>
      </c>
      <c r="K760" s="744">
        <v>300</v>
      </c>
      <c r="L760" s="744" t="s">
        <v>3867</v>
      </c>
      <c r="M760" s="744" t="s">
        <v>605</v>
      </c>
    </row>
    <row r="761" spans="2:13" ht="15">
      <c r="B761" s="744" t="s">
        <v>3870</v>
      </c>
      <c r="C761" s="744" t="s">
        <v>255</v>
      </c>
      <c r="D761" s="744" t="s">
        <v>3806</v>
      </c>
      <c r="E761" s="744" t="s">
        <v>3731</v>
      </c>
      <c r="F761" s="746" t="s">
        <v>3871</v>
      </c>
      <c r="G761" s="747"/>
      <c r="H761" s="747"/>
      <c r="I761" s="744">
        <v>1</v>
      </c>
      <c r="J761" s="744">
        <v>34</v>
      </c>
      <c r="K761" s="744">
        <v>34</v>
      </c>
      <c r="L761" s="750" t="s">
        <v>3872</v>
      </c>
      <c r="M761" s="744" t="s">
        <v>605</v>
      </c>
    </row>
    <row r="762" spans="2:13" ht="15">
      <c r="B762" s="744" t="s">
        <v>3873</v>
      </c>
      <c r="C762" s="744" t="s">
        <v>255</v>
      </c>
      <c r="D762" s="744" t="s">
        <v>3806</v>
      </c>
      <c r="E762" s="744" t="s">
        <v>3874</v>
      </c>
      <c r="F762" s="746" t="s">
        <v>3875</v>
      </c>
      <c r="G762" s="747"/>
      <c r="H762" s="747"/>
      <c r="I762" s="744">
        <v>1</v>
      </c>
      <c r="J762" s="744">
        <v>36</v>
      </c>
      <c r="K762" s="744">
        <v>36</v>
      </c>
      <c r="L762" s="750" t="s">
        <v>3872</v>
      </c>
      <c r="M762" s="744" t="s">
        <v>605</v>
      </c>
    </row>
    <row r="763" spans="2:13" ht="15">
      <c r="B763" s="744" t="s">
        <v>3876</v>
      </c>
      <c r="C763" s="744" t="s">
        <v>255</v>
      </c>
      <c r="D763" s="744" t="s">
        <v>3806</v>
      </c>
      <c r="E763" s="744" t="s">
        <v>3734</v>
      </c>
      <c r="F763" s="746" t="s">
        <v>3877</v>
      </c>
      <c r="G763" s="747"/>
      <c r="H763" s="747"/>
      <c r="I763" s="744">
        <v>1</v>
      </c>
      <c r="J763" s="744">
        <v>40</v>
      </c>
      <c r="K763" s="744">
        <v>40</v>
      </c>
      <c r="L763" s="750" t="s">
        <v>3878</v>
      </c>
      <c r="M763" s="744" t="s">
        <v>605</v>
      </c>
    </row>
    <row r="764" spans="2:13">
      <c r="B764" s="744" t="s">
        <v>3879</v>
      </c>
      <c r="C764" s="744" t="s">
        <v>255</v>
      </c>
      <c r="D764" s="744" t="s">
        <v>3806</v>
      </c>
      <c r="E764" s="744" t="s">
        <v>3880</v>
      </c>
      <c r="F764" s="746" t="s">
        <v>3881</v>
      </c>
      <c r="G764" s="747"/>
      <c r="H764" s="747"/>
      <c r="I764" s="744">
        <v>1</v>
      </c>
      <c r="J764" s="744">
        <v>400</v>
      </c>
      <c r="K764" s="744">
        <v>400</v>
      </c>
      <c r="L764" s="744" t="s">
        <v>3879</v>
      </c>
      <c r="M764" s="744" t="s">
        <v>605</v>
      </c>
    </row>
    <row r="765" spans="2:13" ht="15">
      <c r="B765" s="744" t="s">
        <v>3882</v>
      </c>
      <c r="C765" s="744" t="s">
        <v>255</v>
      </c>
      <c r="D765" s="744" t="s">
        <v>3806</v>
      </c>
      <c r="E765" s="744" t="s">
        <v>3883</v>
      </c>
      <c r="F765" s="746" t="s">
        <v>3884</v>
      </c>
      <c r="G765" s="747"/>
      <c r="H765" s="747"/>
      <c r="I765" s="744">
        <v>1</v>
      </c>
      <c r="J765" s="744">
        <v>34</v>
      </c>
      <c r="K765" s="744">
        <v>34</v>
      </c>
      <c r="L765" s="750" t="s">
        <v>3872</v>
      </c>
      <c r="M765" s="744" t="s">
        <v>605</v>
      </c>
    </row>
    <row r="766" spans="2:13" ht="15">
      <c r="B766" s="744" t="s">
        <v>3885</v>
      </c>
      <c r="C766" s="744" t="s">
        <v>255</v>
      </c>
      <c r="D766" s="744" t="s">
        <v>3806</v>
      </c>
      <c r="E766" s="744" t="s">
        <v>3886</v>
      </c>
      <c r="F766" s="746" t="s">
        <v>3887</v>
      </c>
      <c r="G766" s="747"/>
      <c r="H766" s="747"/>
      <c r="I766" s="744">
        <v>1</v>
      </c>
      <c r="J766" s="744">
        <v>34</v>
      </c>
      <c r="K766" s="744">
        <v>34</v>
      </c>
      <c r="L766" s="750" t="s">
        <v>3872</v>
      </c>
      <c r="M766" s="744" t="s">
        <v>605</v>
      </c>
    </row>
    <row r="767" spans="2:13" ht="15">
      <c r="B767" s="744" t="s">
        <v>3888</v>
      </c>
      <c r="C767" s="744" t="s">
        <v>255</v>
      </c>
      <c r="D767" s="744" t="s">
        <v>3806</v>
      </c>
      <c r="E767" s="744" t="s">
        <v>3889</v>
      </c>
      <c r="F767" s="746" t="s">
        <v>3890</v>
      </c>
      <c r="G767" s="747"/>
      <c r="H767" s="747"/>
      <c r="I767" s="744">
        <v>1</v>
      </c>
      <c r="J767" s="744">
        <v>42</v>
      </c>
      <c r="K767" s="744">
        <v>42</v>
      </c>
      <c r="L767" s="750" t="s">
        <v>3891</v>
      </c>
      <c r="M767" s="744" t="s">
        <v>605</v>
      </c>
    </row>
    <row r="768" spans="2:13">
      <c r="B768" s="744" t="s">
        <v>3892</v>
      </c>
      <c r="C768" s="744" t="s">
        <v>255</v>
      </c>
      <c r="D768" s="744" t="s">
        <v>3806</v>
      </c>
      <c r="E768" s="744" t="s">
        <v>3893</v>
      </c>
      <c r="F768" s="746" t="s">
        <v>3894</v>
      </c>
      <c r="G768" s="747"/>
      <c r="H768" s="747"/>
      <c r="I768" s="744">
        <v>1</v>
      </c>
      <c r="J768" s="744">
        <v>448</v>
      </c>
      <c r="K768" s="744">
        <v>448</v>
      </c>
      <c r="L768" s="744" t="s">
        <v>3892</v>
      </c>
      <c r="M768" s="744" t="s">
        <v>605</v>
      </c>
    </row>
    <row r="769" spans="2:13" ht="15">
      <c r="B769" s="744" t="s">
        <v>3895</v>
      </c>
      <c r="C769" s="744" t="s">
        <v>255</v>
      </c>
      <c r="D769" s="744" t="s">
        <v>3806</v>
      </c>
      <c r="E769" s="744" t="s">
        <v>3896</v>
      </c>
      <c r="F769" s="746" t="s">
        <v>3897</v>
      </c>
      <c r="G769" s="747"/>
      <c r="H769" s="747"/>
      <c r="I769" s="744">
        <v>1</v>
      </c>
      <c r="J769" s="744">
        <v>45</v>
      </c>
      <c r="K769" s="744">
        <v>45</v>
      </c>
      <c r="L769" s="750" t="s">
        <v>3891</v>
      </c>
      <c r="M769" s="744" t="s">
        <v>605</v>
      </c>
    </row>
    <row r="770" spans="2:13" ht="15">
      <c r="B770" s="744" t="s">
        <v>3898</v>
      </c>
      <c r="C770" s="744" t="s">
        <v>255</v>
      </c>
      <c r="D770" s="744" t="s">
        <v>3806</v>
      </c>
      <c r="E770" s="744" t="s">
        <v>3787</v>
      </c>
      <c r="F770" s="746" t="s">
        <v>3899</v>
      </c>
      <c r="G770" s="747"/>
      <c r="H770" s="747"/>
      <c r="I770" s="744">
        <v>1</v>
      </c>
      <c r="J770" s="744">
        <v>50</v>
      </c>
      <c r="K770" s="744">
        <v>50</v>
      </c>
      <c r="L770" s="750" t="s">
        <v>3900</v>
      </c>
      <c r="M770" s="744" t="s">
        <v>605</v>
      </c>
    </row>
    <row r="771" spans="2:13">
      <c r="B771" s="744" t="s">
        <v>3901</v>
      </c>
      <c r="C771" s="744" t="s">
        <v>255</v>
      </c>
      <c r="D771" s="744" t="s">
        <v>3806</v>
      </c>
      <c r="E771" s="744" t="s">
        <v>3902</v>
      </c>
      <c r="F771" s="746" t="s">
        <v>3903</v>
      </c>
      <c r="G771" s="747"/>
      <c r="H771" s="747"/>
      <c r="I771" s="744">
        <v>1</v>
      </c>
      <c r="J771" s="744">
        <v>500</v>
      </c>
      <c r="K771" s="744">
        <v>500</v>
      </c>
      <c r="L771" s="744" t="s">
        <v>3901</v>
      </c>
      <c r="M771" s="744" t="s">
        <v>605</v>
      </c>
    </row>
    <row r="772" spans="2:13" ht="15">
      <c r="B772" s="744" t="s">
        <v>3904</v>
      </c>
      <c r="C772" s="744" t="s">
        <v>255</v>
      </c>
      <c r="D772" s="744" t="s">
        <v>3806</v>
      </c>
      <c r="E772" s="744" t="s">
        <v>3905</v>
      </c>
      <c r="F772" s="746" t="s">
        <v>3906</v>
      </c>
      <c r="G772" s="747"/>
      <c r="H772" s="747"/>
      <c r="I772" s="744">
        <v>1</v>
      </c>
      <c r="J772" s="744">
        <v>52</v>
      </c>
      <c r="K772" s="744">
        <v>52</v>
      </c>
      <c r="L772" s="750" t="s">
        <v>3900</v>
      </c>
      <c r="M772" s="744" t="s">
        <v>605</v>
      </c>
    </row>
    <row r="773" spans="2:13" ht="15">
      <c r="B773" s="744" t="s">
        <v>3907</v>
      </c>
      <c r="C773" s="744" t="s">
        <v>255</v>
      </c>
      <c r="D773" s="744" t="s">
        <v>3806</v>
      </c>
      <c r="E773" s="744" t="s">
        <v>3908</v>
      </c>
      <c r="F773" s="746" t="s">
        <v>3909</v>
      </c>
      <c r="G773" s="747"/>
      <c r="H773" s="747"/>
      <c r="I773" s="744">
        <v>1</v>
      </c>
      <c r="J773" s="744">
        <v>54</v>
      </c>
      <c r="K773" s="744">
        <v>54</v>
      </c>
      <c r="L773" s="750" t="s">
        <v>3910</v>
      </c>
      <c r="M773" s="744" t="s">
        <v>605</v>
      </c>
    </row>
    <row r="774" spans="2:13" ht="15">
      <c r="B774" s="744" t="s">
        <v>3911</v>
      </c>
      <c r="C774" s="744" t="s">
        <v>255</v>
      </c>
      <c r="D774" s="744" t="s">
        <v>3806</v>
      </c>
      <c r="E774" s="744" t="s">
        <v>3912</v>
      </c>
      <c r="F774" s="746" t="s">
        <v>3913</v>
      </c>
      <c r="G774" s="747"/>
      <c r="H774" s="747"/>
      <c r="I774" s="744">
        <v>1</v>
      </c>
      <c r="J774" s="744">
        <v>55</v>
      </c>
      <c r="K774" s="744">
        <v>55</v>
      </c>
      <c r="L774" s="750" t="s">
        <v>3910</v>
      </c>
      <c r="M774" s="744" t="s">
        <v>605</v>
      </c>
    </row>
    <row r="775" spans="2:13" ht="15">
      <c r="B775" s="744" t="s">
        <v>3914</v>
      </c>
      <c r="C775" s="744" t="s">
        <v>255</v>
      </c>
      <c r="D775" s="744" t="s">
        <v>3806</v>
      </c>
      <c r="E775" s="744" t="s">
        <v>3915</v>
      </c>
      <c r="F775" s="746" t="s">
        <v>3916</v>
      </c>
      <c r="G775" s="747"/>
      <c r="H775" s="747"/>
      <c r="I775" s="744">
        <v>1</v>
      </c>
      <c r="J775" s="744">
        <v>60</v>
      </c>
      <c r="K775" s="744">
        <v>60</v>
      </c>
      <c r="L775" s="750" t="s">
        <v>3917</v>
      </c>
      <c r="M775" s="744" t="s">
        <v>605</v>
      </c>
    </row>
    <row r="776" spans="2:13" ht="15">
      <c r="B776" s="744" t="s">
        <v>3918</v>
      </c>
      <c r="C776" s="744" t="s">
        <v>255</v>
      </c>
      <c r="D776" s="744" t="s">
        <v>3806</v>
      </c>
      <c r="E776" s="744" t="s">
        <v>3919</v>
      </c>
      <c r="F776" s="746" t="s">
        <v>3920</v>
      </c>
      <c r="G776" s="747"/>
      <c r="H776" s="747"/>
      <c r="I776" s="744">
        <v>1</v>
      </c>
      <c r="J776" s="744">
        <v>52</v>
      </c>
      <c r="K776" s="744">
        <v>52</v>
      </c>
      <c r="L776" s="750" t="s">
        <v>3900</v>
      </c>
      <c r="M776" s="744" t="s">
        <v>605</v>
      </c>
    </row>
    <row r="777" spans="2:13" ht="15">
      <c r="B777" s="744" t="s">
        <v>3921</v>
      </c>
      <c r="C777" s="744" t="s">
        <v>255</v>
      </c>
      <c r="D777" s="744" t="s">
        <v>3806</v>
      </c>
      <c r="E777" s="744" t="s">
        <v>3922</v>
      </c>
      <c r="F777" s="746" t="s">
        <v>3923</v>
      </c>
      <c r="G777" s="747"/>
      <c r="H777" s="747"/>
      <c r="I777" s="744">
        <v>1</v>
      </c>
      <c r="J777" s="744">
        <v>52</v>
      </c>
      <c r="K777" s="744">
        <v>52</v>
      </c>
      <c r="L777" s="750" t="s">
        <v>3900</v>
      </c>
      <c r="M777" s="744" t="s">
        <v>605</v>
      </c>
    </row>
    <row r="778" spans="2:13" ht="15">
      <c r="B778" s="744" t="s">
        <v>3924</v>
      </c>
      <c r="C778" s="744" t="s">
        <v>255</v>
      </c>
      <c r="D778" s="744" t="s">
        <v>3806</v>
      </c>
      <c r="E778" s="744" t="s">
        <v>3925</v>
      </c>
      <c r="F778" s="746" t="s">
        <v>3926</v>
      </c>
      <c r="G778" s="747"/>
      <c r="H778" s="747"/>
      <c r="I778" s="744">
        <v>1</v>
      </c>
      <c r="J778" s="744">
        <v>65</v>
      </c>
      <c r="K778" s="744">
        <v>65</v>
      </c>
      <c r="L778" s="750" t="s">
        <v>3927</v>
      </c>
      <c r="M778" s="744" t="s">
        <v>605</v>
      </c>
    </row>
    <row r="779" spans="2:13" ht="15">
      <c r="B779" s="744" t="s">
        <v>3928</v>
      </c>
      <c r="C779" s="744" t="s">
        <v>255</v>
      </c>
      <c r="D779" s="744" t="s">
        <v>3806</v>
      </c>
      <c r="E779" s="744" t="s">
        <v>3929</v>
      </c>
      <c r="F779" s="746" t="s">
        <v>3930</v>
      </c>
      <c r="G779" s="747"/>
      <c r="H779" s="747"/>
      <c r="I779" s="744">
        <v>1</v>
      </c>
      <c r="J779" s="744">
        <v>67</v>
      </c>
      <c r="K779" s="744">
        <v>67</v>
      </c>
      <c r="L779" s="750" t="s">
        <v>3931</v>
      </c>
      <c r="M779" s="744" t="s">
        <v>605</v>
      </c>
    </row>
    <row r="780" spans="2:13" ht="15">
      <c r="B780" s="744" t="s">
        <v>3932</v>
      </c>
      <c r="C780" s="744" t="s">
        <v>255</v>
      </c>
      <c r="D780" s="744" t="s">
        <v>3806</v>
      </c>
      <c r="E780" s="744" t="s">
        <v>3933</v>
      </c>
      <c r="F780" s="746" t="s">
        <v>3934</v>
      </c>
      <c r="G780" s="747"/>
      <c r="H780" s="747"/>
      <c r="I780" s="744">
        <v>1</v>
      </c>
      <c r="J780" s="744">
        <v>69</v>
      </c>
      <c r="K780" s="744">
        <v>69</v>
      </c>
      <c r="L780" s="750" t="s">
        <v>3931</v>
      </c>
      <c r="M780" s="744" t="s">
        <v>605</v>
      </c>
    </row>
    <row r="781" spans="2:13">
      <c r="B781" s="744" t="s">
        <v>3935</v>
      </c>
      <c r="C781" s="744" t="s">
        <v>255</v>
      </c>
      <c r="D781" s="744" t="s">
        <v>3806</v>
      </c>
      <c r="E781" s="744" t="s">
        <v>3740</v>
      </c>
      <c r="F781" s="746" t="s">
        <v>3936</v>
      </c>
      <c r="G781" s="747"/>
      <c r="H781" s="747"/>
      <c r="I781" s="744">
        <v>1</v>
      </c>
      <c r="J781" s="744">
        <v>7.5</v>
      </c>
      <c r="K781" s="744">
        <v>8</v>
      </c>
      <c r="L781" s="744" t="s">
        <v>3935</v>
      </c>
      <c r="M781" s="744" t="s">
        <v>605</v>
      </c>
    </row>
    <row r="782" spans="2:13" ht="15">
      <c r="B782" s="744" t="s">
        <v>3937</v>
      </c>
      <c r="C782" s="744" t="s">
        <v>255</v>
      </c>
      <c r="D782" s="744" t="s">
        <v>3806</v>
      </c>
      <c r="E782" s="744" t="s">
        <v>3938</v>
      </c>
      <c r="F782" s="746" t="s">
        <v>3939</v>
      </c>
      <c r="G782" s="747"/>
      <c r="H782" s="747"/>
      <c r="I782" s="744">
        <v>1</v>
      </c>
      <c r="J782" s="744">
        <v>72</v>
      </c>
      <c r="K782" s="744">
        <v>72</v>
      </c>
      <c r="L782" s="750" t="s">
        <v>3940</v>
      </c>
      <c r="M782" s="744" t="s">
        <v>605</v>
      </c>
    </row>
    <row r="783" spans="2:13" ht="15">
      <c r="B783" s="744" t="s">
        <v>3941</v>
      </c>
      <c r="C783" s="744" t="s">
        <v>255</v>
      </c>
      <c r="D783" s="744" t="s">
        <v>3806</v>
      </c>
      <c r="E783" s="744" t="s">
        <v>3942</v>
      </c>
      <c r="F783" s="746" t="s">
        <v>3943</v>
      </c>
      <c r="G783" s="747"/>
      <c r="H783" s="747"/>
      <c r="I783" s="744">
        <v>1</v>
      </c>
      <c r="J783" s="744">
        <v>75</v>
      </c>
      <c r="K783" s="744">
        <v>75</v>
      </c>
      <c r="L783" s="750" t="s">
        <v>3944</v>
      </c>
      <c r="M783" s="744" t="s">
        <v>605</v>
      </c>
    </row>
    <row r="784" spans="2:13">
      <c r="B784" s="744" t="s">
        <v>3945</v>
      </c>
      <c r="C784" s="744" t="s">
        <v>255</v>
      </c>
      <c r="D784" s="744" t="s">
        <v>3806</v>
      </c>
      <c r="E784" s="744" t="s">
        <v>3946</v>
      </c>
      <c r="F784" s="746" t="s">
        <v>3947</v>
      </c>
      <c r="G784" s="747"/>
      <c r="H784" s="747"/>
      <c r="I784" s="744">
        <v>1</v>
      </c>
      <c r="J784" s="744">
        <v>750</v>
      </c>
      <c r="K784" s="744">
        <v>750</v>
      </c>
      <c r="L784" s="744" t="s">
        <v>3945</v>
      </c>
      <c r="M784" s="744" t="s">
        <v>605</v>
      </c>
    </row>
    <row r="785" spans="2:13" ht="15">
      <c r="B785" s="744" t="s">
        <v>3948</v>
      </c>
      <c r="C785" s="744" t="s">
        <v>255</v>
      </c>
      <c r="D785" s="744" t="s">
        <v>3806</v>
      </c>
      <c r="E785" s="744" t="s">
        <v>3949</v>
      </c>
      <c r="F785" s="746" t="s">
        <v>3950</v>
      </c>
      <c r="G785" s="747"/>
      <c r="H785" s="747"/>
      <c r="I785" s="744">
        <v>1</v>
      </c>
      <c r="J785" s="744">
        <v>67</v>
      </c>
      <c r="K785" s="744">
        <v>67</v>
      </c>
      <c r="L785" s="750" t="s">
        <v>3931</v>
      </c>
      <c r="M785" s="744" t="s">
        <v>605</v>
      </c>
    </row>
    <row r="786" spans="2:13" ht="15">
      <c r="B786" s="744" t="s">
        <v>3951</v>
      </c>
      <c r="C786" s="744" t="s">
        <v>255</v>
      </c>
      <c r="D786" s="744" t="s">
        <v>3806</v>
      </c>
      <c r="E786" s="744" t="s">
        <v>3952</v>
      </c>
      <c r="F786" s="746" t="s">
        <v>3953</v>
      </c>
      <c r="G786" s="747"/>
      <c r="H786" s="747"/>
      <c r="I786" s="744">
        <v>1</v>
      </c>
      <c r="J786" s="744">
        <v>67</v>
      </c>
      <c r="K786" s="744">
        <v>67</v>
      </c>
      <c r="L786" s="750" t="s">
        <v>3931</v>
      </c>
      <c r="M786" s="744" t="s">
        <v>605</v>
      </c>
    </row>
    <row r="787" spans="2:13" ht="15">
      <c r="B787" s="744" t="s">
        <v>3954</v>
      </c>
      <c r="C787" s="744" t="s">
        <v>255</v>
      </c>
      <c r="D787" s="744" t="s">
        <v>3806</v>
      </c>
      <c r="E787" s="744" t="s">
        <v>3955</v>
      </c>
      <c r="F787" s="746" t="s">
        <v>3956</v>
      </c>
      <c r="G787" s="747"/>
      <c r="H787" s="747"/>
      <c r="I787" s="744">
        <v>1</v>
      </c>
      <c r="J787" s="744">
        <v>80</v>
      </c>
      <c r="K787" s="744">
        <v>80</v>
      </c>
      <c r="L787" s="750" t="s">
        <v>3957</v>
      </c>
      <c r="M787" s="744" t="s">
        <v>605</v>
      </c>
    </row>
    <row r="788" spans="2:13" ht="15">
      <c r="B788" s="744" t="s">
        <v>3958</v>
      </c>
      <c r="C788" s="744" t="s">
        <v>255</v>
      </c>
      <c r="D788" s="744" t="s">
        <v>3806</v>
      </c>
      <c r="E788" s="744" t="s">
        <v>3959</v>
      </c>
      <c r="F788" s="746" t="s">
        <v>3960</v>
      </c>
      <c r="G788" s="747"/>
      <c r="H788" s="747"/>
      <c r="I788" s="744">
        <v>1</v>
      </c>
      <c r="J788" s="744">
        <v>85</v>
      </c>
      <c r="K788" s="744">
        <v>85</v>
      </c>
      <c r="L788" s="750" t="s">
        <v>3961</v>
      </c>
      <c r="M788" s="744" t="s">
        <v>605</v>
      </c>
    </row>
    <row r="789" spans="2:13" ht="15">
      <c r="B789" s="744" t="s">
        <v>3962</v>
      </c>
      <c r="C789" s="744" t="s">
        <v>255</v>
      </c>
      <c r="D789" s="744" t="s">
        <v>3806</v>
      </c>
      <c r="E789" s="744" t="s">
        <v>3963</v>
      </c>
      <c r="F789" s="746" t="s">
        <v>3964</v>
      </c>
      <c r="G789" s="747"/>
      <c r="H789" s="747"/>
      <c r="I789" s="744">
        <v>1</v>
      </c>
      <c r="J789" s="744">
        <v>90</v>
      </c>
      <c r="K789" s="744">
        <v>90</v>
      </c>
      <c r="L789" s="750" t="s">
        <v>3816</v>
      </c>
      <c r="M789" s="744" t="s">
        <v>605</v>
      </c>
    </row>
    <row r="790" spans="2:13" ht="15">
      <c r="B790" s="744" t="s">
        <v>3965</v>
      </c>
      <c r="C790" s="744" t="s">
        <v>255</v>
      </c>
      <c r="D790" s="744" t="s">
        <v>3806</v>
      </c>
      <c r="E790" s="744" t="s">
        <v>3966</v>
      </c>
      <c r="F790" s="746" t="s">
        <v>3967</v>
      </c>
      <c r="G790" s="747"/>
      <c r="H790" s="747"/>
      <c r="I790" s="744">
        <v>1</v>
      </c>
      <c r="J790" s="744">
        <v>93</v>
      </c>
      <c r="K790" s="744">
        <v>93</v>
      </c>
      <c r="L790" s="750" t="s">
        <v>3968</v>
      </c>
      <c r="M790" s="744" t="s">
        <v>605</v>
      </c>
    </row>
    <row r="791" spans="2:13" ht="15">
      <c r="B791" s="744" t="s">
        <v>3969</v>
      </c>
      <c r="C791" s="744" t="s">
        <v>255</v>
      </c>
      <c r="D791" s="744" t="s">
        <v>3806</v>
      </c>
      <c r="E791" s="744" t="s">
        <v>3970</v>
      </c>
      <c r="F791" s="746" t="s">
        <v>3971</v>
      </c>
      <c r="G791" s="747"/>
      <c r="H791" s="747"/>
      <c r="I791" s="744">
        <v>1</v>
      </c>
      <c r="J791" s="744">
        <v>95</v>
      </c>
      <c r="K791" s="744">
        <v>95</v>
      </c>
      <c r="L791" s="750" t="s">
        <v>3972</v>
      </c>
      <c r="M791" s="744" t="s">
        <v>605</v>
      </c>
    </row>
    <row r="792" spans="2:13" ht="15">
      <c r="B792" s="744" t="s">
        <v>3973</v>
      </c>
      <c r="C792" s="744" t="s">
        <v>255</v>
      </c>
      <c r="D792" s="744" t="s">
        <v>3806</v>
      </c>
      <c r="E792" s="744" t="s">
        <v>3807</v>
      </c>
      <c r="F792" s="746" t="s">
        <v>3974</v>
      </c>
      <c r="G792" s="747"/>
      <c r="H792" s="747"/>
      <c r="I792" s="744">
        <v>2</v>
      </c>
      <c r="J792" s="744">
        <v>100</v>
      </c>
      <c r="K792" s="744">
        <v>200</v>
      </c>
      <c r="L792" s="750" t="s">
        <v>3975</v>
      </c>
      <c r="M792" s="744" t="s">
        <v>605</v>
      </c>
    </row>
    <row r="793" spans="2:13" ht="15">
      <c r="B793" s="744" t="s">
        <v>3976</v>
      </c>
      <c r="C793" s="744" t="s">
        <v>255</v>
      </c>
      <c r="D793" s="744" t="s">
        <v>3806</v>
      </c>
      <c r="E793" s="744" t="s">
        <v>3821</v>
      </c>
      <c r="F793" s="746" t="s">
        <v>3977</v>
      </c>
      <c r="G793" s="747"/>
      <c r="H793" s="747"/>
      <c r="I793" s="744">
        <v>2</v>
      </c>
      <c r="J793" s="744">
        <v>120</v>
      </c>
      <c r="K793" s="744">
        <v>240</v>
      </c>
      <c r="L793" s="750" t="s">
        <v>3978</v>
      </c>
      <c r="M793" s="744" t="s">
        <v>605</v>
      </c>
    </row>
    <row r="794" spans="2:13" ht="15">
      <c r="B794" s="744" t="s">
        <v>3979</v>
      </c>
      <c r="C794" s="744" t="s">
        <v>255</v>
      </c>
      <c r="D794" s="744" t="s">
        <v>3806</v>
      </c>
      <c r="E794" s="744" t="s">
        <v>3829</v>
      </c>
      <c r="F794" s="746" t="s">
        <v>3980</v>
      </c>
      <c r="G794" s="747"/>
      <c r="H794" s="747"/>
      <c r="I794" s="744">
        <v>2</v>
      </c>
      <c r="J794" s="744">
        <v>135</v>
      </c>
      <c r="K794" s="744">
        <v>270</v>
      </c>
      <c r="L794" s="750" t="s">
        <v>3981</v>
      </c>
      <c r="M794" s="744" t="s">
        <v>605</v>
      </c>
    </row>
    <row r="795" spans="2:13">
      <c r="B795" s="744" t="s">
        <v>3982</v>
      </c>
      <c r="C795" s="744" t="s">
        <v>255</v>
      </c>
      <c r="D795" s="744" t="s">
        <v>3806</v>
      </c>
      <c r="E795" s="744" t="s">
        <v>3722</v>
      </c>
      <c r="F795" s="746" t="s">
        <v>3983</v>
      </c>
      <c r="G795" s="747"/>
      <c r="H795" s="747"/>
      <c r="I795" s="744">
        <v>2</v>
      </c>
      <c r="J795" s="744">
        <v>15</v>
      </c>
      <c r="K795" s="744">
        <v>30</v>
      </c>
      <c r="L795" s="744" t="s">
        <v>3982</v>
      </c>
      <c r="M795" s="744" t="s">
        <v>605</v>
      </c>
    </row>
    <row r="796" spans="2:13" ht="15">
      <c r="B796" s="744" t="s">
        <v>3984</v>
      </c>
      <c r="C796" s="744" t="s">
        <v>255</v>
      </c>
      <c r="D796" s="744" t="s">
        <v>3806</v>
      </c>
      <c r="E796" s="744" t="s">
        <v>3835</v>
      </c>
      <c r="F796" s="746" t="s">
        <v>3985</v>
      </c>
      <c r="G796" s="747"/>
      <c r="H796" s="747"/>
      <c r="I796" s="744">
        <v>2</v>
      </c>
      <c r="J796" s="744">
        <v>150</v>
      </c>
      <c r="K796" s="744">
        <v>300</v>
      </c>
      <c r="L796" s="750" t="s">
        <v>3986</v>
      </c>
      <c r="M796" s="744" t="s">
        <v>605</v>
      </c>
    </row>
    <row r="797" spans="2:13">
      <c r="B797" s="744" t="s">
        <v>3987</v>
      </c>
      <c r="C797" s="744" t="s">
        <v>255</v>
      </c>
      <c r="D797" s="744" t="s">
        <v>3806</v>
      </c>
      <c r="E797" s="744" t="s">
        <v>3725</v>
      </c>
      <c r="F797" s="746" t="s">
        <v>3988</v>
      </c>
      <c r="G797" s="747"/>
      <c r="H797" s="747"/>
      <c r="I797" s="744">
        <v>2</v>
      </c>
      <c r="J797" s="744">
        <v>20</v>
      </c>
      <c r="K797" s="744">
        <v>40</v>
      </c>
      <c r="L797" s="744" t="s">
        <v>3987</v>
      </c>
      <c r="M797" s="744" t="s">
        <v>605</v>
      </c>
    </row>
    <row r="798" spans="2:13">
      <c r="B798" s="744" t="s">
        <v>3989</v>
      </c>
      <c r="C798" s="744" t="s">
        <v>255</v>
      </c>
      <c r="D798" s="744" t="s">
        <v>3806</v>
      </c>
      <c r="E798" s="744" t="s">
        <v>3854</v>
      </c>
      <c r="F798" s="746" t="s">
        <v>3990</v>
      </c>
      <c r="G798" s="747"/>
      <c r="H798" s="747"/>
      <c r="I798" s="744">
        <v>2</v>
      </c>
      <c r="J798" s="744">
        <v>200</v>
      </c>
      <c r="K798" s="744">
        <v>400</v>
      </c>
      <c r="L798" s="744" t="s">
        <v>3989</v>
      </c>
      <c r="M798" s="744" t="s">
        <v>605</v>
      </c>
    </row>
    <row r="799" spans="2:13">
      <c r="B799" s="744" t="s">
        <v>3991</v>
      </c>
      <c r="C799" s="744" t="s">
        <v>255</v>
      </c>
      <c r="D799" s="744" t="s">
        <v>3806</v>
      </c>
      <c r="E799" s="744" t="s">
        <v>3728</v>
      </c>
      <c r="F799" s="746" t="s">
        <v>3992</v>
      </c>
      <c r="G799" s="747"/>
      <c r="H799" s="747"/>
      <c r="I799" s="744">
        <v>2</v>
      </c>
      <c r="J799" s="744">
        <v>25</v>
      </c>
      <c r="K799" s="744">
        <v>50</v>
      </c>
      <c r="L799" s="744" t="s">
        <v>3991</v>
      </c>
      <c r="M799" s="744" t="s">
        <v>605</v>
      </c>
    </row>
    <row r="800" spans="2:13" ht="15">
      <c r="B800" s="744" t="s">
        <v>3993</v>
      </c>
      <c r="C800" s="744" t="s">
        <v>255</v>
      </c>
      <c r="D800" s="744" t="s">
        <v>3806</v>
      </c>
      <c r="E800" s="744" t="s">
        <v>3731</v>
      </c>
      <c r="F800" s="746" t="s">
        <v>3994</v>
      </c>
      <c r="G800" s="747"/>
      <c r="H800" s="747"/>
      <c r="I800" s="744">
        <v>2</v>
      </c>
      <c r="J800" s="744">
        <v>34</v>
      </c>
      <c r="K800" s="744">
        <v>68</v>
      </c>
      <c r="L800" s="750" t="s">
        <v>3995</v>
      </c>
      <c r="M800" s="744" t="s">
        <v>605</v>
      </c>
    </row>
    <row r="801" spans="2:13" ht="15">
      <c r="B801" s="744" t="s">
        <v>3996</v>
      </c>
      <c r="C801" s="744" t="s">
        <v>255</v>
      </c>
      <c r="D801" s="744" t="s">
        <v>3806</v>
      </c>
      <c r="E801" s="744" t="s">
        <v>3734</v>
      </c>
      <c r="F801" s="746" t="s">
        <v>3997</v>
      </c>
      <c r="G801" s="747"/>
      <c r="H801" s="747"/>
      <c r="I801" s="744">
        <v>2</v>
      </c>
      <c r="J801" s="744">
        <v>40</v>
      </c>
      <c r="K801" s="744">
        <v>80</v>
      </c>
      <c r="L801" s="750" t="s">
        <v>3998</v>
      </c>
      <c r="M801" s="744" t="s">
        <v>605</v>
      </c>
    </row>
    <row r="802" spans="2:13" ht="15">
      <c r="B802" s="744" t="s">
        <v>3999</v>
      </c>
      <c r="C802" s="744" t="s">
        <v>255</v>
      </c>
      <c r="D802" s="744" t="s">
        <v>3806</v>
      </c>
      <c r="E802" s="744" t="s">
        <v>3787</v>
      </c>
      <c r="F802" s="746" t="s">
        <v>4000</v>
      </c>
      <c r="G802" s="747"/>
      <c r="H802" s="747"/>
      <c r="I802" s="744">
        <v>2</v>
      </c>
      <c r="J802" s="744">
        <v>50</v>
      </c>
      <c r="K802" s="744">
        <v>100</v>
      </c>
      <c r="L802" s="750" t="s">
        <v>4001</v>
      </c>
      <c r="M802" s="744" t="s">
        <v>605</v>
      </c>
    </row>
    <row r="803" spans="2:13" ht="15">
      <c r="B803" s="744" t="s">
        <v>4002</v>
      </c>
      <c r="C803" s="744" t="s">
        <v>255</v>
      </c>
      <c r="D803" s="744" t="s">
        <v>3806</v>
      </c>
      <c r="E803" s="744" t="s">
        <v>3905</v>
      </c>
      <c r="F803" s="746" t="s">
        <v>4003</v>
      </c>
      <c r="G803" s="747"/>
      <c r="H803" s="747"/>
      <c r="I803" s="744">
        <v>2</v>
      </c>
      <c r="J803" s="744">
        <v>52</v>
      </c>
      <c r="K803" s="744">
        <v>104</v>
      </c>
      <c r="L803" s="750" t="s">
        <v>4001</v>
      </c>
      <c r="M803" s="744" t="s">
        <v>605</v>
      </c>
    </row>
    <row r="804" spans="2:13" ht="15">
      <c r="B804" s="744" t="s">
        <v>4004</v>
      </c>
      <c r="C804" s="744" t="s">
        <v>255</v>
      </c>
      <c r="D804" s="744" t="s">
        <v>3806</v>
      </c>
      <c r="E804" s="744" t="s">
        <v>3908</v>
      </c>
      <c r="F804" s="746" t="s">
        <v>4005</v>
      </c>
      <c r="G804" s="747"/>
      <c r="H804" s="747"/>
      <c r="I804" s="744">
        <v>2</v>
      </c>
      <c r="J804" s="744">
        <v>54</v>
      </c>
      <c r="K804" s="744">
        <v>108</v>
      </c>
      <c r="L804" s="750" t="s">
        <v>4006</v>
      </c>
      <c r="M804" s="744" t="s">
        <v>605</v>
      </c>
    </row>
    <row r="805" spans="2:13" ht="15">
      <c r="B805" s="744" t="s">
        <v>4007</v>
      </c>
      <c r="C805" s="744" t="s">
        <v>255</v>
      </c>
      <c r="D805" s="744" t="s">
        <v>3806</v>
      </c>
      <c r="E805" s="744" t="s">
        <v>3912</v>
      </c>
      <c r="F805" s="746" t="s">
        <v>4008</v>
      </c>
      <c r="G805" s="747"/>
      <c r="H805" s="747"/>
      <c r="I805" s="744">
        <v>2</v>
      </c>
      <c r="J805" s="744">
        <v>55</v>
      </c>
      <c r="K805" s="744">
        <v>110</v>
      </c>
      <c r="L805" s="750" t="s">
        <v>4006</v>
      </c>
      <c r="M805" s="744" t="s">
        <v>605</v>
      </c>
    </row>
    <row r="806" spans="2:13" ht="15">
      <c r="B806" s="744" t="s">
        <v>4009</v>
      </c>
      <c r="C806" s="744" t="s">
        <v>255</v>
      </c>
      <c r="D806" s="744" t="s">
        <v>3806</v>
      </c>
      <c r="E806" s="744" t="s">
        <v>3915</v>
      </c>
      <c r="F806" s="746" t="s">
        <v>4010</v>
      </c>
      <c r="G806" s="747"/>
      <c r="H806" s="747"/>
      <c r="I806" s="744">
        <v>2</v>
      </c>
      <c r="J806" s="744">
        <v>60</v>
      </c>
      <c r="K806" s="744">
        <v>120</v>
      </c>
      <c r="L806" s="750" t="s">
        <v>4011</v>
      </c>
      <c r="M806" s="744" t="s">
        <v>605</v>
      </c>
    </row>
    <row r="807" spans="2:13" ht="15">
      <c r="B807" s="744" t="s">
        <v>4012</v>
      </c>
      <c r="C807" s="744" t="s">
        <v>255</v>
      </c>
      <c r="D807" s="744" t="s">
        <v>3806</v>
      </c>
      <c r="E807" s="744" t="s">
        <v>3925</v>
      </c>
      <c r="F807" s="746" t="s">
        <v>4013</v>
      </c>
      <c r="G807" s="747"/>
      <c r="H807" s="747"/>
      <c r="I807" s="744">
        <v>2</v>
      </c>
      <c r="J807" s="744">
        <v>65</v>
      </c>
      <c r="K807" s="744">
        <v>130</v>
      </c>
      <c r="L807" s="750" t="s">
        <v>4014</v>
      </c>
      <c r="M807" s="744" t="s">
        <v>605</v>
      </c>
    </row>
    <row r="808" spans="2:13" ht="15">
      <c r="B808" s="744" t="s">
        <v>4015</v>
      </c>
      <c r="C808" s="744" t="s">
        <v>255</v>
      </c>
      <c r="D808" s="744" t="s">
        <v>3806</v>
      </c>
      <c r="E808" s="744" t="s">
        <v>3929</v>
      </c>
      <c r="F808" s="746" t="s">
        <v>4016</v>
      </c>
      <c r="G808" s="747"/>
      <c r="H808" s="747"/>
      <c r="I808" s="744">
        <v>2</v>
      </c>
      <c r="J808" s="744">
        <v>67</v>
      </c>
      <c r="K808" s="744">
        <v>134</v>
      </c>
      <c r="L808" s="750" t="s">
        <v>4017</v>
      </c>
      <c r="M808" s="744" t="s">
        <v>605</v>
      </c>
    </row>
    <row r="809" spans="2:13">
      <c r="B809" s="744" t="s">
        <v>4018</v>
      </c>
      <c r="C809" s="744" t="s">
        <v>255</v>
      </c>
      <c r="D809" s="744" t="s">
        <v>3806</v>
      </c>
      <c r="E809" s="744" t="s">
        <v>3740</v>
      </c>
      <c r="F809" s="746" t="s">
        <v>4019</v>
      </c>
      <c r="G809" s="747"/>
      <c r="H809" s="747"/>
      <c r="I809" s="744">
        <v>2</v>
      </c>
      <c r="J809" s="744">
        <v>7.5</v>
      </c>
      <c r="K809" s="744">
        <v>15</v>
      </c>
      <c r="L809" s="744" t="s">
        <v>4018</v>
      </c>
      <c r="M809" s="744" t="s">
        <v>605</v>
      </c>
    </row>
    <row r="810" spans="2:13" ht="15">
      <c r="B810" s="744" t="s">
        <v>4020</v>
      </c>
      <c r="C810" s="744" t="s">
        <v>255</v>
      </c>
      <c r="D810" s="744" t="s">
        <v>3806</v>
      </c>
      <c r="E810" s="744" t="s">
        <v>3942</v>
      </c>
      <c r="F810" s="746" t="s">
        <v>4021</v>
      </c>
      <c r="G810" s="747"/>
      <c r="H810" s="747"/>
      <c r="I810" s="744">
        <v>2</v>
      </c>
      <c r="J810" s="744">
        <v>75</v>
      </c>
      <c r="K810" s="744">
        <v>150</v>
      </c>
      <c r="L810" s="750" t="s">
        <v>4022</v>
      </c>
      <c r="M810" s="744" t="s">
        <v>605</v>
      </c>
    </row>
    <row r="811" spans="2:13" ht="15">
      <c r="B811" s="744" t="s">
        <v>4023</v>
      </c>
      <c r="C811" s="744" t="s">
        <v>255</v>
      </c>
      <c r="D811" s="744" t="s">
        <v>3806</v>
      </c>
      <c r="E811" s="744" t="s">
        <v>3963</v>
      </c>
      <c r="F811" s="746" t="s">
        <v>4024</v>
      </c>
      <c r="G811" s="747"/>
      <c r="H811" s="747"/>
      <c r="I811" s="744">
        <v>2</v>
      </c>
      <c r="J811" s="744">
        <v>90</v>
      </c>
      <c r="K811" s="744">
        <v>180</v>
      </c>
      <c r="L811" s="750" t="s">
        <v>4025</v>
      </c>
      <c r="M811" s="744" t="s">
        <v>605</v>
      </c>
    </row>
    <row r="812" spans="2:13" ht="15">
      <c r="B812" s="744" t="s">
        <v>4026</v>
      </c>
      <c r="C812" s="744" t="s">
        <v>255</v>
      </c>
      <c r="D812" s="744" t="s">
        <v>3806</v>
      </c>
      <c r="E812" s="744" t="s">
        <v>3970</v>
      </c>
      <c r="F812" s="746" t="s">
        <v>4027</v>
      </c>
      <c r="G812" s="747"/>
      <c r="H812" s="747"/>
      <c r="I812" s="744">
        <v>2</v>
      </c>
      <c r="J812" s="744">
        <v>95</v>
      </c>
      <c r="K812" s="744">
        <v>190</v>
      </c>
      <c r="L812" s="750" t="s">
        <v>4028</v>
      </c>
      <c r="M812" s="744" t="s">
        <v>605</v>
      </c>
    </row>
    <row r="813" spans="2:13" ht="15">
      <c r="B813" s="744" t="s">
        <v>4029</v>
      </c>
      <c r="C813" s="744" t="s">
        <v>255</v>
      </c>
      <c r="D813" s="744" t="s">
        <v>3806</v>
      </c>
      <c r="E813" s="744" t="s">
        <v>3807</v>
      </c>
      <c r="F813" s="746" t="s">
        <v>4030</v>
      </c>
      <c r="G813" s="747"/>
      <c r="H813" s="747"/>
      <c r="I813" s="744">
        <v>3</v>
      </c>
      <c r="J813" s="744">
        <v>100</v>
      </c>
      <c r="K813" s="744">
        <v>300</v>
      </c>
      <c r="L813" s="750" t="s">
        <v>4031</v>
      </c>
      <c r="M813" s="744" t="s">
        <v>605</v>
      </c>
    </row>
    <row r="814" spans="2:13" ht="15">
      <c r="B814" s="744" t="s">
        <v>4032</v>
      </c>
      <c r="C814" s="744" t="s">
        <v>255</v>
      </c>
      <c r="D814" s="744" t="s">
        <v>3806</v>
      </c>
      <c r="E814" s="744" t="s">
        <v>3915</v>
      </c>
      <c r="F814" s="746" t="s">
        <v>4033</v>
      </c>
      <c r="G814" s="747"/>
      <c r="H814" s="747"/>
      <c r="I814" s="744">
        <v>3</v>
      </c>
      <c r="J814" s="744">
        <v>60</v>
      </c>
      <c r="K814" s="744">
        <v>180</v>
      </c>
      <c r="L814" s="750" t="s">
        <v>4034</v>
      </c>
      <c r="M814" s="744" t="s">
        <v>605</v>
      </c>
    </row>
    <row r="815" spans="2:13" ht="15">
      <c r="B815" s="744" t="s">
        <v>4035</v>
      </c>
      <c r="C815" s="744" t="s">
        <v>255</v>
      </c>
      <c r="D815" s="744" t="s">
        <v>3806</v>
      </c>
      <c r="E815" s="744" t="s">
        <v>3929</v>
      </c>
      <c r="F815" s="746" t="s">
        <v>4036</v>
      </c>
      <c r="G815" s="747"/>
      <c r="H815" s="747"/>
      <c r="I815" s="744">
        <v>3</v>
      </c>
      <c r="J815" s="744">
        <v>67</v>
      </c>
      <c r="K815" s="744">
        <v>201</v>
      </c>
      <c r="L815" s="750" t="s">
        <v>4037</v>
      </c>
      <c r="M815" s="744" t="s">
        <v>605</v>
      </c>
    </row>
    <row r="816" spans="2:13" ht="15">
      <c r="B816" s="744" t="s">
        <v>4038</v>
      </c>
      <c r="C816" s="744" t="s">
        <v>255</v>
      </c>
      <c r="D816" s="744" t="s">
        <v>3806</v>
      </c>
      <c r="E816" s="744" t="s">
        <v>3942</v>
      </c>
      <c r="F816" s="746" t="s">
        <v>4039</v>
      </c>
      <c r="G816" s="747"/>
      <c r="H816" s="747"/>
      <c r="I816" s="744">
        <v>3</v>
      </c>
      <c r="J816" s="744">
        <v>75</v>
      </c>
      <c r="K816" s="744">
        <v>225</v>
      </c>
      <c r="L816" s="750" t="s">
        <v>4040</v>
      </c>
      <c r="M816" s="744" t="s">
        <v>605</v>
      </c>
    </row>
    <row r="817" spans="2:13" ht="15">
      <c r="B817" s="744" t="s">
        <v>4041</v>
      </c>
      <c r="C817" s="744" t="s">
        <v>255</v>
      </c>
      <c r="D817" s="744" t="s">
        <v>3806</v>
      </c>
      <c r="E817" s="744" t="s">
        <v>3963</v>
      </c>
      <c r="F817" s="746" t="s">
        <v>4042</v>
      </c>
      <c r="G817" s="747"/>
      <c r="H817" s="747"/>
      <c r="I817" s="744">
        <v>3</v>
      </c>
      <c r="J817" s="744">
        <v>90</v>
      </c>
      <c r="K817" s="744">
        <v>270</v>
      </c>
      <c r="L817" s="750" t="s">
        <v>4043</v>
      </c>
      <c r="M817" s="744" t="s">
        <v>605</v>
      </c>
    </row>
    <row r="818" spans="2:13" ht="15">
      <c r="B818" s="744" t="s">
        <v>4044</v>
      </c>
      <c r="C818" s="744" t="s">
        <v>255</v>
      </c>
      <c r="D818" s="744" t="s">
        <v>3806</v>
      </c>
      <c r="E818" s="744" t="s">
        <v>3807</v>
      </c>
      <c r="F818" s="746" t="s">
        <v>4045</v>
      </c>
      <c r="G818" s="747"/>
      <c r="H818" s="747"/>
      <c r="I818" s="744">
        <v>4</v>
      </c>
      <c r="J818" s="744">
        <v>100</v>
      </c>
      <c r="K818" s="744">
        <v>400</v>
      </c>
      <c r="L818" s="750" t="s">
        <v>4046</v>
      </c>
      <c r="M818" s="744" t="s">
        <v>605</v>
      </c>
    </row>
    <row r="819" spans="2:13">
      <c r="B819" s="744" t="s">
        <v>4047</v>
      </c>
      <c r="C819" s="744" t="s">
        <v>255</v>
      </c>
      <c r="D819" s="744" t="s">
        <v>3806</v>
      </c>
      <c r="E819" s="744" t="s">
        <v>3728</v>
      </c>
      <c r="F819" s="746" t="s">
        <v>4048</v>
      </c>
      <c r="G819" s="747"/>
      <c r="H819" s="747"/>
      <c r="I819" s="744">
        <v>4</v>
      </c>
      <c r="J819" s="744">
        <v>25</v>
      </c>
      <c r="K819" s="744">
        <v>100</v>
      </c>
      <c r="L819" s="744" t="s">
        <v>4047</v>
      </c>
      <c r="M819" s="744" t="s">
        <v>605</v>
      </c>
    </row>
    <row r="820" spans="2:13" ht="15">
      <c r="B820" s="744" t="s">
        <v>4049</v>
      </c>
      <c r="C820" s="744" t="s">
        <v>255</v>
      </c>
      <c r="D820" s="744" t="s">
        <v>3806</v>
      </c>
      <c r="E820" s="744" t="s">
        <v>3915</v>
      </c>
      <c r="F820" s="746" t="s">
        <v>4050</v>
      </c>
      <c r="G820" s="747"/>
      <c r="H820" s="747"/>
      <c r="I820" s="744">
        <v>4</v>
      </c>
      <c r="J820" s="744">
        <v>60</v>
      </c>
      <c r="K820" s="744">
        <v>240</v>
      </c>
      <c r="L820" s="750" t="s">
        <v>4051</v>
      </c>
      <c r="M820" s="744" t="s">
        <v>605</v>
      </c>
    </row>
    <row r="821" spans="2:13" ht="15">
      <c r="B821" s="744" t="s">
        <v>4052</v>
      </c>
      <c r="C821" s="744" t="s">
        <v>255</v>
      </c>
      <c r="D821" s="744" t="s">
        <v>3806</v>
      </c>
      <c r="E821" s="744" t="s">
        <v>3942</v>
      </c>
      <c r="F821" s="746" t="s">
        <v>4053</v>
      </c>
      <c r="G821" s="747"/>
      <c r="H821" s="747"/>
      <c r="I821" s="744">
        <v>4</v>
      </c>
      <c r="J821" s="744">
        <v>75</v>
      </c>
      <c r="K821" s="744">
        <v>300</v>
      </c>
      <c r="L821" s="750" t="s">
        <v>4054</v>
      </c>
      <c r="M821" s="744" t="s">
        <v>605</v>
      </c>
    </row>
    <row r="822" spans="2:13" ht="15">
      <c r="B822" s="744" t="s">
        <v>4055</v>
      </c>
      <c r="C822" s="744" t="s">
        <v>255</v>
      </c>
      <c r="D822" s="744" t="s">
        <v>3806</v>
      </c>
      <c r="E822" s="744" t="s">
        <v>3807</v>
      </c>
      <c r="F822" s="746" t="s">
        <v>4056</v>
      </c>
      <c r="G822" s="747"/>
      <c r="H822" s="747"/>
      <c r="I822" s="744">
        <v>5</v>
      </c>
      <c r="J822" s="744">
        <v>100</v>
      </c>
      <c r="K822" s="744">
        <v>500</v>
      </c>
      <c r="L822" s="750" t="s">
        <v>4057</v>
      </c>
      <c r="M822" s="744" t="s">
        <v>605</v>
      </c>
    </row>
    <row r="823" spans="2:13" ht="15">
      <c r="B823" s="744" t="s">
        <v>4058</v>
      </c>
      <c r="C823" s="744" t="s">
        <v>255</v>
      </c>
      <c r="D823" s="744" t="s">
        <v>3806</v>
      </c>
      <c r="E823" s="744" t="s">
        <v>3915</v>
      </c>
      <c r="F823" s="746" t="s">
        <v>4059</v>
      </c>
      <c r="G823" s="747"/>
      <c r="H823" s="747"/>
      <c r="I823" s="744">
        <v>5</v>
      </c>
      <c r="J823" s="744">
        <v>60</v>
      </c>
      <c r="K823" s="744">
        <v>300</v>
      </c>
      <c r="L823" s="750" t="s">
        <v>4060</v>
      </c>
      <c r="M823" s="744" t="s">
        <v>605</v>
      </c>
    </row>
    <row r="824" spans="2:13" ht="15">
      <c r="B824" s="744" t="s">
        <v>4061</v>
      </c>
      <c r="C824" s="744" t="s">
        <v>255</v>
      </c>
      <c r="D824" s="744" t="s">
        <v>4062</v>
      </c>
      <c r="E824" s="744" t="s">
        <v>4063</v>
      </c>
      <c r="F824" s="746" t="s">
        <v>4064</v>
      </c>
      <c r="G824" s="747"/>
      <c r="H824" s="747"/>
      <c r="I824" s="744">
        <v>1</v>
      </c>
      <c r="J824" s="744">
        <v>100</v>
      </c>
      <c r="K824" s="744">
        <v>100</v>
      </c>
      <c r="L824" s="750" t="s">
        <v>4065</v>
      </c>
      <c r="M824" s="744" t="s">
        <v>605</v>
      </c>
    </row>
    <row r="825" spans="2:13">
      <c r="B825" s="744" t="s">
        <v>4066</v>
      </c>
      <c r="C825" s="744" t="s">
        <v>255</v>
      </c>
      <c r="D825" s="744" t="s">
        <v>4062</v>
      </c>
      <c r="E825" s="744" t="s">
        <v>4067</v>
      </c>
      <c r="F825" s="746" t="s">
        <v>4068</v>
      </c>
      <c r="G825" s="747"/>
      <c r="H825" s="747"/>
      <c r="I825" s="744">
        <v>1</v>
      </c>
      <c r="J825" s="744">
        <v>1000</v>
      </c>
      <c r="K825" s="744">
        <v>1000</v>
      </c>
      <c r="L825" s="744" t="s">
        <v>4066</v>
      </c>
      <c r="M825" s="744" t="s">
        <v>605</v>
      </c>
    </row>
    <row r="826" spans="2:13">
      <c r="B826" s="744" t="s">
        <v>4069</v>
      </c>
      <c r="C826" s="744" t="s">
        <v>255</v>
      </c>
      <c r="D826" s="744" t="s">
        <v>4062</v>
      </c>
      <c r="E826" s="744" t="s">
        <v>4070</v>
      </c>
      <c r="F826" s="746" t="s">
        <v>4071</v>
      </c>
      <c r="G826" s="747"/>
      <c r="H826" s="747"/>
      <c r="I826" s="744">
        <v>1</v>
      </c>
      <c r="J826" s="744">
        <v>1200</v>
      </c>
      <c r="K826" s="744">
        <v>1200</v>
      </c>
      <c r="L826" s="744" t="s">
        <v>4069</v>
      </c>
      <c r="M826" s="744" t="s">
        <v>605</v>
      </c>
    </row>
    <row r="827" spans="2:13" ht="15">
      <c r="B827" s="744" t="s">
        <v>4072</v>
      </c>
      <c r="C827" s="744" t="s">
        <v>255</v>
      </c>
      <c r="D827" s="744" t="s">
        <v>4062</v>
      </c>
      <c r="E827" s="744" t="s">
        <v>4073</v>
      </c>
      <c r="F827" s="746" t="s">
        <v>4074</v>
      </c>
      <c r="G827" s="747"/>
      <c r="H827" s="747"/>
      <c r="I827" s="744">
        <v>1</v>
      </c>
      <c r="J827" s="744">
        <v>150</v>
      </c>
      <c r="K827" s="744">
        <v>150</v>
      </c>
      <c r="L827" s="750" t="s">
        <v>4075</v>
      </c>
      <c r="M827" s="744" t="s">
        <v>605</v>
      </c>
    </row>
    <row r="828" spans="2:13">
      <c r="B828" s="744" t="s">
        <v>4076</v>
      </c>
      <c r="C828" s="744" t="s">
        <v>255</v>
      </c>
      <c r="D828" s="744" t="s">
        <v>4062</v>
      </c>
      <c r="E828" s="744" t="s">
        <v>4077</v>
      </c>
      <c r="F828" s="746" t="s">
        <v>4078</v>
      </c>
      <c r="G828" s="747"/>
      <c r="H828" s="747"/>
      <c r="I828" s="744">
        <v>1</v>
      </c>
      <c r="J828" s="744">
        <v>1500</v>
      </c>
      <c r="K828" s="744">
        <v>1500</v>
      </c>
      <c r="L828" s="744" t="s">
        <v>4076</v>
      </c>
      <c r="M828" s="744" t="s">
        <v>605</v>
      </c>
    </row>
    <row r="829" spans="2:13">
      <c r="B829" s="744" t="s">
        <v>4079</v>
      </c>
      <c r="C829" s="744" t="s">
        <v>255</v>
      </c>
      <c r="D829" s="744" t="s">
        <v>4062</v>
      </c>
      <c r="E829" s="744" t="s">
        <v>4080</v>
      </c>
      <c r="F829" s="746" t="s">
        <v>4081</v>
      </c>
      <c r="G829" s="747"/>
      <c r="H829" s="747"/>
      <c r="I829" s="744">
        <v>1</v>
      </c>
      <c r="J829" s="744">
        <v>200</v>
      </c>
      <c r="K829" s="744">
        <v>200</v>
      </c>
      <c r="L829" s="744" t="s">
        <v>4079</v>
      </c>
      <c r="M829" s="744" t="s">
        <v>605</v>
      </c>
    </row>
    <row r="830" spans="2:13">
      <c r="B830" s="744" t="s">
        <v>4082</v>
      </c>
      <c r="C830" s="744" t="s">
        <v>255</v>
      </c>
      <c r="D830" s="744" t="s">
        <v>4062</v>
      </c>
      <c r="E830" s="744" t="s">
        <v>4083</v>
      </c>
      <c r="F830" s="746" t="s">
        <v>4084</v>
      </c>
      <c r="G830" s="747"/>
      <c r="H830" s="747"/>
      <c r="I830" s="744">
        <v>1</v>
      </c>
      <c r="J830" s="744">
        <v>250</v>
      </c>
      <c r="K830" s="744">
        <v>250</v>
      </c>
      <c r="L830" s="744" t="s">
        <v>4082</v>
      </c>
      <c r="M830" s="744" t="s">
        <v>605</v>
      </c>
    </row>
    <row r="831" spans="2:13">
      <c r="B831" s="744" t="s">
        <v>4085</v>
      </c>
      <c r="C831" s="744" t="s">
        <v>255</v>
      </c>
      <c r="D831" s="744" t="s">
        <v>4062</v>
      </c>
      <c r="E831" s="744" t="s">
        <v>4086</v>
      </c>
      <c r="F831" s="746" t="s">
        <v>4087</v>
      </c>
      <c r="G831" s="747"/>
      <c r="H831" s="747"/>
      <c r="I831" s="744">
        <v>1</v>
      </c>
      <c r="J831" s="744">
        <v>300</v>
      </c>
      <c r="K831" s="744">
        <v>300</v>
      </c>
      <c r="L831" s="744" t="s">
        <v>4085</v>
      </c>
      <c r="M831" s="744" t="s">
        <v>605</v>
      </c>
    </row>
    <row r="832" spans="2:13" ht="15">
      <c r="B832" s="744" t="s">
        <v>4088</v>
      </c>
      <c r="C832" s="744" t="s">
        <v>255</v>
      </c>
      <c r="D832" s="744" t="s">
        <v>4062</v>
      </c>
      <c r="E832" s="744" t="s">
        <v>4089</v>
      </c>
      <c r="F832" s="746" t="s">
        <v>4090</v>
      </c>
      <c r="G832" s="747"/>
      <c r="H832" s="747"/>
      <c r="I832" s="744">
        <v>1</v>
      </c>
      <c r="J832" s="744">
        <v>35</v>
      </c>
      <c r="K832" s="744">
        <v>35</v>
      </c>
      <c r="L832" s="750" t="s">
        <v>4091</v>
      </c>
      <c r="M832" s="744" t="s">
        <v>605</v>
      </c>
    </row>
    <row r="833" spans="2:13">
      <c r="B833" s="744" t="s">
        <v>4092</v>
      </c>
      <c r="C833" s="744" t="s">
        <v>255</v>
      </c>
      <c r="D833" s="744" t="s">
        <v>4062</v>
      </c>
      <c r="E833" s="744" t="s">
        <v>4093</v>
      </c>
      <c r="F833" s="746" t="s">
        <v>4094</v>
      </c>
      <c r="G833" s="747"/>
      <c r="H833" s="747"/>
      <c r="I833" s="744">
        <v>1</v>
      </c>
      <c r="J833" s="744">
        <v>350</v>
      </c>
      <c r="K833" s="744">
        <v>350</v>
      </c>
      <c r="L833" s="744" t="s">
        <v>4092</v>
      </c>
      <c r="M833" s="744" t="s">
        <v>605</v>
      </c>
    </row>
    <row r="834" spans="2:13" ht="15">
      <c r="B834" s="744" t="s">
        <v>4095</v>
      </c>
      <c r="C834" s="744" t="s">
        <v>255</v>
      </c>
      <c r="D834" s="744" t="s">
        <v>4062</v>
      </c>
      <c r="E834" s="744" t="s">
        <v>4096</v>
      </c>
      <c r="F834" s="746" t="s">
        <v>4097</v>
      </c>
      <c r="G834" s="747"/>
      <c r="H834" s="747"/>
      <c r="I834" s="744">
        <v>1</v>
      </c>
      <c r="J834" s="744">
        <v>40</v>
      </c>
      <c r="K834" s="744">
        <v>40</v>
      </c>
      <c r="L834" s="750" t="s">
        <v>3910</v>
      </c>
      <c r="M834" s="744" t="s">
        <v>605</v>
      </c>
    </row>
    <row r="835" spans="2:13">
      <c r="B835" s="744" t="s">
        <v>4098</v>
      </c>
      <c r="C835" s="744" t="s">
        <v>255</v>
      </c>
      <c r="D835" s="744" t="s">
        <v>4062</v>
      </c>
      <c r="E835" s="744" t="s">
        <v>4099</v>
      </c>
      <c r="F835" s="746" t="s">
        <v>4100</v>
      </c>
      <c r="G835" s="747"/>
      <c r="H835" s="747"/>
      <c r="I835" s="744">
        <v>1</v>
      </c>
      <c r="J835" s="744">
        <v>400</v>
      </c>
      <c r="K835" s="744">
        <v>400</v>
      </c>
      <c r="L835" s="744" t="s">
        <v>4098</v>
      </c>
      <c r="M835" s="744" t="s">
        <v>605</v>
      </c>
    </row>
    <row r="836" spans="2:13" ht="15">
      <c r="B836" s="744" t="s">
        <v>4101</v>
      </c>
      <c r="C836" s="744" t="s">
        <v>255</v>
      </c>
      <c r="D836" s="744" t="s">
        <v>4062</v>
      </c>
      <c r="E836" s="744" t="s">
        <v>4102</v>
      </c>
      <c r="F836" s="746" t="s">
        <v>4103</v>
      </c>
      <c r="G836" s="747"/>
      <c r="H836" s="747"/>
      <c r="I836" s="744">
        <v>1</v>
      </c>
      <c r="J836" s="744">
        <v>42</v>
      </c>
      <c r="K836" s="744">
        <v>42</v>
      </c>
      <c r="L836" s="750" t="s">
        <v>3910</v>
      </c>
      <c r="M836" s="744" t="s">
        <v>605</v>
      </c>
    </row>
    <row r="837" spans="2:13">
      <c r="B837" s="744" t="s">
        <v>4104</v>
      </c>
      <c r="C837" s="744" t="s">
        <v>255</v>
      </c>
      <c r="D837" s="744" t="s">
        <v>4062</v>
      </c>
      <c r="E837" s="744" t="s">
        <v>4105</v>
      </c>
      <c r="F837" s="746" t="s">
        <v>4106</v>
      </c>
      <c r="G837" s="747"/>
      <c r="H837" s="747"/>
      <c r="I837" s="744">
        <v>1</v>
      </c>
      <c r="J837" s="744">
        <v>425</v>
      </c>
      <c r="K837" s="744">
        <v>425</v>
      </c>
      <c r="L837" s="744" t="s">
        <v>4104</v>
      </c>
      <c r="M837" s="744" t="s">
        <v>605</v>
      </c>
    </row>
    <row r="838" spans="2:13" ht="15">
      <c r="B838" s="744" t="s">
        <v>4107</v>
      </c>
      <c r="C838" s="744" t="s">
        <v>255</v>
      </c>
      <c r="D838" s="744" t="s">
        <v>4062</v>
      </c>
      <c r="E838" s="744" t="s">
        <v>4108</v>
      </c>
      <c r="F838" s="746" t="s">
        <v>4109</v>
      </c>
      <c r="G838" s="747"/>
      <c r="H838" s="747"/>
      <c r="I838" s="744">
        <v>1</v>
      </c>
      <c r="J838" s="744">
        <v>45</v>
      </c>
      <c r="K838" s="744">
        <v>45</v>
      </c>
      <c r="L838" s="750" t="s">
        <v>3917</v>
      </c>
      <c r="M838" s="744" t="s">
        <v>605</v>
      </c>
    </row>
    <row r="839" spans="2:13" ht="15">
      <c r="B839" s="744" t="s">
        <v>4110</v>
      </c>
      <c r="C839" s="744" t="s">
        <v>255</v>
      </c>
      <c r="D839" s="744" t="s">
        <v>4062</v>
      </c>
      <c r="E839" s="744" t="s">
        <v>4111</v>
      </c>
      <c r="F839" s="746" t="s">
        <v>4112</v>
      </c>
      <c r="G839" s="747"/>
      <c r="H839" s="747"/>
      <c r="I839" s="744">
        <v>1</v>
      </c>
      <c r="J839" s="744">
        <v>50</v>
      </c>
      <c r="K839" s="744">
        <v>50</v>
      </c>
      <c r="L839" s="750" t="s">
        <v>3931</v>
      </c>
      <c r="M839" s="744" t="s">
        <v>605</v>
      </c>
    </row>
    <row r="840" spans="2:13">
      <c r="B840" s="744" t="s">
        <v>4113</v>
      </c>
      <c r="C840" s="744" t="s">
        <v>255</v>
      </c>
      <c r="D840" s="744" t="s">
        <v>4062</v>
      </c>
      <c r="E840" s="744" t="s">
        <v>4114</v>
      </c>
      <c r="F840" s="746" t="s">
        <v>4115</v>
      </c>
      <c r="G840" s="747"/>
      <c r="H840" s="747"/>
      <c r="I840" s="744">
        <v>1</v>
      </c>
      <c r="J840" s="744">
        <v>500</v>
      </c>
      <c r="K840" s="744">
        <v>500</v>
      </c>
      <c r="L840" s="744" t="s">
        <v>4113</v>
      </c>
      <c r="M840" s="744" t="s">
        <v>605</v>
      </c>
    </row>
    <row r="841" spans="2:13" ht="15">
      <c r="B841" s="744" t="s">
        <v>4116</v>
      </c>
      <c r="C841" s="744" t="s">
        <v>255</v>
      </c>
      <c r="D841" s="744" t="s">
        <v>4062</v>
      </c>
      <c r="E841" s="744" t="s">
        <v>4117</v>
      </c>
      <c r="F841" s="746" t="s">
        <v>4118</v>
      </c>
      <c r="G841" s="747"/>
      <c r="H841" s="747"/>
      <c r="I841" s="744">
        <v>1</v>
      </c>
      <c r="J841" s="744">
        <v>52</v>
      </c>
      <c r="K841" s="744">
        <v>52</v>
      </c>
      <c r="L841" s="750" t="s">
        <v>3940</v>
      </c>
      <c r="M841" s="744" t="s">
        <v>605</v>
      </c>
    </row>
    <row r="842" spans="2:13" ht="15">
      <c r="B842" s="744" t="s">
        <v>4119</v>
      </c>
      <c r="C842" s="744" t="s">
        <v>255</v>
      </c>
      <c r="D842" s="744" t="s">
        <v>4062</v>
      </c>
      <c r="E842" s="744" t="s">
        <v>4120</v>
      </c>
      <c r="F842" s="746" t="s">
        <v>4121</v>
      </c>
      <c r="G842" s="747"/>
      <c r="H842" s="747"/>
      <c r="I842" s="744">
        <v>1</v>
      </c>
      <c r="J842" s="744">
        <v>55</v>
      </c>
      <c r="K842" s="744">
        <v>55</v>
      </c>
      <c r="L842" s="750" t="s">
        <v>4122</v>
      </c>
      <c r="M842" s="744" t="s">
        <v>605</v>
      </c>
    </row>
    <row r="843" spans="2:13" ht="15">
      <c r="B843" s="744" t="s">
        <v>4123</v>
      </c>
      <c r="C843" s="744" t="s">
        <v>255</v>
      </c>
      <c r="D843" s="744" t="s">
        <v>4062</v>
      </c>
      <c r="E843" s="744" t="s">
        <v>4124</v>
      </c>
      <c r="F843" s="746" t="s">
        <v>4125</v>
      </c>
      <c r="G843" s="747"/>
      <c r="H843" s="747"/>
      <c r="I843" s="744">
        <v>1</v>
      </c>
      <c r="J843" s="744">
        <v>60</v>
      </c>
      <c r="K843" s="744">
        <v>60</v>
      </c>
      <c r="L843" s="750" t="s">
        <v>3961</v>
      </c>
      <c r="M843" s="744" t="s">
        <v>605</v>
      </c>
    </row>
    <row r="844" spans="2:13" ht="15">
      <c r="B844" s="744" t="s">
        <v>4126</v>
      </c>
      <c r="C844" s="744" t="s">
        <v>255</v>
      </c>
      <c r="D844" s="744" t="s">
        <v>4062</v>
      </c>
      <c r="E844" s="744" t="s">
        <v>4127</v>
      </c>
      <c r="F844" s="746" t="s">
        <v>4128</v>
      </c>
      <c r="G844" s="747"/>
      <c r="H844" s="747"/>
      <c r="I844" s="744">
        <v>1</v>
      </c>
      <c r="J844" s="744">
        <v>72</v>
      </c>
      <c r="K844" s="744">
        <v>72</v>
      </c>
      <c r="L844" s="750" t="s">
        <v>3809</v>
      </c>
      <c r="M844" s="744" t="s">
        <v>605</v>
      </c>
    </row>
    <row r="845" spans="2:13" ht="15">
      <c r="B845" s="744" t="s">
        <v>4129</v>
      </c>
      <c r="C845" s="744" t="s">
        <v>255</v>
      </c>
      <c r="D845" s="744" t="s">
        <v>4062</v>
      </c>
      <c r="E845" s="744" t="s">
        <v>4130</v>
      </c>
      <c r="F845" s="746" t="s">
        <v>4131</v>
      </c>
      <c r="G845" s="747"/>
      <c r="H845" s="747"/>
      <c r="I845" s="744">
        <v>1</v>
      </c>
      <c r="J845" s="744">
        <v>75</v>
      </c>
      <c r="K845" s="744">
        <v>75</v>
      </c>
      <c r="L845" s="750" t="s">
        <v>4132</v>
      </c>
      <c r="M845" s="744" t="s">
        <v>605</v>
      </c>
    </row>
    <row r="846" spans="2:13">
      <c r="B846" s="744" t="s">
        <v>4133</v>
      </c>
      <c r="C846" s="744" t="s">
        <v>255</v>
      </c>
      <c r="D846" s="744" t="s">
        <v>4062</v>
      </c>
      <c r="E846" s="744" t="s">
        <v>4134</v>
      </c>
      <c r="F846" s="746" t="s">
        <v>4135</v>
      </c>
      <c r="G846" s="747"/>
      <c r="H846" s="747"/>
      <c r="I846" s="744">
        <v>1</v>
      </c>
      <c r="J846" s="744">
        <v>750</v>
      </c>
      <c r="K846" s="744">
        <v>750</v>
      </c>
      <c r="L846" s="744" t="s">
        <v>4133</v>
      </c>
      <c r="M846" s="744" t="s">
        <v>605</v>
      </c>
    </row>
    <row r="847" spans="2:13" ht="15">
      <c r="B847" s="744" t="s">
        <v>4136</v>
      </c>
      <c r="C847" s="744" t="s">
        <v>255</v>
      </c>
      <c r="D847" s="744" t="s">
        <v>4062</v>
      </c>
      <c r="E847" s="744" t="s">
        <v>4137</v>
      </c>
      <c r="F847" s="746" t="s">
        <v>4138</v>
      </c>
      <c r="G847" s="747"/>
      <c r="H847" s="747"/>
      <c r="I847" s="744">
        <v>1</v>
      </c>
      <c r="J847" s="744">
        <v>90</v>
      </c>
      <c r="K847" s="744">
        <v>90</v>
      </c>
      <c r="L847" s="750" t="s">
        <v>4139</v>
      </c>
      <c r="M847" s="744" t="s">
        <v>605</v>
      </c>
    </row>
    <row r="848" spans="2:13">
      <c r="B848" s="744" t="s">
        <v>4140</v>
      </c>
      <c r="C848" s="744" t="s">
        <v>255</v>
      </c>
      <c r="D848" s="744" t="s">
        <v>4062</v>
      </c>
      <c r="E848" s="744" t="s">
        <v>4141</v>
      </c>
      <c r="F848" s="746" t="s">
        <v>4142</v>
      </c>
      <c r="G848" s="747"/>
      <c r="H848" s="747"/>
      <c r="I848" s="744">
        <v>1</v>
      </c>
      <c r="J848" s="744">
        <v>900</v>
      </c>
      <c r="K848" s="744">
        <v>900</v>
      </c>
      <c r="L848" s="744" t="s">
        <v>4140</v>
      </c>
      <c r="M848" s="744" t="s">
        <v>605</v>
      </c>
    </row>
    <row r="849" spans="2:13">
      <c r="B849" s="744" t="s">
        <v>4143</v>
      </c>
      <c r="C849" s="744" t="s">
        <v>255</v>
      </c>
      <c r="D849" s="744" t="s">
        <v>4062</v>
      </c>
      <c r="E849" s="744" t="s">
        <v>4144</v>
      </c>
      <c r="F849" s="746" t="s">
        <v>4145</v>
      </c>
      <c r="G849" s="747"/>
      <c r="H849" s="747"/>
      <c r="I849" s="744">
        <v>1</v>
      </c>
      <c r="J849" s="744">
        <v>20</v>
      </c>
      <c r="K849" s="744">
        <v>30</v>
      </c>
      <c r="L849" s="744" t="s">
        <v>4143</v>
      </c>
      <c r="M849" s="744" t="s">
        <v>605</v>
      </c>
    </row>
    <row r="850" spans="2:13" ht="15">
      <c r="B850" s="744" t="s">
        <v>4146</v>
      </c>
      <c r="C850" s="744" t="s">
        <v>255</v>
      </c>
      <c r="D850" s="744" t="s">
        <v>4062</v>
      </c>
      <c r="E850" s="744" t="s">
        <v>4147</v>
      </c>
      <c r="F850" s="746" t="s">
        <v>4148</v>
      </c>
      <c r="G850" s="747"/>
      <c r="H850" s="747"/>
      <c r="I850" s="744">
        <v>1</v>
      </c>
      <c r="J850" s="744">
        <v>25</v>
      </c>
      <c r="K850" s="744">
        <v>35</v>
      </c>
      <c r="L850" s="750" t="s">
        <v>4149</v>
      </c>
      <c r="M850" s="744" t="s">
        <v>605</v>
      </c>
    </row>
    <row r="851" spans="2:13" ht="15">
      <c r="B851" s="744" t="s">
        <v>4150</v>
      </c>
      <c r="C851" s="744" t="s">
        <v>255</v>
      </c>
      <c r="D851" s="744" t="s">
        <v>4062</v>
      </c>
      <c r="E851" s="744" t="s">
        <v>4151</v>
      </c>
      <c r="F851" s="746" t="s">
        <v>4152</v>
      </c>
      <c r="G851" s="747"/>
      <c r="H851" s="747"/>
      <c r="I851" s="744">
        <v>1</v>
      </c>
      <c r="J851" s="744">
        <v>35</v>
      </c>
      <c r="K851" s="744">
        <v>45</v>
      </c>
      <c r="L851" s="750" t="s">
        <v>4091</v>
      </c>
      <c r="M851" s="744" t="s">
        <v>605</v>
      </c>
    </row>
    <row r="852" spans="2:13" ht="15">
      <c r="B852" s="744" t="s">
        <v>4153</v>
      </c>
      <c r="C852" s="744" t="s">
        <v>255</v>
      </c>
      <c r="D852" s="744" t="s">
        <v>4062</v>
      </c>
      <c r="E852" s="744" t="s">
        <v>4154</v>
      </c>
      <c r="F852" s="746" t="s">
        <v>4155</v>
      </c>
      <c r="G852" s="747"/>
      <c r="H852" s="747"/>
      <c r="I852" s="744">
        <v>1</v>
      </c>
      <c r="J852" s="744">
        <v>42</v>
      </c>
      <c r="K852" s="744">
        <v>52</v>
      </c>
      <c r="L852" s="750" t="s">
        <v>3910</v>
      </c>
      <c r="M852" s="744" t="s">
        <v>605</v>
      </c>
    </row>
    <row r="853" spans="2:13" ht="15">
      <c r="B853" s="744" t="s">
        <v>4156</v>
      </c>
      <c r="C853" s="744" t="s">
        <v>255</v>
      </c>
      <c r="D853" s="744" t="s">
        <v>4062</v>
      </c>
      <c r="E853" s="744" t="s">
        <v>4157</v>
      </c>
      <c r="F853" s="746" t="s">
        <v>4158</v>
      </c>
      <c r="G853" s="747"/>
      <c r="H853" s="747"/>
      <c r="I853" s="744">
        <v>1</v>
      </c>
      <c r="J853" s="744">
        <v>50</v>
      </c>
      <c r="K853" s="744">
        <v>60</v>
      </c>
      <c r="L853" s="750" t="s">
        <v>3931</v>
      </c>
      <c r="M853" s="744" t="s">
        <v>605</v>
      </c>
    </row>
    <row r="854" spans="2:13" ht="15">
      <c r="B854" s="744" t="s">
        <v>4159</v>
      </c>
      <c r="C854" s="744" t="s">
        <v>255</v>
      </c>
      <c r="D854" s="744" t="s">
        <v>4062</v>
      </c>
      <c r="E854" s="744" t="s">
        <v>4160</v>
      </c>
      <c r="F854" s="746" t="s">
        <v>4161</v>
      </c>
      <c r="G854" s="747"/>
      <c r="H854" s="747"/>
      <c r="I854" s="744">
        <v>1</v>
      </c>
      <c r="J854" s="744">
        <v>65</v>
      </c>
      <c r="K854" s="744">
        <v>75</v>
      </c>
      <c r="L854" s="750" t="s">
        <v>3968</v>
      </c>
      <c r="M854" s="744" t="s">
        <v>605</v>
      </c>
    </row>
    <row r="855" spans="2:13" ht="15">
      <c r="B855" s="744" t="s">
        <v>4162</v>
      </c>
      <c r="C855" s="744" t="s">
        <v>255</v>
      </c>
      <c r="D855" s="744" t="s">
        <v>4062</v>
      </c>
      <c r="E855" s="744" t="s">
        <v>4163</v>
      </c>
      <c r="F855" s="746" t="s">
        <v>4164</v>
      </c>
      <c r="G855" s="747"/>
      <c r="H855" s="747"/>
      <c r="I855" s="744">
        <v>1</v>
      </c>
      <c r="J855" s="744">
        <v>75</v>
      </c>
      <c r="K855" s="744">
        <v>85</v>
      </c>
      <c r="L855" s="750" t="s">
        <v>4132</v>
      </c>
      <c r="M855" s="744" t="s">
        <v>605</v>
      </c>
    </row>
    <row r="856" spans="2:13" ht="15">
      <c r="B856" s="744" t="s">
        <v>4165</v>
      </c>
      <c r="C856" s="744" t="s">
        <v>255</v>
      </c>
      <c r="D856" s="744" t="s">
        <v>4062</v>
      </c>
      <c r="E856" s="744" t="s">
        <v>4073</v>
      </c>
      <c r="F856" s="746" t="s">
        <v>4166</v>
      </c>
      <c r="G856" s="747"/>
      <c r="H856" s="747"/>
      <c r="I856" s="744">
        <v>2</v>
      </c>
      <c r="J856" s="744">
        <v>150</v>
      </c>
      <c r="K856" s="744">
        <v>300</v>
      </c>
      <c r="L856" s="750" t="s">
        <v>4167</v>
      </c>
      <c r="M856" s="744" t="s">
        <v>605</v>
      </c>
    </row>
    <row r="857" spans="2:13" ht="15">
      <c r="B857" s="744" t="s">
        <v>4168</v>
      </c>
      <c r="C857" s="744" t="s">
        <v>255</v>
      </c>
      <c r="D857" s="744" t="s">
        <v>4062</v>
      </c>
      <c r="E857" s="744" t="s">
        <v>4108</v>
      </c>
      <c r="F857" s="746" t="s">
        <v>4169</v>
      </c>
      <c r="G857" s="747"/>
      <c r="H857" s="747"/>
      <c r="I857" s="744">
        <v>2</v>
      </c>
      <c r="J857" s="744">
        <v>45</v>
      </c>
      <c r="K857" s="744">
        <v>90</v>
      </c>
      <c r="L857" s="750" t="s">
        <v>4011</v>
      </c>
      <c r="M857" s="744" t="s">
        <v>605</v>
      </c>
    </row>
    <row r="858" spans="2:13" ht="15">
      <c r="B858" s="744" t="s">
        <v>4170</v>
      </c>
      <c r="C858" s="744" t="s">
        <v>255</v>
      </c>
      <c r="D858" s="744" t="s">
        <v>4062</v>
      </c>
      <c r="E858" s="744" t="s">
        <v>4111</v>
      </c>
      <c r="F858" s="746" t="s">
        <v>4171</v>
      </c>
      <c r="G858" s="747"/>
      <c r="H858" s="747"/>
      <c r="I858" s="744">
        <v>2</v>
      </c>
      <c r="J858" s="744">
        <v>50</v>
      </c>
      <c r="K858" s="744">
        <v>100</v>
      </c>
      <c r="L858" s="750" t="s">
        <v>4017</v>
      </c>
      <c r="M858" s="744" t="s">
        <v>605</v>
      </c>
    </row>
    <row r="859" spans="2:13" ht="15">
      <c r="B859" s="744" t="s">
        <v>4172</v>
      </c>
      <c r="C859" s="744" t="s">
        <v>255</v>
      </c>
      <c r="D859" s="744" t="s">
        <v>4062</v>
      </c>
      <c r="E859" s="744" t="s">
        <v>4120</v>
      </c>
      <c r="F859" s="746" t="s">
        <v>4173</v>
      </c>
      <c r="G859" s="747"/>
      <c r="H859" s="747"/>
      <c r="I859" s="744">
        <v>2</v>
      </c>
      <c r="J859" s="744">
        <v>55</v>
      </c>
      <c r="K859" s="744">
        <v>110</v>
      </c>
      <c r="L859" s="750" t="s">
        <v>4174</v>
      </c>
      <c r="M859" s="744" t="s">
        <v>605</v>
      </c>
    </row>
    <row r="860" spans="2:13" ht="15">
      <c r="B860" s="744" t="s">
        <v>4175</v>
      </c>
      <c r="C860" s="744" t="s">
        <v>255</v>
      </c>
      <c r="D860" s="744" t="s">
        <v>4062</v>
      </c>
      <c r="E860" s="744" t="s">
        <v>4130</v>
      </c>
      <c r="F860" s="746" t="s">
        <v>4176</v>
      </c>
      <c r="G860" s="747"/>
      <c r="H860" s="747"/>
      <c r="I860" s="744">
        <v>2</v>
      </c>
      <c r="J860" s="744">
        <v>75</v>
      </c>
      <c r="K860" s="744">
        <v>150</v>
      </c>
      <c r="L860" s="750" t="s">
        <v>4177</v>
      </c>
      <c r="M860" s="744" t="s">
        <v>605</v>
      </c>
    </row>
    <row r="861" spans="2:13" ht="15">
      <c r="B861" s="744" t="s">
        <v>4178</v>
      </c>
      <c r="C861" s="744" t="s">
        <v>255</v>
      </c>
      <c r="D861" s="744" t="s">
        <v>4062</v>
      </c>
      <c r="E861" s="744" t="s">
        <v>4137</v>
      </c>
      <c r="F861" s="746" t="s">
        <v>4179</v>
      </c>
      <c r="G861" s="747"/>
      <c r="H861" s="747"/>
      <c r="I861" s="744">
        <v>2</v>
      </c>
      <c r="J861" s="744">
        <v>90</v>
      </c>
      <c r="K861" s="744">
        <v>180</v>
      </c>
      <c r="L861" s="750" t="s">
        <v>4180</v>
      </c>
      <c r="M861" s="744" t="s">
        <v>605</v>
      </c>
    </row>
    <row r="862" spans="2:13">
      <c r="B862" s="744" t="s">
        <v>4181</v>
      </c>
      <c r="C862" s="744" t="s">
        <v>527</v>
      </c>
      <c r="D862" s="744" t="s">
        <v>527</v>
      </c>
      <c r="E862" s="744" t="s">
        <v>4182</v>
      </c>
      <c r="F862" s="746" t="s">
        <v>4183</v>
      </c>
      <c r="G862" s="747" t="s">
        <v>4184</v>
      </c>
      <c r="H862" s="747"/>
      <c r="I862" s="744">
        <v>1</v>
      </c>
      <c r="J862" s="744">
        <v>55</v>
      </c>
      <c r="K862" s="744">
        <v>55</v>
      </c>
      <c r="L862" s="744" t="s">
        <v>4181</v>
      </c>
      <c r="M862" s="744" t="s">
        <v>605</v>
      </c>
    </row>
    <row r="863" spans="2:13">
      <c r="B863" s="744" t="s">
        <v>4185</v>
      </c>
      <c r="C863" s="744" t="s">
        <v>527</v>
      </c>
      <c r="D863" s="744" t="s">
        <v>527</v>
      </c>
      <c r="E863" s="744" t="s">
        <v>4186</v>
      </c>
      <c r="F863" s="746" t="s">
        <v>4187</v>
      </c>
      <c r="G863" s="747" t="s">
        <v>4184</v>
      </c>
      <c r="H863" s="747"/>
      <c r="I863" s="744">
        <v>1</v>
      </c>
      <c r="J863" s="744">
        <v>85</v>
      </c>
      <c r="K863" s="744">
        <v>85</v>
      </c>
      <c r="L863" s="744" t="s">
        <v>4185</v>
      </c>
      <c r="M863" s="744" t="s">
        <v>605</v>
      </c>
    </row>
    <row r="864" spans="2:13">
      <c r="B864" s="744" t="s">
        <v>4188</v>
      </c>
      <c r="C864" s="744" t="s">
        <v>527</v>
      </c>
      <c r="D864" s="744" t="s">
        <v>527</v>
      </c>
      <c r="E864" s="744" t="s">
        <v>4189</v>
      </c>
      <c r="F864" s="746" t="s">
        <v>4190</v>
      </c>
      <c r="G864" s="747" t="s">
        <v>4184</v>
      </c>
      <c r="H864" s="747"/>
      <c r="I864" s="744">
        <v>1</v>
      </c>
      <c r="J864" s="744">
        <v>165</v>
      </c>
      <c r="K864" s="744">
        <v>165</v>
      </c>
      <c r="L864" s="744" t="s">
        <v>4188</v>
      </c>
      <c r="M864" s="744" t="s">
        <v>605</v>
      </c>
    </row>
    <row r="865" spans="2:13">
      <c r="B865" s="744" t="s">
        <v>4191</v>
      </c>
      <c r="C865" s="744" t="s">
        <v>4192</v>
      </c>
      <c r="D865" s="744" t="s">
        <v>4193</v>
      </c>
      <c r="E865" s="744" t="s">
        <v>4194</v>
      </c>
      <c r="F865" s="746" t="s">
        <v>4195</v>
      </c>
      <c r="G865" s="747" t="s">
        <v>4196</v>
      </c>
      <c r="H865" s="747"/>
      <c r="I865" s="744">
        <v>1</v>
      </c>
      <c r="J865" s="744">
        <v>100</v>
      </c>
      <c r="K865" s="744">
        <v>128</v>
      </c>
      <c r="L865" s="744" t="s">
        <v>4191</v>
      </c>
      <c r="M865" s="744" t="s">
        <v>606</v>
      </c>
    </row>
    <row r="866" spans="2:13">
      <c r="B866" s="744" t="s">
        <v>434</v>
      </c>
      <c r="C866" s="744" t="s">
        <v>4192</v>
      </c>
      <c r="D866" s="744" t="s">
        <v>4193</v>
      </c>
      <c r="E866" s="744" t="s">
        <v>4197</v>
      </c>
      <c r="F866" s="746" t="s">
        <v>4198</v>
      </c>
      <c r="G866" s="747" t="s">
        <v>4196</v>
      </c>
      <c r="H866" s="747"/>
      <c r="I866" s="744">
        <v>1</v>
      </c>
      <c r="J866" s="744">
        <v>1000</v>
      </c>
      <c r="K866" s="744">
        <v>1080</v>
      </c>
      <c r="L866" s="744" t="s">
        <v>434</v>
      </c>
      <c r="M866" s="744" t="s">
        <v>606</v>
      </c>
    </row>
    <row r="867" spans="2:13">
      <c r="B867" s="744" t="s">
        <v>4199</v>
      </c>
      <c r="C867" s="744" t="s">
        <v>4192</v>
      </c>
      <c r="D867" s="744" t="s">
        <v>4193</v>
      </c>
      <c r="E867" s="744" t="s">
        <v>4200</v>
      </c>
      <c r="F867" s="746" t="s">
        <v>4201</v>
      </c>
      <c r="G867" s="747" t="s">
        <v>4196</v>
      </c>
      <c r="H867" s="747"/>
      <c r="I867" s="744">
        <v>1</v>
      </c>
      <c r="J867" s="744">
        <v>150</v>
      </c>
      <c r="K867" s="744">
        <v>190</v>
      </c>
      <c r="L867" s="744" t="s">
        <v>4199</v>
      </c>
      <c r="M867" s="744" t="s">
        <v>606</v>
      </c>
    </row>
    <row r="868" spans="2:13">
      <c r="B868" s="744" t="s">
        <v>4202</v>
      </c>
      <c r="C868" s="744" t="s">
        <v>4192</v>
      </c>
      <c r="D868" s="744" t="s">
        <v>4193</v>
      </c>
      <c r="E868" s="744" t="s">
        <v>4203</v>
      </c>
      <c r="F868" s="746" t="s">
        <v>4204</v>
      </c>
      <c r="G868" s="747" t="s">
        <v>4196</v>
      </c>
      <c r="H868" s="747"/>
      <c r="I868" s="744">
        <v>1</v>
      </c>
      <c r="J868" s="744">
        <v>1500</v>
      </c>
      <c r="K868" s="744">
        <v>1610</v>
      </c>
      <c r="L868" s="744" t="s">
        <v>4202</v>
      </c>
      <c r="M868" s="744" t="s">
        <v>606</v>
      </c>
    </row>
    <row r="869" spans="2:13">
      <c r="B869" s="744" t="s">
        <v>4205</v>
      </c>
      <c r="C869" s="744" t="s">
        <v>4192</v>
      </c>
      <c r="D869" s="744" t="s">
        <v>4193</v>
      </c>
      <c r="E869" s="744" t="s">
        <v>4206</v>
      </c>
      <c r="F869" s="746" t="s">
        <v>4207</v>
      </c>
      <c r="G869" s="747" t="s">
        <v>4196</v>
      </c>
      <c r="H869" s="747"/>
      <c r="I869" s="744">
        <v>1</v>
      </c>
      <c r="J869" s="744">
        <v>175</v>
      </c>
      <c r="K869" s="744">
        <v>215</v>
      </c>
      <c r="L869" s="744" t="s">
        <v>4205</v>
      </c>
      <c r="M869" s="744" t="s">
        <v>606</v>
      </c>
    </row>
    <row r="870" spans="2:13">
      <c r="B870" s="744" t="s">
        <v>4208</v>
      </c>
      <c r="C870" s="744" t="s">
        <v>4192</v>
      </c>
      <c r="D870" s="744" t="s">
        <v>4193</v>
      </c>
      <c r="E870" s="744" t="s">
        <v>4209</v>
      </c>
      <c r="F870" s="746" t="s">
        <v>4210</v>
      </c>
      <c r="G870" s="747" t="s">
        <v>4196</v>
      </c>
      <c r="H870" s="747"/>
      <c r="I870" s="744">
        <v>1</v>
      </c>
      <c r="J870" s="744">
        <v>1800</v>
      </c>
      <c r="K870" s="744">
        <v>1875</v>
      </c>
      <c r="L870" s="744" t="s">
        <v>4208</v>
      </c>
      <c r="M870" s="744" t="s">
        <v>606</v>
      </c>
    </row>
    <row r="871" spans="2:13">
      <c r="B871" s="744" t="s">
        <v>4211</v>
      </c>
      <c r="C871" s="744" t="s">
        <v>4192</v>
      </c>
      <c r="D871" s="744" t="s">
        <v>4193</v>
      </c>
      <c r="E871" s="744" t="s">
        <v>4212</v>
      </c>
      <c r="F871" s="746" t="s">
        <v>4213</v>
      </c>
      <c r="G871" s="747" t="s">
        <v>4196</v>
      </c>
      <c r="H871" s="747"/>
      <c r="I871" s="744">
        <v>1</v>
      </c>
      <c r="J871" s="744">
        <v>200</v>
      </c>
      <c r="K871" s="744">
        <v>232</v>
      </c>
      <c r="L871" s="744" t="s">
        <v>4211</v>
      </c>
      <c r="M871" s="744" t="s">
        <v>606</v>
      </c>
    </row>
    <row r="872" spans="2:13">
      <c r="B872" s="744" t="s">
        <v>430</v>
      </c>
      <c r="C872" s="744" t="s">
        <v>4192</v>
      </c>
      <c r="D872" s="744" t="s">
        <v>4193</v>
      </c>
      <c r="E872" s="744" t="s">
        <v>4214</v>
      </c>
      <c r="F872" s="746" t="s">
        <v>4215</v>
      </c>
      <c r="G872" s="747" t="s">
        <v>4196</v>
      </c>
      <c r="H872" s="747"/>
      <c r="I872" s="744">
        <v>1</v>
      </c>
      <c r="J872" s="744">
        <v>250</v>
      </c>
      <c r="K872" s="744">
        <v>295</v>
      </c>
      <c r="L872" s="744" t="s">
        <v>430</v>
      </c>
      <c r="M872" s="744" t="s">
        <v>606</v>
      </c>
    </row>
    <row r="873" spans="2:13">
      <c r="B873" s="744" t="s">
        <v>4216</v>
      </c>
      <c r="C873" s="744" t="s">
        <v>4192</v>
      </c>
      <c r="D873" s="744" t="s">
        <v>4193</v>
      </c>
      <c r="E873" s="744" t="s">
        <v>4217</v>
      </c>
      <c r="F873" s="746" t="s">
        <v>4218</v>
      </c>
      <c r="G873" s="747" t="s">
        <v>4196</v>
      </c>
      <c r="H873" s="747"/>
      <c r="I873" s="744">
        <v>1</v>
      </c>
      <c r="J873" s="744">
        <v>32</v>
      </c>
      <c r="K873" s="744">
        <v>43</v>
      </c>
      <c r="L873" s="744" t="s">
        <v>4216</v>
      </c>
      <c r="M873" s="744" t="s">
        <v>606</v>
      </c>
    </row>
    <row r="874" spans="2:13">
      <c r="B874" s="744" t="s">
        <v>4219</v>
      </c>
      <c r="C874" s="744" t="s">
        <v>4192</v>
      </c>
      <c r="D874" s="744" t="s">
        <v>4193</v>
      </c>
      <c r="E874" s="744" t="s">
        <v>4220</v>
      </c>
      <c r="F874" s="746" t="s">
        <v>4221</v>
      </c>
      <c r="G874" s="747" t="s">
        <v>4196</v>
      </c>
      <c r="H874" s="747"/>
      <c r="I874" s="744">
        <v>1</v>
      </c>
      <c r="J874" s="744">
        <v>300</v>
      </c>
      <c r="K874" s="744">
        <v>342</v>
      </c>
      <c r="L874" s="744" t="s">
        <v>4219</v>
      </c>
      <c r="M874" s="744" t="s">
        <v>606</v>
      </c>
    </row>
    <row r="875" spans="2:13">
      <c r="B875" s="744" t="s">
        <v>4222</v>
      </c>
      <c r="C875" s="744" t="s">
        <v>4192</v>
      </c>
      <c r="D875" s="744" t="s">
        <v>4193</v>
      </c>
      <c r="E875" s="744" t="s">
        <v>4223</v>
      </c>
      <c r="F875" s="746" t="s">
        <v>4224</v>
      </c>
      <c r="G875" s="747" t="s">
        <v>4196</v>
      </c>
      <c r="H875" s="747"/>
      <c r="I875" s="744">
        <v>1</v>
      </c>
      <c r="J875" s="744">
        <v>320</v>
      </c>
      <c r="K875" s="744">
        <v>365</v>
      </c>
      <c r="L875" s="744" t="s">
        <v>4222</v>
      </c>
      <c r="M875" s="744" t="s">
        <v>606</v>
      </c>
    </row>
    <row r="876" spans="2:13">
      <c r="B876" s="744" t="s">
        <v>4225</v>
      </c>
      <c r="C876" s="744" t="s">
        <v>4192</v>
      </c>
      <c r="D876" s="744" t="s">
        <v>4193</v>
      </c>
      <c r="E876" s="744" t="s">
        <v>4226</v>
      </c>
      <c r="F876" s="746" t="s">
        <v>4227</v>
      </c>
      <c r="G876" s="747" t="s">
        <v>4196</v>
      </c>
      <c r="H876" s="747"/>
      <c r="I876" s="744">
        <v>1</v>
      </c>
      <c r="J876" s="744">
        <v>350</v>
      </c>
      <c r="K876" s="744">
        <v>400</v>
      </c>
      <c r="L876" s="744" t="s">
        <v>4225</v>
      </c>
      <c r="M876" s="744" t="s">
        <v>606</v>
      </c>
    </row>
    <row r="877" spans="2:13">
      <c r="B877" s="744" t="s">
        <v>4228</v>
      </c>
      <c r="C877" s="744" t="s">
        <v>4192</v>
      </c>
      <c r="D877" s="744" t="s">
        <v>4193</v>
      </c>
      <c r="E877" s="744" t="s">
        <v>4229</v>
      </c>
      <c r="F877" s="746" t="s">
        <v>4230</v>
      </c>
      <c r="G877" s="747" t="s">
        <v>4196</v>
      </c>
      <c r="H877" s="747"/>
      <c r="I877" s="744">
        <v>1</v>
      </c>
      <c r="J877" s="744">
        <v>360</v>
      </c>
      <c r="K877" s="744">
        <v>430</v>
      </c>
      <c r="L877" s="744" t="s">
        <v>4228</v>
      </c>
      <c r="M877" s="744" t="s">
        <v>606</v>
      </c>
    </row>
    <row r="878" spans="2:13">
      <c r="B878" s="744" t="s">
        <v>4231</v>
      </c>
      <c r="C878" s="744" t="s">
        <v>4192</v>
      </c>
      <c r="D878" s="744" t="s">
        <v>4193</v>
      </c>
      <c r="E878" s="744" t="s">
        <v>4232</v>
      </c>
      <c r="F878" s="746" t="s">
        <v>4233</v>
      </c>
      <c r="G878" s="747" t="s">
        <v>4196</v>
      </c>
      <c r="H878" s="747"/>
      <c r="I878" s="744">
        <v>1</v>
      </c>
      <c r="J878" s="744">
        <v>400</v>
      </c>
      <c r="K878" s="744">
        <v>458</v>
      </c>
      <c r="L878" s="744" t="s">
        <v>4231</v>
      </c>
      <c r="M878" s="744" t="s">
        <v>606</v>
      </c>
    </row>
    <row r="879" spans="2:13">
      <c r="B879" s="744" t="s">
        <v>4234</v>
      </c>
      <c r="C879" s="744" t="s">
        <v>4192</v>
      </c>
      <c r="D879" s="744" t="s">
        <v>4193</v>
      </c>
      <c r="E879" s="744" t="s">
        <v>4235</v>
      </c>
      <c r="F879" s="746" t="s">
        <v>4236</v>
      </c>
      <c r="G879" s="747" t="s">
        <v>4196</v>
      </c>
      <c r="H879" s="747"/>
      <c r="I879" s="744">
        <v>1</v>
      </c>
      <c r="J879" s="744">
        <v>450</v>
      </c>
      <c r="K879" s="744">
        <v>508</v>
      </c>
      <c r="L879" s="744" t="s">
        <v>4234</v>
      </c>
      <c r="M879" s="744" t="s">
        <v>606</v>
      </c>
    </row>
    <row r="880" spans="2:13">
      <c r="B880" s="744" t="s">
        <v>4237</v>
      </c>
      <c r="C880" s="744" t="s">
        <v>4192</v>
      </c>
      <c r="D880" s="744" t="s">
        <v>4193</v>
      </c>
      <c r="E880" s="744" t="s">
        <v>4238</v>
      </c>
      <c r="F880" s="746" t="s">
        <v>4239</v>
      </c>
      <c r="G880" s="747" t="s">
        <v>4196</v>
      </c>
      <c r="H880" s="747"/>
      <c r="I880" s="744">
        <v>1</v>
      </c>
      <c r="J880" s="744">
        <v>35</v>
      </c>
      <c r="K880" s="744">
        <v>44</v>
      </c>
      <c r="L880" s="744" t="s">
        <v>4237</v>
      </c>
      <c r="M880" s="744" t="s">
        <v>606</v>
      </c>
    </row>
    <row r="881" spans="2:13">
      <c r="B881" s="744" t="s">
        <v>4240</v>
      </c>
      <c r="C881" s="744" t="s">
        <v>4192</v>
      </c>
      <c r="D881" s="744" t="s">
        <v>4193</v>
      </c>
      <c r="E881" s="744" t="s">
        <v>4241</v>
      </c>
      <c r="F881" s="746" t="s">
        <v>4242</v>
      </c>
      <c r="G881" s="747" t="s">
        <v>4196</v>
      </c>
      <c r="H881" s="747"/>
      <c r="I881" s="744">
        <v>1</v>
      </c>
      <c r="J881" s="744">
        <v>50</v>
      </c>
      <c r="K881" s="744">
        <v>72</v>
      </c>
      <c r="L881" s="744" t="s">
        <v>4240</v>
      </c>
      <c r="M881" s="744" t="s">
        <v>606</v>
      </c>
    </row>
    <row r="882" spans="2:13">
      <c r="B882" s="744" t="s">
        <v>4243</v>
      </c>
      <c r="C882" s="744" t="s">
        <v>4192</v>
      </c>
      <c r="D882" s="744" t="s">
        <v>4193</v>
      </c>
      <c r="E882" s="744" t="s">
        <v>4244</v>
      </c>
      <c r="F882" s="746" t="s">
        <v>4245</v>
      </c>
      <c r="G882" s="747" t="s">
        <v>4196</v>
      </c>
      <c r="H882" s="747"/>
      <c r="I882" s="744">
        <v>1</v>
      </c>
      <c r="J882" s="744">
        <v>70</v>
      </c>
      <c r="K882" s="744">
        <v>95</v>
      </c>
      <c r="L882" s="744" t="s">
        <v>4243</v>
      </c>
      <c r="M882" s="744" t="s">
        <v>606</v>
      </c>
    </row>
    <row r="883" spans="2:13">
      <c r="B883" s="744" t="s">
        <v>4246</v>
      </c>
      <c r="C883" s="744" t="s">
        <v>4192</v>
      </c>
      <c r="D883" s="744" t="s">
        <v>4193</v>
      </c>
      <c r="E883" s="744" t="s">
        <v>4247</v>
      </c>
      <c r="F883" s="746" t="s">
        <v>4248</v>
      </c>
      <c r="G883" s="747" t="s">
        <v>4196</v>
      </c>
      <c r="H883" s="747"/>
      <c r="I883" s="744">
        <v>1</v>
      </c>
      <c r="J883" s="744">
        <v>750</v>
      </c>
      <c r="K883" s="744">
        <v>850</v>
      </c>
      <c r="L883" s="744" t="s">
        <v>4246</v>
      </c>
      <c r="M883" s="744" t="s">
        <v>606</v>
      </c>
    </row>
    <row r="884" spans="2:13">
      <c r="B884" s="744" t="s">
        <v>4249</v>
      </c>
      <c r="C884" s="744" t="s">
        <v>4192</v>
      </c>
      <c r="D884" s="744" t="s">
        <v>4193</v>
      </c>
      <c r="E884" s="744" t="s">
        <v>4232</v>
      </c>
      <c r="F884" s="746" t="s">
        <v>4250</v>
      </c>
      <c r="G884" s="747" t="s">
        <v>4196</v>
      </c>
      <c r="H884" s="747"/>
      <c r="I884" s="744">
        <v>2</v>
      </c>
      <c r="J884" s="744">
        <v>400</v>
      </c>
      <c r="K884" s="744">
        <v>916</v>
      </c>
      <c r="L884" s="744" t="s">
        <v>4249</v>
      </c>
      <c r="M884" s="744" t="s">
        <v>606</v>
      </c>
    </row>
    <row r="885" spans="2:13">
      <c r="B885" s="744" t="s">
        <v>4251</v>
      </c>
      <c r="C885" s="744" t="s">
        <v>4192</v>
      </c>
      <c r="D885" s="744" t="s">
        <v>4252</v>
      </c>
      <c r="E885" s="744" t="s">
        <v>4253</v>
      </c>
      <c r="F885" s="746" t="s">
        <v>4254</v>
      </c>
      <c r="G885" s="747" t="s">
        <v>1166</v>
      </c>
      <c r="H885" s="747"/>
      <c r="I885" s="744">
        <v>1</v>
      </c>
      <c r="J885" s="744">
        <v>100</v>
      </c>
      <c r="K885" s="744">
        <v>118</v>
      </c>
      <c r="L885" s="744" t="s">
        <v>4251</v>
      </c>
      <c r="M885" s="744" t="s">
        <v>606</v>
      </c>
    </row>
    <row r="886" spans="2:13">
      <c r="B886" s="744" t="s">
        <v>4255</v>
      </c>
      <c r="C886" s="744" t="s">
        <v>4192</v>
      </c>
      <c r="D886" s="744" t="s">
        <v>4252</v>
      </c>
      <c r="E886" s="744" t="s">
        <v>4256</v>
      </c>
      <c r="F886" s="746" t="s">
        <v>4257</v>
      </c>
      <c r="G886" s="747" t="s">
        <v>1166</v>
      </c>
      <c r="H886" s="747"/>
      <c r="I886" s="744">
        <v>1</v>
      </c>
      <c r="J886" s="744">
        <v>150</v>
      </c>
      <c r="K886" s="744">
        <v>170</v>
      </c>
      <c r="L886" s="744" t="s">
        <v>4255</v>
      </c>
      <c r="M886" s="744" t="s">
        <v>606</v>
      </c>
    </row>
    <row r="887" spans="2:13">
      <c r="B887" s="744" t="s">
        <v>4258</v>
      </c>
      <c r="C887" s="744" t="s">
        <v>4192</v>
      </c>
      <c r="D887" s="744" t="s">
        <v>4252</v>
      </c>
      <c r="E887" s="744" t="s">
        <v>4259</v>
      </c>
      <c r="F887" s="746" t="s">
        <v>4260</v>
      </c>
      <c r="G887" s="747" t="s">
        <v>1166</v>
      </c>
      <c r="H887" s="747"/>
      <c r="I887" s="744">
        <v>1</v>
      </c>
      <c r="J887" s="744">
        <v>175</v>
      </c>
      <c r="K887" s="744">
        <v>194</v>
      </c>
      <c r="L887" s="744" t="s">
        <v>4258</v>
      </c>
      <c r="M887" s="744" t="s">
        <v>606</v>
      </c>
    </row>
    <row r="888" spans="2:13">
      <c r="B888" s="744" t="s">
        <v>4261</v>
      </c>
      <c r="C888" s="744" t="s">
        <v>4192</v>
      </c>
      <c r="D888" s="744" t="s">
        <v>4252</v>
      </c>
      <c r="E888" s="744" t="s">
        <v>4262</v>
      </c>
      <c r="F888" s="746" t="s">
        <v>4263</v>
      </c>
      <c r="G888" s="747" t="s">
        <v>1166</v>
      </c>
      <c r="H888" s="747"/>
      <c r="I888" s="744">
        <v>1</v>
      </c>
      <c r="J888" s="744">
        <v>200</v>
      </c>
      <c r="K888" s="744">
        <v>219</v>
      </c>
      <c r="L888" s="744" t="s">
        <v>4261</v>
      </c>
      <c r="M888" s="744" t="s">
        <v>606</v>
      </c>
    </row>
    <row r="889" spans="2:13">
      <c r="B889" s="744" t="s">
        <v>4264</v>
      </c>
      <c r="C889" s="744" t="s">
        <v>4192</v>
      </c>
      <c r="D889" s="744" t="s">
        <v>4252</v>
      </c>
      <c r="E889" s="744" t="s">
        <v>4265</v>
      </c>
      <c r="F889" s="746" t="s">
        <v>4266</v>
      </c>
      <c r="G889" s="747" t="s">
        <v>1166</v>
      </c>
      <c r="H889" s="747"/>
      <c r="I889" s="744">
        <v>1</v>
      </c>
      <c r="J889" s="744">
        <v>250</v>
      </c>
      <c r="K889" s="744">
        <v>275</v>
      </c>
      <c r="L889" s="744" t="s">
        <v>4264</v>
      </c>
      <c r="M889" s="744" t="s">
        <v>606</v>
      </c>
    </row>
    <row r="890" spans="2:13">
      <c r="B890" s="744" t="s">
        <v>4267</v>
      </c>
      <c r="C890" s="744" t="s">
        <v>4192</v>
      </c>
      <c r="D890" s="744" t="s">
        <v>4252</v>
      </c>
      <c r="E890" s="744" t="s">
        <v>4268</v>
      </c>
      <c r="F890" s="746" t="s">
        <v>4269</v>
      </c>
      <c r="G890" s="747" t="s">
        <v>1166</v>
      </c>
      <c r="H890" s="747"/>
      <c r="I890" s="744">
        <v>1</v>
      </c>
      <c r="J890" s="744">
        <v>300</v>
      </c>
      <c r="K890" s="744">
        <v>324</v>
      </c>
      <c r="L890" s="744" t="s">
        <v>4267</v>
      </c>
      <c r="M890" s="744" t="s">
        <v>606</v>
      </c>
    </row>
    <row r="891" spans="2:13">
      <c r="B891" s="744" t="s">
        <v>4270</v>
      </c>
      <c r="C891" s="744" t="s">
        <v>4192</v>
      </c>
      <c r="D891" s="744" t="s">
        <v>4252</v>
      </c>
      <c r="E891" s="744" t="s">
        <v>4271</v>
      </c>
      <c r="F891" s="746" t="s">
        <v>4272</v>
      </c>
      <c r="G891" s="747" t="s">
        <v>1166</v>
      </c>
      <c r="H891" s="747"/>
      <c r="I891" s="744">
        <v>1</v>
      </c>
      <c r="J891" s="744">
        <v>320</v>
      </c>
      <c r="K891" s="744">
        <v>349</v>
      </c>
      <c r="L891" s="744" t="s">
        <v>4270</v>
      </c>
      <c r="M891" s="744" t="s">
        <v>606</v>
      </c>
    </row>
    <row r="892" spans="2:13">
      <c r="B892" s="744" t="s">
        <v>4273</v>
      </c>
      <c r="C892" s="744" t="s">
        <v>4192</v>
      </c>
      <c r="D892" s="744" t="s">
        <v>4252</v>
      </c>
      <c r="E892" s="744" t="s">
        <v>4274</v>
      </c>
      <c r="F892" s="746" t="s">
        <v>4275</v>
      </c>
      <c r="G892" s="747" t="s">
        <v>1166</v>
      </c>
      <c r="H892" s="747"/>
      <c r="I892" s="744">
        <v>1</v>
      </c>
      <c r="J892" s="744">
        <v>350</v>
      </c>
      <c r="K892" s="744">
        <v>380</v>
      </c>
      <c r="L892" s="744" t="s">
        <v>4273</v>
      </c>
      <c r="M892" s="744" t="s">
        <v>606</v>
      </c>
    </row>
    <row r="893" spans="2:13">
      <c r="B893" s="744" t="s">
        <v>4276</v>
      </c>
      <c r="C893" s="744" t="s">
        <v>4192</v>
      </c>
      <c r="D893" s="744" t="s">
        <v>4252</v>
      </c>
      <c r="E893" s="744" t="s">
        <v>4277</v>
      </c>
      <c r="F893" s="746" t="s">
        <v>4278</v>
      </c>
      <c r="G893" s="747" t="s">
        <v>1166</v>
      </c>
      <c r="H893" s="747"/>
      <c r="I893" s="744">
        <v>1</v>
      </c>
      <c r="J893" s="744">
        <v>400</v>
      </c>
      <c r="K893" s="744">
        <v>435</v>
      </c>
      <c r="L893" s="744" t="s">
        <v>4276</v>
      </c>
      <c r="M893" s="744" t="s">
        <v>606</v>
      </c>
    </row>
    <row r="894" spans="2:13">
      <c r="B894" s="744" t="s">
        <v>4279</v>
      </c>
      <c r="C894" s="744" t="s">
        <v>4192</v>
      </c>
      <c r="D894" s="744" t="s">
        <v>4252</v>
      </c>
      <c r="E894" s="744" t="s">
        <v>4280</v>
      </c>
      <c r="F894" s="746" t="s">
        <v>4281</v>
      </c>
      <c r="G894" s="747" t="s">
        <v>1166</v>
      </c>
      <c r="H894" s="747"/>
      <c r="I894" s="744">
        <v>1</v>
      </c>
      <c r="J894" s="744">
        <v>450</v>
      </c>
      <c r="K894" s="744">
        <v>485</v>
      </c>
      <c r="L894" s="744" t="s">
        <v>4279</v>
      </c>
      <c r="M894" s="744" t="s">
        <v>606</v>
      </c>
    </row>
    <row r="895" spans="2:13">
      <c r="B895" s="744" t="s">
        <v>4282</v>
      </c>
      <c r="C895" s="744" t="s">
        <v>4192</v>
      </c>
      <c r="D895" s="744" t="s">
        <v>4252</v>
      </c>
      <c r="E895" s="744" t="s">
        <v>4283</v>
      </c>
      <c r="F895" s="746" t="s">
        <v>4284</v>
      </c>
      <c r="G895" s="747" t="s">
        <v>1166</v>
      </c>
      <c r="H895" s="747"/>
      <c r="I895" s="744">
        <v>1</v>
      </c>
      <c r="J895" s="744">
        <v>750</v>
      </c>
      <c r="K895" s="744">
        <v>805</v>
      </c>
      <c r="L895" s="744" t="s">
        <v>4282</v>
      </c>
      <c r="M895" s="744" t="s">
        <v>606</v>
      </c>
    </row>
    <row r="896" spans="2:13">
      <c r="B896" s="744" t="s">
        <v>4285</v>
      </c>
      <c r="C896" s="744" t="s">
        <v>4192</v>
      </c>
      <c r="D896" s="744" t="s">
        <v>4252</v>
      </c>
      <c r="E896" s="744" t="s">
        <v>4253</v>
      </c>
      <c r="F896" s="746" t="s">
        <v>4286</v>
      </c>
      <c r="G896" s="747" t="s">
        <v>4287</v>
      </c>
      <c r="H896" s="747"/>
      <c r="I896" s="744">
        <v>1</v>
      </c>
      <c r="J896" s="744">
        <v>100</v>
      </c>
      <c r="K896" s="744">
        <v>128</v>
      </c>
      <c r="L896" s="744" t="s">
        <v>4285</v>
      </c>
      <c r="M896" s="744" t="s">
        <v>606</v>
      </c>
    </row>
    <row r="897" spans="2:13">
      <c r="B897" s="744" t="s">
        <v>4288</v>
      </c>
      <c r="C897" s="744" t="s">
        <v>4192</v>
      </c>
      <c r="D897" s="744" t="s">
        <v>4252</v>
      </c>
      <c r="E897" s="744" t="s">
        <v>4289</v>
      </c>
      <c r="F897" s="746" t="s">
        <v>4290</v>
      </c>
      <c r="G897" s="747" t="s">
        <v>4287</v>
      </c>
      <c r="H897" s="747"/>
      <c r="I897" s="744">
        <v>1</v>
      </c>
      <c r="J897" s="744">
        <v>1000</v>
      </c>
      <c r="K897" s="744">
        <v>1080</v>
      </c>
      <c r="L897" s="744" t="s">
        <v>4288</v>
      </c>
      <c r="M897" s="744" t="s">
        <v>606</v>
      </c>
    </row>
    <row r="898" spans="2:13">
      <c r="B898" s="744" t="s">
        <v>4291</v>
      </c>
      <c r="C898" s="744" t="s">
        <v>4192</v>
      </c>
      <c r="D898" s="744" t="s">
        <v>4252</v>
      </c>
      <c r="E898" s="744" t="s">
        <v>4256</v>
      </c>
      <c r="F898" s="746" t="s">
        <v>4292</v>
      </c>
      <c r="G898" s="747" t="s">
        <v>4287</v>
      </c>
      <c r="H898" s="747"/>
      <c r="I898" s="744">
        <v>1</v>
      </c>
      <c r="J898" s="744">
        <v>150</v>
      </c>
      <c r="K898" s="744">
        <v>190</v>
      </c>
      <c r="L898" s="744" t="s">
        <v>4291</v>
      </c>
      <c r="M898" s="744" t="s">
        <v>606</v>
      </c>
    </row>
    <row r="899" spans="2:13">
      <c r="B899" s="744" t="s">
        <v>4293</v>
      </c>
      <c r="C899" s="744" t="s">
        <v>4192</v>
      </c>
      <c r="D899" s="744" t="s">
        <v>4252</v>
      </c>
      <c r="E899" s="744" t="s">
        <v>4259</v>
      </c>
      <c r="F899" s="746" t="s">
        <v>4294</v>
      </c>
      <c r="G899" s="747" t="s">
        <v>4287</v>
      </c>
      <c r="H899" s="747"/>
      <c r="I899" s="744">
        <v>1</v>
      </c>
      <c r="J899" s="744">
        <v>175</v>
      </c>
      <c r="K899" s="744">
        <v>208</v>
      </c>
      <c r="L899" s="744" t="s">
        <v>4293</v>
      </c>
      <c r="M899" s="744" t="s">
        <v>606</v>
      </c>
    </row>
    <row r="900" spans="2:13">
      <c r="B900" s="744" t="s">
        <v>4295</v>
      </c>
      <c r="C900" s="744" t="s">
        <v>4192</v>
      </c>
      <c r="D900" s="744" t="s">
        <v>4252</v>
      </c>
      <c r="E900" s="744" t="s">
        <v>4262</v>
      </c>
      <c r="F900" s="746" t="s">
        <v>4296</v>
      </c>
      <c r="G900" s="747" t="s">
        <v>4287</v>
      </c>
      <c r="H900" s="747"/>
      <c r="I900" s="744">
        <v>1</v>
      </c>
      <c r="J900" s="744">
        <v>200</v>
      </c>
      <c r="K900" s="744">
        <v>232</v>
      </c>
      <c r="L900" s="744" t="s">
        <v>4295</v>
      </c>
      <c r="M900" s="744" t="s">
        <v>606</v>
      </c>
    </row>
    <row r="901" spans="2:13">
      <c r="B901" s="744" t="s">
        <v>4297</v>
      </c>
      <c r="C901" s="744" t="s">
        <v>4192</v>
      </c>
      <c r="D901" s="744" t="s">
        <v>4252</v>
      </c>
      <c r="E901" s="744" t="s">
        <v>4265</v>
      </c>
      <c r="F901" s="746" t="s">
        <v>4298</v>
      </c>
      <c r="G901" s="747" t="s">
        <v>4287</v>
      </c>
      <c r="H901" s="747"/>
      <c r="I901" s="744">
        <v>1</v>
      </c>
      <c r="J901" s="744">
        <v>250</v>
      </c>
      <c r="K901" s="744">
        <v>288</v>
      </c>
      <c r="L901" s="744" t="s">
        <v>4297</v>
      </c>
      <c r="M901" s="744" t="s">
        <v>606</v>
      </c>
    </row>
    <row r="902" spans="2:13">
      <c r="B902" s="744" t="s">
        <v>4299</v>
      </c>
      <c r="C902" s="744" t="s">
        <v>4192</v>
      </c>
      <c r="D902" s="744" t="s">
        <v>4252</v>
      </c>
      <c r="E902" s="744" t="s">
        <v>4268</v>
      </c>
      <c r="F902" s="746" t="s">
        <v>4300</v>
      </c>
      <c r="G902" s="747" t="s">
        <v>4287</v>
      </c>
      <c r="H902" s="747"/>
      <c r="I902" s="744">
        <v>1</v>
      </c>
      <c r="J902" s="744">
        <v>300</v>
      </c>
      <c r="K902" s="744">
        <v>342</v>
      </c>
      <c r="L902" s="744" t="s">
        <v>4299</v>
      </c>
      <c r="M902" s="744" t="s">
        <v>606</v>
      </c>
    </row>
    <row r="903" spans="2:13">
      <c r="B903" s="744" t="s">
        <v>4301</v>
      </c>
      <c r="C903" s="744" t="s">
        <v>4192</v>
      </c>
      <c r="D903" s="744" t="s">
        <v>4252</v>
      </c>
      <c r="E903" s="744" t="s">
        <v>4271</v>
      </c>
      <c r="F903" s="746" t="s">
        <v>4302</v>
      </c>
      <c r="G903" s="747" t="s">
        <v>4287</v>
      </c>
      <c r="H903" s="747"/>
      <c r="I903" s="744">
        <v>1</v>
      </c>
      <c r="J903" s="744">
        <v>320</v>
      </c>
      <c r="K903" s="744">
        <v>368</v>
      </c>
      <c r="L903" s="744" t="s">
        <v>4301</v>
      </c>
      <c r="M903" s="744" t="s">
        <v>606</v>
      </c>
    </row>
    <row r="904" spans="2:13">
      <c r="B904" s="744" t="s">
        <v>4303</v>
      </c>
      <c r="C904" s="744" t="s">
        <v>4192</v>
      </c>
      <c r="D904" s="744" t="s">
        <v>4252</v>
      </c>
      <c r="E904" s="744" t="s">
        <v>4274</v>
      </c>
      <c r="F904" s="746" t="s">
        <v>4304</v>
      </c>
      <c r="G904" s="747" t="s">
        <v>4287</v>
      </c>
      <c r="H904" s="747"/>
      <c r="I904" s="744">
        <v>1</v>
      </c>
      <c r="J904" s="744">
        <v>350</v>
      </c>
      <c r="K904" s="744">
        <v>400</v>
      </c>
      <c r="L904" s="744" t="s">
        <v>4303</v>
      </c>
      <c r="M904" s="744" t="s">
        <v>606</v>
      </c>
    </row>
    <row r="905" spans="2:13">
      <c r="B905" s="744" t="s">
        <v>4305</v>
      </c>
      <c r="C905" s="744" t="s">
        <v>4192</v>
      </c>
      <c r="D905" s="744" t="s">
        <v>4252</v>
      </c>
      <c r="E905" s="744" t="s">
        <v>4277</v>
      </c>
      <c r="F905" s="746" t="s">
        <v>4306</v>
      </c>
      <c r="G905" s="747" t="s">
        <v>4287</v>
      </c>
      <c r="H905" s="747"/>
      <c r="I905" s="744">
        <v>1</v>
      </c>
      <c r="J905" s="744">
        <v>400</v>
      </c>
      <c r="K905" s="744">
        <v>450</v>
      </c>
      <c r="L905" s="744" t="s">
        <v>4305</v>
      </c>
      <c r="M905" s="744" t="s">
        <v>606</v>
      </c>
    </row>
    <row r="906" spans="2:13">
      <c r="B906" s="744" t="s">
        <v>4307</v>
      </c>
      <c r="C906" s="744" t="s">
        <v>4192</v>
      </c>
      <c r="D906" s="744" t="s">
        <v>4252</v>
      </c>
      <c r="E906" s="744" t="s">
        <v>4280</v>
      </c>
      <c r="F906" s="746" t="s">
        <v>4308</v>
      </c>
      <c r="G906" s="747" t="s">
        <v>4287</v>
      </c>
      <c r="H906" s="747"/>
      <c r="I906" s="744">
        <v>1</v>
      </c>
      <c r="J906" s="744">
        <v>450</v>
      </c>
      <c r="K906" s="744">
        <v>506</v>
      </c>
      <c r="L906" s="744" t="s">
        <v>4307</v>
      </c>
      <c r="M906" s="744" t="s">
        <v>606</v>
      </c>
    </row>
    <row r="907" spans="2:13">
      <c r="B907" s="744" t="s">
        <v>4309</v>
      </c>
      <c r="C907" s="744" t="s">
        <v>4192</v>
      </c>
      <c r="D907" s="744" t="s">
        <v>4252</v>
      </c>
      <c r="E907" s="744" t="s">
        <v>4283</v>
      </c>
      <c r="F907" s="746" t="s">
        <v>4310</v>
      </c>
      <c r="G907" s="747" t="s">
        <v>4287</v>
      </c>
      <c r="H907" s="747"/>
      <c r="I907" s="744">
        <v>1</v>
      </c>
      <c r="J907" s="744">
        <v>750</v>
      </c>
      <c r="K907" s="744">
        <v>815</v>
      </c>
      <c r="L907" s="744" t="s">
        <v>4309</v>
      </c>
      <c r="M907" s="744" t="s">
        <v>606</v>
      </c>
    </row>
    <row r="908" spans="2:13">
      <c r="B908" s="744" t="s">
        <v>4311</v>
      </c>
      <c r="C908" s="744" t="s">
        <v>4192</v>
      </c>
      <c r="D908" s="744" t="s">
        <v>4312</v>
      </c>
      <c r="E908" s="744" t="s">
        <v>4313</v>
      </c>
      <c r="F908" s="746" t="s">
        <v>4314</v>
      </c>
      <c r="G908" s="747" t="s">
        <v>4196</v>
      </c>
      <c r="H908" s="747"/>
      <c r="I908" s="744">
        <v>1</v>
      </c>
      <c r="J908" s="744">
        <v>100</v>
      </c>
      <c r="K908" s="744">
        <v>138</v>
      </c>
      <c r="L908" s="744" t="s">
        <v>4311</v>
      </c>
      <c r="M908" s="744" t="s">
        <v>606</v>
      </c>
    </row>
    <row r="909" spans="2:13">
      <c r="B909" s="744" t="s">
        <v>4315</v>
      </c>
      <c r="C909" s="744" t="s">
        <v>4192</v>
      </c>
      <c r="D909" s="744" t="s">
        <v>4312</v>
      </c>
      <c r="E909" s="744" t="s">
        <v>4316</v>
      </c>
      <c r="F909" s="746" t="s">
        <v>4317</v>
      </c>
      <c r="G909" s="747" t="s">
        <v>4196</v>
      </c>
      <c r="H909" s="747"/>
      <c r="I909" s="744">
        <v>1</v>
      </c>
      <c r="J909" s="744">
        <v>1000</v>
      </c>
      <c r="K909" s="744">
        <v>1100</v>
      </c>
      <c r="L909" s="744" t="s">
        <v>4315</v>
      </c>
      <c r="M909" s="744" t="s">
        <v>606</v>
      </c>
    </row>
    <row r="910" spans="2:13">
      <c r="B910" s="744" t="s">
        <v>4318</v>
      </c>
      <c r="C910" s="744" t="s">
        <v>4192</v>
      </c>
      <c r="D910" s="744" t="s">
        <v>4312</v>
      </c>
      <c r="E910" s="744" t="s">
        <v>4319</v>
      </c>
      <c r="F910" s="746" t="s">
        <v>4320</v>
      </c>
      <c r="G910" s="747" t="s">
        <v>4196</v>
      </c>
      <c r="H910" s="747"/>
      <c r="I910" s="744">
        <v>1</v>
      </c>
      <c r="J910" s="744">
        <v>150</v>
      </c>
      <c r="K910" s="744">
        <v>188</v>
      </c>
      <c r="L910" s="744" t="s">
        <v>4318</v>
      </c>
      <c r="M910" s="744" t="s">
        <v>606</v>
      </c>
    </row>
    <row r="911" spans="2:13">
      <c r="B911" s="744" t="s">
        <v>4321</v>
      </c>
      <c r="C911" s="744" t="s">
        <v>4192</v>
      </c>
      <c r="D911" s="744" t="s">
        <v>4312</v>
      </c>
      <c r="E911" s="744" t="s">
        <v>4322</v>
      </c>
      <c r="F911" s="746" t="s">
        <v>4323</v>
      </c>
      <c r="G911" s="747" t="s">
        <v>4196</v>
      </c>
      <c r="H911" s="747"/>
      <c r="I911" s="744">
        <v>1</v>
      </c>
      <c r="J911" s="744">
        <v>200</v>
      </c>
      <c r="K911" s="744">
        <v>250</v>
      </c>
      <c r="L911" s="744" t="s">
        <v>4321</v>
      </c>
      <c r="M911" s="744" t="s">
        <v>606</v>
      </c>
    </row>
    <row r="912" spans="2:13">
      <c r="B912" s="744" t="s">
        <v>4324</v>
      </c>
      <c r="C912" s="744" t="s">
        <v>4192</v>
      </c>
      <c r="D912" s="744" t="s">
        <v>4312</v>
      </c>
      <c r="E912" s="744" t="s">
        <v>4325</v>
      </c>
      <c r="F912" s="746" t="s">
        <v>4326</v>
      </c>
      <c r="G912" s="747" t="s">
        <v>4196</v>
      </c>
      <c r="H912" s="747"/>
      <c r="I912" s="744">
        <v>1</v>
      </c>
      <c r="J912" s="744">
        <v>225</v>
      </c>
      <c r="K912" s="744">
        <v>275</v>
      </c>
      <c r="L912" s="744" t="s">
        <v>4324</v>
      </c>
      <c r="M912" s="744" t="s">
        <v>606</v>
      </c>
    </row>
    <row r="913" spans="2:13">
      <c r="B913" s="744" t="s">
        <v>4327</v>
      </c>
      <c r="C913" s="744" t="s">
        <v>4192</v>
      </c>
      <c r="D913" s="744" t="s">
        <v>4312</v>
      </c>
      <c r="E913" s="744" t="s">
        <v>4328</v>
      </c>
      <c r="F913" s="746" t="s">
        <v>4329</v>
      </c>
      <c r="G913" s="747" t="s">
        <v>4196</v>
      </c>
      <c r="H913" s="747"/>
      <c r="I913" s="744">
        <v>1</v>
      </c>
      <c r="J913" s="744">
        <v>250</v>
      </c>
      <c r="K913" s="744">
        <v>295</v>
      </c>
      <c r="L913" s="744" t="s">
        <v>4327</v>
      </c>
      <c r="M913" s="744" t="s">
        <v>606</v>
      </c>
    </row>
    <row r="914" spans="2:13">
      <c r="B914" s="744" t="s">
        <v>4330</v>
      </c>
      <c r="C914" s="744" t="s">
        <v>4192</v>
      </c>
      <c r="D914" s="744" t="s">
        <v>4312</v>
      </c>
      <c r="E914" s="744" t="s">
        <v>4331</v>
      </c>
      <c r="F914" s="746" t="s">
        <v>4332</v>
      </c>
      <c r="G914" s="747" t="s">
        <v>4196</v>
      </c>
      <c r="H914" s="747"/>
      <c r="I914" s="744">
        <v>1</v>
      </c>
      <c r="J914" s="744">
        <v>310</v>
      </c>
      <c r="K914" s="744">
        <v>365</v>
      </c>
      <c r="L914" s="744" t="s">
        <v>4330</v>
      </c>
      <c r="M914" s="744" t="s">
        <v>606</v>
      </c>
    </row>
    <row r="915" spans="2:13">
      <c r="B915" s="744" t="s">
        <v>4333</v>
      </c>
      <c r="C915" s="744" t="s">
        <v>4192</v>
      </c>
      <c r="D915" s="744" t="s">
        <v>4312</v>
      </c>
      <c r="E915" s="744" t="s">
        <v>4334</v>
      </c>
      <c r="F915" s="746" t="s">
        <v>4335</v>
      </c>
      <c r="G915" s="747" t="s">
        <v>4196</v>
      </c>
      <c r="H915" s="747"/>
      <c r="I915" s="744">
        <v>1</v>
      </c>
      <c r="J915" s="744">
        <v>35</v>
      </c>
      <c r="K915" s="744">
        <v>46</v>
      </c>
      <c r="L915" s="744" t="s">
        <v>4333</v>
      </c>
      <c r="M915" s="744" t="s">
        <v>606</v>
      </c>
    </row>
    <row r="916" spans="2:13">
      <c r="B916" s="744" t="s">
        <v>4336</v>
      </c>
      <c r="C916" s="744" t="s">
        <v>4192</v>
      </c>
      <c r="D916" s="744" t="s">
        <v>4312</v>
      </c>
      <c r="E916" s="744" t="s">
        <v>4337</v>
      </c>
      <c r="F916" s="746" t="s">
        <v>4338</v>
      </c>
      <c r="G916" s="747" t="s">
        <v>4196</v>
      </c>
      <c r="H916" s="747"/>
      <c r="I916" s="744">
        <v>1</v>
      </c>
      <c r="J916" s="744">
        <v>360</v>
      </c>
      <c r="K916" s="744">
        <v>414</v>
      </c>
      <c r="L916" s="744" t="s">
        <v>4336</v>
      </c>
      <c r="M916" s="744" t="s">
        <v>606</v>
      </c>
    </row>
    <row r="917" spans="2:13">
      <c r="B917" s="744" t="s">
        <v>4339</v>
      </c>
      <c r="C917" s="744" t="s">
        <v>4192</v>
      </c>
      <c r="D917" s="744" t="s">
        <v>4312</v>
      </c>
      <c r="E917" s="744" t="s">
        <v>4340</v>
      </c>
      <c r="F917" s="746" t="s">
        <v>4341</v>
      </c>
      <c r="G917" s="747" t="s">
        <v>4196</v>
      </c>
      <c r="H917" s="747"/>
      <c r="I917" s="744">
        <v>1</v>
      </c>
      <c r="J917" s="744">
        <v>400</v>
      </c>
      <c r="K917" s="744">
        <v>465</v>
      </c>
      <c r="L917" s="744" t="s">
        <v>4339</v>
      </c>
      <c r="M917" s="744" t="s">
        <v>606</v>
      </c>
    </row>
    <row r="918" spans="2:13">
      <c r="B918" s="744" t="s">
        <v>4342</v>
      </c>
      <c r="C918" s="744" t="s">
        <v>4192</v>
      </c>
      <c r="D918" s="744" t="s">
        <v>4312</v>
      </c>
      <c r="E918" s="744" t="s">
        <v>4343</v>
      </c>
      <c r="F918" s="746" t="s">
        <v>4344</v>
      </c>
      <c r="G918" s="747" t="s">
        <v>4196</v>
      </c>
      <c r="H918" s="747"/>
      <c r="I918" s="744">
        <v>1</v>
      </c>
      <c r="J918" s="744">
        <v>50</v>
      </c>
      <c r="K918" s="744">
        <v>66</v>
      </c>
      <c r="L918" s="744" t="s">
        <v>4342</v>
      </c>
      <c r="M918" s="744" t="s">
        <v>606</v>
      </c>
    </row>
    <row r="919" spans="2:13">
      <c r="B919" s="744" t="s">
        <v>4345</v>
      </c>
      <c r="C919" s="744" t="s">
        <v>4192</v>
      </c>
      <c r="D919" s="744" t="s">
        <v>4312</v>
      </c>
      <c r="E919" s="744" t="s">
        <v>4346</v>
      </c>
      <c r="F919" s="746" t="s">
        <v>4347</v>
      </c>
      <c r="G919" s="747" t="s">
        <v>4196</v>
      </c>
      <c r="H919" s="747"/>
      <c r="I919" s="744">
        <v>1</v>
      </c>
      <c r="J919" s="744">
        <v>600</v>
      </c>
      <c r="K919" s="744">
        <v>675</v>
      </c>
      <c r="L919" s="744" t="s">
        <v>4345</v>
      </c>
      <c r="M919" s="744" t="s">
        <v>606</v>
      </c>
    </row>
    <row r="920" spans="2:13">
      <c r="B920" s="744" t="s">
        <v>4348</v>
      </c>
      <c r="C920" s="744" t="s">
        <v>4192</v>
      </c>
      <c r="D920" s="744" t="s">
        <v>4312</v>
      </c>
      <c r="E920" s="744" t="s">
        <v>4349</v>
      </c>
      <c r="F920" s="746" t="s">
        <v>4350</v>
      </c>
      <c r="G920" s="747" t="s">
        <v>4196</v>
      </c>
      <c r="H920" s="747"/>
      <c r="I920" s="744">
        <v>1</v>
      </c>
      <c r="J920" s="744">
        <v>70</v>
      </c>
      <c r="K920" s="744">
        <v>95</v>
      </c>
      <c r="L920" s="744" t="s">
        <v>4348</v>
      </c>
      <c r="M920" s="744" t="s">
        <v>606</v>
      </c>
    </row>
    <row r="921" spans="2:13">
      <c r="B921" s="744" t="s">
        <v>4351</v>
      </c>
      <c r="C921" s="744" t="s">
        <v>4192</v>
      </c>
      <c r="D921" s="744" t="s">
        <v>4312</v>
      </c>
      <c r="E921" s="744" t="s">
        <v>4352</v>
      </c>
      <c r="F921" s="746" t="s">
        <v>4353</v>
      </c>
      <c r="G921" s="747" t="s">
        <v>4196</v>
      </c>
      <c r="H921" s="747"/>
      <c r="I921" s="744">
        <v>1</v>
      </c>
      <c r="J921" s="744">
        <v>750</v>
      </c>
      <c r="K921" s="744">
        <v>835</v>
      </c>
      <c r="L921" s="744" t="s">
        <v>4351</v>
      </c>
      <c r="M921" s="744" t="s">
        <v>606</v>
      </c>
    </row>
    <row r="922" spans="2:13">
      <c r="B922" s="744" t="s">
        <v>4354</v>
      </c>
      <c r="C922" s="744" t="s">
        <v>4192</v>
      </c>
      <c r="D922" s="744" t="s">
        <v>4355</v>
      </c>
      <c r="E922" s="744" t="s">
        <v>4356</v>
      </c>
      <c r="F922" s="746" t="s">
        <v>4357</v>
      </c>
      <c r="G922" s="747" t="s">
        <v>4196</v>
      </c>
      <c r="H922" s="747"/>
      <c r="I922" s="744">
        <v>1</v>
      </c>
      <c r="J922" s="744">
        <v>100</v>
      </c>
      <c r="K922" s="744">
        <v>125</v>
      </c>
      <c r="L922" s="744" t="s">
        <v>4354</v>
      </c>
      <c r="M922" s="744" t="s">
        <v>606</v>
      </c>
    </row>
    <row r="923" spans="2:13">
      <c r="B923" s="744" t="s">
        <v>4358</v>
      </c>
      <c r="C923" s="744" t="s">
        <v>4192</v>
      </c>
      <c r="D923" s="744" t="s">
        <v>4355</v>
      </c>
      <c r="E923" s="744" t="s">
        <v>4359</v>
      </c>
      <c r="F923" s="746" t="s">
        <v>4360</v>
      </c>
      <c r="G923" s="747" t="s">
        <v>4196</v>
      </c>
      <c r="H923" s="747"/>
      <c r="I923" s="744">
        <v>1</v>
      </c>
      <c r="J923" s="744">
        <v>1000</v>
      </c>
      <c r="K923" s="744">
        <v>1075</v>
      </c>
      <c r="L923" s="744" t="s">
        <v>4358</v>
      </c>
      <c r="M923" s="744" t="s">
        <v>606</v>
      </c>
    </row>
    <row r="924" spans="2:13">
      <c r="B924" s="744" t="s">
        <v>4361</v>
      </c>
      <c r="C924" s="744" t="s">
        <v>4192</v>
      </c>
      <c r="D924" s="744" t="s">
        <v>4355</v>
      </c>
      <c r="E924" s="744" t="s">
        <v>4362</v>
      </c>
      <c r="F924" s="746" t="s">
        <v>4363</v>
      </c>
      <c r="G924" s="747" t="s">
        <v>4196</v>
      </c>
      <c r="H924" s="747"/>
      <c r="I924" s="744">
        <v>1</v>
      </c>
      <c r="J924" s="744">
        <v>175</v>
      </c>
      <c r="K924" s="744">
        <v>205</v>
      </c>
      <c r="L924" s="744" t="s">
        <v>4361</v>
      </c>
      <c r="M924" s="744" t="s">
        <v>606</v>
      </c>
    </row>
    <row r="925" spans="2:13">
      <c r="B925" s="744" t="s">
        <v>4364</v>
      </c>
      <c r="C925" s="744" t="s">
        <v>4192</v>
      </c>
      <c r="D925" s="744" t="s">
        <v>4355</v>
      </c>
      <c r="E925" s="744" t="s">
        <v>4365</v>
      </c>
      <c r="F925" s="746" t="s">
        <v>4366</v>
      </c>
      <c r="G925" s="747" t="s">
        <v>4196</v>
      </c>
      <c r="H925" s="747"/>
      <c r="I925" s="744">
        <v>1</v>
      </c>
      <c r="J925" s="744">
        <v>250</v>
      </c>
      <c r="K925" s="744">
        <v>290</v>
      </c>
      <c r="L925" s="744" t="s">
        <v>4364</v>
      </c>
      <c r="M925" s="744" t="s">
        <v>606</v>
      </c>
    </row>
    <row r="926" spans="2:13">
      <c r="B926" s="744" t="s">
        <v>4367</v>
      </c>
      <c r="C926" s="744" t="s">
        <v>4192</v>
      </c>
      <c r="D926" s="744" t="s">
        <v>4355</v>
      </c>
      <c r="E926" s="744" t="s">
        <v>4368</v>
      </c>
      <c r="F926" s="746" t="s">
        <v>4369</v>
      </c>
      <c r="G926" s="747" t="s">
        <v>4196</v>
      </c>
      <c r="H926" s="747"/>
      <c r="I926" s="744">
        <v>1</v>
      </c>
      <c r="J926" s="744">
        <v>40</v>
      </c>
      <c r="K926" s="744">
        <v>50</v>
      </c>
      <c r="L926" s="744" t="s">
        <v>4367</v>
      </c>
      <c r="M926" s="744" t="s">
        <v>606</v>
      </c>
    </row>
    <row r="927" spans="2:13">
      <c r="B927" s="744" t="s">
        <v>4370</v>
      </c>
      <c r="C927" s="744" t="s">
        <v>4192</v>
      </c>
      <c r="D927" s="744" t="s">
        <v>4355</v>
      </c>
      <c r="E927" s="744" t="s">
        <v>4371</v>
      </c>
      <c r="F927" s="746" t="s">
        <v>4372</v>
      </c>
      <c r="G927" s="747" t="s">
        <v>4196</v>
      </c>
      <c r="H927" s="747"/>
      <c r="I927" s="744">
        <v>1</v>
      </c>
      <c r="J927" s="744">
        <v>400</v>
      </c>
      <c r="K927" s="744">
        <v>455</v>
      </c>
      <c r="L927" s="744" t="s">
        <v>4370</v>
      </c>
      <c r="M927" s="744" t="s">
        <v>606</v>
      </c>
    </row>
    <row r="928" spans="2:13">
      <c r="B928" s="744" t="s">
        <v>4373</v>
      </c>
      <c r="C928" s="744" t="s">
        <v>4192</v>
      </c>
      <c r="D928" s="744" t="s">
        <v>4355</v>
      </c>
      <c r="E928" s="744" t="s">
        <v>4374</v>
      </c>
      <c r="F928" s="746" t="s">
        <v>4375</v>
      </c>
      <c r="G928" s="747" t="s">
        <v>4196</v>
      </c>
      <c r="H928" s="747"/>
      <c r="I928" s="744">
        <v>1</v>
      </c>
      <c r="J928" s="744">
        <v>50</v>
      </c>
      <c r="K928" s="744">
        <v>74</v>
      </c>
      <c r="L928" s="744" t="s">
        <v>4373</v>
      </c>
      <c r="M928" s="744" t="s">
        <v>606</v>
      </c>
    </row>
    <row r="929" spans="2:15">
      <c r="B929" s="744" t="s">
        <v>4376</v>
      </c>
      <c r="C929" s="744" t="s">
        <v>4192</v>
      </c>
      <c r="D929" s="744" t="s">
        <v>4355</v>
      </c>
      <c r="E929" s="744" t="s">
        <v>4377</v>
      </c>
      <c r="F929" s="746" t="s">
        <v>4378</v>
      </c>
      <c r="G929" s="747" t="s">
        <v>4196</v>
      </c>
      <c r="H929" s="747"/>
      <c r="I929" s="744">
        <v>1</v>
      </c>
      <c r="J929" s="744">
        <v>700</v>
      </c>
      <c r="K929" s="744">
        <v>780</v>
      </c>
      <c r="L929" s="744" t="s">
        <v>4376</v>
      </c>
      <c r="M929" s="744" t="s">
        <v>606</v>
      </c>
    </row>
    <row r="930" spans="2:15">
      <c r="B930" s="744" t="s">
        <v>4379</v>
      </c>
      <c r="C930" s="744" t="s">
        <v>4192</v>
      </c>
      <c r="D930" s="744" t="s">
        <v>4355</v>
      </c>
      <c r="E930" s="744" t="s">
        <v>4380</v>
      </c>
      <c r="F930" s="746" t="s">
        <v>4381</v>
      </c>
      <c r="G930" s="747" t="s">
        <v>4196</v>
      </c>
      <c r="H930" s="747"/>
      <c r="I930" s="744">
        <v>1</v>
      </c>
      <c r="J930" s="744">
        <v>75</v>
      </c>
      <c r="K930" s="744">
        <v>93</v>
      </c>
      <c r="L930" s="744" t="s">
        <v>4379</v>
      </c>
      <c r="M930" s="744" t="s">
        <v>606</v>
      </c>
    </row>
    <row r="931" spans="2:15">
      <c r="B931" s="744" t="s">
        <v>4382</v>
      </c>
      <c r="C931" s="744" t="s">
        <v>4192</v>
      </c>
      <c r="D931" s="744" t="s">
        <v>4355</v>
      </c>
      <c r="E931" s="744" t="s">
        <v>4371</v>
      </c>
      <c r="F931" s="746" t="s">
        <v>4383</v>
      </c>
      <c r="G931" s="747" t="s">
        <v>4196</v>
      </c>
      <c r="H931" s="747"/>
      <c r="I931" s="744">
        <v>2</v>
      </c>
      <c r="J931" s="744">
        <v>400</v>
      </c>
      <c r="K931" s="744">
        <v>910</v>
      </c>
      <c r="L931" s="744" t="s">
        <v>4382</v>
      </c>
      <c r="M931" s="744" t="s">
        <v>606</v>
      </c>
    </row>
    <row r="932" spans="2:15">
      <c r="B932" s="744" t="s">
        <v>4384</v>
      </c>
      <c r="C932" s="744" t="s">
        <v>4385</v>
      </c>
      <c r="D932" s="744" t="s">
        <v>4385</v>
      </c>
      <c r="E932" s="744" t="s">
        <v>2289</v>
      </c>
      <c r="F932" s="753" t="s">
        <v>4386</v>
      </c>
      <c r="G932" s="744" t="s">
        <v>2289</v>
      </c>
      <c r="H932" s="744"/>
      <c r="I932" s="744" t="s">
        <v>2289</v>
      </c>
      <c r="J932" s="744" t="s">
        <v>2289</v>
      </c>
      <c r="K932" s="754" t="s">
        <v>4386</v>
      </c>
      <c r="L932" s="755" t="s">
        <v>4384</v>
      </c>
      <c r="M932" s="754" t="s">
        <v>4386</v>
      </c>
      <c r="O932" t="s">
        <v>524</v>
      </c>
    </row>
    <row r="933" spans="2:15">
      <c r="B933" s="744" t="s">
        <v>4387</v>
      </c>
      <c r="C933" s="744" t="s">
        <v>4385</v>
      </c>
      <c r="D933" s="744" t="s">
        <v>4385</v>
      </c>
      <c r="E933" s="744" t="s">
        <v>2289</v>
      </c>
      <c r="F933" s="753" t="s">
        <v>4386</v>
      </c>
      <c r="G933" s="744" t="s">
        <v>2289</v>
      </c>
      <c r="H933" s="744"/>
      <c r="I933" s="744" t="s">
        <v>2289</v>
      </c>
      <c r="J933" s="744" t="s">
        <v>2289</v>
      </c>
      <c r="K933" s="754" t="s">
        <v>4386</v>
      </c>
      <c r="L933" s="755" t="s">
        <v>4387</v>
      </c>
      <c r="M933" s="754" t="s">
        <v>4386</v>
      </c>
      <c r="O933" t="s">
        <v>524</v>
      </c>
    </row>
    <row r="934" spans="2:15">
      <c r="B934" s="744" t="s">
        <v>4388</v>
      </c>
      <c r="C934" s="744" t="s">
        <v>4385</v>
      </c>
      <c r="D934" s="744" t="s">
        <v>4385</v>
      </c>
      <c r="E934" s="744" t="s">
        <v>2289</v>
      </c>
      <c r="F934" s="753" t="s">
        <v>4386</v>
      </c>
      <c r="G934" s="744" t="s">
        <v>2289</v>
      </c>
      <c r="H934" s="744"/>
      <c r="I934" s="744" t="s">
        <v>2289</v>
      </c>
      <c r="J934" s="744" t="s">
        <v>2289</v>
      </c>
      <c r="K934" s="754" t="s">
        <v>4386</v>
      </c>
      <c r="L934" s="755" t="s">
        <v>4388</v>
      </c>
      <c r="M934" s="754" t="s">
        <v>4386</v>
      </c>
      <c r="O934" t="s">
        <v>524</v>
      </c>
    </row>
    <row r="935" spans="2:15">
      <c r="B935" s="744" t="s">
        <v>4389</v>
      </c>
      <c r="C935" s="744" t="s">
        <v>4385</v>
      </c>
      <c r="D935" s="744" t="s">
        <v>4385</v>
      </c>
      <c r="E935" s="744" t="s">
        <v>2289</v>
      </c>
      <c r="F935" s="753" t="s">
        <v>4386</v>
      </c>
      <c r="G935" s="744" t="s">
        <v>2289</v>
      </c>
      <c r="H935" s="744"/>
      <c r="I935" s="744" t="s">
        <v>2289</v>
      </c>
      <c r="J935" s="744" t="s">
        <v>2289</v>
      </c>
      <c r="K935" s="754" t="s">
        <v>4386</v>
      </c>
      <c r="L935" s="755" t="s">
        <v>4389</v>
      </c>
      <c r="M935" s="754" t="s">
        <v>4386</v>
      </c>
      <c r="O935" t="s">
        <v>524</v>
      </c>
    </row>
    <row r="936" spans="2:15">
      <c r="B936" s="744" t="s">
        <v>4390</v>
      </c>
      <c r="C936" s="744" t="s">
        <v>4385</v>
      </c>
      <c r="D936" s="744" t="s">
        <v>4385</v>
      </c>
      <c r="E936" s="744" t="s">
        <v>2289</v>
      </c>
      <c r="F936" s="753" t="s">
        <v>4386</v>
      </c>
      <c r="G936" s="744" t="s">
        <v>2289</v>
      </c>
      <c r="H936" s="744"/>
      <c r="I936" s="744" t="s">
        <v>2289</v>
      </c>
      <c r="J936" s="744" t="s">
        <v>2289</v>
      </c>
      <c r="K936" s="754" t="s">
        <v>4386</v>
      </c>
      <c r="L936" s="755" t="s">
        <v>4390</v>
      </c>
      <c r="M936" s="754" t="s">
        <v>4386</v>
      </c>
      <c r="O936" t="s">
        <v>524</v>
      </c>
    </row>
    <row r="937" spans="2:15">
      <c r="B937" s="744" t="s">
        <v>4391</v>
      </c>
      <c r="C937" s="744" t="s">
        <v>4385</v>
      </c>
      <c r="D937" s="744" t="s">
        <v>4385</v>
      </c>
      <c r="E937" s="744" t="s">
        <v>2289</v>
      </c>
      <c r="F937" s="753" t="s">
        <v>4386</v>
      </c>
      <c r="G937" s="744" t="s">
        <v>2289</v>
      </c>
      <c r="H937" s="744"/>
      <c r="I937" s="744" t="s">
        <v>2289</v>
      </c>
      <c r="J937" s="744" t="s">
        <v>2289</v>
      </c>
      <c r="K937" s="754" t="s">
        <v>4386</v>
      </c>
      <c r="L937" s="755" t="s">
        <v>4391</v>
      </c>
      <c r="M937" s="754" t="s">
        <v>4386</v>
      </c>
      <c r="O937" t="s">
        <v>524</v>
      </c>
    </row>
    <row r="938" spans="2:15">
      <c r="B938" s="744" t="s">
        <v>4392</v>
      </c>
      <c r="C938" s="744" t="s">
        <v>4385</v>
      </c>
      <c r="D938" s="744" t="s">
        <v>4385</v>
      </c>
      <c r="E938" s="744" t="s">
        <v>2289</v>
      </c>
      <c r="F938" s="753" t="s">
        <v>4386</v>
      </c>
      <c r="G938" s="744" t="s">
        <v>2289</v>
      </c>
      <c r="H938" s="744"/>
      <c r="I938" s="744" t="s">
        <v>2289</v>
      </c>
      <c r="J938" s="744" t="s">
        <v>2289</v>
      </c>
      <c r="K938" s="754" t="s">
        <v>4386</v>
      </c>
      <c r="L938" s="755" t="s">
        <v>4392</v>
      </c>
      <c r="M938" s="754" t="s">
        <v>4386</v>
      </c>
      <c r="O938" t="s">
        <v>524</v>
      </c>
    </row>
    <row r="939" spans="2:15">
      <c r="B939" s="744" t="s">
        <v>4393</v>
      </c>
      <c r="C939" s="744" t="s">
        <v>4385</v>
      </c>
      <c r="D939" s="744" t="s">
        <v>4385</v>
      </c>
      <c r="E939" s="744" t="s">
        <v>2289</v>
      </c>
      <c r="F939" s="753" t="s">
        <v>4386</v>
      </c>
      <c r="G939" s="744" t="s">
        <v>2289</v>
      </c>
      <c r="H939" s="744"/>
      <c r="I939" s="744" t="s">
        <v>2289</v>
      </c>
      <c r="J939" s="744" t="s">
        <v>2289</v>
      </c>
      <c r="K939" s="754" t="s">
        <v>4386</v>
      </c>
      <c r="L939" s="755" t="s">
        <v>4393</v>
      </c>
      <c r="M939" s="754" t="s">
        <v>4386</v>
      </c>
      <c r="O939" t="s">
        <v>524</v>
      </c>
    </row>
    <row r="940" spans="2:15">
      <c r="B940" s="744" t="s">
        <v>4394</v>
      </c>
      <c r="C940" s="744" t="s">
        <v>4385</v>
      </c>
      <c r="D940" s="744" t="s">
        <v>4385</v>
      </c>
      <c r="E940" s="744" t="s">
        <v>2289</v>
      </c>
      <c r="F940" s="753" t="s">
        <v>4386</v>
      </c>
      <c r="G940" s="744" t="s">
        <v>2289</v>
      </c>
      <c r="H940" s="744"/>
      <c r="I940" s="744" t="s">
        <v>2289</v>
      </c>
      <c r="J940" s="744" t="s">
        <v>2289</v>
      </c>
      <c r="K940" s="754" t="s">
        <v>4386</v>
      </c>
      <c r="L940" s="755" t="s">
        <v>4394</v>
      </c>
      <c r="M940" s="754" t="s">
        <v>4386</v>
      </c>
      <c r="O940" t="s">
        <v>524</v>
      </c>
    </row>
    <row r="941" spans="2:15">
      <c r="B941" s="744" t="s">
        <v>4395</v>
      </c>
      <c r="C941" s="744" t="s">
        <v>4385</v>
      </c>
      <c r="D941" s="744" t="s">
        <v>4385</v>
      </c>
      <c r="E941" s="744" t="s">
        <v>2289</v>
      </c>
      <c r="F941" s="753" t="s">
        <v>4386</v>
      </c>
      <c r="G941" s="744" t="s">
        <v>2289</v>
      </c>
      <c r="H941" s="744"/>
      <c r="I941" s="744" t="s">
        <v>2289</v>
      </c>
      <c r="J941" s="744" t="s">
        <v>2289</v>
      </c>
      <c r="K941" s="754" t="s">
        <v>4386</v>
      </c>
      <c r="L941" s="755" t="s">
        <v>4395</v>
      </c>
      <c r="M941" s="754" t="s">
        <v>4386</v>
      </c>
      <c r="O941" t="s">
        <v>524</v>
      </c>
    </row>
    <row r="942" spans="2:15">
      <c r="B942" s="744" t="s">
        <v>4396</v>
      </c>
      <c r="C942" s="744" t="s">
        <v>4385</v>
      </c>
      <c r="D942" s="744" t="s">
        <v>4385</v>
      </c>
      <c r="E942" s="744" t="s">
        <v>2289</v>
      </c>
      <c r="F942" s="753" t="s">
        <v>4386</v>
      </c>
      <c r="G942" s="744" t="s">
        <v>2289</v>
      </c>
      <c r="H942" s="744"/>
      <c r="I942" s="744" t="s">
        <v>2289</v>
      </c>
      <c r="J942" s="744" t="s">
        <v>2289</v>
      </c>
      <c r="K942" s="754" t="s">
        <v>4386</v>
      </c>
      <c r="L942" s="755" t="s">
        <v>4396</v>
      </c>
      <c r="M942" s="754" t="s">
        <v>4386</v>
      </c>
      <c r="O942" t="s">
        <v>524</v>
      </c>
    </row>
    <row r="943" spans="2:15">
      <c r="B943" s="744" t="s">
        <v>4397</v>
      </c>
      <c r="C943" s="744" t="s">
        <v>4385</v>
      </c>
      <c r="D943" s="744" t="s">
        <v>4385</v>
      </c>
      <c r="E943" s="744" t="s">
        <v>2289</v>
      </c>
      <c r="F943" s="753" t="s">
        <v>4386</v>
      </c>
      <c r="G943" s="744" t="s">
        <v>2289</v>
      </c>
      <c r="H943" s="744"/>
      <c r="I943" s="744" t="s">
        <v>2289</v>
      </c>
      <c r="J943" s="744" t="s">
        <v>2289</v>
      </c>
      <c r="K943" s="754" t="s">
        <v>4386</v>
      </c>
      <c r="L943" s="755" t="s">
        <v>4397</v>
      </c>
      <c r="M943" s="754" t="s">
        <v>4386</v>
      </c>
      <c r="O943" t="s">
        <v>524</v>
      </c>
    </row>
    <row r="944" spans="2:15">
      <c r="B944" s="744" t="s">
        <v>4398</v>
      </c>
      <c r="C944" s="744" t="s">
        <v>4385</v>
      </c>
      <c r="D944" s="744" t="s">
        <v>4385</v>
      </c>
      <c r="E944" s="744" t="s">
        <v>2289</v>
      </c>
      <c r="F944" s="753" t="s">
        <v>4386</v>
      </c>
      <c r="G944" s="744" t="s">
        <v>2289</v>
      </c>
      <c r="H944" s="744"/>
      <c r="I944" s="744" t="s">
        <v>2289</v>
      </c>
      <c r="J944" s="744" t="s">
        <v>2289</v>
      </c>
      <c r="K944" s="754" t="s">
        <v>4386</v>
      </c>
      <c r="L944" s="755" t="s">
        <v>4398</v>
      </c>
      <c r="M944" s="754" t="s">
        <v>4386</v>
      </c>
      <c r="O944" t="s">
        <v>524</v>
      </c>
    </row>
    <row r="945" spans="2:15">
      <c r="B945" s="744" t="s">
        <v>4399</v>
      </c>
      <c r="C945" s="744" t="s">
        <v>4385</v>
      </c>
      <c r="D945" s="744" t="s">
        <v>4385</v>
      </c>
      <c r="E945" s="744" t="s">
        <v>2289</v>
      </c>
      <c r="F945" s="753" t="s">
        <v>4386</v>
      </c>
      <c r="G945" s="744" t="s">
        <v>2289</v>
      </c>
      <c r="H945" s="744"/>
      <c r="I945" s="744" t="s">
        <v>2289</v>
      </c>
      <c r="J945" s="744" t="s">
        <v>2289</v>
      </c>
      <c r="K945" s="754" t="s">
        <v>4386</v>
      </c>
      <c r="L945" s="755" t="s">
        <v>4399</v>
      </c>
      <c r="M945" s="754" t="s">
        <v>4386</v>
      </c>
      <c r="O945" t="s">
        <v>524</v>
      </c>
    </row>
    <row r="946" spans="2:15">
      <c r="B946" s="744" t="s">
        <v>4400</v>
      </c>
      <c r="C946" s="744" t="s">
        <v>4385</v>
      </c>
      <c r="D946" s="744" t="s">
        <v>4385</v>
      </c>
      <c r="E946" s="744" t="s">
        <v>2289</v>
      </c>
      <c r="F946" s="753" t="s">
        <v>4386</v>
      </c>
      <c r="G946" s="744" t="s">
        <v>2289</v>
      </c>
      <c r="H946" s="744"/>
      <c r="I946" s="744" t="s">
        <v>2289</v>
      </c>
      <c r="J946" s="744" t="s">
        <v>2289</v>
      </c>
      <c r="K946" s="754" t="s">
        <v>4386</v>
      </c>
      <c r="L946" s="755" t="s">
        <v>4400</v>
      </c>
      <c r="M946" s="754" t="s">
        <v>4386</v>
      </c>
      <c r="O946" t="s">
        <v>524</v>
      </c>
    </row>
    <row r="947" spans="2:15">
      <c r="B947" s="744" t="s">
        <v>4401</v>
      </c>
      <c r="C947" s="744" t="s">
        <v>4385</v>
      </c>
      <c r="D947" s="744" t="s">
        <v>4385</v>
      </c>
      <c r="E947" s="744" t="s">
        <v>2289</v>
      </c>
      <c r="F947" s="753" t="s">
        <v>4386</v>
      </c>
      <c r="G947" s="744" t="s">
        <v>2289</v>
      </c>
      <c r="H947" s="744"/>
      <c r="I947" s="744" t="s">
        <v>2289</v>
      </c>
      <c r="J947" s="744" t="s">
        <v>2289</v>
      </c>
      <c r="K947" s="754" t="s">
        <v>4386</v>
      </c>
      <c r="L947" s="755" t="s">
        <v>4401</v>
      </c>
      <c r="M947" s="754" t="s">
        <v>4386</v>
      </c>
      <c r="O947" t="s">
        <v>524</v>
      </c>
    </row>
    <row r="948" spans="2:15">
      <c r="B948" s="744" t="s">
        <v>4402</v>
      </c>
      <c r="C948" s="744" t="s">
        <v>4385</v>
      </c>
      <c r="D948" s="744" t="s">
        <v>4385</v>
      </c>
      <c r="E948" s="744" t="s">
        <v>2289</v>
      </c>
      <c r="F948" s="753" t="s">
        <v>4386</v>
      </c>
      <c r="G948" s="744" t="s">
        <v>2289</v>
      </c>
      <c r="H948" s="744"/>
      <c r="I948" s="744" t="s">
        <v>2289</v>
      </c>
      <c r="J948" s="744" t="s">
        <v>2289</v>
      </c>
      <c r="K948" s="754" t="s">
        <v>4386</v>
      </c>
      <c r="L948" s="755" t="s">
        <v>4402</v>
      </c>
      <c r="M948" s="754" t="s">
        <v>4386</v>
      </c>
      <c r="O948" t="s">
        <v>524</v>
      </c>
    </row>
    <row r="949" spans="2:15">
      <c r="B949" s="744" t="s">
        <v>4403</v>
      </c>
      <c r="C949" s="744" t="s">
        <v>4385</v>
      </c>
      <c r="D949" s="744" t="s">
        <v>4385</v>
      </c>
      <c r="E949" s="744" t="s">
        <v>2289</v>
      </c>
      <c r="F949" s="753" t="s">
        <v>4386</v>
      </c>
      <c r="G949" s="744" t="s">
        <v>2289</v>
      </c>
      <c r="H949" s="744"/>
      <c r="I949" s="744" t="s">
        <v>2289</v>
      </c>
      <c r="J949" s="744" t="s">
        <v>2289</v>
      </c>
      <c r="K949" s="754" t="s">
        <v>4386</v>
      </c>
      <c r="L949" s="755" t="s">
        <v>4403</v>
      </c>
      <c r="M949" s="754" t="s">
        <v>4386</v>
      </c>
      <c r="O949" t="s">
        <v>524</v>
      </c>
    </row>
    <row r="950" spans="2:15">
      <c r="B950" s="744" t="s">
        <v>4404</v>
      </c>
      <c r="C950" s="744" t="s">
        <v>4385</v>
      </c>
      <c r="D950" s="744" t="s">
        <v>4385</v>
      </c>
      <c r="E950" s="744" t="s">
        <v>2289</v>
      </c>
      <c r="F950" s="753" t="s">
        <v>4386</v>
      </c>
      <c r="G950" s="744" t="s">
        <v>2289</v>
      </c>
      <c r="H950" s="744"/>
      <c r="I950" s="744" t="s">
        <v>2289</v>
      </c>
      <c r="J950" s="744" t="s">
        <v>2289</v>
      </c>
      <c r="K950" s="754" t="s">
        <v>4386</v>
      </c>
      <c r="L950" s="755" t="s">
        <v>4404</v>
      </c>
      <c r="M950" s="754" t="s">
        <v>4386</v>
      </c>
      <c r="O950" t="s">
        <v>524</v>
      </c>
    </row>
    <row r="951" spans="2:15">
      <c r="B951" s="744" t="s">
        <v>4405</v>
      </c>
      <c r="C951" s="744" t="s">
        <v>4385</v>
      </c>
      <c r="D951" s="744" t="s">
        <v>4385</v>
      </c>
      <c r="E951" s="744" t="s">
        <v>2289</v>
      </c>
      <c r="F951" s="753" t="s">
        <v>4386</v>
      </c>
      <c r="G951" s="744" t="s">
        <v>2289</v>
      </c>
      <c r="H951" s="744"/>
      <c r="I951" s="744" t="s">
        <v>2289</v>
      </c>
      <c r="J951" s="744" t="s">
        <v>2289</v>
      </c>
      <c r="K951" s="754" t="s">
        <v>4386</v>
      </c>
      <c r="L951" s="755" t="s">
        <v>4405</v>
      </c>
      <c r="M951" s="754" t="s">
        <v>4386</v>
      </c>
      <c r="O951" t="s">
        <v>524</v>
      </c>
    </row>
    <row r="952" spans="2:15">
      <c r="B952" s="744" t="s">
        <v>4406</v>
      </c>
      <c r="C952" s="744" t="s">
        <v>4385</v>
      </c>
      <c r="D952" s="744" t="s">
        <v>4385</v>
      </c>
      <c r="E952" s="744" t="s">
        <v>2289</v>
      </c>
      <c r="F952" s="753" t="s">
        <v>4386</v>
      </c>
      <c r="G952" s="744" t="s">
        <v>2289</v>
      </c>
      <c r="H952" s="744"/>
      <c r="I952" s="744" t="s">
        <v>2289</v>
      </c>
      <c r="J952" s="744" t="s">
        <v>2289</v>
      </c>
      <c r="K952" s="754" t="s">
        <v>4386</v>
      </c>
      <c r="L952" s="755" t="s">
        <v>4406</v>
      </c>
      <c r="M952" s="754" t="s">
        <v>4386</v>
      </c>
      <c r="O952" t="s">
        <v>524</v>
      </c>
    </row>
    <row r="953" spans="2:15">
      <c r="B953" s="744" t="s">
        <v>4407</v>
      </c>
      <c r="C953" s="744" t="s">
        <v>4385</v>
      </c>
      <c r="D953" s="744" t="s">
        <v>4385</v>
      </c>
      <c r="E953" s="744" t="s">
        <v>2289</v>
      </c>
      <c r="F953" s="753" t="s">
        <v>4386</v>
      </c>
      <c r="G953" s="744" t="s">
        <v>2289</v>
      </c>
      <c r="H953" s="744"/>
      <c r="I953" s="744" t="s">
        <v>2289</v>
      </c>
      <c r="J953" s="744" t="s">
        <v>2289</v>
      </c>
      <c r="K953" s="754" t="s">
        <v>4386</v>
      </c>
      <c r="L953" s="755" t="s">
        <v>4407</v>
      </c>
      <c r="M953" s="754" t="s">
        <v>4386</v>
      </c>
      <c r="O953" t="s">
        <v>524</v>
      </c>
    </row>
    <row r="954" spans="2:15">
      <c r="B954" s="744" t="s">
        <v>4408</v>
      </c>
      <c r="C954" s="744" t="s">
        <v>4385</v>
      </c>
      <c r="D954" s="744" t="s">
        <v>4385</v>
      </c>
      <c r="E954" s="744" t="s">
        <v>2289</v>
      </c>
      <c r="F954" s="753" t="s">
        <v>4386</v>
      </c>
      <c r="G954" s="744" t="s">
        <v>2289</v>
      </c>
      <c r="H954" s="744"/>
      <c r="I954" s="744" t="s">
        <v>2289</v>
      </c>
      <c r="J954" s="744" t="s">
        <v>2289</v>
      </c>
      <c r="K954" s="754" t="s">
        <v>4386</v>
      </c>
      <c r="L954" s="755" t="s">
        <v>4408</v>
      </c>
      <c r="M954" s="754" t="s">
        <v>4386</v>
      </c>
      <c r="O954" t="s">
        <v>524</v>
      </c>
    </row>
    <row r="955" spans="2:15">
      <c r="B955" s="744" t="s">
        <v>4409</v>
      </c>
      <c r="C955" s="744" t="s">
        <v>4385</v>
      </c>
      <c r="D955" s="744" t="s">
        <v>4385</v>
      </c>
      <c r="E955" s="744" t="s">
        <v>2289</v>
      </c>
      <c r="F955" s="753" t="s">
        <v>4386</v>
      </c>
      <c r="G955" s="744" t="s">
        <v>2289</v>
      </c>
      <c r="H955" s="744"/>
      <c r="I955" s="744" t="s">
        <v>2289</v>
      </c>
      <c r="J955" s="744" t="s">
        <v>2289</v>
      </c>
      <c r="K955" s="754" t="s">
        <v>4386</v>
      </c>
      <c r="L955" s="755" t="s">
        <v>4409</v>
      </c>
      <c r="M955" s="754" t="s">
        <v>4386</v>
      </c>
      <c r="O955" t="s">
        <v>524</v>
      </c>
    </row>
    <row r="956" spans="2:15">
      <c r="B956" s="744" t="s">
        <v>4410</v>
      </c>
      <c r="C956" s="744" t="s">
        <v>4385</v>
      </c>
      <c r="D956" s="744" t="s">
        <v>4385</v>
      </c>
      <c r="E956" s="744" t="s">
        <v>2289</v>
      </c>
      <c r="F956" s="753" t="s">
        <v>4386</v>
      </c>
      <c r="G956" s="744" t="s">
        <v>2289</v>
      </c>
      <c r="H956" s="744"/>
      <c r="I956" s="744" t="s">
        <v>2289</v>
      </c>
      <c r="J956" s="744" t="s">
        <v>2289</v>
      </c>
      <c r="K956" s="754" t="s">
        <v>4386</v>
      </c>
      <c r="L956" s="755" t="s">
        <v>4410</v>
      </c>
      <c r="M956" s="754" t="s">
        <v>4386</v>
      </c>
      <c r="O956" t="s">
        <v>524</v>
      </c>
    </row>
    <row r="957" spans="2:15">
      <c r="B957" s="744" t="s">
        <v>4411</v>
      </c>
      <c r="C957" s="744" t="s">
        <v>4385</v>
      </c>
      <c r="D957" s="744" t="s">
        <v>4385</v>
      </c>
      <c r="E957" s="744" t="s">
        <v>2289</v>
      </c>
      <c r="F957" s="753" t="s">
        <v>4386</v>
      </c>
      <c r="G957" s="744" t="s">
        <v>2289</v>
      </c>
      <c r="H957" s="744"/>
      <c r="I957" s="744" t="s">
        <v>2289</v>
      </c>
      <c r="J957" s="744" t="s">
        <v>2289</v>
      </c>
      <c r="K957" s="754" t="s">
        <v>4386</v>
      </c>
      <c r="L957" s="755" t="s">
        <v>4411</v>
      </c>
      <c r="M957" s="754" t="s">
        <v>4386</v>
      </c>
      <c r="O957" t="s">
        <v>524</v>
      </c>
    </row>
    <row r="958" spans="2:15">
      <c r="B958" s="744" t="s">
        <v>4412</v>
      </c>
      <c r="C958" s="744" t="s">
        <v>4385</v>
      </c>
      <c r="D958" s="744" t="s">
        <v>4385</v>
      </c>
      <c r="E958" s="744" t="s">
        <v>2289</v>
      </c>
      <c r="F958" s="753" t="s">
        <v>4386</v>
      </c>
      <c r="G958" s="744" t="s">
        <v>2289</v>
      </c>
      <c r="H958" s="744"/>
      <c r="I958" s="744" t="s">
        <v>2289</v>
      </c>
      <c r="J958" s="744" t="s">
        <v>2289</v>
      </c>
      <c r="K958" s="754" t="s">
        <v>4386</v>
      </c>
      <c r="L958" s="755" t="s">
        <v>4412</v>
      </c>
      <c r="M958" s="754" t="s">
        <v>4386</v>
      </c>
      <c r="O958" t="s">
        <v>524</v>
      </c>
    </row>
    <row r="959" spans="2:15">
      <c r="B959" s="744" t="s">
        <v>4413</v>
      </c>
      <c r="C959" s="744" t="s">
        <v>4385</v>
      </c>
      <c r="D959" s="744" t="s">
        <v>4385</v>
      </c>
      <c r="E959" s="744" t="s">
        <v>2289</v>
      </c>
      <c r="F959" s="753" t="s">
        <v>4386</v>
      </c>
      <c r="G959" s="744" t="s">
        <v>2289</v>
      </c>
      <c r="H959" s="744"/>
      <c r="I959" s="744" t="s">
        <v>2289</v>
      </c>
      <c r="J959" s="744" t="s">
        <v>2289</v>
      </c>
      <c r="K959" s="754" t="s">
        <v>4386</v>
      </c>
      <c r="L959" s="755" t="s">
        <v>4413</v>
      </c>
      <c r="M959" s="754" t="s">
        <v>4386</v>
      </c>
      <c r="O959" t="s">
        <v>524</v>
      </c>
    </row>
    <row r="960" spans="2:15">
      <c r="B960" s="744" t="s">
        <v>4414</v>
      </c>
      <c r="C960" s="744" t="s">
        <v>4385</v>
      </c>
      <c r="D960" s="744" t="s">
        <v>4385</v>
      </c>
      <c r="E960" s="744" t="s">
        <v>2289</v>
      </c>
      <c r="F960" s="753" t="s">
        <v>4386</v>
      </c>
      <c r="G960" s="744" t="s">
        <v>2289</v>
      </c>
      <c r="H960" s="744"/>
      <c r="I960" s="744" t="s">
        <v>2289</v>
      </c>
      <c r="J960" s="744" t="s">
        <v>2289</v>
      </c>
      <c r="K960" s="754" t="s">
        <v>4386</v>
      </c>
      <c r="L960" s="755" t="s">
        <v>4414</v>
      </c>
      <c r="M960" s="754" t="s">
        <v>4386</v>
      </c>
      <c r="O960" t="s">
        <v>524</v>
      </c>
    </row>
    <row r="961" spans="2:15">
      <c r="B961" s="744" t="s">
        <v>4415</v>
      </c>
      <c r="C961" s="744" t="s">
        <v>4385</v>
      </c>
      <c r="D961" s="744" t="s">
        <v>4385</v>
      </c>
      <c r="E961" s="744" t="s">
        <v>2289</v>
      </c>
      <c r="F961" s="753" t="s">
        <v>4386</v>
      </c>
      <c r="G961" s="744" t="s">
        <v>2289</v>
      </c>
      <c r="H961" s="744"/>
      <c r="I961" s="744" t="s">
        <v>2289</v>
      </c>
      <c r="J961" s="744" t="s">
        <v>2289</v>
      </c>
      <c r="K961" s="754" t="s">
        <v>4386</v>
      </c>
      <c r="L961" s="755" t="s">
        <v>4415</v>
      </c>
      <c r="M961" s="754" t="s">
        <v>4386</v>
      </c>
      <c r="O961" t="s">
        <v>524</v>
      </c>
    </row>
    <row r="962" spans="2:15">
      <c r="B962" s="744" t="s">
        <v>4416</v>
      </c>
      <c r="C962" s="744" t="s">
        <v>4385</v>
      </c>
      <c r="D962" s="744" t="s">
        <v>4385</v>
      </c>
      <c r="E962" s="744" t="s">
        <v>2289</v>
      </c>
      <c r="F962" s="753" t="s">
        <v>4386</v>
      </c>
      <c r="G962" s="744" t="s">
        <v>2289</v>
      </c>
      <c r="H962" s="744"/>
      <c r="I962" s="744" t="s">
        <v>2289</v>
      </c>
      <c r="J962" s="744" t="s">
        <v>2289</v>
      </c>
      <c r="K962" s="754" t="s">
        <v>4386</v>
      </c>
      <c r="L962" s="755" t="s">
        <v>4416</v>
      </c>
      <c r="M962" s="754" t="s">
        <v>4386</v>
      </c>
      <c r="O962" t="s">
        <v>524</v>
      </c>
    </row>
    <row r="963" spans="2:15">
      <c r="B963" s="744" t="s">
        <v>4417</v>
      </c>
      <c r="C963" s="744" t="s">
        <v>4385</v>
      </c>
      <c r="D963" s="744" t="s">
        <v>4385</v>
      </c>
      <c r="E963" s="744" t="s">
        <v>2289</v>
      </c>
      <c r="F963" s="753" t="s">
        <v>4386</v>
      </c>
      <c r="G963" s="744" t="s">
        <v>2289</v>
      </c>
      <c r="H963" s="744"/>
      <c r="I963" s="744" t="s">
        <v>2289</v>
      </c>
      <c r="J963" s="744" t="s">
        <v>2289</v>
      </c>
      <c r="K963" s="754" t="s">
        <v>4386</v>
      </c>
      <c r="L963" s="755" t="s">
        <v>4417</v>
      </c>
      <c r="M963" s="754" t="s">
        <v>4386</v>
      </c>
      <c r="O963" t="s">
        <v>524</v>
      </c>
    </row>
    <row r="964" spans="2:15">
      <c r="B964" s="744" t="s">
        <v>4418</v>
      </c>
      <c r="C964" s="744" t="s">
        <v>4385</v>
      </c>
      <c r="D964" s="744" t="s">
        <v>4385</v>
      </c>
      <c r="E964" s="744" t="s">
        <v>2289</v>
      </c>
      <c r="F964" s="753" t="s">
        <v>4386</v>
      </c>
      <c r="G964" s="744" t="s">
        <v>2289</v>
      </c>
      <c r="H964" s="744"/>
      <c r="I964" s="744" t="s">
        <v>2289</v>
      </c>
      <c r="J964" s="744" t="s">
        <v>2289</v>
      </c>
      <c r="K964" s="754" t="s">
        <v>4386</v>
      </c>
      <c r="L964" s="755" t="s">
        <v>4418</v>
      </c>
      <c r="M964" s="754" t="s">
        <v>4386</v>
      </c>
      <c r="O964" t="s">
        <v>524</v>
      </c>
    </row>
    <row r="965" spans="2:15">
      <c r="B965" s="744" t="s">
        <v>4419</v>
      </c>
      <c r="C965" s="744" t="s">
        <v>4385</v>
      </c>
      <c r="D965" s="744" t="s">
        <v>4385</v>
      </c>
      <c r="E965" s="744" t="s">
        <v>2289</v>
      </c>
      <c r="F965" s="753" t="s">
        <v>4386</v>
      </c>
      <c r="G965" s="744" t="s">
        <v>2289</v>
      </c>
      <c r="H965" s="744"/>
      <c r="I965" s="744" t="s">
        <v>2289</v>
      </c>
      <c r="J965" s="744" t="s">
        <v>2289</v>
      </c>
      <c r="K965" s="754" t="s">
        <v>4386</v>
      </c>
      <c r="L965" s="755" t="s">
        <v>4419</v>
      </c>
      <c r="M965" s="754" t="s">
        <v>4386</v>
      </c>
      <c r="O965" t="s">
        <v>524</v>
      </c>
    </row>
    <row r="966" spans="2:15">
      <c r="B966" s="744" t="s">
        <v>4420</v>
      </c>
      <c r="C966" s="744" t="s">
        <v>4385</v>
      </c>
      <c r="D966" s="744" t="s">
        <v>4385</v>
      </c>
      <c r="E966" s="744" t="s">
        <v>2289</v>
      </c>
      <c r="F966" s="753" t="s">
        <v>4386</v>
      </c>
      <c r="G966" s="744" t="s">
        <v>2289</v>
      </c>
      <c r="H966" s="744"/>
      <c r="I966" s="744" t="s">
        <v>2289</v>
      </c>
      <c r="J966" s="744" t="s">
        <v>2289</v>
      </c>
      <c r="K966" s="754" t="s">
        <v>4386</v>
      </c>
      <c r="L966" s="755" t="s">
        <v>4420</v>
      </c>
      <c r="M966" s="754" t="s">
        <v>4386</v>
      </c>
      <c r="O966" t="s">
        <v>524</v>
      </c>
    </row>
    <row r="967" spans="2:15">
      <c r="B967" s="744" t="s">
        <v>4421</v>
      </c>
      <c r="C967" s="744" t="s">
        <v>4385</v>
      </c>
      <c r="D967" s="744" t="s">
        <v>4385</v>
      </c>
      <c r="E967" s="744" t="s">
        <v>2289</v>
      </c>
      <c r="F967" s="753" t="s">
        <v>4386</v>
      </c>
      <c r="G967" s="744" t="s">
        <v>2289</v>
      </c>
      <c r="H967" s="744"/>
      <c r="I967" s="744" t="s">
        <v>2289</v>
      </c>
      <c r="J967" s="744" t="s">
        <v>2289</v>
      </c>
      <c r="K967" s="754" t="s">
        <v>4386</v>
      </c>
      <c r="L967" s="755" t="s">
        <v>4421</v>
      </c>
      <c r="M967" s="754" t="s">
        <v>4386</v>
      </c>
      <c r="O967" t="s">
        <v>524</v>
      </c>
    </row>
    <row r="968" spans="2:15">
      <c r="B968" s="744" t="s">
        <v>4422</v>
      </c>
      <c r="C968" s="744" t="s">
        <v>4385</v>
      </c>
      <c r="D968" s="744" t="s">
        <v>4385</v>
      </c>
      <c r="E968" s="744" t="s">
        <v>2289</v>
      </c>
      <c r="F968" s="753" t="s">
        <v>4386</v>
      </c>
      <c r="G968" s="744" t="s">
        <v>2289</v>
      </c>
      <c r="H968" s="744"/>
      <c r="I968" s="744" t="s">
        <v>2289</v>
      </c>
      <c r="J968" s="744" t="s">
        <v>2289</v>
      </c>
      <c r="K968" s="754" t="s">
        <v>4386</v>
      </c>
      <c r="L968" s="755" t="s">
        <v>4422</v>
      </c>
      <c r="M968" s="754" t="s">
        <v>4386</v>
      </c>
      <c r="O968" t="s">
        <v>524</v>
      </c>
    </row>
    <row r="969" spans="2:15">
      <c r="B969" s="744" t="s">
        <v>4423</v>
      </c>
      <c r="C969" s="744" t="s">
        <v>4385</v>
      </c>
      <c r="D969" s="744" t="s">
        <v>4385</v>
      </c>
      <c r="E969" s="744" t="s">
        <v>2289</v>
      </c>
      <c r="F969" s="753" t="s">
        <v>4386</v>
      </c>
      <c r="G969" s="744" t="s">
        <v>2289</v>
      </c>
      <c r="H969" s="744"/>
      <c r="I969" s="744" t="s">
        <v>2289</v>
      </c>
      <c r="J969" s="744" t="s">
        <v>2289</v>
      </c>
      <c r="K969" s="754" t="s">
        <v>4386</v>
      </c>
      <c r="L969" s="755" t="s">
        <v>4423</v>
      </c>
      <c r="M969" s="754" t="s">
        <v>4386</v>
      </c>
      <c r="O969" t="s">
        <v>524</v>
      </c>
    </row>
    <row r="970" spans="2:15">
      <c r="B970" s="744" t="s">
        <v>4424</v>
      </c>
      <c r="C970" s="744" t="s">
        <v>4385</v>
      </c>
      <c r="D970" s="744" t="s">
        <v>4385</v>
      </c>
      <c r="E970" s="744" t="s">
        <v>2289</v>
      </c>
      <c r="F970" s="753" t="s">
        <v>4386</v>
      </c>
      <c r="G970" s="744" t="s">
        <v>2289</v>
      </c>
      <c r="H970" s="744"/>
      <c r="I970" s="744" t="s">
        <v>2289</v>
      </c>
      <c r="J970" s="744" t="s">
        <v>2289</v>
      </c>
      <c r="K970" s="754" t="s">
        <v>4386</v>
      </c>
      <c r="L970" s="755" t="s">
        <v>4424</v>
      </c>
      <c r="M970" s="754" t="s">
        <v>4386</v>
      </c>
      <c r="O970" t="s">
        <v>524</v>
      </c>
    </row>
    <row r="971" spans="2:15">
      <c r="B971" s="744" t="s">
        <v>4425</v>
      </c>
      <c r="C971" s="744" t="s">
        <v>4385</v>
      </c>
      <c r="D971" s="744" t="s">
        <v>4385</v>
      </c>
      <c r="E971" s="744" t="s">
        <v>2289</v>
      </c>
      <c r="F971" s="753" t="s">
        <v>4386</v>
      </c>
      <c r="G971" s="744" t="s">
        <v>2289</v>
      </c>
      <c r="H971" s="744"/>
      <c r="I971" s="744" t="s">
        <v>2289</v>
      </c>
      <c r="J971" s="744" t="s">
        <v>2289</v>
      </c>
      <c r="K971" s="754" t="s">
        <v>4386</v>
      </c>
      <c r="L971" s="755" t="s">
        <v>4425</v>
      </c>
      <c r="M971" s="754" t="s">
        <v>4386</v>
      </c>
      <c r="O971" t="s">
        <v>524</v>
      </c>
    </row>
    <row r="972" spans="2:15">
      <c r="B972" s="744" t="s">
        <v>4426</v>
      </c>
      <c r="C972" s="744" t="s">
        <v>4385</v>
      </c>
      <c r="D972" s="744" t="s">
        <v>4385</v>
      </c>
      <c r="E972" s="744" t="s">
        <v>2289</v>
      </c>
      <c r="F972" s="753" t="s">
        <v>4386</v>
      </c>
      <c r="G972" s="744" t="s">
        <v>2289</v>
      </c>
      <c r="H972" s="744"/>
      <c r="I972" s="744" t="s">
        <v>2289</v>
      </c>
      <c r="J972" s="744" t="s">
        <v>2289</v>
      </c>
      <c r="K972" s="754" t="s">
        <v>4386</v>
      </c>
      <c r="L972" s="755" t="s">
        <v>4426</v>
      </c>
      <c r="M972" s="754" t="s">
        <v>4386</v>
      </c>
      <c r="O972" t="s">
        <v>524</v>
      </c>
    </row>
    <row r="973" spans="2:15">
      <c r="B973" s="744" t="s">
        <v>4427</v>
      </c>
      <c r="C973" s="744" t="s">
        <v>4385</v>
      </c>
      <c r="D973" s="744" t="s">
        <v>4385</v>
      </c>
      <c r="E973" s="744" t="s">
        <v>2289</v>
      </c>
      <c r="F973" s="753" t="s">
        <v>4386</v>
      </c>
      <c r="G973" s="744" t="s">
        <v>2289</v>
      </c>
      <c r="H973" s="744"/>
      <c r="I973" s="744" t="s">
        <v>2289</v>
      </c>
      <c r="J973" s="744" t="s">
        <v>2289</v>
      </c>
      <c r="K973" s="754" t="s">
        <v>4386</v>
      </c>
      <c r="L973" s="755" t="s">
        <v>4427</v>
      </c>
      <c r="M973" s="754" t="s">
        <v>4386</v>
      </c>
      <c r="O973" t="s">
        <v>524</v>
      </c>
    </row>
    <row r="974" spans="2:15">
      <c r="B974" s="744" t="s">
        <v>4428</v>
      </c>
      <c r="C974" s="744" t="s">
        <v>4385</v>
      </c>
      <c r="D974" s="744" t="s">
        <v>4385</v>
      </c>
      <c r="E974" s="744" t="s">
        <v>2289</v>
      </c>
      <c r="F974" s="753" t="s">
        <v>4386</v>
      </c>
      <c r="G974" s="744" t="s">
        <v>2289</v>
      </c>
      <c r="H974" s="744"/>
      <c r="I974" s="744" t="s">
        <v>2289</v>
      </c>
      <c r="J974" s="744" t="s">
        <v>2289</v>
      </c>
      <c r="K974" s="754" t="s">
        <v>4386</v>
      </c>
      <c r="L974" s="755" t="s">
        <v>4428</v>
      </c>
      <c r="M974" s="754" t="s">
        <v>4386</v>
      </c>
      <c r="O974" t="s">
        <v>524</v>
      </c>
    </row>
    <row r="975" spans="2:15">
      <c r="B975" s="744" t="s">
        <v>4429</v>
      </c>
      <c r="C975" s="744" t="s">
        <v>4385</v>
      </c>
      <c r="D975" s="744" t="s">
        <v>4385</v>
      </c>
      <c r="E975" s="744" t="s">
        <v>2289</v>
      </c>
      <c r="F975" s="753" t="s">
        <v>4386</v>
      </c>
      <c r="G975" s="744" t="s">
        <v>2289</v>
      </c>
      <c r="H975" s="744"/>
      <c r="I975" s="744" t="s">
        <v>2289</v>
      </c>
      <c r="J975" s="744" t="s">
        <v>2289</v>
      </c>
      <c r="K975" s="754" t="s">
        <v>4386</v>
      </c>
      <c r="L975" s="755" t="s">
        <v>4429</v>
      </c>
      <c r="M975" s="754" t="s">
        <v>4386</v>
      </c>
      <c r="O975" t="s">
        <v>524</v>
      </c>
    </row>
    <row r="976" spans="2:15">
      <c r="B976" s="744" t="s">
        <v>4430</v>
      </c>
      <c r="C976" s="744" t="s">
        <v>4385</v>
      </c>
      <c r="D976" s="744" t="s">
        <v>4385</v>
      </c>
      <c r="E976" s="744" t="s">
        <v>2289</v>
      </c>
      <c r="F976" s="753" t="s">
        <v>4386</v>
      </c>
      <c r="G976" s="744" t="s">
        <v>2289</v>
      </c>
      <c r="H976" s="744"/>
      <c r="I976" s="744" t="s">
        <v>2289</v>
      </c>
      <c r="J976" s="744" t="s">
        <v>2289</v>
      </c>
      <c r="K976" s="754" t="s">
        <v>4386</v>
      </c>
      <c r="L976" s="755" t="s">
        <v>4430</v>
      </c>
      <c r="M976" s="754" t="s">
        <v>4386</v>
      </c>
      <c r="O976" t="s">
        <v>524</v>
      </c>
    </row>
    <row r="977" spans="2:15">
      <c r="B977" s="744" t="s">
        <v>4431</v>
      </c>
      <c r="C977" s="744" t="s">
        <v>4385</v>
      </c>
      <c r="D977" s="744" t="s">
        <v>4385</v>
      </c>
      <c r="E977" s="744" t="s">
        <v>2289</v>
      </c>
      <c r="F977" s="753" t="s">
        <v>4386</v>
      </c>
      <c r="G977" s="744" t="s">
        <v>2289</v>
      </c>
      <c r="H977" s="744"/>
      <c r="I977" s="744" t="s">
        <v>2289</v>
      </c>
      <c r="J977" s="744" t="s">
        <v>2289</v>
      </c>
      <c r="K977" s="754" t="s">
        <v>4386</v>
      </c>
      <c r="L977" s="755" t="s">
        <v>4431</v>
      </c>
      <c r="M977" s="754" t="s">
        <v>4386</v>
      </c>
      <c r="O977" t="s">
        <v>524</v>
      </c>
    </row>
    <row r="978" spans="2:15">
      <c r="B978" s="744" t="s">
        <v>4432</v>
      </c>
      <c r="C978" s="744" t="s">
        <v>4385</v>
      </c>
      <c r="D978" s="744" t="s">
        <v>4385</v>
      </c>
      <c r="E978" s="744" t="s">
        <v>2289</v>
      </c>
      <c r="F978" s="753" t="s">
        <v>4386</v>
      </c>
      <c r="G978" s="744" t="s">
        <v>2289</v>
      </c>
      <c r="H978" s="744"/>
      <c r="I978" s="744" t="s">
        <v>2289</v>
      </c>
      <c r="J978" s="744" t="s">
        <v>2289</v>
      </c>
      <c r="K978" s="754" t="s">
        <v>4386</v>
      </c>
      <c r="L978" s="755" t="s">
        <v>4432</v>
      </c>
      <c r="M978" s="754" t="s">
        <v>4386</v>
      </c>
      <c r="O978" t="s">
        <v>524</v>
      </c>
    </row>
    <row r="979" spans="2:15">
      <c r="B979" s="744" t="s">
        <v>4433</v>
      </c>
      <c r="C979" s="744" t="s">
        <v>4385</v>
      </c>
      <c r="D979" s="744" t="s">
        <v>4385</v>
      </c>
      <c r="E979" s="744" t="s">
        <v>2289</v>
      </c>
      <c r="F979" s="753" t="s">
        <v>4386</v>
      </c>
      <c r="G979" s="744" t="s">
        <v>2289</v>
      </c>
      <c r="H979" s="744"/>
      <c r="I979" s="744" t="s">
        <v>2289</v>
      </c>
      <c r="J979" s="744" t="s">
        <v>2289</v>
      </c>
      <c r="K979" s="754" t="s">
        <v>4386</v>
      </c>
      <c r="L979" s="755" t="s">
        <v>4433</v>
      </c>
      <c r="M979" s="754" t="s">
        <v>4386</v>
      </c>
      <c r="O979" t="s">
        <v>524</v>
      </c>
    </row>
    <row r="980" spans="2:15">
      <c r="B980" s="744" t="s">
        <v>4434</v>
      </c>
      <c r="C980" s="744" t="s">
        <v>4385</v>
      </c>
      <c r="D980" s="744" t="s">
        <v>4385</v>
      </c>
      <c r="E980" s="744" t="s">
        <v>2289</v>
      </c>
      <c r="F980" s="753" t="s">
        <v>4386</v>
      </c>
      <c r="G980" s="744" t="s">
        <v>2289</v>
      </c>
      <c r="H980" s="744"/>
      <c r="I980" s="744" t="s">
        <v>2289</v>
      </c>
      <c r="J980" s="744" t="s">
        <v>2289</v>
      </c>
      <c r="K980" s="754" t="s">
        <v>4386</v>
      </c>
      <c r="L980" s="755" t="s">
        <v>4434</v>
      </c>
      <c r="M980" s="754" t="s">
        <v>4386</v>
      </c>
      <c r="O980" t="s">
        <v>524</v>
      </c>
    </row>
    <row r="981" spans="2:15">
      <c r="B981" s="744" t="s">
        <v>4435</v>
      </c>
      <c r="C981" s="744" t="s">
        <v>4385</v>
      </c>
      <c r="D981" s="744" t="s">
        <v>4385</v>
      </c>
      <c r="E981" s="744" t="s">
        <v>2289</v>
      </c>
      <c r="F981" s="753" t="s">
        <v>4386</v>
      </c>
      <c r="G981" s="744" t="s">
        <v>2289</v>
      </c>
      <c r="H981" s="744"/>
      <c r="I981" s="744" t="s">
        <v>2289</v>
      </c>
      <c r="J981" s="744" t="s">
        <v>2289</v>
      </c>
      <c r="K981" s="754" t="s">
        <v>4386</v>
      </c>
      <c r="L981" s="755" t="s">
        <v>4435</v>
      </c>
      <c r="M981" s="754" t="s">
        <v>4386</v>
      </c>
      <c r="O981" t="s">
        <v>524</v>
      </c>
    </row>
    <row r="982" spans="2:15">
      <c r="B982" s="744" t="s">
        <v>3274</v>
      </c>
      <c r="C982" s="744" t="s">
        <v>4436</v>
      </c>
      <c r="D982" s="744" t="s">
        <v>4437</v>
      </c>
      <c r="E982" s="744" t="s">
        <v>2289</v>
      </c>
      <c r="F982" s="746" t="s">
        <v>4438</v>
      </c>
      <c r="G982" s="744" t="s">
        <v>2289</v>
      </c>
      <c r="H982" s="747">
        <f t="shared" ref="H982:H987" si="12">MID(B982,2,1)*12</f>
        <v>24</v>
      </c>
      <c r="I982" s="744">
        <v>6</v>
      </c>
      <c r="J982" s="744">
        <v>17</v>
      </c>
      <c r="K982" s="744">
        <f t="shared" ref="K982:K987" si="13">ROUND(I982*J982*0.85,0)</f>
        <v>87</v>
      </c>
      <c r="L982" s="744" t="s">
        <v>2289</v>
      </c>
      <c r="M982" s="744" t="s">
        <v>606</v>
      </c>
    </row>
    <row r="983" spans="2:15">
      <c r="B983" s="744" t="s">
        <v>3322</v>
      </c>
      <c r="C983" s="744" t="s">
        <v>4436</v>
      </c>
      <c r="D983" s="744" t="s">
        <v>4437</v>
      </c>
      <c r="E983" s="744" t="s">
        <v>2289</v>
      </c>
      <c r="F983" s="746" t="s">
        <v>4439</v>
      </c>
      <c r="G983" s="744" t="s">
        <v>2289</v>
      </c>
      <c r="H983" s="747">
        <f t="shared" si="12"/>
        <v>36</v>
      </c>
      <c r="I983" s="744">
        <v>6</v>
      </c>
      <c r="J983" s="744">
        <v>25</v>
      </c>
      <c r="K983" s="744">
        <f t="shared" si="13"/>
        <v>128</v>
      </c>
      <c r="L983" s="744" t="s">
        <v>2289</v>
      </c>
      <c r="M983" s="744" t="s">
        <v>606</v>
      </c>
    </row>
    <row r="984" spans="2:15">
      <c r="B984" s="744" t="s">
        <v>3495</v>
      </c>
      <c r="C984" s="744" t="s">
        <v>4436</v>
      </c>
      <c r="D984" s="744" t="s">
        <v>4437</v>
      </c>
      <c r="E984" s="744" t="s">
        <v>2289</v>
      </c>
      <c r="F984" s="746" t="s">
        <v>4440</v>
      </c>
      <c r="G984" s="744" t="s">
        <v>2289</v>
      </c>
      <c r="H984" s="747">
        <f t="shared" si="12"/>
        <v>72</v>
      </c>
      <c r="I984" s="744">
        <v>1</v>
      </c>
      <c r="J984" s="744">
        <v>65</v>
      </c>
      <c r="K984" s="744">
        <f t="shared" si="13"/>
        <v>55</v>
      </c>
      <c r="L984" s="744" t="s">
        <v>2289</v>
      </c>
      <c r="M984" s="744" t="s">
        <v>606</v>
      </c>
    </row>
    <row r="985" spans="2:15">
      <c r="B985" s="744" t="s">
        <v>3507</v>
      </c>
      <c r="C985" s="744" t="s">
        <v>4436</v>
      </c>
      <c r="D985" s="744" t="s">
        <v>4437</v>
      </c>
      <c r="E985" s="744" t="s">
        <v>2289</v>
      </c>
      <c r="F985" s="746" t="s">
        <v>4441</v>
      </c>
      <c r="G985" s="744" t="s">
        <v>2289</v>
      </c>
      <c r="H985" s="747">
        <f t="shared" si="12"/>
        <v>72</v>
      </c>
      <c r="I985" s="744">
        <v>2</v>
      </c>
      <c r="J985" s="744">
        <v>65</v>
      </c>
      <c r="K985" s="744">
        <f t="shared" si="13"/>
        <v>111</v>
      </c>
      <c r="L985" s="744" t="s">
        <v>2289</v>
      </c>
      <c r="M985" s="744" t="s">
        <v>606</v>
      </c>
    </row>
    <row r="986" spans="2:15">
      <c r="B986" s="744" t="s">
        <v>3517</v>
      </c>
      <c r="C986" s="744" t="s">
        <v>4436</v>
      </c>
      <c r="D986" s="744" t="s">
        <v>4437</v>
      </c>
      <c r="E986" s="744" t="s">
        <v>2289</v>
      </c>
      <c r="F986" s="746" t="s">
        <v>4442</v>
      </c>
      <c r="G986" s="744" t="s">
        <v>2289</v>
      </c>
      <c r="H986" s="747">
        <f t="shared" si="12"/>
        <v>72</v>
      </c>
      <c r="I986" s="744">
        <v>3</v>
      </c>
      <c r="J986" s="744">
        <v>65</v>
      </c>
      <c r="K986" s="744">
        <f t="shared" si="13"/>
        <v>166</v>
      </c>
      <c r="L986" s="744" t="s">
        <v>2289</v>
      </c>
      <c r="M986" s="744" t="s">
        <v>606</v>
      </c>
    </row>
    <row r="987" spans="2:15">
      <c r="B987" s="744" t="s">
        <v>3522</v>
      </c>
      <c r="C987" s="744" t="s">
        <v>4436</v>
      </c>
      <c r="D987" s="744" t="s">
        <v>4437</v>
      </c>
      <c r="E987" s="744" t="s">
        <v>2289</v>
      </c>
      <c r="F987" s="746" t="s">
        <v>4443</v>
      </c>
      <c r="G987" s="744" t="s">
        <v>2289</v>
      </c>
      <c r="H987" s="747">
        <f t="shared" si="12"/>
        <v>72</v>
      </c>
      <c r="I987" s="744">
        <v>4</v>
      </c>
      <c r="J987" s="744">
        <v>65</v>
      </c>
      <c r="K987" s="744">
        <f t="shared" si="13"/>
        <v>221</v>
      </c>
      <c r="L987" s="744" t="s">
        <v>2289</v>
      </c>
      <c r="M987" s="744" t="s">
        <v>606</v>
      </c>
    </row>
    <row r="988" spans="2:15">
      <c r="B988" s="744" t="s">
        <v>3589</v>
      </c>
      <c r="C988" s="744" t="s">
        <v>4436</v>
      </c>
      <c r="D988" s="744" t="s">
        <v>4437</v>
      </c>
      <c r="E988" s="744" t="s">
        <v>2289</v>
      </c>
      <c r="F988" s="746" t="s">
        <v>4444</v>
      </c>
      <c r="G988" s="744" t="s">
        <v>2289</v>
      </c>
      <c r="H988" s="744">
        <v>96</v>
      </c>
      <c r="I988" s="744">
        <v>3</v>
      </c>
      <c r="J988" s="744">
        <v>86</v>
      </c>
      <c r="K988" s="744">
        <f>ROUND(I988*J988*0.98,0)</f>
        <v>253</v>
      </c>
      <c r="L988" s="744" t="s">
        <v>2289</v>
      </c>
      <c r="M988" s="744" t="s">
        <v>606</v>
      </c>
    </row>
    <row r="989" spans="2:15">
      <c r="B989" s="744" t="s">
        <v>3626</v>
      </c>
      <c r="C989" s="744" t="s">
        <v>4436</v>
      </c>
      <c r="D989" s="744" t="s">
        <v>4437</v>
      </c>
      <c r="E989" s="744" t="s">
        <v>2289</v>
      </c>
      <c r="F989" s="746" t="s">
        <v>4445</v>
      </c>
      <c r="G989" s="744" t="s">
        <v>2289</v>
      </c>
      <c r="H989" s="744">
        <v>96</v>
      </c>
      <c r="I989" s="744">
        <v>6</v>
      </c>
      <c r="J989" s="744">
        <v>86</v>
      </c>
      <c r="K989" s="744">
        <f>ROUND(I989*J989*0.98,0)</f>
        <v>506</v>
      </c>
      <c r="L989" s="744" t="s">
        <v>2289</v>
      </c>
      <c r="M989" s="744" t="s">
        <v>606</v>
      </c>
    </row>
    <row r="990" spans="2:15">
      <c r="B990" s="756" t="s">
        <v>3809</v>
      </c>
      <c r="C990" s="744" t="s">
        <v>4446</v>
      </c>
      <c r="D990" s="744" t="s">
        <v>4447</v>
      </c>
      <c r="E990" s="744" t="s">
        <v>4448</v>
      </c>
      <c r="F990" s="746" t="s">
        <v>4449</v>
      </c>
      <c r="G990" s="744" t="s">
        <v>2289</v>
      </c>
      <c r="H990" s="744"/>
      <c r="I990" s="744">
        <v>1</v>
      </c>
      <c r="J990" s="744">
        <v>33</v>
      </c>
      <c r="K990" s="744">
        <v>33</v>
      </c>
      <c r="L990" s="744" t="s">
        <v>2289</v>
      </c>
      <c r="M990" s="744" t="s">
        <v>605</v>
      </c>
    </row>
    <row r="991" spans="2:15">
      <c r="B991" s="756" t="s">
        <v>3816</v>
      </c>
      <c r="C991" s="744" t="s">
        <v>4446</v>
      </c>
      <c r="D991" s="744" t="s">
        <v>4447</v>
      </c>
      <c r="E991" s="744" t="s">
        <v>4450</v>
      </c>
      <c r="F991" s="746" t="s">
        <v>4451</v>
      </c>
      <c r="G991" s="744" t="s">
        <v>2289</v>
      </c>
      <c r="H991" s="744"/>
      <c r="I991" s="744">
        <v>1</v>
      </c>
      <c r="J991" s="744">
        <v>28</v>
      </c>
      <c r="K991" s="744">
        <v>28</v>
      </c>
      <c r="L991" s="744" t="s">
        <v>2289</v>
      </c>
      <c r="M991" s="744" t="s">
        <v>605</v>
      </c>
    </row>
    <row r="992" spans="2:15">
      <c r="B992" s="756" t="s">
        <v>3823</v>
      </c>
      <c r="C992" s="744" t="s">
        <v>4446</v>
      </c>
      <c r="D992" s="744" t="s">
        <v>4447</v>
      </c>
      <c r="E992" s="744" t="s">
        <v>4452</v>
      </c>
      <c r="F992" s="746" t="s">
        <v>4453</v>
      </c>
      <c r="G992" s="744" t="s">
        <v>2289</v>
      </c>
      <c r="H992" s="744"/>
      <c r="I992" s="744">
        <v>1</v>
      </c>
      <c r="J992" s="744">
        <v>40</v>
      </c>
      <c r="K992" s="744">
        <v>40</v>
      </c>
      <c r="L992" s="744" t="s">
        <v>2289</v>
      </c>
      <c r="M992" s="744" t="s">
        <v>605</v>
      </c>
    </row>
    <row r="993" spans="2:13">
      <c r="B993" s="756" t="s">
        <v>3827</v>
      </c>
      <c r="C993" s="744" t="s">
        <v>4446</v>
      </c>
      <c r="D993" s="744" t="s">
        <v>4447</v>
      </c>
      <c r="E993" s="744" t="s">
        <v>4454</v>
      </c>
      <c r="F993" s="746" t="s">
        <v>4455</v>
      </c>
      <c r="G993" s="744" t="s">
        <v>2289</v>
      </c>
      <c r="H993" s="744"/>
      <c r="I993" s="744">
        <v>1</v>
      </c>
      <c r="J993" s="744">
        <v>44</v>
      </c>
      <c r="K993" s="744">
        <v>44</v>
      </c>
      <c r="L993" s="744" t="s">
        <v>2289</v>
      </c>
      <c r="M993" s="744" t="s">
        <v>605</v>
      </c>
    </row>
    <row r="994" spans="2:13">
      <c r="B994" s="756" t="s">
        <v>3831</v>
      </c>
      <c r="C994" s="744" t="s">
        <v>4446</v>
      </c>
      <c r="D994" s="744" t="s">
        <v>4447</v>
      </c>
      <c r="E994" s="744" t="s">
        <v>4456</v>
      </c>
      <c r="F994" s="746" t="s">
        <v>4457</v>
      </c>
      <c r="G994" s="744" t="s">
        <v>2289</v>
      </c>
      <c r="H994" s="744"/>
      <c r="I994" s="744">
        <v>1</v>
      </c>
      <c r="J994" s="744">
        <v>48</v>
      </c>
      <c r="K994" s="744">
        <v>48</v>
      </c>
      <c r="L994" s="744" t="s">
        <v>2289</v>
      </c>
      <c r="M994" s="744" t="s">
        <v>605</v>
      </c>
    </row>
    <row r="995" spans="2:13">
      <c r="B995" s="756" t="s">
        <v>3837</v>
      </c>
      <c r="C995" s="744" t="s">
        <v>4446</v>
      </c>
      <c r="D995" s="744" t="s">
        <v>4447</v>
      </c>
      <c r="E995" s="744" t="s">
        <v>4458</v>
      </c>
      <c r="F995" s="746" t="s">
        <v>4459</v>
      </c>
      <c r="G995" s="744" t="s">
        <v>2289</v>
      </c>
      <c r="H995" s="744"/>
      <c r="I995" s="744">
        <v>1</v>
      </c>
      <c r="J995" s="744">
        <v>58</v>
      </c>
      <c r="K995" s="744">
        <v>58</v>
      </c>
      <c r="L995" s="744" t="s">
        <v>2289</v>
      </c>
      <c r="M995" s="744" t="s">
        <v>605</v>
      </c>
    </row>
    <row r="996" spans="2:13">
      <c r="B996" s="756" t="s">
        <v>3850</v>
      </c>
      <c r="C996" s="744" t="s">
        <v>4446</v>
      </c>
      <c r="D996" s="744" t="s">
        <v>4447</v>
      </c>
      <c r="E996" s="744" t="s">
        <v>4460</v>
      </c>
      <c r="F996" s="746" t="s">
        <v>4461</v>
      </c>
      <c r="G996" s="744" t="s">
        <v>2289</v>
      </c>
      <c r="H996" s="744"/>
      <c r="I996" s="744">
        <v>1</v>
      </c>
      <c r="J996" s="744">
        <v>66</v>
      </c>
      <c r="K996" s="744">
        <v>66</v>
      </c>
      <c r="L996" s="744" t="s">
        <v>2289</v>
      </c>
      <c r="M996" s="744" t="s">
        <v>605</v>
      </c>
    </row>
    <row r="997" spans="2:13">
      <c r="B997" s="756" t="s">
        <v>3872</v>
      </c>
      <c r="C997" s="744" t="s">
        <v>4446</v>
      </c>
      <c r="D997" s="744" t="s">
        <v>4447</v>
      </c>
      <c r="E997" s="744" t="s">
        <v>4462</v>
      </c>
      <c r="F997" s="746" t="s">
        <v>4463</v>
      </c>
      <c r="G997" s="744" t="s">
        <v>2289</v>
      </c>
      <c r="H997" s="744"/>
      <c r="I997" s="744">
        <v>1</v>
      </c>
      <c r="J997" s="744">
        <v>8</v>
      </c>
      <c r="K997" s="744">
        <v>8</v>
      </c>
      <c r="L997" s="744" t="s">
        <v>2289</v>
      </c>
      <c r="M997" s="744" t="s">
        <v>605</v>
      </c>
    </row>
    <row r="998" spans="2:13">
      <c r="B998" s="756" t="s">
        <v>3878</v>
      </c>
      <c r="C998" s="744" t="s">
        <v>4446</v>
      </c>
      <c r="D998" s="744" t="s">
        <v>4447</v>
      </c>
      <c r="E998" s="744" t="s">
        <v>4464</v>
      </c>
      <c r="F998" s="746" t="s">
        <v>4465</v>
      </c>
      <c r="G998" s="744" t="s">
        <v>2289</v>
      </c>
      <c r="H998" s="744"/>
      <c r="I998" s="744">
        <v>1</v>
      </c>
      <c r="J998" s="744">
        <v>10</v>
      </c>
      <c r="K998" s="744">
        <v>10</v>
      </c>
      <c r="L998" s="744" t="s">
        <v>2289</v>
      </c>
      <c r="M998" s="744" t="s">
        <v>605</v>
      </c>
    </row>
    <row r="999" spans="2:13">
      <c r="B999" s="756" t="s">
        <v>3891</v>
      </c>
      <c r="C999" s="744" t="s">
        <v>4446</v>
      </c>
      <c r="D999" s="744" t="s">
        <v>4447</v>
      </c>
      <c r="E999" s="744" t="s">
        <v>4466</v>
      </c>
      <c r="F999" s="746" t="s">
        <v>4467</v>
      </c>
      <c r="G999" s="744" t="s">
        <v>2289</v>
      </c>
      <c r="H999" s="744"/>
      <c r="I999" s="744">
        <v>1</v>
      </c>
      <c r="J999" s="744">
        <v>11</v>
      </c>
      <c r="K999" s="744">
        <v>11</v>
      </c>
      <c r="L999" s="744" t="s">
        <v>2289</v>
      </c>
      <c r="M999" s="744" t="s">
        <v>605</v>
      </c>
    </row>
    <row r="1000" spans="2:13">
      <c r="B1000" s="756" t="s">
        <v>3900</v>
      </c>
      <c r="C1000" s="744" t="s">
        <v>4446</v>
      </c>
      <c r="D1000" s="744" t="s">
        <v>4447</v>
      </c>
      <c r="E1000" s="744" t="s">
        <v>4468</v>
      </c>
      <c r="F1000" s="746" t="s">
        <v>4469</v>
      </c>
      <c r="G1000" s="744" t="s">
        <v>2289</v>
      </c>
      <c r="H1000" s="744"/>
      <c r="I1000" s="744">
        <v>1</v>
      </c>
      <c r="J1000" s="744">
        <v>13</v>
      </c>
      <c r="K1000" s="744">
        <v>13</v>
      </c>
      <c r="L1000" s="744" t="s">
        <v>2289</v>
      </c>
      <c r="M1000" s="744" t="s">
        <v>605</v>
      </c>
    </row>
    <row r="1001" spans="2:13">
      <c r="B1001" s="756" t="s">
        <v>3910</v>
      </c>
      <c r="C1001" s="744" t="s">
        <v>4446</v>
      </c>
      <c r="D1001" s="744" t="s">
        <v>4447</v>
      </c>
      <c r="E1001" s="744" t="s">
        <v>4470</v>
      </c>
      <c r="F1001" s="746" t="s">
        <v>4471</v>
      </c>
      <c r="G1001" s="744" t="s">
        <v>2289</v>
      </c>
      <c r="H1001" s="744"/>
      <c r="I1001" s="744">
        <v>1</v>
      </c>
      <c r="J1001" s="744">
        <v>14</v>
      </c>
      <c r="K1001" s="744">
        <v>14</v>
      </c>
      <c r="L1001" s="744" t="s">
        <v>2289</v>
      </c>
      <c r="M1001" s="744" t="s">
        <v>605</v>
      </c>
    </row>
    <row r="1002" spans="2:13">
      <c r="B1002" s="756" t="s">
        <v>3917</v>
      </c>
      <c r="C1002" s="744" t="s">
        <v>4446</v>
      </c>
      <c r="D1002" s="744" t="s">
        <v>4447</v>
      </c>
      <c r="E1002" s="744" t="s">
        <v>4472</v>
      </c>
      <c r="F1002" s="746" t="s">
        <v>4473</v>
      </c>
      <c r="G1002" s="744" t="s">
        <v>2289</v>
      </c>
      <c r="H1002" s="744"/>
      <c r="I1002" s="744">
        <v>1</v>
      </c>
      <c r="J1002" s="744">
        <v>17</v>
      </c>
      <c r="K1002" s="744">
        <v>17</v>
      </c>
      <c r="L1002" s="744" t="s">
        <v>2289</v>
      </c>
      <c r="M1002" s="744" t="s">
        <v>605</v>
      </c>
    </row>
    <row r="1003" spans="2:13">
      <c r="B1003" s="756" t="s">
        <v>3927</v>
      </c>
      <c r="C1003" s="744" t="s">
        <v>4446</v>
      </c>
      <c r="D1003" s="744" t="s">
        <v>4447</v>
      </c>
      <c r="E1003" s="744" t="s">
        <v>4474</v>
      </c>
      <c r="F1003" s="746" t="s">
        <v>4475</v>
      </c>
      <c r="G1003" s="744" t="s">
        <v>2289</v>
      </c>
      <c r="H1003" s="744"/>
      <c r="I1003" s="744">
        <v>1</v>
      </c>
      <c r="J1003" s="744">
        <v>18</v>
      </c>
      <c r="K1003" s="744">
        <v>18</v>
      </c>
      <c r="L1003" s="744" t="s">
        <v>2289</v>
      </c>
      <c r="M1003" s="744" t="s">
        <v>605</v>
      </c>
    </row>
    <row r="1004" spans="2:13">
      <c r="B1004" s="756" t="s">
        <v>3931</v>
      </c>
      <c r="C1004" s="744" t="s">
        <v>4446</v>
      </c>
      <c r="D1004" s="744" t="s">
        <v>4447</v>
      </c>
      <c r="E1004" s="744" t="s">
        <v>4476</v>
      </c>
      <c r="F1004" s="746" t="s">
        <v>4477</v>
      </c>
      <c r="G1004" s="744" t="s">
        <v>2289</v>
      </c>
      <c r="H1004" s="744"/>
      <c r="I1004" s="744">
        <v>1</v>
      </c>
      <c r="J1004" s="744">
        <v>19</v>
      </c>
      <c r="K1004" s="744">
        <v>19</v>
      </c>
      <c r="L1004" s="744" t="s">
        <v>2289</v>
      </c>
      <c r="M1004" s="744" t="s">
        <v>605</v>
      </c>
    </row>
    <row r="1005" spans="2:13">
      <c r="B1005" s="756" t="s">
        <v>3940</v>
      </c>
      <c r="C1005" s="744" t="s">
        <v>4446</v>
      </c>
      <c r="D1005" s="744" t="s">
        <v>4447</v>
      </c>
      <c r="E1005" s="744" t="s">
        <v>4478</v>
      </c>
      <c r="F1005" s="746" t="s">
        <v>4479</v>
      </c>
      <c r="G1005" s="744" t="s">
        <v>2289</v>
      </c>
      <c r="H1005" s="744"/>
      <c r="I1005" s="744">
        <v>1</v>
      </c>
      <c r="J1005" s="744">
        <v>20</v>
      </c>
      <c r="K1005" s="744">
        <v>20</v>
      </c>
      <c r="L1005" s="744" t="s">
        <v>2289</v>
      </c>
      <c r="M1005" s="744" t="s">
        <v>605</v>
      </c>
    </row>
    <row r="1006" spans="2:13">
      <c r="B1006" s="756" t="s">
        <v>3944</v>
      </c>
      <c r="C1006" s="744" t="s">
        <v>4446</v>
      </c>
      <c r="D1006" s="744" t="s">
        <v>4447</v>
      </c>
      <c r="E1006" s="744" t="s">
        <v>4480</v>
      </c>
      <c r="F1006" s="746" t="s">
        <v>4481</v>
      </c>
      <c r="G1006" s="744" t="s">
        <v>2289</v>
      </c>
      <c r="H1006" s="744"/>
      <c r="I1006" s="744">
        <v>1</v>
      </c>
      <c r="J1006" s="744">
        <v>23</v>
      </c>
      <c r="K1006" s="744">
        <v>23</v>
      </c>
      <c r="L1006" s="744" t="s">
        <v>2289</v>
      </c>
      <c r="M1006" s="744" t="s">
        <v>605</v>
      </c>
    </row>
    <row r="1007" spans="2:13">
      <c r="B1007" s="756" t="s">
        <v>3957</v>
      </c>
      <c r="C1007" s="744" t="s">
        <v>4446</v>
      </c>
      <c r="D1007" s="744" t="s">
        <v>4447</v>
      </c>
      <c r="E1007" s="744" t="s">
        <v>4482</v>
      </c>
      <c r="F1007" s="746" t="s">
        <v>4483</v>
      </c>
      <c r="G1007" s="744" t="s">
        <v>2289</v>
      </c>
      <c r="H1007" s="744"/>
      <c r="I1007" s="744">
        <v>1</v>
      </c>
      <c r="J1007" s="744">
        <v>25</v>
      </c>
      <c r="K1007" s="744">
        <v>25</v>
      </c>
      <c r="L1007" s="744" t="s">
        <v>2289</v>
      </c>
      <c r="M1007" s="744" t="s">
        <v>605</v>
      </c>
    </row>
    <row r="1008" spans="2:13">
      <c r="B1008" s="756" t="s">
        <v>3961</v>
      </c>
      <c r="C1008" s="744" t="s">
        <v>4446</v>
      </c>
      <c r="D1008" s="744" t="s">
        <v>4447</v>
      </c>
      <c r="E1008" s="744" t="s">
        <v>4484</v>
      </c>
      <c r="F1008" s="746" t="s">
        <v>4485</v>
      </c>
      <c r="G1008" s="744" t="s">
        <v>2289</v>
      </c>
      <c r="H1008" s="744"/>
      <c r="I1008" s="744">
        <v>1</v>
      </c>
      <c r="J1008" s="744">
        <v>26</v>
      </c>
      <c r="K1008" s="744">
        <v>26</v>
      </c>
      <c r="L1008" s="744" t="s">
        <v>2289</v>
      </c>
      <c r="M1008" s="744" t="s">
        <v>605</v>
      </c>
    </row>
    <row r="1009" spans="2:13">
      <c r="B1009" s="756" t="s">
        <v>3968</v>
      </c>
      <c r="C1009" s="744" t="s">
        <v>4446</v>
      </c>
      <c r="D1009" s="744" t="s">
        <v>4447</v>
      </c>
      <c r="E1009" s="744" t="s">
        <v>4486</v>
      </c>
      <c r="F1009" s="746" t="s">
        <v>4487</v>
      </c>
      <c r="G1009" s="744" t="s">
        <v>2289</v>
      </c>
      <c r="H1009" s="744"/>
      <c r="I1009" s="744">
        <v>1</v>
      </c>
      <c r="J1009" s="744">
        <v>29</v>
      </c>
      <c r="K1009" s="744">
        <v>29</v>
      </c>
      <c r="L1009" s="744" t="s">
        <v>2289</v>
      </c>
      <c r="M1009" s="744" t="s">
        <v>605</v>
      </c>
    </row>
    <row r="1010" spans="2:13">
      <c r="B1010" s="756" t="s">
        <v>3972</v>
      </c>
      <c r="C1010" s="744" t="s">
        <v>4446</v>
      </c>
      <c r="D1010" s="744" t="s">
        <v>4447</v>
      </c>
      <c r="E1010" s="744" t="s">
        <v>4488</v>
      </c>
      <c r="F1010" s="746" t="s">
        <v>4489</v>
      </c>
      <c r="G1010" s="744" t="s">
        <v>2289</v>
      </c>
      <c r="H1010" s="744"/>
      <c r="I1010" s="744">
        <v>1</v>
      </c>
      <c r="J1010" s="744">
        <v>30</v>
      </c>
      <c r="K1010" s="744">
        <v>30</v>
      </c>
      <c r="L1010" s="744" t="s">
        <v>2289</v>
      </c>
      <c r="M1010" s="744" t="s">
        <v>605</v>
      </c>
    </row>
    <row r="1011" spans="2:13">
      <c r="B1011" s="756" t="s">
        <v>3975</v>
      </c>
      <c r="C1011" s="744" t="s">
        <v>4446</v>
      </c>
      <c r="D1011" s="744" t="s">
        <v>4447</v>
      </c>
      <c r="E1011" s="744" t="s">
        <v>4448</v>
      </c>
      <c r="F1011" s="746" t="s">
        <v>4490</v>
      </c>
      <c r="G1011" s="744" t="s">
        <v>2289</v>
      </c>
      <c r="H1011" s="744"/>
      <c r="I1011" s="744">
        <v>2</v>
      </c>
      <c r="J1011" s="744">
        <v>33</v>
      </c>
      <c r="K1011" s="744">
        <v>66</v>
      </c>
      <c r="L1011" s="744" t="s">
        <v>2289</v>
      </c>
      <c r="M1011" s="744" t="s">
        <v>605</v>
      </c>
    </row>
    <row r="1012" spans="2:13">
      <c r="B1012" s="756" t="s">
        <v>3978</v>
      </c>
      <c r="C1012" s="744" t="s">
        <v>4446</v>
      </c>
      <c r="D1012" s="744" t="s">
        <v>4447</v>
      </c>
      <c r="E1012" s="744" t="s">
        <v>4452</v>
      </c>
      <c r="F1012" s="746" t="s">
        <v>4491</v>
      </c>
      <c r="G1012" s="744" t="s">
        <v>2289</v>
      </c>
      <c r="H1012" s="744"/>
      <c r="I1012" s="744">
        <v>2</v>
      </c>
      <c r="J1012" s="744">
        <v>40</v>
      </c>
      <c r="K1012" s="744">
        <v>80</v>
      </c>
      <c r="L1012" s="744" t="s">
        <v>2289</v>
      </c>
      <c r="M1012" s="744" t="s">
        <v>605</v>
      </c>
    </row>
    <row r="1013" spans="2:13">
      <c r="B1013" s="756" t="s">
        <v>3981</v>
      </c>
      <c r="C1013" s="744" t="s">
        <v>4446</v>
      </c>
      <c r="D1013" s="744" t="s">
        <v>4447</v>
      </c>
      <c r="E1013" s="744" t="s">
        <v>4456</v>
      </c>
      <c r="F1013" s="746" t="s">
        <v>4492</v>
      </c>
      <c r="G1013" s="744" t="s">
        <v>2289</v>
      </c>
      <c r="H1013" s="744"/>
      <c r="I1013" s="744">
        <v>2</v>
      </c>
      <c r="J1013" s="744">
        <v>48</v>
      </c>
      <c r="K1013" s="744">
        <v>96</v>
      </c>
      <c r="L1013" s="744" t="s">
        <v>2289</v>
      </c>
      <c r="M1013" s="744" t="s">
        <v>605</v>
      </c>
    </row>
    <row r="1014" spans="2:13">
      <c r="B1014" s="756" t="s">
        <v>3986</v>
      </c>
      <c r="C1014" s="744" t="s">
        <v>4446</v>
      </c>
      <c r="D1014" s="744" t="s">
        <v>4447</v>
      </c>
      <c r="E1014" s="744" t="s">
        <v>4458</v>
      </c>
      <c r="F1014" s="746" t="s">
        <v>4493</v>
      </c>
      <c r="G1014" s="744" t="s">
        <v>2289</v>
      </c>
      <c r="H1014" s="744"/>
      <c r="I1014" s="744">
        <v>2</v>
      </c>
      <c r="J1014" s="744">
        <v>58</v>
      </c>
      <c r="K1014" s="744">
        <v>116</v>
      </c>
      <c r="L1014" s="744" t="s">
        <v>2289</v>
      </c>
      <c r="M1014" s="744" t="s">
        <v>605</v>
      </c>
    </row>
    <row r="1015" spans="2:13">
      <c r="B1015" s="756" t="s">
        <v>3995</v>
      </c>
      <c r="C1015" s="744" t="s">
        <v>4446</v>
      </c>
      <c r="D1015" s="744" t="s">
        <v>4447</v>
      </c>
      <c r="E1015" s="744" t="s">
        <v>4462</v>
      </c>
      <c r="F1015" s="746" t="s">
        <v>4494</v>
      </c>
      <c r="G1015" s="744" t="s">
        <v>2289</v>
      </c>
      <c r="H1015" s="744"/>
      <c r="I1015" s="744">
        <v>2</v>
      </c>
      <c r="J1015" s="744">
        <v>8</v>
      </c>
      <c r="K1015" s="744">
        <v>16</v>
      </c>
      <c r="L1015" s="744" t="s">
        <v>2289</v>
      </c>
      <c r="M1015" s="744" t="s">
        <v>605</v>
      </c>
    </row>
    <row r="1016" spans="2:13">
      <c r="B1016" s="756" t="s">
        <v>3998</v>
      </c>
      <c r="C1016" s="744" t="s">
        <v>4446</v>
      </c>
      <c r="D1016" s="744" t="s">
        <v>4447</v>
      </c>
      <c r="E1016" s="744" t="s">
        <v>4464</v>
      </c>
      <c r="F1016" s="746" t="s">
        <v>4495</v>
      </c>
      <c r="G1016" s="744" t="s">
        <v>2289</v>
      </c>
      <c r="H1016" s="744"/>
      <c r="I1016" s="744">
        <v>2</v>
      </c>
      <c r="J1016" s="744">
        <v>10</v>
      </c>
      <c r="K1016" s="744">
        <v>20</v>
      </c>
      <c r="L1016" s="744" t="s">
        <v>2289</v>
      </c>
      <c r="M1016" s="744" t="s">
        <v>605</v>
      </c>
    </row>
    <row r="1017" spans="2:13">
      <c r="B1017" s="756" t="s">
        <v>4001</v>
      </c>
      <c r="C1017" s="744" t="s">
        <v>4446</v>
      </c>
      <c r="D1017" s="744" t="s">
        <v>4447</v>
      </c>
      <c r="E1017" s="744" t="s">
        <v>4468</v>
      </c>
      <c r="F1017" s="746" t="s">
        <v>4496</v>
      </c>
      <c r="G1017" s="744" t="s">
        <v>2289</v>
      </c>
      <c r="H1017" s="744"/>
      <c r="I1017" s="744">
        <v>2</v>
      </c>
      <c r="J1017" s="744">
        <v>13</v>
      </c>
      <c r="K1017" s="744">
        <v>26</v>
      </c>
      <c r="L1017" s="744" t="s">
        <v>2289</v>
      </c>
      <c r="M1017" s="744" t="s">
        <v>605</v>
      </c>
    </row>
    <row r="1018" spans="2:13">
      <c r="B1018" s="756" t="s">
        <v>4006</v>
      </c>
      <c r="C1018" s="744" t="s">
        <v>4446</v>
      </c>
      <c r="D1018" s="744" t="s">
        <v>4447</v>
      </c>
      <c r="E1018" s="744" t="s">
        <v>4470</v>
      </c>
      <c r="F1018" s="746" t="s">
        <v>4497</v>
      </c>
      <c r="G1018" s="744" t="s">
        <v>2289</v>
      </c>
      <c r="H1018" s="744"/>
      <c r="I1018" s="744">
        <v>2</v>
      </c>
      <c r="J1018" s="744">
        <v>14</v>
      </c>
      <c r="K1018" s="744">
        <v>28</v>
      </c>
      <c r="L1018" s="744" t="s">
        <v>2289</v>
      </c>
      <c r="M1018" s="744" t="s">
        <v>605</v>
      </c>
    </row>
    <row r="1019" spans="2:13">
      <c r="B1019" s="756" t="s">
        <v>4011</v>
      </c>
      <c r="C1019" s="744" t="s">
        <v>4446</v>
      </c>
      <c r="D1019" s="744" t="s">
        <v>4447</v>
      </c>
      <c r="E1019" s="744" t="s">
        <v>4472</v>
      </c>
      <c r="F1019" s="746" t="s">
        <v>4498</v>
      </c>
      <c r="G1019" s="744" t="s">
        <v>2289</v>
      </c>
      <c r="H1019" s="744"/>
      <c r="I1019" s="744">
        <v>2</v>
      </c>
      <c r="J1019" s="744">
        <v>17</v>
      </c>
      <c r="K1019" s="744">
        <v>34</v>
      </c>
      <c r="L1019" s="744" t="s">
        <v>2289</v>
      </c>
      <c r="M1019" s="744" t="s">
        <v>605</v>
      </c>
    </row>
    <row r="1020" spans="2:13">
      <c r="B1020" s="756" t="s">
        <v>4014</v>
      </c>
      <c r="C1020" s="744" t="s">
        <v>4446</v>
      </c>
      <c r="D1020" s="744" t="s">
        <v>4447</v>
      </c>
      <c r="E1020" s="744" t="s">
        <v>4474</v>
      </c>
      <c r="F1020" s="746" t="s">
        <v>4499</v>
      </c>
      <c r="G1020" s="744" t="s">
        <v>2289</v>
      </c>
      <c r="H1020" s="744"/>
      <c r="I1020" s="744">
        <v>2</v>
      </c>
      <c r="J1020" s="744">
        <v>18</v>
      </c>
      <c r="K1020" s="744">
        <v>36</v>
      </c>
      <c r="L1020" s="744" t="s">
        <v>2289</v>
      </c>
      <c r="M1020" s="744" t="s">
        <v>605</v>
      </c>
    </row>
    <row r="1021" spans="2:13">
      <c r="B1021" s="756" t="s">
        <v>4017</v>
      </c>
      <c r="C1021" s="744" t="s">
        <v>4446</v>
      </c>
      <c r="D1021" s="744" t="s">
        <v>4447</v>
      </c>
      <c r="E1021" s="744" t="s">
        <v>4476</v>
      </c>
      <c r="F1021" s="746" t="s">
        <v>4500</v>
      </c>
      <c r="G1021" s="744" t="s">
        <v>2289</v>
      </c>
      <c r="H1021" s="744"/>
      <c r="I1021" s="744">
        <v>2</v>
      </c>
      <c r="J1021" s="744">
        <v>19</v>
      </c>
      <c r="K1021" s="744">
        <v>38</v>
      </c>
      <c r="L1021" s="744" t="s">
        <v>2289</v>
      </c>
      <c r="M1021" s="744" t="s">
        <v>605</v>
      </c>
    </row>
    <row r="1022" spans="2:13">
      <c r="B1022" s="756" t="s">
        <v>4022</v>
      </c>
      <c r="C1022" s="744" t="s">
        <v>4446</v>
      </c>
      <c r="D1022" s="744" t="s">
        <v>4447</v>
      </c>
      <c r="E1022" s="744" t="s">
        <v>4480</v>
      </c>
      <c r="F1022" s="746" t="s">
        <v>4501</v>
      </c>
      <c r="G1022" s="744" t="s">
        <v>2289</v>
      </c>
      <c r="H1022" s="744"/>
      <c r="I1022" s="744">
        <v>2</v>
      </c>
      <c r="J1022" s="744">
        <v>23</v>
      </c>
      <c r="K1022" s="744">
        <v>46</v>
      </c>
      <c r="L1022" s="744" t="s">
        <v>2289</v>
      </c>
      <c r="M1022" s="744" t="s">
        <v>605</v>
      </c>
    </row>
    <row r="1023" spans="2:13">
      <c r="B1023" s="756" t="s">
        <v>4025</v>
      </c>
      <c r="C1023" s="744" t="s">
        <v>4446</v>
      </c>
      <c r="D1023" s="744" t="s">
        <v>4447</v>
      </c>
      <c r="E1023" s="744" t="s">
        <v>4450</v>
      </c>
      <c r="F1023" s="746" t="s">
        <v>4502</v>
      </c>
      <c r="G1023" s="744" t="s">
        <v>2289</v>
      </c>
      <c r="H1023" s="744"/>
      <c r="I1023" s="744">
        <v>2</v>
      </c>
      <c r="J1023" s="744">
        <v>28</v>
      </c>
      <c r="K1023" s="744">
        <v>56</v>
      </c>
      <c r="L1023" s="744" t="s">
        <v>2289</v>
      </c>
      <c r="M1023" s="744" t="s">
        <v>605</v>
      </c>
    </row>
    <row r="1024" spans="2:13">
      <c r="B1024" s="756" t="s">
        <v>4028</v>
      </c>
      <c r="C1024" s="744" t="s">
        <v>4446</v>
      </c>
      <c r="D1024" s="744" t="s">
        <v>4447</v>
      </c>
      <c r="E1024" s="744" t="s">
        <v>4488</v>
      </c>
      <c r="F1024" s="746" t="s">
        <v>4503</v>
      </c>
      <c r="G1024" s="744" t="s">
        <v>2289</v>
      </c>
      <c r="H1024" s="744"/>
      <c r="I1024" s="744">
        <v>2</v>
      </c>
      <c r="J1024" s="744">
        <v>30</v>
      </c>
      <c r="K1024" s="744">
        <v>60</v>
      </c>
      <c r="L1024" s="744" t="s">
        <v>2289</v>
      </c>
      <c r="M1024" s="744" t="s">
        <v>605</v>
      </c>
    </row>
    <row r="1025" spans="2:13">
      <c r="B1025" s="756" t="s">
        <v>4031</v>
      </c>
      <c r="C1025" s="744" t="s">
        <v>4446</v>
      </c>
      <c r="D1025" s="744" t="s">
        <v>4447</v>
      </c>
      <c r="E1025" s="744" t="s">
        <v>4448</v>
      </c>
      <c r="F1025" s="746" t="s">
        <v>4504</v>
      </c>
      <c r="G1025" s="744" t="s">
        <v>2289</v>
      </c>
      <c r="H1025" s="744"/>
      <c r="I1025" s="744">
        <v>3</v>
      </c>
      <c r="J1025" s="744">
        <v>33</v>
      </c>
      <c r="K1025" s="744">
        <v>99</v>
      </c>
      <c r="L1025" s="744" t="s">
        <v>2289</v>
      </c>
      <c r="M1025" s="744" t="s">
        <v>605</v>
      </c>
    </row>
    <row r="1026" spans="2:13">
      <c r="B1026" s="756" t="s">
        <v>4034</v>
      </c>
      <c r="C1026" s="744" t="s">
        <v>4446</v>
      </c>
      <c r="D1026" s="744" t="s">
        <v>4447</v>
      </c>
      <c r="E1026" s="744" t="s">
        <v>4472</v>
      </c>
      <c r="F1026" s="746" t="s">
        <v>4505</v>
      </c>
      <c r="G1026" s="744" t="s">
        <v>2289</v>
      </c>
      <c r="H1026" s="744"/>
      <c r="I1026" s="744">
        <v>3</v>
      </c>
      <c r="J1026" s="744">
        <v>17</v>
      </c>
      <c r="K1026" s="744">
        <v>51</v>
      </c>
      <c r="L1026" s="744" t="s">
        <v>2289</v>
      </c>
      <c r="M1026" s="744" t="s">
        <v>605</v>
      </c>
    </row>
    <row r="1027" spans="2:13">
      <c r="B1027" s="756" t="s">
        <v>4037</v>
      </c>
      <c r="C1027" s="744" t="s">
        <v>4446</v>
      </c>
      <c r="D1027" s="744" t="s">
        <v>4447</v>
      </c>
      <c r="E1027" s="744" t="s">
        <v>4476</v>
      </c>
      <c r="F1027" s="746" t="s">
        <v>4506</v>
      </c>
      <c r="G1027" s="744" t="s">
        <v>2289</v>
      </c>
      <c r="H1027" s="744"/>
      <c r="I1027" s="744">
        <v>3</v>
      </c>
      <c r="J1027" s="744">
        <v>19</v>
      </c>
      <c r="K1027" s="744">
        <v>57</v>
      </c>
      <c r="L1027" s="744" t="s">
        <v>2289</v>
      </c>
      <c r="M1027" s="744" t="s">
        <v>605</v>
      </c>
    </row>
    <row r="1028" spans="2:13">
      <c r="B1028" s="756" t="s">
        <v>4040</v>
      </c>
      <c r="C1028" s="744" t="s">
        <v>4446</v>
      </c>
      <c r="D1028" s="744" t="s">
        <v>4447</v>
      </c>
      <c r="E1028" s="744" t="s">
        <v>4480</v>
      </c>
      <c r="F1028" s="746" t="s">
        <v>4507</v>
      </c>
      <c r="G1028" s="744" t="s">
        <v>2289</v>
      </c>
      <c r="H1028" s="744"/>
      <c r="I1028" s="744">
        <v>3</v>
      </c>
      <c r="J1028" s="744">
        <v>23</v>
      </c>
      <c r="K1028" s="744">
        <v>69</v>
      </c>
      <c r="L1028" s="744" t="s">
        <v>2289</v>
      </c>
      <c r="M1028" s="744" t="s">
        <v>605</v>
      </c>
    </row>
    <row r="1029" spans="2:13">
      <c r="B1029" s="756" t="s">
        <v>4043</v>
      </c>
      <c r="C1029" s="744" t="s">
        <v>4446</v>
      </c>
      <c r="D1029" s="744" t="s">
        <v>4447</v>
      </c>
      <c r="E1029" s="744" t="s">
        <v>4450</v>
      </c>
      <c r="F1029" s="746" t="s">
        <v>4508</v>
      </c>
      <c r="G1029" s="744" t="s">
        <v>2289</v>
      </c>
      <c r="H1029" s="744"/>
      <c r="I1029" s="744">
        <v>3</v>
      </c>
      <c r="J1029" s="744">
        <v>28</v>
      </c>
      <c r="K1029" s="744">
        <v>84</v>
      </c>
      <c r="L1029" s="744" t="s">
        <v>2289</v>
      </c>
      <c r="M1029" s="744" t="s">
        <v>605</v>
      </c>
    </row>
    <row r="1030" spans="2:13">
      <c r="B1030" s="756" t="s">
        <v>4046</v>
      </c>
      <c r="C1030" s="744" t="s">
        <v>4446</v>
      </c>
      <c r="D1030" s="744" t="s">
        <v>4447</v>
      </c>
      <c r="E1030" s="744" t="s">
        <v>4448</v>
      </c>
      <c r="F1030" s="746" t="s">
        <v>4509</v>
      </c>
      <c r="G1030" s="744" t="s">
        <v>2289</v>
      </c>
      <c r="H1030" s="744"/>
      <c r="I1030" s="744">
        <v>4</v>
      </c>
      <c r="J1030" s="744">
        <v>33</v>
      </c>
      <c r="K1030" s="744">
        <v>132</v>
      </c>
      <c r="L1030" s="744" t="s">
        <v>2289</v>
      </c>
      <c r="M1030" s="744" t="s">
        <v>605</v>
      </c>
    </row>
    <row r="1031" spans="2:13">
      <c r="B1031" s="756" t="s">
        <v>4051</v>
      </c>
      <c r="C1031" s="744" t="s">
        <v>4446</v>
      </c>
      <c r="D1031" s="744" t="s">
        <v>4447</v>
      </c>
      <c r="E1031" s="744" t="s">
        <v>4472</v>
      </c>
      <c r="F1031" s="746" t="s">
        <v>4510</v>
      </c>
      <c r="G1031" s="744" t="s">
        <v>2289</v>
      </c>
      <c r="H1031" s="744"/>
      <c r="I1031" s="744">
        <v>4</v>
      </c>
      <c r="J1031" s="744">
        <v>17</v>
      </c>
      <c r="K1031" s="744">
        <v>68</v>
      </c>
      <c r="L1031" s="744" t="s">
        <v>2289</v>
      </c>
      <c r="M1031" s="744" t="s">
        <v>605</v>
      </c>
    </row>
    <row r="1032" spans="2:13">
      <c r="B1032" s="756" t="s">
        <v>4054</v>
      </c>
      <c r="C1032" s="744" t="s">
        <v>4446</v>
      </c>
      <c r="D1032" s="744" t="s">
        <v>4447</v>
      </c>
      <c r="E1032" s="744" t="s">
        <v>4480</v>
      </c>
      <c r="F1032" s="746" t="s">
        <v>4511</v>
      </c>
      <c r="G1032" s="744" t="s">
        <v>2289</v>
      </c>
      <c r="H1032" s="744"/>
      <c r="I1032" s="744">
        <v>4</v>
      </c>
      <c r="J1032" s="744">
        <v>23</v>
      </c>
      <c r="K1032" s="744">
        <v>92</v>
      </c>
      <c r="L1032" s="744" t="s">
        <v>2289</v>
      </c>
      <c r="M1032" s="744" t="s">
        <v>605</v>
      </c>
    </row>
    <row r="1033" spans="2:13">
      <c r="B1033" s="756" t="s">
        <v>4057</v>
      </c>
      <c r="C1033" s="744" t="s">
        <v>4446</v>
      </c>
      <c r="D1033" s="744" t="s">
        <v>4447</v>
      </c>
      <c r="E1033" s="744" t="s">
        <v>4448</v>
      </c>
      <c r="F1033" s="746" t="s">
        <v>4512</v>
      </c>
      <c r="G1033" s="744" t="s">
        <v>2289</v>
      </c>
      <c r="H1033" s="744"/>
      <c r="I1033" s="744">
        <v>5</v>
      </c>
      <c r="J1033" s="744">
        <v>33</v>
      </c>
      <c r="K1033" s="744">
        <v>165</v>
      </c>
      <c r="L1033" s="744" t="s">
        <v>2289</v>
      </c>
      <c r="M1033" s="744" t="s">
        <v>605</v>
      </c>
    </row>
    <row r="1034" spans="2:13">
      <c r="B1034" s="756" t="s">
        <v>4060</v>
      </c>
      <c r="C1034" s="744" t="s">
        <v>4446</v>
      </c>
      <c r="D1034" s="744" t="s">
        <v>4447</v>
      </c>
      <c r="E1034" s="744" t="s">
        <v>4472</v>
      </c>
      <c r="F1034" s="746" t="s">
        <v>4513</v>
      </c>
      <c r="G1034" s="744" t="s">
        <v>2289</v>
      </c>
      <c r="H1034" s="744"/>
      <c r="I1034" s="744">
        <v>5</v>
      </c>
      <c r="J1034" s="744">
        <v>17</v>
      </c>
      <c r="K1034" s="744">
        <v>85</v>
      </c>
      <c r="L1034" s="744" t="s">
        <v>2289</v>
      </c>
      <c r="M1034" s="744" t="s">
        <v>605</v>
      </c>
    </row>
    <row r="1035" spans="2:13">
      <c r="B1035" s="756" t="s">
        <v>4065</v>
      </c>
      <c r="C1035" s="744" t="s">
        <v>4446</v>
      </c>
      <c r="D1035" s="744" t="s">
        <v>4447</v>
      </c>
      <c r="E1035" s="744" t="s">
        <v>4514</v>
      </c>
      <c r="F1035" s="746" t="s">
        <v>4515</v>
      </c>
      <c r="G1035" s="744" t="s">
        <v>2289</v>
      </c>
      <c r="H1035" s="744"/>
      <c r="I1035" s="744">
        <v>1</v>
      </c>
      <c r="J1035" s="744">
        <v>46</v>
      </c>
      <c r="K1035" s="744">
        <v>46</v>
      </c>
      <c r="L1035" s="744" t="s">
        <v>2289</v>
      </c>
      <c r="M1035" s="744" t="s">
        <v>605</v>
      </c>
    </row>
    <row r="1036" spans="2:13">
      <c r="B1036" s="756" t="s">
        <v>4075</v>
      </c>
      <c r="C1036" s="744" t="s">
        <v>4446</v>
      </c>
      <c r="D1036" s="744" t="s">
        <v>4447</v>
      </c>
      <c r="E1036" s="744" t="s">
        <v>4516</v>
      </c>
      <c r="F1036" s="746" t="s">
        <v>4517</v>
      </c>
      <c r="G1036" s="744" t="s">
        <v>2289</v>
      </c>
      <c r="H1036" s="744"/>
      <c r="I1036" s="744">
        <v>1</v>
      </c>
      <c r="J1036" s="744">
        <v>69</v>
      </c>
      <c r="K1036" s="744">
        <v>69</v>
      </c>
      <c r="L1036" s="744" t="s">
        <v>2289</v>
      </c>
      <c r="M1036" s="744" t="s">
        <v>605</v>
      </c>
    </row>
    <row r="1037" spans="2:13">
      <c r="B1037" s="756" t="s">
        <v>4091</v>
      </c>
      <c r="C1037" s="744" t="s">
        <v>4446</v>
      </c>
      <c r="D1037" s="744" t="s">
        <v>4447</v>
      </c>
      <c r="E1037" s="744" t="s">
        <v>4518</v>
      </c>
      <c r="F1037" s="746" t="s">
        <v>4519</v>
      </c>
      <c r="G1037" s="744" t="s">
        <v>2289</v>
      </c>
      <c r="H1037" s="744"/>
      <c r="I1037" s="744">
        <v>1</v>
      </c>
      <c r="J1037" s="744">
        <v>12</v>
      </c>
      <c r="K1037" s="744">
        <v>12</v>
      </c>
      <c r="L1037" s="744" t="s">
        <v>2289</v>
      </c>
      <c r="M1037" s="744" t="s">
        <v>605</v>
      </c>
    </row>
    <row r="1038" spans="2:13">
      <c r="B1038" s="756" t="s">
        <v>4122</v>
      </c>
      <c r="C1038" s="744" t="s">
        <v>4446</v>
      </c>
      <c r="D1038" s="744" t="s">
        <v>4447</v>
      </c>
      <c r="E1038" s="744" t="s">
        <v>4520</v>
      </c>
      <c r="F1038" s="746" t="s">
        <v>4521</v>
      </c>
      <c r="G1038" s="744" t="s">
        <v>2289</v>
      </c>
      <c r="H1038" s="744"/>
      <c r="I1038" s="744">
        <v>1</v>
      </c>
      <c r="J1038" s="744">
        <v>24</v>
      </c>
      <c r="K1038" s="744">
        <v>24</v>
      </c>
      <c r="L1038" s="744" t="s">
        <v>2289</v>
      </c>
      <c r="M1038" s="744" t="s">
        <v>605</v>
      </c>
    </row>
    <row r="1039" spans="2:13">
      <c r="B1039" s="756" t="s">
        <v>4132</v>
      </c>
      <c r="C1039" s="744" t="s">
        <v>4446</v>
      </c>
      <c r="D1039" s="744" t="s">
        <v>4447</v>
      </c>
      <c r="E1039" s="744" t="s">
        <v>4522</v>
      </c>
      <c r="F1039" s="746" t="s">
        <v>4523</v>
      </c>
      <c r="G1039" s="744" t="s">
        <v>2289</v>
      </c>
      <c r="H1039" s="744"/>
      <c r="I1039" s="744">
        <v>1</v>
      </c>
      <c r="J1039" s="744">
        <v>34</v>
      </c>
      <c r="K1039" s="744">
        <v>34</v>
      </c>
      <c r="L1039" s="744" t="s">
        <v>2289</v>
      </c>
      <c r="M1039" s="744" t="s">
        <v>605</v>
      </c>
    </row>
    <row r="1040" spans="2:13">
      <c r="B1040" s="756" t="s">
        <v>4139</v>
      </c>
      <c r="C1040" s="744" t="s">
        <v>4446</v>
      </c>
      <c r="D1040" s="744" t="s">
        <v>4447</v>
      </c>
      <c r="E1040" s="744" t="s">
        <v>4524</v>
      </c>
      <c r="F1040" s="746" t="s">
        <v>4525</v>
      </c>
      <c r="G1040" s="744" t="s">
        <v>2289</v>
      </c>
      <c r="H1040" s="744"/>
      <c r="I1040" s="744">
        <v>1</v>
      </c>
      <c r="J1040" s="744">
        <v>41</v>
      </c>
      <c r="K1040" s="744">
        <v>41</v>
      </c>
      <c r="L1040" s="744" t="s">
        <v>2289</v>
      </c>
      <c r="M1040" s="744" t="s">
        <v>605</v>
      </c>
    </row>
    <row r="1041" spans="2:13">
      <c r="B1041" s="756" t="s">
        <v>4149</v>
      </c>
      <c r="C1041" s="744" t="s">
        <v>4446</v>
      </c>
      <c r="D1041" s="744" t="s">
        <v>4447</v>
      </c>
      <c r="E1041" s="744" t="s">
        <v>4526</v>
      </c>
      <c r="F1041" s="746" t="s">
        <v>4527</v>
      </c>
      <c r="G1041" s="744" t="s">
        <v>2289</v>
      </c>
      <c r="H1041" s="744"/>
      <c r="I1041" s="744">
        <v>1</v>
      </c>
      <c r="J1041" s="744">
        <v>9</v>
      </c>
      <c r="K1041" s="744">
        <v>9</v>
      </c>
      <c r="L1041" s="744" t="s">
        <v>2289</v>
      </c>
      <c r="M1041" s="744" t="s">
        <v>605</v>
      </c>
    </row>
    <row r="1042" spans="2:13">
      <c r="B1042" s="756" t="s">
        <v>4167</v>
      </c>
      <c r="C1042" s="744" t="s">
        <v>4446</v>
      </c>
      <c r="D1042" s="744" t="s">
        <v>4447</v>
      </c>
      <c r="E1042" s="744" t="s">
        <v>4516</v>
      </c>
      <c r="F1042" s="746" t="s">
        <v>4528</v>
      </c>
      <c r="G1042" s="744" t="s">
        <v>2289</v>
      </c>
      <c r="H1042" s="744"/>
      <c r="I1042" s="744">
        <v>2</v>
      </c>
      <c r="J1042" s="744">
        <v>69</v>
      </c>
      <c r="K1042" s="744">
        <v>138</v>
      </c>
      <c r="L1042" s="744" t="s">
        <v>2289</v>
      </c>
      <c r="M1042" s="744" t="s">
        <v>605</v>
      </c>
    </row>
    <row r="1043" spans="2:13">
      <c r="B1043" s="756" t="s">
        <v>4174</v>
      </c>
      <c r="C1043" s="744" t="s">
        <v>4446</v>
      </c>
      <c r="D1043" s="744" t="s">
        <v>4447</v>
      </c>
      <c r="E1043" s="744" t="s">
        <v>4520</v>
      </c>
      <c r="F1043" s="746" t="s">
        <v>4529</v>
      </c>
      <c r="G1043" s="744" t="s">
        <v>2289</v>
      </c>
      <c r="H1043" s="744"/>
      <c r="I1043" s="744">
        <v>2</v>
      </c>
      <c r="J1043" s="744">
        <v>24</v>
      </c>
      <c r="K1043" s="744">
        <v>48</v>
      </c>
      <c r="L1043" s="744" t="s">
        <v>2289</v>
      </c>
      <c r="M1043" s="744" t="s">
        <v>605</v>
      </c>
    </row>
    <row r="1044" spans="2:13">
      <c r="B1044" s="756" t="s">
        <v>4177</v>
      </c>
      <c r="C1044" s="744" t="s">
        <v>4446</v>
      </c>
      <c r="D1044" s="744" t="s">
        <v>4447</v>
      </c>
      <c r="E1044" s="744" t="s">
        <v>4522</v>
      </c>
      <c r="F1044" s="746" t="s">
        <v>4530</v>
      </c>
      <c r="G1044" s="744" t="s">
        <v>2289</v>
      </c>
      <c r="H1044" s="744"/>
      <c r="I1044" s="744">
        <v>2</v>
      </c>
      <c r="J1044" s="744">
        <v>34</v>
      </c>
      <c r="K1044" s="744">
        <v>68</v>
      </c>
      <c r="L1044" s="744" t="s">
        <v>2289</v>
      </c>
      <c r="M1044" s="744" t="s">
        <v>605</v>
      </c>
    </row>
    <row r="1045" spans="2:13">
      <c r="B1045" s="756" t="s">
        <v>4180</v>
      </c>
      <c r="C1045" s="744" t="s">
        <v>4446</v>
      </c>
      <c r="D1045" s="744" t="s">
        <v>4447</v>
      </c>
      <c r="E1045" s="744" t="s">
        <v>4524</v>
      </c>
      <c r="F1045" s="746" t="s">
        <v>4531</v>
      </c>
      <c r="G1045" s="744" t="s">
        <v>2289</v>
      </c>
      <c r="H1045" s="744"/>
      <c r="I1045" s="744">
        <v>2</v>
      </c>
      <c r="J1045" s="744">
        <v>41</v>
      </c>
      <c r="K1045" s="744">
        <v>82</v>
      </c>
      <c r="L1045" s="744" t="s">
        <v>2289</v>
      </c>
      <c r="M1045" s="744" t="s">
        <v>605</v>
      </c>
    </row>
  </sheetData>
  <sheetProtection algorithmName="SHA-512" hashValue="lgrFwl4e7I0ps6DXec25sCW8pjK27sE638MPdlEWsrdFUlfckvHeCvNufEiKTctEcnTjSEDPS7feVtpe3XhfEw==" saltValue="Kz1EvvSVdLxpQtnNfkuG+A==" spinCount="100000" sheet="1" sort="0" autoFilter="0"/>
  <autoFilter ref="B8:M1045" xr:uid="{00000000-0009-0000-0000-000009000000}"/>
  <sortState xmlns:xlrd2="http://schemas.microsoft.com/office/spreadsheetml/2017/richdata2" ref="B972:M979">
    <sortCondition ref="B972"/>
  </sortState>
  <mergeCells count="3">
    <mergeCell ref="B5:M6"/>
    <mergeCell ref="B7:E7"/>
    <mergeCell ref="A1:G1"/>
  </mergeCells>
  <conditionalFormatting sqref="I9:I28">
    <cfRule type="cellIs" dxfId="5" priority="5" operator="equal">
      <formula>"Edit"</formula>
    </cfRule>
  </conditionalFormatting>
  <dataValidations count="8">
    <dataValidation allowBlank="1" showInputMessage="1" showErrorMessage="1" prompt="Input number of lamps per fixture." sqref="I9" xr:uid="{00000000-0002-0000-0900-000000000000}"/>
    <dataValidation allowBlank="1" showInputMessage="1" showErrorMessage="1" prompt="Input fixture description to match submitted cut sheets." sqref="F932:F981" xr:uid="{C6CFF1A1-991F-4328-9D71-98595F230F37}"/>
    <dataValidation type="whole" allowBlank="1" showInputMessage="1" showErrorMessage="1" prompt="Input total fixture wattage." sqref="K9" xr:uid="{00000000-0002-0000-0900-000003000000}">
      <formula1>0</formula1>
      <formula2>1500</formula2>
    </dataValidation>
    <dataValidation allowBlank="1" showDropDown="1" showErrorMessage="1" prompt="Choose a fixture code that represents the mandated baseline to which this fixture will be compared." sqref="L932:L981" xr:uid="{78489ABE-6FD4-4334-98F0-3D1FBC99D477}"/>
    <dataValidation type="list" allowBlank="1" showInputMessage="1" showErrorMessage="1" sqref="F10:F28" xr:uid="{00000000-0002-0000-0900-000005000000}">
      <formula1>yLED_Codes</formula1>
    </dataValidation>
    <dataValidation type="whole" allowBlank="1" showInputMessage="1" showErrorMessage="1" sqref="K10:K28" xr:uid="{00000000-0002-0000-0900-000006000000}">
      <formula1>0</formula1>
      <formula2>1500</formula2>
    </dataValidation>
    <dataValidation type="list" allowBlank="1" showInputMessage="1" showErrorMessage="1" sqref="M932:M981" xr:uid="{E7565D1B-52BD-440C-A47C-2BEA74F02CF2}">
      <formula1>"General,Screw-In"</formula1>
    </dataValidation>
    <dataValidation allowBlank="1" showInputMessage="1" showErrorMessage="1" prompt="Input total fixture wattage as reported in the applicable qualified products list." sqref="K932:K981" xr:uid="{D0C54F65-7628-4C1C-AC06-FF8D3424BC55}"/>
  </dataValidations>
  <hyperlinks>
    <hyperlink ref="A1:G1" location="Instructions!B217:G242" tooltip=" " display="This sheet is for reference only. You can sort and filter this table to find fixture codes. To create fixture codes not on this form, use the &quot;Fixture and LED Schedule&quot; tab. For more information about fixture codes, click here. " xr:uid="{00000000-0004-0000-0900-000000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Select the LED category that best describes the fixture in question." xr:uid="{00000000-0002-0000-0900-000007000000}">
          <x14:formula1>
            <xm:f>Lookups!$V$8:$V$26</xm:f>
          </x14:formula1>
          <xm:sqref>F9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8"/>
    <pageSetUpPr fitToPage="1"/>
  </sheetPr>
  <dimension ref="A1:AQ1013"/>
  <sheetViews>
    <sheetView zoomScale="70" zoomScaleNormal="70" workbookViewId="0">
      <selection activeCell="T13" sqref="T13"/>
    </sheetView>
  </sheetViews>
  <sheetFormatPr defaultColWidth="9" defaultRowHeight="14.25"/>
  <cols>
    <col min="1" max="1" width="3.625" style="71" customWidth="1"/>
    <col min="2" max="2" width="5.625" customWidth="1"/>
    <col min="3" max="3" width="25.625" customWidth="1"/>
    <col min="4" max="4" width="22.625" customWidth="1"/>
    <col min="5" max="23" width="10.625" style="32" customWidth="1"/>
    <col min="24" max="24" width="13.5" style="32" customWidth="1"/>
    <col min="25" max="33" width="10.625" style="32" customWidth="1"/>
    <col min="34" max="34" width="7.625" style="32" hidden="1" customWidth="1"/>
    <col min="35" max="36" width="15.625" style="32" hidden="1" customWidth="1"/>
    <col min="37" max="38" width="10.5" bestFit="1" customWidth="1"/>
    <col min="39" max="39" width="12.25" bestFit="1" customWidth="1"/>
    <col min="40" max="40" width="0" hidden="1" customWidth="1"/>
    <col min="41" max="41" width="12.25" hidden="1" customWidth="1"/>
    <col min="42" max="42" width="11" hidden="1" customWidth="1"/>
    <col min="43" max="43" width="34.125" hidden="1" customWidth="1"/>
  </cols>
  <sheetData>
    <row r="1" spans="1:43" ht="15" customHeight="1"/>
    <row r="2" spans="1:43" s="7" customFormat="1" ht="23.25" customHeight="1">
      <c r="A2" s="366"/>
      <c r="B2" s="2" t="s">
        <v>1843</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342"/>
      <c r="AI2" s="342"/>
      <c r="AJ2" s="342"/>
    </row>
    <row r="3" spans="1:43" s="19" customFormat="1" ht="17.25" customHeight="1">
      <c r="A3" s="4"/>
      <c r="B3" s="6" t="s">
        <v>478</v>
      </c>
      <c r="C3" s="5"/>
      <c r="D3" s="5"/>
      <c r="E3" s="5"/>
      <c r="F3" s="5"/>
      <c r="G3" s="5"/>
      <c r="H3" s="5"/>
      <c r="I3" s="5"/>
      <c r="J3" s="5"/>
      <c r="K3" s="5"/>
      <c r="L3" s="5"/>
      <c r="M3" s="5"/>
      <c r="N3" s="5"/>
      <c r="O3" s="5"/>
      <c r="P3" s="5"/>
      <c r="Q3" s="5"/>
      <c r="R3" s="5"/>
      <c r="S3" s="5"/>
      <c r="T3" s="5"/>
      <c r="U3" s="5"/>
      <c r="V3" s="5"/>
      <c r="W3" s="5"/>
      <c r="X3" s="5"/>
      <c r="Y3" s="5"/>
      <c r="Z3" s="5"/>
      <c r="AA3" s="4"/>
      <c r="AB3" s="4"/>
      <c r="AC3" s="4"/>
      <c r="AD3" s="4"/>
      <c r="AE3" s="4"/>
      <c r="AF3" s="4"/>
      <c r="AG3" s="4"/>
      <c r="AH3" s="376"/>
      <c r="AI3" s="376"/>
      <c r="AJ3" s="376"/>
    </row>
    <row r="4" spans="1:43" ht="9.75" customHeight="1" thickBot="1"/>
    <row r="5" spans="1:43" ht="15" thickBot="1">
      <c r="Y5" s="1188" t="s">
        <v>479</v>
      </c>
      <c r="Z5" s="1189"/>
      <c r="AA5" s="1172" t="s">
        <v>480</v>
      </c>
      <c r="AB5" s="1173"/>
      <c r="AC5" s="1174"/>
      <c r="AD5" s="1172" t="s">
        <v>481</v>
      </c>
      <c r="AE5" s="1174"/>
      <c r="AF5" s="1172" t="s">
        <v>482</v>
      </c>
      <c r="AG5" s="1174"/>
      <c r="AK5" s="1172" t="s">
        <v>483</v>
      </c>
      <c r="AL5" s="1173"/>
      <c r="AM5" s="1174"/>
    </row>
    <row r="6" spans="1:43" ht="46.5" customHeight="1" thickTop="1" thickBot="1">
      <c r="B6" s="66"/>
      <c r="C6" s="66"/>
      <c r="D6" s="66"/>
      <c r="E6" s="1169" t="s">
        <v>484</v>
      </c>
      <c r="F6" s="1170"/>
      <c r="G6" s="1170"/>
      <c r="H6" s="1171"/>
      <c r="I6" s="344"/>
      <c r="J6" s="1169" t="s">
        <v>485</v>
      </c>
      <c r="K6" s="1170"/>
      <c r="L6" s="1170"/>
      <c r="M6" s="1171"/>
      <c r="N6" s="344"/>
      <c r="O6" s="1169" t="s">
        <v>486</v>
      </c>
      <c r="P6" s="1170"/>
      <c r="Q6" s="1170"/>
      <c r="R6" s="1171"/>
      <c r="Y6" s="1190"/>
      <c r="Z6" s="1191"/>
      <c r="AA6" s="506" t="s">
        <v>487</v>
      </c>
      <c r="AB6" s="507" t="s">
        <v>347</v>
      </c>
      <c r="AC6" s="69" t="s">
        <v>348</v>
      </c>
      <c r="AD6" s="508" t="s">
        <v>347</v>
      </c>
      <c r="AE6" s="69" t="s">
        <v>348</v>
      </c>
      <c r="AF6" s="508" t="s">
        <v>347</v>
      </c>
      <c r="AG6" s="69" t="s">
        <v>348</v>
      </c>
      <c r="AK6" s="506" t="s">
        <v>487</v>
      </c>
      <c r="AL6" s="507" t="s">
        <v>347</v>
      </c>
      <c r="AM6" s="69" t="s">
        <v>348</v>
      </c>
    </row>
    <row r="7" spans="1:43" ht="17.25" thickBot="1">
      <c r="A7" s="72"/>
      <c r="B7" s="66"/>
      <c r="C7" s="66"/>
      <c r="D7" s="66"/>
      <c r="E7" s="67"/>
      <c r="F7" s="67"/>
      <c r="G7" s="67"/>
      <c r="H7" s="67"/>
      <c r="I7" s="67"/>
      <c r="J7" s="67"/>
      <c r="K7" s="67"/>
      <c r="L7" s="67"/>
      <c r="M7" s="67"/>
      <c r="N7" s="68"/>
      <c r="O7" s="68"/>
      <c r="P7" s="68"/>
      <c r="R7" s="68"/>
      <c r="S7" s="68"/>
      <c r="T7" s="68"/>
      <c r="U7" s="68"/>
      <c r="V7" s="68"/>
      <c r="W7" s="68"/>
      <c r="X7" s="68"/>
      <c r="Y7" s="1192"/>
      <c r="Z7" s="1193"/>
      <c r="AA7" s="509">
        <f t="shared" ref="AA7:AG7" si="0">SUM(AA13:AA1012)</f>
        <v>0</v>
      </c>
      <c r="AB7" s="510">
        <f t="shared" si="0"/>
        <v>0</v>
      </c>
      <c r="AC7" s="511">
        <f t="shared" si="0"/>
        <v>0</v>
      </c>
      <c r="AD7" s="509">
        <f t="shared" si="0"/>
        <v>0</v>
      </c>
      <c r="AE7" s="511">
        <f t="shared" si="0"/>
        <v>0</v>
      </c>
      <c r="AF7" s="509">
        <f t="shared" si="0"/>
        <v>0</v>
      </c>
      <c r="AG7" s="511">
        <f t="shared" si="0"/>
        <v>0</v>
      </c>
      <c r="AH7" s="68"/>
      <c r="AI7" s="68"/>
      <c r="AJ7" s="68"/>
      <c r="AK7" s="509">
        <f t="shared" ref="AK7:AM7" si="1">SUM(AK13:AK1012)</f>
        <v>0</v>
      </c>
      <c r="AL7" s="510">
        <f t="shared" si="1"/>
        <v>0</v>
      </c>
      <c r="AM7" s="511">
        <f t="shared" si="1"/>
        <v>0</v>
      </c>
    </row>
    <row r="8" spans="1:43" ht="9.75" customHeight="1" thickBot="1">
      <c r="B8" s="66"/>
      <c r="C8" s="66"/>
      <c r="D8" s="66"/>
      <c r="E8" s="67"/>
      <c r="F8" s="67"/>
      <c r="G8" s="67"/>
      <c r="H8" s="67"/>
      <c r="I8" s="67"/>
      <c r="J8" s="67"/>
      <c r="K8" s="67"/>
      <c r="L8" s="67"/>
    </row>
    <row r="9" spans="1:43" ht="17.25" thickBot="1">
      <c r="B9" s="66"/>
      <c r="C9" s="66"/>
      <c r="D9" s="66"/>
      <c r="E9" s="1175"/>
      <c r="F9" s="1176"/>
      <c r="G9" s="1176"/>
      <c r="H9" s="1176"/>
      <c r="I9" s="1176"/>
      <c r="J9" s="1176"/>
      <c r="K9" s="1176"/>
      <c r="L9" s="1176"/>
      <c r="M9" s="1176"/>
      <c r="N9" s="1176"/>
      <c r="O9" s="1176"/>
      <c r="P9" s="1176"/>
      <c r="Q9" s="1176"/>
      <c r="R9" s="1176"/>
      <c r="S9" s="1177"/>
      <c r="AA9" s="1178" t="s">
        <v>488</v>
      </c>
      <c r="AB9" s="1179"/>
      <c r="AC9" s="1179"/>
      <c r="AD9" s="1179"/>
      <c r="AE9" s="1179"/>
      <c r="AF9" s="1179"/>
      <c r="AG9" s="1180"/>
    </row>
    <row r="10" spans="1:43" ht="15" thickBot="1">
      <c r="E10" s="1181" t="s">
        <v>489</v>
      </c>
      <c r="F10" s="1182"/>
      <c r="G10" s="1182"/>
      <c r="H10" s="1182"/>
      <c r="I10" s="1183"/>
      <c r="J10" s="1181" t="s">
        <v>490</v>
      </c>
      <c r="K10" s="1182"/>
      <c r="L10" s="1183"/>
      <c r="M10" s="1181" t="s">
        <v>491</v>
      </c>
      <c r="N10" s="1184"/>
      <c r="O10" s="1184"/>
      <c r="P10" s="1182"/>
      <c r="Q10" s="1182"/>
      <c r="R10" s="1182"/>
      <c r="S10" s="1183"/>
      <c r="T10" s="1185" t="s">
        <v>492</v>
      </c>
      <c r="U10" s="1186"/>
      <c r="V10" s="1186"/>
      <c r="W10" s="1186"/>
      <c r="X10" s="1186"/>
      <c r="Y10" s="1186"/>
      <c r="Z10" s="1187"/>
      <c r="AA10" s="1181" t="s">
        <v>493</v>
      </c>
      <c r="AB10" s="1182"/>
      <c r="AC10" s="1183"/>
      <c r="AD10" s="1181" t="s">
        <v>494</v>
      </c>
      <c r="AE10" s="1183"/>
      <c r="AF10" s="1181" t="s">
        <v>495</v>
      </c>
      <c r="AG10" s="1183"/>
    </row>
    <row r="11" spans="1:43" ht="57" customHeight="1">
      <c r="A11" s="73"/>
      <c r="B11" s="16" t="s">
        <v>496</v>
      </c>
      <c r="C11" s="17" t="s">
        <v>497</v>
      </c>
      <c r="D11" s="18" t="s">
        <v>498</v>
      </c>
      <c r="E11" s="16" t="s">
        <v>417</v>
      </c>
      <c r="F11" s="17" t="s">
        <v>499</v>
      </c>
      <c r="G11" s="17" t="s">
        <v>500</v>
      </c>
      <c r="H11" s="17" t="s">
        <v>501</v>
      </c>
      <c r="I11" s="18" t="s">
        <v>318</v>
      </c>
      <c r="J11" s="16" t="str">
        <f>IF('General Information'!D24="New Construction","Wattage Allowance Per Unit","Fixture Code")</f>
        <v>Fixture Code</v>
      </c>
      <c r="K11" s="17" t="str">
        <f>IF('General Information'!D24="New Construction","Quantity of Units","Fixture Wattage")</f>
        <v>Fixture Wattage</v>
      </c>
      <c r="L11" s="18" t="str">
        <f>IF('General Information'!D24="New Construction","Allowable Power (Watts)","Line Item Wattage")</f>
        <v>Line Item Wattage</v>
      </c>
      <c r="M11" s="27" t="s">
        <v>417</v>
      </c>
      <c r="N11" s="17" t="s">
        <v>502</v>
      </c>
      <c r="O11" s="17" t="s">
        <v>503</v>
      </c>
      <c r="P11" s="17" t="s">
        <v>499</v>
      </c>
      <c r="Q11" s="17" t="s">
        <v>500</v>
      </c>
      <c r="R11" s="17" t="s">
        <v>501</v>
      </c>
      <c r="S11" s="18" t="s">
        <v>318</v>
      </c>
      <c r="T11" s="16" t="s">
        <v>504</v>
      </c>
      <c r="U11" s="28" t="s">
        <v>228</v>
      </c>
      <c r="V11" s="17" t="s">
        <v>505</v>
      </c>
      <c r="W11" s="17" t="s">
        <v>506</v>
      </c>
      <c r="X11" s="17" t="s">
        <v>507</v>
      </c>
      <c r="Y11" s="17" t="s">
        <v>508</v>
      </c>
      <c r="Z11" s="18" t="s">
        <v>509</v>
      </c>
      <c r="AA11" s="70" t="s">
        <v>510</v>
      </c>
      <c r="AB11" s="17" t="s">
        <v>347</v>
      </c>
      <c r="AC11" s="18" t="s">
        <v>348</v>
      </c>
      <c r="AD11" s="16" t="s">
        <v>347</v>
      </c>
      <c r="AE11" s="18" t="s">
        <v>348</v>
      </c>
      <c r="AF11" s="16" t="s">
        <v>347</v>
      </c>
      <c r="AG11" s="18" t="s">
        <v>348</v>
      </c>
      <c r="AH11" s="377" t="s">
        <v>511</v>
      </c>
      <c r="AI11" s="377" t="s">
        <v>512</v>
      </c>
      <c r="AJ11" s="377" t="s">
        <v>513</v>
      </c>
      <c r="AO11" s="378" t="s">
        <v>417</v>
      </c>
      <c r="AP11" s="378" t="s">
        <v>514</v>
      </c>
      <c r="AQ11" s="512" t="s">
        <v>515</v>
      </c>
    </row>
    <row r="12" spans="1:43" ht="15">
      <c r="B12" s="513" t="s">
        <v>421</v>
      </c>
      <c r="C12" s="514" t="str">
        <f>IF('General Information'!D37="Building Area Method","Whole Facility","Example")</f>
        <v>Example</v>
      </c>
      <c r="D12" s="515" t="s">
        <v>516</v>
      </c>
      <c r="E12" s="516" t="s">
        <v>517</v>
      </c>
      <c r="F12" s="517">
        <f>IFERROR(VLOOKUP(E12,xyWattage_Table,10,FALSE),"")</f>
        <v>227</v>
      </c>
      <c r="G12" s="517">
        <v>10</v>
      </c>
      <c r="H12" s="518">
        <f>IF(G12="","",G12*F12)</f>
        <v>2270</v>
      </c>
      <c r="I12" s="519" t="s">
        <v>427</v>
      </c>
      <c r="J12" s="516" t="str">
        <f>IFERROR(IF(PRJ_Type="New Construction",VLOOKUP(C12,xySpace_Type_Details,18,FALSE),VLOOKUP(E12,xyWattage_Table,11,FALSE)),"")</f>
        <v>F82LHL</v>
      </c>
      <c r="K12" s="520">
        <f>IFERROR(IF(PRJ_Type="New Construction",VLOOKUP(C12,xySpace_Type_Details,13,FALSE),VLOOKUP(J12,xyWattage_Table,10,FALSE)),"")</f>
        <v>160</v>
      </c>
      <c r="L12" s="521">
        <f>IFERROR(IF(PRJ_Type="New Construction",J12*K12,K12*G12),"")</f>
        <v>1600</v>
      </c>
      <c r="M12" s="522" t="s">
        <v>518</v>
      </c>
      <c r="N12" s="517" t="str">
        <f>IFERROR(VLOOKUP(M12,xyWattage_Table,12,FALSE),"")</f>
        <v>General</v>
      </c>
      <c r="O12" s="517" t="s">
        <v>519</v>
      </c>
      <c r="P12" s="517">
        <f>IFERROR(VLOOKUP(M12,xyWattage_Table,10,FALSE),"")</f>
        <v>93</v>
      </c>
      <c r="Q12" s="517">
        <v>10</v>
      </c>
      <c r="R12" s="518">
        <f>IF(P12="","",Q12*P12)</f>
        <v>930</v>
      </c>
      <c r="S12" s="519" t="s">
        <v>520</v>
      </c>
      <c r="T12" s="523">
        <v>2294</v>
      </c>
      <c r="U12" s="524">
        <v>0.48</v>
      </c>
      <c r="V12" s="525">
        <v>0.04</v>
      </c>
      <c r="W12" s="525">
        <v>0.23</v>
      </c>
      <c r="X12" s="526" t="s">
        <v>400</v>
      </c>
      <c r="Y12" s="525">
        <v>0</v>
      </c>
      <c r="Z12" s="527">
        <v>0.24</v>
      </c>
      <c r="AA12" s="528">
        <f>IFERROR((L12-R12)/1000,"")</f>
        <v>0.67</v>
      </c>
      <c r="AB12" s="525">
        <f>IFERROR(AA12*U12*(1+W12),"")</f>
        <v>0.39556799999999998</v>
      </c>
      <c r="AC12" s="521">
        <f>IFERROR(AA12*T12*(1+V12),"")</f>
        <v>1598.4592</v>
      </c>
      <c r="AD12" s="529">
        <f>IFERROR(R12/1000*(Z12-Y12)*(1+W12)*U12,"")</f>
        <v>0.13177728</v>
      </c>
      <c r="AE12" s="521">
        <f>IFERROR(R12/1000*T12*(Z12-Y12)*(1+V12),"")</f>
        <v>532.50163199999997</v>
      </c>
      <c r="AF12" s="529">
        <f>IFERROR(AB12+AD12,"")</f>
        <v>0.52734528000000003</v>
      </c>
      <c r="AG12" s="521">
        <f>IFERROR(AC12+AE12,"")</f>
        <v>2130.9608319999998</v>
      </c>
      <c r="AP12" t="str">
        <f>IF(M13="Signage",G13,"")</f>
        <v/>
      </c>
      <c r="AQ12" s="512" t="s">
        <v>521</v>
      </c>
    </row>
    <row r="13" spans="1:43" ht="15">
      <c r="A13" s="71">
        <f>IF(E13&lt;&gt;J13,1,0)</f>
        <v>0</v>
      </c>
      <c r="B13" s="513">
        <v>1</v>
      </c>
      <c r="C13" s="530" t="str">
        <f>IF(Inventory!E10="","",Inventory!E10)</f>
        <v/>
      </c>
      <c r="D13" s="531">
        <f>IF(Inventory!D10="",0,Inventory!D10)</f>
        <v>0</v>
      </c>
      <c r="E13" s="532" t="str">
        <f>IF(Inventory!I10=0,"",Inventory!I10)</f>
        <v/>
      </c>
      <c r="F13" s="533" t="str">
        <f>IFERROR(VLOOKUP(E13,xyWattage_Table,10,FALSE),"")</f>
        <v/>
      </c>
      <c r="G13" s="534" t="str">
        <f>IF(Inventory!G10="","",Inventory!G10)</f>
        <v/>
      </c>
      <c r="H13" s="535" t="str">
        <f>IF(G13="","",G13*F13)</f>
        <v/>
      </c>
      <c r="I13" s="536" t="str">
        <f>IF(Inventory!J10="","",Inventory!J10)</f>
        <v/>
      </c>
      <c r="J13" s="537" t="str">
        <f>IFERROR(IF(PRJ_Type="New Construction",IF(Inventory!C10="N",INDEX(xyLPD_BuildingArea,MATCH(Building_Type,Lookups!$F$37:$F$75,0),4),INDEX(xyLPD_SpaceBySpace,MATCH(INDEX(xyNCEx,MATCH(I13,yNCExArea,0),2),ySpace_by_Space_Type,0),2)),VLOOKUP(E13,xyWattage_Table,11,FALSE)),"")</f>
        <v/>
      </c>
      <c r="K13" s="538" t="str">
        <f>IFERROR(IF(AND(NC_Type="Building Area Method",Inventory!C10="N"),IF(ISERROR(INDEX('Usage Groups (&gt;120 MWh only)'!$N$8:$N$12,MATCH(C13,'Usage Groups (&gt;120 MWh only)'!$B$8:$B$12,0),1))=TRUE,SqFt/COUNTIFS(Inventory!$C$10:$C$1009,"N",$Q$13:$Q$1012,"&gt;=0"),INDEX('Usage Groups (&gt;120 MWh only)'!$N$8:$N$12,MATCH(C13,'Usage Groups (&gt;120 MWh only)'!$B$8:$B$12,0),1)/COUNTIF($C$13:$C$1012,C13)),IF(AND(NC_Type="Building Area Method",Inventory!C10="Y"),INDEX(xyNCEx,MATCH(I13,yNCExArea,0),3)/COUNTIF($I$13:$I$1012,I13),VLOOKUP(J13,xyWattage_Table,10,FALSE))),"")</f>
        <v/>
      </c>
      <c r="L13" s="539" t="str">
        <f>IFERROR(IF(PRJ_Type="New Construction",J13*K13,IF(G13="","",K13*G13)),"")</f>
        <v/>
      </c>
      <c r="M13" s="540">
        <f>IF(Inventory!N10="","",Inventory!N10)</f>
        <v>0</v>
      </c>
      <c r="N13" s="533" t="str">
        <f>IFERROR(VLOOKUP(M13,xyWattage_Table,12,FALSE),"")</f>
        <v/>
      </c>
      <c r="O13" s="534"/>
      <c r="P13" s="533" t="str">
        <f>IFERROR(VLOOKUP(M13,xyWattage_Table,10,FALSE),"")</f>
        <v/>
      </c>
      <c r="Q13" s="534" t="str">
        <f>IF(Inventory!L10="","",Inventory!L10)</f>
        <v/>
      </c>
      <c r="R13" s="535" t="str">
        <f>IF(P13="","",Q13*P13)</f>
        <v/>
      </c>
      <c r="S13" s="536" t="str">
        <f>IF(Inventory!O10="","",Inventory!O10)</f>
        <v/>
      </c>
      <c r="T13" s="541" t="str">
        <f>IFERROR(IF(C13="","",IF(INDEX(xyWattage_Table,MATCH(M13,'Fixture Identities'!$B$9:$B$1045,0),2)="Exit Sign",8760,IF(VLOOKUP(C13,xySpace_Type_Details,8,FALSE)="TRM",INDEX('General Information'!$AF$17:$AG$28,11,MATCH(N13,'General Information'!$AF$16:$AG$16,0)),HLOOKUP(VLOOKUP(C13,xySpace_Type_Details,8,FALSE),'General Information'!$P$15:$AG$28,13,FALSE)))),"")</f>
        <v/>
      </c>
      <c r="U13" s="542" t="str">
        <f>IFERROR(IF(C13="","",IF(INDEX(xyWattage_Table,MATCH(M13,'Fixture Identities'!$B$9:$B$997,0),2)="Exit Sign",1,IF(VLOOKUP(C13,xySpace_Type_Details,8,FALSE)="TRM",INDEX('General Information'!$AF$17:$AG$28,12,MATCH(N13,'General Information'!$AF$16:$AG$16,0)),HLOOKUP(VLOOKUP(C13,xySpace_Type_Details,8,FALSE),'General Information'!$P$15:$AG$28,14,FALSE)))),"")</f>
        <v/>
      </c>
      <c r="V13" s="542" t="str">
        <f>IFERROR(VLOOKUP(INDEX(xySpace_Type_Details,MATCH($C13,'General Information'!$C$40:$C$60,0),12),Lookups!$L$8:$N$12,2,FALSE),"")</f>
        <v/>
      </c>
      <c r="W13" s="542" t="str">
        <f>IFERROR(VLOOKUP(INDEX(xySpace_Type_Details,MATCH($C13,'General Information'!$C$40:$C$60,0),12),Lookups!$L$8:$N$12,3,FALSE),"")</f>
        <v/>
      </c>
      <c r="X13" s="543"/>
      <c r="Y13" s="542" t="str">
        <f>IFERROR(IF(C13="","",IF(INDEX(xyWattage_Table,MATCH(M13,'Fixture Identities'!$B$9:$B$997,0),2)="Exit Sign",0,IF(PRJ_Type="Retrofit",VLOOKUP(I13,xySVG_Factors,2,FALSE),IF(AND(PRJ_Type="New Construction",Inventory!C10="N"),VLOOKUP(VLOOKUP(Building_Type,xyLPD_BuildingArea,5,FALSE),xySVG_Factors_NC,3,FALSE),0)))),"")</f>
        <v/>
      </c>
      <c r="Z13" s="544" t="str">
        <f>IFERROR(IF(C13="","",IF(INDEX(xyWattage_Table,MATCH(M13,'Fixture Identities'!$B$9:$B$997,0),2)="Exit Sign",0,VLOOKUP(S13,xySVG_Factors,2,FALSE))),"")</f>
        <v/>
      </c>
      <c r="AA13" s="545" t="str">
        <f>IFERROR((L13-R13)/1000,"")</f>
        <v/>
      </c>
      <c r="AB13" s="542" t="str">
        <f>IFERROR(AA13*U13*(1+W13)*(1-Y13),"")</f>
        <v/>
      </c>
      <c r="AC13" s="539" t="str">
        <f>IFERROR(AA13*T13*(1+V13)*(1-Y13),"")</f>
        <v/>
      </c>
      <c r="AD13" s="546" t="str">
        <f>IFERROR(R13/1000*(Z13-Y13)*(1+W13)*U13,"")</f>
        <v/>
      </c>
      <c r="AE13" s="539" t="str">
        <f>IFERROR(R13/1000*T13*(Z13-Y13)*(1+V13),"")</f>
        <v/>
      </c>
      <c r="AF13" s="546" t="str">
        <f>IFERROR(AB13+AD13,"")</f>
        <v/>
      </c>
      <c r="AG13" s="539" t="str">
        <f>IFERROR(AC13+AE13,"")</f>
        <v/>
      </c>
      <c r="AH13" s="32">
        <f>IF(I13&lt;&gt;S13,R13,0)</f>
        <v>0</v>
      </c>
      <c r="AI13" s="32">
        <f t="shared" ref="AI13" si="2">IFERROR(VLOOKUP(E13,xyWattage_Table,8,FALSE)*G13,0)</f>
        <v>0</v>
      </c>
      <c r="AJ13" s="32">
        <f t="shared" ref="AJ13" si="3">IFERROR(VLOOKUP(M13,xyWattage_Table,8,FALSE)*Q13,0)</f>
        <v>0</v>
      </c>
      <c r="AK13" t="str">
        <f>IFERROR((L13)/1000,"")</f>
        <v/>
      </c>
      <c r="AL13" t="str">
        <f>IFERROR(AK13*U13*(1+W13)*(1-Y13),"")</f>
        <v/>
      </c>
      <c r="AM13" t="str">
        <f>IFERROR(AK13*T13*(1+V13)*(1-Y13),"")</f>
        <v/>
      </c>
      <c r="AO13" t="str">
        <f>IFERROR(VLOOKUP(M13,'Fixture Identities'!$B$9:$O$1045,14,FALSE),"")</f>
        <v/>
      </c>
      <c r="AP13" t="str">
        <f t="shared" ref="AP13:AP76" si="4">IF(M14="Signage",G14,"")</f>
        <v/>
      </c>
      <c r="AQ13" s="512" t="s">
        <v>522</v>
      </c>
    </row>
    <row r="14" spans="1:43" ht="15">
      <c r="A14" s="71">
        <f t="shared" ref="A14:A77" si="5">IF(E14&lt;&gt;J14,1,0)</f>
        <v>0</v>
      </c>
      <c r="B14" s="513">
        <f>B13+1</f>
        <v>2</v>
      </c>
      <c r="C14" s="530" t="str">
        <f>IF(Inventory!E11="","",Inventory!E11)</f>
        <v/>
      </c>
      <c r="D14" s="531">
        <f>IF(Inventory!D11="",0,Inventory!D11)</f>
        <v>0</v>
      </c>
      <c r="E14" s="532" t="str">
        <f>IF(Inventory!I11=0,"",Inventory!I11)</f>
        <v/>
      </c>
      <c r="F14" s="533" t="str">
        <f t="shared" ref="F14" si="6">IFERROR(VLOOKUP(E14,xyWattage_Table,10,FALSE),"")</f>
        <v/>
      </c>
      <c r="G14" s="534" t="str">
        <f>IF(Inventory!G11="","",Inventory!G11)</f>
        <v/>
      </c>
      <c r="H14" s="535" t="str">
        <f t="shared" ref="H14" si="7">IF(G14="","",G14*F14)</f>
        <v/>
      </c>
      <c r="I14" s="536" t="str">
        <f>IF(Inventory!J11="","",Inventory!J11)</f>
        <v/>
      </c>
      <c r="J14" s="537" t="str">
        <f>IFERROR(IF(PRJ_Type="New Construction",IF(Inventory!C11="N",INDEX(xyLPD_BuildingArea,MATCH(Building_Type,Lookups!$F$37:$F$75,0),4),INDEX(xyLPD_SpaceBySpace,MATCH(INDEX(xyNCEx,MATCH(I14,yNCExArea,0),2),ySpace_by_Space_Type,0),2)),VLOOKUP(E14,xyWattage_Table,11,FALSE)),"")</f>
        <v/>
      </c>
      <c r="K14" s="538" t="str">
        <f>IFERROR(IF(AND(NC_Type="Building Area Method",Inventory!C11="N"),IF(ISERROR(INDEX('Usage Groups (&gt;120 MWh only)'!$N$8:$N$12,MATCH(C14,'Usage Groups (&gt;120 MWh only)'!$B$8:$B$12,0),1))=TRUE,SqFt/COUNTIFS(Inventory!$C$10:$C$1009,"N",$Q$13:$Q$1012,"&gt;=0"),INDEX('Usage Groups (&gt;120 MWh only)'!$N$8:$N$12,MATCH(C14,'Usage Groups (&gt;120 MWh only)'!$B$8:$B$12,0),1)/COUNTIF($C$13:$C$1012,C14)),IF(AND(NC_Type="Building Area Method",Inventory!C11="Y"),INDEX(xyNCEx,MATCH(I14,yNCExArea,0),3)/COUNTIF($I$13:$I$1012,I14),VLOOKUP(J14,xyWattage_Table,10,FALSE))),"")</f>
        <v/>
      </c>
      <c r="L14" s="539" t="str">
        <f>IFERROR(IF(PRJ_Type="New Construction",J14*K14,IF(G14="","",K14*G14)),"")</f>
        <v/>
      </c>
      <c r="M14" s="540">
        <f>IF(Inventory!N11="","",Inventory!N11)</f>
        <v>0</v>
      </c>
      <c r="N14" s="533" t="str">
        <f t="shared" ref="N14" si="8">IFERROR(VLOOKUP(M14,xyWattage_Table,12,FALSE),"")</f>
        <v/>
      </c>
      <c r="O14" s="534"/>
      <c r="P14" s="533" t="str">
        <f t="shared" ref="P14" si="9">IFERROR(VLOOKUP(M14,xyWattage_Table,10,FALSE),"")</f>
        <v/>
      </c>
      <c r="Q14" s="534" t="str">
        <f>IF(Inventory!L11="","",Inventory!L11)</f>
        <v/>
      </c>
      <c r="R14" s="535" t="str">
        <f t="shared" ref="R14" si="10">IF(P14="","",Q14*P14)</f>
        <v/>
      </c>
      <c r="S14" s="536" t="str">
        <f>IF(Inventory!O11="","",Inventory!O11)</f>
        <v/>
      </c>
      <c r="T14" s="541" t="str">
        <f>IFERROR(IF(C14="","",IF(INDEX(xyWattage_Table,MATCH(M14,'Fixture Identities'!$B$9:$B$997,0),2)="Exit Sign",8760,IF(VLOOKUP(C14,xySpace_Type_Details,8,FALSE)="TRM",INDEX('General Information'!$AF$17:$AG$28,11,MATCH(N14,'General Information'!$AF$16:$AG$16,0)),HLOOKUP(VLOOKUP(C14,xySpace_Type_Details,8,FALSE),'General Information'!$P$15:$AG$28,13,FALSE)))),"")</f>
        <v/>
      </c>
      <c r="U14" s="542" t="str">
        <f>IFERROR(IF(C14="","",IF(INDEX(xyWattage_Table,MATCH(M14,'Fixture Identities'!$B$9:$B$997,0),2)="Exit Sign",1,IF(VLOOKUP(C14,xySpace_Type_Details,8,FALSE)="TRM",INDEX('General Information'!$AF$17:$AG$28,12,MATCH(N14,'General Information'!$AF$16:$AG$16,0)),HLOOKUP(VLOOKUP(C14,xySpace_Type_Details,8,FALSE),'General Information'!$P$15:$AG$28,14,FALSE)))),"")</f>
        <v/>
      </c>
      <c r="V14" s="542" t="str">
        <f>IFERROR(VLOOKUP(INDEX(xySpace_Type_Details,MATCH($C14,'General Information'!$C$40:$C$60,0),12),Lookups!$L$8:$N$12,2,FALSE),"")</f>
        <v/>
      </c>
      <c r="W14" s="542" t="str">
        <f>IFERROR(VLOOKUP(INDEX(xySpace_Type_Details,MATCH($C14,'General Information'!$C$40:$C$60,0),12),Lookups!$L$8:$N$12,3,FALSE),"")</f>
        <v/>
      </c>
      <c r="X14" s="543"/>
      <c r="Y14" s="542" t="str">
        <f>IFERROR(IF(C14="","",IF(INDEX(xyWattage_Table,MATCH(M14,'Fixture Identities'!$B$9:$B$997,0),2)="Exit Sign",0,IF(PRJ_Type="Retrofit",VLOOKUP(I14,xySVG_Factors,2,FALSE),IF(AND(PRJ_Type="New Construction",Inventory!C11="N"),VLOOKUP(VLOOKUP(Building_Type,xyLPD_BuildingArea,5,FALSE),xySVG_Factors_NC,3,FALSE),0)))),"")</f>
        <v/>
      </c>
      <c r="Z14" s="544" t="str">
        <f>IFERROR(IF(C14="","",IF(INDEX(xyWattage_Table,MATCH(M14,'Fixture Identities'!$B$9:$B$997,0),2)="Exit Sign",0,VLOOKUP(S14,xySVG_Factors,2,FALSE))),"")</f>
        <v/>
      </c>
      <c r="AA14" s="545" t="str">
        <f t="shared" ref="AA14" si="11">IFERROR((L14-R14)/1000,"")</f>
        <v/>
      </c>
      <c r="AB14" s="542" t="str">
        <f t="shared" ref="AB14" si="12">IFERROR(AA14*U14*(1+W14)*(1-Y14),"")</f>
        <v/>
      </c>
      <c r="AC14" s="539" t="str">
        <f>IFERROR(AA14*T14*(1+V14)*(1-Y14),"")</f>
        <v/>
      </c>
      <c r="AD14" s="546" t="str">
        <f t="shared" ref="AD14" si="13">IFERROR(R14/1000*(Z14-Y14)*(1+W14)*U14,"")</f>
        <v/>
      </c>
      <c r="AE14" s="539" t="str">
        <f t="shared" ref="AE14" si="14">IFERROR(R14/1000*T14*(Z14-Y14)*(1+V14),"")</f>
        <v/>
      </c>
      <c r="AF14" s="546" t="str">
        <f t="shared" ref="AF14" si="15">IFERROR(AB14+AD14,"")</f>
        <v/>
      </c>
      <c r="AG14" s="539" t="str">
        <f t="shared" ref="AG14" si="16">IFERROR(AC14+AE14,"")</f>
        <v/>
      </c>
      <c r="AH14" s="32">
        <f t="shared" ref="AH14:AH77" si="17">IF(I14&lt;&gt;S14,R14,0)</f>
        <v>0</v>
      </c>
      <c r="AI14" s="32">
        <f t="shared" ref="AI14:AI77" si="18">IFERROR(VLOOKUP(E14,xyWattage_Table,8,FALSE)*G14,0)</f>
        <v>0</v>
      </c>
      <c r="AJ14" s="32">
        <f t="shared" ref="AJ14:AJ77" si="19">IFERROR(VLOOKUP(M14,xyWattage_Table,8,FALSE)*Q14,0)</f>
        <v>0</v>
      </c>
      <c r="AK14" t="str">
        <f t="shared" ref="AK14:AK77" si="20">IFERROR((L14)/1000,"")</f>
        <v/>
      </c>
      <c r="AL14" t="str">
        <f t="shared" ref="AL14:AL77" si="21">IFERROR(AK14*U14*(1+W14)*(1-Y14),"")</f>
        <v/>
      </c>
      <c r="AM14" t="str">
        <f t="shared" ref="AM14:AM77" si="22">IFERROR(AK14*T14*(1+V14)*(1-Y14),"")</f>
        <v/>
      </c>
      <c r="AO14" t="str">
        <f>IFERROR(VLOOKUP(M14,'Fixture Identities'!$B$9:$O$1045,14,FALSE),"")</f>
        <v/>
      </c>
      <c r="AP14" t="str">
        <f t="shared" si="4"/>
        <v/>
      </c>
      <c r="AQ14" s="512" t="s">
        <v>523</v>
      </c>
    </row>
    <row r="15" spans="1:43" ht="15">
      <c r="A15" s="71">
        <f t="shared" si="5"/>
        <v>0</v>
      </c>
      <c r="B15" s="513">
        <f t="shared" ref="B15:B78" si="23">B14+1</f>
        <v>3</v>
      </c>
      <c r="C15" s="530" t="str">
        <f>IF(Inventory!E12="","",Inventory!E12)</f>
        <v/>
      </c>
      <c r="D15" s="531">
        <f>IF(Inventory!D12="",0,Inventory!D12)</f>
        <v>0</v>
      </c>
      <c r="E15" s="532" t="str">
        <f>IF(Inventory!I12=0,"",Inventory!I12)</f>
        <v/>
      </c>
      <c r="F15" s="533" t="str">
        <f t="shared" ref="F15:F78" si="24">IFERROR(VLOOKUP(E15,xyWattage_Table,10,FALSE),"")</f>
        <v/>
      </c>
      <c r="G15" s="534" t="str">
        <f>IF(Inventory!G12="","",Inventory!G12)</f>
        <v/>
      </c>
      <c r="H15" s="535" t="str">
        <f t="shared" ref="H15:H78" si="25">IF(G15="","",G15*F15)</f>
        <v/>
      </c>
      <c r="I15" s="536" t="str">
        <f>IF(Inventory!J12="","",Inventory!J12)</f>
        <v/>
      </c>
      <c r="J15" s="537" t="str">
        <f>IFERROR(IF(PRJ_Type="New Construction",IF(Inventory!C12="N",INDEX(xyLPD_BuildingArea,MATCH(Building_Type,Lookups!$F$37:$F$75,0),4),INDEX(xyLPD_SpaceBySpace,MATCH(INDEX(xyNCEx,MATCH(I15,yNCExArea,0),2),ySpace_by_Space_Type,0),2)),VLOOKUP(E15,xyWattage_Table,11,FALSE)),"")</f>
        <v/>
      </c>
      <c r="K15" s="538" t="str">
        <f>IFERROR(IF(AND(NC_Type="Building Area Method",Inventory!C12="N"),IF(ISERROR(INDEX('Usage Groups (&gt;120 MWh only)'!$N$8:$N$12,MATCH(C15,'Usage Groups (&gt;120 MWh only)'!$B$8:$B$12,0),1))=TRUE,SqFt/COUNTIFS(Inventory!$C$10:$C$1009,"N",$Q$13:$Q$1012,"&gt;=0"),INDEX('Usage Groups (&gt;120 MWh only)'!$N$8:$N$12,MATCH(C15,'Usage Groups (&gt;120 MWh only)'!$B$8:$B$12,0),1)/COUNTIF($C$13:$C$1012,C15)),IF(AND(NC_Type="Building Area Method",Inventory!C12="Y"),INDEX(xyNCEx,MATCH(I15,yNCExArea,0),3)/COUNTIF($I$13:$I$1012,I15),VLOOKUP(J15,xyWattage_Table,10,FALSE))),"")</f>
        <v/>
      </c>
      <c r="L15" s="539" t="str">
        <f t="shared" ref="L15:L78" si="26">IFERROR(IF(PRJ_Type="New Construction",J15*K15,IF(G15="","",K15*G15)),"")</f>
        <v/>
      </c>
      <c r="M15" s="540">
        <f>IF(Inventory!N12="","",Inventory!N12)</f>
        <v>0</v>
      </c>
      <c r="N15" s="533" t="str">
        <f t="shared" ref="N15:N78" si="27">IFERROR(VLOOKUP(M15,xyWattage_Table,12,FALSE),"")</f>
        <v/>
      </c>
      <c r="O15" s="534"/>
      <c r="P15" s="533" t="str">
        <f t="shared" ref="P15:P78" si="28">IFERROR(VLOOKUP(M15,xyWattage_Table,10,FALSE),"")</f>
        <v/>
      </c>
      <c r="Q15" s="534" t="str">
        <f>IF(Inventory!L12="","",Inventory!L12)</f>
        <v/>
      </c>
      <c r="R15" s="535" t="str">
        <f t="shared" ref="R15:R78" si="29">IF(P15="","",Q15*P15)</f>
        <v/>
      </c>
      <c r="S15" s="536" t="str">
        <f>IF(Inventory!O12="","",Inventory!O12)</f>
        <v/>
      </c>
      <c r="T15" s="541" t="str">
        <f>IFERROR(IF(C15="","",IF(INDEX(xyWattage_Table,MATCH(M15,'Fixture Identities'!$B$9:$B$997,0),2)="Exit Sign",8760,IF(VLOOKUP(C15,xySpace_Type_Details,8,FALSE)="TRM",INDEX('General Information'!$AF$17:$AG$28,11,MATCH(N15,'General Information'!$AF$16:$AG$16,0)),HLOOKUP(VLOOKUP(C15,xySpace_Type_Details,8,FALSE),'General Information'!$P$15:$AG$28,13,FALSE)))),"")</f>
        <v/>
      </c>
      <c r="U15" s="542" t="str">
        <f>IFERROR(IF(C15="","",IF(INDEX(xyWattage_Table,MATCH(M15,'Fixture Identities'!$B$9:$B$997,0),2)="Exit Sign",1,IF(VLOOKUP(C15,xySpace_Type_Details,8,FALSE)="TRM",INDEX('General Information'!$AF$17:$AG$28,12,MATCH(N15,'General Information'!$AF$16:$AG$16,0)),HLOOKUP(VLOOKUP(C15,xySpace_Type_Details,8,FALSE),'General Information'!$P$15:$AG$28,14,FALSE)))),"")</f>
        <v/>
      </c>
      <c r="V15" s="542" t="str">
        <f>IFERROR(VLOOKUP(INDEX(xySpace_Type_Details,MATCH($C15,'General Information'!$C$40:$C$60,0),12),Lookups!$L$8:$N$12,2,FALSE),"")</f>
        <v/>
      </c>
      <c r="W15" s="542" t="str">
        <f>IFERROR(VLOOKUP(INDEX(xySpace_Type_Details,MATCH($C15,'General Information'!$C$40:$C$60,0),12),Lookups!$L$8:$N$12,3,FALSE),"")</f>
        <v/>
      </c>
      <c r="X15" s="543"/>
      <c r="Y15" s="542" t="str">
        <f>IFERROR(IF(C15="","",IF(INDEX(xyWattage_Table,MATCH(M15,'Fixture Identities'!$B$9:$B$997,0),2)="Exit Sign",0,IF(PRJ_Type="Retrofit",VLOOKUP(I15,xySVG_Factors,2,FALSE),IF(AND(PRJ_Type="New Construction",Inventory!C12="N"),VLOOKUP(VLOOKUP(Building_Type,xyLPD_BuildingArea,5,FALSE),xySVG_Factors_NC,3,FALSE),0)))),"")</f>
        <v/>
      </c>
      <c r="Z15" s="544" t="str">
        <f>IFERROR(IF(C15="","",IF(INDEX(xyWattage_Table,MATCH(M15,'Fixture Identities'!$B$9:$B$997,0),2)="Exit Sign",0,VLOOKUP(S15,xySVG_Factors,2,FALSE))),"")</f>
        <v/>
      </c>
      <c r="AA15" s="545" t="str">
        <f t="shared" ref="AA15:AA78" si="30">IFERROR((L15-R15)/1000,"")</f>
        <v/>
      </c>
      <c r="AB15" s="542" t="str">
        <f t="shared" ref="AB15:AB78" si="31">IFERROR(AA15*U15*(1+W15)*(1-Y15),"")</f>
        <v/>
      </c>
      <c r="AC15" s="539" t="str">
        <f t="shared" ref="AC15:AC78" si="32">IFERROR(AA15*T15*(1+V15)*(1-Y15),"")</f>
        <v/>
      </c>
      <c r="AD15" s="546" t="str">
        <f t="shared" ref="AD15:AD78" si="33">IFERROR(R15/1000*(Z15-Y15)*(1+W15)*U15,"")</f>
        <v/>
      </c>
      <c r="AE15" s="539" t="str">
        <f t="shared" ref="AE15:AE78" si="34">IFERROR(R15/1000*T15*(Z15-Y15)*(1+V15),"")</f>
        <v/>
      </c>
      <c r="AF15" s="546" t="str">
        <f t="shared" ref="AF15:AF78" si="35">IFERROR(AB15+AD15,"")</f>
        <v/>
      </c>
      <c r="AG15" s="539" t="str">
        <f t="shared" ref="AG15:AG78" si="36">IFERROR(AC15+AE15,"")</f>
        <v/>
      </c>
      <c r="AH15" s="32">
        <f t="shared" si="17"/>
        <v>0</v>
      </c>
      <c r="AI15" s="32">
        <f t="shared" si="18"/>
        <v>0</v>
      </c>
      <c r="AJ15" s="32">
        <f t="shared" si="19"/>
        <v>0</v>
      </c>
      <c r="AK15" t="str">
        <f t="shared" si="20"/>
        <v/>
      </c>
      <c r="AL15" t="str">
        <f t="shared" si="21"/>
        <v/>
      </c>
      <c r="AM15" t="str">
        <f t="shared" si="22"/>
        <v/>
      </c>
      <c r="AO15" t="str">
        <f>IFERROR(VLOOKUP(M15,'Fixture Identities'!$B$9:$O$1045,14,FALSE),"")</f>
        <v/>
      </c>
      <c r="AP15" t="str">
        <f t="shared" si="4"/>
        <v/>
      </c>
      <c r="AQ15" s="512" t="s">
        <v>524</v>
      </c>
    </row>
    <row r="16" spans="1:43" ht="15">
      <c r="A16" s="71">
        <f t="shared" si="5"/>
        <v>0</v>
      </c>
      <c r="B16" s="513">
        <f t="shared" si="23"/>
        <v>4</v>
      </c>
      <c r="C16" s="530" t="str">
        <f>IF(Inventory!E13="","",Inventory!E13)</f>
        <v/>
      </c>
      <c r="D16" s="531">
        <f>IF(Inventory!D13="",0,Inventory!D13)</f>
        <v>0</v>
      </c>
      <c r="E16" s="532" t="str">
        <f>IF(Inventory!I13=0,"",Inventory!I13)</f>
        <v/>
      </c>
      <c r="F16" s="533" t="str">
        <f t="shared" si="24"/>
        <v/>
      </c>
      <c r="G16" s="534" t="str">
        <f>IF(Inventory!G13="","",Inventory!G13)</f>
        <v/>
      </c>
      <c r="H16" s="535" t="str">
        <f t="shared" si="25"/>
        <v/>
      </c>
      <c r="I16" s="536" t="str">
        <f>IF(Inventory!J13="","",Inventory!J13)</f>
        <v/>
      </c>
      <c r="J16" s="537" t="str">
        <f>IFERROR(IF(PRJ_Type="New Construction",IF(Inventory!C13="N",INDEX(xyLPD_BuildingArea,MATCH(Building_Type,Lookups!$F$37:$F$75,0),4),INDEX(xyLPD_SpaceBySpace,MATCH(INDEX(xyNCEx,MATCH(I16,yNCExArea,0),2),ySpace_by_Space_Type,0),2)),VLOOKUP(E16,xyWattage_Table,11,FALSE)),"")</f>
        <v/>
      </c>
      <c r="K16" s="538" t="str">
        <f>IFERROR(IF(AND(NC_Type="Building Area Method",Inventory!C13="N"),IF(ISERROR(INDEX('Usage Groups (&gt;120 MWh only)'!$N$8:$N$12,MATCH(C16,'Usage Groups (&gt;120 MWh only)'!$B$8:$B$12,0),1))=TRUE,SqFt/COUNTIFS(Inventory!$C$10:$C$1009,"N",$Q$13:$Q$1012,"&gt;=0"),INDEX('Usage Groups (&gt;120 MWh only)'!$N$8:$N$12,MATCH(C16,'Usage Groups (&gt;120 MWh only)'!$B$8:$B$12,0),1)/COUNTIF($C$13:$C$1012,C16)),IF(AND(NC_Type="Building Area Method",Inventory!C13="Y"),INDEX(xyNCEx,MATCH(I16,yNCExArea,0),3)/COUNTIF($I$13:$I$1012,I16),VLOOKUP(J16,xyWattage_Table,10,FALSE))),"")</f>
        <v/>
      </c>
      <c r="L16" s="539" t="str">
        <f t="shared" si="26"/>
        <v/>
      </c>
      <c r="M16" s="540">
        <f>IF(Inventory!N13="","",Inventory!N13)</f>
        <v>0</v>
      </c>
      <c r="N16" s="533" t="str">
        <f t="shared" si="27"/>
        <v/>
      </c>
      <c r="O16" s="534"/>
      <c r="P16" s="533" t="str">
        <f t="shared" si="28"/>
        <v/>
      </c>
      <c r="Q16" s="534" t="str">
        <f>IF(Inventory!L13="","",Inventory!L13)</f>
        <v/>
      </c>
      <c r="R16" s="535" t="str">
        <f t="shared" si="29"/>
        <v/>
      </c>
      <c r="S16" s="536" t="str">
        <f>IF(Inventory!O13="","",Inventory!O13)</f>
        <v/>
      </c>
      <c r="T16" s="541" t="str">
        <f>IFERROR(IF(C16="","",IF(INDEX(xyWattage_Table,MATCH(M16,'Fixture Identities'!$B$9:$B$997,0),2)="Exit Sign",8760,IF(VLOOKUP(C16,xySpace_Type_Details,8,FALSE)="TRM",INDEX('General Information'!$AF$17:$AG$28,11,MATCH(N16,'General Information'!$AF$16:$AG$16,0)),HLOOKUP(VLOOKUP(C16,xySpace_Type_Details,8,FALSE),'General Information'!$P$15:$AG$28,13,FALSE)))),"")</f>
        <v/>
      </c>
      <c r="U16" s="542" t="str">
        <f>IFERROR(IF(C16="","",IF(INDEX(xyWattage_Table,MATCH(M16,'Fixture Identities'!$B$9:$B$997,0),2)="Exit Sign",1,IF(VLOOKUP(C16,xySpace_Type_Details,8,FALSE)="TRM",INDEX('General Information'!$AF$17:$AG$28,12,MATCH(N16,'General Information'!$AF$16:$AG$16,0)),HLOOKUP(VLOOKUP(C16,xySpace_Type_Details,8,FALSE),'General Information'!$P$15:$AG$28,14,FALSE)))),"")</f>
        <v/>
      </c>
      <c r="V16" s="542" t="str">
        <f>IFERROR(VLOOKUP(INDEX(xySpace_Type_Details,MATCH($C16,'General Information'!$C$40:$C$60,0),12),Lookups!$L$8:$N$12,2,FALSE),"")</f>
        <v/>
      </c>
      <c r="W16" s="542" t="str">
        <f>IFERROR(VLOOKUP(INDEX(xySpace_Type_Details,MATCH($C16,'General Information'!$C$40:$C$60,0),12),Lookups!$L$8:$N$12,3,FALSE),"")</f>
        <v/>
      </c>
      <c r="X16" s="543"/>
      <c r="Y16" s="542" t="str">
        <f>IFERROR(IF(C16="","",IF(INDEX(xyWattage_Table,MATCH(M16,'Fixture Identities'!$B$9:$B$997,0),2)="Exit Sign",0,IF(PRJ_Type="Retrofit",VLOOKUP(I16,xySVG_Factors,2,FALSE),IF(AND(PRJ_Type="New Construction",Inventory!C13="N"),VLOOKUP(VLOOKUP(Building_Type,xyLPD_BuildingArea,5,FALSE),xySVG_Factors_NC,3,FALSE),0)))),"")</f>
        <v/>
      </c>
      <c r="Z16" s="544" t="str">
        <f>IFERROR(IF(C16="","",IF(INDEX(xyWattage_Table,MATCH(M16,'Fixture Identities'!$B$9:$B$997,0),2)="Exit Sign",0,VLOOKUP(S16,xySVG_Factors,2,FALSE))),"")</f>
        <v/>
      </c>
      <c r="AA16" s="545" t="str">
        <f t="shared" si="30"/>
        <v/>
      </c>
      <c r="AB16" s="542" t="str">
        <f t="shared" si="31"/>
        <v/>
      </c>
      <c r="AC16" s="539" t="str">
        <f t="shared" si="32"/>
        <v/>
      </c>
      <c r="AD16" s="546" t="str">
        <f t="shared" si="33"/>
        <v/>
      </c>
      <c r="AE16" s="539" t="str">
        <f t="shared" si="34"/>
        <v/>
      </c>
      <c r="AF16" s="546" t="str">
        <f t="shared" si="35"/>
        <v/>
      </c>
      <c r="AG16" s="539" t="str">
        <f t="shared" si="36"/>
        <v/>
      </c>
      <c r="AH16" s="32">
        <f t="shared" si="17"/>
        <v>0</v>
      </c>
      <c r="AI16" s="32">
        <f t="shared" si="18"/>
        <v>0</v>
      </c>
      <c r="AJ16" s="32">
        <f t="shared" si="19"/>
        <v>0</v>
      </c>
      <c r="AK16" t="str">
        <f t="shared" si="20"/>
        <v/>
      </c>
      <c r="AL16" t="str">
        <f t="shared" si="21"/>
        <v/>
      </c>
      <c r="AM16" t="str">
        <f t="shared" si="22"/>
        <v/>
      </c>
      <c r="AO16" t="str">
        <f>IFERROR(VLOOKUP(M16,'Fixture Identities'!$B$9:$O$1045,14,FALSE),"")</f>
        <v/>
      </c>
      <c r="AP16" t="str">
        <f t="shared" si="4"/>
        <v/>
      </c>
      <c r="AQ16" s="512" t="s">
        <v>525</v>
      </c>
    </row>
    <row r="17" spans="1:43" ht="15">
      <c r="A17" s="71">
        <f t="shared" si="5"/>
        <v>0</v>
      </c>
      <c r="B17" s="513">
        <f t="shared" si="23"/>
        <v>5</v>
      </c>
      <c r="C17" s="530" t="str">
        <f>IF(Inventory!E14="","",Inventory!E14)</f>
        <v/>
      </c>
      <c r="D17" s="531">
        <f>IF(Inventory!D14="",0,Inventory!D14)</f>
        <v>0</v>
      </c>
      <c r="E17" s="532" t="str">
        <f>IF(Inventory!I14=0,"",Inventory!I14)</f>
        <v/>
      </c>
      <c r="F17" s="533" t="str">
        <f t="shared" si="24"/>
        <v/>
      </c>
      <c r="G17" s="534" t="str">
        <f>IF(Inventory!G14="","",Inventory!G14)</f>
        <v/>
      </c>
      <c r="H17" s="535" t="str">
        <f t="shared" si="25"/>
        <v/>
      </c>
      <c r="I17" s="536" t="str">
        <f>IF(Inventory!J14="","",Inventory!J14)</f>
        <v/>
      </c>
      <c r="J17" s="537" t="str">
        <f>IFERROR(IF(PRJ_Type="New Construction",IF(Inventory!C14="N",INDEX(xyLPD_BuildingArea,MATCH(Building_Type,Lookups!$F$37:$F$75,0),4),INDEX(xyLPD_SpaceBySpace,MATCH(INDEX(xyNCEx,MATCH(I17,yNCExArea,0),2),ySpace_by_Space_Type,0),2)),VLOOKUP(E17,xyWattage_Table,11,FALSE)),"")</f>
        <v/>
      </c>
      <c r="K17" s="538" t="str">
        <f>IFERROR(IF(AND(NC_Type="Building Area Method",Inventory!C14="N"),IF(ISERROR(INDEX('Usage Groups (&gt;120 MWh only)'!$N$8:$N$12,MATCH(C17,'Usage Groups (&gt;120 MWh only)'!$B$8:$B$12,0),1))=TRUE,SqFt/COUNTIFS(Inventory!$C$10:$C$1009,"N",$Q$13:$Q$1012,"&gt;=0"),INDEX('Usage Groups (&gt;120 MWh only)'!$N$8:$N$12,MATCH(C17,'Usage Groups (&gt;120 MWh only)'!$B$8:$B$12,0),1)/COUNTIF($C$13:$C$1012,C17)),IF(AND(NC_Type="Building Area Method",Inventory!C14="Y"),INDEX(xyNCEx,MATCH(I17,yNCExArea,0),3)/COUNTIF($I$13:$I$1012,I17),VLOOKUP(J17,xyWattage_Table,10,FALSE))),"")</f>
        <v/>
      </c>
      <c r="L17" s="539" t="str">
        <f t="shared" si="26"/>
        <v/>
      </c>
      <c r="M17" s="540">
        <f>IF(Inventory!N14="","",Inventory!N14)</f>
        <v>0</v>
      </c>
      <c r="N17" s="533" t="str">
        <f t="shared" si="27"/>
        <v/>
      </c>
      <c r="O17" s="534"/>
      <c r="P17" s="533" t="str">
        <f t="shared" si="28"/>
        <v/>
      </c>
      <c r="Q17" s="534" t="str">
        <f>IF(Inventory!L14="","",Inventory!L14)</f>
        <v/>
      </c>
      <c r="R17" s="535" t="str">
        <f t="shared" si="29"/>
        <v/>
      </c>
      <c r="S17" s="536" t="str">
        <f>IF(Inventory!O14="","",Inventory!O14)</f>
        <v/>
      </c>
      <c r="T17" s="541" t="str">
        <f>IFERROR(IF(C17="","",IF(INDEX(xyWattage_Table,MATCH(M17,'Fixture Identities'!$B$9:$B$997,0),2)="Exit Sign",8760,IF(VLOOKUP(C17,xySpace_Type_Details,8,FALSE)="TRM",INDEX('General Information'!$AF$17:$AG$28,11,MATCH(N17,'General Information'!$AF$16:$AG$16,0)),HLOOKUP(VLOOKUP(C17,xySpace_Type_Details,8,FALSE),'General Information'!$P$15:$AG$28,13,FALSE)))),"")</f>
        <v/>
      </c>
      <c r="U17" s="542" t="str">
        <f>IFERROR(IF(C17="","",IF(INDEX(xyWattage_Table,MATCH(M17,'Fixture Identities'!$B$9:$B$997,0),2)="Exit Sign",1,IF(VLOOKUP(C17,xySpace_Type_Details,8,FALSE)="TRM",INDEX('General Information'!$AF$17:$AG$28,12,MATCH(N17,'General Information'!$AF$16:$AG$16,0)),HLOOKUP(VLOOKUP(C17,xySpace_Type_Details,8,FALSE),'General Information'!$P$15:$AG$28,14,FALSE)))),"")</f>
        <v/>
      </c>
      <c r="V17" s="542" t="str">
        <f>IFERROR(VLOOKUP(INDEX(xySpace_Type_Details,MATCH($C17,'General Information'!$C$40:$C$60,0),12),Lookups!$L$8:$N$12,2,FALSE),"")</f>
        <v/>
      </c>
      <c r="W17" s="542" t="str">
        <f>IFERROR(VLOOKUP(INDEX(xySpace_Type_Details,MATCH($C17,'General Information'!$C$40:$C$60,0),12),Lookups!$L$8:$N$12,3,FALSE),"")</f>
        <v/>
      </c>
      <c r="X17" s="543"/>
      <c r="Y17" s="542" t="str">
        <f>IFERROR(IF(C17="","",IF(INDEX(xyWattage_Table,MATCH(M17,'Fixture Identities'!$B$9:$B$997,0),2)="Exit Sign",0,IF(PRJ_Type="Retrofit",VLOOKUP(I17,xySVG_Factors,2,FALSE),IF(AND(PRJ_Type="New Construction",Inventory!C14="N"),VLOOKUP(VLOOKUP(Building_Type,xyLPD_BuildingArea,5,FALSE),xySVG_Factors_NC,3,FALSE),0)))),"")</f>
        <v/>
      </c>
      <c r="Z17" s="544" t="str">
        <f>IFERROR(IF(C17="","",IF(INDEX(xyWattage_Table,MATCH(M17,'Fixture Identities'!$B$9:$B$997,0),2)="Exit Sign",0,VLOOKUP(S17,xySVG_Factors,2,FALSE))),"")</f>
        <v/>
      </c>
      <c r="AA17" s="545" t="str">
        <f t="shared" si="30"/>
        <v/>
      </c>
      <c r="AB17" s="542" t="str">
        <f t="shared" si="31"/>
        <v/>
      </c>
      <c r="AC17" s="539" t="str">
        <f t="shared" si="32"/>
        <v/>
      </c>
      <c r="AD17" s="546" t="str">
        <f t="shared" si="33"/>
        <v/>
      </c>
      <c r="AE17" s="539" t="str">
        <f t="shared" si="34"/>
        <v/>
      </c>
      <c r="AF17" s="546" t="str">
        <f t="shared" si="35"/>
        <v/>
      </c>
      <c r="AG17" s="539" t="str">
        <f t="shared" si="36"/>
        <v/>
      </c>
      <c r="AH17" s="32">
        <f t="shared" si="17"/>
        <v>0</v>
      </c>
      <c r="AI17" s="32">
        <f t="shared" si="18"/>
        <v>0</v>
      </c>
      <c r="AJ17" s="32">
        <f t="shared" si="19"/>
        <v>0</v>
      </c>
      <c r="AK17" t="str">
        <f t="shared" si="20"/>
        <v/>
      </c>
      <c r="AL17" t="str">
        <f t="shared" si="21"/>
        <v/>
      </c>
      <c r="AM17" t="str">
        <f t="shared" si="22"/>
        <v/>
      </c>
      <c r="AO17" t="str">
        <f>IFERROR(VLOOKUP(M17,'Fixture Identities'!$B$9:$O$1045,14,FALSE),"")</f>
        <v/>
      </c>
      <c r="AP17" t="str">
        <f t="shared" si="4"/>
        <v/>
      </c>
      <c r="AQ17" s="512" t="s">
        <v>526</v>
      </c>
    </row>
    <row r="18" spans="1:43" ht="15">
      <c r="A18" s="71">
        <f t="shared" si="5"/>
        <v>0</v>
      </c>
      <c r="B18" s="513">
        <f t="shared" si="23"/>
        <v>6</v>
      </c>
      <c r="C18" s="530" t="str">
        <f>IF(Inventory!E15="","",Inventory!E15)</f>
        <v/>
      </c>
      <c r="D18" s="531">
        <f>IF(Inventory!D15="",0,Inventory!D15)</f>
        <v>0</v>
      </c>
      <c r="E18" s="532" t="str">
        <f>IF(Inventory!I15=0,"",Inventory!I15)</f>
        <v/>
      </c>
      <c r="F18" s="533" t="str">
        <f t="shared" si="24"/>
        <v/>
      </c>
      <c r="G18" s="534" t="str">
        <f>IF(Inventory!G15="","",Inventory!G15)</f>
        <v/>
      </c>
      <c r="H18" s="535" t="str">
        <f t="shared" si="25"/>
        <v/>
      </c>
      <c r="I18" s="536" t="str">
        <f>IF(Inventory!J15="","",Inventory!J15)</f>
        <v/>
      </c>
      <c r="J18" s="537" t="str">
        <f>IFERROR(IF(PRJ_Type="New Construction",IF(Inventory!C15="N",INDEX(xyLPD_BuildingArea,MATCH(Building_Type,Lookups!$F$37:$F$75,0),4),INDEX(xyLPD_SpaceBySpace,MATCH(INDEX(xyNCEx,MATCH(I18,yNCExArea,0),2),ySpace_by_Space_Type,0),2)),VLOOKUP(E18,xyWattage_Table,11,FALSE)),"")</f>
        <v/>
      </c>
      <c r="K18" s="538" t="str">
        <f>IFERROR(IF(AND(NC_Type="Building Area Method",Inventory!C15="N"),IF(ISERROR(INDEX('Usage Groups (&gt;120 MWh only)'!$N$8:$N$12,MATCH(C18,'Usage Groups (&gt;120 MWh only)'!$B$8:$B$12,0),1))=TRUE,SqFt/COUNTIFS(Inventory!$C$10:$C$1009,"N",$Q$13:$Q$1012,"&gt;=0"),INDEX('Usage Groups (&gt;120 MWh only)'!$N$8:$N$12,MATCH(C18,'Usage Groups (&gt;120 MWh only)'!$B$8:$B$12,0),1)/COUNTIF($C$13:$C$1012,C18)),IF(AND(NC_Type="Building Area Method",Inventory!C15="Y"),INDEX(xyNCEx,MATCH(I18,yNCExArea,0),3)/COUNTIF($I$13:$I$1012,I18),VLOOKUP(J18,xyWattage_Table,10,FALSE))),"")</f>
        <v/>
      </c>
      <c r="L18" s="539" t="str">
        <f t="shared" si="26"/>
        <v/>
      </c>
      <c r="M18" s="540">
        <f>IF(Inventory!N15="","",Inventory!N15)</f>
        <v>0</v>
      </c>
      <c r="N18" s="533" t="str">
        <f t="shared" si="27"/>
        <v/>
      </c>
      <c r="O18" s="534"/>
      <c r="P18" s="533" t="str">
        <f t="shared" si="28"/>
        <v/>
      </c>
      <c r="Q18" s="534" t="str">
        <f>IF(Inventory!L15="","",Inventory!L15)</f>
        <v/>
      </c>
      <c r="R18" s="535" t="str">
        <f t="shared" si="29"/>
        <v/>
      </c>
      <c r="S18" s="536" t="str">
        <f>IF(Inventory!O15="","",Inventory!O15)</f>
        <v/>
      </c>
      <c r="T18" s="541" t="str">
        <f>IFERROR(IF(C18="","",IF(INDEX(xyWattage_Table,MATCH(M18,'Fixture Identities'!$B$9:$B$997,0),2)="Exit Sign",8760,IF(VLOOKUP(C18,xySpace_Type_Details,8,FALSE)="TRM",INDEX('General Information'!$AF$17:$AG$28,11,MATCH(N18,'General Information'!$AF$16:$AG$16,0)),HLOOKUP(VLOOKUP(C18,xySpace_Type_Details,8,FALSE),'General Information'!$P$15:$AG$28,13,FALSE)))),"")</f>
        <v/>
      </c>
      <c r="U18" s="542" t="str">
        <f>IFERROR(IF(C18="","",IF(INDEX(xyWattage_Table,MATCH(M18,'Fixture Identities'!$B$9:$B$997,0),2)="Exit Sign",1,IF(VLOOKUP(C18,xySpace_Type_Details,8,FALSE)="TRM",INDEX('General Information'!$AF$17:$AG$28,12,MATCH(N18,'General Information'!$AF$16:$AG$16,0)),HLOOKUP(VLOOKUP(C18,xySpace_Type_Details,8,FALSE),'General Information'!$P$15:$AG$28,14,FALSE)))),"")</f>
        <v/>
      </c>
      <c r="V18" s="542" t="str">
        <f>IFERROR(VLOOKUP(INDEX(xySpace_Type_Details,MATCH($C18,'General Information'!$C$40:$C$60,0),12),Lookups!$L$8:$N$12,2,FALSE),"")</f>
        <v/>
      </c>
      <c r="W18" s="542" t="str">
        <f>IFERROR(VLOOKUP(INDEX(xySpace_Type_Details,MATCH($C18,'General Information'!$C$40:$C$60,0),12),Lookups!$L$8:$N$12,3,FALSE),"")</f>
        <v/>
      </c>
      <c r="X18" s="543"/>
      <c r="Y18" s="542" t="str">
        <f>IFERROR(IF(C18="","",IF(INDEX(xyWattage_Table,MATCH(M18,'Fixture Identities'!$B$9:$B$997,0),2)="Exit Sign",0,IF(PRJ_Type="Retrofit",VLOOKUP(I18,xySVG_Factors,2,FALSE),IF(AND(PRJ_Type="New Construction",Inventory!C15="N"),VLOOKUP(VLOOKUP(Building_Type,xyLPD_BuildingArea,5,FALSE),xySVG_Factors_NC,3,FALSE),0)))),"")</f>
        <v/>
      </c>
      <c r="Z18" s="544" t="str">
        <f>IFERROR(IF(C18="","",IF(INDEX(xyWattage_Table,MATCH(M18,'Fixture Identities'!$B$9:$B$997,0),2)="Exit Sign",0,VLOOKUP(S18,xySVG_Factors,2,FALSE))),"")</f>
        <v/>
      </c>
      <c r="AA18" s="545" t="str">
        <f t="shared" si="30"/>
        <v/>
      </c>
      <c r="AB18" s="542" t="str">
        <f t="shared" si="31"/>
        <v/>
      </c>
      <c r="AC18" s="539" t="str">
        <f t="shared" si="32"/>
        <v/>
      </c>
      <c r="AD18" s="546" t="str">
        <f t="shared" si="33"/>
        <v/>
      </c>
      <c r="AE18" s="539" t="str">
        <f t="shared" si="34"/>
        <v/>
      </c>
      <c r="AF18" s="546" t="str">
        <f t="shared" si="35"/>
        <v/>
      </c>
      <c r="AG18" s="539" t="str">
        <f t="shared" si="36"/>
        <v/>
      </c>
      <c r="AH18" s="32">
        <f t="shared" si="17"/>
        <v>0</v>
      </c>
      <c r="AI18" s="32">
        <f t="shared" si="18"/>
        <v>0</v>
      </c>
      <c r="AJ18" s="32">
        <f t="shared" si="19"/>
        <v>0</v>
      </c>
      <c r="AK18" t="str">
        <f t="shared" si="20"/>
        <v/>
      </c>
      <c r="AL18" t="str">
        <f t="shared" si="21"/>
        <v/>
      </c>
      <c r="AM18" t="str">
        <f t="shared" si="22"/>
        <v/>
      </c>
      <c r="AO18" t="str">
        <f>IFERROR(VLOOKUP(M18,'Fixture Identities'!$B$9:$O$1045,14,FALSE),"")</f>
        <v/>
      </c>
      <c r="AP18" t="str">
        <f t="shared" si="4"/>
        <v/>
      </c>
      <c r="AQ18" s="512" t="s">
        <v>527</v>
      </c>
    </row>
    <row r="19" spans="1:43" ht="15">
      <c r="A19" s="71">
        <f t="shared" si="5"/>
        <v>0</v>
      </c>
      <c r="B19" s="513">
        <f t="shared" si="23"/>
        <v>7</v>
      </c>
      <c r="C19" s="530" t="str">
        <f>IF(Inventory!E16="","",Inventory!E16)</f>
        <v/>
      </c>
      <c r="D19" s="531">
        <f>IF(Inventory!D16="",0,Inventory!D16)</f>
        <v>0</v>
      </c>
      <c r="E19" s="532" t="str">
        <f>IF(Inventory!I16=0,"",Inventory!I16)</f>
        <v/>
      </c>
      <c r="F19" s="533" t="str">
        <f t="shared" si="24"/>
        <v/>
      </c>
      <c r="G19" s="534" t="str">
        <f>IF(Inventory!G16="","",Inventory!G16)</f>
        <v/>
      </c>
      <c r="H19" s="535" t="str">
        <f t="shared" si="25"/>
        <v/>
      </c>
      <c r="I19" s="536" t="str">
        <f>IF(Inventory!J16="","",Inventory!J16)</f>
        <v/>
      </c>
      <c r="J19" s="537" t="str">
        <f>IFERROR(IF(PRJ_Type="New Construction",IF(Inventory!C16="N",INDEX(xyLPD_BuildingArea,MATCH(Building_Type,Lookups!$F$37:$F$75,0),4),INDEX(xyLPD_SpaceBySpace,MATCH(INDEX(xyNCEx,MATCH(I19,yNCExArea,0),2),ySpace_by_Space_Type,0),2)),VLOOKUP(E19,xyWattage_Table,11,FALSE)),"")</f>
        <v/>
      </c>
      <c r="K19" s="538" t="str">
        <f>IFERROR(IF(AND(NC_Type="Building Area Method",Inventory!C16="N"),IF(ISERROR(INDEX('Usage Groups (&gt;120 MWh only)'!$N$8:$N$12,MATCH(C19,'Usage Groups (&gt;120 MWh only)'!$B$8:$B$12,0),1))=TRUE,SqFt/COUNTIFS(Inventory!$C$10:$C$1009,"N",$Q$13:$Q$1012,"&gt;=0"),INDEX('Usage Groups (&gt;120 MWh only)'!$N$8:$N$12,MATCH(C19,'Usage Groups (&gt;120 MWh only)'!$B$8:$B$12,0),1)/COUNTIF($C$13:$C$1012,C19)),IF(AND(NC_Type="Building Area Method",Inventory!C16="Y"),INDEX(xyNCEx,MATCH(I19,yNCExArea,0),3)/COUNTIF($I$13:$I$1012,I19),VLOOKUP(J19,xyWattage_Table,10,FALSE))),"")</f>
        <v/>
      </c>
      <c r="L19" s="539" t="str">
        <f t="shared" si="26"/>
        <v/>
      </c>
      <c r="M19" s="540">
        <f>IF(Inventory!N16="","",Inventory!N16)</f>
        <v>0</v>
      </c>
      <c r="N19" s="533" t="str">
        <f t="shared" si="27"/>
        <v/>
      </c>
      <c r="O19" s="534"/>
      <c r="P19" s="533" t="str">
        <f t="shared" si="28"/>
        <v/>
      </c>
      <c r="Q19" s="534" t="str">
        <f>IF(Inventory!L16="","",Inventory!L16)</f>
        <v/>
      </c>
      <c r="R19" s="535" t="str">
        <f t="shared" si="29"/>
        <v/>
      </c>
      <c r="S19" s="536" t="str">
        <f>IF(Inventory!O16="","",Inventory!O16)</f>
        <v/>
      </c>
      <c r="T19" s="541" t="str">
        <f>IFERROR(IF(C19="","",IF(INDEX(xyWattage_Table,MATCH(M19,'Fixture Identities'!$B$9:$B$997,0),2)="Exit Sign",8760,IF(VLOOKUP(C19,xySpace_Type_Details,8,FALSE)="TRM",INDEX('General Information'!$AF$17:$AG$28,11,MATCH(N19,'General Information'!$AF$16:$AG$16,0)),HLOOKUP(VLOOKUP(C19,xySpace_Type_Details,8,FALSE),'General Information'!$P$15:$AG$28,13,FALSE)))),"")</f>
        <v/>
      </c>
      <c r="U19" s="542" t="str">
        <f>IFERROR(IF(C19="","",IF(INDEX(xyWattage_Table,MATCH(M19,'Fixture Identities'!$B$9:$B$997,0),2)="Exit Sign",1,IF(VLOOKUP(C19,xySpace_Type_Details,8,FALSE)="TRM",INDEX('General Information'!$AF$17:$AG$28,12,MATCH(N19,'General Information'!$AF$16:$AG$16,0)),HLOOKUP(VLOOKUP(C19,xySpace_Type_Details,8,FALSE),'General Information'!$P$15:$AG$28,14,FALSE)))),"")</f>
        <v/>
      </c>
      <c r="V19" s="542" t="str">
        <f>IFERROR(VLOOKUP(INDEX(xySpace_Type_Details,MATCH($C19,'General Information'!$C$40:$C$60,0),12),Lookups!$L$8:$N$12,2,FALSE),"")</f>
        <v/>
      </c>
      <c r="W19" s="542" t="str">
        <f>IFERROR(VLOOKUP(INDEX(xySpace_Type_Details,MATCH($C19,'General Information'!$C$40:$C$60,0),12),Lookups!$L$8:$N$12,3,FALSE),"")</f>
        <v/>
      </c>
      <c r="X19" s="543"/>
      <c r="Y19" s="542" t="str">
        <f>IFERROR(IF(C19="","",IF(INDEX(xyWattage_Table,MATCH(M19,'Fixture Identities'!$B$9:$B$997,0),2)="Exit Sign",0,IF(PRJ_Type="Retrofit",VLOOKUP(I19,xySVG_Factors,2,FALSE),IF(AND(PRJ_Type="New Construction",Inventory!C16="N"),VLOOKUP(VLOOKUP(Building_Type,xyLPD_BuildingArea,5,FALSE),xySVG_Factors_NC,3,FALSE),0)))),"")</f>
        <v/>
      </c>
      <c r="Z19" s="544" t="str">
        <f>IFERROR(IF(C19="","",IF(INDEX(xyWattage_Table,MATCH(M19,'Fixture Identities'!$B$9:$B$997,0),2)="Exit Sign",0,VLOOKUP(S19,xySVG_Factors,2,FALSE))),"")</f>
        <v/>
      </c>
      <c r="AA19" s="545" t="str">
        <f t="shared" si="30"/>
        <v/>
      </c>
      <c r="AB19" s="542" t="str">
        <f t="shared" si="31"/>
        <v/>
      </c>
      <c r="AC19" s="539" t="str">
        <f t="shared" si="32"/>
        <v/>
      </c>
      <c r="AD19" s="546" t="str">
        <f t="shared" si="33"/>
        <v/>
      </c>
      <c r="AE19" s="539" t="str">
        <f t="shared" si="34"/>
        <v/>
      </c>
      <c r="AF19" s="546" t="str">
        <f t="shared" si="35"/>
        <v/>
      </c>
      <c r="AG19" s="539" t="str">
        <f t="shared" si="36"/>
        <v/>
      </c>
      <c r="AH19" s="32">
        <f t="shared" si="17"/>
        <v>0</v>
      </c>
      <c r="AI19" s="32">
        <f t="shared" si="18"/>
        <v>0</v>
      </c>
      <c r="AJ19" s="32">
        <f t="shared" si="19"/>
        <v>0</v>
      </c>
      <c r="AK19" t="str">
        <f t="shared" si="20"/>
        <v/>
      </c>
      <c r="AL19" t="str">
        <f t="shared" si="21"/>
        <v/>
      </c>
      <c r="AM19" t="str">
        <f t="shared" si="22"/>
        <v/>
      </c>
      <c r="AO19" t="str">
        <f>IFERROR(VLOOKUP(M19,'Fixture Identities'!$B$9:$O$1045,14,FALSE),"")</f>
        <v/>
      </c>
      <c r="AP19" t="str">
        <f t="shared" si="4"/>
        <v/>
      </c>
      <c r="AQ19" s="512" t="s">
        <v>528</v>
      </c>
    </row>
    <row r="20" spans="1:43" ht="15">
      <c r="A20" s="71">
        <f t="shared" si="5"/>
        <v>0</v>
      </c>
      <c r="B20" s="513">
        <f t="shared" si="23"/>
        <v>8</v>
      </c>
      <c r="C20" s="530" t="str">
        <f>IF(Inventory!E17="","",Inventory!E17)</f>
        <v/>
      </c>
      <c r="D20" s="531">
        <f>IF(Inventory!D17="",0,Inventory!D17)</f>
        <v>0</v>
      </c>
      <c r="E20" s="532" t="str">
        <f>IF(Inventory!I17=0,"",Inventory!I17)</f>
        <v/>
      </c>
      <c r="F20" s="533" t="str">
        <f t="shared" si="24"/>
        <v/>
      </c>
      <c r="G20" s="534" t="str">
        <f>IF(Inventory!G17="","",Inventory!G17)</f>
        <v/>
      </c>
      <c r="H20" s="535" t="str">
        <f t="shared" si="25"/>
        <v/>
      </c>
      <c r="I20" s="536" t="str">
        <f>IF(Inventory!J17="","",Inventory!J17)</f>
        <v/>
      </c>
      <c r="J20" s="537" t="str">
        <f>IFERROR(IF(PRJ_Type="New Construction",IF(Inventory!C17="N",INDEX(xyLPD_BuildingArea,MATCH(Building_Type,Lookups!$F$37:$F$75,0),4),INDEX(xyLPD_SpaceBySpace,MATCH(INDEX(xyNCEx,MATCH(I20,yNCExArea,0),2),ySpace_by_Space_Type,0),2)),VLOOKUP(E20,xyWattage_Table,11,FALSE)),"")</f>
        <v/>
      </c>
      <c r="K20" s="538" t="str">
        <f>IFERROR(IF(AND(NC_Type="Building Area Method",Inventory!C17="N"),IF(ISERROR(INDEX('Usage Groups (&gt;120 MWh only)'!$N$8:$N$12,MATCH(C20,'Usage Groups (&gt;120 MWh only)'!$B$8:$B$12,0),1))=TRUE,SqFt/COUNTIFS(Inventory!$C$10:$C$1009,"N",$Q$13:$Q$1012,"&gt;=0"),INDEX('Usage Groups (&gt;120 MWh only)'!$N$8:$N$12,MATCH(C20,'Usage Groups (&gt;120 MWh only)'!$B$8:$B$12,0),1)/COUNTIF($C$13:$C$1012,C20)),IF(AND(NC_Type="Building Area Method",Inventory!C17="Y"),INDEX(xyNCEx,MATCH(I20,yNCExArea,0),3)/COUNTIF($I$13:$I$1012,I20),VLOOKUP(J20,xyWattage_Table,10,FALSE))),"")</f>
        <v/>
      </c>
      <c r="L20" s="539" t="str">
        <f t="shared" si="26"/>
        <v/>
      </c>
      <c r="M20" s="540">
        <f>IF(Inventory!N17="","",Inventory!N17)</f>
        <v>0</v>
      </c>
      <c r="N20" s="533" t="str">
        <f t="shared" si="27"/>
        <v/>
      </c>
      <c r="O20" s="534"/>
      <c r="P20" s="533" t="str">
        <f t="shared" si="28"/>
        <v/>
      </c>
      <c r="Q20" s="534" t="str">
        <f>IF(Inventory!L17="","",Inventory!L17)</f>
        <v/>
      </c>
      <c r="R20" s="535" t="str">
        <f t="shared" si="29"/>
        <v/>
      </c>
      <c r="S20" s="536" t="str">
        <f>IF(Inventory!O17="","",Inventory!O17)</f>
        <v/>
      </c>
      <c r="T20" s="541" t="str">
        <f>IFERROR(IF(C20="","",IF(INDEX(xyWattage_Table,MATCH(M20,'Fixture Identities'!$B$9:$B$997,0),2)="Exit Sign",8760,IF(VLOOKUP(C20,xySpace_Type_Details,8,FALSE)="TRM",INDEX('General Information'!$AF$17:$AG$28,11,MATCH(N20,'General Information'!$AF$16:$AG$16,0)),HLOOKUP(VLOOKUP(C20,xySpace_Type_Details,8,FALSE),'General Information'!$P$15:$AG$28,13,FALSE)))),"")</f>
        <v/>
      </c>
      <c r="U20" s="542" t="str">
        <f>IFERROR(IF(C20="","",IF(INDEX(xyWattage_Table,MATCH(M20,'Fixture Identities'!$B$9:$B$997,0),2)="Exit Sign",1,IF(VLOOKUP(C20,xySpace_Type_Details,8,FALSE)="TRM",INDEX('General Information'!$AF$17:$AG$28,12,MATCH(N20,'General Information'!$AF$16:$AG$16,0)),HLOOKUP(VLOOKUP(C20,xySpace_Type_Details,8,FALSE),'General Information'!$P$15:$AG$28,14,FALSE)))),"")</f>
        <v/>
      </c>
      <c r="V20" s="542" t="str">
        <f>IFERROR(VLOOKUP(INDEX(xySpace_Type_Details,MATCH($C20,'General Information'!$C$40:$C$60,0),12),Lookups!$L$8:$N$12,2,FALSE),"")</f>
        <v/>
      </c>
      <c r="W20" s="542" t="str">
        <f>IFERROR(VLOOKUP(INDEX(xySpace_Type_Details,MATCH($C20,'General Information'!$C$40:$C$60,0),12),Lookups!$L$8:$N$12,3,FALSE),"")</f>
        <v/>
      </c>
      <c r="X20" s="543"/>
      <c r="Y20" s="542" t="str">
        <f>IFERROR(IF(C20="","",IF(INDEX(xyWattage_Table,MATCH(M20,'Fixture Identities'!$B$9:$B$997,0),2)="Exit Sign",0,IF(PRJ_Type="Retrofit",VLOOKUP(I20,xySVG_Factors,2,FALSE),IF(AND(PRJ_Type="New Construction",Inventory!C17="N"),VLOOKUP(VLOOKUP(Building_Type,xyLPD_BuildingArea,5,FALSE),xySVG_Factors_NC,3,FALSE),0)))),"")</f>
        <v/>
      </c>
      <c r="Z20" s="544" t="str">
        <f>IFERROR(IF(C20="","",IF(INDEX(xyWattage_Table,MATCH(M20,'Fixture Identities'!$B$9:$B$997,0),2)="Exit Sign",0,VLOOKUP(S20,xySVG_Factors,2,FALSE))),"")</f>
        <v/>
      </c>
      <c r="AA20" s="545" t="str">
        <f t="shared" si="30"/>
        <v/>
      </c>
      <c r="AB20" s="542" t="str">
        <f t="shared" si="31"/>
        <v/>
      </c>
      <c r="AC20" s="539" t="str">
        <f t="shared" si="32"/>
        <v/>
      </c>
      <c r="AD20" s="546" t="str">
        <f t="shared" si="33"/>
        <v/>
      </c>
      <c r="AE20" s="539" t="str">
        <f t="shared" si="34"/>
        <v/>
      </c>
      <c r="AF20" s="546" t="str">
        <f t="shared" si="35"/>
        <v/>
      </c>
      <c r="AG20" s="539" t="str">
        <f t="shared" si="36"/>
        <v/>
      </c>
      <c r="AH20" s="32">
        <f t="shared" si="17"/>
        <v>0</v>
      </c>
      <c r="AI20" s="32">
        <f t="shared" si="18"/>
        <v>0</v>
      </c>
      <c r="AJ20" s="32">
        <f t="shared" si="19"/>
        <v>0</v>
      </c>
      <c r="AK20" t="str">
        <f>IFERROR((L20)/1000,"")</f>
        <v/>
      </c>
      <c r="AL20" t="str">
        <f t="shared" si="21"/>
        <v/>
      </c>
      <c r="AM20" t="str">
        <f t="shared" si="22"/>
        <v/>
      </c>
      <c r="AO20" t="str">
        <f>IFERROR(VLOOKUP(M20,'Fixture Identities'!$B$9:$O$1045,14,FALSE),"")</f>
        <v/>
      </c>
      <c r="AP20" t="str">
        <f t="shared" si="4"/>
        <v/>
      </c>
      <c r="AQ20" s="512" t="s">
        <v>529</v>
      </c>
    </row>
    <row r="21" spans="1:43" ht="15">
      <c r="A21" s="71">
        <f t="shared" si="5"/>
        <v>0</v>
      </c>
      <c r="B21" s="513">
        <f t="shared" si="23"/>
        <v>9</v>
      </c>
      <c r="C21" s="530" t="str">
        <f>IF(Inventory!E18="","",Inventory!E18)</f>
        <v/>
      </c>
      <c r="D21" s="531">
        <f>IF(Inventory!D18="",0,Inventory!D18)</f>
        <v>0</v>
      </c>
      <c r="E21" s="532" t="str">
        <f>IF(Inventory!I18=0,"",Inventory!I18)</f>
        <v/>
      </c>
      <c r="F21" s="533" t="str">
        <f t="shared" si="24"/>
        <v/>
      </c>
      <c r="G21" s="534" t="str">
        <f>IF(Inventory!G18="","",Inventory!G18)</f>
        <v/>
      </c>
      <c r="H21" s="535" t="str">
        <f t="shared" si="25"/>
        <v/>
      </c>
      <c r="I21" s="536" t="str">
        <f>IF(Inventory!J18="","",Inventory!J18)</f>
        <v/>
      </c>
      <c r="J21" s="537" t="str">
        <f>IFERROR(IF(PRJ_Type="New Construction",IF(Inventory!C18="N",INDEX(xyLPD_BuildingArea,MATCH(Building_Type,Lookups!$F$37:$F$75,0),4),INDEX(xyLPD_SpaceBySpace,MATCH(INDEX(xyNCEx,MATCH(I21,yNCExArea,0),2),ySpace_by_Space_Type,0),2)),VLOOKUP(E21,xyWattage_Table,11,FALSE)),"")</f>
        <v/>
      </c>
      <c r="K21" s="538" t="str">
        <f>IFERROR(IF(AND(NC_Type="Building Area Method",Inventory!C18="N"),IF(ISERROR(INDEX('Usage Groups (&gt;120 MWh only)'!$N$8:$N$12,MATCH(C21,'Usage Groups (&gt;120 MWh only)'!$B$8:$B$12,0),1))=TRUE,SqFt/COUNTIFS(Inventory!$C$10:$C$1009,"N",$Q$13:$Q$1012,"&gt;=0"),INDEX('Usage Groups (&gt;120 MWh only)'!$N$8:$N$12,MATCH(C21,'Usage Groups (&gt;120 MWh only)'!$B$8:$B$12,0),1)/COUNTIF($C$13:$C$1012,C21)),IF(AND(NC_Type="Building Area Method",Inventory!C18="Y"),INDEX(xyNCEx,MATCH(I21,yNCExArea,0),3)/COUNTIF($I$13:$I$1012,I21),VLOOKUP(J21,xyWattage_Table,10,FALSE))),"")</f>
        <v/>
      </c>
      <c r="L21" s="539" t="str">
        <f t="shared" si="26"/>
        <v/>
      </c>
      <c r="M21" s="540">
        <f>IF(Inventory!N18="","",Inventory!N18)</f>
        <v>0</v>
      </c>
      <c r="N21" s="533" t="str">
        <f t="shared" si="27"/>
        <v/>
      </c>
      <c r="O21" s="534"/>
      <c r="P21" s="533" t="str">
        <f t="shared" si="28"/>
        <v/>
      </c>
      <c r="Q21" s="534" t="str">
        <f>IF(Inventory!L18="","",Inventory!L18)</f>
        <v/>
      </c>
      <c r="R21" s="535" t="str">
        <f t="shared" si="29"/>
        <v/>
      </c>
      <c r="S21" s="536" t="str">
        <f>IF(Inventory!O18="","",Inventory!O18)</f>
        <v/>
      </c>
      <c r="T21" s="541" t="str">
        <f>IFERROR(IF(C21="","",IF(INDEX(xyWattage_Table,MATCH(M21,'Fixture Identities'!$B$9:$B$997,0),2)="Exit Sign",8760,IF(VLOOKUP(C21,xySpace_Type_Details,8,FALSE)="TRM",INDEX('General Information'!$AF$17:$AG$28,11,MATCH(N21,'General Information'!$AF$16:$AG$16,0)),HLOOKUP(VLOOKUP(C21,xySpace_Type_Details,8,FALSE),'General Information'!$P$15:$AG$28,13,FALSE)))),"")</f>
        <v/>
      </c>
      <c r="U21" s="542" t="str">
        <f>IFERROR(IF(C21="","",IF(INDEX(xyWattage_Table,MATCH(M21,'Fixture Identities'!$B$9:$B$997,0),2)="Exit Sign",1,IF(VLOOKUP(C21,xySpace_Type_Details,8,FALSE)="TRM",INDEX('General Information'!$AF$17:$AG$28,12,MATCH(N21,'General Information'!$AF$16:$AG$16,0)),HLOOKUP(VLOOKUP(C21,xySpace_Type_Details,8,FALSE),'General Information'!$P$15:$AG$28,14,FALSE)))),"")</f>
        <v/>
      </c>
      <c r="V21" s="542" t="str">
        <f>IFERROR(VLOOKUP(INDEX(xySpace_Type_Details,MATCH($C21,'General Information'!$C$40:$C$60,0),12),Lookups!$L$8:$N$12,2,FALSE),"")</f>
        <v/>
      </c>
      <c r="W21" s="542" t="str">
        <f>IFERROR(VLOOKUP(INDEX(xySpace_Type_Details,MATCH($C21,'General Information'!$C$40:$C$60,0),12),Lookups!$L$8:$N$12,3,FALSE),"")</f>
        <v/>
      </c>
      <c r="X21" s="543"/>
      <c r="Y21" s="542" t="str">
        <f>IFERROR(IF(C21="","",IF(INDEX(xyWattage_Table,MATCH(M21,'Fixture Identities'!$B$9:$B$997,0),2)="Exit Sign",0,IF(PRJ_Type="Retrofit",VLOOKUP(I21,xySVG_Factors,2,FALSE),IF(AND(PRJ_Type="New Construction",Inventory!C18="N"),VLOOKUP(VLOOKUP(Building_Type,xyLPD_BuildingArea,5,FALSE),xySVG_Factors_NC,3,FALSE),0)))),"")</f>
        <v/>
      </c>
      <c r="Z21" s="544" t="str">
        <f>IFERROR(IF(C21="","",IF(INDEX(xyWattage_Table,MATCH(M21,'Fixture Identities'!$B$9:$B$997,0),2)="Exit Sign",0,VLOOKUP(S21,xySVG_Factors,2,FALSE))),"")</f>
        <v/>
      </c>
      <c r="AA21" s="545" t="str">
        <f t="shared" si="30"/>
        <v/>
      </c>
      <c r="AB21" s="542" t="str">
        <f t="shared" si="31"/>
        <v/>
      </c>
      <c r="AC21" s="539" t="str">
        <f t="shared" si="32"/>
        <v/>
      </c>
      <c r="AD21" s="546" t="str">
        <f t="shared" si="33"/>
        <v/>
      </c>
      <c r="AE21" s="539" t="str">
        <f t="shared" si="34"/>
        <v/>
      </c>
      <c r="AF21" s="546" t="str">
        <f t="shared" si="35"/>
        <v/>
      </c>
      <c r="AG21" s="539" t="str">
        <f t="shared" si="36"/>
        <v/>
      </c>
      <c r="AH21" s="32">
        <f t="shared" si="17"/>
        <v>0</v>
      </c>
      <c r="AI21" s="32">
        <f t="shared" si="18"/>
        <v>0</v>
      </c>
      <c r="AJ21" s="32">
        <f t="shared" si="19"/>
        <v>0</v>
      </c>
      <c r="AK21" t="str">
        <f t="shared" si="20"/>
        <v/>
      </c>
      <c r="AL21" t="str">
        <f t="shared" si="21"/>
        <v/>
      </c>
      <c r="AM21" t="str">
        <f t="shared" si="22"/>
        <v/>
      </c>
      <c r="AO21" t="str">
        <f>IFERROR(VLOOKUP(M21,'Fixture Identities'!$B$9:$O$1045,14,FALSE),"")</f>
        <v/>
      </c>
      <c r="AP21" t="str">
        <f t="shared" si="4"/>
        <v/>
      </c>
      <c r="AQ21" s="512" t="s">
        <v>530</v>
      </c>
    </row>
    <row r="22" spans="1:43" ht="15">
      <c r="A22" s="71">
        <f t="shared" si="5"/>
        <v>0</v>
      </c>
      <c r="B22" s="513">
        <f t="shared" si="23"/>
        <v>10</v>
      </c>
      <c r="C22" s="530" t="str">
        <f>IF(Inventory!E19="","",Inventory!E19)</f>
        <v/>
      </c>
      <c r="D22" s="531">
        <f>IF(Inventory!D19="",0,Inventory!D19)</f>
        <v>0</v>
      </c>
      <c r="E22" s="532" t="str">
        <f>IF(Inventory!I19=0,"",Inventory!I19)</f>
        <v/>
      </c>
      <c r="F22" s="533" t="str">
        <f t="shared" si="24"/>
        <v/>
      </c>
      <c r="G22" s="534" t="str">
        <f>IF(Inventory!G19="","",Inventory!G19)</f>
        <v/>
      </c>
      <c r="H22" s="535" t="str">
        <f t="shared" si="25"/>
        <v/>
      </c>
      <c r="I22" s="536" t="str">
        <f>IF(Inventory!J19="","",Inventory!J19)</f>
        <v/>
      </c>
      <c r="J22" s="537" t="str">
        <f>IFERROR(IF(PRJ_Type="New Construction",IF(Inventory!C19="N",INDEX(xyLPD_BuildingArea,MATCH(Building_Type,Lookups!$F$37:$F$75,0),4),INDEX(xyLPD_SpaceBySpace,MATCH(INDEX(xyNCEx,MATCH(I22,yNCExArea,0),2),ySpace_by_Space_Type,0),2)),VLOOKUP(E22,xyWattage_Table,11,FALSE)),"")</f>
        <v/>
      </c>
      <c r="K22" s="538" t="str">
        <f>IFERROR(IF(AND(NC_Type="Building Area Method",Inventory!C19="N"),IF(ISERROR(INDEX('Usage Groups (&gt;120 MWh only)'!$N$8:$N$12,MATCH(C22,'Usage Groups (&gt;120 MWh only)'!$B$8:$B$12,0),1))=TRUE,SqFt/COUNTIFS(Inventory!$C$10:$C$1009,"N",$Q$13:$Q$1012,"&gt;=0"),INDEX('Usage Groups (&gt;120 MWh only)'!$N$8:$N$12,MATCH(C22,'Usage Groups (&gt;120 MWh only)'!$B$8:$B$12,0),1)/COUNTIF($C$13:$C$1012,C22)),IF(AND(NC_Type="Building Area Method",Inventory!C19="Y"),INDEX(xyNCEx,MATCH(I22,yNCExArea,0),3)/COUNTIF($I$13:$I$1012,I22),VLOOKUP(J22,xyWattage_Table,10,FALSE))),"")</f>
        <v/>
      </c>
      <c r="L22" s="539" t="str">
        <f t="shared" si="26"/>
        <v/>
      </c>
      <c r="M22" s="540">
        <f>IF(Inventory!N19="","",Inventory!N19)</f>
        <v>0</v>
      </c>
      <c r="N22" s="533" t="str">
        <f t="shared" si="27"/>
        <v/>
      </c>
      <c r="O22" s="534"/>
      <c r="P22" s="533" t="str">
        <f t="shared" si="28"/>
        <v/>
      </c>
      <c r="Q22" s="534" t="str">
        <f>IF(Inventory!L19="","",Inventory!L19)</f>
        <v/>
      </c>
      <c r="R22" s="535" t="str">
        <f t="shared" si="29"/>
        <v/>
      </c>
      <c r="S22" s="536" t="str">
        <f>IF(Inventory!O19="","",Inventory!O19)</f>
        <v/>
      </c>
      <c r="T22" s="541" t="str">
        <f>IFERROR(IF(C22="","",IF(INDEX(xyWattage_Table,MATCH(M22,'Fixture Identities'!$B$9:$B$997,0),2)="Exit Sign",8760,IF(VLOOKUP(C22,xySpace_Type_Details,8,FALSE)="TRM",INDEX('General Information'!$AF$17:$AG$28,11,MATCH(N22,'General Information'!$AF$16:$AG$16,0)),HLOOKUP(VLOOKUP(C22,xySpace_Type_Details,8,FALSE),'General Information'!$P$15:$AG$28,13,FALSE)))),"")</f>
        <v/>
      </c>
      <c r="U22" s="542" t="str">
        <f>IFERROR(IF(C22="","",IF(INDEX(xyWattage_Table,MATCH(M22,'Fixture Identities'!$B$9:$B$997,0),2)="Exit Sign",1,IF(VLOOKUP(C22,xySpace_Type_Details,8,FALSE)="TRM",INDEX('General Information'!$AF$17:$AG$28,12,MATCH(N22,'General Information'!$AF$16:$AG$16,0)),HLOOKUP(VLOOKUP(C22,xySpace_Type_Details,8,FALSE),'General Information'!$P$15:$AG$28,14,FALSE)))),"")</f>
        <v/>
      </c>
      <c r="V22" s="542" t="str">
        <f>IFERROR(VLOOKUP(INDEX(xySpace_Type_Details,MATCH($C22,'General Information'!$C$40:$C$60,0),12),Lookups!$L$8:$N$12,2,FALSE),"")</f>
        <v/>
      </c>
      <c r="W22" s="542" t="str">
        <f>IFERROR(VLOOKUP(INDEX(xySpace_Type_Details,MATCH($C22,'General Information'!$C$40:$C$60,0),12),Lookups!$L$8:$N$12,3,FALSE),"")</f>
        <v/>
      </c>
      <c r="X22" s="543"/>
      <c r="Y22" s="542" t="str">
        <f>IFERROR(IF(C22="","",IF(INDEX(xyWattage_Table,MATCH(M22,'Fixture Identities'!$B$9:$B$997,0),2)="Exit Sign",0,IF(PRJ_Type="Retrofit",VLOOKUP(I22,xySVG_Factors,2,FALSE),IF(AND(PRJ_Type="New Construction",Inventory!C19="N"),VLOOKUP(VLOOKUP(Building_Type,xyLPD_BuildingArea,5,FALSE),xySVG_Factors_NC,3,FALSE),0)))),"")</f>
        <v/>
      </c>
      <c r="Z22" s="544" t="str">
        <f>IFERROR(IF(C22="","",IF(INDEX(xyWattage_Table,MATCH(M22,'Fixture Identities'!$B$9:$B$997,0),2)="Exit Sign",0,VLOOKUP(S22,xySVG_Factors,2,FALSE))),"")</f>
        <v/>
      </c>
      <c r="AA22" s="545" t="str">
        <f t="shared" si="30"/>
        <v/>
      </c>
      <c r="AB22" s="542" t="str">
        <f t="shared" si="31"/>
        <v/>
      </c>
      <c r="AC22" s="539" t="str">
        <f t="shared" si="32"/>
        <v/>
      </c>
      <c r="AD22" s="546" t="str">
        <f t="shared" si="33"/>
        <v/>
      </c>
      <c r="AE22" s="539" t="str">
        <f t="shared" si="34"/>
        <v/>
      </c>
      <c r="AF22" s="546" t="str">
        <f t="shared" si="35"/>
        <v/>
      </c>
      <c r="AG22" s="539" t="str">
        <f t="shared" si="36"/>
        <v/>
      </c>
      <c r="AH22" s="32">
        <f t="shared" si="17"/>
        <v>0</v>
      </c>
      <c r="AI22" s="32">
        <f t="shared" si="18"/>
        <v>0</v>
      </c>
      <c r="AJ22" s="32">
        <f t="shared" si="19"/>
        <v>0</v>
      </c>
      <c r="AK22" t="str">
        <f t="shared" si="20"/>
        <v/>
      </c>
      <c r="AL22" t="str">
        <f t="shared" si="21"/>
        <v/>
      </c>
      <c r="AM22" t="str">
        <f t="shared" si="22"/>
        <v/>
      </c>
      <c r="AO22" t="str">
        <f>IFERROR(VLOOKUP(M22,'Fixture Identities'!$B$9:$O$1045,14,FALSE),"")</f>
        <v/>
      </c>
      <c r="AP22" t="str">
        <f t="shared" si="4"/>
        <v/>
      </c>
      <c r="AQ22" s="512" t="s">
        <v>531</v>
      </c>
    </row>
    <row r="23" spans="1:43" ht="15">
      <c r="A23" s="71">
        <f t="shared" si="5"/>
        <v>0</v>
      </c>
      <c r="B23" s="513">
        <f t="shared" si="23"/>
        <v>11</v>
      </c>
      <c r="C23" s="530" t="str">
        <f>IF(Inventory!E20="","",Inventory!E20)</f>
        <v/>
      </c>
      <c r="D23" s="531">
        <f>IF(Inventory!D20="",0,Inventory!D20)</f>
        <v>0</v>
      </c>
      <c r="E23" s="532" t="str">
        <f>IF(Inventory!I20=0,"",Inventory!I20)</f>
        <v/>
      </c>
      <c r="F23" s="533" t="str">
        <f t="shared" si="24"/>
        <v/>
      </c>
      <c r="G23" s="534" t="str">
        <f>IF(Inventory!G20="","",Inventory!G20)</f>
        <v/>
      </c>
      <c r="H23" s="535" t="str">
        <f t="shared" si="25"/>
        <v/>
      </c>
      <c r="I23" s="536" t="str">
        <f>IF(Inventory!J20="","",Inventory!J20)</f>
        <v/>
      </c>
      <c r="J23" s="537" t="str">
        <f>IFERROR(IF(PRJ_Type="New Construction",IF(Inventory!C20="N",INDEX(xyLPD_BuildingArea,MATCH(Building_Type,Lookups!$F$37:$F$75,0),4),INDEX(xyLPD_SpaceBySpace,MATCH(INDEX(xyNCEx,MATCH(I23,yNCExArea,0),2),ySpace_by_Space_Type,0),2)),VLOOKUP(E23,xyWattage_Table,11,FALSE)),"")</f>
        <v/>
      </c>
      <c r="K23" s="538" t="str">
        <f>IFERROR(IF(AND(NC_Type="Building Area Method",Inventory!C20="N"),IF(ISERROR(INDEX('Usage Groups (&gt;120 MWh only)'!$N$8:$N$12,MATCH(C23,'Usage Groups (&gt;120 MWh only)'!$B$8:$B$12,0),1))=TRUE,SqFt/COUNTIFS(Inventory!$C$10:$C$1009,"N",$Q$13:$Q$1012,"&gt;=0"),INDEX('Usage Groups (&gt;120 MWh only)'!$N$8:$N$12,MATCH(C23,'Usage Groups (&gt;120 MWh only)'!$B$8:$B$12,0),1)/COUNTIF($C$13:$C$1012,C23)),IF(AND(NC_Type="Building Area Method",Inventory!C20="Y"),INDEX(xyNCEx,MATCH(I23,yNCExArea,0),3)/COUNTIF($I$13:$I$1012,I23),VLOOKUP(J23,xyWattage_Table,10,FALSE))),"")</f>
        <v/>
      </c>
      <c r="L23" s="539" t="str">
        <f t="shared" si="26"/>
        <v/>
      </c>
      <c r="M23" s="540">
        <f>IF(Inventory!N20="","",Inventory!N20)</f>
        <v>0</v>
      </c>
      <c r="N23" s="533" t="str">
        <f t="shared" si="27"/>
        <v/>
      </c>
      <c r="O23" s="534"/>
      <c r="P23" s="533" t="str">
        <f t="shared" si="28"/>
        <v/>
      </c>
      <c r="Q23" s="534" t="str">
        <f>IF(Inventory!L20="","",Inventory!L20)</f>
        <v/>
      </c>
      <c r="R23" s="535" t="str">
        <f t="shared" si="29"/>
        <v/>
      </c>
      <c r="S23" s="536" t="str">
        <f>IF(Inventory!O20="","",Inventory!O20)</f>
        <v/>
      </c>
      <c r="T23" s="541" t="str">
        <f>IFERROR(IF(C23="","",IF(INDEX(xyWattage_Table,MATCH(M23,'Fixture Identities'!$B$9:$B$997,0),2)="Exit Sign",8760,IF(VLOOKUP(C23,xySpace_Type_Details,8,FALSE)="TRM",INDEX('General Information'!$AF$17:$AG$28,11,MATCH(N23,'General Information'!$AF$16:$AG$16,0)),HLOOKUP(VLOOKUP(C23,xySpace_Type_Details,8,FALSE),'General Information'!$P$15:$AG$28,13,FALSE)))),"")</f>
        <v/>
      </c>
      <c r="U23" s="542" t="str">
        <f>IFERROR(IF(C23="","",IF(INDEX(xyWattage_Table,MATCH(M23,'Fixture Identities'!$B$9:$B$997,0),2)="Exit Sign",1,IF(VLOOKUP(C23,xySpace_Type_Details,8,FALSE)="TRM",INDEX('General Information'!$AF$17:$AG$28,12,MATCH(N23,'General Information'!$AF$16:$AG$16,0)),HLOOKUP(VLOOKUP(C23,xySpace_Type_Details,8,FALSE),'General Information'!$P$15:$AG$28,14,FALSE)))),"")</f>
        <v/>
      </c>
      <c r="V23" s="542" t="str">
        <f>IFERROR(VLOOKUP(INDEX(xySpace_Type_Details,MATCH($C23,'General Information'!$C$40:$C$60,0),12),Lookups!$L$8:$N$12,2,FALSE),"")</f>
        <v/>
      </c>
      <c r="W23" s="542" t="str">
        <f>IFERROR(VLOOKUP(INDEX(xySpace_Type_Details,MATCH($C23,'General Information'!$C$40:$C$60,0),12),Lookups!$L$8:$N$12,3,FALSE),"")</f>
        <v/>
      </c>
      <c r="X23" s="543"/>
      <c r="Y23" s="542" t="str">
        <f>IFERROR(IF(C23="","",IF(INDEX(xyWattage_Table,MATCH(M23,'Fixture Identities'!$B$9:$B$997,0),2)="Exit Sign",0,IF(PRJ_Type="Retrofit",VLOOKUP(I23,xySVG_Factors,2,FALSE),IF(AND(PRJ_Type="New Construction",Inventory!C20="N"),VLOOKUP(VLOOKUP(Building_Type,xyLPD_BuildingArea,5,FALSE),xySVG_Factors_NC,3,FALSE),0)))),"")</f>
        <v/>
      </c>
      <c r="Z23" s="544" t="str">
        <f>IFERROR(IF(C23="","",IF(INDEX(xyWattage_Table,MATCH(M23,'Fixture Identities'!$B$9:$B$997,0),2)="Exit Sign",0,VLOOKUP(S23,xySVG_Factors,2,FALSE))),"")</f>
        <v/>
      </c>
      <c r="AA23" s="545" t="str">
        <f t="shared" si="30"/>
        <v/>
      </c>
      <c r="AB23" s="542" t="str">
        <f t="shared" si="31"/>
        <v/>
      </c>
      <c r="AC23" s="539" t="str">
        <f t="shared" si="32"/>
        <v/>
      </c>
      <c r="AD23" s="546" t="str">
        <f t="shared" si="33"/>
        <v/>
      </c>
      <c r="AE23" s="539" t="str">
        <f t="shared" si="34"/>
        <v/>
      </c>
      <c r="AF23" s="546" t="str">
        <f t="shared" si="35"/>
        <v/>
      </c>
      <c r="AG23" s="539" t="str">
        <f t="shared" si="36"/>
        <v/>
      </c>
      <c r="AH23" s="32">
        <f t="shared" si="17"/>
        <v>0</v>
      </c>
      <c r="AI23" s="32">
        <f t="shared" si="18"/>
        <v>0</v>
      </c>
      <c r="AJ23" s="32">
        <f t="shared" si="19"/>
        <v>0</v>
      </c>
      <c r="AK23" t="str">
        <f t="shared" si="20"/>
        <v/>
      </c>
      <c r="AL23" t="str">
        <f t="shared" si="21"/>
        <v/>
      </c>
      <c r="AM23" t="str">
        <f t="shared" si="22"/>
        <v/>
      </c>
      <c r="AO23" t="str">
        <f>IFERROR(VLOOKUP(M23,'Fixture Identities'!$B$9:$O$1045,14,FALSE),"")</f>
        <v/>
      </c>
      <c r="AP23" t="str">
        <f t="shared" si="4"/>
        <v/>
      </c>
      <c r="AQ23" s="512" t="s">
        <v>532</v>
      </c>
    </row>
    <row r="24" spans="1:43" ht="15">
      <c r="A24" s="71">
        <f t="shared" si="5"/>
        <v>0</v>
      </c>
      <c r="B24" s="513">
        <f t="shared" si="23"/>
        <v>12</v>
      </c>
      <c r="C24" s="530" t="str">
        <f>IF(Inventory!E21="","",Inventory!E21)</f>
        <v/>
      </c>
      <c r="D24" s="531">
        <f>IF(Inventory!D21="",0,Inventory!D21)</f>
        <v>0</v>
      </c>
      <c r="E24" s="532" t="str">
        <f>IF(Inventory!I21=0,"",Inventory!I21)</f>
        <v/>
      </c>
      <c r="F24" s="533" t="str">
        <f t="shared" si="24"/>
        <v/>
      </c>
      <c r="G24" s="534" t="str">
        <f>IF(Inventory!G21="","",Inventory!G21)</f>
        <v/>
      </c>
      <c r="H24" s="535" t="str">
        <f t="shared" si="25"/>
        <v/>
      </c>
      <c r="I24" s="536" t="str">
        <f>IF(Inventory!J21="","",Inventory!J21)</f>
        <v/>
      </c>
      <c r="J24" s="537" t="str">
        <f>IFERROR(IF(PRJ_Type="New Construction",IF(Inventory!C21="N",INDEX(xyLPD_BuildingArea,MATCH(Building_Type,Lookups!$F$37:$F$75,0),4),INDEX(xyLPD_SpaceBySpace,MATCH(INDEX(xyNCEx,MATCH(I24,yNCExArea,0),2),ySpace_by_Space_Type,0),2)),VLOOKUP(E24,xyWattage_Table,11,FALSE)),"")</f>
        <v/>
      </c>
      <c r="K24" s="538" t="str">
        <f>IFERROR(IF(AND(NC_Type="Building Area Method",Inventory!C21="N"),IF(ISERROR(INDEX('Usage Groups (&gt;120 MWh only)'!$N$8:$N$12,MATCH(C24,'Usage Groups (&gt;120 MWh only)'!$B$8:$B$12,0),1))=TRUE,SqFt/COUNTIFS(Inventory!$C$10:$C$1009,"N",$Q$13:$Q$1012,"&gt;=0"),INDEX('Usage Groups (&gt;120 MWh only)'!$N$8:$N$12,MATCH(C24,'Usage Groups (&gt;120 MWh only)'!$B$8:$B$12,0),1)/COUNTIF($C$13:$C$1012,C24)),IF(AND(NC_Type="Building Area Method",Inventory!C21="Y"),INDEX(xyNCEx,MATCH(I24,yNCExArea,0),3)/COUNTIF($I$13:$I$1012,I24),VLOOKUP(J24,xyWattage_Table,10,FALSE))),"")</f>
        <v/>
      </c>
      <c r="L24" s="539" t="str">
        <f t="shared" si="26"/>
        <v/>
      </c>
      <c r="M24" s="540">
        <f>IF(Inventory!N21="","",Inventory!N21)</f>
        <v>0</v>
      </c>
      <c r="N24" s="533" t="str">
        <f t="shared" si="27"/>
        <v/>
      </c>
      <c r="O24" s="534"/>
      <c r="P24" s="533" t="str">
        <f t="shared" si="28"/>
        <v/>
      </c>
      <c r="Q24" s="534" t="str">
        <f>IF(Inventory!L21="","",Inventory!L21)</f>
        <v/>
      </c>
      <c r="R24" s="535" t="str">
        <f t="shared" si="29"/>
        <v/>
      </c>
      <c r="S24" s="536" t="str">
        <f>IF(Inventory!O21="","",Inventory!O21)</f>
        <v/>
      </c>
      <c r="T24" s="541" t="str">
        <f>IFERROR(IF(C24="","",IF(INDEX(xyWattage_Table,MATCH(M24,'Fixture Identities'!$B$9:$B$997,0),2)="Exit Sign",8760,IF(VLOOKUP(C24,xySpace_Type_Details,8,FALSE)="TRM",INDEX('General Information'!$AF$17:$AG$28,11,MATCH(N24,'General Information'!$AF$16:$AG$16,0)),HLOOKUP(VLOOKUP(C24,xySpace_Type_Details,8,FALSE),'General Information'!$P$15:$AG$28,13,FALSE)))),"")</f>
        <v/>
      </c>
      <c r="U24" s="542" t="str">
        <f>IFERROR(IF(C24="","",IF(INDEX(xyWattage_Table,MATCH(M24,'Fixture Identities'!$B$9:$B$997,0),2)="Exit Sign",1,IF(VLOOKUP(C24,xySpace_Type_Details,8,FALSE)="TRM",INDEX('General Information'!$AF$17:$AG$28,12,MATCH(N24,'General Information'!$AF$16:$AG$16,0)),HLOOKUP(VLOOKUP(C24,xySpace_Type_Details,8,FALSE),'General Information'!$P$15:$AG$28,14,FALSE)))),"")</f>
        <v/>
      </c>
      <c r="V24" s="542" t="str">
        <f>IFERROR(VLOOKUP(INDEX(xySpace_Type_Details,MATCH($C24,'General Information'!$C$40:$C$60,0),12),Lookups!$L$8:$N$12,2,FALSE),"")</f>
        <v/>
      </c>
      <c r="W24" s="542" t="str">
        <f>IFERROR(VLOOKUP(INDEX(xySpace_Type_Details,MATCH($C24,'General Information'!$C$40:$C$60,0),12),Lookups!$L$8:$N$12,3,FALSE),"")</f>
        <v/>
      </c>
      <c r="X24" s="543"/>
      <c r="Y24" s="542" t="str">
        <f>IFERROR(IF(C24="","",IF(INDEX(xyWattage_Table,MATCH(M24,'Fixture Identities'!$B$9:$B$997,0),2)="Exit Sign",0,IF(PRJ_Type="Retrofit",VLOOKUP(I24,xySVG_Factors,2,FALSE),IF(AND(PRJ_Type="New Construction",Inventory!C21="N"),VLOOKUP(VLOOKUP(Building_Type,xyLPD_BuildingArea,5,FALSE),xySVG_Factors_NC,3,FALSE),0)))),"")</f>
        <v/>
      </c>
      <c r="Z24" s="544" t="str">
        <f>IFERROR(IF(C24="","",IF(INDEX(xyWattage_Table,MATCH(M24,'Fixture Identities'!$B$9:$B$997,0),2)="Exit Sign",0,VLOOKUP(S24,xySVG_Factors,2,FALSE))),"")</f>
        <v/>
      </c>
      <c r="AA24" s="545" t="str">
        <f t="shared" si="30"/>
        <v/>
      </c>
      <c r="AB24" s="542" t="str">
        <f t="shared" si="31"/>
        <v/>
      </c>
      <c r="AC24" s="539" t="str">
        <f t="shared" si="32"/>
        <v/>
      </c>
      <c r="AD24" s="546" t="str">
        <f t="shared" si="33"/>
        <v/>
      </c>
      <c r="AE24" s="539" t="str">
        <f t="shared" si="34"/>
        <v/>
      </c>
      <c r="AF24" s="546" t="str">
        <f t="shared" si="35"/>
        <v/>
      </c>
      <c r="AG24" s="539" t="str">
        <f t="shared" si="36"/>
        <v/>
      </c>
      <c r="AH24" s="32">
        <f t="shared" si="17"/>
        <v>0</v>
      </c>
      <c r="AI24" s="32">
        <f t="shared" si="18"/>
        <v>0</v>
      </c>
      <c r="AJ24" s="32">
        <f t="shared" si="19"/>
        <v>0</v>
      </c>
      <c r="AK24" t="str">
        <f t="shared" si="20"/>
        <v/>
      </c>
      <c r="AL24" t="str">
        <f t="shared" si="21"/>
        <v/>
      </c>
      <c r="AM24" t="str">
        <f t="shared" si="22"/>
        <v/>
      </c>
      <c r="AO24" t="str">
        <f>IFERROR(VLOOKUP(M24,'Fixture Identities'!$B$9:$O$1045,14,FALSE),"")</f>
        <v/>
      </c>
      <c r="AP24" t="str">
        <f t="shared" si="4"/>
        <v/>
      </c>
      <c r="AQ24" s="512" t="s">
        <v>533</v>
      </c>
    </row>
    <row r="25" spans="1:43" ht="15">
      <c r="A25" s="71">
        <f t="shared" si="5"/>
        <v>0</v>
      </c>
      <c r="B25" s="513">
        <f t="shared" si="23"/>
        <v>13</v>
      </c>
      <c r="C25" s="530" t="str">
        <f>IF(Inventory!E22="","",Inventory!E22)</f>
        <v/>
      </c>
      <c r="D25" s="531">
        <f>IF(Inventory!D22="",0,Inventory!D22)</f>
        <v>0</v>
      </c>
      <c r="E25" s="532" t="str">
        <f>IF(Inventory!I22=0,"",Inventory!I22)</f>
        <v/>
      </c>
      <c r="F25" s="533" t="str">
        <f t="shared" si="24"/>
        <v/>
      </c>
      <c r="G25" s="534" t="str">
        <f>IF(Inventory!G22="","",Inventory!G22)</f>
        <v/>
      </c>
      <c r="H25" s="535" t="str">
        <f t="shared" si="25"/>
        <v/>
      </c>
      <c r="I25" s="536" t="str">
        <f>IF(Inventory!J22="","",Inventory!J22)</f>
        <v/>
      </c>
      <c r="J25" s="537" t="str">
        <f>IFERROR(IF(PRJ_Type="New Construction",IF(Inventory!C22="N",INDEX(xyLPD_BuildingArea,MATCH(Building_Type,Lookups!$F$37:$F$75,0),4),INDEX(xyLPD_SpaceBySpace,MATCH(INDEX(xyNCEx,MATCH(I25,yNCExArea,0),2),ySpace_by_Space_Type,0),2)),VLOOKUP(E25,xyWattage_Table,11,FALSE)),"")</f>
        <v/>
      </c>
      <c r="K25" s="538" t="str">
        <f>IFERROR(IF(AND(NC_Type="Building Area Method",Inventory!C22="N"),IF(ISERROR(INDEX('Usage Groups (&gt;120 MWh only)'!$N$8:$N$12,MATCH(C25,'Usage Groups (&gt;120 MWh only)'!$B$8:$B$12,0),1))=TRUE,SqFt/COUNTIFS(Inventory!$C$10:$C$1009,"N",$Q$13:$Q$1012,"&gt;=0"),INDEX('Usage Groups (&gt;120 MWh only)'!$N$8:$N$12,MATCH(C25,'Usage Groups (&gt;120 MWh only)'!$B$8:$B$12,0),1)/COUNTIF($C$13:$C$1012,C25)),IF(AND(NC_Type="Building Area Method",Inventory!C22="Y"),INDEX(xyNCEx,MATCH(I25,yNCExArea,0),3)/COUNTIF($I$13:$I$1012,I25),VLOOKUP(J25,xyWattage_Table,10,FALSE))),"")</f>
        <v/>
      </c>
      <c r="L25" s="539" t="str">
        <f t="shared" si="26"/>
        <v/>
      </c>
      <c r="M25" s="540">
        <f>IF(Inventory!N22="","",Inventory!N22)</f>
        <v>0</v>
      </c>
      <c r="N25" s="533" t="str">
        <f t="shared" si="27"/>
        <v/>
      </c>
      <c r="O25" s="534"/>
      <c r="P25" s="533" t="str">
        <f t="shared" si="28"/>
        <v/>
      </c>
      <c r="Q25" s="534" t="str">
        <f>IF(Inventory!L22="","",Inventory!L22)</f>
        <v/>
      </c>
      <c r="R25" s="535" t="str">
        <f t="shared" si="29"/>
        <v/>
      </c>
      <c r="S25" s="536" t="str">
        <f>IF(Inventory!O22="","",Inventory!O22)</f>
        <v/>
      </c>
      <c r="T25" s="541" t="str">
        <f>IFERROR(IF(C25="","",IF(INDEX(xyWattage_Table,MATCH(M25,'Fixture Identities'!$B$9:$B$997,0),2)="Exit Sign",8760,IF(VLOOKUP(C25,xySpace_Type_Details,8,FALSE)="TRM",INDEX('General Information'!$AF$17:$AG$28,11,MATCH(N25,'General Information'!$AF$16:$AG$16,0)),HLOOKUP(VLOOKUP(C25,xySpace_Type_Details,8,FALSE),'General Information'!$P$15:$AG$28,13,FALSE)))),"")</f>
        <v/>
      </c>
      <c r="U25" s="542" t="str">
        <f>IFERROR(IF(C25="","",IF(INDEX(xyWattage_Table,MATCH(M25,'Fixture Identities'!$B$9:$B$997,0),2)="Exit Sign",1,IF(VLOOKUP(C25,xySpace_Type_Details,8,FALSE)="TRM",INDEX('General Information'!$AF$17:$AG$28,12,MATCH(N25,'General Information'!$AF$16:$AG$16,0)),HLOOKUP(VLOOKUP(C25,xySpace_Type_Details,8,FALSE),'General Information'!$P$15:$AG$28,14,FALSE)))),"")</f>
        <v/>
      </c>
      <c r="V25" s="542" t="str">
        <f>IFERROR(VLOOKUP(INDEX(xySpace_Type_Details,MATCH($C25,'General Information'!$C$40:$C$60,0),12),Lookups!$L$8:$N$12,2,FALSE),"")</f>
        <v/>
      </c>
      <c r="W25" s="542" t="str">
        <f>IFERROR(VLOOKUP(INDEX(xySpace_Type_Details,MATCH($C25,'General Information'!$C$40:$C$60,0),12),Lookups!$L$8:$N$12,3,FALSE),"")</f>
        <v/>
      </c>
      <c r="X25" s="543"/>
      <c r="Y25" s="542" t="str">
        <f>IFERROR(IF(C25="","",IF(INDEX(xyWattage_Table,MATCH(M25,'Fixture Identities'!$B$9:$B$997,0),2)="Exit Sign",0,IF(PRJ_Type="Retrofit",VLOOKUP(I25,xySVG_Factors,2,FALSE),IF(AND(PRJ_Type="New Construction",Inventory!C22="N"),VLOOKUP(VLOOKUP(Building_Type,xyLPD_BuildingArea,5,FALSE),xySVG_Factors_NC,3,FALSE),0)))),"")</f>
        <v/>
      </c>
      <c r="Z25" s="544" t="str">
        <f>IFERROR(IF(C25="","",IF(INDEX(xyWattage_Table,MATCH(M25,'Fixture Identities'!$B$9:$B$997,0),2)="Exit Sign",0,VLOOKUP(S25,xySVG_Factors,2,FALSE))),"")</f>
        <v/>
      </c>
      <c r="AA25" s="545" t="str">
        <f t="shared" si="30"/>
        <v/>
      </c>
      <c r="AB25" s="542" t="str">
        <f t="shared" si="31"/>
        <v/>
      </c>
      <c r="AC25" s="539" t="str">
        <f t="shared" si="32"/>
        <v/>
      </c>
      <c r="AD25" s="546" t="str">
        <f t="shared" si="33"/>
        <v/>
      </c>
      <c r="AE25" s="539" t="str">
        <f t="shared" si="34"/>
        <v/>
      </c>
      <c r="AF25" s="546" t="str">
        <f t="shared" si="35"/>
        <v/>
      </c>
      <c r="AG25" s="539" t="str">
        <f t="shared" si="36"/>
        <v/>
      </c>
      <c r="AH25" s="32">
        <f t="shared" si="17"/>
        <v>0</v>
      </c>
      <c r="AI25" s="32">
        <f t="shared" si="18"/>
        <v>0</v>
      </c>
      <c r="AJ25" s="32">
        <f t="shared" si="19"/>
        <v>0</v>
      </c>
      <c r="AK25" t="str">
        <f t="shared" si="20"/>
        <v/>
      </c>
      <c r="AL25" t="str">
        <f t="shared" si="21"/>
        <v/>
      </c>
      <c r="AM25" t="str">
        <f t="shared" si="22"/>
        <v/>
      </c>
      <c r="AO25" t="str">
        <f>IFERROR(VLOOKUP(M25,'Fixture Identities'!$B$9:$O$1045,14,FALSE),"")</f>
        <v/>
      </c>
      <c r="AP25" t="str">
        <f t="shared" si="4"/>
        <v/>
      </c>
      <c r="AQ25" s="547" t="s">
        <v>534</v>
      </c>
    </row>
    <row r="26" spans="1:43" ht="15">
      <c r="A26" s="71">
        <f t="shared" si="5"/>
        <v>0</v>
      </c>
      <c r="B26" s="513">
        <f t="shared" si="23"/>
        <v>14</v>
      </c>
      <c r="C26" s="530" t="str">
        <f>IF(Inventory!E23="","",Inventory!E23)</f>
        <v/>
      </c>
      <c r="D26" s="531">
        <f>IF(Inventory!D23="",0,Inventory!D23)</f>
        <v>0</v>
      </c>
      <c r="E26" s="532" t="str">
        <f>IF(Inventory!I23=0,"",Inventory!I23)</f>
        <v/>
      </c>
      <c r="F26" s="533" t="str">
        <f t="shared" si="24"/>
        <v/>
      </c>
      <c r="G26" s="534" t="str">
        <f>IF(Inventory!G23="","",Inventory!G23)</f>
        <v/>
      </c>
      <c r="H26" s="535" t="str">
        <f t="shared" si="25"/>
        <v/>
      </c>
      <c r="I26" s="536" t="str">
        <f>IF(Inventory!J23="","",Inventory!J23)</f>
        <v/>
      </c>
      <c r="J26" s="537" t="str">
        <f>IFERROR(IF(PRJ_Type="New Construction",IF(Inventory!C23="N",INDEX(xyLPD_BuildingArea,MATCH(Building_Type,Lookups!$F$37:$F$75,0),4),INDEX(xyLPD_SpaceBySpace,MATCH(INDEX(xyNCEx,MATCH(I26,yNCExArea,0),2),ySpace_by_Space_Type,0),2)),VLOOKUP(E26,xyWattage_Table,11,FALSE)),"")</f>
        <v/>
      </c>
      <c r="K26" s="538" t="str">
        <f>IFERROR(IF(AND(NC_Type="Building Area Method",Inventory!C23="N"),IF(ISERROR(INDEX('Usage Groups (&gt;120 MWh only)'!$N$8:$N$12,MATCH(C26,'Usage Groups (&gt;120 MWh only)'!$B$8:$B$12,0),1))=TRUE,SqFt/COUNTIFS(Inventory!$C$10:$C$1009,"N",$Q$13:$Q$1012,"&gt;=0"),INDEX('Usage Groups (&gt;120 MWh only)'!$N$8:$N$12,MATCH(C26,'Usage Groups (&gt;120 MWh only)'!$B$8:$B$12,0),1)/COUNTIF($C$13:$C$1012,C26)),IF(AND(NC_Type="Building Area Method",Inventory!C23="Y"),INDEX(xyNCEx,MATCH(I26,yNCExArea,0),3)/COUNTIF($I$13:$I$1012,I26),VLOOKUP(J26,xyWattage_Table,10,FALSE))),"")</f>
        <v/>
      </c>
      <c r="L26" s="539" t="str">
        <f t="shared" si="26"/>
        <v/>
      </c>
      <c r="M26" s="540">
        <f>IF(Inventory!N23="","",Inventory!N23)</f>
        <v>0</v>
      </c>
      <c r="N26" s="533" t="str">
        <f t="shared" si="27"/>
        <v/>
      </c>
      <c r="O26" s="534"/>
      <c r="P26" s="533" t="str">
        <f t="shared" si="28"/>
        <v/>
      </c>
      <c r="Q26" s="534" t="str">
        <f>IF(Inventory!L23="","",Inventory!L23)</f>
        <v/>
      </c>
      <c r="R26" s="535" t="str">
        <f t="shared" si="29"/>
        <v/>
      </c>
      <c r="S26" s="536" t="str">
        <f>IF(Inventory!O23="","",Inventory!O23)</f>
        <v/>
      </c>
      <c r="T26" s="541" t="str">
        <f>IFERROR(IF(C26="","",IF(INDEX(xyWattage_Table,MATCH(M26,'Fixture Identities'!$B$9:$B$997,0),2)="Exit Sign",8760,IF(VLOOKUP(C26,xySpace_Type_Details,8,FALSE)="TRM",INDEX('General Information'!$AF$17:$AG$28,11,MATCH(N26,'General Information'!$AF$16:$AG$16,0)),HLOOKUP(VLOOKUP(C26,xySpace_Type_Details,8,FALSE),'General Information'!$P$15:$AG$28,13,FALSE)))),"")</f>
        <v/>
      </c>
      <c r="U26" s="542" t="str">
        <f>IFERROR(IF(C26="","",IF(INDEX(xyWattage_Table,MATCH(M26,'Fixture Identities'!$B$9:$B$997,0),2)="Exit Sign",1,IF(VLOOKUP(C26,xySpace_Type_Details,8,FALSE)="TRM",INDEX('General Information'!$AF$17:$AG$28,12,MATCH(N26,'General Information'!$AF$16:$AG$16,0)),HLOOKUP(VLOOKUP(C26,xySpace_Type_Details,8,FALSE),'General Information'!$P$15:$AG$28,14,FALSE)))),"")</f>
        <v/>
      </c>
      <c r="V26" s="542" t="str">
        <f>IFERROR(VLOOKUP(INDEX(xySpace_Type_Details,MATCH($C26,'General Information'!$C$40:$C$60,0),12),Lookups!$L$8:$N$12,2,FALSE),"")</f>
        <v/>
      </c>
      <c r="W26" s="542" t="str">
        <f>IFERROR(VLOOKUP(INDEX(xySpace_Type_Details,MATCH($C26,'General Information'!$C$40:$C$60,0),12),Lookups!$L$8:$N$12,3,FALSE),"")</f>
        <v/>
      </c>
      <c r="X26" s="543"/>
      <c r="Y26" s="542" t="str">
        <f>IFERROR(IF(C26="","",IF(INDEX(xyWattage_Table,MATCH(M26,'Fixture Identities'!$B$9:$B$997,0),2)="Exit Sign",0,IF(PRJ_Type="Retrofit",VLOOKUP(I26,xySVG_Factors,2,FALSE),IF(AND(PRJ_Type="New Construction",Inventory!C23="N"),VLOOKUP(VLOOKUP(Building_Type,xyLPD_BuildingArea,5,FALSE),xySVG_Factors_NC,3,FALSE),0)))),"")</f>
        <v/>
      </c>
      <c r="Z26" s="544" t="str">
        <f>IFERROR(IF(C26="","",IF(INDEX(xyWattage_Table,MATCH(M26,'Fixture Identities'!$B$9:$B$997,0),2)="Exit Sign",0,VLOOKUP(S26,xySVG_Factors,2,FALSE))),"")</f>
        <v/>
      </c>
      <c r="AA26" s="545" t="str">
        <f t="shared" si="30"/>
        <v/>
      </c>
      <c r="AB26" s="542" t="str">
        <f t="shared" si="31"/>
        <v/>
      </c>
      <c r="AC26" s="539" t="str">
        <f t="shared" si="32"/>
        <v/>
      </c>
      <c r="AD26" s="546" t="str">
        <f t="shared" si="33"/>
        <v/>
      </c>
      <c r="AE26" s="539" t="str">
        <f t="shared" si="34"/>
        <v/>
      </c>
      <c r="AF26" s="546" t="str">
        <f t="shared" si="35"/>
        <v/>
      </c>
      <c r="AG26" s="539" t="str">
        <f t="shared" si="36"/>
        <v/>
      </c>
      <c r="AH26" s="32">
        <f t="shared" si="17"/>
        <v>0</v>
      </c>
      <c r="AI26" s="32">
        <f t="shared" si="18"/>
        <v>0</v>
      </c>
      <c r="AJ26" s="32">
        <f t="shared" si="19"/>
        <v>0</v>
      </c>
      <c r="AK26" t="str">
        <f t="shared" si="20"/>
        <v/>
      </c>
      <c r="AL26" t="str">
        <f t="shared" si="21"/>
        <v/>
      </c>
      <c r="AM26" t="str">
        <f t="shared" si="22"/>
        <v/>
      </c>
      <c r="AO26" t="str">
        <f>IFERROR(VLOOKUP(M26,'Fixture Identities'!$B$9:$O$1045,14,FALSE),"")</f>
        <v/>
      </c>
      <c r="AP26" t="str">
        <f t="shared" si="4"/>
        <v/>
      </c>
      <c r="AQ26" s="547" t="s">
        <v>535</v>
      </c>
    </row>
    <row r="27" spans="1:43" ht="15">
      <c r="A27" s="71">
        <f t="shared" si="5"/>
        <v>0</v>
      </c>
      <c r="B27" s="513">
        <f t="shared" si="23"/>
        <v>15</v>
      </c>
      <c r="C27" s="530" t="str">
        <f>IF(Inventory!E24="","",Inventory!E24)</f>
        <v/>
      </c>
      <c r="D27" s="531">
        <f>IF(Inventory!D24="",0,Inventory!D24)</f>
        <v>0</v>
      </c>
      <c r="E27" s="532" t="str">
        <f>IF(Inventory!I24=0,"",Inventory!I24)</f>
        <v/>
      </c>
      <c r="F27" s="533" t="str">
        <f t="shared" si="24"/>
        <v/>
      </c>
      <c r="G27" s="534" t="str">
        <f>IF(Inventory!G24="","",Inventory!G24)</f>
        <v/>
      </c>
      <c r="H27" s="535" t="str">
        <f t="shared" si="25"/>
        <v/>
      </c>
      <c r="I27" s="536" t="str">
        <f>IF(Inventory!J24="","",Inventory!J24)</f>
        <v/>
      </c>
      <c r="J27" s="537" t="str">
        <f>IFERROR(IF(PRJ_Type="New Construction",IF(Inventory!C24="N",INDEX(xyLPD_BuildingArea,MATCH(Building_Type,Lookups!$F$37:$F$75,0),4),INDEX(xyLPD_SpaceBySpace,MATCH(INDEX(xyNCEx,MATCH(I27,yNCExArea,0),2),ySpace_by_Space_Type,0),2)),VLOOKUP(E27,xyWattage_Table,11,FALSE)),"")</f>
        <v/>
      </c>
      <c r="K27" s="538" t="str">
        <f>IFERROR(IF(AND(NC_Type="Building Area Method",Inventory!C24="N"),IF(ISERROR(INDEX('Usage Groups (&gt;120 MWh only)'!$N$8:$N$12,MATCH(C27,'Usage Groups (&gt;120 MWh only)'!$B$8:$B$12,0),1))=TRUE,SqFt/COUNTIFS(Inventory!$C$10:$C$1009,"N",$Q$13:$Q$1012,"&gt;=0"),INDEX('Usage Groups (&gt;120 MWh only)'!$N$8:$N$12,MATCH(C27,'Usage Groups (&gt;120 MWh only)'!$B$8:$B$12,0),1)/COUNTIF($C$13:$C$1012,C27)),IF(AND(NC_Type="Building Area Method",Inventory!C24="Y"),INDEX(xyNCEx,MATCH(I27,yNCExArea,0),3)/COUNTIF($I$13:$I$1012,I27),VLOOKUP(J27,xyWattage_Table,10,FALSE))),"")</f>
        <v/>
      </c>
      <c r="L27" s="539" t="str">
        <f t="shared" si="26"/>
        <v/>
      </c>
      <c r="M27" s="540">
        <f>IF(Inventory!N24="","",Inventory!N24)</f>
        <v>0</v>
      </c>
      <c r="N27" s="533" t="str">
        <f t="shared" si="27"/>
        <v/>
      </c>
      <c r="O27" s="534"/>
      <c r="P27" s="533" t="str">
        <f t="shared" si="28"/>
        <v/>
      </c>
      <c r="Q27" s="534" t="str">
        <f>IF(Inventory!L24="","",Inventory!L24)</f>
        <v/>
      </c>
      <c r="R27" s="535" t="str">
        <f t="shared" si="29"/>
        <v/>
      </c>
      <c r="S27" s="536" t="str">
        <f>IF(Inventory!O24="","",Inventory!O24)</f>
        <v/>
      </c>
      <c r="T27" s="541" t="str">
        <f>IFERROR(IF(C27="","",IF(INDEX(xyWattage_Table,MATCH(M27,'Fixture Identities'!$B$9:$B$997,0),2)="Exit Sign",8760,IF(VLOOKUP(C27,xySpace_Type_Details,8,FALSE)="TRM",INDEX('General Information'!$AF$17:$AG$28,11,MATCH(N27,'General Information'!$AF$16:$AG$16,0)),HLOOKUP(VLOOKUP(C27,xySpace_Type_Details,8,FALSE),'General Information'!$P$15:$AG$28,13,FALSE)))),"")</f>
        <v/>
      </c>
      <c r="U27" s="542" t="str">
        <f>IFERROR(IF(C27="","",IF(INDEX(xyWattage_Table,MATCH(M27,'Fixture Identities'!$B$9:$B$997,0),2)="Exit Sign",1,IF(VLOOKUP(C27,xySpace_Type_Details,8,FALSE)="TRM",INDEX('General Information'!$AF$17:$AG$28,12,MATCH(N27,'General Information'!$AF$16:$AG$16,0)),HLOOKUP(VLOOKUP(C27,xySpace_Type_Details,8,FALSE),'General Information'!$P$15:$AG$28,14,FALSE)))),"")</f>
        <v/>
      </c>
      <c r="V27" s="542" t="str">
        <f>IFERROR(VLOOKUP(INDEX(xySpace_Type_Details,MATCH($C27,'General Information'!$C$40:$C$60,0),12),Lookups!$L$8:$N$12,2,FALSE),"")</f>
        <v/>
      </c>
      <c r="W27" s="542" t="str">
        <f>IFERROR(VLOOKUP(INDEX(xySpace_Type_Details,MATCH($C27,'General Information'!$C$40:$C$60,0),12),Lookups!$L$8:$N$12,3,FALSE),"")</f>
        <v/>
      </c>
      <c r="X27" s="543"/>
      <c r="Y27" s="542" t="str">
        <f>IFERROR(IF(C27="","",IF(INDEX(xyWattage_Table,MATCH(M27,'Fixture Identities'!$B$9:$B$997,0),2)="Exit Sign",0,IF(PRJ_Type="Retrofit",VLOOKUP(I27,xySVG_Factors,2,FALSE),IF(AND(PRJ_Type="New Construction",Inventory!C24="N"),VLOOKUP(VLOOKUP(Building_Type,xyLPD_BuildingArea,5,FALSE),xySVG_Factors_NC,3,FALSE),0)))),"")</f>
        <v/>
      </c>
      <c r="Z27" s="544" t="str">
        <f>IFERROR(IF(C27="","",IF(INDEX(xyWattage_Table,MATCH(M27,'Fixture Identities'!$B$9:$B$997,0),2)="Exit Sign",0,VLOOKUP(S27,xySVG_Factors,2,FALSE))),"")</f>
        <v/>
      </c>
      <c r="AA27" s="545" t="str">
        <f t="shared" si="30"/>
        <v/>
      </c>
      <c r="AB27" s="542" t="str">
        <f t="shared" si="31"/>
        <v/>
      </c>
      <c r="AC27" s="539" t="str">
        <f t="shared" si="32"/>
        <v/>
      </c>
      <c r="AD27" s="546" t="str">
        <f t="shared" si="33"/>
        <v/>
      </c>
      <c r="AE27" s="539" t="str">
        <f t="shared" si="34"/>
        <v/>
      </c>
      <c r="AF27" s="546" t="str">
        <f t="shared" si="35"/>
        <v/>
      </c>
      <c r="AG27" s="539" t="str">
        <f t="shared" si="36"/>
        <v/>
      </c>
      <c r="AH27" s="32">
        <f t="shared" si="17"/>
        <v>0</v>
      </c>
      <c r="AI27" s="32">
        <f t="shared" si="18"/>
        <v>0</v>
      </c>
      <c r="AJ27" s="32">
        <f t="shared" si="19"/>
        <v>0</v>
      </c>
      <c r="AK27" t="str">
        <f t="shared" si="20"/>
        <v/>
      </c>
      <c r="AL27" t="str">
        <f t="shared" si="21"/>
        <v/>
      </c>
      <c r="AM27" t="str">
        <f t="shared" si="22"/>
        <v/>
      </c>
      <c r="AO27" t="str">
        <f>IFERROR(VLOOKUP(M27,'Fixture Identities'!$B$9:$O$1045,14,FALSE),"")</f>
        <v/>
      </c>
      <c r="AP27" t="str">
        <f t="shared" si="4"/>
        <v/>
      </c>
      <c r="AQ27" s="547" t="s">
        <v>536</v>
      </c>
    </row>
    <row r="28" spans="1:43" ht="15">
      <c r="A28" s="71">
        <f t="shared" si="5"/>
        <v>0</v>
      </c>
      <c r="B28" s="513">
        <f t="shared" si="23"/>
        <v>16</v>
      </c>
      <c r="C28" s="530" t="str">
        <f>IF(Inventory!E25="","",Inventory!E25)</f>
        <v/>
      </c>
      <c r="D28" s="531">
        <f>IF(Inventory!D25="",0,Inventory!D25)</f>
        <v>0</v>
      </c>
      <c r="E28" s="532" t="str">
        <f>IF(Inventory!I25=0,"",Inventory!I25)</f>
        <v/>
      </c>
      <c r="F28" s="533" t="str">
        <f t="shared" si="24"/>
        <v/>
      </c>
      <c r="G28" s="534" t="str">
        <f>IF(Inventory!G25="","",Inventory!G25)</f>
        <v/>
      </c>
      <c r="H28" s="535" t="str">
        <f t="shared" si="25"/>
        <v/>
      </c>
      <c r="I28" s="536" t="str">
        <f>IF(Inventory!J25="","",Inventory!J25)</f>
        <v/>
      </c>
      <c r="J28" s="537" t="str">
        <f>IFERROR(IF(PRJ_Type="New Construction",IF(Inventory!C25="N",INDEX(xyLPD_BuildingArea,MATCH(Building_Type,Lookups!$F$37:$F$75,0),4),INDEX(xyLPD_SpaceBySpace,MATCH(INDEX(xyNCEx,MATCH(I28,yNCExArea,0),2),ySpace_by_Space_Type,0),2)),VLOOKUP(E28,xyWattage_Table,11,FALSE)),"")</f>
        <v/>
      </c>
      <c r="K28" s="538" t="str">
        <f>IFERROR(IF(AND(NC_Type="Building Area Method",Inventory!C25="N"),IF(ISERROR(INDEX('Usage Groups (&gt;120 MWh only)'!$N$8:$N$12,MATCH(C28,'Usage Groups (&gt;120 MWh only)'!$B$8:$B$12,0),1))=TRUE,SqFt/COUNTIFS(Inventory!$C$10:$C$1009,"N",$Q$13:$Q$1012,"&gt;=0"),INDEX('Usage Groups (&gt;120 MWh only)'!$N$8:$N$12,MATCH(C28,'Usage Groups (&gt;120 MWh only)'!$B$8:$B$12,0),1)/COUNTIF($C$13:$C$1012,C28)),IF(AND(NC_Type="Building Area Method",Inventory!C25="Y"),INDEX(xyNCEx,MATCH(I28,yNCExArea,0),3)/COUNTIF($I$13:$I$1012,I28),VLOOKUP(J28,xyWattage_Table,10,FALSE))),"")</f>
        <v/>
      </c>
      <c r="L28" s="539" t="str">
        <f t="shared" si="26"/>
        <v/>
      </c>
      <c r="M28" s="540">
        <f>IF(Inventory!N25="","",Inventory!N25)</f>
        <v>0</v>
      </c>
      <c r="N28" s="533" t="str">
        <f t="shared" si="27"/>
        <v/>
      </c>
      <c r="O28" s="534"/>
      <c r="P28" s="533" t="str">
        <f t="shared" si="28"/>
        <v/>
      </c>
      <c r="Q28" s="534" t="str">
        <f>IF(Inventory!L25="","",Inventory!L25)</f>
        <v/>
      </c>
      <c r="R28" s="535" t="str">
        <f t="shared" si="29"/>
        <v/>
      </c>
      <c r="S28" s="536" t="str">
        <f>IF(Inventory!O25="","",Inventory!O25)</f>
        <v/>
      </c>
      <c r="T28" s="541" t="str">
        <f>IFERROR(IF(C28="","",IF(INDEX(xyWattage_Table,MATCH(M28,'Fixture Identities'!$B$9:$B$997,0),2)="Exit Sign",8760,IF(VLOOKUP(C28,xySpace_Type_Details,8,FALSE)="TRM",INDEX('General Information'!$AF$17:$AG$28,11,MATCH(N28,'General Information'!$AF$16:$AG$16,0)),HLOOKUP(VLOOKUP(C28,xySpace_Type_Details,8,FALSE),'General Information'!$P$15:$AG$28,13,FALSE)))),"")</f>
        <v/>
      </c>
      <c r="U28" s="542" t="str">
        <f>IFERROR(IF(C28="","",IF(INDEX(xyWattage_Table,MATCH(M28,'Fixture Identities'!$B$9:$B$997,0),2)="Exit Sign",1,IF(VLOOKUP(C28,xySpace_Type_Details,8,FALSE)="TRM",INDEX('General Information'!$AF$17:$AG$28,12,MATCH(N28,'General Information'!$AF$16:$AG$16,0)),HLOOKUP(VLOOKUP(C28,xySpace_Type_Details,8,FALSE),'General Information'!$P$15:$AG$28,14,FALSE)))),"")</f>
        <v/>
      </c>
      <c r="V28" s="542" t="str">
        <f>IFERROR(VLOOKUP(INDEX(xySpace_Type_Details,MATCH($C28,'General Information'!$C$40:$C$60,0),12),Lookups!$L$8:$N$12,2,FALSE),"")</f>
        <v/>
      </c>
      <c r="W28" s="542" t="str">
        <f>IFERROR(VLOOKUP(INDEX(xySpace_Type_Details,MATCH($C28,'General Information'!$C$40:$C$60,0),12),Lookups!$L$8:$N$12,3,FALSE),"")</f>
        <v/>
      </c>
      <c r="X28" s="543"/>
      <c r="Y28" s="542" t="str">
        <f>IFERROR(IF(C28="","",IF(INDEX(xyWattage_Table,MATCH(M28,'Fixture Identities'!$B$9:$B$997,0),2)="Exit Sign",0,IF(PRJ_Type="Retrofit",VLOOKUP(I28,xySVG_Factors,2,FALSE),IF(AND(PRJ_Type="New Construction",Inventory!C25="N"),VLOOKUP(VLOOKUP(Building_Type,xyLPD_BuildingArea,5,FALSE),xySVG_Factors_NC,3,FALSE),0)))),"")</f>
        <v/>
      </c>
      <c r="Z28" s="544" t="str">
        <f>IFERROR(IF(C28="","",IF(INDEX(xyWattage_Table,MATCH(M28,'Fixture Identities'!$B$9:$B$997,0),2)="Exit Sign",0,VLOOKUP(S28,xySVG_Factors,2,FALSE))),"")</f>
        <v/>
      </c>
      <c r="AA28" s="545" t="str">
        <f t="shared" si="30"/>
        <v/>
      </c>
      <c r="AB28" s="542" t="str">
        <f t="shared" si="31"/>
        <v/>
      </c>
      <c r="AC28" s="539" t="str">
        <f t="shared" si="32"/>
        <v/>
      </c>
      <c r="AD28" s="546" t="str">
        <f t="shared" si="33"/>
        <v/>
      </c>
      <c r="AE28" s="539" t="str">
        <f t="shared" si="34"/>
        <v/>
      </c>
      <c r="AF28" s="546" t="str">
        <f t="shared" si="35"/>
        <v/>
      </c>
      <c r="AG28" s="539" t="str">
        <f t="shared" si="36"/>
        <v/>
      </c>
      <c r="AH28" s="32">
        <f t="shared" si="17"/>
        <v>0</v>
      </c>
      <c r="AI28" s="32">
        <f t="shared" si="18"/>
        <v>0</v>
      </c>
      <c r="AJ28" s="32">
        <f t="shared" si="19"/>
        <v>0</v>
      </c>
      <c r="AK28" t="str">
        <f t="shared" si="20"/>
        <v/>
      </c>
      <c r="AL28" t="str">
        <f t="shared" si="21"/>
        <v/>
      </c>
      <c r="AM28" t="str">
        <f t="shared" si="22"/>
        <v/>
      </c>
      <c r="AO28" t="str">
        <f>IFERROR(VLOOKUP(M28,'Fixture Identities'!$B$9:$O$1045,14,FALSE),"")</f>
        <v/>
      </c>
      <c r="AP28" t="str">
        <f t="shared" si="4"/>
        <v/>
      </c>
      <c r="AQ28" s="548" t="s">
        <v>537</v>
      </c>
    </row>
    <row r="29" spans="1:43" ht="15">
      <c r="A29" s="71">
        <f t="shared" si="5"/>
        <v>0</v>
      </c>
      <c r="B29" s="513">
        <f t="shared" si="23"/>
        <v>17</v>
      </c>
      <c r="C29" s="530" t="str">
        <f>IF(Inventory!E26="","",Inventory!E26)</f>
        <v/>
      </c>
      <c r="D29" s="531">
        <f>IF(Inventory!D26="",0,Inventory!D26)</f>
        <v>0</v>
      </c>
      <c r="E29" s="532" t="str">
        <f>IF(Inventory!I26=0,"",Inventory!I26)</f>
        <v/>
      </c>
      <c r="F29" s="533" t="str">
        <f t="shared" si="24"/>
        <v/>
      </c>
      <c r="G29" s="534" t="str">
        <f>IF(Inventory!G26="","",Inventory!G26)</f>
        <v/>
      </c>
      <c r="H29" s="535" t="str">
        <f t="shared" si="25"/>
        <v/>
      </c>
      <c r="I29" s="536" t="str">
        <f>IF(Inventory!J26="","",Inventory!J26)</f>
        <v/>
      </c>
      <c r="J29" s="537" t="str">
        <f>IFERROR(IF(PRJ_Type="New Construction",IF(Inventory!C26="N",INDEX(xyLPD_BuildingArea,MATCH(Building_Type,Lookups!$F$37:$F$75,0),4),INDEX(xyLPD_SpaceBySpace,MATCH(INDEX(xyNCEx,MATCH(I29,yNCExArea,0),2),ySpace_by_Space_Type,0),2)),VLOOKUP(E29,xyWattage_Table,11,FALSE)),"")</f>
        <v/>
      </c>
      <c r="K29" s="538" t="str">
        <f>IFERROR(IF(AND(NC_Type="Building Area Method",Inventory!C26="N"),IF(ISERROR(INDEX('Usage Groups (&gt;120 MWh only)'!$N$8:$N$12,MATCH(C29,'Usage Groups (&gt;120 MWh only)'!$B$8:$B$12,0),1))=TRUE,SqFt/COUNTIFS(Inventory!$C$10:$C$1009,"N",$Q$13:$Q$1012,"&gt;=0"),INDEX('Usage Groups (&gt;120 MWh only)'!$N$8:$N$12,MATCH(C29,'Usage Groups (&gt;120 MWh only)'!$B$8:$B$12,0),1)/COUNTIF($C$13:$C$1012,C29)),IF(AND(NC_Type="Building Area Method",Inventory!C26="Y"),INDEX(xyNCEx,MATCH(I29,yNCExArea,0),3)/COUNTIF($I$13:$I$1012,I29),VLOOKUP(J29,xyWattage_Table,10,FALSE))),"")</f>
        <v/>
      </c>
      <c r="L29" s="539" t="str">
        <f t="shared" si="26"/>
        <v/>
      </c>
      <c r="M29" s="540">
        <f>IF(Inventory!N26="","",Inventory!N26)</f>
        <v>0</v>
      </c>
      <c r="N29" s="533" t="str">
        <f t="shared" si="27"/>
        <v/>
      </c>
      <c r="O29" s="534"/>
      <c r="P29" s="533" t="str">
        <f t="shared" si="28"/>
        <v/>
      </c>
      <c r="Q29" s="534" t="str">
        <f>IF(Inventory!L26="","",Inventory!L26)</f>
        <v/>
      </c>
      <c r="R29" s="535" t="str">
        <f t="shared" si="29"/>
        <v/>
      </c>
      <c r="S29" s="536" t="str">
        <f>IF(Inventory!O26="","",Inventory!O26)</f>
        <v/>
      </c>
      <c r="T29" s="541" t="str">
        <f>IFERROR(IF(C29="","",IF(INDEX(xyWattage_Table,MATCH(M29,'Fixture Identities'!$B$9:$B$997,0),2)="Exit Sign",8760,IF(VLOOKUP(C29,xySpace_Type_Details,8,FALSE)="TRM",INDEX('General Information'!$AF$17:$AG$28,11,MATCH(N29,'General Information'!$AF$16:$AG$16,0)),HLOOKUP(VLOOKUP(C29,xySpace_Type_Details,8,FALSE),'General Information'!$P$15:$AG$28,13,FALSE)))),"")</f>
        <v/>
      </c>
      <c r="U29" s="542" t="str">
        <f>IFERROR(IF(C29="","",IF(INDEX(xyWattage_Table,MATCH(M29,'Fixture Identities'!$B$9:$B$997,0),2)="Exit Sign",1,IF(VLOOKUP(C29,xySpace_Type_Details,8,FALSE)="TRM",INDEX('General Information'!$AF$17:$AG$28,12,MATCH(N29,'General Information'!$AF$16:$AG$16,0)),HLOOKUP(VLOOKUP(C29,xySpace_Type_Details,8,FALSE),'General Information'!$P$15:$AG$28,14,FALSE)))),"")</f>
        <v/>
      </c>
      <c r="V29" s="542" t="str">
        <f>IFERROR(VLOOKUP(INDEX(xySpace_Type_Details,MATCH($C29,'General Information'!$C$40:$C$60,0),12),Lookups!$L$8:$N$12,2,FALSE),"")</f>
        <v/>
      </c>
      <c r="W29" s="542" t="str">
        <f>IFERROR(VLOOKUP(INDEX(xySpace_Type_Details,MATCH($C29,'General Information'!$C$40:$C$60,0),12),Lookups!$L$8:$N$12,3,FALSE),"")</f>
        <v/>
      </c>
      <c r="X29" s="543"/>
      <c r="Y29" s="542" t="str">
        <f>IFERROR(IF(C29="","",IF(INDEX(xyWattage_Table,MATCH(M29,'Fixture Identities'!$B$9:$B$997,0),2)="Exit Sign",0,IF(PRJ_Type="Retrofit",VLOOKUP(I29,xySVG_Factors,2,FALSE),IF(AND(PRJ_Type="New Construction",Inventory!C26="N"),VLOOKUP(VLOOKUP(Building_Type,xyLPD_BuildingArea,5,FALSE),xySVG_Factors_NC,3,FALSE),0)))),"")</f>
        <v/>
      </c>
      <c r="Z29" s="544" t="str">
        <f>IFERROR(IF(C29="","",IF(INDEX(xyWattage_Table,MATCH(M29,'Fixture Identities'!$B$9:$B$997,0),2)="Exit Sign",0,VLOOKUP(S29,xySVG_Factors,2,FALSE))),"")</f>
        <v/>
      </c>
      <c r="AA29" s="545" t="str">
        <f t="shared" si="30"/>
        <v/>
      </c>
      <c r="AB29" s="542" t="str">
        <f t="shared" si="31"/>
        <v/>
      </c>
      <c r="AC29" s="539" t="str">
        <f t="shared" si="32"/>
        <v/>
      </c>
      <c r="AD29" s="546" t="str">
        <f t="shared" si="33"/>
        <v/>
      </c>
      <c r="AE29" s="539" t="str">
        <f t="shared" si="34"/>
        <v/>
      </c>
      <c r="AF29" s="546" t="str">
        <f t="shared" si="35"/>
        <v/>
      </c>
      <c r="AG29" s="539" t="str">
        <f t="shared" si="36"/>
        <v/>
      </c>
      <c r="AH29" s="32">
        <f t="shared" si="17"/>
        <v>0</v>
      </c>
      <c r="AI29" s="32">
        <f t="shared" si="18"/>
        <v>0</v>
      </c>
      <c r="AJ29" s="32">
        <f t="shared" si="19"/>
        <v>0</v>
      </c>
      <c r="AK29" t="str">
        <f t="shared" si="20"/>
        <v/>
      </c>
      <c r="AL29" t="str">
        <f t="shared" si="21"/>
        <v/>
      </c>
      <c r="AM29" t="str">
        <f t="shared" si="22"/>
        <v/>
      </c>
      <c r="AO29" t="str">
        <f>IFERROR(VLOOKUP(M29,'Fixture Identities'!$B$9:$O$1045,14,FALSE),"")</f>
        <v/>
      </c>
      <c r="AP29" t="str">
        <f t="shared" si="4"/>
        <v/>
      </c>
      <c r="AQ29" s="548" t="s">
        <v>538</v>
      </c>
    </row>
    <row r="30" spans="1:43" ht="15">
      <c r="A30" s="71">
        <f t="shared" si="5"/>
        <v>0</v>
      </c>
      <c r="B30" s="513">
        <f t="shared" si="23"/>
        <v>18</v>
      </c>
      <c r="C30" s="530" t="str">
        <f>IF(Inventory!E27="","",Inventory!E27)</f>
        <v/>
      </c>
      <c r="D30" s="531">
        <f>IF(Inventory!D27="",0,Inventory!D27)</f>
        <v>0</v>
      </c>
      <c r="E30" s="532" t="str">
        <f>IF(Inventory!I27=0,"",Inventory!I27)</f>
        <v/>
      </c>
      <c r="F30" s="533" t="str">
        <f t="shared" si="24"/>
        <v/>
      </c>
      <c r="G30" s="534" t="str">
        <f>IF(Inventory!G27="","",Inventory!G27)</f>
        <v/>
      </c>
      <c r="H30" s="535" t="str">
        <f t="shared" si="25"/>
        <v/>
      </c>
      <c r="I30" s="536" t="str">
        <f>IF(Inventory!J27="","",Inventory!J27)</f>
        <v/>
      </c>
      <c r="J30" s="537" t="str">
        <f>IFERROR(IF(PRJ_Type="New Construction",IF(Inventory!C27="N",INDEX(xyLPD_BuildingArea,MATCH(Building_Type,Lookups!$F$37:$F$75,0),4),INDEX(xyLPD_SpaceBySpace,MATCH(INDEX(xyNCEx,MATCH(I30,yNCExArea,0),2),ySpace_by_Space_Type,0),2)),VLOOKUP(E30,xyWattage_Table,11,FALSE)),"")</f>
        <v/>
      </c>
      <c r="K30" s="538" t="str">
        <f>IFERROR(IF(AND(NC_Type="Building Area Method",Inventory!C27="N"),IF(ISERROR(INDEX('Usage Groups (&gt;120 MWh only)'!$N$8:$N$12,MATCH(C30,'Usage Groups (&gt;120 MWh only)'!$B$8:$B$12,0),1))=TRUE,SqFt/COUNTIFS(Inventory!$C$10:$C$1009,"N",$Q$13:$Q$1012,"&gt;=0"),INDEX('Usage Groups (&gt;120 MWh only)'!$N$8:$N$12,MATCH(C30,'Usage Groups (&gt;120 MWh only)'!$B$8:$B$12,0),1)/COUNTIF($C$13:$C$1012,C30)),IF(AND(NC_Type="Building Area Method",Inventory!C27="Y"),INDEX(xyNCEx,MATCH(I30,yNCExArea,0),3)/COUNTIF($I$13:$I$1012,I30),VLOOKUP(J30,xyWattage_Table,10,FALSE))),"")</f>
        <v/>
      </c>
      <c r="L30" s="539" t="str">
        <f t="shared" si="26"/>
        <v/>
      </c>
      <c r="M30" s="540">
        <f>IF(Inventory!N27="","",Inventory!N27)</f>
        <v>0</v>
      </c>
      <c r="N30" s="533" t="str">
        <f t="shared" si="27"/>
        <v/>
      </c>
      <c r="O30" s="534"/>
      <c r="P30" s="533" t="str">
        <f t="shared" si="28"/>
        <v/>
      </c>
      <c r="Q30" s="534" t="str">
        <f>IF(Inventory!L27="","",Inventory!L27)</f>
        <v/>
      </c>
      <c r="R30" s="535" t="str">
        <f t="shared" si="29"/>
        <v/>
      </c>
      <c r="S30" s="536" t="str">
        <f>IF(Inventory!O27="","",Inventory!O27)</f>
        <v/>
      </c>
      <c r="T30" s="541" t="str">
        <f>IFERROR(IF(C30="","",IF(INDEX(xyWattage_Table,MATCH(M30,'Fixture Identities'!$B$9:$B$997,0),2)="Exit Sign",8760,IF(VLOOKUP(C30,xySpace_Type_Details,8,FALSE)="TRM",INDEX('General Information'!$AF$17:$AG$28,11,MATCH(N30,'General Information'!$AF$16:$AG$16,0)),HLOOKUP(VLOOKUP(C30,xySpace_Type_Details,8,FALSE),'General Information'!$P$15:$AG$28,13,FALSE)))),"")</f>
        <v/>
      </c>
      <c r="U30" s="542" t="str">
        <f>IFERROR(IF(C30="","",IF(INDEX(xyWattage_Table,MATCH(M30,'Fixture Identities'!$B$9:$B$997,0),2)="Exit Sign",1,IF(VLOOKUP(C30,xySpace_Type_Details,8,FALSE)="TRM",INDEX('General Information'!$AF$17:$AG$28,12,MATCH(N30,'General Information'!$AF$16:$AG$16,0)),HLOOKUP(VLOOKUP(C30,xySpace_Type_Details,8,FALSE),'General Information'!$P$15:$AG$28,14,FALSE)))),"")</f>
        <v/>
      </c>
      <c r="V30" s="542" t="str">
        <f>IFERROR(VLOOKUP(INDEX(xySpace_Type_Details,MATCH($C30,'General Information'!$C$40:$C$60,0),12),Lookups!$L$8:$N$12,2,FALSE),"")</f>
        <v/>
      </c>
      <c r="W30" s="542" t="str">
        <f>IFERROR(VLOOKUP(INDEX(xySpace_Type_Details,MATCH($C30,'General Information'!$C$40:$C$60,0),12),Lookups!$L$8:$N$12,3,FALSE),"")</f>
        <v/>
      </c>
      <c r="X30" s="543"/>
      <c r="Y30" s="542" t="str">
        <f>IFERROR(IF(C30="","",IF(INDEX(xyWattage_Table,MATCH(M30,'Fixture Identities'!$B$9:$B$997,0),2)="Exit Sign",0,IF(PRJ_Type="Retrofit",VLOOKUP(I30,xySVG_Factors,2,FALSE),IF(AND(PRJ_Type="New Construction",Inventory!C27="N"),VLOOKUP(VLOOKUP(Building_Type,xyLPD_BuildingArea,5,FALSE),xySVG_Factors_NC,3,FALSE),0)))),"")</f>
        <v/>
      </c>
      <c r="Z30" s="544" t="str">
        <f>IFERROR(IF(C30="","",IF(INDEX(xyWattage_Table,MATCH(M30,'Fixture Identities'!$B$9:$B$997,0),2)="Exit Sign",0,VLOOKUP(S30,xySVG_Factors,2,FALSE))),"")</f>
        <v/>
      </c>
      <c r="AA30" s="545" t="str">
        <f t="shared" si="30"/>
        <v/>
      </c>
      <c r="AB30" s="542" t="str">
        <f t="shared" si="31"/>
        <v/>
      </c>
      <c r="AC30" s="539" t="str">
        <f t="shared" si="32"/>
        <v/>
      </c>
      <c r="AD30" s="546" t="str">
        <f t="shared" si="33"/>
        <v/>
      </c>
      <c r="AE30" s="539" t="str">
        <f t="shared" si="34"/>
        <v/>
      </c>
      <c r="AF30" s="546" t="str">
        <f t="shared" si="35"/>
        <v/>
      </c>
      <c r="AG30" s="539" t="str">
        <f t="shared" si="36"/>
        <v/>
      </c>
      <c r="AH30" s="32">
        <f t="shared" si="17"/>
        <v>0</v>
      </c>
      <c r="AI30" s="32">
        <f t="shared" si="18"/>
        <v>0</v>
      </c>
      <c r="AJ30" s="32">
        <f t="shared" si="19"/>
        <v>0</v>
      </c>
      <c r="AK30" t="str">
        <f t="shared" si="20"/>
        <v/>
      </c>
      <c r="AL30" t="str">
        <f t="shared" si="21"/>
        <v/>
      </c>
      <c r="AM30" t="str">
        <f t="shared" si="22"/>
        <v/>
      </c>
      <c r="AO30" t="str">
        <f>IFERROR(VLOOKUP(M30,'Fixture Identities'!$B$9:$O$1045,14,FALSE),"")</f>
        <v/>
      </c>
      <c r="AP30" t="str">
        <f t="shared" si="4"/>
        <v/>
      </c>
      <c r="AQ30" s="548" t="s">
        <v>539</v>
      </c>
    </row>
    <row r="31" spans="1:43" ht="15">
      <c r="A31" s="71">
        <f t="shared" si="5"/>
        <v>0</v>
      </c>
      <c r="B31" s="513">
        <f t="shared" si="23"/>
        <v>19</v>
      </c>
      <c r="C31" s="530" t="str">
        <f>IF(Inventory!E28="","",Inventory!E28)</f>
        <v/>
      </c>
      <c r="D31" s="531">
        <f>IF(Inventory!D28="",0,Inventory!D28)</f>
        <v>0</v>
      </c>
      <c r="E31" s="532" t="str">
        <f>IF(Inventory!I28=0,"",Inventory!I28)</f>
        <v/>
      </c>
      <c r="F31" s="533" t="str">
        <f t="shared" si="24"/>
        <v/>
      </c>
      <c r="G31" s="534" t="str">
        <f>IF(Inventory!G28="","",Inventory!G28)</f>
        <v/>
      </c>
      <c r="H31" s="535" t="str">
        <f t="shared" si="25"/>
        <v/>
      </c>
      <c r="I31" s="536" t="str">
        <f>IF(Inventory!J28="","",Inventory!J28)</f>
        <v/>
      </c>
      <c r="J31" s="537" t="str">
        <f>IFERROR(IF(PRJ_Type="New Construction",IF(Inventory!C28="N",INDEX(xyLPD_BuildingArea,MATCH(Building_Type,Lookups!$F$37:$F$75,0),4),INDEX(xyLPD_SpaceBySpace,MATCH(INDEX(xyNCEx,MATCH(I31,yNCExArea,0),2),ySpace_by_Space_Type,0),2)),VLOOKUP(E31,xyWattage_Table,11,FALSE)),"")</f>
        <v/>
      </c>
      <c r="K31" s="538" t="str">
        <f>IFERROR(IF(AND(NC_Type="Building Area Method",Inventory!C28="N"),IF(ISERROR(INDEX('Usage Groups (&gt;120 MWh only)'!$N$8:$N$12,MATCH(C31,'Usage Groups (&gt;120 MWh only)'!$B$8:$B$12,0),1))=TRUE,SqFt/COUNTIFS(Inventory!$C$10:$C$1009,"N",$Q$13:$Q$1012,"&gt;=0"),INDEX('Usage Groups (&gt;120 MWh only)'!$N$8:$N$12,MATCH(C31,'Usage Groups (&gt;120 MWh only)'!$B$8:$B$12,0),1)/COUNTIF($C$13:$C$1012,C31)),IF(AND(NC_Type="Building Area Method",Inventory!C28="Y"),INDEX(xyNCEx,MATCH(I31,yNCExArea,0),3)/COUNTIF($I$13:$I$1012,I31),VLOOKUP(J31,xyWattage_Table,10,FALSE))),"")</f>
        <v/>
      </c>
      <c r="L31" s="539" t="str">
        <f t="shared" si="26"/>
        <v/>
      </c>
      <c r="M31" s="540">
        <f>IF(Inventory!N28="","",Inventory!N28)</f>
        <v>0</v>
      </c>
      <c r="N31" s="533" t="str">
        <f t="shared" si="27"/>
        <v/>
      </c>
      <c r="O31" s="534"/>
      <c r="P31" s="533" t="str">
        <f t="shared" si="28"/>
        <v/>
      </c>
      <c r="Q31" s="534" t="str">
        <f>IF(Inventory!L28="","",Inventory!L28)</f>
        <v/>
      </c>
      <c r="R31" s="535" t="str">
        <f t="shared" si="29"/>
        <v/>
      </c>
      <c r="S31" s="536" t="str">
        <f>IF(Inventory!O28="","",Inventory!O28)</f>
        <v/>
      </c>
      <c r="T31" s="541" t="str">
        <f>IFERROR(IF(C31="","",IF(INDEX(xyWattage_Table,MATCH(M31,'Fixture Identities'!$B$9:$B$997,0),2)="Exit Sign",8760,IF(VLOOKUP(C31,xySpace_Type_Details,8,FALSE)="TRM",INDEX('General Information'!$AF$17:$AG$28,11,MATCH(N31,'General Information'!$AF$16:$AG$16,0)),HLOOKUP(VLOOKUP(C31,xySpace_Type_Details,8,FALSE),'General Information'!$P$15:$AG$28,13,FALSE)))),"")</f>
        <v/>
      </c>
      <c r="U31" s="542" t="str">
        <f>IFERROR(IF(C31="","",IF(INDEX(xyWattage_Table,MATCH(M31,'Fixture Identities'!$B$9:$B$997,0),2)="Exit Sign",1,IF(VLOOKUP(C31,xySpace_Type_Details,8,FALSE)="TRM",INDEX('General Information'!$AF$17:$AG$28,12,MATCH(N31,'General Information'!$AF$16:$AG$16,0)),HLOOKUP(VLOOKUP(C31,xySpace_Type_Details,8,FALSE),'General Information'!$P$15:$AG$28,14,FALSE)))),"")</f>
        <v/>
      </c>
      <c r="V31" s="542" t="str">
        <f>IFERROR(VLOOKUP(INDEX(xySpace_Type_Details,MATCH($C31,'General Information'!$C$40:$C$60,0),12),Lookups!$L$8:$N$12,2,FALSE),"")</f>
        <v/>
      </c>
      <c r="W31" s="542" t="str">
        <f>IFERROR(VLOOKUP(INDEX(xySpace_Type_Details,MATCH($C31,'General Information'!$C$40:$C$60,0),12),Lookups!$L$8:$N$12,3,FALSE),"")</f>
        <v/>
      </c>
      <c r="X31" s="543"/>
      <c r="Y31" s="542" t="str">
        <f>IFERROR(IF(C31="","",IF(INDEX(xyWattage_Table,MATCH(M31,'Fixture Identities'!$B$9:$B$997,0),2)="Exit Sign",0,IF(PRJ_Type="Retrofit",VLOOKUP(I31,xySVG_Factors,2,FALSE),IF(AND(PRJ_Type="New Construction",Inventory!C28="N"),VLOOKUP(VLOOKUP(Building_Type,xyLPD_BuildingArea,5,FALSE),xySVG_Factors_NC,3,FALSE),0)))),"")</f>
        <v/>
      </c>
      <c r="Z31" s="544" t="str">
        <f>IFERROR(IF(C31="","",IF(INDEX(xyWattage_Table,MATCH(M31,'Fixture Identities'!$B$9:$B$997,0),2)="Exit Sign",0,VLOOKUP(S31,xySVG_Factors,2,FALSE))),"")</f>
        <v/>
      </c>
      <c r="AA31" s="545" t="str">
        <f t="shared" si="30"/>
        <v/>
      </c>
      <c r="AB31" s="542" t="str">
        <f t="shared" si="31"/>
        <v/>
      </c>
      <c r="AC31" s="539" t="str">
        <f t="shared" si="32"/>
        <v/>
      </c>
      <c r="AD31" s="546" t="str">
        <f t="shared" si="33"/>
        <v/>
      </c>
      <c r="AE31" s="539" t="str">
        <f t="shared" si="34"/>
        <v/>
      </c>
      <c r="AF31" s="546" t="str">
        <f t="shared" si="35"/>
        <v/>
      </c>
      <c r="AG31" s="539" t="str">
        <f t="shared" si="36"/>
        <v/>
      </c>
      <c r="AH31" s="32">
        <f t="shared" si="17"/>
        <v>0</v>
      </c>
      <c r="AI31" s="32">
        <f t="shared" si="18"/>
        <v>0</v>
      </c>
      <c r="AJ31" s="32">
        <f t="shared" si="19"/>
        <v>0</v>
      </c>
      <c r="AK31" t="str">
        <f t="shared" si="20"/>
        <v/>
      </c>
      <c r="AL31" t="str">
        <f t="shared" si="21"/>
        <v/>
      </c>
      <c r="AM31" t="str">
        <f t="shared" si="22"/>
        <v/>
      </c>
      <c r="AO31" t="str">
        <f>IFERROR(VLOOKUP(M31,'Fixture Identities'!$B$9:$O$1045,14,FALSE),"")</f>
        <v/>
      </c>
      <c r="AP31" t="str">
        <f t="shared" si="4"/>
        <v/>
      </c>
      <c r="AQ31" s="548" t="s">
        <v>540</v>
      </c>
    </row>
    <row r="32" spans="1:43" ht="15">
      <c r="A32" s="71">
        <f t="shared" si="5"/>
        <v>0</v>
      </c>
      <c r="B32" s="513">
        <f t="shared" si="23"/>
        <v>20</v>
      </c>
      <c r="C32" s="530" t="str">
        <f>IF(Inventory!E29="","",Inventory!E29)</f>
        <v/>
      </c>
      <c r="D32" s="531">
        <f>IF(Inventory!D29="",0,Inventory!D29)</f>
        <v>0</v>
      </c>
      <c r="E32" s="532" t="str">
        <f>IF(Inventory!I29=0,"",Inventory!I29)</f>
        <v/>
      </c>
      <c r="F32" s="533" t="str">
        <f t="shared" si="24"/>
        <v/>
      </c>
      <c r="G32" s="534" t="str">
        <f>IF(Inventory!G29="","",Inventory!G29)</f>
        <v/>
      </c>
      <c r="H32" s="535" t="str">
        <f t="shared" si="25"/>
        <v/>
      </c>
      <c r="I32" s="536" t="str">
        <f>IF(Inventory!J29="","",Inventory!J29)</f>
        <v/>
      </c>
      <c r="J32" s="537" t="str">
        <f>IFERROR(IF(PRJ_Type="New Construction",IF(Inventory!C29="N",INDEX(xyLPD_BuildingArea,MATCH(Building_Type,Lookups!$F$37:$F$75,0),4),INDEX(xyLPD_SpaceBySpace,MATCH(INDEX(xyNCEx,MATCH(I32,yNCExArea,0),2),ySpace_by_Space_Type,0),2)),VLOOKUP(E32,xyWattage_Table,11,FALSE)),"")</f>
        <v/>
      </c>
      <c r="K32" s="538" t="str">
        <f>IFERROR(IF(AND(NC_Type="Building Area Method",Inventory!C29="N"),IF(ISERROR(INDEX('Usage Groups (&gt;120 MWh only)'!$N$8:$N$12,MATCH(C32,'Usage Groups (&gt;120 MWh only)'!$B$8:$B$12,0),1))=TRUE,SqFt/COUNTIFS(Inventory!$C$10:$C$1009,"N",$Q$13:$Q$1012,"&gt;=0"),INDEX('Usage Groups (&gt;120 MWh only)'!$N$8:$N$12,MATCH(C32,'Usage Groups (&gt;120 MWh only)'!$B$8:$B$12,0),1)/COUNTIF($C$13:$C$1012,C32)),IF(AND(NC_Type="Building Area Method",Inventory!C29="Y"),INDEX(xyNCEx,MATCH(I32,yNCExArea,0),3)/COUNTIF($I$13:$I$1012,I32),VLOOKUP(J32,xyWattage_Table,10,FALSE))),"")</f>
        <v/>
      </c>
      <c r="L32" s="539" t="str">
        <f t="shared" si="26"/>
        <v/>
      </c>
      <c r="M32" s="540">
        <f>IF(Inventory!N29="","",Inventory!N29)</f>
        <v>0</v>
      </c>
      <c r="N32" s="533" t="str">
        <f t="shared" si="27"/>
        <v/>
      </c>
      <c r="O32" s="534"/>
      <c r="P32" s="533" t="str">
        <f t="shared" si="28"/>
        <v/>
      </c>
      <c r="Q32" s="534" t="str">
        <f>IF(Inventory!L29="","",Inventory!L29)</f>
        <v/>
      </c>
      <c r="R32" s="535" t="str">
        <f t="shared" si="29"/>
        <v/>
      </c>
      <c r="S32" s="536" t="str">
        <f>IF(Inventory!O29="","",Inventory!O29)</f>
        <v/>
      </c>
      <c r="T32" s="541" t="str">
        <f>IFERROR(IF(C32="","",IF(INDEX(xyWattage_Table,MATCH(M32,'Fixture Identities'!$B$9:$B$997,0),2)="Exit Sign",8760,IF(VLOOKUP(C32,xySpace_Type_Details,8,FALSE)="TRM",INDEX('General Information'!$AF$17:$AG$28,11,MATCH(N32,'General Information'!$AF$16:$AG$16,0)),HLOOKUP(VLOOKUP(C32,xySpace_Type_Details,8,FALSE),'General Information'!$P$15:$AG$28,13,FALSE)))),"")</f>
        <v/>
      </c>
      <c r="U32" s="542" t="str">
        <f>IFERROR(IF(C32="","",IF(INDEX(xyWattage_Table,MATCH(M32,'Fixture Identities'!$B$9:$B$997,0),2)="Exit Sign",1,IF(VLOOKUP(C32,xySpace_Type_Details,8,FALSE)="TRM",INDEX('General Information'!$AF$17:$AG$28,12,MATCH(N32,'General Information'!$AF$16:$AG$16,0)),HLOOKUP(VLOOKUP(C32,xySpace_Type_Details,8,FALSE),'General Information'!$P$15:$AG$28,14,FALSE)))),"")</f>
        <v/>
      </c>
      <c r="V32" s="542" t="str">
        <f>IFERROR(VLOOKUP(INDEX(xySpace_Type_Details,MATCH($C32,'General Information'!$C$40:$C$60,0),12),Lookups!$L$8:$N$12,2,FALSE),"")</f>
        <v/>
      </c>
      <c r="W32" s="542" t="str">
        <f>IFERROR(VLOOKUP(INDEX(xySpace_Type_Details,MATCH($C32,'General Information'!$C$40:$C$60,0),12),Lookups!$L$8:$N$12,3,FALSE),"")</f>
        <v/>
      </c>
      <c r="X32" s="543"/>
      <c r="Y32" s="542" t="str">
        <f>IFERROR(IF(C32="","",IF(INDEX(xyWattage_Table,MATCH(M32,'Fixture Identities'!$B$9:$B$997,0),2)="Exit Sign",0,IF(PRJ_Type="Retrofit",VLOOKUP(I32,xySVG_Factors,2,FALSE),IF(AND(PRJ_Type="New Construction",Inventory!C29="N"),VLOOKUP(VLOOKUP(Building_Type,xyLPD_BuildingArea,5,FALSE),xySVG_Factors_NC,3,FALSE),0)))),"")</f>
        <v/>
      </c>
      <c r="Z32" s="544" t="str">
        <f>IFERROR(IF(C32="","",IF(INDEX(xyWattage_Table,MATCH(M32,'Fixture Identities'!$B$9:$B$997,0),2)="Exit Sign",0,VLOOKUP(S32,xySVG_Factors,2,FALSE))),"")</f>
        <v/>
      </c>
      <c r="AA32" s="545" t="str">
        <f t="shared" si="30"/>
        <v/>
      </c>
      <c r="AB32" s="542" t="str">
        <f t="shared" si="31"/>
        <v/>
      </c>
      <c r="AC32" s="539" t="str">
        <f t="shared" si="32"/>
        <v/>
      </c>
      <c r="AD32" s="546" t="str">
        <f t="shared" si="33"/>
        <v/>
      </c>
      <c r="AE32" s="539" t="str">
        <f t="shared" si="34"/>
        <v/>
      </c>
      <c r="AF32" s="546" t="str">
        <f t="shared" si="35"/>
        <v/>
      </c>
      <c r="AG32" s="539" t="str">
        <f t="shared" si="36"/>
        <v/>
      </c>
      <c r="AH32" s="32">
        <f t="shared" si="17"/>
        <v>0</v>
      </c>
      <c r="AI32" s="32">
        <f t="shared" si="18"/>
        <v>0</v>
      </c>
      <c r="AJ32" s="32">
        <f t="shared" si="19"/>
        <v>0</v>
      </c>
      <c r="AK32" t="str">
        <f t="shared" si="20"/>
        <v/>
      </c>
      <c r="AL32" t="str">
        <f t="shared" si="21"/>
        <v/>
      </c>
      <c r="AM32" t="str">
        <f t="shared" si="22"/>
        <v/>
      </c>
      <c r="AO32" t="str">
        <f>IFERROR(VLOOKUP(M32,'Fixture Identities'!$B$9:$O$1045,14,FALSE),"")</f>
        <v/>
      </c>
      <c r="AP32" t="str">
        <f t="shared" si="4"/>
        <v/>
      </c>
      <c r="AQ32" s="548" t="s">
        <v>541</v>
      </c>
    </row>
    <row r="33" spans="1:43" ht="15">
      <c r="A33" s="71">
        <f t="shared" si="5"/>
        <v>0</v>
      </c>
      <c r="B33" s="513">
        <f t="shared" si="23"/>
        <v>21</v>
      </c>
      <c r="C33" s="530" t="str">
        <f>IF(Inventory!E30="","",Inventory!E30)</f>
        <v/>
      </c>
      <c r="D33" s="531">
        <f>IF(Inventory!D30="",0,Inventory!D30)</f>
        <v>0</v>
      </c>
      <c r="E33" s="532" t="str">
        <f>IF(Inventory!I30=0,"",Inventory!I30)</f>
        <v/>
      </c>
      <c r="F33" s="533" t="str">
        <f t="shared" si="24"/>
        <v/>
      </c>
      <c r="G33" s="534" t="str">
        <f>IF(Inventory!G30="","",Inventory!G30)</f>
        <v/>
      </c>
      <c r="H33" s="535" t="str">
        <f t="shared" si="25"/>
        <v/>
      </c>
      <c r="I33" s="536" t="str">
        <f>IF(Inventory!J30="","",Inventory!J30)</f>
        <v/>
      </c>
      <c r="J33" s="537" t="str">
        <f>IFERROR(IF(PRJ_Type="New Construction",IF(Inventory!C30="N",INDEX(xyLPD_BuildingArea,MATCH(Building_Type,Lookups!$F$37:$F$75,0),4),INDEX(xyLPD_SpaceBySpace,MATCH(INDEX(xyNCEx,MATCH(I33,yNCExArea,0),2),ySpace_by_Space_Type,0),2)),VLOOKUP(E33,xyWattage_Table,11,FALSE)),"")</f>
        <v/>
      </c>
      <c r="K33" s="538" t="str">
        <f>IFERROR(IF(AND(NC_Type="Building Area Method",Inventory!C30="N"),IF(ISERROR(INDEX('Usage Groups (&gt;120 MWh only)'!$N$8:$N$12,MATCH(C33,'Usage Groups (&gt;120 MWh only)'!$B$8:$B$12,0),1))=TRUE,SqFt/COUNTIFS(Inventory!$C$10:$C$1009,"N",$Q$13:$Q$1012,"&gt;=0"),INDEX('Usage Groups (&gt;120 MWh only)'!$N$8:$N$12,MATCH(C33,'Usage Groups (&gt;120 MWh only)'!$B$8:$B$12,0),1)/COUNTIF($C$13:$C$1012,C33)),IF(AND(NC_Type="Building Area Method",Inventory!C30="Y"),INDEX(xyNCEx,MATCH(I33,yNCExArea,0),3)/COUNTIF($I$13:$I$1012,I33),VLOOKUP(J33,xyWattage_Table,10,FALSE))),"")</f>
        <v/>
      </c>
      <c r="L33" s="539" t="str">
        <f t="shared" si="26"/>
        <v/>
      </c>
      <c r="M33" s="540">
        <f>IF(Inventory!N30="","",Inventory!N30)</f>
        <v>0</v>
      </c>
      <c r="N33" s="533" t="str">
        <f t="shared" si="27"/>
        <v/>
      </c>
      <c r="O33" s="534"/>
      <c r="P33" s="533" t="str">
        <f t="shared" si="28"/>
        <v/>
      </c>
      <c r="Q33" s="534" t="str">
        <f>IF(Inventory!L30="","",Inventory!L30)</f>
        <v/>
      </c>
      <c r="R33" s="535" t="str">
        <f t="shared" si="29"/>
        <v/>
      </c>
      <c r="S33" s="536" t="str">
        <f>IF(Inventory!O30="","",Inventory!O30)</f>
        <v/>
      </c>
      <c r="T33" s="541" t="str">
        <f>IFERROR(IF(C33="","",IF(INDEX(xyWattage_Table,MATCH(M33,'Fixture Identities'!$B$9:$B$997,0),2)="Exit Sign",8760,IF(VLOOKUP(C33,xySpace_Type_Details,8,FALSE)="TRM",INDEX('General Information'!$AF$17:$AG$28,11,MATCH(N33,'General Information'!$AF$16:$AG$16,0)),HLOOKUP(VLOOKUP(C33,xySpace_Type_Details,8,FALSE),'General Information'!$P$15:$AG$28,13,FALSE)))),"")</f>
        <v/>
      </c>
      <c r="U33" s="542" t="str">
        <f>IFERROR(IF(C33="","",IF(INDEX(xyWattage_Table,MATCH(M33,'Fixture Identities'!$B$9:$B$997,0),2)="Exit Sign",1,IF(VLOOKUP(C33,xySpace_Type_Details,8,FALSE)="TRM",INDEX('General Information'!$AF$17:$AG$28,12,MATCH(N33,'General Information'!$AF$16:$AG$16,0)),HLOOKUP(VLOOKUP(C33,xySpace_Type_Details,8,FALSE),'General Information'!$P$15:$AG$28,14,FALSE)))),"")</f>
        <v/>
      </c>
      <c r="V33" s="542" t="str">
        <f>IFERROR(VLOOKUP(INDEX(xySpace_Type_Details,MATCH($C33,'General Information'!$C$40:$C$60,0),12),Lookups!$L$8:$N$12,2,FALSE),"")</f>
        <v/>
      </c>
      <c r="W33" s="542" t="str">
        <f>IFERROR(VLOOKUP(INDEX(xySpace_Type_Details,MATCH($C33,'General Information'!$C$40:$C$60,0),12),Lookups!$L$8:$N$12,3,FALSE),"")</f>
        <v/>
      </c>
      <c r="X33" s="543"/>
      <c r="Y33" s="542" t="str">
        <f>IFERROR(IF(C33="","",IF(INDEX(xyWattage_Table,MATCH(M33,'Fixture Identities'!$B$9:$B$997,0),2)="Exit Sign",0,IF(PRJ_Type="Retrofit",VLOOKUP(I33,xySVG_Factors,2,FALSE),IF(AND(PRJ_Type="New Construction",Inventory!C30="N"),VLOOKUP(VLOOKUP(Building_Type,xyLPD_BuildingArea,5,FALSE),xySVG_Factors_NC,3,FALSE),0)))),"")</f>
        <v/>
      </c>
      <c r="Z33" s="544" t="str">
        <f>IFERROR(IF(C33="","",IF(INDEX(xyWattage_Table,MATCH(M33,'Fixture Identities'!$B$9:$B$997,0),2)="Exit Sign",0,VLOOKUP(S33,xySVG_Factors,2,FALSE))),"")</f>
        <v/>
      </c>
      <c r="AA33" s="545" t="str">
        <f t="shared" si="30"/>
        <v/>
      </c>
      <c r="AB33" s="542" t="str">
        <f t="shared" si="31"/>
        <v/>
      </c>
      <c r="AC33" s="539" t="str">
        <f t="shared" si="32"/>
        <v/>
      </c>
      <c r="AD33" s="546" t="str">
        <f t="shared" si="33"/>
        <v/>
      </c>
      <c r="AE33" s="539" t="str">
        <f t="shared" si="34"/>
        <v/>
      </c>
      <c r="AF33" s="546" t="str">
        <f t="shared" si="35"/>
        <v/>
      </c>
      <c r="AG33" s="539" t="str">
        <f t="shared" si="36"/>
        <v/>
      </c>
      <c r="AH33" s="32">
        <f t="shared" si="17"/>
        <v>0</v>
      </c>
      <c r="AI33" s="32">
        <f t="shared" si="18"/>
        <v>0</v>
      </c>
      <c r="AJ33" s="32">
        <f t="shared" si="19"/>
        <v>0</v>
      </c>
      <c r="AK33" t="str">
        <f t="shared" si="20"/>
        <v/>
      </c>
      <c r="AL33" t="str">
        <f t="shared" si="21"/>
        <v/>
      </c>
      <c r="AM33" t="str">
        <f t="shared" si="22"/>
        <v/>
      </c>
      <c r="AO33" t="str">
        <f>IFERROR(VLOOKUP(M33,'Fixture Identities'!$B$9:$O$1045,14,FALSE),"")</f>
        <v/>
      </c>
      <c r="AP33" t="str">
        <f t="shared" si="4"/>
        <v/>
      </c>
      <c r="AQ33" s="548" t="s">
        <v>542</v>
      </c>
    </row>
    <row r="34" spans="1:43" ht="15">
      <c r="A34" s="71">
        <f t="shared" si="5"/>
        <v>0</v>
      </c>
      <c r="B34" s="513">
        <f t="shared" si="23"/>
        <v>22</v>
      </c>
      <c r="C34" s="530" t="str">
        <f>IF(Inventory!E31="","",Inventory!E31)</f>
        <v/>
      </c>
      <c r="D34" s="531">
        <f>IF(Inventory!D31="",0,Inventory!D31)</f>
        <v>0</v>
      </c>
      <c r="E34" s="532" t="str">
        <f>IF(Inventory!I31=0,"",Inventory!I31)</f>
        <v/>
      </c>
      <c r="F34" s="533" t="str">
        <f t="shared" si="24"/>
        <v/>
      </c>
      <c r="G34" s="534" t="str">
        <f>IF(Inventory!G31="","",Inventory!G31)</f>
        <v/>
      </c>
      <c r="H34" s="535" t="str">
        <f t="shared" si="25"/>
        <v/>
      </c>
      <c r="I34" s="536" t="str">
        <f>IF(Inventory!J31="","",Inventory!J31)</f>
        <v/>
      </c>
      <c r="J34" s="537" t="str">
        <f>IFERROR(IF(PRJ_Type="New Construction",IF(Inventory!C31="N",INDEX(xyLPD_BuildingArea,MATCH(Building_Type,Lookups!$F$37:$F$75,0),4),INDEX(xyLPD_SpaceBySpace,MATCH(INDEX(xyNCEx,MATCH(I34,yNCExArea,0),2),ySpace_by_Space_Type,0),2)),VLOOKUP(E34,xyWattage_Table,11,FALSE)),"")</f>
        <v/>
      </c>
      <c r="K34" s="538" t="str">
        <f>IFERROR(IF(AND(NC_Type="Building Area Method",Inventory!C31="N"),IF(ISERROR(INDEX('Usage Groups (&gt;120 MWh only)'!$N$8:$N$12,MATCH(C34,'Usage Groups (&gt;120 MWh only)'!$B$8:$B$12,0),1))=TRUE,SqFt/COUNTIFS(Inventory!$C$10:$C$1009,"N",$Q$13:$Q$1012,"&gt;=0"),INDEX('Usage Groups (&gt;120 MWh only)'!$N$8:$N$12,MATCH(C34,'Usage Groups (&gt;120 MWh only)'!$B$8:$B$12,0),1)/COUNTIF($C$13:$C$1012,C34)),IF(AND(NC_Type="Building Area Method",Inventory!C31="Y"),INDEX(xyNCEx,MATCH(I34,yNCExArea,0),3)/COUNTIF($I$13:$I$1012,I34),VLOOKUP(J34,xyWattage_Table,10,FALSE))),"")</f>
        <v/>
      </c>
      <c r="L34" s="539" t="str">
        <f t="shared" si="26"/>
        <v/>
      </c>
      <c r="M34" s="540">
        <f>IF(Inventory!N31="","",Inventory!N31)</f>
        <v>0</v>
      </c>
      <c r="N34" s="533" t="str">
        <f t="shared" si="27"/>
        <v/>
      </c>
      <c r="O34" s="534"/>
      <c r="P34" s="533" t="str">
        <f t="shared" si="28"/>
        <v/>
      </c>
      <c r="Q34" s="534" t="str">
        <f>IF(Inventory!L31="","",Inventory!L31)</f>
        <v/>
      </c>
      <c r="R34" s="535" t="str">
        <f t="shared" si="29"/>
        <v/>
      </c>
      <c r="S34" s="536" t="str">
        <f>IF(Inventory!O31="","",Inventory!O31)</f>
        <v/>
      </c>
      <c r="T34" s="541" t="str">
        <f>IFERROR(IF(C34="","",IF(INDEX(xyWattage_Table,MATCH(M34,'Fixture Identities'!$B$9:$B$997,0),2)="Exit Sign",8760,IF(VLOOKUP(C34,xySpace_Type_Details,8,FALSE)="TRM",INDEX('General Information'!$AF$17:$AG$28,11,MATCH(N34,'General Information'!$AF$16:$AG$16,0)),HLOOKUP(VLOOKUP(C34,xySpace_Type_Details,8,FALSE),'General Information'!$P$15:$AG$28,13,FALSE)))),"")</f>
        <v/>
      </c>
      <c r="U34" s="542" t="str">
        <f>IFERROR(IF(C34="","",IF(INDEX(xyWattage_Table,MATCH(M34,'Fixture Identities'!$B$9:$B$997,0),2)="Exit Sign",1,IF(VLOOKUP(C34,xySpace_Type_Details,8,FALSE)="TRM",INDEX('General Information'!$AF$17:$AG$28,12,MATCH(N34,'General Information'!$AF$16:$AG$16,0)),HLOOKUP(VLOOKUP(C34,xySpace_Type_Details,8,FALSE),'General Information'!$P$15:$AG$28,14,FALSE)))),"")</f>
        <v/>
      </c>
      <c r="V34" s="542" t="str">
        <f>IFERROR(VLOOKUP(INDEX(xySpace_Type_Details,MATCH($C34,'General Information'!$C$40:$C$60,0),12),Lookups!$L$8:$N$12,2,FALSE),"")</f>
        <v/>
      </c>
      <c r="W34" s="542" t="str">
        <f>IFERROR(VLOOKUP(INDEX(xySpace_Type_Details,MATCH($C34,'General Information'!$C$40:$C$60,0),12),Lookups!$L$8:$N$12,3,FALSE),"")</f>
        <v/>
      </c>
      <c r="X34" s="543"/>
      <c r="Y34" s="542" t="str">
        <f>IFERROR(IF(C34="","",IF(INDEX(xyWattage_Table,MATCH(M34,'Fixture Identities'!$B$9:$B$997,0),2)="Exit Sign",0,IF(PRJ_Type="Retrofit",VLOOKUP(I34,xySVG_Factors,2,FALSE),IF(AND(PRJ_Type="New Construction",Inventory!C31="N"),VLOOKUP(VLOOKUP(Building_Type,xyLPD_BuildingArea,5,FALSE),xySVG_Factors_NC,3,FALSE),0)))),"")</f>
        <v/>
      </c>
      <c r="Z34" s="544" t="str">
        <f>IFERROR(IF(C34="","",IF(INDEX(xyWattage_Table,MATCH(M34,'Fixture Identities'!$B$9:$B$997,0),2)="Exit Sign",0,VLOOKUP(S34,xySVG_Factors,2,FALSE))),"")</f>
        <v/>
      </c>
      <c r="AA34" s="545" t="str">
        <f t="shared" si="30"/>
        <v/>
      </c>
      <c r="AB34" s="542" t="str">
        <f t="shared" si="31"/>
        <v/>
      </c>
      <c r="AC34" s="539" t="str">
        <f t="shared" si="32"/>
        <v/>
      </c>
      <c r="AD34" s="546" t="str">
        <f t="shared" si="33"/>
        <v/>
      </c>
      <c r="AE34" s="539" t="str">
        <f t="shared" si="34"/>
        <v/>
      </c>
      <c r="AF34" s="546" t="str">
        <f t="shared" si="35"/>
        <v/>
      </c>
      <c r="AG34" s="539" t="str">
        <f t="shared" si="36"/>
        <v/>
      </c>
      <c r="AH34" s="32">
        <f t="shared" si="17"/>
        <v>0</v>
      </c>
      <c r="AI34" s="32">
        <f t="shared" si="18"/>
        <v>0</v>
      </c>
      <c r="AJ34" s="32">
        <f t="shared" si="19"/>
        <v>0</v>
      </c>
      <c r="AK34" t="str">
        <f t="shared" si="20"/>
        <v/>
      </c>
      <c r="AL34" t="str">
        <f t="shared" si="21"/>
        <v/>
      </c>
      <c r="AM34" t="str">
        <f t="shared" si="22"/>
        <v/>
      </c>
      <c r="AO34" t="str">
        <f>IFERROR(VLOOKUP(M34,'Fixture Identities'!$B$9:$O$1045,14,FALSE),"")</f>
        <v/>
      </c>
      <c r="AP34" t="str">
        <f t="shared" si="4"/>
        <v/>
      </c>
      <c r="AQ34" s="548" t="s">
        <v>543</v>
      </c>
    </row>
    <row r="35" spans="1:43" ht="15">
      <c r="A35" s="71">
        <f t="shared" si="5"/>
        <v>0</v>
      </c>
      <c r="B35" s="513">
        <f t="shared" si="23"/>
        <v>23</v>
      </c>
      <c r="C35" s="530" t="str">
        <f>IF(Inventory!E32="","",Inventory!E32)</f>
        <v/>
      </c>
      <c r="D35" s="531">
        <f>IF(Inventory!D32="",0,Inventory!D32)</f>
        <v>0</v>
      </c>
      <c r="E35" s="532" t="str">
        <f>IF(Inventory!I32=0,"",Inventory!I32)</f>
        <v/>
      </c>
      <c r="F35" s="533" t="str">
        <f t="shared" si="24"/>
        <v/>
      </c>
      <c r="G35" s="534" t="str">
        <f>IF(Inventory!G32="","",Inventory!G32)</f>
        <v/>
      </c>
      <c r="H35" s="535" t="str">
        <f t="shared" si="25"/>
        <v/>
      </c>
      <c r="I35" s="536" t="str">
        <f>IF(Inventory!J32="","",Inventory!J32)</f>
        <v/>
      </c>
      <c r="J35" s="537" t="str">
        <f>IFERROR(IF(PRJ_Type="New Construction",IF(Inventory!C32="N",INDEX(xyLPD_BuildingArea,MATCH(Building_Type,Lookups!$F$37:$F$75,0),4),INDEX(xyLPD_SpaceBySpace,MATCH(INDEX(xyNCEx,MATCH(I35,yNCExArea,0),2),ySpace_by_Space_Type,0),2)),VLOOKUP(E35,xyWattage_Table,11,FALSE)),"")</f>
        <v/>
      </c>
      <c r="K35" s="538" t="str">
        <f>IFERROR(IF(AND(NC_Type="Building Area Method",Inventory!C32="N"),IF(ISERROR(INDEX('Usage Groups (&gt;120 MWh only)'!$N$8:$N$12,MATCH(C35,'Usage Groups (&gt;120 MWh only)'!$B$8:$B$12,0),1))=TRUE,SqFt/COUNTIFS(Inventory!$C$10:$C$1009,"N",$Q$13:$Q$1012,"&gt;=0"),INDEX('Usage Groups (&gt;120 MWh only)'!$N$8:$N$12,MATCH(C35,'Usage Groups (&gt;120 MWh only)'!$B$8:$B$12,0),1)/COUNTIF($C$13:$C$1012,C35)),IF(AND(NC_Type="Building Area Method",Inventory!C32="Y"),INDEX(xyNCEx,MATCH(I35,yNCExArea,0),3)/COUNTIF($I$13:$I$1012,I35),VLOOKUP(J35,xyWattage_Table,10,FALSE))),"")</f>
        <v/>
      </c>
      <c r="L35" s="539" t="str">
        <f t="shared" si="26"/>
        <v/>
      </c>
      <c r="M35" s="540">
        <f>IF(Inventory!N32="","",Inventory!N32)</f>
        <v>0</v>
      </c>
      <c r="N35" s="533" t="str">
        <f t="shared" si="27"/>
        <v/>
      </c>
      <c r="O35" s="534"/>
      <c r="P35" s="533" t="str">
        <f t="shared" si="28"/>
        <v/>
      </c>
      <c r="Q35" s="534" t="str">
        <f>IF(Inventory!L32="","",Inventory!L32)</f>
        <v/>
      </c>
      <c r="R35" s="535" t="str">
        <f t="shared" si="29"/>
        <v/>
      </c>
      <c r="S35" s="536" t="str">
        <f>IF(Inventory!O32="","",Inventory!O32)</f>
        <v/>
      </c>
      <c r="T35" s="541" t="str">
        <f>IFERROR(IF(C35="","",IF(INDEX(xyWattage_Table,MATCH(M35,'Fixture Identities'!$B$9:$B$997,0),2)="Exit Sign",8760,IF(VLOOKUP(C35,xySpace_Type_Details,8,FALSE)="TRM",INDEX('General Information'!$AF$17:$AG$28,11,MATCH(N35,'General Information'!$AF$16:$AG$16,0)),HLOOKUP(VLOOKUP(C35,xySpace_Type_Details,8,FALSE),'General Information'!$P$15:$AG$28,13,FALSE)))),"")</f>
        <v/>
      </c>
      <c r="U35" s="542" t="str">
        <f>IFERROR(IF(C35="","",IF(INDEX(xyWattage_Table,MATCH(M35,'Fixture Identities'!$B$9:$B$997,0),2)="Exit Sign",1,IF(VLOOKUP(C35,xySpace_Type_Details,8,FALSE)="TRM",INDEX('General Information'!$AF$17:$AG$28,12,MATCH(N35,'General Information'!$AF$16:$AG$16,0)),HLOOKUP(VLOOKUP(C35,xySpace_Type_Details,8,FALSE),'General Information'!$P$15:$AG$28,14,FALSE)))),"")</f>
        <v/>
      </c>
      <c r="V35" s="542" t="str">
        <f>IFERROR(VLOOKUP(INDEX(xySpace_Type_Details,MATCH($C35,'General Information'!$C$40:$C$60,0),12),Lookups!$L$8:$N$12,2,FALSE),"")</f>
        <v/>
      </c>
      <c r="W35" s="542" t="str">
        <f>IFERROR(VLOOKUP(INDEX(xySpace_Type_Details,MATCH($C35,'General Information'!$C$40:$C$60,0),12),Lookups!$L$8:$N$12,3,FALSE),"")</f>
        <v/>
      </c>
      <c r="X35" s="543"/>
      <c r="Y35" s="542" t="str">
        <f>IFERROR(IF(C35="","",IF(INDEX(xyWattage_Table,MATCH(M35,'Fixture Identities'!$B$9:$B$997,0),2)="Exit Sign",0,IF(PRJ_Type="Retrofit",VLOOKUP(I35,xySVG_Factors,2,FALSE),IF(AND(PRJ_Type="New Construction",Inventory!C32="N"),VLOOKUP(VLOOKUP(Building_Type,xyLPD_BuildingArea,5,FALSE),xySVG_Factors_NC,3,FALSE),0)))),"")</f>
        <v/>
      </c>
      <c r="Z35" s="544" t="str">
        <f>IFERROR(IF(C35="","",IF(INDEX(xyWattage_Table,MATCH(M35,'Fixture Identities'!$B$9:$B$997,0),2)="Exit Sign",0,VLOOKUP(S35,xySVG_Factors,2,FALSE))),"")</f>
        <v/>
      </c>
      <c r="AA35" s="545" t="str">
        <f t="shared" si="30"/>
        <v/>
      </c>
      <c r="AB35" s="542" t="str">
        <f t="shared" si="31"/>
        <v/>
      </c>
      <c r="AC35" s="539" t="str">
        <f t="shared" si="32"/>
        <v/>
      </c>
      <c r="AD35" s="546" t="str">
        <f t="shared" si="33"/>
        <v/>
      </c>
      <c r="AE35" s="539" t="str">
        <f t="shared" si="34"/>
        <v/>
      </c>
      <c r="AF35" s="546" t="str">
        <f t="shared" si="35"/>
        <v/>
      </c>
      <c r="AG35" s="539" t="str">
        <f t="shared" si="36"/>
        <v/>
      </c>
      <c r="AH35" s="32">
        <f t="shared" si="17"/>
        <v>0</v>
      </c>
      <c r="AI35" s="32">
        <f t="shared" si="18"/>
        <v>0</v>
      </c>
      <c r="AJ35" s="32">
        <f t="shared" si="19"/>
        <v>0</v>
      </c>
      <c r="AK35" t="str">
        <f t="shared" si="20"/>
        <v/>
      </c>
      <c r="AL35" t="str">
        <f t="shared" si="21"/>
        <v/>
      </c>
      <c r="AM35" t="str">
        <f t="shared" si="22"/>
        <v/>
      </c>
      <c r="AO35" t="str">
        <f>IFERROR(VLOOKUP(M35,'Fixture Identities'!$B$9:$O$1045,14,FALSE),"")</f>
        <v/>
      </c>
      <c r="AP35" t="str">
        <f t="shared" si="4"/>
        <v/>
      </c>
      <c r="AQ35" s="548" t="s">
        <v>544</v>
      </c>
    </row>
    <row r="36" spans="1:43" ht="15">
      <c r="A36" s="71">
        <f t="shared" si="5"/>
        <v>0</v>
      </c>
      <c r="B36" s="513">
        <f t="shared" si="23"/>
        <v>24</v>
      </c>
      <c r="C36" s="530" t="str">
        <f>IF(Inventory!E33="","",Inventory!E33)</f>
        <v/>
      </c>
      <c r="D36" s="531">
        <f>IF(Inventory!D33="",0,Inventory!D33)</f>
        <v>0</v>
      </c>
      <c r="E36" s="532" t="str">
        <f>IF(Inventory!I33=0,"",Inventory!I33)</f>
        <v/>
      </c>
      <c r="F36" s="533" t="str">
        <f t="shared" si="24"/>
        <v/>
      </c>
      <c r="G36" s="534" t="str">
        <f>IF(Inventory!G33="","",Inventory!G33)</f>
        <v/>
      </c>
      <c r="H36" s="535" t="str">
        <f t="shared" si="25"/>
        <v/>
      </c>
      <c r="I36" s="536" t="str">
        <f>IF(Inventory!J33="","",Inventory!J33)</f>
        <v/>
      </c>
      <c r="J36" s="537" t="str">
        <f>IFERROR(IF(PRJ_Type="New Construction",IF(Inventory!C33="N",INDEX(xyLPD_BuildingArea,MATCH(Building_Type,Lookups!$F$37:$F$75,0),4),INDEX(xyLPD_SpaceBySpace,MATCH(INDEX(xyNCEx,MATCH(I36,yNCExArea,0),2),ySpace_by_Space_Type,0),2)),VLOOKUP(E36,xyWattage_Table,11,FALSE)),"")</f>
        <v/>
      </c>
      <c r="K36" s="538" t="str">
        <f>IFERROR(IF(AND(NC_Type="Building Area Method",Inventory!C33="N"),IF(ISERROR(INDEX('Usage Groups (&gt;120 MWh only)'!$N$8:$N$12,MATCH(C36,'Usage Groups (&gt;120 MWh only)'!$B$8:$B$12,0),1))=TRUE,SqFt/COUNTIFS(Inventory!$C$10:$C$1009,"N",$Q$13:$Q$1012,"&gt;=0"),INDEX('Usage Groups (&gt;120 MWh only)'!$N$8:$N$12,MATCH(C36,'Usage Groups (&gt;120 MWh only)'!$B$8:$B$12,0),1)/COUNTIF($C$13:$C$1012,C36)),IF(AND(NC_Type="Building Area Method",Inventory!C33="Y"),INDEX(xyNCEx,MATCH(I36,yNCExArea,0),3)/COUNTIF($I$13:$I$1012,I36),VLOOKUP(J36,xyWattage_Table,10,FALSE))),"")</f>
        <v/>
      </c>
      <c r="L36" s="539" t="str">
        <f t="shared" si="26"/>
        <v/>
      </c>
      <c r="M36" s="540">
        <f>IF(Inventory!N33="","",Inventory!N33)</f>
        <v>0</v>
      </c>
      <c r="N36" s="533" t="str">
        <f t="shared" si="27"/>
        <v/>
      </c>
      <c r="O36" s="534"/>
      <c r="P36" s="533" t="str">
        <f t="shared" si="28"/>
        <v/>
      </c>
      <c r="Q36" s="534" t="str">
        <f>IF(Inventory!L33="","",Inventory!L33)</f>
        <v/>
      </c>
      <c r="R36" s="535" t="str">
        <f t="shared" si="29"/>
        <v/>
      </c>
      <c r="S36" s="536" t="str">
        <f>IF(Inventory!O33="","",Inventory!O33)</f>
        <v/>
      </c>
      <c r="T36" s="541" t="str">
        <f>IFERROR(IF(C36="","",IF(INDEX(xyWattage_Table,MATCH(M36,'Fixture Identities'!$B$9:$B$997,0),2)="Exit Sign",8760,IF(VLOOKUP(C36,xySpace_Type_Details,8,FALSE)="TRM",INDEX('General Information'!$AF$17:$AG$28,11,MATCH(N36,'General Information'!$AF$16:$AG$16,0)),HLOOKUP(VLOOKUP(C36,xySpace_Type_Details,8,FALSE),'General Information'!$P$15:$AG$28,13,FALSE)))),"")</f>
        <v/>
      </c>
      <c r="U36" s="542" t="str">
        <f>IFERROR(IF(C36="","",IF(INDEX(xyWattage_Table,MATCH(M36,'Fixture Identities'!$B$9:$B$997,0),2)="Exit Sign",1,IF(VLOOKUP(C36,xySpace_Type_Details,8,FALSE)="TRM",INDEX('General Information'!$AF$17:$AG$28,12,MATCH(N36,'General Information'!$AF$16:$AG$16,0)),HLOOKUP(VLOOKUP(C36,xySpace_Type_Details,8,FALSE),'General Information'!$P$15:$AG$28,14,FALSE)))),"")</f>
        <v/>
      </c>
      <c r="V36" s="542" t="str">
        <f>IFERROR(VLOOKUP(INDEX(xySpace_Type_Details,MATCH($C36,'General Information'!$C$40:$C$60,0),12),Lookups!$L$8:$N$12,2,FALSE),"")</f>
        <v/>
      </c>
      <c r="W36" s="542" t="str">
        <f>IFERROR(VLOOKUP(INDEX(xySpace_Type_Details,MATCH($C36,'General Information'!$C$40:$C$60,0),12),Lookups!$L$8:$N$12,3,FALSE),"")</f>
        <v/>
      </c>
      <c r="X36" s="543"/>
      <c r="Y36" s="542" t="str">
        <f>IFERROR(IF(C36="","",IF(INDEX(xyWattage_Table,MATCH(M36,'Fixture Identities'!$B$9:$B$997,0),2)="Exit Sign",0,IF(PRJ_Type="Retrofit",VLOOKUP(I36,xySVG_Factors,2,FALSE),IF(AND(PRJ_Type="New Construction",Inventory!C33="N"),VLOOKUP(VLOOKUP(Building_Type,xyLPD_BuildingArea,5,FALSE),xySVG_Factors_NC,3,FALSE),0)))),"")</f>
        <v/>
      </c>
      <c r="Z36" s="544" t="str">
        <f>IFERROR(IF(C36="","",IF(INDEX(xyWattage_Table,MATCH(M36,'Fixture Identities'!$B$9:$B$997,0),2)="Exit Sign",0,VLOOKUP(S36,xySVG_Factors,2,FALSE))),"")</f>
        <v/>
      </c>
      <c r="AA36" s="545" t="str">
        <f t="shared" si="30"/>
        <v/>
      </c>
      <c r="AB36" s="542" t="str">
        <f t="shared" si="31"/>
        <v/>
      </c>
      <c r="AC36" s="539" t="str">
        <f t="shared" si="32"/>
        <v/>
      </c>
      <c r="AD36" s="546" t="str">
        <f t="shared" si="33"/>
        <v/>
      </c>
      <c r="AE36" s="539" t="str">
        <f t="shared" si="34"/>
        <v/>
      </c>
      <c r="AF36" s="546" t="str">
        <f t="shared" si="35"/>
        <v/>
      </c>
      <c r="AG36" s="539" t="str">
        <f t="shared" si="36"/>
        <v/>
      </c>
      <c r="AH36" s="32">
        <f t="shared" si="17"/>
        <v>0</v>
      </c>
      <c r="AI36" s="32">
        <f t="shared" si="18"/>
        <v>0</v>
      </c>
      <c r="AJ36" s="32">
        <f t="shared" si="19"/>
        <v>0</v>
      </c>
      <c r="AK36" t="str">
        <f t="shared" si="20"/>
        <v/>
      </c>
      <c r="AL36" t="str">
        <f t="shared" si="21"/>
        <v/>
      </c>
      <c r="AM36" t="str">
        <f t="shared" si="22"/>
        <v/>
      </c>
      <c r="AO36" t="str">
        <f>IFERROR(VLOOKUP(M36,'Fixture Identities'!$B$9:$O$1045,14,FALSE),"")</f>
        <v/>
      </c>
      <c r="AP36" t="str">
        <f t="shared" si="4"/>
        <v/>
      </c>
      <c r="AQ36" s="548" t="s">
        <v>545</v>
      </c>
    </row>
    <row r="37" spans="1:43" ht="15">
      <c r="A37" s="71">
        <f t="shared" si="5"/>
        <v>0</v>
      </c>
      <c r="B37" s="513">
        <f t="shared" si="23"/>
        <v>25</v>
      </c>
      <c r="C37" s="530" t="str">
        <f>IF(Inventory!E34="","",Inventory!E34)</f>
        <v/>
      </c>
      <c r="D37" s="531">
        <f>IF(Inventory!D34="",0,Inventory!D34)</f>
        <v>0</v>
      </c>
      <c r="E37" s="532" t="str">
        <f>IF(Inventory!I34=0,"",Inventory!I34)</f>
        <v/>
      </c>
      <c r="F37" s="533" t="str">
        <f t="shared" si="24"/>
        <v/>
      </c>
      <c r="G37" s="534" t="str">
        <f>IF(Inventory!G34="","",Inventory!G34)</f>
        <v/>
      </c>
      <c r="H37" s="535" t="str">
        <f t="shared" si="25"/>
        <v/>
      </c>
      <c r="I37" s="536" t="str">
        <f>IF(Inventory!J34="","",Inventory!J34)</f>
        <v/>
      </c>
      <c r="J37" s="537" t="str">
        <f>IFERROR(IF(PRJ_Type="New Construction",IF(Inventory!C34="N",INDEX(xyLPD_BuildingArea,MATCH(Building_Type,Lookups!$F$37:$F$75,0),4),INDEX(xyLPD_SpaceBySpace,MATCH(INDEX(xyNCEx,MATCH(I37,yNCExArea,0),2),ySpace_by_Space_Type,0),2)),VLOOKUP(E37,xyWattage_Table,11,FALSE)),"")</f>
        <v/>
      </c>
      <c r="K37" s="538" t="str">
        <f>IFERROR(IF(AND(NC_Type="Building Area Method",Inventory!C34="N"),IF(ISERROR(INDEX('Usage Groups (&gt;120 MWh only)'!$N$8:$N$12,MATCH(C37,'Usage Groups (&gt;120 MWh only)'!$B$8:$B$12,0),1))=TRUE,SqFt/COUNTIFS(Inventory!$C$10:$C$1009,"N",$Q$13:$Q$1012,"&gt;=0"),INDEX('Usage Groups (&gt;120 MWh only)'!$N$8:$N$12,MATCH(C37,'Usage Groups (&gt;120 MWh only)'!$B$8:$B$12,0),1)/COUNTIF($C$13:$C$1012,C37)),IF(AND(NC_Type="Building Area Method",Inventory!C34="Y"),INDEX(xyNCEx,MATCH(I37,yNCExArea,0),3)/COUNTIF($I$13:$I$1012,I37),VLOOKUP(J37,xyWattage_Table,10,FALSE))),"")</f>
        <v/>
      </c>
      <c r="L37" s="539" t="str">
        <f t="shared" si="26"/>
        <v/>
      </c>
      <c r="M37" s="540">
        <f>IF(Inventory!N34="","",Inventory!N34)</f>
        <v>0</v>
      </c>
      <c r="N37" s="533" t="str">
        <f t="shared" si="27"/>
        <v/>
      </c>
      <c r="O37" s="534"/>
      <c r="P37" s="533" t="str">
        <f t="shared" si="28"/>
        <v/>
      </c>
      <c r="Q37" s="534" t="str">
        <f>IF(Inventory!L34="","",Inventory!L34)</f>
        <v/>
      </c>
      <c r="R37" s="535" t="str">
        <f t="shared" si="29"/>
        <v/>
      </c>
      <c r="S37" s="536" t="str">
        <f>IF(Inventory!O34="","",Inventory!O34)</f>
        <v/>
      </c>
      <c r="T37" s="541" t="str">
        <f>IFERROR(IF(C37="","",IF(INDEX(xyWattage_Table,MATCH(M37,'Fixture Identities'!$B$9:$B$997,0),2)="Exit Sign",8760,IF(VLOOKUP(C37,xySpace_Type_Details,8,FALSE)="TRM",INDEX('General Information'!$AF$17:$AG$28,11,MATCH(N37,'General Information'!$AF$16:$AG$16,0)),HLOOKUP(VLOOKUP(C37,xySpace_Type_Details,8,FALSE),'General Information'!$P$15:$AG$28,13,FALSE)))),"")</f>
        <v/>
      </c>
      <c r="U37" s="542" t="str">
        <f>IFERROR(IF(C37="","",IF(INDEX(xyWattage_Table,MATCH(M37,'Fixture Identities'!$B$9:$B$997,0),2)="Exit Sign",1,IF(VLOOKUP(C37,xySpace_Type_Details,8,FALSE)="TRM",INDEX('General Information'!$AF$17:$AG$28,12,MATCH(N37,'General Information'!$AF$16:$AG$16,0)),HLOOKUP(VLOOKUP(C37,xySpace_Type_Details,8,FALSE),'General Information'!$P$15:$AG$28,14,FALSE)))),"")</f>
        <v/>
      </c>
      <c r="V37" s="542" t="str">
        <f>IFERROR(VLOOKUP(INDEX(xySpace_Type_Details,MATCH($C37,'General Information'!$C$40:$C$60,0),12),Lookups!$L$8:$N$12,2,FALSE),"")</f>
        <v/>
      </c>
      <c r="W37" s="542" t="str">
        <f>IFERROR(VLOOKUP(INDEX(xySpace_Type_Details,MATCH($C37,'General Information'!$C$40:$C$60,0),12),Lookups!$L$8:$N$12,3,FALSE),"")</f>
        <v/>
      </c>
      <c r="X37" s="543"/>
      <c r="Y37" s="542" t="str">
        <f>IFERROR(IF(C37="","",IF(INDEX(xyWattage_Table,MATCH(M37,'Fixture Identities'!$B$9:$B$997,0),2)="Exit Sign",0,IF(PRJ_Type="Retrofit",VLOOKUP(I37,xySVG_Factors,2,FALSE),IF(AND(PRJ_Type="New Construction",Inventory!C34="N"),VLOOKUP(VLOOKUP(Building_Type,xyLPD_BuildingArea,5,FALSE),xySVG_Factors_NC,3,FALSE),0)))),"")</f>
        <v/>
      </c>
      <c r="Z37" s="544" t="str">
        <f>IFERROR(IF(C37="","",IF(INDEX(xyWattage_Table,MATCH(M37,'Fixture Identities'!$B$9:$B$997,0),2)="Exit Sign",0,VLOOKUP(S37,xySVG_Factors,2,FALSE))),"")</f>
        <v/>
      </c>
      <c r="AA37" s="545" t="str">
        <f t="shared" si="30"/>
        <v/>
      </c>
      <c r="AB37" s="542" t="str">
        <f t="shared" si="31"/>
        <v/>
      </c>
      <c r="AC37" s="539" t="str">
        <f t="shared" si="32"/>
        <v/>
      </c>
      <c r="AD37" s="546" t="str">
        <f t="shared" si="33"/>
        <v/>
      </c>
      <c r="AE37" s="539" t="str">
        <f t="shared" si="34"/>
        <v/>
      </c>
      <c r="AF37" s="546" t="str">
        <f t="shared" si="35"/>
        <v/>
      </c>
      <c r="AG37" s="539" t="str">
        <f t="shared" si="36"/>
        <v/>
      </c>
      <c r="AH37" s="32">
        <f t="shared" si="17"/>
        <v>0</v>
      </c>
      <c r="AI37" s="32">
        <f t="shared" si="18"/>
        <v>0</v>
      </c>
      <c r="AJ37" s="32">
        <f t="shared" si="19"/>
        <v>0</v>
      </c>
      <c r="AK37" t="str">
        <f t="shared" si="20"/>
        <v/>
      </c>
      <c r="AL37" t="str">
        <f t="shared" si="21"/>
        <v/>
      </c>
      <c r="AM37" t="str">
        <f t="shared" si="22"/>
        <v/>
      </c>
      <c r="AO37" t="str">
        <f>IFERROR(VLOOKUP(M37,'Fixture Identities'!$B$9:$O$1045,14,FALSE),"")</f>
        <v/>
      </c>
      <c r="AP37" t="str">
        <f t="shared" si="4"/>
        <v/>
      </c>
      <c r="AQ37" s="548" t="s">
        <v>546</v>
      </c>
    </row>
    <row r="38" spans="1:43" ht="15">
      <c r="A38" s="71">
        <f t="shared" si="5"/>
        <v>0</v>
      </c>
      <c r="B38" s="513">
        <f t="shared" si="23"/>
        <v>26</v>
      </c>
      <c r="C38" s="530" t="str">
        <f>IF(Inventory!E35="","",Inventory!E35)</f>
        <v/>
      </c>
      <c r="D38" s="531">
        <f>IF(Inventory!D35="",0,Inventory!D35)</f>
        <v>0</v>
      </c>
      <c r="E38" s="532" t="str">
        <f>IF(Inventory!I35=0,"",Inventory!I35)</f>
        <v/>
      </c>
      <c r="F38" s="533" t="str">
        <f t="shared" si="24"/>
        <v/>
      </c>
      <c r="G38" s="534" t="str">
        <f>IF(Inventory!G35="","",Inventory!G35)</f>
        <v/>
      </c>
      <c r="H38" s="535" t="str">
        <f t="shared" si="25"/>
        <v/>
      </c>
      <c r="I38" s="536" t="str">
        <f>IF(Inventory!J35="","",Inventory!J35)</f>
        <v/>
      </c>
      <c r="J38" s="537" t="str">
        <f>IFERROR(IF(PRJ_Type="New Construction",IF(Inventory!C35="N",INDEX(xyLPD_BuildingArea,MATCH(Building_Type,Lookups!$F$37:$F$75,0),4),INDEX(xyLPD_SpaceBySpace,MATCH(INDEX(xyNCEx,MATCH(I38,yNCExArea,0),2),ySpace_by_Space_Type,0),2)),VLOOKUP(E38,xyWattage_Table,11,FALSE)),"")</f>
        <v/>
      </c>
      <c r="K38" s="538" t="str">
        <f>IFERROR(IF(AND(NC_Type="Building Area Method",Inventory!C35="N"),IF(ISERROR(INDEX('Usage Groups (&gt;120 MWh only)'!$N$8:$N$12,MATCH(C38,'Usage Groups (&gt;120 MWh only)'!$B$8:$B$12,0),1))=TRUE,SqFt/COUNTIFS(Inventory!$C$10:$C$1009,"N",$Q$13:$Q$1012,"&gt;=0"),INDEX('Usage Groups (&gt;120 MWh only)'!$N$8:$N$12,MATCH(C38,'Usage Groups (&gt;120 MWh only)'!$B$8:$B$12,0),1)/COUNTIF($C$13:$C$1012,C38)),IF(AND(NC_Type="Building Area Method",Inventory!C35="Y"),INDEX(xyNCEx,MATCH(I38,yNCExArea,0),3)/COUNTIF($I$13:$I$1012,I38),VLOOKUP(J38,xyWattage_Table,10,FALSE))),"")</f>
        <v/>
      </c>
      <c r="L38" s="539" t="str">
        <f t="shared" si="26"/>
        <v/>
      </c>
      <c r="M38" s="540">
        <f>IF(Inventory!N35="","",Inventory!N35)</f>
        <v>0</v>
      </c>
      <c r="N38" s="533" t="str">
        <f t="shared" si="27"/>
        <v/>
      </c>
      <c r="O38" s="534"/>
      <c r="P38" s="533" t="str">
        <f t="shared" si="28"/>
        <v/>
      </c>
      <c r="Q38" s="534" t="str">
        <f>IF(Inventory!L35="","",Inventory!L35)</f>
        <v/>
      </c>
      <c r="R38" s="535" t="str">
        <f t="shared" si="29"/>
        <v/>
      </c>
      <c r="S38" s="536" t="str">
        <f>IF(Inventory!O35="","",Inventory!O35)</f>
        <v/>
      </c>
      <c r="T38" s="541" t="str">
        <f>IFERROR(IF(C38="","",IF(INDEX(xyWattage_Table,MATCH(M38,'Fixture Identities'!$B$9:$B$997,0),2)="Exit Sign",8760,IF(VLOOKUP(C38,xySpace_Type_Details,8,FALSE)="TRM",INDEX('General Information'!$AF$17:$AG$28,11,MATCH(N38,'General Information'!$AF$16:$AG$16,0)),HLOOKUP(VLOOKUP(C38,xySpace_Type_Details,8,FALSE),'General Information'!$P$15:$AG$28,13,FALSE)))),"")</f>
        <v/>
      </c>
      <c r="U38" s="542" t="str">
        <f>IFERROR(IF(C38="","",IF(INDEX(xyWattage_Table,MATCH(M38,'Fixture Identities'!$B$9:$B$997,0),2)="Exit Sign",1,IF(VLOOKUP(C38,xySpace_Type_Details,8,FALSE)="TRM",INDEX('General Information'!$AF$17:$AG$28,12,MATCH(N38,'General Information'!$AF$16:$AG$16,0)),HLOOKUP(VLOOKUP(C38,xySpace_Type_Details,8,FALSE),'General Information'!$P$15:$AG$28,14,FALSE)))),"")</f>
        <v/>
      </c>
      <c r="V38" s="542" t="str">
        <f>IFERROR(VLOOKUP(INDEX(xySpace_Type_Details,MATCH($C38,'General Information'!$C$40:$C$60,0),12),Lookups!$L$8:$N$12,2,FALSE),"")</f>
        <v/>
      </c>
      <c r="W38" s="542" t="str">
        <f>IFERROR(VLOOKUP(INDEX(xySpace_Type_Details,MATCH($C38,'General Information'!$C$40:$C$60,0),12),Lookups!$L$8:$N$12,3,FALSE),"")</f>
        <v/>
      </c>
      <c r="X38" s="543"/>
      <c r="Y38" s="542" t="str">
        <f>IFERROR(IF(C38="","",IF(INDEX(xyWattage_Table,MATCH(M38,'Fixture Identities'!$B$9:$B$997,0),2)="Exit Sign",0,IF(PRJ_Type="Retrofit",VLOOKUP(I38,xySVG_Factors,2,FALSE),IF(AND(PRJ_Type="New Construction",Inventory!C35="N"),VLOOKUP(VLOOKUP(Building_Type,xyLPD_BuildingArea,5,FALSE),xySVG_Factors_NC,3,FALSE),0)))),"")</f>
        <v/>
      </c>
      <c r="Z38" s="544" t="str">
        <f>IFERROR(IF(C38="","",IF(INDEX(xyWattage_Table,MATCH(M38,'Fixture Identities'!$B$9:$B$997,0),2)="Exit Sign",0,VLOOKUP(S38,xySVG_Factors,2,FALSE))),"")</f>
        <v/>
      </c>
      <c r="AA38" s="545" t="str">
        <f t="shared" si="30"/>
        <v/>
      </c>
      <c r="AB38" s="542" t="str">
        <f t="shared" si="31"/>
        <v/>
      </c>
      <c r="AC38" s="539" t="str">
        <f t="shared" si="32"/>
        <v/>
      </c>
      <c r="AD38" s="546" t="str">
        <f t="shared" si="33"/>
        <v/>
      </c>
      <c r="AE38" s="539" t="str">
        <f t="shared" si="34"/>
        <v/>
      </c>
      <c r="AF38" s="546" t="str">
        <f t="shared" si="35"/>
        <v/>
      </c>
      <c r="AG38" s="539" t="str">
        <f t="shared" si="36"/>
        <v/>
      </c>
      <c r="AH38" s="32">
        <f t="shared" si="17"/>
        <v>0</v>
      </c>
      <c r="AI38" s="32">
        <f t="shared" si="18"/>
        <v>0</v>
      </c>
      <c r="AJ38" s="32">
        <f t="shared" si="19"/>
        <v>0</v>
      </c>
      <c r="AK38" t="str">
        <f t="shared" si="20"/>
        <v/>
      </c>
      <c r="AL38" t="str">
        <f t="shared" si="21"/>
        <v/>
      </c>
      <c r="AM38" t="str">
        <f t="shared" si="22"/>
        <v/>
      </c>
      <c r="AO38" t="str">
        <f>IFERROR(VLOOKUP(M38,'Fixture Identities'!$B$9:$O$1045,14,FALSE),"")</f>
        <v/>
      </c>
      <c r="AP38" t="str">
        <f t="shared" si="4"/>
        <v/>
      </c>
      <c r="AQ38" s="548" t="s">
        <v>547</v>
      </c>
    </row>
    <row r="39" spans="1:43" ht="15">
      <c r="A39" s="71">
        <f t="shared" si="5"/>
        <v>0</v>
      </c>
      <c r="B39" s="513">
        <f t="shared" si="23"/>
        <v>27</v>
      </c>
      <c r="C39" s="530" t="str">
        <f>IF(Inventory!E36="","",Inventory!E36)</f>
        <v/>
      </c>
      <c r="D39" s="531">
        <f>IF(Inventory!D36="",0,Inventory!D36)</f>
        <v>0</v>
      </c>
      <c r="E39" s="532" t="str">
        <f>IF(Inventory!I36=0,"",Inventory!I36)</f>
        <v/>
      </c>
      <c r="F39" s="533" t="str">
        <f t="shared" si="24"/>
        <v/>
      </c>
      <c r="G39" s="534" t="str">
        <f>IF(Inventory!G36="","",Inventory!G36)</f>
        <v/>
      </c>
      <c r="H39" s="535" t="str">
        <f t="shared" si="25"/>
        <v/>
      </c>
      <c r="I39" s="536" t="str">
        <f>IF(Inventory!J36="","",Inventory!J36)</f>
        <v/>
      </c>
      <c r="J39" s="537" t="str">
        <f>IFERROR(IF(PRJ_Type="New Construction",IF(Inventory!C36="N",INDEX(xyLPD_BuildingArea,MATCH(Building_Type,Lookups!$F$37:$F$75,0),4),INDEX(xyLPD_SpaceBySpace,MATCH(INDEX(xyNCEx,MATCH(I39,yNCExArea,0),2),ySpace_by_Space_Type,0),2)),VLOOKUP(E39,xyWattage_Table,11,FALSE)),"")</f>
        <v/>
      </c>
      <c r="K39" s="538" t="str">
        <f>IFERROR(IF(AND(NC_Type="Building Area Method",Inventory!C36="N"),IF(ISERROR(INDEX('Usage Groups (&gt;120 MWh only)'!$N$8:$N$12,MATCH(C39,'Usage Groups (&gt;120 MWh only)'!$B$8:$B$12,0),1))=TRUE,SqFt/COUNTIFS(Inventory!$C$10:$C$1009,"N",$Q$13:$Q$1012,"&gt;=0"),INDEX('Usage Groups (&gt;120 MWh only)'!$N$8:$N$12,MATCH(C39,'Usage Groups (&gt;120 MWh only)'!$B$8:$B$12,0),1)/COUNTIF($C$13:$C$1012,C39)),IF(AND(NC_Type="Building Area Method",Inventory!C36="Y"),INDEX(xyNCEx,MATCH(I39,yNCExArea,0),3)/COUNTIF($I$13:$I$1012,I39),VLOOKUP(J39,xyWattage_Table,10,FALSE))),"")</f>
        <v/>
      </c>
      <c r="L39" s="539" t="str">
        <f t="shared" si="26"/>
        <v/>
      </c>
      <c r="M39" s="540">
        <f>IF(Inventory!N36="","",Inventory!N36)</f>
        <v>0</v>
      </c>
      <c r="N39" s="533" t="str">
        <f t="shared" si="27"/>
        <v/>
      </c>
      <c r="O39" s="534"/>
      <c r="P39" s="533" t="str">
        <f t="shared" si="28"/>
        <v/>
      </c>
      <c r="Q39" s="534" t="str">
        <f>IF(Inventory!L36="","",Inventory!L36)</f>
        <v/>
      </c>
      <c r="R39" s="535" t="str">
        <f t="shared" si="29"/>
        <v/>
      </c>
      <c r="S39" s="536" t="str">
        <f>IF(Inventory!O36="","",Inventory!O36)</f>
        <v/>
      </c>
      <c r="T39" s="541" t="str">
        <f>IFERROR(IF(C39="","",IF(INDEX(xyWattage_Table,MATCH(M39,'Fixture Identities'!$B$9:$B$997,0),2)="Exit Sign",8760,IF(VLOOKUP(C39,xySpace_Type_Details,8,FALSE)="TRM",INDEX('General Information'!$AF$17:$AG$28,11,MATCH(N39,'General Information'!$AF$16:$AG$16,0)),HLOOKUP(VLOOKUP(C39,xySpace_Type_Details,8,FALSE),'General Information'!$P$15:$AG$28,13,FALSE)))),"")</f>
        <v/>
      </c>
      <c r="U39" s="542" t="str">
        <f>IFERROR(IF(C39="","",IF(INDEX(xyWattage_Table,MATCH(M39,'Fixture Identities'!$B$9:$B$997,0),2)="Exit Sign",1,IF(VLOOKUP(C39,xySpace_Type_Details,8,FALSE)="TRM",INDEX('General Information'!$AF$17:$AG$28,12,MATCH(N39,'General Information'!$AF$16:$AG$16,0)),HLOOKUP(VLOOKUP(C39,xySpace_Type_Details,8,FALSE),'General Information'!$P$15:$AG$28,14,FALSE)))),"")</f>
        <v/>
      </c>
      <c r="V39" s="542" t="str">
        <f>IFERROR(VLOOKUP(INDEX(xySpace_Type_Details,MATCH($C39,'General Information'!$C$40:$C$60,0),12),Lookups!$L$8:$N$12,2,FALSE),"")</f>
        <v/>
      </c>
      <c r="W39" s="542" t="str">
        <f>IFERROR(VLOOKUP(INDEX(xySpace_Type_Details,MATCH($C39,'General Information'!$C$40:$C$60,0),12),Lookups!$L$8:$N$12,3,FALSE),"")</f>
        <v/>
      </c>
      <c r="X39" s="543"/>
      <c r="Y39" s="542" t="str">
        <f>IFERROR(IF(C39="","",IF(INDEX(xyWattage_Table,MATCH(M39,'Fixture Identities'!$B$9:$B$997,0),2)="Exit Sign",0,IF(PRJ_Type="Retrofit",VLOOKUP(I39,xySVG_Factors,2,FALSE),IF(AND(PRJ_Type="New Construction",Inventory!C36="N"),VLOOKUP(VLOOKUP(Building_Type,xyLPD_BuildingArea,5,FALSE),xySVG_Factors_NC,3,FALSE),0)))),"")</f>
        <v/>
      </c>
      <c r="Z39" s="544" t="str">
        <f>IFERROR(IF(C39="","",IF(INDEX(xyWattage_Table,MATCH(M39,'Fixture Identities'!$B$9:$B$997,0),2)="Exit Sign",0,VLOOKUP(S39,xySVG_Factors,2,FALSE))),"")</f>
        <v/>
      </c>
      <c r="AA39" s="545" t="str">
        <f t="shared" si="30"/>
        <v/>
      </c>
      <c r="AB39" s="542" t="str">
        <f t="shared" si="31"/>
        <v/>
      </c>
      <c r="AC39" s="539" t="str">
        <f t="shared" si="32"/>
        <v/>
      </c>
      <c r="AD39" s="546" t="str">
        <f t="shared" si="33"/>
        <v/>
      </c>
      <c r="AE39" s="539" t="str">
        <f t="shared" si="34"/>
        <v/>
      </c>
      <c r="AF39" s="546" t="str">
        <f t="shared" si="35"/>
        <v/>
      </c>
      <c r="AG39" s="539" t="str">
        <f t="shared" si="36"/>
        <v/>
      </c>
      <c r="AH39" s="32">
        <f t="shared" si="17"/>
        <v>0</v>
      </c>
      <c r="AI39" s="32">
        <f t="shared" si="18"/>
        <v>0</v>
      </c>
      <c r="AJ39" s="32">
        <f t="shared" si="19"/>
        <v>0</v>
      </c>
      <c r="AK39" t="str">
        <f t="shared" si="20"/>
        <v/>
      </c>
      <c r="AL39" t="str">
        <f t="shared" si="21"/>
        <v/>
      </c>
      <c r="AM39" t="str">
        <f t="shared" si="22"/>
        <v/>
      </c>
      <c r="AO39" t="str">
        <f>IFERROR(VLOOKUP(M39,'Fixture Identities'!$B$9:$O$1045,14,FALSE),"")</f>
        <v/>
      </c>
      <c r="AP39" t="str">
        <f t="shared" si="4"/>
        <v/>
      </c>
      <c r="AQ39" s="548" t="s">
        <v>548</v>
      </c>
    </row>
    <row r="40" spans="1:43" ht="15">
      <c r="A40" s="71">
        <f t="shared" si="5"/>
        <v>0</v>
      </c>
      <c r="B40" s="513">
        <f t="shared" si="23"/>
        <v>28</v>
      </c>
      <c r="C40" s="530" t="str">
        <f>IF(Inventory!E37="","",Inventory!E37)</f>
        <v/>
      </c>
      <c r="D40" s="531">
        <f>IF(Inventory!D37="",0,Inventory!D37)</f>
        <v>0</v>
      </c>
      <c r="E40" s="532" t="str">
        <f>IF(Inventory!I37=0,"",Inventory!I37)</f>
        <v/>
      </c>
      <c r="F40" s="533" t="str">
        <f t="shared" si="24"/>
        <v/>
      </c>
      <c r="G40" s="534" t="str">
        <f>IF(Inventory!G37="","",Inventory!G37)</f>
        <v/>
      </c>
      <c r="H40" s="535" t="str">
        <f t="shared" si="25"/>
        <v/>
      </c>
      <c r="I40" s="536" t="str">
        <f>IF(Inventory!J37="","",Inventory!J37)</f>
        <v/>
      </c>
      <c r="J40" s="537" t="str">
        <f>IFERROR(IF(PRJ_Type="New Construction",IF(Inventory!C37="N",INDEX(xyLPD_BuildingArea,MATCH(Building_Type,Lookups!$F$37:$F$75,0),4),INDEX(xyLPD_SpaceBySpace,MATCH(INDEX(xyNCEx,MATCH(I40,yNCExArea,0),2),ySpace_by_Space_Type,0),2)),VLOOKUP(E40,xyWattage_Table,11,FALSE)),"")</f>
        <v/>
      </c>
      <c r="K40" s="538" t="str">
        <f>IFERROR(IF(AND(NC_Type="Building Area Method",Inventory!C37="N"),IF(ISERROR(INDEX('Usage Groups (&gt;120 MWh only)'!$N$8:$N$12,MATCH(C40,'Usage Groups (&gt;120 MWh only)'!$B$8:$B$12,0),1))=TRUE,SqFt/COUNTIFS(Inventory!$C$10:$C$1009,"N",$Q$13:$Q$1012,"&gt;=0"),INDEX('Usage Groups (&gt;120 MWh only)'!$N$8:$N$12,MATCH(C40,'Usage Groups (&gt;120 MWh only)'!$B$8:$B$12,0),1)/COUNTIF($C$13:$C$1012,C40)),IF(AND(NC_Type="Building Area Method",Inventory!C37="Y"),INDEX(xyNCEx,MATCH(I40,yNCExArea,0),3)/COUNTIF($I$13:$I$1012,I40),VLOOKUP(J40,xyWattage_Table,10,FALSE))),"")</f>
        <v/>
      </c>
      <c r="L40" s="539" t="str">
        <f t="shared" si="26"/>
        <v/>
      </c>
      <c r="M40" s="540">
        <f>IF(Inventory!N37="","",Inventory!N37)</f>
        <v>0</v>
      </c>
      <c r="N40" s="533" t="str">
        <f t="shared" si="27"/>
        <v/>
      </c>
      <c r="O40" s="534"/>
      <c r="P40" s="533" t="str">
        <f t="shared" si="28"/>
        <v/>
      </c>
      <c r="Q40" s="534" t="str">
        <f>IF(Inventory!L37="","",Inventory!L37)</f>
        <v/>
      </c>
      <c r="R40" s="535" t="str">
        <f t="shared" si="29"/>
        <v/>
      </c>
      <c r="S40" s="536" t="str">
        <f>IF(Inventory!O37="","",Inventory!O37)</f>
        <v/>
      </c>
      <c r="T40" s="541" t="str">
        <f>IFERROR(IF(C40="","",IF(INDEX(xyWattage_Table,MATCH(M40,'Fixture Identities'!$B$9:$B$997,0),2)="Exit Sign",8760,IF(VLOOKUP(C40,xySpace_Type_Details,8,FALSE)="TRM",INDEX('General Information'!$AF$17:$AG$28,11,MATCH(N40,'General Information'!$AF$16:$AG$16,0)),HLOOKUP(VLOOKUP(C40,xySpace_Type_Details,8,FALSE),'General Information'!$P$15:$AG$28,13,FALSE)))),"")</f>
        <v/>
      </c>
      <c r="U40" s="542" t="str">
        <f>IFERROR(IF(C40="","",IF(INDEX(xyWattage_Table,MATCH(M40,'Fixture Identities'!$B$9:$B$997,0),2)="Exit Sign",1,IF(VLOOKUP(C40,xySpace_Type_Details,8,FALSE)="TRM",INDEX('General Information'!$AF$17:$AG$28,12,MATCH(N40,'General Information'!$AF$16:$AG$16,0)),HLOOKUP(VLOOKUP(C40,xySpace_Type_Details,8,FALSE),'General Information'!$P$15:$AG$28,14,FALSE)))),"")</f>
        <v/>
      </c>
      <c r="V40" s="542" t="str">
        <f>IFERROR(VLOOKUP(INDEX(xySpace_Type_Details,MATCH($C40,'General Information'!$C$40:$C$60,0),12),Lookups!$L$8:$N$12,2,FALSE),"")</f>
        <v/>
      </c>
      <c r="W40" s="542" t="str">
        <f>IFERROR(VLOOKUP(INDEX(xySpace_Type_Details,MATCH($C40,'General Information'!$C$40:$C$60,0),12),Lookups!$L$8:$N$12,3,FALSE),"")</f>
        <v/>
      </c>
      <c r="X40" s="543"/>
      <c r="Y40" s="542" t="str">
        <f>IFERROR(IF(C40="","",IF(INDEX(xyWattage_Table,MATCH(M40,'Fixture Identities'!$B$9:$B$997,0),2)="Exit Sign",0,IF(PRJ_Type="Retrofit",VLOOKUP(I40,xySVG_Factors,2,FALSE),IF(AND(PRJ_Type="New Construction",Inventory!C37="N"),VLOOKUP(VLOOKUP(Building_Type,xyLPD_BuildingArea,5,FALSE),xySVG_Factors_NC,3,FALSE),0)))),"")</f>
        <v/>
      </c>
      <c r="Z40" s="544" t="str">
        <f>IFERROR(IF(C40="","",IF(INDEX(xyWattage_Table,MATCH(M40,'Fixture Identities'!$B$9:$B$997,0),2)="Exit Sign",0,VLOOKUP(S40,xySVG_Factors,2,FALSE))),"")</f>
        <v/>
      </c>
      <c r="AA40" s="545" t="str">
        <f t="shared" si="30"/>
        <v/>
      </c>
      <c r="AB40" s="542" t="str">
        <f t="shared" si="31"/>
        <v/>
      </c>
      <c r="AC40" s="539" t="str">
        <f t="shared" si="32"/>
        <v/>
      </c>
      <c r="AD40" s="546" t="str">
        <f t="shared" si="33"/>
        <v/>
      </c>
      <c r="AE40" s="539" t="str">
        <f t="shared" si="34"/>
        <v/>
      </c>
      <c r="AF40" s="546" t="str">
        <f t="shared" si="35"/>
        <v/>
      </c>
      <c r="AG40" s="539" t="str">
        <f t="shared" si="36"/>
        <v/>
      </c>
      <c r="AH40" s="32">
        <f t="shared" si="17"/>
        <v>0</v>
      </c>
      <c r="AI40" s="32">
        <f t="shared" si="18"/>
        <v>0</v>
      </c>
      <c r="AJ40" s="32">
        <f t="shared" si="19"/>
        <v>0</v>
      </c>
      <c r="AK40" t="str">
        <f t="shared" si="20"/>
        <v/>
      </c>
      <c r="AL40" t="str">
        <f t="shared" si="21"/>
        <v/>
      </c>
      <c r="AM40" t="str">
        <f t="shared" si="22"/>
        <v/>
      </c>
      <c r="AO40" t="str">
        <f>IFERROR(VLOOKUP(M40,'Fixture Identities'!$B$9:$O$1045,14,FALSE),"")</f>
        <v/>
      </c>
      <c r="AP40" t="str">
        <f t="shared" si="4"/>
        <v/>
      </c>
      <c r="AQ40" s="512" t="s">
        <v>549</v>
      </c>
    </row>
    <row r="41" spans="1:43" ht="15">
      <c r="A41" s="71">
        <f t="shared" si="5"/>
        <v>0</v>
      </c>
      <c r="B41" s="513">
        <f t="shared" si="23"/>
        <v>29</v>
      </c>
      <c r="C41" s="530" t="str">
        <f>IF(Inventory!E38="","",Inventory!E38)</f>
        <v/>
      </c>
      <c r="D41" s="531">
        <f>IF(Inventory!D38="",0,Inventory!D38)</f>
        <v>0</v>
      </c>
      <c r="E41" s="532" t="str">
        <f>IF(Inventory!I38=0,"",Inventory!I38)</f>
        <v/>
      </c>
      <c r="F41" s="533" t="str">
        <f t="shared" si="24"/>
        <v/>
      </c>
      <c r="G41" s="534" t="str">
        <f>IF(Inventory!G38="","",Inventory!G38)</f>
        <v/>
      </c>
      <c r="H41" s="535" t="str">
        <f t="shared" si="25"/>
        <v/>
      </c>
      <c r="I41" s="536" t="str">
        <f>IF(Inventory!J38="","",Inventory!J38)</f>
        <v/>
      </c>
      <c r="J41" s="537" t="str">
        <f>IFERROR(IF(PRJ_Type="New Construction",IF(Inventory!C38="N",INDEX(xyLPD_BuildingArea,MATCH(Building_Type,Lookups!$F$37:$F$75,0),4),INDEX(xyLPD_SpaceBySpace,MATCH(INDEX(xyNCEx,MATCH(I41,yNCExArea,0),2),ySpace_by_Space_Type,0),2)),VLOOKUP(E41,xyWattage_Table,11,FALSE)),"")</f>
        <v/>
      </c>
      <c r="K41" s="538" t="str">
        <f>IFERROR(IF(AND(NC_Type="Building Area Method",Inventory!C38="N"),IF(ISERROR(INDEX('Usage Groups (&gt;120 MWh only)'!$N$8:$N$12,MATCH(C41,'Usage Groups (&gt;120 MWh only)'!$B$8:$B$12,0),1))=TRUE,SqFt/COUNTIFS(Inventory!$C$10:$C$1009,"N",$Q$13:$Q$1012,"&gt;=0"),INDEX('Usage Groups (&gt;120 MWh only)'!$N$8:$N$12,MATCH(C41,'Usage Groups (&gt;120 MWh only)'!$B$8:$B$12,0),1)/COUNTIF($C$13:$C$1012,C41)),IF(AND(NC_Type="Building Area Method",Inventory!C38="Y"),INDEX(xyNCEx,MATCH(I41,yNCExArea,0),3)/COUNTIF($I$13:$I$1012,I41),VLOOKUP(J41,xyWattage_Table,10,FALSE))),"")</f>
        <v/>
      </c>
      <c r="L41" s="539" t="str">
        <f t="shared" si="26"/>
        <v/>
      </c>
      <c r="M41" s="540">
        <f>IF(Inventory!N38="","",Inventory!N38)</f>
        <v>0</v>
      </c>
      <c r="N41" s="533" t="str">
        <f t="shared" si="27"/>
        <v/>
      </c>
      <c r="O41" s="534"/>
      <c r="P41" s="533" t="str">
        <f t="shared" si="28"/>
        <v/>
      </c>
      <c r="Q41" s="534" t="str">
        <f>IF(Inventory!L38="","",Inventory!L38)</f>
        <v/>
      </c>
      <c r="R41" s="535" t="str">
        <f t="shared" si="29"/>
        <v/>
      </c>
      <c r="S41" s="536" t="str">
        <f>IF(Inventory!O38="","",Inventory!O38)</f>
        <v/>
      </c>
      <c r="T41" s="541" t="str">
        <f>IFERROR(IF(C41="","",IF(INDEX(xyWattage_Table,MATCH(M41,'Fixture Identities'!$B$9:$B$997,0),2)="Exit Sign",8760,IF(VLOOKUP(C41,xySpace_Type_Details,8,FALSE)="TRM",INDEX('General Information'!$AF$17:$AG$28,11,MATCH(N41,'General Information'!$AF$16:$AG$16,0)),HLOOKUP(VLOOKUP(C41,xySpace_Type_Details,8,FALSE),'General Information'!$P$15:$AG$28,13,FALSE)))),"")</f>
        <v/>
      </c>
      <c r="U41" s="542" t="str">
        <f>IFERROR(IF(C41="","",IF(INDEX(xyWattage_Table,MATCH(M41,'Fixture Identities'!$B$9:$B$997,0),2)="Exit Sign",1,IF(VLOOKUP(C41,xySpace_Type_Details,8,FALSE)="TRM",INDEX('General Information'!$AF$17:$AG$28,12,MATCH(N41,'General Information'!$AF$16:$AG$16,0)),HLOOKUP(VLOOKUP(C41,xySpace_Type_Details,8,FALSE),'General Information'!$P$15:$AG$28,14,FALSE)))),"")</f>
        <v/>
      </c>
      <c r="V41" s="542" t="str">
        <f>IFERROR(VLOOKUP(INDEX(xySpace_Type_Details,MATCH($C41,'General Information'!$C$40:$C$60,0),12),Lookups!$L$8:$N$12,2,FALSE),"")</f>
        <v/>
      </c>
      <c r="W41" s="542" t="str">
        <f>IFERROR(VLOOKUP(INDEX(xySpace_Type_Details,MATCH($C41,'General Information'!$C$40:$C$60,0),12),Lookups!$L$8:$N$12,3,FALSE),"")</f>
        <v/>
      </c>
      <c r="X41" s="543"/>
      <c r="Y41" s="542" t="str">
        <f>IFERROR(IF(C41="","",IF(INDEX(xyWattage_Table,MATCH(M41,'Fixture Identities'!$B$9:$B$997,0),2)="Exit Sign",0,IF(PRJ_Type="Retrofit",VLOOKUP(I41,xySVG_Factors,2,FALSE),IF(AND(PRJ_Type="New Construction",Inventory!C38="N"),VLOOKUP(VLOOKUP(Building_Type,xyLPD_BuildingArea,5,FALSE),xySVG_Factors_NC,3,FALSE),0)))),"")</f>
        <v/>
      </c>
      <c r="Z41" s="544" t="str">
        <f>IFERROR(IF(C41="","",IF(INDEX(xyWattage_Table,MATCH(M41,'Fixture Identities'!$B$9:$B$997,0),2)="Exit Sign",0,VLOOKUP(S41,xySVG_Factors,2,FALSE))),"")</f>
        <v/>
      </c>
      <c r="AA41" s="545" t="str">
        <f t="shared" si="30"/>
        <v/>
      </c>
      <c r="AB41" s="542" t="str">
        <f t="shared" si="31"/>
        <v/>
      </c>
      <c r="AC41" s="539" t="str">
        <f t="shared" si="32"/>
        <v/>
      </c>
      <c r="AD41" s="546" t="str">
        <f t="shared" si="33"/>
        <v/>
      </c>
      <c r="AE41" s="539" t="str">
        <f t="shared" si="34"/>
        <v/>
      </c>
      <c r="AF41" s="546" t="str">
        <f t="shared" si="35"/>
        <v/>
      </c>
      <c r="AG41" s="539" t="str">
        <f t="shared" si="36"/>
        <v/>
      </c>
      <c r="AH41" s="32">
        <f t="shared" si="17"/>
        <v>0</v>
      </c>
      <c r="AI41" s="32">
        <f t="shared" si="18"/>
        <v>0</v>
      </c>
      <c r="AJ41" s="32">
        <f t="shared" si="19"/>
        <v>0</v>
      </c>
      <c r="AK41" t="str">
        <f t="shared" si="20"/>
        <v/>
      </c>
      <c r="AL41" t="str">
        <f t="shared" si="21"/>
        <v/>
      </c>
      <c r="AM41" t="str">
        <f t="shared" si="22"/>
        <v/>
      </c>
      <c r="AO41" t="str">
        <f>IFERROR(VLOOKUP(M41,'Fixture Identities'!$B$9:$O$1045,14,FALSE),"")</f>
        <v/>
      </c>
      <c r="AP41" t="str">
        <f t="shared" si="4"/>
        <v/>
      </c>
      <c r="AQ41" s="512" t="s">
        <v>550</v>
      </c>
    </row>
    <row r="42" spans="1:43" ht="15">
      <c r="A42" s="71">
        <f t="shared" si="5"/>
        <v>0</v>
      </c>
      <c r="B42" s="513">
        <f t="shared" si="23"/>
        <v>30</v>
      </c>
      <c r="C42" s="530" t="str">
        <f>IF(Inventory!E39="","",Inventory!E39)</f>
        <v/>
      </c>
      <c r="D42" s="531">
        <f>IF(Inventory!D39="",0,Inventory!D39)</f>
        <v>0</v>
      </c>
      <c r="E42" s="532" t="str">
        <f>IF(Inventory!I39=0,"",Inventory!I39)</f>
        <v/>
      </c>
      <c r="F42" s="533" t="str">
        <f t="shared" si="24"/>
        <v/>
      </c>
      <c r="G42" s="534" t="str">
        <f>IF(Inventory!G39="","",Inventory!G39)</f>
        <v/>
      </c>
      <c r="H42" s="535" t="str">
        <f t="shared" si="25"/>
        <v/>
      </c>
      <c r="I42" s="536" t="str">
        <f>IF(Inventory!J39="","",Inventory!J39)</f>
        <v/>
      </c>
      <c r="J42" s="537" t="str">
        <f>IFERROR(IF(PRJ_Type="New Construction",IF(Inventory!C39="N",INDEX(xyLPD_BuildingArea,MATCH(Building_Type,Lookups!$F$37:$F$75,0),4),INDEX(xyLPD_SpaceBySpace,MATCH(INDEX(xyNCEx,MATCH(I42,yNCExArea,0),2),ySpace_by_Space_Type,0),2)),VLOOKUP(E42,xyWattage_Table,11,FALSE)),"")</f>
        <v/>
      </c>
      <c r="K42" s="538" t="str">
        <f>IFERROR(IF(AND(NC_Type="Building Area Method",Inventory!C39="N"),IF(ISERROR(INDEX('Usage Groups (&gt;120 MWh only)'!$N$8:$N$12,MATCH(C42,'Usage Groups (&gt;120 MWh only)'!$B$8:$B$12,0),1))=TRUE,SqFt/COUNTIFS(Inventory!$C$10:$C$1009,"N",$Q$13:$Q$1012,"&gt;=0"),INDEX('Usage Groups (&gt;120 MWh only)'!$N$8:$N$12,MATCH(C42,'Usage Groups (&gt;120 MWh only)'!$B$8:$B$12,0),1)/COUNTIF($C$13:$C$1012,C42)),IF(AND(NC_Type="Building Area Method",Inventory!C39="Y"),INDEX(xyNCEx,MATCH(I42,yNCExArea,0),3)/COUNTIF($I$13:$I$1012,I42),VLOOKUP(J42,xyWattage_Table,10,FALSE))),"")</f>
        <v/>
      </c>
      <c r="L42" s="539" t="str">
        <f t="shared" si="26"/>
        <v/>
      </c>
      <c r="M42" s="540">
        <f>IF(Inventory!N39="","",Inventory!N39)</f>
        <v>0</v>
      </c>
      <c r="N42" s="533" t="str">
        <f t="shared" si="27"/>
        <v/>
      </c>
      <c r="O42" s="534"/>
      <c r="P42" s="533" t="str">
        <f t="shared" si="28"/>
        <v/>
      </c>
      <c r="Q42" s="534" t="str">
        <f>IF(Inventory!L39="","",Inventory!L39)</f>
        <v/>
      </c>
      <c r="R42" s="535" t="str">
        <f t="shared" si="29"/>
        <v/>
      </c>
      <c r="S42" s="536" t="str">
        <f>IF(Inventory!O39="","",Inventory!O39)</f>
        <v/>
      </c>
      <c r="T42" s="541" t="str">
        <f>IFERROR(IF(C42="","",IF(INDEX(xyWattage_Table,MATCH(M42,'Fixture Identities'!$B$9:$B$997,0),2)="Exit Sign",8760,IF(VLOOKUP(C42,xySpace_Type_Details,8,FALSE)="TRM",INDEX('General Information'!$AF$17:$AG$28,11,MATCH(N42,'General Information'!$AF$16:$AG$16,0)),HLOOKUP(VLOOKUP(C42,xySpace_Type_Details,8,FALSE),'General Information'!$P$15:$AG$28,13,FALSE)))),"")</f>
        <v/>
      </c>
      <c r="U42" s="542" t="str">
        <f>IFERROR(IF(C42="","",IF(INDEX(xyWattage_Table,MATCH(M42,'Fixture Identities'!$B$9:$B$997,0),2)="Exit Sign",1,IF(VLOOKUP(C42,xySpace_Type_Details,8,FALSE)="TRM",INDEX('General Information'!$AF$17:$AG$28,12,MATCH(N42,'General Information'!$AF$16:$AG$16,0)),HLOOKUP(VLOOKUP(C42,xySpace_Type_Details,8,FALSE),'General Information'!$P$15:$AG$28,14,FALSE)))),"")</f>
        <v/>
      </c>
      <c r="V42" s="542" t="str">
        <f>IFERROR(VLOOKUP(INDEX(xySpace_Type_Details,MATCH($C42,'General Information'!$C$40:$C$60,0),12),Lookups!$L$8:$N$12,2,FALSE),"")</f>
        <v/>
      </c>
      <c r="W42" s="542" t="str">
        <f>IFERROR(VLOOKUP(INDEX(xySpace_Type_Details,MATCH($C42,'General Information'!$C$40:$C$60,0),12),Lookups!$L$8:$N$12,3,FALSE),"")</f>
        <v/>
      </c>
      <c r="X42" s="543"/>
      <c r="Y42" s="542" t="str">
        <f>IFERROR(IF(C42="","",IF(INDEX(xyWattage_Table,MATCH(M42,'Fixture Identities'!$B$9:$B$997,0),2)="Exit Sign",0,IF(PRJ_Type="Retrofit",VLOOKUP(I42,xySVG_Factors,2,FALSE),IF(AND(PRJ_Type="New Construction",Inventory!C39="N"),VLOOKUP(VLOOKUP(Building_Type,xyLPD_BuildingArea,5,FALSE),xySVG_Factors_NC,3,FALSE),0)))),"")</f>
        <v/>
      </c>
      <c r="Z42" s="544" t="str">
        <f>IFERROR(IF(C42="","",IF(INDEX(xyWattage_Table,MATCH(M42,'Fixture Identities'!$B$9:$B$997,0),2)="Exit Sign",0,VLOOKUP(S42,xySVG_Factors,2,FALSE))),"")</f>
        <v/>
      </c>
      <c r="AA42" s="545" t="str">
        <f t="shared" si="30"/>
        <v/>
      </c>
      <c r="AB42" s="542" t="str">
        <f t="shared" si="31"/>
        <v/>
      </c>
      <c r="AC42" s="539" t="str">
        <f t="shared" si="32"/>
        <v/>
      </c>
      <c r="AD42" s="546" t="str">
        <f t="shared" si="33"/>
        <v/>
      </c>
      <c r="AE42" s="539" t="str">
        <f t="shared" si="34"/>
        <v/>
      </c>
      <c r="AF42" s="546" t="str">
        <f t="shared" si="35"/>
        <v/>
      </c>
      <c r="AG42" s="539" t="str">
        <f t="shared" si="36"/>
        <v/>
      </c>
      <c r="AH42" s="32">
        <f t="shared" si="17"/>
        <v>0</v>
      </c>
      <c r="AI42" s="32">
        <f t="shared" si="18"/>
        <v>0</v>
      </c>
      <c r="AJ42" s="32">
        <f t="shared" si="19"/>
        <v>0</v>
      </c>
      <c r="AK42" t="str">
        <f t="shared" si="20"/>
        <v/>
      </c>
      <c r="AL42" t="str">
        <f t="shared" si="21"/>
        <v/>
      </c>
      <c r="AM42" t="str">
        <f t="shared" si="22"/>
        <v/>
      </c>
      <c r="AO42" t="str">
        <f>IFERROR(VLOOKUP(M42,'Fixture Identities'!$B$9:$O$1045,14,FALSE),"")</f>
        <v/>
      </c>
      <c r="AP42" t="str">
        <f t="shared" si="4"/>
        <v/>
      </c>
      <c r="AQ42" s="548" t="s">
        <v>551</v>
      </c>
    </row>
    <row r="43" spans="1:43" ht="15">
      <c r="A43" s="71">
        <f t="shared" si="5"/>
        <v>0</v>
      </c>
      <c r="B43" s="513">
        <f t="shared" si="23"/>
        <v>31</v>
      </c>
      <c r="C43" s="530" t="str">
        <f>IF(Inventory!E40="","",Inventory!E40)</f>
        <v/>
      </c>
      <c r="D43" s="531">
        <f>IF(Inventory!D40="",0,Inventory!D40)</f>
        <v>0</v>
      </c>
      <c r="E43" s="532" t="str">
        <f>IF(Inventory!I40=0,"",Inventory!I40)</f>
        <v/>
      </c>
      <c r="F43" s="533" t="str">
        <f t="shared" si="24"/>
        <v/>
      </c>
      <c r="G43" s="534" t="str">
        <f>IF(Inventory!G40="","",Inventory!G40)</f>
        <v/>
      </c>
      <c r="H43" s="535" t="str">
        <f t="shared" si="25"/>
        <v/>
      </c>
      <c r="I43" s="536" t="str">
        <f>IF(Inventory!J40="","",Inventory!J40)</f>
        <v/>
      </c>
      <c r="J43" s="537" t="str">
        <f>IFERROR(IF(PRJ_Type="New Construction",IF(Inventory!C40="N",INDEX(xyLPD_BuildingArea,MATCH(Building_Type,Lookups!$F$37:$F$75,0),4),INDEX(xyLPD_SpaceBySpace,MATCH(INDEX(xyNCEx,MATCH(I43,yNCExArea,0),2),ySpace_by_Space_Type,0),2)),VLOOKUP(E43,xyWattage_Table,11,FALSE)),"")</f>
        <v/>
      </c>
      <c r="K43" s="538" t="str">
        <f>IFERROR(IF(AND(NC_Type="Building Area Method",Inventory!C40="N"),IF(ISERROR(INDEX('Usage Groups (&gt;120 MWh only)'!$N$8:$N$12,MATCH(C43,'Usage Groups (&gt;120 MWh only)'!$B$8:$B$12,0),1))=TRUE,SqFt/COUNTIFS(Inventory!$C$10:$C$1009,"N",$Q$13:$Q$1012,"&gt;=0"),INDEX('Usage Groups (&gt;120 MWh only)'!$N$8:$N$12,MATCH(C43,'Usage Groups (&gt;120 MWh only)'!$B$8:$B$12,0),1)/COUNTIF($C$13:$C$1012,C43)),IF(AND(NC_Type="Building Area Method",Inventory!C40="Y"),INDEX(xyNCEx,MATCH(I43,yNCExArea,0),3)/COUNTIF($I$13:$I$1012,I43),VLOOKUP(J43,xyWattage_Table,10,FALSE))),"")</f>
        <v/>
      </c>
      <c r="L43" s="539" t="str">
        <f t="shared" si="26"/>
        <v/>
      </c>
      <c r="M43" s="540">
        <f>IF(Inventory!N40="","",Inventory!N40)</f>
        <v>0</v>
      </c>
      <c r="N43" s="533" t="str">
        <f t="shared" si="27"/>
        <v/>
      </c>
      <c r="O43" s="534"/>
      <c r="P43" s="533" t="str">
        <f t="shared" si="28"/>
        <v/>
      </c>
      <c r="Q43" s="534" t="str">
        <f>IF(Inventory!L40="","",Inventory!L40)</f>
        <v/>
      </c>
      <c r="R43" s="535" t="str">
        <f t="shared" si="29"/>
        <v/>
      </c>
      <c r="S43" s="536" t="str">
        <f>IF(Inventory!O40="","",Inventory!O40)</f>
        <v/>
      </c>
      <c r="T43" s="541" t="str">
        <f>IFERROR(IF(C43="","",IF(INDEX(xyWattage_Table,MATCH(M43,'Fixture Identities'!$B$9:$B$997,0),2)="Exit Sign",8760,IF(VLOOKUP(C43,xySpace_Type_Details,8,FALSE)="TRM",INDEX('General Information'!$AF$17:$AG$28,11,MATCH(N43,'General Information'!$AF$16:$AG$16,0)),HLOOKUP(VLOOKUP(C43,xySpace_Type_Details,8,FALSE),'General Information'!$P$15:$AG$28,13,FALSE)))),"")</f>
        <v/>
      </c>
      <c r="U43" s="542" t="str">
        <f>IFERROR(IF(C43="","",IF(INDEX(xyWattage_Table,MATCH(M43,'Fixture Identities'!$B$9:$B$997,0),2)="Exit Sign",1,IF(VLOOKUP(C43,xySpace_Type_Details,8,FALSE)="TRM",INDEX('General Information'!$AF$17:$AG$28,12,MATCH(N43,'General Information'!$AF$16:$AG$16,0)),HLOOKUP(VLOOKUP(C43,xySpace_Type_Details,8,FALSE),'General Information'!$P$15:$AG$28,14,FALSE)))),"")</f>
        <v/>
      </c>
      <c r="V43" s="542" t="str">
        <f>IFERROR(VLOOKUP(INDEX(xySpace_Type_Details,MATCH($C43,'General Information'!$C$40:$C$60,0),12),Lookups!$L$8:$N$12,2,FALSE),"")</f>
        <v/>
      </c>
      <c r="W43" s="542" t="str">
        <f>IFERROR(VLOOKUP(INDEX(xySpace_Type_Details,MATCH($C43,'General Information'!$C$40:$C$60,0),12),Lookups!$L$8:$N$12,3,FALSE),"")</f>
        <v/>
      </c>
      <c r="X43" s="543"/>
      <c r="Y43" s="542" t="str">
        <f>IFERROR(IF(C43="","",IF(INDEX(xyWattage_Table,MATCH(M43,'Fixture Identities'!$B$9:$B$997,0),2)="Exit Sign",0,IF(PRJ_Type="Retrofit",VLOOKUP(I43,xySVG_Factors,2,FALSE),IF(AND(PRJ_Type="New Construction",Inventory!C40="N"),VLOOKUP(VLOOKUP(Building_Type,xyLPD_BuildingArea,5,FALSE),xySVG_Factors_NC,3,FALSE),0)))),"")</f>
        <v/>
      </c>
      <c r="Z43" s="544" t="str">
        <f>IFERROR(IF(C43="","",IF(INDEX(xyWattage_Table,MATCH(M43,'Fixture Identities'!$B$9:$B$997,0),2)="Exit Sign",0,VLOOKUP(S43,xySVG_Factors,2,FALSE))),"")</f>
        <v/>
      </c>
      <c r="AA43" s="545" t="str">
        <f t="shared" si="30"/>
        <v/>
      </c>
      <c r="AB43" s="542" t="str">
        <f t="shared" si="31"/>
        <v/>
      </c>
      <c r="AC43" s="539" t="str">
        <f t="shared" si="32"/>
        <v/>
      </c>
      <c r="AD43" s="546" t="str">
        <f t="shared" si="33"/>
        <v/>
      </c>
      <c r="AE43" s="539" t="str">
        <f t="shared" si="34"/>
        <v/>
      </c>
      <c r="AF43" s="546" t="str">
        <f t="shared" si="35"/>
        <v/>
      </c>
      <c r="AG43" s="539" t="str">
        <f t="shared" si="36"/>
        <v/>
      </c>
      <c r="AH43" s="32">
        <f t="shared" si="17"/>
        <v>0</v>
      </c>
      <c r="AI43" s="32">
        <f t="shared" si="18"/>
        <v>0</v>
      </c>
      <c r="AJ43" s="32">
        <f t="shared" si="19"/>
        <v>0</v>
      </c>
      <c r="AK43" t="str">
        <f t="shared" si="20"/>
        <v/>
      </c>
      <c r="AL43" t="str">
        <f t="shared" si="21"/>
        <v/>
      </c>
      <c r="AM43" t="str">
        <f t="shared" si="22"/>
        <v/>
      </c>
      <c r="AO43" t="str">
        <f>IFERROR(VLOOKUP(M43,'Fixture Identities'!$B$9:$O$1045,14,FALSE),"")</f>
        <v/>
      </c>
      <c r="AP43" t="str">
        <f t="shared" si="4"/>
        <v/>
      </c>
      <c r="AQ43" s="548" t="s">
        <v>552</v>
      </c>
    </row>
    <row r="44" spans="1:43" ht="15">
      <c r="A44" s="71">
        <f t="shared" si="5"/>
        <v>0</v>
      </c>
      <c r="B44" s="513">
        <f t="shared" si="23"/>
        <v>32</v>
      </c>
      <c r="C44" s="530" t="str">
        <f>IF(Inventory!E41="","",Inventory!E41)</f>
        <v/>
      </c>
      <c r="D44" s="531">
        <f>IF(Inventory!D41="",0,Inventory!D41)</f>
        <v>0</v>
      </c>
      <c r="E44" s="532" t="str">
        <f>IF(Inventory!I41=0,"",Inventory!I41)</f>
        <v/>
      </c>
      <c r="F44" s="533" t="str">
        <f t="shared" si="24"/>
        <v/>
      </c>
      <c r="G44" s="534" t="str">
        <f>IF(Inventory!G41="","",Inventory!G41)</f>
        <v/>
      </c>
      <c r="H44" s="535" t="str">
        <f t="shared" si="25"/>
        <v/>
      </c>
      <c r="I44" s="536" t="str">
        <f>IF(Inventory!J41="","",Inventory!J41)</f>
        <v/>
      </c>
      <c r="J44" s="537" t="str">
        <f>IFERROR(IF(PRJ_Type="New Construction",IF(Inventory!C41="N",INDEX(xyLPD_BuildingArea,MATCH(Building_Type,Lookups!$F$37:$F$75,0),4),INDEX(xyLPD_SpaceBySpace,MATCH(INDEX(xyNCEx,MATCH(I44,yNCExArea,0),2),ySpace_by_Space_Type,0),2)),VLOOKUP(E44,xyWattage_Table,11,FALSE)),"")</f>
        <v/>
      </c>
      <c r="K44" s="538" t="str">
        <f>IFERROR(IF(AND(NC_Type="Building Area Method",Inventory!C41="N"),IF(ISERROR(INDEX('Usage Groups (&gt;120 MWh only)'!$N$8:$N$12,MATCH(C44,'Usage Groups (&gt;120 MWh only)'!$B$8:$B$12,0),1))=TRUE,SqFt/COUNTIFS(Inventory!$C$10:$C$1009,"N",$Q$13:$Q$1012,"&gt;=0"),INDEX('Usage Groups (&gt;120 MWh only)'!$N$8:$N$12,MATCH(C44,'Usage Groups (&gt;120 MWh only)'!$B$8:$B$12,0),1)/COUNTIF($C$13:$C$1012,C44)),IF(AND(NC_Type="Building Area Method",Inventory!C41="Y"),INDEX(xyNCEx,MATCH(I44,yNCExArea,0),3)/COUNTIF($I$13:$I$1012,I44),VLOOKUP(J44,xyWattage_Table,10,FALSE))),"")</f>
        <v/>
      </c>
      <c r="L44" s="539" t="str">
        <f t="shared" si="26"/>
        <v/>
      </c>
      <c r="M44" s="540">
        <f>IF(Inventory!N41="","",Inventory!N41)</f>
        <v>0</v>
      </c>
      <c r="N44" s="533" t="str">
        <f t="shared" si="27"/>
        <v/>
      </c>
      <c r="O44" s="534"/>
      <c r="P44" s="533" t="str">
        <f t="shared" si="28"/>
        <v/>
      </c>
      <c r="Q44" s="534" t="str">
        <f>IF(Inventory!L41="","",Inventory!L41)</f>
        <v/>
      </c>
      <c r="R44" s="535" t="str">
        <f t="shared" si="29"/>
        <v/>
      </c>
      <c r="S44" s="536" t="str">
        <f>IF(Inventory!O41="","",Inventory!O41)</f>
        <v/>
      </c>
      <c r="T44" s="541" t="str">
        <f>IFERROR(IF(C44="","",IF(INDEX(xyWattage_Table,MATCH(M44,'Fixture Identities'!$B$9:$B$997,0),2)="Exit Sign",8760,IF(VLOOKUP(C44,xySpace_Type_Details,8,FALSE)="TRM",INDEX('General Information'!$AF$17:$AG$28,11,MATCH(N44,'General Information'!$AF$16:$AG$16,0)),HLOOKUP(VLOOKUP(C44,xySpace_Type_Details,8,FALSE),'General Information'!$P$15:$AG$28,13,FALSE)))),"")</f>
        <v/>
      </c>
      <c r="U44" s="542" t="str">
        <f>IFERROR(IF(C44="","",IF(INDEX(xyWattage_Table,MATCH(M44,'Fixture Identities'!$B$9:$B$997,0),2)="Exit Sign",1,IF(VLOOKUP(C44,xySpace_Type_Details,8,FALSE)="TRM",INDEX('General Information'!$AF$17:$AG$28,12,MATCH(N44,'General Information'!$AF$16:$AG$16,0)),HLOOKUP(VLOOKUP(C44,xySpace_Type_Details,8,FALSE),'General Information'!$P$15:$AG$28,14,FALSE)))),"")</f>
        <v/>
      </c>
      <c r="V44" s="542" t="str">
        <f>IFERROR(VLOOKUP(INDEX(xySpace_Type_Details,MATCH($C44,'General Information'!$C$40:$C$60,0),12),Lookups!$L$8:$N$12,2,FALSE),"")</f>
        <v/>
      </c>
      <c r="W44" s="542" t="str">
        <f>IFERROR(VLOOKUP(INDEX(xySpace_Type_Details,MATCH($C44,'General Information'!$C$40:$C$60,0),12),Lookups!$L$8:$N$12,3,FALSE),"")</f>
        <v/>
      </c>
      <c r="X44" s="543"/>
      <c r="Y44" s="542" t="str">
        <f>IFERROR(IF(C44="","",IF(INDEX(xyWattage_Table,MATCH(M44,'Fixture Identities'!$B$9:$B$997,0),2)="Exit Sign",0,IF(PRJ_Type="Retrofit",VLOOKUP(I44,xySVG_Factors,2,FALSE),IF(AND(PRJ_Type="New Construction",Inventory!C41="N"),VLOOKUP(VLOOKUP(Building_Type,xyLPD_BuildingArea,5,FALSE),xySVG_Factors_NC,3,FALSE),0)))),"")</f>
        <v/>
      </c>
      <c r="Z44" s="544" t="str">
        <f>IFERROR(IF(C44="","",IF(INDEX(xyWattage_Table,MATCH(M44,'Fixture Identities'!$B$9:$B$997,0),2)="Exit Sign",0,VLOOKUP(S44,xySVG_Factors,2,FALSE))),"")</f>
        <v/>
      </c>
      <c r="AA44" s="545" t="str">
        <f t="shared" si="30"/>
        <v/>
      </c>
      <c r="AB44" s="542" t="str">
        <f t="shared" si="31"/>
        <v/>
      </c>
      <c r="AC44" s="539" t="str">
        <f t="shared" si="32"/>
        <v/>
      </c>
      <c r="AD44" s="546" t="str">
        <f t="shared" si="33"/>
        <v/>
      </c>
      <c r="AE44" s="539" t="str">
        <f t="shared" si="34"/>
        <v/>
      </c>
      <c r="AF44" s="546" t="str">
        <f t="shared" si="35"/>
        <v/>
      </c>
      <c r="AG44" s="539" t="str">
        <f t="shared" si="36"/>
        <v/>
      </c>
      <c r="AH44" s="32">
        <f t="shared" si="17"/>
        <v>0</v>
      </c>
      <c r="AI44" s="32">
        <f t="shared" si="18"/>
        <v>0</v>
      </c>
      <c r="AJ44" s="32">
        <f t="shared" si="19"/>
        <v>0</v>
      </c>
      <c r="AK44" t="str">
        <f t="shared" si="20"/>
        <v/>
      </c>
      <c r="AL44" t="str">
        <f t="shared" si="21"/>
        <v/>
      </c>
      <c r="AM44" t="str">
        <f t="shared" si="22"/>
        <v/>
      </c>
      <c r="AO44" t="str">
        <f>IFERROR(VLOOKUP(M44,'Fixture Identities'!$B$9:$O$1045,14,FALSE),"")</f>
        <v/>
      </c>
      <c r="AP44" t="str">
        <f t="shared" si="4"/>
        <v/>
      </c>
      <c r="AQ44" s="548" t="s">
        <v>553</v>
      </c>
    </row>
    <row r="45" spans="1:43" ht="15">
      <c r="A45" s="71">
        <f t="shared" si="5"/>
        <v>0</v>
      </c>
      <c r="B45" s="513">
        <f t="shared" si="23"/>
        <v>33</v>
      </c>
      <c r="C45" s="530" t="str">
        <f>IF(Inventory!E42="","",Inventory!E42)</f>
        <v/>
      </c>
      <c r="D45" s="531">
        <f>IF(Inventory!D42="",0,Inventory!D42)</f>
        <v>0</v>
      </c>
      <c r="E45" s="532" t="str">
        <f>IF(Inventory!I42=0,"",Inventory!I42)</f>
        <v/>
      </c>
      <c r="F45" s="533" t="str">
        <f t="shared" si="24"/>
        <v/>
      </c>
      <c r="G45" s="534" t="str">
        <f>IF(Inventory!G42="","",Inventory!G42)</f>
        <v/>
      </c>
      <c r="H45" s="535" t="str">
        <f t="shared" si="25"/>
        <v/>
      </c>
      <c r="I45" s="536" t="str">
        <f>IF(Inventory!J42="","",Inventory!J42)</f>
        <v/>
      </c>
      <c r="J45" s="537" t="str">
        <f>IFERROR(IF(PRJ_Type="New Construction",IF(Inventory!C42="N",INDEX(xyLPD_BuildingArea,MATCH(Building_Type,Lookups!$F$37:$F$75,0),4),INDEX(xyLPD_SpaceBySpace,MATCH(INDEX(xyNCEx,MATCH(I45,yNCExArea,0),2),ySpace_by_Space_Type,0),2)),VLOOKUP(E45,xyWattage_Table,11,FALSE)),"")</f>
        <v/>
      </c>
      <c r="K45" s="538" t="str">
        <f>IFERROR(IF(AND(NC_Type="Building Area Method",Inventory!C42="N"),IF(ISERROR(INDEX('Usage Groups (&gt;120 MWh only)'!$N$8:$N$12,MATCH(C45,'Usage Groups (&gt;120 MWh only)'!$B$8:$B$12,0),1))=TRUE,SqFt/COUNTIFS(Inventory!$C$10:$C$1009,"N",$Q$13:$Q$1012,"&gt;=0"),INDEX('Usage Groups (&gt;120 MWh only)'!$N$8:$N$12,MATCH(C45,'Usage Groups (&gt;120 MWh only)'!$B$8:$B$12,0),1)/COUNTIF($C$13:$C$1012,C45)),IF(AND(NC_Type="Building Area Method",Inventory!C42="Y"),INDEX(xyNCEx,MATCH(I45,yNCExArea,0),3)/COUNTIF($I$13:$I$1012,I45),VLOOKUP(J45,xyWattage_Table,10,FALSE))),"")</f>
        <v/>
      </c>
      <c r="L45" s="539" t="str">
        <f t="shared" si="26"/>
        <v/>
      </c>
      <c r="M45" s="540">
        <f>IF(Inventory!N42="","",Inventory!N42)</f>
        <v>0</v>
      </c>
      <c r="N45" s="533" t="str">
        <f t="shared" si="27"/>
        <v/>
      </c>
      <c r="O45" s="534"/>
      <c r="P45" s="533" t="str">
        <f t="shared" si="28"/>
        <v/>
      </c>
      <c r="Q45" s="534" t="str">
        <f>IF(Inventory!L42="","",Inventory!L42)</f>
        <v/>
      </c>
      <c r="R45" s="535" t="str">
        <f t="shared" si="29"/>
        <v/>
      </c>
      <c r="S45" s="536" t="str">
        <f>IF(Inventory!O42="","",Inventory!O42)</f>
        <v/>
      </c>
      <c r="T45" s="541" t="str">
        <f>IFERROR(IF(C45="","",IF(INDEX(xyWattage_Table,MATCH(M45,'Fixture Identities'!$B$9:$B$997,0),2)="Exit Sign",8760,IF(VLOOKUP(C45,xySpace_Type_Details,8,FALSE)="TRM",INDEX('General Information'!$AF$17:$AG$28,11,MATCH(N45,'General Information'!$AF$16:$AG$16,0)),HLOOKUP(VLOOKUP(C45,xySpace_Type_Details,8,FALSE),'General Information'!$P$15:$AG$28,13,FALSE)))),"")</f>
        <v/>
      </c>
      <c r="U45" s="542" t="str">
        <f>IFERROR(IF(C45="","",IF(INDEX(xyWattage_Table,MATCH(M45,'Fixture Identities'!$B$9:$B$997,0),2)="Exit Sign",1,IF(VLOOKUP(C45,xySpace_Type_Details,8,FALSE)="TRM",INDEX('General Information'!$AF$17:$AG$28,12,MATCH(N45,'General Information'!$AF$16:$AG$16,0)),HLOOKUP(VLOOKUP(C45,xySpace_Type_Details,8,FALSE),'General Information'!$P$15:$AG$28,14,FALSE)))),"")</f>
        <v/>
      </c>
      <c r="V45" s="542" t="str">
        <f>IFERROR(VLOOKUP(INDEX(xySpace_Type_Details,MATCH($C45,'General Information'!$C$40:$C$60,0),12),Lookups!$L$8:$N$12,2,FALSE),"")</f>
        <v/>
      </c>
      <c r="W45" s="542" t="str">
        <f>IFERROR(VLOOKUP(INDEX(xySpace_Type_Details,MATCH($C45,'General Information'!$C$40:$C$60,0),12),Lookups!$L$8:$N$12,3,FALSE),"")</f>
        <v/>
      </c>
      <c r="X45" s="543"/>
      <c r="Y45" s="542" t="str">
        <f>IFERROR(IF(C45="","",IF(INDEX(xyWattage_Table,MATCH(M45,'Fixture Identities'!$B$9:$B$997,0),2)="Exit Sign",0,IF(PRJ_Type="Retrofit",VLOOKUP(I45,xySVG_Factors,2,FALSE),IF(AND(PRJ_Type="New Construction",Inventory!C42="N"),VLOOKUP(VLOOKUP(Building_Type,xyLPD_BuildingArea,5,FALSE),xySVG_Factors_NC,3,FALSE),0)))),"")</f>
        <v/>
      </c>
      <c r="Z45" s="544" t="str">
        <f>IFERROR(IF(C45="","",IF(INDEX(xyWattage_Table,MATCH(M45,'Fixture Identities'!$B$9:$B$997,0),2)="Exit Sign",0,VLOOKUP(S45,xySVG_Factors,2,FALSE))),"")</f>
        <v/>
      </c>
      <c r="AA45" s="545" t="str">
        <f t="shared" si="30"/>
        <v/>
      </c>
      <c r="AB45" s="542" t="str">
        <f t="shared" si="31"/>
        <v/>
      </c>
      <c r="AC45" s="539" t="str">
        <f t="shared" si="32"/>
        <v/>
      </c>
      <c r="AD45" s="546" t="str">
        <f t="shared" si="33"/>
        <v/>
      </c>
      <c r="AE45" s="539" t="str">
        <f t="shared" si="34"/>
        <v/>
      </c>
      <c r="AF45" s="546" t="str">
        <f t="shared" si="35"/>
        <v/>
      </c>
      <c r="AG45" s="539" t="str">
        <f t="shared" si="36"/>
        <v/>
      </c>
      <c r="AH45" s="32">
        <f t="shared" si="17"/>
        <v>0</v>
      </c>
      <c r="AI45" s="32">
        <f t="shared" si="18"/>
        <v>0</v>
      </c>
      <c r="AJ45" s="32">
        <f t="shared" si="19"/>
        <v>0</v>
      </c>
      <c r="AK45" t="str">
        <f t="shared" si="20"/>
        <v/>
      </c>
      <c r="AL45" t="str">
        <f t="shared" si="21"/>
        <v/>
      </c>
      <c r="AM45" t="str">
        <f t="shared" si="22"/>
        <v/>
      </c>
      <c r="AO45" t="str">
        <f>IFERROR(VLOOKUP(M45,'Fixture Identities'!$B$9:$O$1045,14,FALSE),"")</f>
        <v/>
      </c>
      <c r="AP45" t="str">
        <f t="shared" si="4"/>
        <v/>
      </c>
      <c r="AQ45" s="548" t="s">
        <v>554</v>
      </c>
    </row>
    <row r="46" spans="1:43" ht="15">
      <c r="A46" s="71">
        <f t="shared" si="5"/>
        <v>0</v>
      </c>
      <c r="B46" s="513">
        <f t="shared" si="23"/>
        <v>34</v>
      </c>
      <c r="C46" s="530" t="str">
        <f>IF(Inventory!E43="","",Inventory!E43)</f>
        <v/>
      </c>
      <c r="D46" s="531">
        <f>IF(Inventory!D43="",0,Inventory!D43)</f>
        <v>0</v>
      </c>
      <c r="E46" s="532" t="str">
        <f>IF(Inventory!I43=0,"",Inventory!I43)</f>
        <v/>
      </c>
      <c r="F46" s="533" t="str">
        <f t="shared" si="24"/>
        <v/>
      </c>
      <c r="G46" s="534" t="str">
        <f>IF(Inventory!G43="","",Inventory!G43)</f>
        <v/>
      </c>
      <c r="H46" s="535" t="str">
        <f t="shared" si="25"/>
        <v/>
      </c>
      <c r="I46" s="536" t="str">
        <f>IF(Inventory!J43="","",Inventory!J43)</f>
        <v/>
      </c>
      <c r="J46" s="537" t="str">
        <f>IFERROR(IF(PRJ_Type="New Construction",IF(Inventory!C43="N",INDEX(xyLPD_BuildingArea,MATCH(Building_Type,Lookups!$F$37:$F$75,0),4),INDEX(xyLPD_SpaceBySpace,MATCH(INDEX(xyNCEx,MATCH(I46,yNCExArea,0),2),ySpace_by_Space_Type,0),2)),VLOOKUP(E46,xyWattage_Table,11,FALSE)),"")</f>
        <v/>
      </c>
      <c r="K46" s="538" t="str">
        <f>IFERROR(IF(AND(NC_Type="Building Area Method",Inventory!C43="N"),IF(ISERROR(INDEX('Usage Groups (&gt;120 MWh only)'!$N$8:$N$12,MATCH(C46,'Usage Groups (&gt;120 MWh only)'!$B$8:$B$12,0),1))=TRUE,SqFt/COUNTIFS(Inventory!$C$10:$C$1009,"N",$Q$13:$Q$1012,"&gt;=0"),INDEX('Usage Groups (&gt;120 MWh only)'!$N$8:$N$12,MATCH(C46,'Usage Groups (&gt;120 MWh only)'!$B$8:$B$12,0),1)/COUNTIF($C$13:$C$1012,C46)),IF(AND(NC_Type="Building Area Method",Inventory!C43="Y"),INDEX(xyNCEx,MATCH(I46,yNCExArea,0),3)/COUNTIF($I$13:$I$1012,I46),VLOOKUP(J46,xyWattage_Table,10,FALSE))),"")</f>
        <v/>
      </c>
      <c r="L46" s="539" t="str">
        <f t="shared" si="26"/>
        <v/>
      </c>
      <c r="M46" s="540">
        <f>IF(Inventory!N43="","",Inventory!N43)</f>
        <v>0</v>
      </c>
      <c r="N46" s="533" t="str">
        <f t="shared" si="27"/>
        <v/>
      </c>
      <c r="O46" s="534"/>
      <c r="P46" s="533" t="str">
        <f t="shared" si="28"/>
        <v/>
      </c>
      <c r="Q46" s="534" t="str">
        <f>IF(Inventory!L43="","",Inventory!L43)</f>
        <v/>
      </c>
      <c r="R46" s="535" t="str">
        <f t="shared" si="29"/>
        <v/>
      </c>
      <c r="S46" s="536" t="str">
        <f>IF(Inventory!O43="","",Inventory!O43)</f>
        <v/>
      </c>
      <c r="T46" s="541" t="str">
        <f>IFERROR(IF(C46="","",IF(INDEX(xyWattage_Table,MATCH(M46,'Fixture Identities'!$B$9:$B$997,0),2)="Exit Sign",8760,IF(VLOOKUP(C46,xySpace_Type_Details,8,FALSE)="TRM",INDEX('General Information'!$AF$17:$AG$28,11,MATCH(N46,'General Information'!$AF$16:$AG$16,0)),HLOOKUP(VLOOKUP(C46,xySpace_Type_Details,8,FALSE),'General Information'!$P$15:$AG$28,13,FALSE)))),"")</f>
        <v/>
      </c>
      <c r="U46" s="542" t="str">
        <f>IFERROR(IF(C46="","",IF(INDEX(xyWattage_Table,MATCH(M46,'Fixture Identities'!$B$9:$B$997,0),2)="Exit Sign",1,IF(VLOOKUP(C46,xySpace_Type_Details,8,FALSE)="TRM",INDEX('General Information'!$AF$17:$AG$28,12,MATCH(N46,'General Information'!$AF$16:$AG$16,0)),HLOOKUP(VLOOKUP(C46,xySpace_Type_Details,8,FALSE),'General Information'!$P$15:$AG$28,14,FALSE)))),"")</f>
        <v/>
      </c>
      <c r="V46" s="542" t="str">
        <f>IFERROR(VLOOKUP(INDEX(xySpace_Type_Details,MATCH($C46,'General Information'!$C$40:$C$60,0),12),Lookups!$L$8:$N$12,2,FALSE),"")</f>
        <v/>
      </c>
      <c r="W46" s="542" t="str">
        <f>IFERROR(VLOOKUP(INDEX(xySpace_Type_Details,MATCH($C46,'General Information'!$C$40:$C$60,0),12),Lookups!$L$8:$N$12,3,FALSE),"")</f>
        <v/>
      </c>
      <c r="X46" s="543"/>
      <c r="Y46" s="542" t="str">
        <f>IFERROR(IF(C46="","",IF(INDEX(xyWattage_Table,MATCH(M46,'Fixture Identities'!$B$9:$B$997,0),2)="Exit Sign",0,IF(PRJ_Type="Retrofit",VLOOKUP(I46,xySVG_Factors,2,FALSE),IF(AND(PRJ_Type="New Construction",Inventory!C43="N"),VLOOKUP(VLOOKUP(Building_Type,xyLPD_BuildingArea,5,FALSE),xySVG_Factors_NC,3,FALSE),0)))),"")</f>
        <v/>
      </c>
      <c r="Z46" s="544" t="str">
        <f>IFERROR(IF(C46="","",IF(INDEX(xyWattage_Table,MATCH(M46,'Fixture Identities'!$B$9:$B$997,0),2)="Exit Sign",0,VLOOKUP(S46,xySVG_Factors,2,FALSE))),"")</f>
        <v/>
      </c>
      <c r="AA46" s="545" t="str">
        <f t="shared" si="30"/>
        <v/>
      </c>
      <c r="AB46" s="542" t="str">
        <f t="shared" si="31"/>
        <v/>
      </c>
      <c r="AC46" s="539" t="str">
        <f t="shared" si="32"/>
        <v/>
      </c>
      <c r="AD46" s="546" t="str">
        <f t="shared" si="33"/>
        <v/>
      </c>
      <c r="AE46" s="539" t="str">
        <f t="shared" si="34"/>
        <v/>
      </c>
      <c r="AF46" s="546" t="str">
        <f t="shared" si="35"/>
        <v/>
      </c>
      <c r="AG46" s="539" t="str">
        <f t="shared" si="36"/>
        <v/>
      </c>
      <c r="AH46" s="32">
        <f t="shared" si="17"/>
        <v>0</v>
      </c>
      <c r="AI46" s="32">
        <f t="shared" si="18"/>
        <v>0</v>
      </c>
      <c r="AJ46" s="32">
        <f t="shared" si="19"/>
        <v>0</v>
      </c>
      <c r="AK46" t="str">
        <f t="shared" si="20"/>
        <v/>
      </c>
      <c r="AL46" t="str">
        <f t="shared" si="21"/>
        <v/>
      </c>
      <c r="AM46" t="str">
        <f t="shared" si="22"/>
        <v/>
      </c>
      <c r="AO46" t="str">
        <f>IFERROR(VLOOKUP(M46,'Fixture Identities'!$B$9:$O$1045,14,FALSE),"")</f>
        <v/>
      </c>
      <c r="AP46" t="str">
        <f t="shared" si="4"/>
        <v/>
      </c>
      <c r="AQ46" s="548" t="s">
        <v>555</v>
      </c>
    </row>
    <row r="47" spans="1:43" ht="15">
      <c r="A47" s="71">
        <f t="shared" si="5"/>
        <v>0</v>
      </c>
      <c r="B47" s="513">
        <f t="shared" si="23"/>
        <v>35</v>
      </c>
      <c r="C47" s="530" t="str">
        <f>IF(Inventory!E44="","",Inventory!E44)</f>
        <v/>
      </c>
      <c r="D47" s="531">
        <f>IF(Inventory!D44="",0,Inventory!D44)</f>
        <v>0</v>
      </c>
      <c r="E47" s="532" t="str">
        <f>IF(Inventory!I44=0,"",Inventory!I44)</f>
        <v/>
      </c>
      <c r="F47" s="533" t="str">
        <f t="shared" si="24"/>
        <v/>
      </c>
      <c r="G47" s="534" t="str">
        <f>IF(Inventory!G44="","",Inventory!G44)</f>
        <v/>
      </c>
      <c r="H47" s="535" t="str">
        <f t="shared" si="25"/>
        <v/>
      </c>
      <c r="I47" s="536" t="str">
        <f>IF(Inventory!J44="","",Inventory!J44)</f>
        <v/>
      </c>
      <c r="J47" s="537" t="str">
        <f>IFERROR(IF(PRJ_Type="New Construction",IF(Inventory!C44="N",INDEX(xyLPD_BuildingArea,MATCH(Building_Type,Lookups!$F$37:$F$75,0),4),INDEX(xyLPD_SpaceBySpace,MATCH(INDEX(xyNCEx,MATCH(I47,yNCExArea,0),2),ySpace_by_Space_Type,0),2)),VLOOKUP(E47,xyWattage_Table,11,FALSE)),"")</f>
        <v/>
      </c>
      <c r="K47" s="538" t="str">
        <f>IFERROR(IF(AND(NC_Type="Building Area Method",Inventory!C44="N"),IF(ISERROR(INDEX('Usage Groups (&gt;120 MWh only)'!$N$8:$N$12,MATCH(C47,'Usage Groups (&gt;120 MWh only)'!$B$8:$B$12,0),1))=TRUE,SqFt/COUNTIFS(Inventory!$C$10:$C$1009,"N",$Q$13:$Q$1012,"&gt;=0"),INDEX('Usage Groups (&gt;120 MWh only)'!$N$8:$N$12,MATCH(C47,'Usage Groups (&gt;120 MWh only)'!$B$8:$B$12,0),1)/COUNTIF($C$13:$C$1012,C47)),IF(AND(NC_Type="Building Area Method",Inventory!C44="Y"),INDEX(xyNCEx,MATCH(I47,yNCExArea,0),3)/COUNTIF($I$13:$I$1012,I47),VLOOKUP(J47,xyWattage_Table,10,FALSE))),"")</f>
        <v/>
      </c>
      <c r="L47" s="539" t="str">
        <f t="shared" si="26"/>
        <v/>
      </c>
      <c r="M47" s="540">
        <f>IF(Inventory!N44="","",Inventory!N44)</f>
        <v>0</v>
      </c>
      <c r="N47" s="533" t="str">
        <f t="shared" si="27"/>
        <v/>
      </c>
      <c r="O47" s="534"/>
      <c r="P47" s="533" t="str">
        <f t="shared" si="28"/>
        <v/>
      </c>
      <c r="Q47" s="534" t="str">
        <f>IF(Inventory!L44="","",Inventory!L44)</f>
        <v/>
      </c>
      <c r="R47" s="535" t="str">
        <f t="shared" si="29"/>
        <v/>
      </c>
      <c r="S47" s="536" t="str">
        <f>IF(Inventory!O44="","",Inventory!O44)</f>
        <v/>
      </c>
      <c r="T47" s="541" t="str">
        <f>IFERROR(IF(C47="","",IF(INDEX(xyWattage_Table,MATCH(M47,'Fixture Identities'!$B$9:$B$997,0),2)="Exit Sign",8760,IF(VLOOKUP(C47,xySpace_Type_Details,8,FALSE)="TRM",INDEX('General Information'!$AF$17:$AG$28,11,MATCH(N47,'General Information'!$AF$16:$AG$16,0)),HLOOKUP(VLOOKUP(C47,xySpace_Type_Details,8,FALSE),'General Information'!$P$15:$AG$28,13,FALSE)))),"")</f>
        <v/>
      </c>
      <c r="U47" s="542" t="str">
        <f>IFERROR(IF(C47="","",IF(INDEX(xyWattage_Table,MATCH(M47,'Fixture Identities'!$B$9:$B$997,0),2)="Exit Sign",1,IF(VLOOKUP(C47,xySpace_Type_Details,8,FALSE)="TRM",INDEX('General Information'!$AF$17:$AG$28,12,MATCH(N47,'General Information'!$AF$16:$AG$16,0)),HLOOKUP(VLOOKUP(C47,xySpace_Type_Details,8,FALSE),'General Information'!$P$15:$AG$28,14,FALSE)))),"")</f>
        <v/>
      </c>
      <c r="V47" s="542" t="str">
        <f>IFERROR(VLOOKUP(INDEX(xySpace_Type_Details,MATCH($C47,'General Information'!$C$40:$C$60,0),12),Lookups!$L$8:$N$12,2,FALSE),"")</f>
        <v/>
      </c>
      <c r="W47" s="542" t="str">
        <f>IFERROR(VLOOKUP(INDEX(xySpace_Type_Details,MATCH($C47,'General Information'!$C$40:$C$60,0),12),Lookups!$L$8:$N$12,3,FALSE),"")</f>
        <v/>
      </c>
      <c r="X47" s="543"/>
      <c r="Y47" s="542" t="str">
        <f>IFERROR(IF(C47="","",IF(INDEX(xyWattage_Table,MATCH(M47,'Fixture Identities'!$B$9:$B$997,0),2)="Exit Sign",0,IF(PRJ_Type="Retrofit",VLOOKUP(I47,xySVG_Factors,2,FALSE),IF(AND(PRJ_Type="New Construction",Inventory!C44="N"),VLOOKUP(VLOOKUP(Building_Type,xyLPD_BuildingArea,5,FALSE),xySVG_Factors_NC,3,FALSE),0)))),"")</f>
        <v/>
      </c>
      <c r="Z47" s="544" t="str">
        <f>IFERROR(IF(C47="","",IF(INDEX(xyWattage_Table,MATCH(M47,'Fixture Identities'!$B$9:$B$997,0),2)="Exit Sign",0,VLOOKUP(S47,xySVG_Factors,2,FALSE))),"")</f>
        <v/>
      </c>
      <c r="AA47" s="545" t="str">
        <f t="shared" si="30"/>
        <v/>
      </c>
      <c r="AB47" s="542" t="str">
        <f t="shared" si="31"/>
        <v/>
      </c>
      <c r="AC47" s="539" t="str">
        <f t="shared" si="32"/>
        <v/>
      </c>
      <c r="AD47" s="546" t="str">
        <f t="shared" si="33"/>
        <v/>
      </c>
      <c r="AE47" s="539" t="str">
        <f t="shared" si="34"/>
        <v/>
      </c>
      <c r="AF47" s="546" t="str">
        <f t="shared" si="35"/>
        <v/>
      </c>
      <c r="AG47" s="539" t="str">
        <f t="shared" si="36"/>
        <v/>
      </c>
      <c r="AH47" s="32">
        <f t="shared" si="17"/>
        <v>0</v>
      </c>
      <c r="AI47" s="32">
        <f t="shared" si="18"/>
        <v>0</v>
      </c>
      <c r="AJ47" s="32">
        <f t="shared" si="19"/>
        <v>0</v>
      </c>
      <c r="AK47" t="str">
        <f t="shared" si="20"/>
        <v/>
      </c>
      <c r="AL47" t="str">
        <f t="shared" si="21"/>
        <v/>
      </c>
      <c r="AM47" t="str">
        <f t="shared" si="22"/>
        <v/>
      </c>
      <c r="AO47" t="str">
        <f>IFERROR(VLOOKUP(M47,'Fixture Identities'!$B$9:$O$1045,14,FALSE),"")</f>
        <v/>
      </c>
      <c r="AP47" t="str">
        <f t="shared" si="4"/>
        <v/>
      </c>
      <c r="AQ47" s="549" t="s">
        <v>556</v>
      </c>
    </row>
    <row r="48" spans="1:43" ht="15">
      <c r="A48" s="71">
        <f t="shared" si="5"/>
        <v>0</v>
      </c>
      <c r="B48" s="513">
        <f t="shared" si="23"/>
        <v>36</v>
      </c>
      <c r="C48" s="530" t="str">
        <f>IF(Inventory!E45="","",Inventory!E45)</f>
        <v/>
      </c>
      <c r="D48" s="531">
        <f>IF(Inventory!D45="",0,Inventory!D45)</f>
        <v>0</v>
      </c>
      <c r="E48" s="532" t="str">
        <f>IF(Inventory!I45=0,"",Inventory!I45)</f>
        <v/>
      </c>
      <c r="F48" s="533" t="str">
        <f t="shared" si="24"/>
        <v/>
      </c>
      <c r="G48" s="534" t="str">
        <f>IF(Inventory!G45="","",Inventory!G45)</f>
        <v/>
      </c>
      <c r="H48" s="535" t="str">
        <f t="shared" si="25"/>
        <v/>
      </c>
      <c r="I48" s="536" t="str">
        <f>IF(Inventory!J45="","",Inventory!J45)</f>
        <v/>
      </c>
      <c r="J48" s="537" t="str">
        <f>IFERROR(IF(PRJ_Type="New Construction",IF(Inventory!C45="N",INDEX(xyLPD_BuildingArea,MATCH(Building_Type,Lookups!$F$37:$F$75,0),4),INDEX(xyLPD_SpaceBySpace,MATCH(INDEX(xyNCEx,MATCH(I48,yNCExArea,0),2),ySpace_by_Space_Type,0),2)),VLOOKUP(E48,xyWattage_Table,11,FALSE)),"")</f>
        <v/>
      </c>
      <c r="K48" s="538" t="str">
        <f>IFERROR(IF(AND(NC_Type="Building Area Method",Inventory!C45="N"),IF(ISERROR(INDEX('Usage Groups (&gt;120 MWh only)'!$N$8:$N$12,MATCH(C48,'Usage Groups (&gt;120 MWh only)'!$B$8:$B$12,0),1))=TRUE,SqFt/COUNTIFS(Inventory!$C$10:$C$1009,"N",$Q$13:$Q$1012,"&gt;=0"),INDEX('Usage Groups (&gt;120 MWh only)'!$N$8:$N$12,MATCH(C48,'Usage Groups (&gt;120 MWh only)'!$B$8:$B$12,0),1)/COUNTIF($C$13:$C$1012,C48)),IF(AND(NC_Type="Building Area Method",Inventory!C45="Y"),INDEX(xyNCEx,MATCH(I48,yNCExArea,0),3)/COUNTIF($I$13:$I$1012,I48),VLOOKUP(J48,xyWattage_Table,10,FALSE))),"")</f>
        <v/>
      </c>
      <c r="L48" s="539" t="str">
        <f t="shared" si="26"/>
        <v/>
      </c>
      <c r="M48" s="540">
        <f>IF(Inventory!N45="","",Inventory!N45)</f>
        <v>0</v>
      </c>
      <c r="N48" s="533" t="str">
        <f t="shared" si="27"/>
        <v/>
      </c>
      <c r="O48" s="534"/>
      <c r="P48" s="533" t="str">
        <f t="shared" si="28"/>
        <v/>
      </c>
      <c r="Q48" s="534" t="str">
        <f>IF(Inventory!L45="","",Inventory!L45)</f>
        <v/>
      </c>
      <c r="R48" s="535" t="str">
        <f t="shared" si="29"/>
        <v/>
      </c>
      <c r="S48" s="536" t="str">
        <f>IF(Inventory!O45="","",Inventory!O45)</f>
        <v/>
      </c>
      <c r="T48" s="541" t="str">
        <f>IFERROR(IF(C48="","",IF(INDEX(xyWattage_Table,MATCH(M48,'Fixture Identities'!$B$9:$B$997,0),2)="Exit Sign",8760,IF(VLOOKUP(C48,xySpace_Type_Details,8,FALSE)="TRM",INDEX('General Information'!$AF$17:$AG$28,11,MATCH(N48,'General Information'!$AF$16:$AG$16,0)),HLOOKUP(VLOOKUP(C48,xySpace_Type_Details,8,FALSE),'General Information'!$P$15:$AG$28,13,FALSE)))),"")</f>
        <v/>
      </c>
      <c r="U48" s="542" t="str">
        <f>IFERROR(IF(C48="","",IF(INDEX(xyWattage_Table,MATCH(M48,'Fixture Identities'!$B$9:$B$997,0),2)="Exit Sign",1,IF(VLOOKUP(C48,xySpace_Type_Details,8,FALSE)="TRM",INDEX('General Information'!$AF$17:$AG$28,12,MATCH(N48,'General Information'!$AF$16:$AG$16,0)),HLOOKUP(VLOOKUP(C48,xySpace_Type_Details,8,FALSE),'General Information'!$P$15:$AG$28,14,FALSE)))),"")</f>
        <v/>
      </c>
      <c r="V48" s="542" t="str">
        <f>IFERROR(VLOOKUP(INDEX(xySpace_Type_Details,MATCH($C48,'General Information'!$C$40:$C$60,0),12),Lookups!$L$8:$N$12,2,FALSE),"")</f>
        <v/>
      </c>
      <c r="W48" s="542" t="str">
        <f>IFERROR(VLOOKUP(INDEX(xySpace_Type_Details,MATCH($C48,'General Information'!$C$40:$C$60,0),12),Lookups!$L$8:$N$12,3,FALSE),"")</f>
        <v/>
      </c>
      <c r="X48" s="543"/>
      <c r="Y48" s="542" t="str">
        <f>IFERROR(IF(C48="","",IF(INDEX(xyWattage_Table,MATCH(M48,'Fixture Identities'!$B$9:$B$997,0),2)="Exit Sign",0,IF(PRJ_Type="Retrofit",VLOOKUP(I48,xySVG_Factors,2,FALSE),IF(AND(PRJ_Type="New Construction",Inventory!C45="N"),VLOOKUP(VLOOKUP(Building_Type,xyLPD_BuildingArea,5,FALSE),xySVG_Factors_NC,3,FALSE),0)))),"")</f>
        <v/>
      </c>
      <c r="Z48" s="544" t="str">
        <f>IFERROR(IF(C48="","",IF(INDEX(xyWattage_Table,MATCH(M48,'Fixture Identities'!$B$9:$B$997,0),2)="Exit Sign",0,VLOOKUP(S48,xySVG_Factors,2,FALSE))),"")</f>
        <v/>
      </c>
      <c r="AA48" s="545" t="str">
        <f t="shared" si="30"/>
        <v/>
      </c>
      <c r="AB48" s="542" t="str">
        <f t="shared" si="31"/>
        <v/>
      </c>
      <c r="AC48" s="539" t="str">
        <f t="shared" si="32"/>
        <v/>
      </c>
      <c r="AD48" s="546" t="str">
        <f t="shared" si="33"/>
        <v/>
      </c>
      <c r="AE48" s="539" t="str">
        <f t="shared" si="34"/>
        <v/>
      </c>
      <c r="AF48" s="546" t="str">
        <f t="shared" si="35"/>
        <v/>
      </c>
      <c r="AG48" s="539" t="str">
        <f t="shared" si="36"/>
        <v/>
      </c>
      <c r="AH48" s="32">
        <f t="shared" si="17"/>
        <v>0</v>
      </c>
      <c r="AI48" s="32">
        <f t="shared" si="18"/>
        <v>0</v>
      </c>
      <c r="AJ48" s="32">
        <f t="shared" si="19"/>
        <v>0</v>
      </c>
      <c r="AK48" t="str">
        <f t="shared" si="20"/>
        <v/>
      </c>
      <c r="AL48" t="str">
        <f t="shared" si="21"/>
        <v/>
      </c>
      <c r="AM48" t="str">
        <f t="shared" si="22"/>
        <v/>
      </c>
      <c r="AO48" t="str">
        <f>IFERROR(VLOOKUP(M48,'Fixture Identities'!$B$9:$O$1045,14,FALSE),"")</f>
        <v/>
      </c>
      <c r="AP48" t="str">
        <f t="shared" si="4"/>
        <v/>
      </c>
      <c r="AQ48" s="549" t="s">
        <v>557</v>
      </c>
    </row>
    <row r="49" spans="1:43" ht="15">
      <c r="A49" s="71">
        <f t="shared" si="5"/>
        <v>0</v>
      </c>
      <c r="B49" s="513">
        <f t="shared" si="23"/>
        <v>37</v>
      </c>
      <c r="C49" s="530" t="str">
        <f>IF(Inventory!E46="","",Inventory!E46)</f>
        <v/>
      </c>
      <c r="D49" s="531">
        <f>IF(Inventory!D46="",0,Inventory!D46)</f>
        <v>0</v>
      </c>
      <c r="E49" s="532" t="str">
        <f>IF(Inventory!I46=0,"",Inventory!I46)</f>
        <v/>
      </c>
      <c r="F49" s="533" t="str">
        <f t="shared" si="24"/>
        <v/>
      </c>
      <c r="G49" s="534" t="str">
        <f>IF(Inventory!G46="","",Inventory!G46)</f>
        <v/>
      </c>
      <c r="H49" s="535" t="str">
        <f t="shared" si="25"/>
        <v/>
      </c>
      <c r="I49" s="536" t="str">
        <f>IF(Inventory!J46="","",Inventory!J46)</f>
        <v/>
      </c>
      <c r="J49" s="537" t="str">
        <f>IFERROR(IF(PRJ_Type="New Construction",IF(Inventory!C46="N",INDEX(xyLPD_BuildingArea,MATCH(Building_Type,Lookups!$F$37:$F$75,0),4),INDEX(xyLPD_SpaceBySpace,MATCH(INDEX(xyNCEx,MATCH(I49,yNCExArea,0),2),ySpace_by_Space_Type,0),2)),VLOOKUP(E49,xyWattage_Table,11,FALSE)),"")</f>
        <v/>
      </c>
      <c r="K49" s="538" t="str">
        <f>IFERROR(IF(AND(NC_Type="Building Area Method",Inventory!C46="N"),IF(ISERROR(INDEX('Usage Groups (&gt;120 MWh only)'!$N$8:$N$12,MATCH(C49,'Usage Groups (&gt;120 MWh only)'!$B$8:$B$12,0),1))=TRUE,SqFt/COUNTIFS(Inventory!$C$10:$C$1009,"N",$Q$13:$Q$1012,"&gt;=0"),INDEX('Usage Groups (&gt;120 MWh only)'!$N$8:$N$12,MATCH(C49,'Usage Groups (&gt;120 MWh only)'!$B$8:$B$12,0),1)/COUNTIF($C$13:$C$1012,C49)),IF(AND(NC_Type="Building Area Method",Inventory!C46="Y"),INDEX(xyNCEx,MATCH(I49,yNCExArea,0),3)/COUNTIF($I$13:$I$1012,I49),VLOOKUP(J49,xyWattage_Table,10,FALSE))),"")</f>
        <v/>
      </c>
      <c r="L49" s="539" t="str">
        <f t="shared" si="26"/>
        <v/>
      </c>
      <c r="M49" s="540">
        <f>IF(Inventory!N46="","",Inventory!N46)</f>
        <v>0</v>
      </c>
      <c r="N49" s="533" t="str">
        <f t="shared" si="27"/>
        <v/>
      </c>
      <c r="O49" s="534"/>
      <c r="P49" s="533" t="str">
        <f t="shared" si="28"/>
        <v/>
      </c>
      <c r="Q49" s="534" t="str">
        <f>IF(Inventory!L46="","",Inventory!L46)</f>
        <v/>
      </c>
      <c r="R49" s="535" t="str">
        <f t="shared" si="29"/>
        <v/>
      </c>
      <c r="S49" s="536" t="str">
        <f>IF(Inventory!O46="","",Inventory!O46)</f>
        <v/>
      </c>
      <c r="T49" s="541" t="str">
        <f>IFERROR(IF(C49="","",IF(INDEX(xyWattage_Table,MATCH(M49,'Fixture Identities'!$B$9:$B$997,0),2)="Exit Sign",8760,IF(VLOOKUP(C49,xySpace_Type_Details,8,FALSE)="TRM",INDEX('General Information'!$AF$17:$AG$28,11,MATCH(N49,'General Information'!$AF$16:$AG$16,0)),HLOOKUP(VLOOKUP(C49,xySpace_Type_Details,8,FALSE),'General Information'!$P$15:$AG$28,13,FALSE)))),"")</f>
        <v/>
      </c>
      <c r="U49" s="542" t="str">
        <f>IFERROR(IF(C49="","",IF(INDEX(xyWattage_Table,MATCH(M49,'Fixture Identities'!$B$9:$B$997,0),2)="Exit Sign",1,IF(VLOOKUP(C49,xySpace_Type_Details,8,FALSE)="TRM",INDEX('General Information'!$AF$17:$AG$28,12,MATCH(N49,'General Information'!$AF$16:$AG$16,0)),HLOOKUP(VLOOKUP(C49,xySpace_Type_Details,8,FALSE),'General Information'!$P$15:$AG$28,14,FALSE)))),"")</f>
        <v/>
      </c>
      <c r="V49" s="542" t="str">
        <f>IFERROR(VLOOKUP(INDEX(xySpace_Type_Details,MATCH($C49,'General Information'!$C$40:$C$60,0),12),Lookups!$L$8:$N$12,2,FALSE),"")</f>
        <v/>
      </c>
      <c r="W49" s="542" t="str">
        <f>IFERROR(VLOOKUP(INDEX(xySpace_Type_Details,MATCH($C49,'General Information'!$C$40:$C$60,0),12),Lookups!$L$8:$N$12,3,FALSE),"")</f>
        <v/>
      </c>
      <c r="X49" s="543"/>
      <c r="Y49" s="542" t="str">
        <f>IFERROR(IF(C49="","",IF(INDEX(xyWattage_Table,MATCH(M49,'Fixture Identities'!$B$9:$B$997,0),2)="Exit Sign",0,IF(PRJ_Type="Retrofit",VLOOKUP(I49,xySVG_Factors,2,FALSE),IF(AND(PRJ_Type="New Construction",Inventory!C46="N"),VLOOKUP(VLOOKUP(Building_Type,xyLPD_BuildingArea,5,FALSE),xySVG_Factors_NC,3,FALSE),0)))),"")</f>
        <v/>
      </c>
      <c r="Z49" s="544" t="str">
        <f>IFERROR(IF(C49="","",IF(INDEX(xyWattage_Table,MATCH(M49,'Fixture Identities'!$B$9:$B$997,0),2)="Exit Sign",0,VLOOKUP(S49,xySVG_Factors,2,FALSE))),"")</f>
        <v/>
      </c>
      <c r="AA49" s="545" t="str">
        <f t="shared" si="30"/>
        <v/>
      </c>
      <c r="AB49" s="542" t="str">
        <f t="shared" si="31"/>
        <v/>
      </c>
      <c r="AC49" s="539" t="str">
        <f t="shared" si="32"/>
        <v/>
      </c>
      <c r="AD49" s="546" t="str">
        <f t="shared" si="33"/>
        <v/>
      </c>
      <c r="AE49" s="539" t="str">
        <f t="shared" si="34"/>
        <v/>
      </c>
      <c r="AF49" s="546" t="str">
        <f t="shared" si="35"/>
        <v/>
      </c>
      <c r="AG49" s="539" t="str">
        <f t="shared" si="36"/>
        <v/>
      </c>
      <c r="AH49" s="32">
        <f t="shared" si="17"/>
        <v>0</v>
      </c>
      <c r="AI49" s="32">
        <f t="shared" si="18"/>
        <v>0</v>
      </c>
      <c r="AJ49" s="32">
        <f t="shared" si="19"/>
        <v>0</v>
      </c>
      <c r="AK49" t="str">
        <f t="shared" si="20"/>
        <v/>
      </c>
      <c r="AL49" t="str">
        <f t="shared" si="21"/>
        <v/>
      </c>
      <c r="AM49" t="str">
        <f t="shared" si="22"/>
        <v/>
      </c>
      <c r="AO49" t="str">
        <f>IFERROR(VLOOKUP(M49,'Fixture Identities'!$B$9:$O$1045,14,FALSE),"")</f>
        <v/>
      </c>
      <c r="AP49" t="str">
        <f t="shared" si="4"/>
        <v/>
      </c>
      <c r="AQ49" s="548" t="s">
        <v>558</v>
      </c>
    </row>
    <row r="50" spans="1:43" ht="15">
      <c r="A50" s="71">
        <f t="shared" si="5"/>
        <v>0</v>
      </c>
      <c r="B50" s="513">
        <f t="shared" si="23"/>
        <v>38</v>
      </c>
      <c r="C50" s="530" t="str">
        <f>IF(Inventory!E47="","",Inventory!E47)</f>
        <v/>
      </c>
      <c r="D50" s="531">
        <f>IF(Inventory!D47="",0,Inventory!D47)</f>
        <v>0</v>
      </c>
      <c r="E50" s="532" t="str">
        <f>IF(Inventory!I47=0,"",Inventory!I47)</f>
        <v/>
      </c>
      <c r="F50" s="533" t="str">
        <f t="shared" si="24"/>
        <v/>
      </c>
      <c r="G50" s="534" t="str">
        <f>IF(Inventory!G47="","",Inventory!G47)</f>
        <v/>
      </c>
      <c r="H50" s="535" t="str">
        <f t="shared" si="25"/>
        <v/>
      </c>
      <c r="I50" s="536" t="str">
        <f>IF(Inventory!J47="","",Inventory!J47)</f>
        <v/>
      </c>
      <c r="J50" s="537" t="str">
        <f>IFERROR(IF(PRJ_Type="New Construction",IF(Inventory!C47="N",INDEX(xyLPD_BuildingArea,MATCH(Building_Type,Lookups!$F$37:$F$75,0),4),INDEX(xyLPD_SpaceBySpace,MATCH(INDEX(xyNCEx,MATCH(I50,yNCExArea,0),2),ySpace_by_Space_Type,0),2)),VLOOKUP(E50,xyWattage_Table,11,FALSE)),"")</f>
        <v/>
      </c>
      <c r="K50" s="538" t="str">
        <f>IFERROR(IF(AND(NC_Type="Building Area Method",Inventory!C47="N"),IF(ISERROR(INDEX('Usage Groups (&gt;120 MWh only)'!$N$8:$N$12,MATCH(C50,'Usage Groups (&gt;120 MWh only)'!$B$8:$B$12,0),1))=TRUE,SqFt/COUNTIFS(Inventory!$C$10:$C$1009,"N",$Q$13:$Q$1012,"&gt;=0"),INDEX('Usage Groups (&gt;120 MWh only)'!$N$8:$N$12,MATCH(C50,'Usage Groups (&gt;120 MWh only)'!$B$8:$B$12,0),1)/COUNTIF($C$13:$C$1012,C50)),IF(AND(NC_Type="Building Area Method",Inventory!C47="Y"),INDEX(xyNCEx,MATCH(I50,yNCExArea,0),3)/COUNTIF($I$13:$I$1012,I50),VLOOKUP(J50,xyWattage_Table,10,FALSE))),"")</f>
        <v/>
      </c>
      <c r="L50" s="539" t="str">
        <f t="shared" si="26"/>
        <v/>
      </c>
      <c r="M50" s="540">
        <f>IF(Inventory!N47="","",Inventory!N47)</f>
        <v>0</v>
      </c>
      <c r="N50" s="533" t="str">
        <f t="shared" si="27"/>
        <v/>
      </c>
      <c r="O50" s="534"/>
      <c r="P50" s="533" t="str">
        <f t="shared" si="28"/>
        <v/>
      </c>
      <c r="Q50" s="534" t="str">
        <f>IF(Inventory!L47="","",Inventory!L47)</f>
        <v/>
      </c>
      <c r="R50" s="535" t="str">
        <f t="shared" si="29"/>
        <v/>
      </c>
      <c r="S50" s="536" t="str">
        <f>IF(Inventory!O47="","",Inventory!O47)</f>
        <v/>
      </c>
      <c r="T50" s="541" t="str">
        <f>IFERROR(IF(C50="","",IF(INDEX(xyWattage_Table,MATCH(M50,'Fixture Identities'!$B$9:$B$997,0),2)="Exit Sign",8760,IF(VLOOKUP(C50,xySpace_Type_Details,8,FALSE)="TRM",INDEX('General Information'!$AF$17:$AG$28,11,MATCH(N50,'General Information'!$AF$16:$AG$16,0)),HLOOKUP(VLOOKUP(C50,xySpace_Type_Details,8,FALSE),'General Information'!$P$15:$AG$28,13,FALSE)))),"")</f>
        <v/>
      </c>
      <c r="U50" s="542" t="str">
        <f>IFERROR(IF(C50="","",IF(INDEX(xyWattage_Table,MATCH(M50,'Fixture Identities'!$B$9:$B$997,0),2)="Exit Sign",1,IF(VLOOKUP(C50,xySpace_Type_Details,8,FALSE)="TRM",INDEX('General Information'!$AF$17:$AG$28,12,MATCH(N50,'General Information'!$AF$16:$AG$16,0)),HLOOKUP(VLOOKUP(C50,xySpace_Type_Details,8,FALSE),'General Information'!$P$15:$AG$28,14,FALSE)))),"")</f>
        <v/>
      </c>
      <c r="V50" s="542" t="str">
        <f>IFERROR(VLOOKUP(INDEX(xySpace_Type_Details,MATCH($C50,'General Information'!$C$40:$C$60,0),12),Lookups!$L$8:$N$12,2,FALSE),"")</f>
        <v/>
      </c>
      <c r="W50" s="542" t="str">
        <f>IFERROR(VLOOKUP(INDEX(xySpace_Type_Details,MATCH($C50,'General Information'!$C$40:$C$60,0),12),Lookups!$L$8:$N$12,3,FALSE),"")</f>
        <v/>
      </c>
      <c r="X50" s="543"/>
      <c r="Y50" s="542" t="str">
        <f>IFERROR(IF(C50="","",IF(INDEX(xyWattage_Table,MATCH(M50,'Fixture Identities'!$B$9:$B$997,0),2)="Exit Sign",0,IF(PRJ_Type="Retrofit",VLOOKUP(I50,xySVG_Factors,2,FALSE),IF(AND(PRJ_Type="New Construction",Inventory!C47="N"),VLOOKUP(VLOOKUP(Building_Type,xyLPD_BuildingArea,5,FALSE),xySVG_Factors_NC,3,FALSE),0)))),"")</f>
        <v/>
      </c>
      <c r="Z50" s="544" t="str">
        <f>IFERROR(IF(C50="","",IF(INDEX(xyWattage_Table,MATCH(M50,'Fixture Identities'!$B$9:$B$997,0),2)="Exit Sign",0,VLOOKUP(S50,xySVG_Factors,2,FALSE))),"")</f>
        <v/>
      </c>
      <c r="AA50" s="545" t="str">
        <f t="shared" si="30"/>
        <v/>
      </c>
      <c r="AB50" s="542" t="str">
        <f t="shared" si="31"/>
        <v/>
      </c>
      <c r="AC50" s="539" t="str">
        <f t="shared" si="32"/>
        <v/>
      </c>
      <c r="AD50" s="546" t="str">
        <f t="shared" si="33"/>
        <v/>
      </c>
      <c r="AE50" s="539" t="str">
        <f t="shared" si="34"/>
        <v/>
      </c>
      <c r="AF50" s="546" t="str">
        <f t="shared" si="35"/>
        <v/>
      </c>
      <c r="AG50" s="539" t="str">
        <f t="shared" si="36"/>
        <v/>
      </c>
      <c r="AH50" s="32">
        <f t="shared" si="17"/>
        <v>0</v>
      </c>
      <c r="AI50" s="32">
        <f t="shared" si="18"/>
        <v>0</v>
      </c>
      <c r="AJ50" s="32">
        <f t="shared" si="19"/>
        <v>0</v>
      </c>
      <c r="AK50" t="str">
        <f t="shared" si="20"/>
        <v/>
      </c>
      <c r="AL50" t="str">
        <f t="shared" si="21"/>
        <v/>
      </c>
      <c r="AM50" t="str">
        <f t="shared" si="22"/>
        <v/>
      </c>
      <c r="AO50" t="str">
        <f>IFERROR(VLOOKUP(M50,'Fixture Identities'!$B$9:$O$1045,14,FALSE),"")</f>
        <v/>
      </c>
      <c r="AP50" t="str">
        <f t="shared" si="4"/>
        <v/>
      </c>
      <c r="AQ50" s="548" t="s">
        <v>559</v>
      </c>
    </row>
    <row r="51" spans="1:43" ht="15">
      <c r="A51" s="71">
        <f t="shared" si="5"/>
        <v>0</v>
      </c>
      <c r="B51" s="513">
        <f t="shared" si="23"/>
        <v>39</v>
      </c>
      <c r="C51" s="530" t="str">
        <f>IF(Inventory!E48="","",Inventory!E48)</f>
        <v/>
      </c>
      <c r="D51" s="531">
        <f>IF(Inventory!D48="",0,Inventory!D48)</f>
        <v>0</v>
      </c>
      <c r="E51" s="532" t="str">
        <f>IF(Inventory!I48=0,"",Inventory!I48)</f>
        <v/>
      </c>
      <c r="F51" s="533" t="str">
        <f t="shared" si="24"/>
        <v/>
      </c>
      <c r="G51" s="534" t="str">
        <f>IF(Inventory!G48="","",Inventory!G48)</f>
        <v/>
      </c>
      <c r="H51" s="535" t="str">
        <f t="shared" si="25"/>
        <v/>
      </c>
      <c r="I51" s="536" t="str">
        <f>IF(Inventory!J48="","",Inventory!J48)</f>
        <v/>
      </c>
      <c r="J51" s="537" t="str">
        <f>IFERROR(IF(PRJ_Type="New Construction",IF(Inventory!C48="N",INDEX(xyLPD_BuildingArea,MATCH(Building_Type,Lookups!$F$37:$F$75,0),4),INDEX(xyLPD_SpaceBySpace,MATCH(INDEX(xyNCEx,MATCH(I51,yNCExArea,0),2),ySpace_by_Space_Type,0),2)),VLOOKUP(E51,xyWattage_Table,11,FALSE)),"")</f>
        <v/>
      </c>
      <c r="K51" s="538" t="str">
        <f>IFERROR(IF(AND(NC_Type="Building Area Method",Inventory!C48="N"),IF(ISERROR(INDEX('Usage Groups (&gt;120 MWh only)'!$N$8:$N$12,MATCH(C51,'Usage Groups (&gt;120 MWh only)'!$B$8:$B$12,0),1))=TRUE,SqFt/COUNTIFS(Inventory!$C$10:$C$1009,"N",$Q$13:$Q$1012,"&gt;=0"),INDEX('Usage Groups (&gt;120 MWh only)'!$N$8:$N$12,MATCH(C51,'Usage Groups (&gt;120 MWh only)'!$B$8:$B$12,0),1)/COUNTIF($C$13:$C$1012,C51)),IF(AND(NC_Type="Building Area Method",Inventory!C48="Y"),INDEX(xyNCEx,MATCH(I51,yNCExArea,0),3)/COUNTIF($I$13:$I$1012,I51),VLOOKUP(J51,xyWattage_Table,10,FALSE))),"")</f>
        <v/>
      </c>
      <c r="L51" s="539" t="str">
        <f t="shared" si="26"/>
        <v/>
      </c>
      <c r="M51" s="540">
        <f>IF(Inventory!N48="","",Inventory!N48)</f>
        <v>0</v>
      </c>
      <c r="N51" s="533" t="str">
        <f t="shared" si="27"/>
        <v/>
      </c>
      <c r="O51" s="534"/>
      <c r="P51" s="533" t="str">
        <f t="shared" si="28"/>
        <v/>
      </c>
      <c r="Q51" s="534" t="str">
        <f>IF(Inventory!L48="","",Inventory!L48)</f>
        <v/>
      </c>
      <c r="R51" s="535" t="str">
        <f t="shared" si="29"/>
        <v/>
      </c>
      <c r="S51" s="536" t="str">
        <f>IF(Inventory!O48="","",Inventory!O48)</f>
        <v/>
      </c>
      <c r="T51" s="541" t="str">
        <f>IFERROR(IF(C51="","",IF(INDEX(xyWattage_Table,MATCH(M51,'Fixture Identities'!$B$9:$B$997,0),2)="Exit Sign",8760,IF(VLOOKUP(C51,xySpace_Type_Details,8,FALSE)="TRM",INDEX('General Information'!$AF$17:$AG$28,11,MATCH(N51,'General Information'!$AF$16:$AG$16,0)),HLOOKUP(VLOOKUP(C51,xySpace_Type_Details,8,FALSE),'General Information'!$P$15:$AG$28,13,FALSE)))),"")</f>
        <v/>
      </c>
      <c r="U51" s="542" t="str">
        <f>IFERROR(IF(C51="","",IF(INDEX(xyWattage_Table,MATCH(M51,'Fixture Identities'!$B$9:$B$997,0),2)="Exit Sign",1,IF(VLOOKUP(C51,xySpace_Type_Details,8,FALSE)="TRM",INDEX('General Information'!$AF$17:$AG$28,12,MATCH(N51,'General Information'!$AF$16:$AG$16,0)),HLOOKUP(VLOOKUP(C51,xySpace_Type_Details,8,FALSE),'General Information'!$P$15:$AG$28,14,FALSE)))),"")</f>
        <v/>
      </c>
      <c r="V51" s="542" t="str">
        <f>IFERROR(VLOOKUP(INDEX(xySpace_Type_Details,MATCH($C51,'General Information'!$C$40:$C$60,0),12),Lookups!$L$8:$N$12,2,FALSE),"")</f>
        <v/>
      </c>
      <c r="W51" s="542" t="str">
        <f>IFERROR(VLOOKUP(INDEX(xySpace_Type_Details,MATCH($C51,'General Information'!$C$40:$C$60,0),12),Lookups!$L$8:$N$12,3,FALSE),"")</f>
        <v/>
      </c>
      <c r="X51" s="543"/>
      <c r="Y51" s="542" t="str">
        <f>IFERROR(IF(C51="","",IF(INDEX(xyWattage_Table,MATCH(M51,'Fixture Identities'!$B$9:$B$997,0),2)="Exit Sign",0,IF(PRJ_Type="Retrofit",VLOOKUP(I51,xySVG_Factors,2,FALSE),IF(AND(PRJ_Type="New Construction",Inventory!C48="N"),VLOOKUP(VLOOKUP(Building_Type,xyLPD_BuildingArea,5,FALSE),xySVG_Factors_NC,3,FALSE),0)))),"")</f>
        <v/>
      </c>
      <c r="Z51" s="544" t="str">
        <f>IFERROR(IF(C51="","",IF(INDEX(xyWattage_Table,MATCH(M51,'Fixture Identities'!$B$9:$B$997,0),2)="Exit Sign",0,VLOOKUP(S51,xySVG_Factors,2,FALSE))),"")</f>
        <v/>
      </c>
      <c r="AA51" s="545" t="str">
        <f t="shared" si="30"/>
        <v/>
      </c>
      <c r="AB51" s="542" t="str">
        <f t="shared" si="31"/>
        <v/>
      </c>
      <c r="AC51" s="539" t="str">
        <f t="shared" si="32"/>
        <v/>
      </c>
      <c r="AD51" s="546" t="str">
        <f t="shared" si="33"/>
        <v/>
      </c>
      <c r="AE51" s="539" t="str">
        <f t="shared" si="34"/>
        <v/>
      </c>
      <c r="AF51" s="546" t="str">
        <f t="shared" si="35"/>
        <v/>
      </c>
      <c r="AG51" s="539" t="str">
        <f t="shared" si="36"/>
        <v/>
      </c>
      <c r="AH51" s="32">
        <f t="shared" si="17"/>
        <v>0</v>
      </c>
      <c r="AI51" s="32">
        <f t="shared" si="18"/>
        <v>0</v>
      </c>
      <c r="AJ51" s="32">
        <f t="shared" si="19"/>
        <v>0</v>
      </c>
      <c r="AK51" t="str">
        <f t="shared" si="20"/>
        <v/>
      </c>
      <c r="AL51" t="str">
        <f t="shared" si="21"/>
        <v/>
      </c>
      <c r="AM51" t="str">
        <f t="shared" si="22"/>
        <v/>
      </c>
      <c r="AO51" t="str">
        <f>IFERROR(VLOOKUP(M51,'Fixture Identities'!$B$9:$O$1045,14,FALSE),"")</f>
        <v/>
      </c>
      <c r="AP51" t="str">
        <f t="shared" si="4"/>
        <v/>
      </c>
      <c r="AQ51" s="550" t="s">
        <v>560</v>
      </c>
    </row>
    <row r="52" spans="1:43" ht="15">
      <c r="A52" s="71">
        <f t="shared" si="5"/>
        <v>0</v>
      </c>
      <c r="B52" s="513">
        <f t="shared" si="23"/>
        <v>40</v>
      </c>
      <c r="C52" s="530" t="str">
        <f>IF(Inventory!E49="","",Inventory!E49)</f>
        <v/>
      </c>
      <c r="D52" s="531">
        <f>IF(Inventory!D49="",0,Inventory!D49)</f>
        <v>0</v>
      </c>
      <c r="E52" s="532" t="str">
        <f>IF(Inventory!I49=0,"",Inventory!I49)</f>
        <v/>
      </c>
      <c r="F52" s="533" t="str">
        <f t="shared" si="24"/>
        <v/>
      </c>
      <c r="G52" s="534" t="str">
        <f>IF(Inventory!G49="","",Inventory!G49)</f>
        <v/>
      </c>
      <c r="H52" s="535" t="str">
        <f t="shared" si="25"/>
        <v/>
      </c>
      <c r="I52" s="536" t="str">
        <f>IF(Inventory!J49="","",Inventory!J49)</f>
        <v/>
      </c>
      <c r="J52" s="537" t="str">
        <f>IFERROR(IF(PRJ_Type="New Construction",IF(Inventory!C49="N",INDEX(xyLPD_BuildingArea,MATCH(Building_Type,Lookups!$F$37:$F$75,0),4),INDEX(xyLPD_SpaceBySpace,MATCH(INDEX(xyNCEx,MATCH(I52,yNCExArea,0),2),ySpace_by_Space_Type,0),2)),VLOOKUP(E52,xyWattage_Table,11,FALSE)),"")</f>
        <v/>
      </c>
      <c r="K52" s="538" t="str">
        <f>IFERROR(IF(AND(NC_Type="Building Area Method",Inventory!C49="N"),IF(ISERROR(INDEX('Usage Groups (&gt;120 MWh only)'!$N$8:$N$12,MATCH(C52,'Usage Groups (&gt;120 MWh only)'!$B$8:$B$12,0),1))=TRUE,SqFt/COUNTIFS(Inventory!$C$10:$C$1009,"N",$Q$13:$Q$1012,"&gt;=0"),INDEX('Usage Groups (&gt;120 MWh only)'!$N$8:$N$12,MATCH(C52,'Usage Groups (&gt;120 MWh only)'!$B$8:$B$12,0),1)/COUNTIF($C$13:$C$1012,C52)),IF(AND(NC_Type="Building Area Method",Inventory!C49="Y"),INDEX(xyNCEx,MATCH(I52,yNCExArea,0),3)/COUNTIF($I$13:$I$1012,I52),VLOOKUP(J52,xyWattage_Table,10,FALSE))),"")</f>
        <v/>
      </c>
      <c r="L52" s="539" t="str">
        <f t="shared" si="26"/>
        <v/>
      </c>
      <c r="M52" s="540">
        <f>IF(Inventory!N49="","",Inventory!N49)</f>
        <v>0</v>
      </c>
      <c r="N52" s="533" t="str">
        <f t="shared" si="27"/>
        <v/>
      </c>
      <c r="O52" s="534"/>
      <c r="P52" s="533" t="str">
        <f t="shared" si="28"/>
        <v/>
      </c>
      <c r="Q52" s="534" t="str">
        <f>IF(Inventory!L49="","",Inventory!L49)</f>
        <v/>
      </c>
      <c r="R52" s="535" t="str">
        <f t="shared" si="29"/>
        <v/>
      </c>
      <c r="S52" s="536" t="str">
        <f>IF(Inventory!O49="","",Inventory!O49)</f>
        <v/>
      </c>
      <c r="T52" s="541" t="str">
        <f>IFERROR(IF(C52="","",IF(INDEX(xyWattage_Table,MATCH(M52,'Fixture Identities'!$B$9:$B$997,0),2)="Exit Sign",8760,IF(VLOOKUP(C52,xySpace_Type_Details,8,FALSE)="TRM",INDEX('General Information'!$AF$17:$AG$28,11,MATCH(N52,'General Information'!$AF$16:$AG$16,0)),HLOOKUP(VLOOKUP(C52,xySpace_Type_Details,8,FALSE),'General Information'!$P$15:$AG$28,13,FALSE)))),"")</f>
        <v/>
      </c>
      <c r="U52" s="542" t="str">
        <f>IFERROR(IF(C52="","",IF(INDEX(xyWattage_Table,MATCH(M52,'Fixture Identities'!$B$9:$B$997,0),2)="Exit Sign",1,IF(VLOOKUP(C52,xySpace_Type_Details,8,FALSE)="TRM",INDEX('General Information'!$AF$17:$AG$28,12,MATCH(N52,'General Information'!$AF$16:$AG$16,0)),HLOOKUP(VLOOKUP(C52,xySpace_Type_Details,8,FALSE),'General Information'!$P$15:$AG$28,14,FALSE)))),"")</f>
        <v/>
      </c>
      <c r="V52" s="542" t="str">
        <f>IFERROR(VLOOKUP(INDEX(xySpace_Type_Details,MATCH($C52,'General Information'!$C$40:$C$60,0),12),Lookups!$L$8:$N$12,2,FALSE),"")</f>
        <v/>
      </c>
      <c r="W52" s="542" t="str">
        <f>IFERROR(VLOOKUP(INDEX(xySpace_Type_Details,MATCH($C52,'General Information'!$C$40:$C$60,0),12),Lookups!$L$8:$N$12,3,FALSE),"")</f>
        <v/>
      </c>
      <c r="X52" s="543"/>
      <c r="Y52" s="542" t="str">
        <f>IFERROR(IF(C52="","",IF(INDEX(xyWattage_Table,MATCH(M52,'Fixture Identities'!$B$9:$B$997,0),2)="Exit Sign",0,IF(PRJ_Type="Retrofit",VLOOKUP(I52,xySVG_Factors,2,FALSE),IF(AND(PRJ_Type="New Construction",Inventory!C49="N"),VLOOKUP(VLOOKUP(Building_Type,xyLPD_BuildingArea,5,FALSE),xySVG_Factors_NC,3,FALSE),0)))),"")</f>
        <v/>
      </c>
      <c r="Z52" s="544" t="str">
        <f>IFERROR(IF(C52="","",IF(INDEX(xyWattage_Table,MATCH(M52,'Fixture Identities'!$B$9:$B$997,0),2)="Exit Sign",0,VLOOKUP(S52,xySVG_Factors,2,FALSE))),"")</f>
        <v/>
      </c>
      <c r="AA52" s="545" t="str">
        <f t="shared" si="30"/>
        <v/>
      </c>
      <c r="AB52" s="542" t="str">
        <f t="shared" si="31"/>
        <v/>
      </c>
      <c r="AC52" s="539" t="str">
        <f t="shared" si="32"/>
        <v/>
      </c>
      <c r="AD52" s="546" t="str">
        <f t="shared" si="33"/>
        <v/>
      </c>
      <c r="AE52" s="539" t="str">
        <f t="shared" si="34"/>
        <v/>
      </c>
      <c r="AF52" s="546" t="str">
        <f t="shared" si="35"/>
        <v/>
      </c>
      <c r="AG52" s="539" t="str">
        <f t="shared" si="36"/>
        <v/>
      </c>
      <c r="AH52" s="32">
        <f t="shared" si="17"/>
        <v>0</v>
      </c>
      <c r="AI52" s="32">
        <f t="shared" si="18"/>
        <v>0</v>
      </c>
      <c r="AJ52" s="32">
        <f t="shared" si="19"/>
        <v>0</v>
      </c>
      <c r="AK52" t="str">
        <f t="shared" si="20"/>
        <v/>
      </c>
      <c r="AL52" t="str">
        <f t="shared" si="21"/>
        <v/>
      </c>
      <c r="AM52" t="str">
        <f t="shared" si="22"/>
        <v/>
      </c>
      <c r="AO52" t="str">
        <f>IFERROR(VLOOKUP(M52,'Fixture Identities'!$B$9:$O$1045,14,FALSE),"")</f>
        <v/>
      </c>
      <c r="AP52" t="str">
        <f t="shared" si="4"/>
        <v/>
      </c>
      <c r="AQ52" s="550" t="s">
        <v>561</v>
      </c>
    </row>
    <row r="53" spans="1:43" ht="15">
      <c r="A53" s="71">
        <f t="shared" si="5"/>
        <v>0</v>
      </c>
      <c r="B53" s="513">
        <f t="shared" si="23"/>
        <v>41</v>
      </c>
      <c r="C53" s="530" t="str">
        <f>IF(Inventory!E50="","",Inventory!E50)</f>
        <v/>
      </c>
      <c r="D53" s="531">
        <f>IF(Inventory!D50="",0,Inventory!D50)</f>
        <v>0</v>
      </c>
      <c r="E53" s="532" t="str">
        <f>IF(Inventory!I50=0,"",Inventory!I50)</f>
        <v/>
      </c>
      <c r="F53" s="533" t="str">
        <f t="shared" si="24"/>
        <v/>
      </c>
      <c r="G53" s="534" t="str">
        <f>IF(Inventory!G50="","",Inventory!G50)</f>
        <v/>
      </c>
      <c r="H53" s="535" t="str">
        <f t="shared" si="25"/>
        <v/>
      </c>
      <c r="I53" s="536" t="str">
        <f>IF(Inventory!J50="","",Inventory!J50)</f>
        <v/>
      </c>
      <c r="J53" s="537" t="str">
        <f>IFERROR(IF(PRJ_Type="New Construction",IF(Inventory!C50="N",INDEX(xyLPD_BuildingArea,MATCH(Building_Type,Lookups!$F$37:$F$75,0),4),INDEX(xyLPD_SpaceBySpace,MATCH(INDEX(xyNCEx,MATCH(I53,yNCExArea,0),2),ySpace_by_Space_Type,0),2)),VLOOKUP(E53,xyWattage_Table,11,FALSE)),"")</f>
        <v/>
      </c>
      <c r="K53" s="538" t="str">
        <f>IFERROR(IF(AND(NC_Type="Building Area Method",Inventory!C50="N"),IF(ISERROR(INDEX('Usage Groups (&gt;120 MWh only)'!$N$8:$N$12,MATCH(C53,'Usage Groups (&gt;120 MWh only)'!$B$8:$B$12,0),1))=TRUE,SqFt/COUNTIFS(Inventory!$C$10:$C$1009,"N",$Q$13:$Q$1012,"&gt;=0"),INDEX('Usage Groups (&gt;120 MWh only)'!$N$8:$N$12,MATCH(C53,'Usage Groups (&gt;120 MWh only)'!$B$8:$B$12,0),1)/COUNTIF($C$13:$C$1012,C53)),IF(AND(NC_Type="Building Area Method",Inventory!C50="Y"),INDEX(xyNCEx,MATCH(I53,yNCExArea,0),3)/COUNTIF($I$13:$I$1012,I53),VLOOKUP(J53,xyWattage_Table,10,FALSE))),"")</f>
        <v/>
      </c>
      <c r="L53" s="539" t="str">
        <f t="shared" si="26"/>
        <v/>
      </c>
      <c r="M53" s="540">
        <f>IF(Inventory!N50="","",Inventory!N50)</f>
        <v>0</v>
      </c>
      <c r="N53" s="533" t="str">
        <f t="shared" si="27"/>
        <v/>
      </c>
      <c r="O53" s="534"/>
      <c r="P53" s="533" t="str">
        <f t="shared" si="28"/>
        <v/>
      </c>
      <c r="Q53" s="534" t="str">
        <f>IF(Inventory!L50="","",Inventory!L50)</f>
        <v/>
      </c>
      <c r="R53" s="535" t="str">
        <f t="shared" si="29"/>
        <v/>
      </c>
      <c r="S53" s="536" t="str">
        <f>IF(Inventory!O50="","",Inventory!O50)</f>
        <v/>
      </c>
      <c r="T53" s="541" t="str">
        <f>IFERROR(IF(C53="","",IF(INDEX(xyWattage_Table,MATCH(M53,'Fixture Identities'!$B$9:$B$997,0),2)="Exit Sign",8760,IF(VLOOKUP(C53,xySpace_Type_Details,8,FALSE)="TRM",INDEX('General Information'!$AF$17:$AG$28,11,MATCH(N53,'General Information'!$AF$16:$AG$16,0)),HLOOKUP(VLOOKUP(C53,xySpace_Type_Details,8,FALSE),'General Information'!$P$15:$AG$28,13,FALSE)))),"")</f>
        <v/>
      </c>
      <c r="U53" s="542" t="str">
        <f>IFERROR(IF(C53="","",IF(INDEX(xyWattage_Table,MATCH(M53,'Fixture Identities'!$B$9:$B$997,0),2)="Exit Sign",1,IF(VLOOKUP(C53,xySpace_Type_Details,8,FALSE)="TRM",INDEX('General Information'!$AF$17:$AG$28,12,MATCH(N53,'General Information'!$AF$16:$AG$16,0)),HLOOKUP(VLOOKUP(C53,xySpace_Type_Details,8,FALSE),'General Information'!$P$15:$AG$28,14,FALSE)))),"")</f>
        <v/>
      </c>
      <c r="V53" s="542" t="str">
        <f>IFERROR(VLOOKUP(INDEX(xySpace_Type_Details,MATCH($C53,'General Information'!$C$40:$C$60,0),12),Lookups!$L$8:$N$12,2,FALSE),"")</f>
        <v/>
      </c>
      <c r="W53" s="542" t="str">
        <f>IFERROR(VLOOKUP(INDEX(xySpace_Type_Details,MATCH($C53,'General Information'!$C$40:$C$60,0),12),Lookups!$L$8:$N$12,3,FALSE),"")</f>
        <v/>
      </c>
      <c r="X53" s="543"/>
      <c r="Y53" s="542" t="str">
        <f>IFERROR(IF(C53="","",IF(INDEX(xyWattage_Table,MATCH(M53,'Fixture Identities'!$B$9:$B$997,0),2)="Exit Sign",0,IF(PRJ_Type="Retrofit",VLOOKUP(I53,xySVG_Factors,2,FALSE),IF(AND(PRJ_Type="New Construction",Inventory!C50="N"),VLOOKUP(VLOOKUP(Building_Type,xyLPD_BuildingArea,5,FALSE),xySVG_Factors_NC,3,FALSE),0)))),"")</f>
        <v/>
      </c>
      <c r="Z53" s="544" t="str">
        <f>IFERROR(IF(C53="","",IF(INDEX(xyWattage_Table,MATCH(M53,'Fixture Identities'!$B$9:$B$997,0),2)="Exit Sign",0,VLOOKUP(S53,xySVG_Factors,2,FALSE))),"")</f>
        <v/>
      </c>
      <c r="AA53" s="545" t="str">
        <f t="shared" si="30"/>
        <v/>
      </c>
      <c r="AB53" s="542" t="str">
        <f t="shared" si="31"/>
        <v/>
      </c>
      <c r="AC53" s="539" t="str">
        <f t="shared" si="32"/>
        <v/>
      </c>
      <c r="AD53" s="546" t="str">
        <f t="shared" si="33"/>
        <v/>
      </c>
      <c r="AE53" s="539" t="str">
        <f t="shared" si="34"/>
        <v/>
      </c>
      <c r="AF53" s="546" t="str">
        <f t="shared" si="35"/>
        <v/>
      </c>
      <c r="AG53" s="539" t="str">
        <f t="shared" si="36"/>
        <v/>
      </c>
      <c r="AH53" s="32">
        <f t="shared" si="17"/>
        <v>0</v>
      </c>
      <c r="AI53" s="32">
        <f t="shared" si="18"/>
        <v>0</v>
      </c>
      <c r="AJ53" s="32">
        <f t="shared" si="19"/>
        <v>0</v>
      </c>
      <c r="AK53" t="str">
        <f t="shared" si="20"/>
        <v/>
      </c>
      <c r="AL53" t="str">
        <f t="shared" si="21"/>
        <v/>
      </c>
      <c r="AM53" t="str">
        <f t="shared" si="22"/>
        <v/>
      </c>
      <c r="AO53" t="str">
        <f>IFERROR(VLOOKUP(M53,'Fixture Identities'!$B$9:$O$1045,14,FALSE),"")</f>
        <v/>
      </c>
      <c r="AP53" t="str">
        <f t="shared" si="4"/>
        <v/>
      </c>
      <c r="AQ53" s="550" t="s">
        <v>562</v>
      </c>
    </row>
    <row r="54" spans="1:43" ht="15">
      <c r="A54" s="71">
        <f t="shared" si="5"/>
        <v>0</v>
      </c>
      <c r="B54" s="513">
        <f t="shared" si="23"/>
        <v>42</v>
      </c>
      <c r="C54" s="530" t="str">
        <f>IF(Inventory!E51="","",Inventory!E51)</f>
        <v/>
      </c>
      <c r="D54" s="531">
        <f>IF(Inventory!D51="",0,Inventory!D51)</f>
        <v>0</v>
      </c>
      <c r="E54" s="532" t="str">
        <f>IF(Inventory!I51=0,"",Inventory!I51)</f>
        <v/>
      </c>
      <c r="F54" s="533" t="str">
        <f t="shared" si="24"/>
        <v/>
      </c>
      <c r="G54" s="534" t="str">
        <f>IF(Inventory!G51="","",Inventory!G51)</f>
        <v/>
      </c>
      <c r="H54" s="535" t="str">
        <f t="shared" si="25"/>
        <v/>
      </c>
      <c r="I54" s="536" t="str">
        <f>IF(Inventory!J51="","",Inventory!J51)</f>
        <v/>
      </c>
      <c r="J54" s="537" t="str">
        <f>IFERROR(IF(PRJ_Type="New Construction",IF(Inventory!C51="N",INDEX(xyLPD_BuildingArea,MATCH(Building_Type,Lookups!$F$37:$F$75,0),4),INDEX(xyLPD_SpaceBySpace,MATCH(INDEX(xyNCEx,MATCH(I54,yNCExArea,0),2),ySpace_by_Space_Type,0),2)),VLOOKUP(E54,xyWattage_Table,11,FALSE)),"")</f>
        <v/>
      </c>
      <c r="K54" s="538" t="str">
        <f>IFERROR(IF(AND(NC_Type="Building Area Method",Inventory!C51="N"),IF(ISERROR(INDEX('Usage Groups (&gt;120 MWh only)'!$N$8:$N$12,MATCH(C54,'Usage Groups (&gt;120 MWh only)'!$B$8:$B$12,0),1))=TRUE,SqFt/COUNTIFS(Inventory!$C$10:$C$1009,"N",$Q$13:$Q$1012,"&gt;=0"),INDEX('Usage Groups (&gt;120 MWh only)'!$N$8:$N$12,MATCH(C54,'Usage Groups (&gt;120 MWh only)'!$B$8:$B$12,0),1)/COUNTIF($C$13:$C$1012,C54)),IF(AND(NC_Type="Building Area Method",Inventory!C51="Y"),INDEX(xyNCEx,MATCH(I54,yNCExArea,0),3)/COUNTIF($I$13:$I$1012,I54),VLOOKUP(J54,xyWattage_Table,10,FALSE))),"")</f>
        <v/>
      </c>
      <c r="L54" s="539" t="str">
        <f t="shared" si="26"/>
        <v/>
      </c>
      <c r="M54" s="540">
        <f>IF(Inventory!N51="","",Inventory!N51)</f>
        <v>0</v>
      </c>
      <c r="N54" s="533" t="str">
        <f t="shared" si="27"/>
        <v/>
      </c>
      <c r="O54" s="534"/>
      <c r="P54" s="533" t="str">
        <f t="shared" si="28"/>
        <v/>
      </c>
      <c r="Q54" s="534" t="str">
        <f>IF(Inventory!L51="","",Inventory!L51)</f>
        <v/>
      </c>
      <c r="R54" s="535" t="str">
        <f t="shared" si="29"/>
        <v/>
      </c>
      <c r="S54" s="536" t="str">
        <f>IF(Inventory!O51="","",Inventory!O51)</f>
        <v/>
      </c>
      <c r="T54" s="541" t="str">
        <f>IFERROR(IF(C54="","",IF(INDEX(xyWattage_Table,MATCH(M54,'Fixture Identities'!$B$9:$B$997,0),2)="Exit Sign",8760,IF(VLOOKUP(C54,xySpace_Type_Details,8,FALSE)="TRM",INDEX('General Information'!$AF$17:$AG$28,11,MATCH(N54,'General Information'!$AF$16:$AG$16,0)),HLOOKUP(VLOOKUP(C54,xySpace_Type_Details,8,FALSE),'General Information'!$P$15:$AG$28,13,FALSE)))),"")</f>
        <v/>
      </c>
      <c r="U54" s="542" t="str">
        <f>IFERROR(IF(C54="","",IF(INDEX(xyWattage_Table,MATCH(M54,'Fixture Identities'!$B$9:$B$997,0),2)="Exit Sign",1,IF(VLOOKUP(C54,xySpace_Type_Details,8,FALSE)="TRM",INDEX('General Information'!$AF$17:$AG$28,12,MATCH(N54,'General Information'!$AF$16:$AG$16,0)),HLOOKUP(VLOOKUP(C54,xySpace_Type_Details,8,FALSE),'General Information'!$P$15:$AG$28,14,FALSE)))),"")</f>
        <v/>
      </c>
      <c r="V54" s="542" t="str">
        <f>IFERROR(VLOOKUP(INDEX(xySpace_Type_Details,MATCH($C54,'General Information'!$C$40:$C$60,0),12),Lookups!$L$8:$N$12,2,FALSE),"")</f>
        <v/>
      </c>
      <c r="W54" s="542" t="str">
        <f>IFERROR(VLOOKUP(INDEX(xySpace_Type_Details,MATCH($C54,'General Information'!$C$40:$C$60,0),12),Lookups!$L$8:$N$12,3,FALSE),"")</f>
        <v/>
      </c>
      <c r="X54" s="543"/>
      <c r="Y54" s="542" t="str">
        <f>IFERROR(IF(C54="","",IF(INDEX(xyWattage_Table,MATCH(M54,'Fixture Identities'!$B$9:$B$997,0),2)="Exit Sign",0,IF(PRJ_Type="Retrofit",VLOOKUP(I54,xySVG_Factors,2,FALSE),IF(AND(PRJ_Type="New Construction",Inventory!C51="N"),VLOOKUP(VLOOKUP(Building_Type,xyLPD_BuildingArea,5,FALSE),xySVG_Factors_NC,3,FALSE),0)))),"")</f>
        <v/>
      </c>
      <c r="Z54" s="544" t="str">
        <f>IFERROR(IF(C54="","",IF(INDEX(xyWattage_Table,MATCH(M54,'Fixture Identities'!$B$9:$B$997,0),2)="Exit Sign",0,VLOOKUP(S54,xySVG_Factors,2,FALSE))),"")</f>
        <v/>
      </c>
      <c r="AA54" s="545" t="str">
        <f t="shared" si="30"/>
        <v/>
      </c>
      <c r="AB54" s="542" t="str">
        <f t="shared" si="31"/>
        <v/>
      </c>
      <c r="AC54" s="539" t="str">
        <f t="shared" si="32"/>
        <v/>
      </c>
      <c r="AD54" s="546" t="str">
        <f t="shared" si="33"/>
        <v/>
      </c>
      <c r="AE54" s="539" t="str">
        <f t="shared" si="34"/>
        <v/>
      </c>
      <c r="AF54" s="546" t="str">
        <f t="shared" si="35"/>
        <v/>
      </c>
      <c r="AG54" s="539" t="str">
        <f t="shared" si="36"/>
        <v/>
      </c>
      <c r="AH54" s="32">
        <f t="shared" si="17"/>
        <v>0</v>
      </c>
      <c r="AI54" s="32">
        <f t="shared" si="18"/>
        <v>0</v>
      </c>
      <c r="AJ54" s="32">
        <f t="shared" si="19"/>
        <v>0</v>
      </c>
      <c r="AK54" t="str">
        <f t="shared" si="20"/>
        <v/>
      </c>
      <c r="AL54" t="str">
        <f t="shared" si="21"/>
        <v/>
      </c>
      <c r="AM54" t="str">
        <f t="shared" si="22"/>
        <v/>
      </c>
      <c r="AO54" t="str">
        <f>IFERROR(VLOOKUP(M54,'Fixture Identities'!$B$9:$O$1045,14,FALSE),"")</f>
        <v/>
      </c>
      <c r="AP54" t="str">
        <f t="shared" si="4"/>
        <v/>
      </c>
      <c r="AQ54" s="550" t="s">
        <v>563</v>
      </c>
    </row>
    <row r="55" spans="1:43" ht="15">
      <c r="A55" s="71">
        <f t="shared" si="5"/>
        <v>0</v>
      </c>
      <c r="B55" s="513">
        <f t="shared" si="23"/>
        <v>43</v>
      </c>
      <c r="C55" s="530" t="str">
        <f>IF(Inventory!E52="","",Inventory!E52)</f>
        <v/>
      </c>
      <c r="D55" s="531">
        <f>IF(Inventory!D52="",0,Inventory!D52)</f>
        <v>0</v>
      </c>
      <c r="E55" s="532" t="str">
        <f>IF(Inventory!I52=0,"",Inventory!I52)</f>
        <v/>
      </c>
      <c r="F55" s="533" t="str">
        <f t="shared" si="24"/>
        <v/>
      </c>
      <c r="G55" s="534" t="str">
        <f>IF(Inventory!G52="","",Inventory!G52)</f>
        <v/>
      </c>
      <c r="H55" s="535" t="str">
        <f t="shared" si="25"/>
        <v/>
      </c>
      <c r="I55" s="536" t="str">
        <f>IF(Inventory!J52="","",Inventory!J52)</f>
        <v/>
      </c>
      <c r="J55" s="537" t="str">
        <f>IFERROR(IF(PRJ_Type="New Construction",IF(Inventory!C52="N",INDEX(xyLPD_BuildingArea,MATCH(Building_Type,Lookups!$F$37:$F$75,0),4),INDEX(xyLPD_SpaceBySpace,MATCH(INDEX(xyNCEx,MATCH(I55,yNCExArea,0),2),ySpace_by_Space_Type,0),2)),VLOOKUP(E55,xyWattage_Table,11,FALSE)),"")</f>
        <v/>
      </c>
      <c r="K55" s="538" t="str">
        <f>IFERROR(IF(AND(NC_Type="Building Area Method",Inventory!C52="N"),IF(ISERROR(INDEX('Usage Groups (&gt;120 MWh only)'!$N$8:$N$12,MATCH(C55,'Usage Groups (&gt;120 MWh only)'!$B$8:$B$12,0),1))=TRUE,SqFt/COUNTIFS(Inventory!$C$10:$C$1009,"N",$Q$13:$Q$1012,"&gt;=0"),INDEX('Usage Groups (&gt;120 MWh only)'!$N$8:$N$12,MATCH(C55,'Usage Groups (&gt;120 MWh only)'!$B$8:$B$12,0),1)/COUNTIF($C$13:$C$1012,C55)),IF(AND(NC_Type="Building Area Method",Inventory!C52="Y"),INDEX(xyNCEx,MATCH(I55,yNCExArea,0),3)/COUNTIF($I$13:$I$1012,I55),VLOOKUP(J55,xyWattage_Table,10,FALSE))),"")</f>
        <v/>
      </c>
      <c r="L55" s="539" t="str">
        <f t="shared" si="26"/>
        <v/>
      </c>
      <c r="M55" s="540">
        <f>IF(Inventory!N52="","",Inventory!N52)</f>
        <v>0</v>
      </c>
      <c r="N55" s="533" t="str">
        <f t="shared" si="27"/>
        <v/>
      </c>
      <c r="O55" s="534"/>
      <c r="P55" s="533" t="str">
        <f t="shared" si="28"/>
        <v/>
      </c>
      <c r="Q55" s="534" t="str">
        <f>IF(Inventory!L52="","",Inventory!L52)</f>
        <v/>
      </c>
      <c r="R55" s="535" t="str">
        <f t="shared" si="29"/>
        <v/>
      </c>
      <c r="S55" s="536" t="str">
        <f>IF(Inventory!O52="","",Inventory!O52)</f>
        <v/>
      </c>
      <c r="T55" s="541" t="str">
        <f>IFERROR(IF(C55="","",IF(INDEX(xyWattage_Table,MATCH(M55,'Fixture Identities'!$B$9:$B$997,0),2)="Exit Sign",8760,IF(VLOOKUP(C55,xySpace_Type_Details,8,FALSE)="TRM",INDEX('General Information'!$AF$17:$AG$28,11,MATCH(N55,'General Information'!$AF$16:$AG$16,0)),HLOOKUP(VLOOKUP(C55,xySpace_Type_Details,8,FALSE),'General Information'!$P$15:$AG$28,13,FALSE)))),"")</f>
        <v/>
      </c>
      <c r="U55" s="542" t="str">
        <f>IFERROR(IF(C55="","",IF(INDEX(xyWattage_Table,MATCH(M55,'Fixture Identities'!$B$9:$B$997,0),2)="Exit Sign",1,IF(VLOOKUP(C55,xySpace_Type_Details,8,FALSE)="TRM",INDEX('General Information'!$AF$17:$AG$28,12,MATCH(N55,'General Information'!$AF$16:$AG$16,0)),HLOOKUP(VLOOKUP(C55,xySpace_Type_Details,8,FALSE),'General Information'!$P$15:$AG$28,14,FALSE)))),"")</f>
        <v/>
      </c>
      <c r="V55" s="542" t="str">
        <f>IFERROR(VLOOKUP(INDEX(xySpace_Type_Details,MATCH($C55,'General Information'!$C$40:$C$60,0),12),Lookups!$L$8:$N$12,2,FALSE),"")</f>
        <v/>
      </c>
      <c r="W55" s="542" t="str">
        <f>IFERROR(VLOOKUP(INDEX(xySpace_Type_Details,MATCH($C55,'General Information'!$C$40:$C$60,0),12),Lookups!$L$8:$N$12,3,FALSE),"")</f>
        <v/>
      </c>
      <c r="X55" s="543"/>
      <c r="Y55" s="542" t="str">
        <f>IFERROR(IF(C55="","",IF(INDEX(xyWattage_Table,MATCH(M55,'Fixture Identities'!$B$9:$B$997,0),2)="Exit Sign",0,IF(PRJ_Type="Retrofit",VLOOKUP(I55,xySVG_Factors,2,FALSE),IF(AND(PRJ_Type="New Construction",Inventory!C52="N"),VLOOKUP(VLOOKUP(Building_Type,xyLPD_BuildingArea,5,FALSE),xySVG_Factors_NC,3,FALSE),0)))),"")</f>
        <v/>
      </c>
      <c r="Z55" s="544" t="str">
        <f>IFERROR(IF(C55="","",IF(INDEX(xyWattage_Table,MATCH(M55,'Fixture Identities'!$B$9:$B$997,0),2)="Exit Sign",0,VLOOKUP(S55,xySVG_Factors,2,FALSE))),"")</f>
        <v/>
      </c>
      <c r="AA55" s="545" t="str">
        <f t="shared" si="30"/>
        <v/>
      </c>
      <c r="AB55" s="542" t="str">
        <f t="shared" si="31"/>
        <v/>
      </c>
      <c r="AC55" s="539" t="str">
        <f t="shared" si="32"/>
        <v/>
      </c>
      <c r="AD55" s="546" t="str">
        <f t="shared" si="33"/>
        <v/>
      </c>
      <c r="AE55" s="539" t="str">
        <f t="shared" si="34"/>
        <v/>
      </c>
      <c r="AF55" s="546" t="str">
        <f t="shared" si="35"/>
        <v/>
      </c>
      <c r="AG55" s="539" t="str">
        <f t="shared" si="36"/>
        <v/>
      </c>
      <c r="AH55" s="32">
        <f t="shared" si="17"/>
        <v>0</v>
      </c>
      <c r="AI55" s="32">
        <f t="shared" si="18"/>
        <v>0</v>
      </c>
      <c r="AJ55" s="32">
        <f t="shared" si="19"/>
        <v>0</v>
      </c>
      <c r="AK55" t="str">
        <f t="shared" si="20"/>
        <v/>
      </c>
      <c r="AL55" t="str">
        <f t="shared" si="21"/>
        <v/>
      </c>
      <c r="AM55" t="str">
        <f t="shared" si="22"/>
        <v/>
      </c>
      <c r="AO55" t="str">
        <f>IFERROR(VLOOKUP(M55,'Fixture Identities'!$B$9:$O$1045,14,FALSE),"")</f>
        <v/>
      </c>
      <c r="AP55" t="str">
        <f t="shared" si="4"/>
        <v/>
      </c>
      <c r="AQ55" s="550" t="s">
        <v>564</v>
      </c>
    </row>
    <row r="56" spans="1:43" ht="15">
      <c r="A56" s="71">
        <f t="shared" si="5"/>
        <v>0</v>
      </c>
      <c r="B56" s="513">
        <f t="shared" si="23"/>
        <v>44</v>
      </c>
      <c r="C56" s="530" t="str">
        <f>IF(Inventory!E53="","",Inventory!E53)</f>
        <v/>
      </c>
      <c r="D56" s="531">
        <f>IF(Inventory!D53="",0,Inventory!D53)</f>
        <v>0</v>
      </c>
      <c r="E56" s="532" t="str">
        <f>IF(Inventory!I53=0,"",Inventory!I53)</f>
        <v/>
      </c>
      <c r="F56" s="533" t="str">
        <f t="shared" si="24"/>
        <v/>
      </c>
      <c r="G56" s="534" t="str">
        <f>IF(Inventory!G53="","",Inventory!G53)</f>
        <v/>
      </c>
      <c r="H56" s="535" t="str">
        <f t="shared" si="25"/>
        <v/>
      </c>
      <c r="I56" s="536" t="str">
        <f>IF(Inventory!J53="","",Inventory!J53)</f>
        <v/>
      </c>
      <c r="J56" s="537" t="str">
        <f>IFERROR(IF(PRJ_Type="New Construction",IF(Inventory!C53="N",INDEX(xyLPD_BuildingArea,MATCH(Building_Type,Lookups!$F$37:$F$75,0),4),INDEX(xyLPD_SpaceBySpace,MATCH(INDEX(xyNCEx,MATCH(I56,yNCExArea,0),2),ySpace_by_Space_Type,0),2)),VLOOKUP(E56,xyWattage_Table,11,FALSE)),"")</f>
        <v/>
      </c>
      <c r="K56" s="538" t="str">
        <f>IFERROR(IF(AND(NC_Type="Building Area Method",Inventory!C53="N"),IF(ISERROR(INDEX('Usage Groups (&gt;120 MWh only)'!$N$8:$N$12,MATCH(C56,'Usage Groups (&gt;120 MWh only)'!$B$8:$B$12,0),1))=TRUE,SqFt/COUNTIFS(Inventory!$C$10:$C$1009,"N",$Q$13:$Q$1012,"&gt;=0"),INDEX('Usage Groups (&gt;120 MWh only)'!$N$8:$N$12,MATCH(C56,'Usage Groups (&gt;120 MWh only)'!$B$8:$B$12,0),1)/COUNTIF($C$13:$C$1012,C56)),IF(AND(NC_Type="Building Area Method",Inventory!C53="Y"),INDEX(xyNCEx,MATCH(I56,yNCExArea,0),3)/COUNTIF($I$13:$I$1012,I56),VLOOKUP(J56,xyWattage_Table,10,FALSE))),"")</f>
        <v/>
      </c>
      <c r="L56" s="539" t="str">
        <f t="shared" si="26"/>
        <v/>
      </c>
      <c r="M56" s="540">
        <f>IF(Inventory!N53="","",Inventory!N53)</f>
        <v>0</v>
      </c>
      <c r="N56" s="533" t="str">
        <f t="shared" si="27"/>
        <v/>
      </c>
      <c r="O56" s="534"/>
      <c r="P56" s="533" t="str">
        <f t="shared" si="28"/>
        <v/>
      </c>
      <c r="Q56" s="534" t="str">
        <f>IF(Inventory!L53="","",Inventory!L53)</f>
        <v/>
      </c>
      <c r="R56" s="535" t="str">
        <f t="shared" si="29"/>
        <v/>
      </c>
      <c r="S56" s="536" t="str">
        <f>IF(Inventory!O53="","",Inventory!O53)</f>
        <v/>
      </c>
      <c r="T56" s="541" t="str">
        <f>IFERROR(IF(C56="","",IF(INDEX(xyWattage_Table,MATCH(M56,'Fixture Identities'!$B$9:$B$997,0),2)="Exit Sign",8760,IF(VLOOKUP(C56,xySpace_Type_Details,8,FALSE)="TRM",INDEX('General Information'!$AF$17:$AG$28,11,MATCH(N56,'General Information'!$AF$16:$AG$16,0)),HLOOKUP(VLOOKUP(C56,xySpace_Type_Details,8,FALSE),'General Information'!$P$15:$AG$28,13,FALSE)))),"")</f>
        <v/>
      </c>
      <c r="U56" s="542" t="str">
        <f>IFERROR(IF(C56="","",IF(INDEX(xyWattage_Table,MATCH(M56,'Fixture Identities'!$B$9:$B$997,0),2)="Exit Sign",1,IF(VLOOKUP(C56,xySpace_Type_Details,8,FALSE)="TRM",INDEX('General Information'!$AF$17:$AG$28,12,MATCH(N56,'General Information'!$AF$16:$AG$16,0)),HLOOKUP(VLOOKUP(C56,xySpace_Type_Details,8,FALSE),'General Information'!$P$15:$AG$28,14,FALSE)))),"")</f>
        <v/>
      </c>
      <c r="V56" s="542" t="str">
        <f>IFERROR(VLOOKUP(INDEX(xySpace_Type_Details,MATCH($C56,'General Information'!$C$40:$C$60,0),12),Lookups!$L$8:$N$12,2,FALSE),"")</f>
        <v/>
      </c>
      <c r="W56" s="542" t="str">
        <f>IFERROR(VLOOKUP(INDEX(xySpace_Type_Details,MATCH($C56,'General Information'!$C$40:$C$60,0),12),Lookups!$L$8:$N$12,3,FALSE),"")</f>
        <v/>
      </c>
      <c r="X56" s="543"/>
      <c r="Y56" s="542" t="str">
        <f>IFERROR(IF(C56="","",IF(INDEX(xyWattage_Table,MATCH(M56,'Fixture Identities'!$B$9:$B$997,0),2)="Exit Sign",0,IF(PRJ_Type="Retrofit",VLOOKUP(I56,xySVG_Factors,2,FALSE),IF(AND(PRJ_Type="New Construction",Inventory!C53="N"),VLOOKUP(VLOOKUP(Building_Type,xyLPD_BuildingArea,5,FALSE),xySVG_Factors_NC,3,FALSE),0)))),"")</f>
        <v/>
      </c>
      <c r="Z56" s="544" t="str">
        <f>IFERROR(IF(C56="","",IF(INDEX(xyWattage_Table,MATCH(M56,'Fixture Identities'!$B$9:$B$997,0),2)="Exit Sign",0,VLOOKUP(S56,xySVG_Factors,2,FALSE))),"")</f>
        <v/>
      </c>
      <c r="AA56" s="545" t="str">
        <f t="shared" si="30"/>
        <v/>
      </c>
      <c r="AB56" s="542" t="str">
        <f t="shared" si="31"/>
        <v/>
      </c>
      <c r="AC56" s="539" t="str">
        <f t="shared" si="32"/>
        <v/>
      </c>
      <c r="AD56" s="546" t="str">
        <f t="shared" si="33"/>
        <v/>
      </c>
      <c r="AE56" s="539" t="str">
        <f t="shared" si="34"/>
        <v/>
      </c>
      <c r="AF56" s="546" t="str">
        <f t="shared" si="35"/>
        <v/>
      </c>
      <c r="AG56" s="539" t="str">
        <f t="shared" si="36"/>
        <v/>
      </c>
      <c r="AH56" s="32">
        <f t="shared" si="17"/>
        <v>0</v>
      </c>
      <c r="AI56" s="32">
        <f t="shared" si="18"/>
        <v>0</v>
      </c>
      <c r="AJ56" s="32">
        <f t="shared" si="19"/>
        <v>0</v>
      </c>
      <c r="AK56" t="str">
        <f t="shared" si="20"/>
        <v/>
      </c>
      <c r="AL56" t="str">
        <f t="shared" si="21"/>
        <v/>
      </c>
      <c r="AM56" t="str">
        <f t="shared" si="22"/>
        <v/>
      </c>
      <c r="AO56" t="str">
        <f>IFERROR(VLOOKUP(M56,'Fixture Identities'!$B$9:$O$1045,14,FALSE),"")</f>
        <v/>
      </c>
      <c r="AP56" t="str">
        <f t="shared" si="4"/>
        <v/>
      </c>
      <c r="AQ56" s="550" t="s">
        <v>565</v>
      </c>
    </row>
    <row r="57" spans="1:43" ht="15">
      <c r="A57" s="71">
        <f t="shared" si="5"/>
        <v>0</v>
      </c>
      <c r="B57" s="513">
        <f t="shared" si="23"/>
        <v>45</v>
      </c>
      <c r="C57" s="530" t="str">
        <f>IF(Inventory!E54="","",Inventory!E54)</f>
        <v/>
      </c>
      <c r="D57" s="531">
        <f>IF(Inventory!D54="",0,Inventory!D54)</f>
        <v>0</v>
      </c>
      <c r="E57" s="532" t="str">
        <f>IF(Inventory!I54=0,"",Inventory!I54)</f>
        <v/>
      </c>
      <c r="F57" s="533" t="str">
        <f t="shared" si="24"/>
        <v/>
      </c>
      <c r="G57" s="534" t="str">
        <f>IF(Inventory!G54="","",Inventory!G54)</f>
        <v/>
      </c>
      <c r="H57" s="535" t="str">
        <f t="shared" si="25"/>
        <v/>
      </c>
      <c r="I57" s="536" t="str">
        <f>IF(Inventory!J54="","",Inventory!J54)</f>
        <v/>
      </c>
      <c r="J57" s="537" t="str">
        <f>IFERROR(IF(PRJ_Type="New Construction",IF(Inventory!C54="N",INDEX(xyLPD_BuildingArea,MATCH(Building_Type,Lookups!$F$37:$F$75,0),4),INDEX(xyLPD_SpaceBySpace,MATCH(INDEX(xyNCEx,MATCH(I57,yNCExArea,0),2),ySpace_by_Space_Type,0),2)),VLOOKUP(E57,xyWattage_Table,11,FALSE)),"")</f>
        <v/>
      </c>
      <c r="K57" s="538" t="str">
        <f>IFERROR(IF(AND(NC_Type="Building Area Method",Inventory!C54="N"),IF(ISERROR(INDEX('Usage Groups (&gt;120 MWh only)'!$N$8:$N$12,MATCH(C57,'Usage Groups (&gt;120 MWh only)'!$B$8:$B$12,0),1))=TRUE,SqFt/COUNTIFS(Inventory!$C$10:$C$1009,"N",$Q$13:$Q$1012,"&gt;=0"),INDEX('Usage Groups (&gt;120 MWh only)'!$N$8:$N$12,MATCH(C57,'Usage Groups (&gt;120 MWh only)'!$B$8:$B$12,0),1)/COUNTIF($C$13:$C$1012,C57)),IF(AND(NC_Type="Building Area Method",Inventory!C54="Y"),INDEX(xyNCEx,MATCH(I57,yNCExArea,0),3)/COUNTIF($I$13:$I$1012,I57),VLOOKUP(J57,xyWattage_Table,10,FALSE))),"")</f>
        <v/>
      </c>
      <c r="L57" s="539" t="str">
        <f t="shared" si="26"/>
        <v/>
      </c>
      <c r="M57" s="540">
        <f>IF(Inventory!N54="","",Inventory!N54)</f>
        <v>0</v>
      </c>
      <c r="N57" s="533" t="str">
        <f t="shared" si="27"/>
        <v/>
      </c>
      <c r="O57" s="534"/>
      <c r="P57" s="533" t="str">
        <f t="shared" si="28"/>
        <v/>
      </c>
      <c r="Q57" s="534" t="str">
        <f>IF(Inventory!L54="","",Inventory!L54)</f>
        <v/>
      </c>
      <c r="R57" s="535" t="str">
        <f t="shared" si="29"/>
        <v/>
      </c>
      <c r="S57" s="536" t="str">
        <f>IF(Inventory!O54="","",Inventory!O54)</f>
        <v/>
      </c>
      <c r="T57" s="541" t="str">
        <f>IFERROR(IF(C57="","",IF(INDEX(xyWattage_Table,MATCH(M57,'Fixture Identities'!$B$9:$B$997,0),2)="Exit Sign",8760,IF(VLOOKUP(C57,xySpace_Type_Details,8,FALSE)="TRM",INDEX('General Information'!$AF$17:$AG$28,11,MATCH(N57,'General Information'!$AF$16:$AG$16,0)),HLOOKUP(VLOOKUP(C57,xySpace_Type_Details,8,FALSE),'General Information'!$P$15:$AG$28,13,FALSE)))),"")</f>
        <v/>
      </c>
      <c r="U57" s="542" t="str">
        <f>IFERROR(IF(C57="","",IF(INDEX(xyWattage_Table,MATCH(M57,'Fixture Identities'!$B$9:$B$997,0),2)="Exit Sign",1,IF(VLOOKUP(C57,xySpace_Type_Details,8,FALSE)="TRM",INDEX('General Information'!$AF$17:$AG$28,12,MATCH(N57,'General Information'!$AF$16:$AG$16,0)),HLOOKUP(VLOOKUP(C57,xySpace_Type_Details,8,FALSE),'General Information'!$P$15:$AG$28,14,FALSE)))),"")</f>
        <v/>
      </c>
      <c r="V57" s="542" t="str">
        <f>IFERROR(VLOOKUP(INDEX(xySpace_Type_Details,MATCH($C57,'General Information'!$C$40:$C$60,0),12),Lookups!$L$8:$N$12,2,FALSE),"")</f>
        <v/>
      </c>
      <c r="W57" s="542" t="str">
        <f>IFERROR(VLOOKUP(INDEX(xySpace_Type_Details,MATCH($C57,'General Information'!$C$40:$C$60,0),12),Lookups!$L$8:$N$12,3,FALSE),"")</f>
        <v/>
      </c>
      <c r="X57" s="543"/>
      <c r="Y57" s="542" t="str">
        <f>IFERROR(IF(C57="","",IF(INDEX(xyWattage_Table,MATCH(M57,'Fixture Identities'!$B$9:$B$997,0),2)="Exit Sign",0,IF(PRJ_Type="Retrofit",VLOOKUP(I57,xySVG_Factors,2,FALSE),IF(AND(PRJ_Type="New Construction",Inventory!C54="N"),VLOOKUP(VLOOKUP(Building_Type,xyLPD_BuildingArea,5,FALSE),xySVG_Factors_NC,3,FALSE),0)))),"")</f>
        <v/>
      </c>
      <c r="Z57" s="544" t="str">
        <f>IFERROR(IF(C57="","",IF(INDEX(xyWattage_Table,MATCH(M57,'Fixture Identities'!$B$9:$B$997,0),2)="Exit Sign",0,VLOOKUP(S57,xySVG_Factors,2,FALSE))),"")</f>
        <v/>
      </c>
      <c r="AA57" s="545" t="str">
        <f t="shared" si="30"/>
        <v/>
      </c>
      <c r="AB57" s="542" t="str">
        <f t="shared" si="31"/>
        <v/>
      </c>
      <c r="AC57" s="539" t="str">
        <f t="shared" si="32"/>
        <v/>
      </c>
      <c r="AD57" s="546" t="str">
        <f t="shared" si="33"/>
        <v/>
      </c>
      <c r="AE57" s="539" t="str">
        <f t="shared" si="34"/>
        <v/>
      </c>
      <c r="AF57" s="546" t="str">
        <f t="shared" si="35"/>
        <v/>
      </c>
      <c r="AG57" s="539" t="str">
        <f t="shared" si="36"/>
        <v/>
      </c>
      <c r="AH57" s="32">
        <f t="shared" si="17"/>
        <v>0</v>
      </c>
      <c r="AI57" s="32">
        <f t="shared" si="18"/>
        <v>0</v>
      </c>
      <c r="AJ57" s="32">
        <f t="shared" si="19"/>
        <v>0</v>
      </c>
      <c r="AK57" t="str">
        <f t="shared" si="20"/>
        <v/>
      </c>
      <c r="AL57" t="str">
        <f t="shared" si="21"/>
        <v/>
      </c>
      <c r="AM57" t="str">
        <f t="shared" si="22"/>
        <v/>
      </c>
      <c r="AO57" t="str">
        <f>IFERROR(VLOOKUP(M57,'Fixture Identities'!$B$9:$O$1045,14,FALSE),"")</f>
        <v/>
      </c>
      <c r="AP57" t="str">
        <f t="shared" si="4"/>
        <v/>
      </c>
      <c r="AQ57" s="550" t="s">
        <v>566</v>
      </c>
    </row>
    <row r="58" spans="1:43" ht="15">
      <c r="A58" s="71">
        <f t="shared" si="5"/>
        <v>0</v>
      </c>
      <c r="B58" s="513">
        <f t="shared" si="23"/>
        <v>46</v>
      </c>
      <c r="C58" s="530" t="str">
        <f>IF(Inventory!E55="","",Inventory!E55)</f>
        <v/>
      </c>
      <c r="D58" s="531">
        <f>IF(Inventory!D55="",0,Inventory!D55)</f>
        <v>0</v>
      </c>
      <c r="E58" s="532" t="str">
        <f>IF(Inventory!I55=0,"",Inventory!I55)</f>
        <v/>
      </c>
      <c r="F58" s="533" t="str">
        <f t="shared" si="24"/>
        <v/>
      </c>
      <c r="G58" s="534" t="str">
        <f>IF(Inventory!G55="","",Inventory!G55)</f>
        <v/>
      </c>
      <c r="H58" s="535" t="str">
        <f t="shared" si="25"/>
        <v/>
      </c>
      <c r="I58" s="536" t="str">
        <f>IF(Inventory!J55="","",Inventory!J55)</f>
        <v/>
      </c>
      <c r="J58" s="537" t="str">
        <f>IFERROR(IF(PRJ_Type="New Construction",IF(Inventory!C55="N",INDEX(xyLPD_BuildingArea,MATCH(Building_Type,Lookups!$F$37:$F$75,0),4),INDEX(xyLPD_SpaceBySpace,MATCH(INDEX(xyNCEx,MATCH(I58,yNCExArea,0),2),ySpace_by_Space_Type,0),2)),VLOOKUP(E58,xyWattage_Table,11,FALSE)),"")</f>
        <v/>
      </c>
      <c r="K58" s="538" t="str">
        <f>IFERROR(IF(AND(NC_Type="Building Area Method",Inventory!C55="N"),IF(ISERROR(INDEX('Usage Groups (&gt;120 MWh only)'!$N$8:$N$12,MATCH(C58,'Usage Groups (&gt;120 MWh only)'!$B$8:$B$12,0),1))=TRUE,SqFt/COUNTIFS(Inventory!$C$10:$C$1009,"N",$Q$13:$Q$1012,"&gt;=0"),INDEX('Usage Groups (&gt;120 MWh only)'!$N$8:$N$12,MATCH(C58,'Usage Groups (&gt;120 MWh only)'!$B$8:$B$12,0),1)/COUNTIF($C$13:$C$1012,C58)),IF(AND(NC_Type="Building Area Method",Inventory!C55="Y"),INDEX(xyNCEx,MATCH(I58,yNCExArea,0),3)/COUNTIF($I$13:$I$1012,I58),VLOOKUP(J58,xyWattage_Table,10,FALSE))),"")</f>
        <v/>
      </c>
      <c r="L58" s="539" t="str">
        <f t="shared" si="26"/>
        <v/>
      </c>
      <c r="M58" s="540">
        <f>IF(Inventory!N55="","",Inventory!N55)</f>
        <v>0</v>
      </c>
      <c r="N58" s="533" t="str">
        <f t="shared" si="27"/>
        <v/>
      </c>
      <c r="O58" s="534"/>
      <c r="P58" s="533" t="str">
        <f t="shared" si="28"/>
        <v/>
      </c>
      <c r="Q58" s="534" t="str">
        <f>IF(Inventory!L55="","",Inventory!L55)</f>
        <v/>
      </c>
      <c r="R58" s="535" t="str">
        <f t="shared" si="29"/>
        <v/>
      </c>
      <c r="S58" s="536" t="str">
        <f>IF(Inventory!O55="","",Inventory!O55)</f>
        <v/>
      </c>
      <c r="T58" s="541" t="str">
        <f>IFERROR(IF(C58="","",IF(INDEX(xyWattage_Table,MATCH(M58,'Fixture Identities'!$B$9:$B$997,0),2)="Exit Sign",8760,IF(VLOOKUP(C58,xySpace_Type_Details,8,FALSE)="TRM",INDEX('General Information'!$AF$17:$AG$28,11,MATCH(N58,'General Information'!$AF$16:$AG$16,0)),HLOOKUP(VLOOKUP(C58,xySpace_Type_Details,8,FALSE),'General Information'!$P$15:$AG$28,13,FALSE)))),"")</f>
        <v/>
      </c>
      <c r="U58" s="542" t="str">
        <f>IFERROR(IF(C58="","",IF(INDEX(xyWattage_Table,MATCH(M58,'Fixture Identities'!$B$9:$B$997,0),2)="Exit Sign",1,IF(VLOOKUP(C58,xySpace_Type_Details,8,FALSE)="TRM",INDEX('General Information'!$AF$17:$AG$28,12,MATCH(N58,'General Information'!$AF$16:$AG$16,0)),HLOOKUP(VLOOKUP(C58,xySpace_Type_Details,8,FALSE),'General Information'!$P$15:$AG$28,14,FALSE)))),"")</f>
        <v/>
      </c>
      <c r="V58" s="542" t="str">
        <f>IFERROR(VLOOKUP(INDEX(xySpace_Type_Details,MATCH($C58,'General Information'!$C$40:$C$60,0),12),Lookups!$L$8:$N$12,2,FALSE),"")</f>
        <v/>
      </c>
      <c r="W58" s="542" t="str">
        <f>IFERROR(VLOOKUP(INDEX(xySpace_Type_Details,MATCH($C58,'General Information'!$C$40:$C$60,0),12),Lookups!$L$8:$N$12,3,FALSE),"")</f>
        <v/>
      </c>
      <c r="X58" s="543"/>
      <c r="Y58" s="542" t="str">
        <f>IFERROR(IF(C58="","",IF(INDEX(xyWattage_Table,MATCH(M58,'Fixture Identities'!$B$9:$B$997,0),2)="Exit Sign",0,IF(PRJ_Type="Retrofit",VLOOKUP(I58,xySVG_Factors,2,FALSE),IF(AND(PRJ_Type="New Construction",Inventory!C55="N"),VLOOKUP(VLOOKUP(Building_Type,xyLPD_BuildingArea,5,FALSE),xySVG_Factors_NC,3,FALSE),0)))),"")</f>
        <v/>
      </c>
      <c r="Z58" s="544" t="str">
        <f>IFERROR(IF(C58="","",IF(INDEX(xyWattage_Table,MATCH(M58,'Fixture Identities'!$B$9:$B$997,0),2)="Exit Sign",0,VLOOKUP(S58,xySVG_Factors,2,FALSE))),"")</f>
        <v/>
      </c>
      <c r="AA58" s="545" t="str">
        <f t="shared" si="30"/>
        <v/>
      </c>
      <c r="AB58" s="542" t="str">
        <f t="shared" si="31"/>
        <v/>
      </c>
      <c r="AC58" s="539" t="str">
        <f t="shared" si="32"/>
        <v/>
      </c>
      <c r="AD58" s="546" t="str">
        <f t="shared" si="33"/>
        <v/>
      </c>
      <c r="AE58" s="539" t="str">
        <f t="shared" si="34"/>
        <v/>
      </c>
      <c r="AF58" s="546" t="str">
        <f t="shared" si="35"/>
        <v/>
      </c>
      <c r="AG58" s="539" t="str">
        <f t="shared" si="36"/>
        <v/>
      </c>
      <c r="AH58" s="32">
        <f t="shared" si="17"/>
        <v>0</v>
      </c>
      <c r="AI58" s="32">
        <f t="shared" si="18"/>
        <v>0</v>
      </c>
      <c r="AJ58" s="32">
        <f t="shared" si="19"/>
        <v>0</v>
      </c>
      <c r="AK58" t="str">
        <f t="shared" si="20"/>
        <v/>
      </c>
      <c r="AL58" t="str">
        <f t="shared" si="21"/>
        <v/>
      </c>
      <c r="AM58" t="str">
        <f t="shared" si="22"/>
        <v/>
      </c>
      <c r="AO58" t="str">
        <f>IFERROR(VLOOKUP(M58,'Fixture Identities'!$B$9:$O$1045,14,FALSE),"")</f>
        <v/>
      </c>
      <c r="AP58" t="str">
        <f t="shared" si="4"/>
        <v/>
      </c>
      <c r="AQ58" s="550" t="s">
        <v>567</v>
      </c>
    </row>
    <row r="59" spans="1:43" ht="15">
      <c r="A59" s="71">
        <f t="shared" si="5"/>
        <v>0</v>
      </c>
      <c r="B59" s="513">
        <f t="shared" si="23"/>
        <v>47</v>
      </c>
      <c r="C59" s="530" t="str">
        <f>IF(Inventory!E56="","",Inventory!E56)</f>
        <v/>
      </c>
      <c r="D59" s="531">
        <f>IF(Inventory!D56="",0,Inventory!D56)</f>
        <v>0</v>
      </c>
      <c r="E59" s="532" t="str">
        <f>IF(Inventory!I56=0,"",Inventory!I56)</f>
        <v/>
      </c>
      <c r="F59" s="533" t="str">
        <f t="shared" si="24"/>
        <v/>
      </c>
      <c r="G59" s="534" t="str">
        <f>IF(Inventory!G56="","",Inventory!G56)</f>
        <v/>
      </c>
      <c r="H59" s="535" t="str">
        <f t="shared" si="25"/>
        <v/>
      </c>
      <c r="I59" s="536" t="str">
        <f>IF(Inventory!J56="","",Inventory!J56)</f>
        <v/>
      </c>
      <c r="J59" s="537" t="str">
        <f>IFERROR(IF(PRJ_Type="New Construction",IF(Inventory!C56="N",INDEX(xyLPD_BuildingArea,MATCH(Building_Type,Lookups!$F$37:$F$75,0),4),INDEX(xyLPD_SpaceBySpace,MATCH(INDEX(xyNCEx,MATCH(I59,yNCExArea,0),2),ySpace_by_Space_Type,0),2)),VLOOKUP(E59,xyWattage_Table,11,FALSE)),"")</f>
        <v/>
      </c>
      <c r="K59" s="538" t="str">
        <f>IFERROR(IF(AND(NC_Type="Building Area Method",Inventory!C56="N"),IF(ISERROR(INDEX('Usage Groups (&gt;120 MWh only)'!$N$8:$N$12,MATCH(C59,'Usage Groups (&gt;120 MWh only)'!$B$8:$B$12,0),1))=TRUE,SqFt/COUNTIFS(Inventory!$C$10:$C$1009,"N",$Q$13:$Q$1012,"&gt;=0"),INDEX('Usage Groups (&gt;120 MWh only)'!$N$8:$N$12,MATCH(C59,'Usage Groups (&gt;120 MWh only)'!$B$8:$B$12,0),1)/COUNTIF($C$13:$C$1012,C59)),IF(AND(NC_Type="Building Area Method",Inventory!C56="Y"),INDEX(xyNCEx,MATCH(I59,yNCExArea,0),3)/COUNTIF($I$13:$I$1012,I59),VLOOKUP(J59,xyWattage_Table,10,FALSE))),"")</f>
        <v/>
      </c>
      <c r="L59" s="539" t="str">
        <f t="shared" si="26"/>
        <v/>
      </c>
      <c r="M59" s="540">
        <f>IF(Inventory!N56="","",Inventory!N56)</f>
        <v>0</v>
      </c>
      <c r="N59" s="533" t="str">
        <f t="shared" si="27"/>
        <v/>
      </c>
      <c r="O59" s="534"/>
      <c r="P59" s="533" t="str">
        <f t="shared" si="28"/>
        <v/>
      </c>
      <c r="Q59" s="534" t="str">
        <f>IF(Inventory!L56="","",Inventory!L56)</f>
        <v/>
      </c>
      <c r="R59" s="535" t="str">
        <f t="shared" si="29"/>
        <v/>
      </c>
      <c r="S59" s="536" t="str">
        <f>IF(Inventory!O56="","",Inventory!O56)</f>
        <v/>
      </c>
      <c r="T59" s="541" t="str">
        <f>IFERROR(IF(C59="","",IF(INDEX(xyWattage_Table,MATCH(M59,'Fixture Identities'!$B$9:$B$997,0),2)="Exit Sign",8760,IF(VLOOKUP(C59,xySpace_Type_Details,8,FALSE)="TRM",INDEX('General Information'!$AF$17:$AG$28,11,MATCH(N59,'General Information'!$AF$16:$AG$16,0)),HLOOKUP(VLOOKUP(C59,xySpace_Type_Details,8,FALSE),'General Information'!$P$15:$AG$28,13,FALSE)))),"")</f>
        <v/>
      </c>
      <c r="U59" s="542" t="str">
        <f>IFERROR(IF(C59="","",IF(INDEX(xyWattage_Table,MATCH(M59,'Fixture Identities'!$B$9:$B$997,0),2)="Exit Sign",1,IF(VLOOKUP(C59,xySpace_Type_Details,8,FALSE)="TRM",INDEX('General Information'!$AF$17:$AG$28,12,MATCH(N59,'General Information'!$AF$16:$AG$16,0)),HLOOKUP(VLOOKUP(C59,xySpace_Type_Details,8,FALSE),'General Information'!$P$15:$AG$28,14,FALSE)))),"")</f>
        <v/>
      </c>
      <c r="V59" s="542" t="str">
        <f>IFERROR(VLOOKUP(INDEX(xySpace_Type_Details,MATCH($C59,'General Information'!$C$40:$C$60,0),12),Lookups!$L$8:$N$12,2,FALSE),"")</f>
        <v/>
      </c>
      <c r="W59" s="542" t="str">
        <f>IFERROR(VLOOKUP(INDEX(xySpace_Type_Details,MATCH($C59,'General Information'!$C$40:$C$60,0),12),Lookups!$L$8:$N$12,3,FALSE),"")</f>
        <v/>
      </c>
      <c r="X59" s="543"/>
      <c r="Y59" s="542" t="str">
        <f>IFERROR(IF(C59="","",IF(INDEX(xyWattage_Table,MATCH(M59,'Fixture Identities'!$B$9:$B$997,0),2)="Exit Sign",0,IF(PRJ_Type="Retrofit",VLOOKUP(I59,xySVG_Factors,2,FALSE),IF(AND(PRJ_Type="New Construction",Inventory!C56="N"),VLOOKUP(VLOOKUP(Building_Type,xyLPD_BuildingArea,5,FALSE),xySVG_Factors_NC,3,FALSE),0)))),"")</f>
        <v/>
      </c>
      <c r="Z59" s="544" t="str">
        <f>IFERROR(IF(C59="","",IF(INDEX(xyWattage_Table,MATCH(M59,'Fixture Identities'!$B$9:$B$997,0),2)="Exit Sign",0,VLOOKUP(S59,xySVG_Factors,2,FALSE))),"")</f>
        <v/>
      </c>
      <c r="AA59" s="545" t="str">
        <f t="shared" si="30"/>
        <v/>
      </c>
      <c r="AB59" s="542" t="str">
        <f t="shared" si="31"/>
        <v/>
      </c>
      <c r="AC59" s="539" t="str">
        <f t="shared" si="32"/>
        <v/>
      </c>
      <c r="AD59" s="546" t="str">
        <f t="shared" si="33"/>
        <v/>
      </c>
      <c r="AE59" s="539" t="str">
        <f t="shared" si="34"/>
        <v/>
      </c>
      <c r="AF59" s="546" t="str">
        <f t="shared" si="35"/>
        <v/>
      </c>
      <c r="AG59" s="539" t="str">
        <f t="shared" si="36"/>
        <v/>
      </c>
      <c r="AH59" s="32">
        <f t="shared" si="17"/>
        <v>0</v>
      </c>
      <c r="AI59" s="32">
        <f t="shared" si="18"/>
        <v>0</v>
      </c>
      <c r="AJ59" s="32">
        <f t="shared" si="19"/>
        <v>0</v>
      </c>
      <c r="AK59" t="str">
        <f t="shared" si="20"/>
        <v/>
      </c>
      <c r="AL59" t="str">
        <f t="shared" si="21"/>
        <v/>
      </c>
      <c r="AM59" t="str">
        <f t="shared" si="22"/>
        <v/>
      </c>
      <c r="AO59" t="str">
        <f>IFERROR(VLOOKUP(M59,'Fixture Identities'!$B$9:$O$1045,14,FALSE),"")</f>
        <v/>
      </c>
      <c r="AP59" t="str">
        <f t="shared" si="4"/>
        <v/>
      </c>
      <c r="AQ59" s="550" t="s">
        <v>568</v>
      </c>
    </row>
    <row r="60" spans="1:43" ht="15">
      <c r="A60" s="71">
        <f t="shared" si="5"/>
        <v>0</v>
      </c>
      <c r="B60" s="513">
        <f t="shared" si="23"/>
        <v>48</v>
      </c>
      <c r="C60" s="530" t="str">
        <f>IF(Inventory!E57="","",Inventory!E57)</f>
        <v/>
      </c>
      <c r="D60" s="531">
        <f>IF(Inventory!D57="",0,Inventory!D57)</f>
        <v>0</v>
      </c>
      <c r="E60" s="532" t="str">
        <f>IF(Inventory!I57=0,"",Inventory!I57)</f>
        <v/>
      </c>
      <c r="F60" s="533" t="str">
        <f t="shared" si="24"/>
        <v/>
      </c>
      <c r="G60" s="534" t="str">
        <f>IF(Inventory!G57="","",Inventory!G57)</f>
        <v/>
      </c>
      <c r="H60" s="535" t="str">
        <f t="shared" si="25"/>
        <v/>
      </c>
      <c r="I60" s="536" t="str">
        <f>IF(Inventory!J57="","",Inventory!J57)</f>
        <v/>
      </c>
      <c r="J60" s="537" t="str">
        <f>IFERROR(IF(PRJ_Type="New Construction",IF(Inventory!C57="N",INDEX(xyLPD_BuildingArea,MATCH(Building_Type,Lookups!$F$37:$F$75,0),4),INDEX(xyLPD_SpaceBySpace,MATCH(INDEX(xyNCEx,MATCH(I60,yNCExArea,0),2),ySpace_by_Space_Type,0),2)),VLOOKUP(E60,xyWattage_Table,11,FALSE)),"")</f>
        <v/>
      </c>
      <c r="K60" s="538" t="str">
        <f>IFERROR(IF(AND(NC_Type="Building Area Method",Inventory!C57="N"),IF(ISERROR(INDEX('Usage Groups (&gt;120 MWh only)'!$N$8:$N$12,MATCH(C60,'Usage Groups (&gt;120 MWh only)'!$B$8:$B$12,0),1))=TRUE,SqFt/COUNTIFS(Inventory!$C$10:$C$1009,"N",$Q$13:$Q$1012,"&gt;=0"),INDEX('Usage Groups (&gt;120 MWh only)'!$N$8:$N$12,MATCH(C60,'Usage Groups (&gt;120 MWh only)'!$B$8:$B$12,0),1)/COUNTIF($C$13:$C$1012,C60)),IF(AND(NC_Type="Building Area Method",Inventory!C57="Y"),INDEX(xyNCEx,MATCH(I60,yNCExArea,0),3)/COUNTIF($I$13:$I$1012,I60),VLOOKUP(J60,xyWattage_Table,10,FALSE))),"")</f>
        <v/>
      </c>
      <c r="L60" s="539" t="str">
        <f t="shared" si="26"/>
        <v/>
      </c>
      <c r="M60" s="540">
        <f>IF(Inventory!N57="","",Inventory!N57)</f>
        <v>0</v>
      </c>
      <c r="N60" s="533" t="str">
        <f t="shared" si="27"/>
        <v/>
      </c>
      <c r="O60" s="534"/>
      <c r="P60" s="533" t="str">
        <f t="shared" si="28"/>
        <v/>
      </c>
      <c r="Q60" s="534" t="str">
        <f>IF(Inventory!L57="","",Inventory!L57)</f>
        <v/>
      </c>
      <c r="R60" s="535" t="str">
        <f t="shared" si="29"/>
        <v/>
      </c>
      <c r="S60" s="536" t="str">
        <f>IF(Inventory!O57="","",Inventory!O57)</f>
        <v/>
      </c>
      <c r="T60" s="541" t="str">
        <f>IFERROR(IF(C60="","",IF(INDEX(xyWattage_Table,MATCH(M60,'Fixture Identities'!$B$9:$B$997,0),2)="Exit Sign",8760,IF(VLOOKUP(C60,xySpace_Type_Details,8,FALSE)="TRM",INDEX('General Information'!$AF$17:$AG$28,11,MATCH(N60,'General Information'!$AF$16:$AG$16,0)),HLOOKUP(VLOOKUP(C60,xySpace_Type_Details,8,FALSE),'General Information'!$P$15:$AG$28,13,FALSE)))),"")</f>
        <v/>
      </c>
      <c r="U60" s="542" t="str">
        <f>IFERROR(IF(C60="","",IF(INDEX(xyWattage_Table,MATCH(M60,'Fixture Identities'!$B$9:$B$997,0),2)="Exit Sign",1,IF(VLOOKUP(C60,xySpace_Type_Details,8,FALSE)="TRM",INDEX('General Information'!$AF$17:$AG$28,12,MATCH(N60,'General Information'!$AF$16:$AG$16,0)),HLOOKUP(VLOOKUP(C60,xySpace_Type_Details,8,FALSE),'General Information'!$P$15:$AG$28,14,FALSE)))),"")</f>
        <v/>
      </c>
      <c r="V60" s="542" t="str">
        <f>IFERROR(VLOOKUP(INDEX(xySpace_Type_Details,MATCH($C60,'General Information'!$C$40:$C$60,0),12),Lookups!$L$8:$N$12,2,FALSE),"")</f>
        <v/>
      </c>
      <c r="W60" s="542" t="str">
        <f>IFERROR(VLOOKUP(INDEX(xySpace_Type_Details,MATCH($C60,'General Information'!$C$40:$C$60,0),12),Lookups!$L$8:$N$12,3,FALSE),"")</f>
        <v/>
      </c>
      <c r="X60" s="543"/>
      <c r="Y60" s="542" t="str">
        <f>IFERROR(IF(C60="","",IF(INDEX(xyWattage_Table,MATCH(M60,'Fixture Identities'!$B$9:$B$997,0),2)="Exit Sign",0,IF(PRJ_Type="Retrofit",VLOOKUP(I60,xySVG_Factors,2,FALSE),IF(AND(PRJ_Type="New Construction",Inventory!C57="N"),VLOOKUP(VLOOKUP(Building_Type,xyLPD_BuildingArea,5,FALSE),xySVG_Factors_NC,3,FALSE),0)))),"")</f>
        <v/>
      </c>
      <c r="Z60" s="544" t="str">
        <f>IFERROR(IF(C60="","",IF(INDEX(xyWattage_Table,MATCH(M60,'Fixture Identities'!$B$9:$B$997,0),2)="Exit Sign",0,VLOOKUP(S60,xySVG_Factors,2,FALSE))),"")</f>
        <v/>
      </c>
      <c r="AA60" s="545" t="str">
        <f t="shared" si="30"/>
        <v/>
      </c>
      <c r="AB60" s="542" t="str">
        <f t="shared" si="31"/>
        <v/>
      </c>
      <c r="AC60" s="539" t="str">
        <f t="shared" si="32"/>
        <v/>
      </c>
      <c r="AD60" s="546" t="str">
        <f t="shared" si="33"/>
        <v/>
      </c>
      <c r="AE60" s="539" t="str">
        <f t="shared" si="34"/>
        <v/>
      </c>
      <c r="AF60" s="546" t="str">
        <f t="shared" si="35"/>
        <v/>
      </c>
      <c r="AG60" s="539" t="str">
        <f t="shared" si="36"/>
        <v/>
      </c>
      <c r="AH60" s="32">
        <f t="shared" si="17"/>
        <v>0</v>
      </c>
      <c r="AI60" s="32">
        <f t="shared" si="18"/>
        <v>0</v>
      </c>
      <c r="AJ60" s="32">
        <f t="shared" si="19"/>
        <v>0</v>
      </c>
      <c r="AK60" t="str">
        <f t="shared" si="20"/>
        <v/>
      </c>
      <c r="AL60" t="str">
        <f t="shared" si="21"/>
        <v/>
      </c>
      <c r="AM60" t="str">
        <f t="shared" si="22"/>
        <v/>
      </c>
      <c r="AO60" t="str">
        <f>IFERROR(VLOOKUP(M60,'Fixture Identities'!$B$9:$O$1045,14,FALSE),"")</f>
        <v/>
      </c>
      <c r="AP60" t="str">
        <f t="shared" si="4"/>
        <v/>
      </c>
      <c r="AQ60" s="550" t="s">
        <v>569</v>
      </c>
    </row>
    <row r="61" spans="1:43" ht="15">
      <c r="A61" s="71">
        <f t="shared" si="5"/>
        <v>0</v>
      </c>
      <c r="B61" s="513">
        <f t="shared" si="23"/>
        <v>49</v>
      </c>
      <c r="C61" s="530" t="str">
        <f>IF(Inventory!E58="","",Inventory!E58)</f>
        <v/>
      </c>
      <c r="D61" s="531">
        <f>IF(Inventory!D58="",0,Inventory!D58)</f>
        <v>0</v>
      </c>
      <c r="E61" s="532" t="str">
        <f>IF(Inventory!I58=0,"",Inventory!I58)</f>
        <v/>
      </c>
      <c r="F61" s="533" t="str">
        <f t="shared" si="24"/>
        <v/>
      </c>
      <c r="G61" s="534" t="str">
        <f>IF(Inventory!G58="","",Inventory!G58)</f>
        <v/>
      </c>
      <c r="H61" s="535" t="str">
        <f t="shared" si="25"/>
        <v/>
      </c>
      <c r="I61" s="536" t="str">
        <f>IF(Inventory!J58="","",Inventory!J58)</f>
        <v/>
      </c>
      <c r="J61" s="537" t="str">
        <f>IFERROR(IF(PRJ_Type="New Construction",IF(Inventory!C58="N",INDEX(xyLPD_BuildingArea,MATCH(Building_Type,Lookups!$F$37:$F$75,0),4),INDEX(xyLPD_SpaceBySpace,MATCH(INDEX(xyNCEx,MATCH(I61,yNCExArea,0),2),ySpace_by_Space_Type,0),2)),VLOOKUP(E61,xyWattage_Table,11,FALSE)),"")</f>
        <v/>
      </c>
      <c r="K61" s="538" t="str">
        <f>IFERROR(IF(AND(NC_Type="Building Area Method",Inventory!C58="N"),IF(ISERROR(INDEX('Usage Groups (&gt;120 MWh only)'!$N$8:$N$12,MATCH(C61,'Usage Groups (&gt;120 MWh only)'!$B$8:$B$12,0),1))=TRUE,SqFt/COUNTIFS(Inventory!$C$10:$C$1009,"N",$Q$13:$Q$1012,"&gt;=0"),INDEX('Usage Groups (&gt;120 MWh only)'!$N$8:$N$12,MATCH(C61,'Usage Groups (&gt;120 MWh only)'!$B$8:$B$12,0),1)/COUNTIF($C$13:$C$1012,C61)),IF(AND(NC_Type="Building Area Method",Inventory!C58="Y"),INDEX(xyNCEx,MATCH(I61,yNCExArea,0),3)/COUNTIF($I$13:$I$1012,I61),VLOOKUP(J61,xyWattage_Table,10,FALSE))),"")</f>
        <v/>
      </c>
      <c r="L61" s="539" t="str">
        <f t="shared" si="26"/>
        <v/>
      </c>
      <c r="M61" s="540">
        <f>IF(Inventory!N58="","",Inventory!N58)</f>
        <v>0</v>
      </c>
      <c r="N61" s="533" t="str">
        <f t="shared" si="27"/>
        <v/>
      </c>
      <c r="O61" s="534"/>
      <c r="P61" s="533" t="str">
        <f t="shared" si="28"/>
        <v/>
      </c>
      <c r="Q61" s="534" t="str">
        <f>IF(Inventory!L58="","",Inventory!L58)</f>
        <v/>
      </c>
      <c r="R61" s="535" t="str">
        <f t="shared" si="29"/>
        <v/>
      </c>
      <c r="S61" s="536" t="str">
        <f>IF(Inventory!O58="","",Inventory!O58)</f>
        <v/>
      </c>
      <c r="T61" s="541" t="str">
        <f>IFERROR(IF(C61="","",IF(INDEX(xyWattage_Table,MATCH(M61,'Fixture Identities'!$B$9:$B$997,0),2)="Exit Sign",8760,IF(VLOOKUP(C61,xySpace_Type_Details,8,FALSE)="TRM",INDEX('General Information'!$AF$17:$AG$28,11,MATCH(N61,'General Information'!$AF$16:$AG$16,0)),HLOOKUP(VLOOKUP(C61,xySpace_Type_Details,8,FALSE),'General Information'!$P$15:$AG$28,13,FALSE)))),"")</f>
        <v/>
      </c>
      <c r="U61" s="542" t="str">
        <f>IFERROR(IF(C61="","",IF(INDEX(xyWattage_Table,MATCH(M61,'Fixture Identities'!$B$9:$B$997,0),2)="Exit Sign",1,IF(VLOOKUP(C61,xySpace_Type_Details,8,FALSE)="TRM",INDEX('General Information'!$AF$17:$AG$28,12,MATCH(N61,'General Information'!$AF$16:$AG$16,0)),HLOOKUP(VLOOKUP(C61,xySpace_Type_Details,8,FALSE),'General Information'!$P$15:$AG$28,14,FALSE)))),"")</f>
        <v/>
      </c>
      <c r="V61" s="542" t="str">
        <f>IFERROR(VLOOKUP(INDEX(xySpace_Type_Details,MATCH($C61,'General Information'!$C$40:$C$60,0),12),Lookups!$L$8:$N$12,2,FALSE),"")</f>
        <v/>
      </c>
      <c r="W61" s="542" t="str">
        <f>IFERROR(VLOOKUP(INDEX(xySpace_Type_Details,MATCH($C61,'General Information'!$C$40:$C$60,0),12),Lookups!$L$8:$N$12,3,FALSE),"")</f>
        <v/>
      </c>
      <c r="X61" s="543"/>
      <c r="Y61" s="542" t="str">
        <f>IFERROR(IF(C61="","",IF(INDEX(xyWattage_Table,MATCH(M61,'Fixture Identities'!$B$9:$B$997,0),2)="Exit Sign",0,IF(PRJ_Type="Retrofit",VLOOKUP(I61,xySVG_Factors,2,FALSE),IF(AND(PRJ_Type="New Construction",Inventory!C58="N"),VLOOKUP(VLOOKUP(Building_Type,xyLPD_BuildingArea,5,FALSE),xySVG_Factors_NC,3,FALSE),0)))),"")</f>
        <v/>
      </c>
      <c r="Z61" s="544" t="str">
        <f>IFERROR(IF(C61="","",IF(INDEX(xyWattage_Table,MATCH(M61,'Fixture Identities'!$B$9:$B$997,0),2)="Exit Sign",0,VLOOKUP(S61,xySVG_Factors,2,FALSE))),"")</f>
        <v/>
      </c>
      <c r="AA61" s="545" t="str">
        <f t="shared" si="30"/>
        <v/>
      </c>
      <c r="AB61" s="542" t="str">
        <f t="shared" si="31"/>
        <v/>
      </c>
      <c r="AC61" s="539" t="str">
        <f t="shared" si="32"/>
        <v/>
      </c>
      <c r="AD61" s="546" t="str">
        <f t="shared" si="33"/>
        <v/>
      </c>
      <c r="AE61" s="539" t="str">
        <f t="shared" si="34"/>
        <v/>
      </c>
      <c r="AF61" s="546" t="str">
        <f t="shared" si="35"/>
        <v/>
      </c>
      <c r="AG61" s="539" t="str">
        <f t="shared" si="36"/>
        <v/>
      </c>
      <c r="AH61" s="32">
        <f t="shared" si="17"/>
        <v>0</v>
      </c>
      <c r="AI61" s="32">
        <f t="shared" si="18"/>
        <v>0</v>
      </c>
      <c r="AJ61" s="32">
        <f t="shared" si="19"/>
        <v>0</v>
      </c>
      <c r="AK61" t="str">
        <f t="shared" si="20"/>
        <v/>
      </c>
      <c r="AL61" t="str">
        <f t="shared" si="21"/>
        <v/>
      </c>
      <c r="AM61" t="str">
        <f t="shared" si="22"/>
        <v/>
      </c>
      <c r="AO61" t="str">
        <f>IFERROR(VLOOKUP(M61,'Fixture Identities'!$B$9:$O$1045,14,FALSE),"")</f>
        <v/>
      </c>
      <c r="AP61" t="str">
        <f t="shared" si="4"/>
        <v/>
      </c>
      <c r="AQ61" s="550" t="s">
        <v>570</v>
      </c>
    </row>
    <row r="62" spans="1:43" ht="15">
      <c r="A62" s="71">
        <f t="shared" si="5"/>
        <v>0</v>
      </c>
      <c r="B62" s="513">
        <f t="shared" si="23"/>
        <v>50</v>
      </c>
      <c r="C62" s="530" t="str">
        <f>IF(Inventory!E59="","",Inventory!E59)</f>
        <v/>
      </c>
      <c r="D62" s="531">
        <f>IF(Inventory!D59="",0,Inventory!D59)</f>
        <v>0</v>
      </c>
      <c r="E62" s="532" t="str">
        <f>IF(Inventory!I59=0,"",Inventory!I59)</f>
        <v/>
      </c>
      <c r="F62" s="533" t="str">
        <f t="shared" si="24"/>
        <v/>
      </c>
      <c r="G62" s="534" t="str">
        <f>IF(Inventory!G59="","",Inventory!G59)</f>
        <v/>
      </c>
      <c r="H62" s="535" t="str">
        <f t="shared" si="25"/>
        <v/>
      </c>
      <c r="I62" s="536" t="str">
        <f>IF(Inventory!J59="","",Inventory!J59)</f>
        <v/>
      </c>
      <c r="J62" s="537" t="str">
        <f>IFERROR(IF(PRJ_Type="New Construction",IF(Inventory!C59="N",INDEX(xyLPD_BuildingArea,MATCH(Building_Type,Lookups!$F$37:$F$75,0),4),INDEX(xyLPD_SpaceBySpace,MATCH(INDEX(xyNCEx,MATCH(I62,yNCExArea,0),2),ySpace_by_Space_Type,0),2)),VLOOKUP(E62,xyWattage_Table,11,FALSE)),"")</f>
        <v/>
      </c>
      <c r="K62" s="538" t="str">
        <f>IFERROR(IF(AND(NC_Type="Building Area Method",Inventory!C59="N"),IF(ISERROR(INDEX('Usage Groups (&gt;120 MWh only)'!$N$8:$N$12,MATCH(C62,'Usage Groups (&gt;120 MWh only)'!$B$8:$B$12,0),1))=TRUE,SqFt/COUNTIFS(Inventory!$C$10:$C$1009,"N",$Q$13:$Q$1012,"&gt;=0"),INDEX('Usage Groups (&gt;120 MWh only)'!$N$8:$N$12,MATCH(C62,'Usage Groups (&gt;120 MWh only)'!$B$8:$B$12,0),1)/COUNTIF($C$13:$C$1012,C62)),IF(AND(NC_Type="Building Area Method",Inventory!C59="Y"),INDEX(xyNCEx,MATCH(I62,yNCExArea,0),3)/COUNTIF($I$13:$I$1012,I62),VLOOKUP(J62,xyWattage_Table,10,FALSE))),"")</f>
        <v/>
      </c>
      <c r="L62" s="539" t="str">
        <f t="shared" si="26"/>
        <v/>
      </c>
      <c r="M62" s="540">
        <f>IF(Inventory!N59="","",Inventory!N59)</f>
        <v>0</v>
      </c>
      <c r="N62" s="533" t="str">
        <f t="shared" si="27"/>
        <v/>
      </c>
      <c r="O62" s="534"/>
      <c r="P62" s="533" t="str">
        <f t="shared" si="28"/>
        <v/>
      </c>
      <c r="Q62" s="534" t="str">
        <f>IF(Inventory!L59="","",Inventory!L59)</f>
        <v/>
      </c>
      <c r="R62" s="535" t="str">
        <f t="shared" si="29"/>
        <v/>
      </c>
      <c r="S62" s="536" t="str">
        <f>IF(Inventory!O59="","",Inventory!O59)</f>
        <v/>
      </c>
      <c r="T62" s="541" t="str">
        <f>IFERROR(IF(C62="","",IF(INDEX(xyWattage_Table,MATCH(M62,'Fixture Identities'!$B$9:$B$997,0),2)="Exit Sign",8760,IF(VLOOKUP(C62,xySpace_Type_Details,8,FALSE)="TRM",INDEX('General Information'!$AF$17:$AG$28,11,MATCH(N62,'General Information'!$AF$16:$AG$16,0)),HLOOKUP(VLOOKUP(C62,xySpace_Type_Details,8,FALSE),'General Information'!$P$15:$AG$28,13,FALSE)))),"")</f>
        <v/>
      </c>
      <c r="U62" s="542" t="str">
        <f>IFERROR(IF(C62="","",IF(INDEX(xyWattage_Table,MATCH(M62,'Fixture Identities'!$B$9:$B$997,0),2)="Exit Sign",1,IF(VLOOKUP(C62,xySpace_Type_Details,8,FALSE)="TRM",INDEX('General Information'!$AF$17:$AG$28,12,MATCH(N62,'General Information'!$AF$16:$AG$16,0)),HLOOKUP(VLOOKUP(C62,xySpace_Type_Details,8,FALSE),'General Information'!$P$15:$AG$28,14,FALSE)))),"")</f>
        <v/>
      </c>
      <c r="V62" s="542" t="str">
        <f>IFERROR(VLOOKUP(INDEX(xySpace_Type_Details,MATCH($C62,'General Information'!$C$40:$C$60,0),12),Lookups!$L$8:$N$12,2,FALSE),"")</f>
        <v/>
      </c>
      <c r="W62" s="542" t="str">
        <f>IFERROR(VLOOKUP(INDEX(xySpace_Type_Details,MATCH($C62,'General Information'!$C$40:$C$60,0),12),Lookups!$L$8:$N$12,3,FALSE),"")</f>
        <v/>
      </c>
      <c r="X62" s="543"/>
      <c r="Y62" s="542" t="str">
        <f>IFERROR(IF(C62="","",IF(INDEX(xyWattage_Table,MATCH(M62,'Fixture Identities'!$B$9:$B$997,0),2)="Exit Sign",0,IF(PRJ_Type="Retrofit",VLOOKUP(I62,xySVG_Factors,2,FALSE),IF(AND(PRJ_Type="New Construction",Inventory!C59="N"),VLOOKUP(VLOOKUP(Building_Type,xyLPD_BuildingArea,5,FALSE),xySVG_Factors_NC,3,FALSE),0)))),"")</f>
        <v/>
      </c>
      <c r="Z62" s="544" t="str">
        <f>IFERROR(IF(C62="","",IF(INDEX(xyWattage_Table,MATCH(M62,'Fixture Identities'!$B$9:$B$997,0),2)="Exit Sign",0,VLOOKUP(S62,xySVG_Factors,2,FALSE))),"")</f>
        <v/>
      </c>
      <c r="AA62" s="545" t="str">
        <f t="shared" si="30"/>
        <v/>
      </c>
      <c r="AB62" s="542" t="str">
        <f t="shared" si="31"/>
        <v/>
      </c>
      <c r="AC62" s="539" t="str">
        <f t="shared" si="32"/>
        <v/>
      </c>
      <c r="AD62" s="546" t="str">
        <f t="shared" si="33"/>
        <v/>
      </c>
      <c r="AE62" s="539" t="str">
        <f t="shared" si="34"/>
        <v/>
      </c>
      <c r="AF62" s="546" t="str">
        <f t="shared" si="35"/>
        <v/>
      </c>
      <c r="AG62" s="539" t="str">
        <f t="shared" si="36"/>
        <v/>
      </c>
      <c r="AH62" s="32">
        <f t="shared" si="17"/>
        <v>0</v>
      </c>
      <c r="AI62" s="32">
        <f t="shared" si="18"/>
        <v>0</v>
      </c>
      <c r="AJ62" s="32">
        <f t="shared" si="19"/>
        <v>0</v>
      </c>
      <c r="AK62" t="str">
        <f t="shared" si="20"/>
        <v/>
      </c>
      <c r="AL62" t="str">
        <f t="shared" si="21"/>
        <v/>
      </c>
      <c r="AM62" t="str">
        <f t="shared" si="22"/>
        <v/>
      </c>
      <c r="AO62" t="str">
        <f>IFERROR(VLOOKUP(M62,'Fixture Identities'!$B$9:$O$1045,14,FALSE),"")</f>
        <v/>
      </c>
      <c r="AP62" t="str">
        <f t="shared" si="4"/>
        <v/>
      </c>
      <c r="AQ62" s="550" t="s">
        <v>571</v>
      </c>
    </row>
    <row r="63" spans="1:43" ht="15">
      <c r="A63" s="71">
        <f t="shared" si="5"/>
        <v>0</v>
      </c>
      <c r="B63" s="513">
        <f t="shared" si="23"/>
        <v>51</v>
      </c>
      <c r="C63" s="530" t="str">
        <f>IF(Inventory!E60="","",Inventory!E60)</f>
        <v/>
      </c>
      <c r="D63" s="531">
        <f>IF(Inventory!D60="",0,Inventory!D60)</f>
        <v>0</v>
      </c>
      <c r="E63" s="532" t="str">
        <f>IF(Inventory!I60=0,"",Inventory!I60)</f>
        <v/>
      </c>
      <c r="F63" s="533" t="str">
        <f t="shared" si="24"/>
        <v/>
      </c>
      <c r="G63" s="534" t="str">
        <f>IF(Inventory!G60="","",Inventory!G60)</f>
        <v/>
      </c>
      <c r="H63" s="535" t="str">
        <f t="shared" si="25"/>
        <v/>
      </c>
      <c r="I63" s="536" t="str">
        <f>IF(Inventory!J60="","",Inventory!J60)</f>
        <v/>
      </c>
      <c r="J63" s="537" t="str">
        <f>IFERROR(IF(PRJ_Type="New Construction",IF(Inventory!C60="N",INDEX(xyLPD_BuildingArea,MATCH(Building_Type,Lookups!$F$37:$F$75,0),4),INDEX(xyLPD_SpaceBySpace,MATCH(INDEX(xyNCEx,MATCH(I63,yNCExArea,0),2),ySpace_by_Space_Type,0),2)),VLOOKUP(E63,xyWattage_Table,11,FALSE)),"")</f>
        <v/>
      </c>
      <c r="K63" s="538" t="str">
        <f>IFERROR(IF(AND(NC_Type="Building Area Method",Inventory!C60="N"),IF(ISERROR(INDEX('Usage Groups (&gt;120 MWh only)'!$N$8:$N$12,MATCH(C63,'Usage Groups (&gt;120 MWh only)'!$B$8:$B$12,0),1))=TRUE,SqFt/COUNTIFS(Inventory!$C$10:$C$1009,"N",$Q$13:$Q$1012,"&gt;=0"),INDEX('Usage Groups (&gt;120 MWh only)'!$N$8:$N$12,MATCH(C63,'Usage Groups (&gt;120 MWh only)'!$B$8:$B$12,0),1)/COUNTIF($C$13:$C$1012,C63)),IF(AND(NC_Type="Building Area Method",Inventory!C60="Y"),INDEX(xyNCEx,MATCH(I63,yNCExArea,0),3)/COUNTIF($I$13:$I$1012,I63),VLOOKUP(J63,xyWattage_Table,10,FALSE))),"")</f>
        <v/>
      </c>
      <c r="L63" s="539" t="str">
        <f t="shared" si="26"/>
        <v/>
      </c>
      <c r="M63" s="540">
        <f>IF(Inventory!N60="","",Inventory!N60)</f>
        <v>0</v>
      </c>
      <c r="N63" s="533" t="str">
        <f t="shared" si="27"/>
        <v/>
      </c>
      <c r="O63" s="534"/>
      <c r="P63" s="533" t="str">
        <f t="shared" si="28"/>
        <v/>
      </c>
      <c r="Q63" s="534" t="str">
        <f>IF(Inventory!L60="","",Inventory!L60)</f>
        <v/>
      </c>
      <c r="R63" s="535" t="str">
        <f t="shared" si="29"/>
        <v/>
      </c>
      <c r="S63" s="536" t="str">
        <f>IF(Inventory!O60="","",Inventory!O60)</f>
        <v/>
      </c>
      <c r="T63" s="541" t="str">
        <f>IFERROR(IF(C63="","",IF(INDEX(xyWattage_Table,MATCH(M63,'Fixture Identities'!$B$9:$B$997,0),2)="Exit Sign",8760,IF(VLOOKUP(C63,xySpace_Type_Details,8,FALSE)="TRM",INDEX('General Information'!$AF$17:$AG$28,11,MATCH(N63,'General Information'!$AF$16:$AG$16,0)),HLOOKUP(VLOOKUP(C63,xySpace_Type_Details,8,FALSE),'General Information'!$P$15:$AG$28,13,FALSE)))),"")</f>
        <v/>
      </c>
      <c r="U63" s="542" t="str">
        <f>IFERROR(IF(C63="","",IF(INDEX(xyWattage_Table,MATCH(M63,'Fixture Identities'!$B$9:$B$997,0),2)="Exit Sign",1,IF(VLOOKUP(C63,xySpace_Type_Details,8,FALSE)="TRM",INDEX('General Information'!$AF$17:$AG$28,12,MATCH(N63,'General Information'!$AF$16:$AG$16,0)),HLOOKUP(VLOOKUP(C63,xySpace_Type_Details,8,FALSE),'General Information'!$P$15:$AG$28,14,FALSE)))),"")</f>
        <v/>
      </c>
      <c r="V63" s="542" t="str">
        <f>IFERROR(VLOOKUP(INDEX(xySpace_Type_Details,MATCH($C63,'General Information'!$C$40:$C$60,0),12),Lookups!$L$8:$N$12,2,FALSE),"")</f>
        <v/>
      </c>
      <c r="W63" s="542" t="str">
        <f>IFERROR(VLOOKUP(INDEX(xySpace_Type_Details,MATCH($C63,'General Information'!$C$40:$C$60,0),12),Lookups!$L$8:$N$12,3,FALSE),"")</f>
        <v/>
      </c>
      <c r="X63" s="543"/>
      <c r="Y63" s="542" t="str">
        <f>IFERROR(IF(C63="","",IF(INDEX(xyWattage_Table,MATCH(M63,'Fixture Identities'!$B$9:$B$997,0),2)="Exit Sign",0,IF(PRJ_Type="Retrofit",VLOOKUP(I63,xySVG_Factors,2,FALSE),IF(AND(PRJ_Type="New Construction",Inventory!C60="N"),VLOOKUP(VLOOKUP(Building_Type,xyLPD_BuildingArea,5,FALSE),xySVG_Factors_NC,3,FALSE),0)))),"")</f>
        <v/>
      </c>
      <c r="Z63" s="544" t="str">
        <f>IFERROR(IF(C63="","",IF(INDEX(xyWattage_Table,MATCH(M63,'Fixture Identities'!$B$9:$B$997,0),2)="Exit Sign",0,VLOOKUP(S63,xySVG_Factors,2,FALSE))),"")</f>
        <v/>
      </c>
      <c r="AA63" s="545" t="str">
        <f t="shared" si="30"/>
        <v/>
      </c>
      <c r="AB63" s="542" t="str">
        <f t="shared" si="31"/>
        <v/>
      </c>
      <c r="AC63" s="539" t="str">
        <f t="shared" si="32"/>
        <v/>
      </c>
      <c r="AD63" s="546" t="str">
        <f t="shared" si="33"/>
        <v/>
      </c>
      <c r="AE63" s="539" t="str">
        <f t="shared" si="34"/>
        <v/>
      </c>
      <c r="AF63" s="546" t="str">
        <f t="shared" si="35"/>
        <v/>
      </c>
      <c r="AG63" s="539" t="str">
        <f t="shared" si="36"/>
        <v/>
      </c>
      <c r="AH63" s="32">
        <f t="shared" si="17"/>
        <v>0</v>
      </c>
      <c r="AI63" s="32">
        <f t="shared" si="18"/>
        <v>0</v>
      </c>
      <c r="AJ63" s="32">
        <f t="shared" si="19"/>
        <v>0</v>
      </c>
      <c r="AK63" t="str">
        <f t="shared" si="20"/>
        <v/>
      </c>
      <c r="AL63" t="str">
        <f t="shared" si="21"/>
        <v/>
      </c>
      <c r="AM63" t="str">
        <f t="shared" si="22"/>
        <v/>
      </c>
      <c r="AO63" t="str">
        <f>IFERROR(VLOOKUP(M63,'Fixture Identities'!$B$9:$O$1045,14,FALSE),"")</f>
        <v/>
      </c>
      <c r="AP63" t="str">
        <f t="shared" si="4"/>
        <v/>
      </c>
      <c r="AQ63" s="550" t="s">
        <v>572</v>
      </c>
    </row>
    <row r="64" spans="1:43" ht="15">
      <c r="A64" s="71">
        <f t="shared" si="5"/>
        <v>0</v>
      </c>
      <c r="B64" s="513">
        <f t="shared" si="23"/>
        <v>52</v>
      </c>
      <c r="C64" s="530" t="str">
        <f>IF(Inventory!E61="","",Inventory!E61)</f>
        <v/>
      </c>
      <c r="D64" s="531">
        <f>IF(Inventory!D61="",0,Inventory!D61)</f>
        <v>0</v>
      </c>
      <c r="E64" s="532" t="str">
        <f>IF(Inventory!I61=0,"",Inventory!I61)</f>
        <v/>
      </c>
      <c r="F64" s="533" t="str">
        <f t="shared" si="24"/>
        <v/>
      </c>
      <c r="G64" s="534" t="str">
        <f>IF(Inventory!G61="","",Inventory!G61)</f>
        <v/>
      </c>
      <c r="H64" s="535" t="str">
        <f t="shared" si="25"/>
        <v/>
      </c>
      <c r="I64" s="536" t="str">
        <f>IF(Inventory!J61="","",Inventory!J61)</f>
        <v/>
      </c>
      <c r="J64" s="537" t="str">
        <f>IFERROR(IF(PRJ_Type="New Construction",IF(Inventory!C61="N",INDEX(xyLPD_BuildingArea,MATCH(Building_Type,Lookups!$F$37:$F$75,0),4),INDEX(xyLPD_SpaceBySpace,MATCH(INDEX(xyNCEx,MATCH(I64,yNCExArea,0),2),ySpace_by_Space_Type,0),2)),VLOOKUP(E64,xyWattage_Table,11,FALSE)),"")</f>
        <v/>
      </c>
      <c r="K64" s="538" t="str">
        <f>IFERROR(IF(AND(NC_Type="Building Area Method",Inventory!C61="N"),IF(ISERROR(INDEX('Usage Groups (&gt;120 MWh only)'!$N$8:$N$12,MATCH(C64,'Usage Groups (&gt;120 MWh only)'!$B$8:$B$12,0),1))=TRUE,SqFt/COUNTIFS(Inventory!$C$10:$C$1009,"N",$Q$13:$Q$1012,"&gt;=0"),INDEX('Usage Groups (&gt;120 MWh only)'!$N$8:$N$12,MATCH(C64,'Usage Groups (&gt;120 MWh only)'!$B$8:$B$12,0),1)/COUNTIF($C$13:$C$1012,C64)),IF(AND(NC_Type="Building Area Method",Inventory!C61="Y"),INDEX(xyNCEx,MATCH(I64,yNCExArea,0),3)/COUNTIF($I$13:$I$1012,I64),VLOOKUP(J64,xyWattage_Table,10,FALSE))),"")</f>
        <v/>
      </c>
      <c r="L64" s="539" t="str">
        <f t="shared" si="26"/>
        <v/>
      </c>
      <c r="M64" s="540">
        <f>IF(Inventory!N61="","",Inventory!N61)</f>
        <v>0</v>
      </c>
      <c r="N64" s="533" t="str">
        <f t="shared" si="27"/>
        <v/>
      </c>
      <c r="O64" s="534"/>
      <c r="P64" s="533" t="str">
        <f t="shared" si="28"/>
        <v/>
      </c>
      <c r="Q64" s="534" t="str">
        <f>IF(Inventory!L61="","",Inventory!L61)</f>
        <v/>
      </c>
      <c r="R64" s="535" t="str">
        <f t="shared" si="29"/>
        <v/>
      </c>
      <c r="S64" s="536" t="str">
        <f>IF(Inventory!O61="","",Inventory!O61)</f>
        <v/>
      </c>
      <c r="T64" s="541" t="str">
        <f>IFERROR(IF(C64="","",IF(INDEX(xyWattage_Table,MATCH(M64,'Fixture Identities'!$B$9:$B$997,0),2)="Exit Sign",8760,IF(VLOOKUP(C64,xySpace_Type_Details,8,FALSE)="TRM",INDEX('General Information'!$AF$17:$AG$28,11,MATCH(N64,'General Information'!$AF$16:$AG$16,0)),HLOOKUP(VLOOKUP(C64,xySpace_Type_Details,8,FALSE),'General Information'!$P$15:$AG$28,13,FALSE)))),"")</f>
        <v/>
      </c>
      <c r="U64" s="542" t="str">
        <f>IFERROR(IF(C64="","",IF(INDEX(xyWattage_Table,MATCH(M64,'Fixture Identities'!$B$9:$B$997,0),2)="Exit Sign",1,IF(VLOOKUP(C64,xySpace_Type_Details,8,FALSE)="TRM",INDEX('General Information'!$AF$17:$AG$28,12,MATCH(N64,'General Information'!$AF$16:$AG$16,0)),HLOOKUP(VLOOKUP(C64,xySpace_Type_Details,8,FALSE),'General Information'!$P$15:$AG$28,14,FALSE)))),"")</f>
        <v/>
      </c>
      <c r="V64" s="542" t="str">
        <f>IFERROR(VLOOKUP(INDEX(xySpace_Type_Details,MATCH($C64,'General Information'!$C$40:$C$60,0),12),Lookups!$L$8:$N$12,2,FALSE),"")</f>
        <v/>
      </c>
      <c r="W64" s="542" t="str">
        <f>IFERROR(VLOOKUP(INDEX(xySpace_Type_Details,MATCH($C64,'General Information'!$C$40:$C$60,0),12),Lookups!$L$8:$N$12,3,FALSE),"")</f>
        <v/>
      </c>
      <c r="X64" s="543"/>
      <c r="Y64" s="542" t="str">
        <f>IFERROR(IF(C64="","",IF(INDEX(xyWattage_Table,MATCH(M64,'Fixture Identities'!$B$9:$B$997,0),2)="Exit Sign",0,IF(PRJ_Type="Retrofit",VLOOKUP(I64,xySVG_Factors,2,FALSE),IF(AND(PRJ_Type="New Construction",Inventory!C61="N"),VLOOKUP(VLOOKUP(Building_Type,xyLPD_BuildingArea,5,FALSE),xySVG_Factors_NC,3,FALSE),0)))),"")</f>
        <v/>
      </c>
      <c r="Z64" s="544" t="str">
        <f>IFERROR(IF(C64="","",IF(INDEX(xyWattage_Table,MATCH(M64,'Fixture Identities'!$B$9:$B$997,0),2)="Exit Sign",0,VLOOKUP(S64,xySVG_Factors,2,FALSE))),"")</f>
        <v/>
      </c>
      <c r="AA64" s="545" t="str">
        <f t="shared" si="30"/>
        <v/>
      </c>
      <c r="AB64" s="542" t="str">
        <f t="shared" si="31"/>
        <v/>
      </c>
      <c r="AC64" s="539" t="str">
        <f t="shared" si="32"/>
        <v/>
      </c>
      <c r="AD64" s="546" t="str">
        <f t="shared" si="33"/>
        <v/>
      </c>
      <c r="AE64" s="539" t="str">
        <f t="shared" si="34"/>
        <v/>
      </c>
      <c r="AF64" s="546" t="str">
        <f t="shared" si="35"/>
        <v/>
      </c>
      <c r="AG64" s="539" t="str">
        <f t="shared" si="36"/>
        <v/>
      </c>
      <c r="AH64" s="32">
        <f t="shared" si="17"/>
        <v>0</v>
      </c>
      <c r="AI64" s="32">
        <f t="shared" si="18"/>
        <v>0</v>
      </c>
      <c r="AJ64" s="32">
        <f t="shared" si="19"/>
        <v>0</v>
      </c>
      <c r="AK64" t="str">
        <f t="shared" si="20"/>
        <v/>
      </c>
      <c r="AL64" t="str">
        <f t="shared" si="21"/>
        <v/>
      </c>
      <c r="AM64" t="str">
        <f t="shared" si="22"/>
        <v/>
      </c>
      <c r="AO64" t="str">
        <f>IFERROR(VLOOKUP(M64,'Fixture Identities'!$B$9:$O$1045,14,FALSE),"")</f>
        <v/>
      </c>
      <c r="AP64" t="str">
        <f t="shared" si="4"/>
        <v/>
      </c>
      <c r="AQ64" s="550" t="s">
        <v>573</v>
      </c>
    </row>
    <row r="65" spans="1:43" ht="15">
      <c r="A65" s="71">
        <f t="shared" si="5"/>
        <v>0</v>
      </c>
      <c r="B65" s="513">
        <f t="shared" si="23"/>
        <v>53</v>
      </c>
      <c r="C65" s="530" t="str">
        <f>IF(Inventory!E62="","",Inventory!E62)</f>
        <v/>
      </c>
      <c r="D65" s="531">
        <f>IF(Inventory!D62="",0,Inventory!D62)</f>
        <v>0</v>
      </c>
      <c r="E65" s="532" t="str">
        <f>IF(Inventory!I62=0,"",Inventory!I62)</f>
        <v/>
      </c>
      <c r="F65" s="533" t="str">
        <f t="shared" si="24"/>
        <v/>
      </c>
      <c r="G65" s="534" t="str">
        <f>IF(Inventory!G62="","",Inventory!G62)</f>
        <v/>
      </c>
      <c r="H65" s="535" t="str">
        <f t="shared" si="25"/>
        <v/>
      </c>
      <c r="I65" s="536" t="str">
        <f>IF(Inventory!J62="","",Inventory!J62)</f>
        <v/>
      </c>
      <c r="J65" s="537" t="str">
        <f>IFERROR(IF(PRJ_Type="New Construction",IF(Inventory!C62="N",INDEX(xyLPD_BuildingArea,MATCH(Building_Type,Lookups!$F$37:$F$75,0),4),INDEX(xyLPD_SpaceBySpace,MATCH(INDEX(xyNCEx,MATCH(I65,yNCExArea,0),2),ySpace_by_Space_Type,0),2)),VLOOKUP(E65,xyWattage_Table,11,FALSE)),"")</f>
        <v/>
      </c>
      <c r="K65" s="538" t="str">
        <f>IFERROR(IF(AND(NC_Type="Building Area Method",Inventory!C62="N"),IF(ISERROR(INDEX('Usage Groups (&gt;120 MWh only)'!$N$8:$N$12,MATCH(C65,'Usage Groups (&gt;120 MWh only)'!$B$8:$B$12,0),1))=TRUE,SqFt/COUNTIFS(Inventory!$C$10:$C$1009,"N",$Q$13:$Q$1012,"&gt;=0"),INDEX('Usage Groups (&gt;120 MWh only)'!$N$8:$N$12,MATCH(C65,'Usage Groups (&gt;120 MWh only)'!$B$8:$B$12,0),1)/COUNTIF($C$13:$C$1012,C65)),IF(AND(NC_Type="Building Area Method",Inventory!C62="Y"),INDEX(xyNCEx,MATCH(I65,yNCExArea,0),3)/COUNTIF($I$13:$I$1012,I65),VLOOKUP(J65,xyWattage_Table,10,FALSE))),"")</f>
        <v/>
      </c>
      <c r="L65" s="539" t="str">
        <f t="shared" si="26"/>
        <v/>
      </c>
      <c r="M65" s="540">
        <f>IF(Inventory!N62="","",Inventory!N62)</f>
        <v>0</v>
      </c>
      <c r="N65" s="533" t="str">
        <f t="shared" si="27"/>
        <v/>
      </c>
      <c r="O65" s="534"/>
      <c r="P65" s="533" t="str">
        <f t="shared" si="28"/>
        <v/>
      </c>
      <c r="Q65" s="534" t="str">
        <f>IF(Inventory!L62="","",Inventory!L62)</f>
        <v/>
      </c>
      <c r="R65" s="535" t="str">
        <f t="shared" si="29"/>
        <v/>
      </c>
      <c r="S65" s="536" t="str">
        <f>IF(Inventory!O62="","",Inventory!O62)</f>
        <v/>
      </c>
      <c r="T65" s="541" t="str">
        <f>IFERROR(IF(C65="","",IF(INDEX(xyWattage_Table,MATCH(M65,'Fixture Identities'!$B$9:$B$997,0),2)="Exit Sign",8760,IF(VLOOKUP(C65,xySpace_Type_Details,8,FALSE)="TRM",INDEX('General Information'!$AF$17:$AG$28,11,MATCH(N65,'General Information'!$AF$16:$AG$16,0)),HLOOKUP(VLOOKUP(C65,xySpace_Type_Details,8,FALSE),'General Information'!$P$15:$AG$28,13,FALSE)))),"")</f>
        <v/>
      </c>
      <c r="U65" s="542" t="str">
        <f>IFERROR(IF(C65="","",IF(INDEX(xyWattage_Table,MATCH(M65,'Fixture Identities'!$B$9:$B$997,0),2)="Exit Sign",1,IF(VLOOKUP(C65,xySpace_Type_Details,8,FALSE)="TRM",INDEX('General Information'!$AF$17:$AG$28,12,MATCH(N65,'General Information'!$AF$16:$AG$16,0)),HLOOKUP(VLOOKUP(C65,xySpace_Type_Details,8,FALSE),'General Information'!$P$15:$AG$28,14,FALSE)))),"")</f>
        <v/>
      </c>
      <c r="V65" s="542" t="str">
        <f>IFERROR(VLOOKUP(INDEX(xySpace_Type_Details,MATCH($C65,'General Information'!$C$40:$C$60,0),12),Lookups!$L$8:$N$12,2,FALSE),"")</f>
        <v/>
      </c>
      <c r="W65" s="542" t="str">
        <f>IFERROR(VLOOKUP(INDEX(xySpace_Type_Details,MATCH($C65,'General Information'!$C$40:$C$60,0),12),Lookups!$L$8:$N$12,3,FALSE),"")</f>
        <v/>
      </c>
      <c r="X65" s="543"/>
      <c r="Y65" s="542" t="str">
        <f>IFERROR(IF(C65="","",IF(INDEX(xyWattage_Table,MATCH(M65,'Fixture Identities'!$B$9:$B$997,0),2)="Exit Sign",0,IF(PRJ_Type="Retrofit",VLOOKUP(I65,xySVG_Factors,2,FALSE),IF(AND(PRJ_Type="New Construction",Inventory!C62="N"),VLOOKUP(VLOOKUP(Building_Type,xyLPD_BuildingArea,5,FALSE),xySVG_Factors_NC,3,FALSE),0)))),"")</f>
        <v/>
      </c>
      <c r="Z65" s="544" t="str">
        <f>IFERROR(IF(C65="","",IF(INDEX(xyWattage_Table,MATCH(M65,'Fixture Identities'!$B$9:$B$997,0),2)="Exit Sign",0,VLOOKUP(S65,xySVG_Factors,2,FALSE))),"")</f>
        <v/>
      </c>
      <c r="AA65" s="545" t="str">
        <f t="shared" si="30"/>
        <v/>
      </c>
      <c r="AB65" s="542" t="str">
        <f t="shared" si="31"/>
        <v/>
      </c>
      <c r="AC65" s="539" t="str">
        <f t="shared" si="32"/>
        <v/>
      </c>
      <c r="AD65" s="546" t="str">
        <f t="shared" si="33"/>
        <v/>
      </c>
      <c r="AE65" s="539" t="str">
        <f t="shared" si="34"/>
        <v/>
      </c>
      <c r="AF65" s="546" t="str">
        <f t="shared" si="35"/>
        <v/>
      </c>
      <c r="AG65" s="539" t="str">
        <f t="shared" si="36"/>
        <v/>
      </c>
      <c r="AH65" s="32">
        <f t="shared" si="17"/>
        <v>0</v>
      </c>
      <c r="AI65" s="32">
        <f t="shared" si="18"/>
        <v>0</v>
      </c>
      <c r="AJ65" s="32">
        <f t="shared" si="19"/>
        <v>0</v>
      </c>
      <c r="AK65" t="str">
        <f t="shared" si="20"/>
        <v/>
      </c>
      <c r="AL65" t="str">
        <f t="shared" si="21"/>
        <v/>
      </c>
      <c r="AM65" t="str">
        <f t="shared" si="22"/>
        <v/>
      </c>
      <c r="AO65" t="str">
        <f>IFERROR(VLOOKUP(M65,'Fixture Identities'!$B$9:$O$1045,14,FALSE),"")</f>
        <v/>
      </c>
      <c r="AP65" t="str">
        <f t="shared" si="4"/>
        <v/>
      </c>
      <c r="AQ65" s="550" t="s">
        <v>574</v>
      </c>
    </row>
    <row r="66" spans="1:43" ht="15">
      <c r="A66" s="71">
        <f t="shared" si="5"/>
        <v>0</v>
      </c>
      <c r="B66" s="513">
        <f t="shared" si="23"/>
        <v>54</v>
      </c>
      <c r="C66" s="530" t="str">
        <f>IF(Inventory!E63="","",Inventory!E63)</f>
        <v/>
      </c>
      <c r="D66" s="531">
        <f>IF(Inventory!D63="",0,Inventory!D63)</f>
        <v>0</v>
      </c>
      <c r="E66" s="532" t="str">
        <f>IF(Inventory!I63=0,"",Inventory!I63)</f>
        <v/>
      </c>
      <c r="F66" s="533" t="str">
        <f t="shared" si="24"/>
        <v/>
      </c>
      <c r="G66" s="534" t="str">
        <f>IF(Inventory!G63="","",Inventory!G63)</f>
        <v/>
      </c>
      <c r="H66" s="535" t="str">
        <f t="shared" si="25"/>
        <v/>
      </c>
      <c r="I66" s="536" t="str">
        <f>IF(Inventory!J63="","",Inventory!J63)</f>
        <v/>
      </c>
      <c r="J66" s="537" t="str">
        <f>IFERROR(IF(PRJ_Type="New Construction",IF(Inventory!C63="N",INDEX(xyLPD_BuildingArea,MATCH(Building_Type,Lookups!$F$37:$F$75,0),4),INDEX(xyLPD_SpaceBySpace,MATCH(INDEX(xyNCEx,MATCH(I66,yNCExArea,0),2),ySpace_by_Space_Type,0),2)),VLOOKUP(E66,xyWattage_Table,11,FALSE)),"")</f>
        <v/>
      </c>
      <c r="K66" s="538" t="str">
        <f>IFERROR(IF(AND(NC_Type="Building Area Method",Inventory!C63="N"),IF(ISERROR(INDEX('Usage Groups (&gt;120 MWh only)'!$N$8:$N$12,MATCH(C66,'Usage Groups (&gt;120 MWh only)'!$B$8:$B$12,0),1))=TRUE,SqFt/COUNTIFS(Inventory!$C$10:$C$1009,"N",$Q$13:$Q$1012,"&gt;=0"),INDEX('Usage Groups (&gt;120 MWh only)'!$N$8:$N$12,MATCH(C66,'Usage Groups (&gt;120 MWh only)'!$B$8:$B$12,0),1)/COUNTIF($C$13:$C$1012,C66)),IF(AND(NC_Type="Building Area Method",Inventory!C63="Y"),INDEX(xyNCEx,MATCH(I66,yNCExArea,0),3)/COUNTIF($I$13:$I$1012,I66),VLOOKUP(J66,xyWattage_Table,10,FALSE))),"")</f>
        <v/>
      </c>
      <c r="L66" s="539" t="str">
        <f t="shared" si="26"/>
        <v/>
      </c>
      <c r="M66" s="540">
        <f>IF(Inventory!N63="","",Inventory!N63)</f>
        <v>0</v>
      </c>
      <c r="N66" s="533" t="str">
        <f t="shared" si="27"/>
        <v/>
      </c>
      <c r="O66" s="534"/>
      <c r="P66" s="533" t="str">
        <f t="shared" si="28"/>
        <v/>
      </c>
      <c r="Q66" s="534" t="str">
        <f>IF(Inventory!L63="","",Inventory!L63)</f>
        <v/>
      </c>
      <c r="R66" s="535" t="str">
        <f t="shared" si="29"/>
        <v/>
      </c>
      <c r="S66" s="536" t="str">
        <f>IF(Inventory!O63="","",Inventory!O63)</f>
        <v/>
      </c>
      <c r="T66" s="541" t="str">
        <f>IFERROR(IF(C66="","",IF(INDEX(xyWattage_Table,MATCH(M66,'Fixture Identities'!$B$9:$B$997,0),2)="Exit Sign",8760,IF(VLOOKUP(C66,xySpace_Type_Details,8,FALSE)="TRM",INDEX('General Information'!$AF$17:$AG$28,11,MATCH(N66,'General Information'!$AF$16:$AG$16,0)),HLOOKUP(VLOOKUP(C66,xySpace_Type_Details,8,FALSE),'General Information'!$P$15:$AG$28,13,FALSE)))),"")</f>
        <v/>
      </c>
      <c r="U66" s="542" t="str">
        <f>IFERROR(IF(C66="","",IF(INDEX(xyWattage_Table,MATCH(M66,'Fixture Identities'!$B$9:$B$997,0),2)="Exit Sign",1,IF(VLOOKUP(C66,xySpace_Type_Details,8,FALSE)="TRM",INDEX('General Information'!$AF$17:$AG$28,12,MATCH(N66,'General Information'!$AF$16:$AG$16,0)),HLOOKUP(VLOOKUP(C66,xySpace_Type_Details,8,FALSE),'General Information'!$P$15:$AG$28,14,FALSE)))),"")</f>
        <v/>
      </c>
      <c r="V66" s="542" t="str">
        <f>IFERROR(VLOOKUP(INDEX(xySpace_Type_Details,MATCH($C66,'General Information'!$C$40:$C$60,0),12),Lookups!$L$8:$N$12,2,FALSE),"")</f>
        <v/>
      </c>
      <c r="W66" s="542" t="str">
        <f>IFERROR(VLOOKUP(INDEX(xySpace_Type_Details,MATCH($C66,'General Information'!$C$40:$C$60,0),12),Lookups!$L$8:$N$12,3,FALSE),"")</f>
        <v/>
      </c>
      <c r="X66" s="543"/>
      <c r="Y66" s="542" t="str">
        <f>IFERROR(IF(C66="","",IF(INDEX(xyWattage_Table,MATCH(M66,'Fixture Identities'!$B$9:$B$997,0),2)="Exit Sign",0,IF(PRJ_Type="Retrofit",VLOOKUP(I66,xySVG_Factors,2,FALSE),IF(AND(PRJ_Type="New Construction",Inventory!C63="N"),VLOOKUP(VLOOKUP(Building_Type,xyLPD_BuildingArea,5,FALSE),xySVG_Factors_NC,3,FALSE),0)))),"")</f>
        <v/>
      </c>
      <c r="Z66" s="544" t="str">
        <f>IFERROR(IF(C66="","",IF(INDEX(xyWattage_Table,MATCH(M66,'Fixture Identities'!$B$9:$B$997,0),2)="Exit Sign",0,VLOOKUP(S66,xySVG_Factors,2,FALSE))),"")</f>
        <v/>
      </c>
      <c r="AA66" s="545" t="str">
        <f t="shared" si="30"/>
        <v/>
      </c>
      <c r="AB66" s="542" t="str">
        <f t="shared" si="31"/>
        <v/>
      </c>
      <c r="AC66" s="539" t="str">
        <f t="shared" si="32"/>
        <v/>
      </c>
      <c r="AD66" s="546" t="str">
        <f t="shared" si="33"/>
        <v/>
      </c>
      <c r="AE66" s="539" t="str">
        <f t="shared" si="34"/>
        <v/>
      </c>
      <c r="AF66" s="546" t="str">
        <f t="shared" si="35"/>
        <v/>
      </c>
      <c r="AG66" s="539" t="str">
        <f t="shared" si="36"/>
        <v/>
      </c>
      <c r="AH66" s="32">
        <f t="shared" si="17"/>
        <v>0</v>
      </c>
      <c r="AI66" s="32">
        <f t="shared" si="18"/>
        <v>0</v>
      </c>
      <c r="AJ66" s="32">
        <f t="shared" si="19"/>
        <v>0</v>
      </c>
      <c r="AK66" t="str">
        <f t="shared" si="20"/>
        <v/>
      </c>
      <c r="AL66" t="str">
        <f t="shared" si="21"/>
        <v/>
      </c>
      <c r="AM66" t="str">
        <f t="shared" si="22"/>
        <v/>
      </c>
      <c r="AO66" t="str">
        <f>IFERROR(VLOOKUP(M66,'Fixture Identities'!$B$9:$O$1045,14,FALSE),"")</f>
        <v/>
      </c>
      <c r="AP66" t="str">
        <f t="shared" si="4"/>
        <v/>
      </c>
      <c r="AQ66" s="550" t="s">
        <v>575</v>
      </c>
    </row>
    <row r="67" spans="1:43" ht="15">
      <c r="A67" s="71">
        <f t="shared" si="5"/>
        <v>0</v>
      </c>
      <c r="B67" s="513">
        <f t="shared" si="23"/>
        <v>55</v>
      </c>
      <c r="C67" s="530" t="str">
        <f>IF(Inventory!E64="","",Inventory!E64)</f>
        <v/>
      </c>
      <c r="D67" s="531">
        <f>IF(Inventory!D64="",0,Inventory!D64)</f>
        <v>0</v>
      </c>
      <c r="E67" s="532" t="str">
        <f>IF(Inventory!I64=0,"",Inventory!I64)</f>
        <v/>
      </c>
      <c r="F67" s="533" t="str">
        <f t="shared" si="24"/>
        <v/>
      </c>
      <c r="G67" s="534" t="str">
        <f>IF(Inventory!G64="","",Inventory!G64)</f>
        <v/>
      </c>
      <c r="H67" s="535" t="str">
        <f t="shared" si="25"/>
        <v/>
      </c>
      <c r="I67" s="536" t="str">
        <f>IF(Inventory!J64="","",Inventory!J64)</f>
        <v/>
      </c>
      <c r="J67" s="537" t="str">
        <f>IFERROR(IF(PRJ_Type="New Construction",IF(Inventory!C64="N",INDEX(xyLPD_BuildingArea,MATCH(Building_Type,Lookups!$F$37:$F$75,0),4),INDEX(xyLPD_SpaceBySpace,MATCH(INDEX(xyNCEx,MATCH(I67,yNCExArea,0),2),ySpace_by_Space_Type,0),2)),VLOOKUP(E67,xyWattage_Table,11,FALSE)),"")</f>
        <v/>
      </c>
      <c r="K67" s="538" t="str">
        <f>IFERROR(IF(AND(NC_Type="Building Area Method",Inventory!C64="N"),IF(ISERROR(INDEX('Usage Groups (&gt;120 MWh only)'!$N$8:$N$12,MATCH(C67,'Usage Groups (&gt;120 MWh only)'!$B$8:$B$12,0),1))=TRUE,SqFt/COUNTIFS(Inventory!$C$10:$C$1009,"N",$Q$13:$Q$1012,"&gt;=0"),INDEX('Usage Groups (&gt;120 MWh only)'!$N$8:$N$12,MATCH(C67,'Usage Groups (&gt;120 MWh only)'!$B$8:$B$12,0),1)/COUNTIF($C$13:$C$1012,C67)),IF(AND(NC_Type="Building Area Method",Inventory!C64="Y"),INDEX(xyNCEx,MATCH(I67,yNCExArea,0),3)/COUNTIF($I$13:$I$1012,I67),VLOOKUP(J67,xyWattage_Table,10,FALSE))),"")</f>
        <v/>
      </c>
      <c r="L67" s="539" t="str">
        <f t="shared" si="26"/>
        <v/>
      </c>
      <c r="M67" s="540">
        <f>IF(Inventory!N64="","",Inventory!N64)</f>
        <v>0</v>
      </c>
      <c r="N67" s="533" t="str">
        <f t="shared" si="27"/>
        <v/>
      </c>
      <c r="O67" s="534"/>
      <c r="P67" s="533" t="str">
        <f t="shared" si="28"/>
        <v/>
      </c>
      <c r="Q67" s="534" t="str">
        <f>IF(Inventory!L64="","",Inventory!L64)</f>
        <v/>
      </c>
      <c r="R67" s="535" t="str">
        <f t="shared" si="29"/>
        <v/>
      </c>
      <c r="S67" s="536" t="str">
        <f>IF(Inventory!O64="","",Inventory!O64)</f>
        <v/>
      </c>
      <c r="T67" s="541" t="str">
        <f>IFERROR(IF(C67="","",IF(INDEX(xyWattage_Table,MATCH(M67,'Fixture Identities'!$B$9:$B$997,0),2)="Exit Sign",8760,IF(VLOOKUP(C67,xySpace_Type_Details,8,FALSE)="TRM",INDEX('General Information'!$AF$17:$AG$28,11,MATCH(N67,'General Information'!$AF$16:$AG$16,0)),HLOOKUP(VLOOKUP(C67,xySpace_Type_Details,8,FALSE),'General Information'!$P$15:$AG$28,13,FALSE)))),"")</f>
        <v/>
      </c>
      <c r="U67" s="542" t="str">
        <f>IFERROR(IF(C67="","",IF(INDEX(xyWattage_Table,MATCH(M67,'Fixture Identities'!$B$9:$B$997,0),2)="Exit Sign",1,IF(VLOOKUP(C67,xySpace_Type_Details,8,FALSE)="TRM",INDEX('General Information'!$AF$17:$AG$28,12,MATCH(N67,'General Information'!$AF$16:$AG$16,0)),HLOOKUP(VLOOKUP(C67,xySpace_Type_Details,8,FALSE),'General Information'!$P$15:$AG$28,14,FALSE)))),"")</f>
        <v/>
      </c>
      <c r="V67" s="542" t="str">
        <f>IFERROR(VLOOKUP(INDEX(xySpace_Type_Details,MATCH($C67,'General Information'!$C$40:$C$60,0),12),Lookups!$L$8:$N$12,2,FALSE),"")</f>
        <v/>
      </c>
      <c r="W67" s="542" t="str">
        <f>IFERROR(VLOOKUP(INDEX(xySpace_Type_Details,MATCH($C67,'General Information'!$C$40:$C$60,0),12),Lookups!$L$8:$N$12,3,FALSE),"")</f>
        <v/>
      </c>
      <c r="X67" s="543"/>
      <c r="Y67" s="542" t="str">
        <f>IFERROR(IF(C67="","",IF(INDEX(xyWattage_Table,MATCH(M67,'Fixture Identities'!$B$9:$B$997,0),2)="Exit Sign",0,IF(PRJ_Type="Retrofit",VLOOKUP(I67,xySVG_Factors,2,FALSE),IF(AND(PRJ_Type="New Construction",Inventory!C64="N"),VLOOKUP(VLOOKUP(Building_Type,xyLPD_BuildingArea,5,FALSE),xySVG_Factors_NC,3,FALSE),0)))),"")</f>
        <v/>
      </c>
      <c r="Z67" s="544" t="str">
        <f>IFERROR(IF(C67="","",IF(INDEX(xyWattage_Table,MATCH(M67,'Fixture Identities'!$B$9:$B$997,0),2)="Exit Sign",0,VLOOKUP(S67,xySVG_Factors,2,FALSE))),"")</f>
        <v/>
      </c>
      <c r="AA67" s="545" t="str">
        <f t="shared" si="30"/>
        <v/>
      </c>
      <c r="AB67" s="542" t="str">
        <f t="shared" si="31"/>
        <v/>
      </c>
      <c r="AC67" s="539" t="str">
        <f t="shared" si="32"/>
        <v/>
      </c>
      <c r="AD67" s="546" t="str">
        <f t="shared" si="33"/>
        <v/>
      </c>
      <c r="AE67" s="539" t="str">
        <f t="shared" si="34"/>
        <v/>
      </c>
      <c r="AF67" s="546" t="str">
        <f t="shared" si="35"/>
        <v/>
      </c>
      <c r="AG67" s="539" t="str">
        <f t="shared" si="36"/>
        <v/>
      </c>
      <c r="AH67" s="32">
        <f t="shared" si="17"/>
        <v>0</v>
      </c>
      <c r="AI67" s="32">
        <f t="shared" si="18"/>
        <v>0</v>
      </c>
      <c r="AJ67" s="32">
        <f t="shared" si="19"/>
        <v>0</v>
      </c>
      <c r="AK67" t="str">
        <f t="shared" si="20"/>
        <v/>
      </c>
      <c r="AL67" t="str">
        <f t="shared" si="21"/>
        <v/>
      </c>
      <c r="AM67" t="str">
        <f t="shared" si="22"/>
        <v/>
      </c>
      <c r="AO67" t="str">
        <f>IFERROR(VLOOKUP(M67,'Fixture Identities'!$B$9:$O$1045,14,FALSE),"")</f>
        <v/>
      </c>
      <c r="AP67" t="str">
        <f t="shared" si="4"/>
        <v/>
      </c>
      <c r="AQ67" s="550" t="s">
        <v>576</v>
      </c>
    </row>
    <row r="68" spans="1:43" ht="15">
      <c r="A68" s="71">
        <f t="shared" si="5"/>
        <v>0</v>
      </c>
      <c r="B68" s="513">
        <f t="shared" si="23"/>
        <v>56</v>
      </c>
      <c r="C68" s="530" t="str">
        <f>IF(Inventory!E65="","",Inventory!E65)</f>
        <v/>
      </c>
      <c r="D68" s="531">
        <f>IF(Inventory!D65="",0,Inventory!D65)</f>
        <v>0</v>
      </c>
      <c r="E68" s="532" t="str">
        <f>IF(Inventory!I65=0,"",Inventory!I65)</f>
        <v/>
      </c>
      <c r="F68" s="533" t="str">
        <f t="shared" si="24"/>
        <v/>
      </c>
      <c r="G68" s="534" t="str">
        <f>IF(Inventory!G65="","",Inventory!G65)</f>
        <v/>
      </c>
      <c r="H68" s="535" t="str">
        <f t="shared" si="25"/>
        <v/>
      </c>
      <c r="I68" s="536" t="str">
        <f>IF(Inventory!J65="","",Inventory!J65)</f>
        <v/>
      </c>
      <c r="J68" s="537" t="str">
        <f>IFERROR(IF(PRJ_Type="New Construction",IF(Inventory!C65="N",INDEX(xyLPD_BuildingArea,MATCH(Building_Type,Lookups!$F$37:$F$75,0),4),INDEX(xyLPD_SpaceBySpace,MATCH(INDEX(xyNCEx,MATCH(I68,yNCExArea,0),2),ySpace_by_Space_Type,0),2)),VLOOKUP(E68,xyWattage_Table,11,FALSE)),"")</f>
        <v/>
      </c>
      <c r="K68" s="538" t="str">
        <f>IFERROR(IF(AND(NC_Type="Building Area Method",Inventory!C65="N"),IF(ISERROR(INDEX('Usage Groups (&gt;120 MWh only)'!$N$8:$N$12,MATCH(C68,'Usage Groups (&gt;120 MWh only)'!$B$8:$B$12,0),1))=TRUE,SqFt/COUNTIFS(Inventory!$C$10:$C$1009,"N",$Q$13:$Q$1012,"&gt;=0"),INDEX('Usage Groups (&gt;120 MWh only)'!$N$8:$N$12,MATCH(C68,'Usage Groups (&gt;120 MWh only)'!$B$8:$B$12,0),1)/COUNTIF($C$13:$C$1012,C68)),IF(AND(NC_Type="Building Area Method",Inventory!C65="Y"),INDEX(xyNCEx,MATCH(I68,yNCExArea,0),3)/COUNTIF($I$13:$I$1012,I68),VLOOKUP(J68,xyWattage_Table,10,FALSE))),"")</f>
        <v/>
      </c>
      <c r="L68" s="539" t="str">
        <f t="shared" si="26"/>
        <v/>
      </c>
      <c r="M68" s="540">
        <f>IF(Inventory!N65="","",Inventory!N65)</f>
        <v>0</v>
      </c>
      <c r="N68" s="533" t="str">
        <f t="shared" si="27"/>
        <v/>
      </c>
      <c r="O68" s="534"/>
      <c r="P68" s="533" t="str">
        <f t="shared" si="28"/>
        <v/>
      </c>
      <c r="Q68" s="534" t="str">
        <f>IF(Inventory!L65="","",Inventory!L65)</f>
        <v/>
      </c>
      <c r="R68" s="535" t="str">
        <f t="shared" si="29"/>
        <v/>
      </c>
      <c r="S68" s="536" t="str">
        <f>IF(Inventory!O65="","",Inventory!O65)</f>
        <v/>
      </c>
      <c r="T68" s="541" t="str">
        <f>IFERROR(IF(C68="","",IF(INDEX(xyWattage_Table,MATCH(M68,'Fixture Identities'!$B$9:$B$997,0),2)="Exit Sign",8760,IF(VLOOKUP(C68,xySpace_Type_Details,8,FALSE)="TRM",INDEX('General Information'!$AF$17:$AG$28,11,MATCH(N68,'General Information'!$AF$16:$AG$16,0)),HLOOKUP(VLOOKUP(C68,xySpace_Type_Details,8,FALSE),'General Information'!$P$15:$AG$28,13,FALSE)))),"")</f>
        <v/>
      </c>
      <c r="U68" s="542" t="str">
        <f>IFERROR(IF(C68="","",IF(INDEX(xyWattage_Table,MATCH(M68,'Fixture Identities'!$B$9:$B$997,0),2)="Exit Sign",1,IF(VLOOKUP(C68,xySpace_Type_Details,8,FALSE)="TRM",INDEX('General Information'!$AF$17:$AG$28,12,MATCH(N68,'General Information'!$AF$16:$AG$16,0)),HLOOKUP(VLOOKUP(C68,xySpace_Type_Details,8,FALSE),'General Information'!$P$15:$AG$28,14,FALSE)))),"")</f>
        <v/>
      </c>
      <c r="V68" s="542" t="str">
        <f>IFERROR(VLOOKUP(INDEX(xySpace_Type_Details,MATCH($C68,'General Information'!$C$40:$C$60,0),12),Lookups!$L$8:$N$12,2,FALSE),"")</f>
        <v/>
      </c>
      <c r="W68" s="542" t="str">
        <f>IFERROR(VLOOKUP(INDEX(xySpace_Type_Details,MATCH($C68,'General Information'!$C$40:$C$60,0),12),Lookups!$L$8:$N$12,3,FALSE),"")</f>
        <v/>
      </c>
      <c r="X68" s="543"/>
      <c r="Y68" s="542" t="str">
        <f>IFERROR(IF(C68="","",IF(INDEX(xyWattage_Table,MATCH(M68,'Fixture Identities'!$B$9:$B$997,0),2)="Exit Sign",0,IF(PRJ_Type="Retrofit",VLOOKUP(I68,xySVG_Factors,2,FALSE),IF(AND(PRJ_Type="New Construction",Inventory!C65="N"),VLOOKUP(VLOOKUP(Building_Type,xyLPD_BuildingArea,5,FALSE),xySVG_Factors_NC,3,FALSE),0)))),"")</f>
        <v/>
      </c>
      <c r="Z68" s="544" t="str">
        <f>IFERROR(IF(C68="","",IF(INDEX(xyWattage_Table,MATCH(M68,'Fixture Identities'!$B$9:$B$997,0),2)="Exit Sign",0,VLOOKUP(S68,xySVG_Factors,2,FALSE))),"")</f>
        <v/>
      </c>
      <c r="AA68" s="545" t="str">
        <f t="shared" si="30"/>
        <v/>
      </c>
      <c r="AB68" s="542" t="str">
        <f t="shared" si="31"/>
        <v/>
      </c>
      <c r="AC68" s="539" t="str">
        <f t="shared" si="32"/>
        <v/>
      </c>
      <c r="AD68" s="546" t="str">
        <f t="shared" si="33"/>
        <v/>
      </c>
      <c r="AE68" s="539" t="str">
        <f t="shared" si="34"/>
        <v/>
      </c>
      <c r="AF68" s="546" t="str">
        <f t="shared" si="35"/>
        <v/>
      </c>
      <c r="AG68" s="539" t="str">
        <f t="shared" si="36"/>
        <v/>
      </c>
      <c r="AH68" s="32">
        <f t="shared" si="17"/>
        <v>0</v>
      </c>
      <c r="AI68" s="32">
        <f t="shared" si="18"/>
        <v>0</v>
      </c>
      <c r="AJ68" s="32">
        <f t="shared" si="19"/>
        <v>0</v>
      </c>
      <c r="AK68" t="str">
        <f t="shared" si="20"/>
        <v/>
      </c>
      <c r="AL68" t="str">
        <f t="shared" si="21"/>
        <v/>
      </c>
      <c r="AM68" t="str">
        <f t="shared" si="22"/>
        <v/>
      </c>
      <c r="AO68" t="str">
        <f>IFERROR(VLOOKUP(M68,'Fixture Identities'!$B$9:$O$1045,14,FALSE),"")</f>
        <v/>
      </c>
      <c r="AP68" t="str">
        <f t="shared" si="4"/>
        <v/>
      </c>
      <c r="AQ68" s="550" t="s">
        <v>577</v>
      </c>
    </row>
    <row r="69" spans="1:43" ht="15">
      <c r="A69" s="71">
        <f t="shared" si="5"/>
        <v>0</v>
      </c>
      <c r="B69" s="513">
        <f t="shared" si="23"/>
        <v>57</v>
      </c>
      <c r="C69" s="530" t="str">
        <f>IF(Inventory!E66="","",Inventory!E66)</f>
        <v/>
      </c>
      <c r="D69" s="531">
        <f>IF(Inventory!D66="",0,Inventory!D66)</f>
        <v>0</v>
      </c>
      <c r="E69" s="532" t="str">
        <f>IF(Inventory!I66=0,"",Inventory!I66)</f>
        <v/>
      </c>
      <c r="F69" s="533" t="str">
        <f t="shared" si="24"/>
        <v/>
      </c>
      <c r="G69" s="534" t="str">
        <f>IF(Inventory!G66="","",Inventory!G66)</f>
        <v/>
      </c>
      <c r="H69" s="535" t="str">
        <f t="shared" si="25"/>
        <v/>
      </c>
      <c r="I69" s="536" t="str">
        <f>IF(Inventory!J66="","",Inventory!J66)</f>
        <v/>
      </c>
      <c r="J69" s="537" t="str">
        <f>IFERROR(IF(PRJ_Type="New Construction",IF(Inventory!C66="N",INDEX(xyLPD_BuildingArea,MATCH(Building_Type,Lookups!$F$37:$F$75,0),4),INDEX(xyLPD_SpaceBySpace,MATCH(INDEX(xyNCEx,MATCH(I69,yNCExArea,0),2),ySpace_by_Space_Type,0),2)),VLOOKUP(E69,xyWattage_Table,11,FALSE)),"")</f>
        <v/>
      </c>
      <c r="K69" s="538" t="str">
        <f>IFERROR(IF(AND(NC_Type="Building Area Method",Inventory!C66="N"),IF(ISERROR(INDEX('Usage Groups (&gt;120 MWh only)'!$N$8:$N$12,MATCH(C69,'Usage Groups (&gt;120 MWh only)'!$B$8:$B$12,0),1))=TRUE,SqFt/COUNTIFS(Inventory!$C$10:$C$1009,"N",$Q$13:$Q$1012,"&gt;=0"),INDEX('Usage Groups (&gt;120 MWh only)'!$N$8:$N$12,MATCH(C69,'Usage Groups (&gt;120 MWh only)'!$B$8:$B$12,0),1)/COUNTIF($C$13:$C$1012,C69)),IF(AND(NC_Type="Building Area Method",Inventory!C66="Y"),INDEX(xyNCEx,MATCH(I69,yNCExArea,0),3)/COUNTIF($I$13:$I$1012,I69),VLOOKUP(J69,xyWattage_Table,10,FALSE))),"")</f>
        <v/>
      </c>
      <c r="L69" s="539" t="str">
        <f t="shared" si="26"/>
        <v/>
      </c>
      <c r="M69" s="540">
        <f>IF(Inventory!N66="","",Inventory!N66)</f>
        <v>0</v>
      </c>
      <c r="N69" s="533" t="str">
        <f t="shared" si="27"/>
        <v/>
      </c>
      <c r="O69" s="534"/>
      <c r="P69" s="533" t="str">
        <f t="shared" si="28"/>
        <v/>
      </c>
      <c r="Q69" s="534" t="str">
        <f>IF(Inventory!L66="","",Inventory!L66)</f>
        <v/>
      </c>
      <c r="R69" s="535" t="str">
        <f t="shared" si="29"/>
        <v/>
      </c>
      <c r="S69" s="536" t="str">
        <f>IF(Inventory!O66="","",Inventory!O66)</f>
        <v/>
      </c>
      <c r="T69" s="541" t="str">
        <f>IFERROR(IF(C69="","",IF(INDEX(xyWattage_Table,MATCH(M69,'Fixture Identities'!$B$9:$B$997,0),2)="Exit Sign",8760,IF(VLOOKUP(C69,xySpace_Type_Details,8,FALSE)="TRM",INDEX('General Information'!$AF$17:$AG$28,11,MATCH(N69,'General Information'!$AF$16:$AG$16,0)),HLOOKUP(VLOOKUP(C69,xySpace_Type_Details,8,FALSE),'General Information'!$P$15:$AG$28,13,FALSE)))),"")</f>
        <v/>
      </c>
      <c r="U69" s="542" t="str">
        <f>IFERROR(IF(C69="","",IF(INDEX(xyWattage_Table,MATCH(M69,'Fixture Identities'!$B$9:$B$997,0),2)="Exit Sign",1,IF(VLOOKUP(C69,xySpace_Type_Details,8,FALSE)="TRM",INDEX('General Information'!$AF$17:$AG$28,12,MATCH(N69,'General Information'!$AF$16:$AG$16,0)),HLOOKUP(VLOOKUP(C69,xySpace_Type_Details,8,FALSE),'General Information'!$P$15:$AG$28,14,FALSE)))),"")</f>
        <v/>
      </c>
      <c r="V69" s="542" t="str">
        <f>IFERROR(VLOOKUP(INDEX(xySpace_Type_Details,MATCH($C69,'General Information'!$C$40:$C$60,0),12),Lookups!$L$8:$N$12,2,FALSE),"")</f>
        <v/>
      </c>
      <c r="W69" s="542" t="str">
        <f>IFERROR(VLOOKUP(INDEX(xySpace_Type_Details,MATCH($C69,'General Information'!$C$40:$C$60,0),12),Lookups!$L$8:$N$12,3,FALSE),"")</f>
        <v/>
      </c>
      <c r="X69" s="543"/>
      <c r="Y69" s="542" t="str">
        <f>IFERROR(IF(C69="","",IF(INDEX(xyWattage_Table,MATCH(M69,'Fixture Identities'!$B$9:$B$997,0),2)="Exit Sign",0,IF(PRJ_Type="Retrofit",VLOOKUP(I69,xySVG_Factors,2,FALSE),IF(AND(PRJ_Type="New Construction",Inventory!C66="N"),VLOOKUP(VLOOKUP(Building_Type,xyLPD_BuildingArea,5,FALSE),xySVG_Factors_NC,3,FALSE),0)))),"")</f>
        <v/>
      </c>
      <c r="Z69" s="544" t="str">
        <f>IFERROR(IF(C69="","",IF(INDEX(xyWattage_Table,MATCH(M69,'Fixture Identities'!$B$9:$B$997,0),2)="Exit Sign",0,VLOOKUP(S69,xySVG_Factors,2,FALSE))),"")</f>
        <v/>
      </c>
      <c r="AA69" s="545" t="str">
        <f t="shared" si="30"/>
        <v/>
      </c>
      <c r="AB69" s="542" t="str">
        <f t="shared" si="31"/>
        <v/>
      </c>
      <c r="AC69" s="539" t="str">
        <f t="shared" si="32"/>
        <v/>
      </c>
      <c r="AD69" s="546" t="str">
        <f t="shared" si="33"/>
        <v/>
      </c>
      <c r="AE69" s="539" t="str">
        <f t="shared" si="34"/>
        <v/>
      </c>
      <c r="AF69" s="546" t="str">
        <f t="shared" si="35"/>
        <v/>
      </c>
      <c r="AG69" s="539" t="str">
        <f t="shared" si="36"/>
        <v/>
      </c>
      <c r="AH69" s="32">
        <f t="shared" si="17"/>
        <v>0</v>
      </c>
      <c r="AI69" s="32">
        <f t="shared" si="18"/>
        <v>0</v>
      </c>
      <c r="AJ69" s="32">
        <f t="shared" si="19"/>
        <v>0</v>
      </c>
      <c r="AK69" t="str">
        <f t="shared" si="20"/>
        <v/>
      </c>
      <c r="AL69" t="str">
        <f t="shared" si="21"/>
        <v/>
      </c>
      <c r="AM69" t="str">
        <f t="shared" si="22"/>
        <v/>
      </c>
      <c r="AO69" t="str">
        <f>IFERROR(VLOOKUP(M69,'Fixture Identities'!$B$9:$O$1045,14,FALSE),"")</f>
        <v/>
      </c>
      <c r="AP69" t="str">
        <f t="shared" si="4"/>
        <v/>
      </c>
      <c r="AQ69" s="550" t="s">
        <v>578</v>
      </c>
    </row>
    <row r="70" spans="1:43" ht="15">
      <c r="A70" s="71">
        <f t="shared" si="5"/>
        <v>0</v>
      </c>
      <c r="B70" s="513">
        <f t="shared" si="23"/>
        <v>58</v>
      </c>
      <c r="C70" s="530" t="str">
        <f>IF(Inventory!E67="","",Inventory!E67)</f>
        <v/>
      </c>
      <c r="D70" s="531">
        <f>IF(Inventory!D67="",0,Inventory!D67)</f>
        <v>0</v>
      </c>
      <c r="E70" s="532" t="str">
        <f>IF(Inventory!I67=0,"",Inventory!I67)</f>
        <v/>
      </c>
      <c r="F70" s="533" t="str">
        <f t="shared" si="24"/>
        <v/>
      </c>
      <c r="G70" s="534" t="str">
        <f>IF(Inventory!G67="","",Inventory!G67)</f>
        <v/>
      </c>
      <c r="H70" s="535" t="str">
        <f t="shared" si="25"/>
        <v/>
      </c>
      <c r="I70" s="536" t="str">
        <f>IF(Inventory!J67="","",Inventory!J67)</f>
        <v/>
      </c>
      <c r="J70" s="537" t="str">
        <f>IFERROR(IF(PRJ_Type="New Construction",IF(Inventory!C67="N",INDEX(xyLPD_BuildingArea,MATCH(Building_Type,Lookups!$F$37:$F$75,0),4),INDEX(xyLPD_SpaceBySpace,MATCH(INDEX(xyNCEx,MATCH(I70,yNCExArea,0),2),ySpace_by_Space_Type,0),2)),VLOOKUP(E70,xyWattage_Table,11,FALSE)),"")</f>
        <v/>
      </c>
      <c r="K70" s="538" t="str">
        <f>IFERROR(IF(AND(NC_Type="Building Area Method",Inventory!C67="N"),IF(ISERROR(INDEX('Usage Groups (&gt;120 MWh only)'!$N$8:$N$12,MATCH(C70,'Usage Groups (&gt;120 MWh only)'!$B$8:$B$12,0),1))=TRUE,SqFt/COUNTIFS(Inventory!$C$10:$C$1009,"N",$Q$13:$Q$1012,"&gt;=0"),INDEX('Usage Groups (&gt;120 MWh only)'!$N$8:$N$12,MATCH(C70,'Usage Groups (&gt;120 MWh only)'!$B$8:$B$12,0),1)/COUNTIF($C$13:$C$1012,C70)),IF(AND(NC_Type="Building Area Method",Inventory!C67="Y"),INDEX(xyNCEx,MATCH(I70,yNCExArea,0),3)/COUNTIF($I$13:$I$1012,I70),VLOOKUP(J70,xyWattage_Table,10,FALSE))),"")</f>
        <v/>
      </c>
      <c r="L70" s="539" t="str">
        <f t="shared" si="26"/>
        <v/>
      </c>
      <c r="M70" s="540">
        <f>IF(Inventory!N67="","",Inventory!N67)</f>
        <v>0</v>
      </c>
      <c r="N70" s="533" t="str">
        <f t="shared" si="27"/>
        <v/>
      </c>
      <c r="O70" s="534"/>
      <c r="P70" s="533" t="str">
        <f t="shared" si="28"/>
        <v/>
      </c>
      <c r="Q70" s="534" t="str">
        <f>IF(Inventory!L67="","",Inventory!L67)</f>
        <v/>
      </c>
      <c r="R70" s="535" t="str">
        <f t="shared" si="29"/>
        <v/>
      </c>
      <c r="S70" s="536" t="str">
        <f>IF(Inventory!O67="","",Inventory!O67)</f>
        <v/>
      </c>
      <c r="T70" s="541" t="str">
        <f>IFERROR(IF(C70="","",IF(INDEX(xyWattage_Table,MATCH(M70,'Fixture Identities'!$B$9:$B$997,0),2)="Exit Sign",8760,IF(VLOOKUP(C70,xySpace_Type_Details,8,FALSE)="TRM",INDEX('General Information'!$AF$17:$AG$28,11,MATCH(N70,'General Information'!$AF$16:$AG$16,0)),HLOOKUP(VLOOKUP(C70,xySpace_Type_Details,8,FALSE),'General Information'!$P$15:$AG$28,13,FALSE)))),"")</f>
        <v/>
      </c>
      <c r="U70" s="542" t="str">
        <f>IFERROR(IF(C70="","",IF(INDEX(xyWattage_Table,MATCH(M70,'Fixture Identities'!$B$9:$B$997,0),2)="Exit Sign",1,IF(VLOOKUP(C70,xySpace_Type_Details,8,FALSE)="TRM",INDEX('General Information'!$AF$17:$AG$28,12,MATCH(N70,'General Information'!$AF$16:$AG$16,0)),HLOOKUP(VLOOKUP(C70,xySpace_Type_Details,8,FALSE),'General Information'!$P$15:$AG$28,14,FALSE)))),"")</f>
        <v/>
      </c>
      <c r="V70" s="542" t="str">
        <f>IFERROR(VLOOKUP(INDEX(xySpace_Type_Details,MATCH($C70,'General Information'!$C$40:$C$60,0),12),Lookups!$L$8:$N$12,2,FALSE),"")</f>
        <v/>
      </c>
      <c r="W70" s="542" t="str">
        <f>IFERROR(VLOOKUP(INDEX(xySpace_Type_Details,MATCH($C70,'General Information'!$C$40:$C$60,0),12),Lookups!$L$8:$N$12,3,FALSE),"")</f>
        <v/>
      </c>
      <c r="X70" s="543"/>
      <c r="Y70" s="542" t="str">
        <f>IFERROR(IF(C70="","",IF(INDEX(xyWattage_Table,MATCH(M70,'Fixture Identities'!$B$9:$B$997,0),2)="Exit Sign",0,IF(PRJ_Type="Retrofit",VLOOKUP(I70,xySVG_Factors,2,FALSE),IF(AND(PRJ_Type="New Construction",Inventory!C67="N"),VLOOKUP(VLOOKUP(Building_Type,xyLPD_BuildingArea,5,FALSE),xySVG_Factors_NC,3,FALSE),0)))),"")</f>
        <v/>
      </c>
      <c r="Z70" s="544" t="str">
        <f>IFERROR(IF(C70="","",IF(INDEX(xyWattage_Table,MATCH(M70,'Fixture Identities'!$B$9:$B$997,0),2)="Exit Sign",0,VLOOKUP(S70,xySVG_Factors,2,FALSE))),"")</f>
        <v/>
      </c>
      <c r="AA70" s="545" t="str">
        <f t="shared" si="30"/>
        <v/>
      </c>
      <c r="AB70" s="542" t="str">
        <f t="shared" si="31"/>
        <v/>
      </c>
      <c r="AC70" s="539" t="str">
        <f t="shared" si="32"/>
        <v/>
      </c>
      <c r="AD70" s="546" t="str">
        <f t="shared" si="33"/>
        <v/>
      </c>
      <c r="AE70" s="539" t="str">
        <f t="shared" si="34"/>
        <v/>
      </c>
      <c r="AF70" s="546" t="str">
        <f t="shared" si="35"/>
        <v/>
      </c>
      <c r="AG70" s="539" t="str">
        <f t="shared" si="36"/>
        <v/>
      </c>
      <c r="AH70" s="32">
        <f t="shared" si="17"/>
        <v>0</v>
      </c>
      <c r="AI70" s="32">
        <f t="shared" si="18"/>
        <v>0</v>
      </c>
      <c r="AJ70" s="32">
        <f t="shared" si="19"/>
        <v>0</v>
      </c>
      <c r="AK70" t="str">
        <f t="shared" si="20"/>
        <v/>
      </c>
      <c r="AL70" t="str">
        <f t="shared" si="21"/>
        <v/>
      </c>
      <c r="AM70" t="str">
        <f t="shared" si="22"/>
        <v/>
      </c>
      <c r="AO70" t="str">
        <f>IFERROR(VLOOKUP(M70,'Fixture Identities'!$B$9:$O$1045,14,FALSE),"")</f>
        <v/>
      </c>
      <c r="AP70" t="str">
        <f t="shared" si="4"/>
        <v/>
      </c>
      <c r="AQ70" s="550" t="s">
        <v>579</v>
      </c>
    </row>
    <row r="71" spans="1:43" ht="15">
      <c r="A71" s="71">
        <f t="shared" si="5"/>
        <v>0</v>
      </c>
      <c r="B71" s="513">
        <f t="shared" si="23"/>
        <v>59</v>
      </c>
      <c r="C71" s="530" t="str">
        <f>IF(Inventory!E68="","",Inventory!E68)</f>
        <v/>
      </c>
      <c r="D71" s="531">
        <f>IF(Inventory!D68="",0,Inventory!D68)</f>
        <v>0</v>
      </c>
      <c r="E71" s="532" t="str">
        <f>IF(Inventory!I68=0,"",Inventory!I68)</f>
        <v/>
      </c>
      <c r="F71" s="533" t="str">
        <f t="shared" si="24"/>
        <v/>
      </c>
      <c r="G71" s="534" t="str">
        <f>IF(Inventory!G68="","",Inventory!G68)</f>
        <v/>
      </c>
      <c r="H71" s="535" t="str">
        <f t="shared" si="25"/>
        <v/>
      </c>
      <c r="I71" s="536" t="str">
        <f>IF(Inventory!J68="","",Inventory!J68)</f>
        <v/>
      </c>
      <c r="J71" s="537" t="str">
        <f>IFERROR(IF(PRJ_Type="New Construction",IF(Inventory!C68="N",INDEX(xyLPD_BuildingArea,MATCH(Building_Type,Lookups!$F$37:$F$75,0),4),INDEX(xyLPD_SpaceBySpace,MATCH(INDEX(xyNCEx,MATCH(I71,yNCExArea,0),2),ySpace_by_Space_Type,0),2)),VLOOKUP(E71,xyWattage_Table,11,FALSE)),"")</f>
        <v/>
      </c>
      <c r="K71" s="538" t="str">
        <f>IFERROR(IF(AND(NC_Type="Building Area Method",Inventory!C68="N"),IF(ISERROR(INDEX('Usage Groups (&gt;120 MWh only)'!$N$8:$N$12,MATCH(C71,'Usage Groups (&gt;120 MWh only)'!$B$8:$B$12,0),1))=TRUE,SqFt/COUNTIFS(Inventory!$C$10:$C$1009,"N",$Q$13:$Q$1012,"&gt;=0"),INDEX('Usage Groups (&gt;120 MWh only)'!$N$8:$N$12,MATCH(C71,'Usage Groups (&gt;120 MWh only)'!$B$8:$B$12,0),1)/COUNTIF($C$13:$C$1012,C71)),IF(AND(NC_Type="Building Area Method",Inventory!C68="Y"),INDEX(xyNCEx,MATCH(I71,yNCExArea,0),3)/COUNTIF($I$13:$I$1012,I71),VLOOKUP(J71,xyWattage_Table,10,FALSE))),"")</f>
        <v/>
      </c>
      <c r="L71" s="539" t="str">
        <f t="shared" si="26"/>
        <v/>
      </c>
      <c r="M71" s="540">
        <f>IF(Inventory!N68="","",Inventory!N68)</f>
        <v>0</v>
      </c>
      <c r="N71" s="533" t="str">
        <f t="shared" si="27"/>
        <v/>
      </c>
      <c r="O71" s="534"/>
      <c r="P71" s="533" t="str">
        <f t="shared" si="28"/>
        <v/>
      </c>
      <c r="Q71" s="534" t="str">
        <f>IF(Inventory!L68="","",Inventory!L68)</f>
        <v/>
      </c>
      <c r="R71" s="535" t="str">
        <f t="shared" si="29"/>
        <v/>
      </c>
      <c r="S71" s="536" t="str">
        <f>IF(Inventory!O68="","",Inventory!O68)</f>
        <v/>
      </c>
      <c r="T71" s="541" t="str">
        <f>IFERROR(IF(C71="","",IF(INDEX(xyWattage_Table,MATCH(M71,'Fixture Identities'!$B$9:$B$997,0),2)="Exit Sign",8760,IF(VLOOKUP(C71,xySpace_Type_Details,8,FALSE)="TRM",INDEX('General Information'!$AF$17:$AG$28,11,MATCH(N71,'General Information'!$AF$16:$AG$16,0)),HLOOKUP(VLOOKUP(C71,xySpace_Type_Details,8,FALSE),'General Information'!$P$15:$AG$28,13,FALSE)))),"")</f>
        <v/>
      </c>
      <c r="U71" s="542" t="str">
        <f>IFERROR(IF(C71="","",IF(INDEX(xyWattage_Table,MATCH(M71,'Fixture Identities'!$B$9:$B$997,0),2)="Exit Sign",1,IF(VLOOKUP(C71,xySpace_Type_Details,8,FALSE)="TRM",INDEX('General Information'!$AF$17:$AG$28,12,MATCH(N71,'General Information'!$AF$16:$AG$16,0)),HLOOKUP(VLOOKUP(C71,xySpace_Type_Details,8,FALSE),'General Information'!$P$15:$AG$28,14,FALSE)))),"")</f>
        <v/>
      </c>
      <c r="V71" s="542" t="str">
        <f>IFERROR(VLOOKUP(INDEX(xySpace_Type_Details,MATCH($C71,'General Information'!$C$40:$C$60,0),12),Lookups!$L$8:$N$12,2,FALSE),"")</f>
        <v/>
      </c>
      <c r="W71" s="542" t="str">
        <f>IFERROR(VLOOKUP(INDEX(xySpace_Type_Details,MATCH($C71,'General Information'!$C$40:$C$60,0),12),Lookups!$L$8:$N$12,3,FALSE),"")</f>
        <v/>
      </c>
      <c r="X71" s="543"/>
      <c r="Y71" s="542" t="str">
        <f>IFERROR(IF(C71="","",IF(INDEX(xyWattage_Table,MATCH(M71,'Fixture Identities'!$B$9:$B$997,0),2)="Exit Sign",0,IF(PRJ_Type="Retrofit",VLOOKUP(I71,xySVG_Factors,2,FALSE),IF(AND(PRJ_Type="New Construction",Inventory!C68="N"),VLOOKUP(VLOOKUP(Building_Type,xyLPD_BuildingArea,5,FALSE),xySVG_Factors_NC,3,FALSE),0)))),"")</f>
        <v/>
      </c>
      <c r="Z71" s="544" t="str">
        <f>IFERROR(IF(C71="","",IF(INDEX(xyWattage_Table,MATCH(M71,'Fixture Identities'!$B$9:$B$997,0),2)="Exit Sign",0,VLOOKUP(S71,xySVG_Factors,2,FALSE))),"")</f>
        <v/>
      </c>
      <c r="AA71" s="545" t="str">
        <f t="shared" si="30"/>
        <v/>
      </c>
      <c r="AB71" s="542" t="str">
        <f t="shared" si="31"/>
        <v/>
      </c>
      <c r="AC71" s="539" t="str">
        <f t="shared" si="32"/>
        <v/>
      </c>
      <c r="AD71" s="546" t="str">
        <f t="shared" si="33"/>
        <v/>
      </c>
      <c r="AE71" s="539" t="str">
        <f t="shared" si="34"/>
        <v/>
      </c>
      <c r="AF71" s="546" t="str">
        <f t="shared" si="35"/>
        <v/>
      </c>
      <c r="AG71" s="539" t="str">
        <f t="shared" si="36"/>
        <v/>
      </c>
      <c r="AH71" s="32">
        <f t="shared" si="17"/>
        <v>0</v>
      </c>
      <c r="AI71" s="32">
        <f t="shared" si="18"/>
        <v>0</v>
      </c>
      <c r="AJ71" s="32">
        <f t="shared" si="19"/>
        <v>0</v>
      </c>
      <c r="AK71" t="str">
        <f t="shared" si="20"/>
        <v/>
      </c>
      <c r="AL71" t="str">
        <f t="shared" si="21"/>
        <v/>
      </c>
      <c r="AM71" t="str">
        <f t="shared" si="22"/>
        <v/>
      </c>
      <c r="AO71" t="str">
        <f>IFERROR(VLOOKUP(M71,'Fixture Identities'!$B$9:$O$1045,14,FALSE),"")</f>
        <v/>
      </c>
      <c r="AP71" t="str">
        <f t="shared" si="4"/>
        <v/>
      </c>
      <c r="AQ71" s="550" t="s">
        <v>580</v>
      </c>
    </row>
    <row r="72" spans="1:43" ht="15">
      <c r="A72" s="71">
        <f t="shared" si="5"/>
        <v>0</v>
      </c>
      <c r="B72" s="513">
        <f t="shared" si="23"/>
        <v>60</v>
      </c>
      <c r="C72" s="530" t="str">
        <f>IF(Inventory!E69="","",Inventory!E69)</f>
        <v/>
      </c>
      <c r="D72" s="531">
        <f>IF(Inventory!D69="",0,Inventory!D69)</f>
        <v>0</v>
      </c>
      <c r="E72" s="532" t="str">
        <f>IF(Inventory!I69=0,"",Inventory!I69)</f>
        <v/>
      </c>
      <c r="F72" s="533" t="str">
        <f t="shared" si="24"/>
        <v/>
      </c>
      <c r="G72" s="534" t="str">
        <f>IF(Inventory!G69="","",Inventory!G69)</f>
        <v/>
      </c>
      <c r="H72" s="535" t="str">
        <f t="shared" si="25"/>
        <v/>
      </c>
      <c r="I72" s="536" t="str">
        <f>IF(Inventory!J69="","",Inventory!J69)</f>
        <v/>
      </c>
      <c r="J72" s="537" t="str">
        <f>IFERROR(IF(PRJ_Type="New Construction",IF(Inventory!C69="N",INDEX(xyLPD_BuildingArea,MATCH(Building_Type,Lookups!$F$37:$F$75,0),4),INDEX(xyLPD_SpaceBySpace,MATCH(INDEX(xyNCEx,MATCH(I72,yNCExArea,0),2),ySpace_by_Space_Type,0),2)),VLOOKUP(E72,xyWattage_Table,11,FALSE)),"")</f>
        <v/>
      </c>
      <c r="K72" s="538" t="str">
        <f>IFERROR(IF(AND(NC_Type="Building Area Method",Inventory!C69="N"),IF(ISERROR(INDEX('Usage Groups (&gt;120 MWh only)'!$N$8:$N$12,MATCH(C72,'Usage Groups (&gt;120 MWh only)'!$B$8:$B$12,0),1))=TRUE,SqFt/COUNTIFS(Inventory!$C$10:$C$1009,"N",$Q$13:$Q$1012,"&gt;=0"),INDEX('Usage Groups (&gt;120 MWh only)'!$N$8:$N$12,MATCH(C72,'Usage Groups (&gt;120 MWh only)'!$B$8:$B$12,0),1)/COUNTIF($C$13:$C$1012,C72)),IF(AND(NC_Type="Building Area Method",Inventory!C69="Y"),INDEX(xyNCEx,MATCH(I72,yNCExArea,0),3)/COUNTIF($I$13:$I$1012,I72),VLOOKUP(J72,xyWattage_Table,10,FALSE))),"")</f>
        <v/>
      </c>
      <c r="L72" s="539" t="str">
        <f t="shared" si="26"/>
        <v/>
      </c>
      <c r="M72" s="540">
        <f>IF(Inventory!N69="","",Inventory!N69)</f>
        <v>0</v>
      </c>
      <c r="N72" s="533" t="str">
        <f t="shared" si="27"/>
        <v/>
      </c>
      <c r="O72" s="534"/>
      <c r="P72" s="533" t="str">
        <f t="shared" si="28"/>
        <v/>
      </c>
      <c r="Q72" s="534" t="str">
        <f>IF(Inventory!L69="","",Inventory!L69)</f>
        <v/>
      </c>
      <c r="R72" s="535" t="str">
        <f t="shared" si="29"/>
        <v/>
      </c>
      <c r="S72" s="536" t="str">
        <f>IF(Inventory!O69="","",Inventory!O69)</f>
        <v/>
      </c>
      <c r="T72" s="541" t="str">
        <f>IFERROR(IF(C72="","",IF(INDEX(xyWattage_Table,MATCH(M72,'Fixture Identities'!$B$9:$B$997,0),2)="Exit Sign",8760,IF(VLOOKUP(C72,xySpace_Type_Details,8,FALSE)="TRM",INDEX('General Information'!$AF$17:$AG$28,11,MATCH(N72,'General Information'!$AF$16:$AG$16,0)),HLOOKUP(VLOOKUP(C72,xySpace_Type_Details,8,FALSE),'General Information'!$P$15:$AG$28,13,FALSE)))),"")</f>
        <v/>
      </c>
      <c r="U72" s="542" t="str">
        <f>IFERROR(IF(C72="","",IF(INDEX(xyWattage_Table,MATCH(M72,'Fixture Identities'!$B$9:$B$997,0),2)="Exit Sign",1,IF(VLOOKUP(C72,xySpace_Type_Details,8,FALSE)="TRM",INDEX('General Information'!$AF$17:$AG$28,12,MATCH(N72,'General Information'!$AF$16:$AG$16,0)),HLOOKUP(VLOOKUP(C72,xySpace_Type_Details,8,FALSE),'General Information'!$P$15:$AG$28,14,FALSE)))),"")</f>
        <v/>
      </c>
      <c r="V72" s="542" t="str">
        <f>IFERROR(VLOOKUP(INDEX(xySpace_Type_Details,MATCH($C72,'General Information'!$C$40:$C$60,0),12),Lookups!$L$8:$N$12,2,FALSE),"")</f>
        <v/>
      </c>
      <c r="W72" s="542" t="str">
        <f>IFERROR(VLOOKUP(INDEX(xySpace_Type_Details,MATCH($C72,'General Information'!$C$40:$C$60,0),12),Lookups!$L$8:$N$12,3,FALSE),"")</f>
        <v/>
      </c>
      <c r="X72" s="543"/>
      <c r="Y72" s="542" t="str">
        <f>IFERROR(IF(C72="","",IF(INDEX(xyWattage_Table,MATCH(M72,'Fixture Identities'!$B$9:$B$997,0),2)="Exit Sign",0,IF(PRJ_Type="Retrofit",VLOOKUP(I72,xySVG_Factors,2,FALSE),IF(AND(PRJ_Type="New Construction",Inventory!C69="N"),VLOOKUP(VLOOKUP(Building_Type,xyLPD_BuildingArea,5,FALSE),xySVG_Factors_NC,3,FALSE),0)))),"")</f>
        <v/>
      </c>
      <c r="Z72" s="544" t="str">
        <f>IFERROR(IF(C72="","",IF(INDEX(xyWattage_Table,MATCH(M72,'Fixture Identities'!$B$9:$B$997,0),2)="Exit Sign",0,VLOOKUP(S72,xySVG_Factors,2,FALSE))),"")</f>
        <v/>
      </c>
      <c r="AA72" s="545" t="str">
        <f t="shared" si="30"/>
        <v/>
      </c>
      <c r="AB72" s="542" t="str">
        <f t="shared" si="31"/>
        <v/>
      </c>
      <c r="AC72" s="539" t="str">
        <f t="shared" si="32"/>
        <v/>
      </c>
      <c r="AD72" s="546" t="str">
        <f t="shared" si="33"/>
        <v/>
      </c>
      <c r="AE72" s="539" t="str">
        <f t="shared" si="34"/>
        <v/>
      </c>
      <c r="AF72" s="546" t="str">
        <f t="shared" si="35"/>
        <v/>
      </c>
      <c r="AG72" s="539" t="str">
        <f t="shared" si="36"/>
        <v/>
      </c>
      <c r="AH72" s="32">
        <f t="shared" si="17"/>
        <v>0</v>
      </c>
      <c r="AI72" s="32">
        <f t="shared" si="18"/>
        <v>0</v>
      </c>
      <c r="AJ72" s="32">
        <f t="shared" si="19"/>
        <v>0</v>
      </c>
      <c r="AK72" t="str">
        <f t="shared" si="20"/>
        <v/>
      </c>
      <c r="AL72" t="str">
        <f t="shared" si="21"/>
        <v/>
      </c>
      <c r="AM72" t="str">
        <f t="shared" si="22"/>
        <v/>
      </c>
      <c r="AO72" t="str">
        <f>IFERROR(VLOOKUP(M72,'Fixture Identities'!$B$9:$O$1045,14,FALSE),"")</f>
        <v/>
      </c>
      <c r="AP72" t="str">
        <f t="shared" si="4"/>
        <v/>
      </c>
      <c r="AQ72" s="550" t="s">
        <v>581</v>
      </c>
    </row>
    <row r="73" spans="1:43" ht="15">
      <c r="A73" s="71">
        <f t="shared" si="5"/>
        <v>0</v>
      </c>
      <c r="B73" s="513">
        <f t="shared" si="23"/>
        <v>61</v>
      </c>
      <c r="C73" s="530" t="str">
        <f>IF(Inventory!E70="","",Inventory!E70)</f>
        <v/>
      </c>
      <c r="D73" s="531">
        <f>IF(Inventory!D70="",0,Inventory!D70)</f>
        <v>0</v>
      </c>
      <c r="E73" s="532" t="str">
        <f>IF(Inventory!I70=0,"",Inventory!I70)</f>
        <v/>
      </c>
      <c r="F73" s="533" t="str">
        <f t="shared" si="24"/>
        <v/>
      </c>
      <c r="G73" s="534" t="str">
        <f>IF(Inventory!G70="","",Inventory!G70)</f>
        <v/>
      </c>
      <c r="H73" s="535" t="str">
        <f t="shared" si="25"/>
        <v/>
      </c>
      <c r="I73" s="536" t="str">
        <f>IF(Inventory!J70="","",Inventory!J70)</f>
        <v/>
      </c>
      <c r="J73" s="537" t="str">
        <f>IFERROR(IF(PRJ_Type="New Construction",IF(Inventory!C70="N",INDEX(xyLPD_BuildingArea,MATCH(Building_Type,Lookups!$F$37:$F$75,0),4),INDEX(xyLPD_SpaceBySpace,MATCH(INDEX(xyNCEx,MATCH(I73,yNCExArea,0),2),ySpace_by_Space_Type,0),2)),VLOOKUP(E73,xyWattage_Table,11,FALSE)),"")</f>
        <v/>
      </c>
      <c r="K73" s="538" t="str">
        <f>IFERROR(IF(AND(NC_Type="Building Area Method",Inventory!C70="N"),IF(ISERROR(INDEX('Usage Groups (&gt;120 MWh only)'!$N$8:$N$12,MATCH(C73,'Usage Groups (&gt;120 MWh only)'!$B$8:$B$12,0),1))=TRUE,SqFt/COUNTIFS(Inventory!$C$10:$C$1009,"N",$Q$13:$Q$1012,"&gt;=0"),INDEX('Usage Groups (&gt;120 MWh only)'!$N$8:$N$12,MATCH(C73,'Usage Groups (&gt;120 MWh only)'!$B$8:$B$12,0),1)/COUNTIF($C$13:$C$1012,C73)),IF(AND(NC_Type="Building Area Method",Inventory!C70="Y"),INDEX(xyNCEx,MATCH(I73,yNCExArea,0),3)/COUNTIF($I$13:$I$1012,I73),VLOOKUP(J73,xyWattage_Table,10,FALSE))),"")</f>
        <v/>
      </c>
      <c r="L73" s="539" t="str">
        <f t="shared" si="26"/>
        <v/>
      </c>
      <c r="M73" s="540">
        <f>IF(Inventory!N70="","",Inventory!N70)</f>
        <v>0</v>
      </c>
      <c r="N73" s="533" t="str">
        <f t="shared" si="27"/>
        <v/>
      </c>
      <c r="O73" s="534"/>
      <c r="P73" s="533" t="str">
        <f t="shared" si="28"/>
        <v/>
      </c>
      <c r="Q73" s="534" t="str">
        <f>IF(Inventory!L70="","",Inventory!L70)</f>
        <v/>
      </c>
      <c r="R73" s="535" t="str">
        <f t="shared" si="29"/>
        <v/>
      </c>
      <c r="S73" s="536" t="str">
        <f>IF(Inventory!O70="","",Inventory!O70)</f>
        <v/>
      </c>
      <c r="T73" s="541" t="str">
        <f>IFERROR(IF(C73="","",IF(INDEX(xyWattage_Table,MATCH(M73,'Fixture Identities'!$B$9:$B$997,0),2)="Exit Sign",8760,IF(VLOOKUP(C73,xySpace_Type_Details,8,FALSE)="TRM",INDEX('General Information'!$AF$17:$AG$28,11,MATCH(N73,'General Information'!$AF$16:$AG$16,0)),HLOOKUP(VLOOKUP(C73,xySpace_Type_Details,8,FALSE),'General Information'!$P$15:$AG$28,13,FALSE)))),"")</f>
        <v/>
      </c>
      <c r="U73" s="542" t="str">
        <f>IFERROR(IF(C73="","",IF(INDEX(xyWattage_Table,MATCH(M73,'Fixture Identities'!$B$9:$B$997,0),2)="Exit Sign",1,IF(VLOOKUP(C73,xySpace_Type_Details,8,FALSE)="TRM",INDEX('General Information'!$AF$17:$AG$28,12,MATCH(N73,'General Information'!$AF$16:$AG$16,0)),HLOOKUP(VLOOKUP(C73,xySpace_Type_Details,8,FALSE),'General Information'!$P$15:$AG$28,14,FALSE)))),"")</f>
        <v/>
      </c>
      <c r="V73" s="542" t="str">
        <f>IFERROR(VLOOKUP(INDEX(xySpace_Type_Details,MATCH($C73,'General Information'!$C$40:$C$60,0),12),Lookups!$L$8:$N$12,2,FALSE),"")</f>
        <v/>
      </c>
      <c r="W73" s="542" t="str">
        <f>IFERROR(VLOOKUP(INDEX(xySpace_Type_Details,MATCH($C73,'General Information'!$C$40:$C$60,0),12),Lookups!$L$8:$N$12,3,FALSE),"")</f>
        <v/>
      </c>
      <c r="X73" s="543"/>
      <c r="Y73" s="542" t="str">
        <f>IFERROR(IF(C73="","",IF(INDEX(xyWattage_Table,MATCH(M73,'Fixture Identities'!$B$9:$B$997,0),2)="Exit Sign",0,IF(PRJ_Type="Retrofit",VLOOKUP(I73,xySVG_Factors,2,FALSE),IF(AND(PRJ_Type="New Construction",Inventory!C70="N"),VLOOKUP(VLOOKUP(Building_Type,xyLPD_BuildingArea,5,FALSE),xySVG_Factors_NC,3,FALSE),0)))),"")</f>
        <v/>
      </c>
      <c r="Z73" s="544" t="str">
        <f>IFERROR(IF(C73="","",IF(INDEX(xyWattage_Table,MATCH(M73,'Fixture Identities'!$B$9:$B$997,0),2)="Exit Sign",0,VLOOKUP(S73,xySVG_Factors,2,FALSE))),"")</f>
        <v/>
      </c>
      <c r="AA73" s="545" t="str">
        <f t="shared" si="30"/>
        <v/>
      </c>
      <c r="AB73" s="542" t="str">
        <f t="shared" si="31"/>
        <v/>
      </c>
      <c r="AC73" s="539" t="str">
        <f t="shared" si="32"/>
        <v/>
      </c>
      <c r="AD73" s="546" t="str">
        <f t="shared" si="33"/>
        <v/>
      </c>
      <c r="AE73" s="539" t="str">
        <f t="shared" si="34"/>
        <v/>
      </c>
      <c r="AF73" s="546" t="str">
        <f t="shared" si="35"/>
        <v/>
      </c>
      <c r="AG73" s="539" t="str">
        <f t="shared" si="36"/>
        <v/>
      </c>
      <c r="AH73" s="32">
        <f t="shared" si="17"/>
        <v>0</v>
      </c>
      <c r="AI73" s="32">
        <f t="shared" si="18"/>
        <v>0</v>
      </c>
      <c r="AJ73" s="32">
        <f t="shared" si="19"/>
        <v>0</v>
      </c>
      <c r="AK73" t="str">
        <f t="shared" si="20"/>
        <v/>
      </c>
      <c r="AL73" t="str">
        <f t="shared" si="21"/>
        <v/>
      </c>
      <c r="AM73" t="str">
        <f t="shared" si="22"/>
        <v/>
      </c>
      <c r="AO73" t="str">
        <f>IFERROR(VLOOKUP(M73,'Fixture Identities'!$B$9:$O$1045,14,FALSE),"")</f>
        <v/>
      </c>
      <c r="AP73" t="str">
        <f t="shared" si="4"/>
        <v/>
      </c>
      <c r="AQ73" s="548" t="s">
        <v>582</v>
      </c>
    </row>
    <row r="74" spans="1:43" ht="15">
      <c r="A74" s="71">
        <f t="shared" si="5"/>
        <v>0</v>
      </c>
      <c r="B74" s="513">
        <f t="shared" si="23"/>
        <v>62</v>
      </c>
      <c r="C74" s="530" t="str">
        <f>IF(Inventory!E71="","",Inventory!E71)</f>
        <v/>
      </c>
      <c r="D74" s="531">
        <f>IF(Inventory!D71="",0,Inventory!D71)</f>
        <v>0</v>
      </c>
      <c r="E74" s="532" t="str">
        <f>IF(Inventory!I71=0,"",Inventory!I71)</f>
        <v/>
      </c>
      <c r="F74" s="533" t="str">
        <f t="shared" si="24"/>
        <v/>
      </c>
      <c r="G74" s="534" t="str">
        <f>IF(Inventory!G71="","",Inventory!G71)</f>
        <v/>
      </c>
      <c r="H74" s="535" t="str">
        <f t="shared" si="25"/>
        <v/>
      </c>
      <c r="I74" s="536" t="str">
        <f>IF(Inventory!J71="","",Inventory!J71)</f>
        <v/>
      </c>
      <c r="J74" s="537" t="str">
        <f>IFERROR(IF(PRJ_Type="New Construction",IF(Inventory!C71="N",INDEX(xyLPD_BuildingArea,MATCH(Building_Type,Lookups!$F$37:$F$75,0),4),INDEX(xyLPD_SpaceBySpace,MATCH(INDEX(xyNCEx,MATCH(I74,yNCExArea,0),2),ySpace_by_Space_Type,0),2)),VLOOKUP(E74,xyWattage_Table,11,FALSE)),"")</f>
        <v/>
      </c>
      <c r="K74" s="538" t="str">
        <f>IFERROR(IF(AND(NC_Type="Building Area Method",Inventory!C71="N"),IF(ISERROR(INDEX('Usage Groups (&gt;120 MWh only)'!$N$8:$N$12,MATCH(C74,'Usage Groups (&gt;120 MWh only)'!$B$8:$B$12,0),1))=TRUE,SqFt/COUNTIFS(Inventory!$C$10:$C$1009,"N",$Q$13:$Q$1012,"&gt;=0"),INDEX('Usage Groups (&gt;120 MWh only)'!$N$8:$N$12,MATCH(C74,'Usage Groups (&gt;120 MWh only)'!$B$8:$B$12,0),1)/COUNTIF($C$13:$C$1012,C74)),IF(AND(NC_Type="Building Area Method",Inventory!C71="Y"),INDEX(xyNCEx,MATCH(I74,yNCExArea,0),3)/COUNTIF($I$13:$I$1012,I74),VLOOKUP(J74,xyWattage_Table,10,FALSE))),"")</f>
        <v/>
      </c>
      <c r="L74" s="539" t="str">
        <f t="shared" si="26"/>
        <v/>
      </c>
      <c r="M74" s="540">
        <f>IF(Inventory!N71="","",Inventory!N71)</f>
        <v>0</v>
      </c>
      <c r="N74" s="533" t="str">
        <f t="shared" si="27"/>
        <v/>
      </c>
      <c r="O74" s="534"/>
      <c r="P74" s="533" t="str">
        <f t="shared" si="28"/>
        <v/>
      </c>
      <c r="Q74" s="534" t="str">
        <f>IF(Inventory!L71="","",Inventory!L71)</f>
        <v/>
      </c>
      <c r="R74" s="535" t="str">
        <f t="shared" si="29"/>
        <v/>
      </c>
      <c r="S74" s="536" t="str">
        <f>IF(Inventory!O71="","",Inventory!O71)</f>
        <v/>
      </c>
      <c r="T74" s="541" t="str">
        <f>IFERROR(IF(C74="","",IF(INDEX(xyWattage_Table,MATCH(M74,'Fixture Identities'!$B$9:$B$997,0),2)="Exit Sign",8760,IF(VLOOKUP(C74,xySpace_Type_Details,8,FALSE)="TRM",INDEX('General Information'!$AF$17:$AG$28,11,MATCH(N74,'General Information'!$AF$16:$AG$16,0)),HLOOKUP(VLOOKUP(C74,xySpace_Type_Details,8,FALSE),'General Information'!$P$15:$AG$28,13,FALSE)))),"")</f>
        <v/>
      </c>
      <c r="U74" s="542" t="str">
        <f>IFERROR(IF(C74="","",IF(INDEX(xyWattage_Table,MATCH(M74,'Fixture Identities'!$B$9:$B$997,0),2)="Exit Sign",1,IF(VLOOKUP(C74,xySpace_Type_Details,8,FALSE)="TRM",INDEX('General Information'!$AF$17:$AG$28,12,MATCH(N74,'General Information'!$AF$16:$AG$16,0)),HLOOKUP(VLOOKUP(C74,xySpace_Type_Details,8,FALSE),'General Information'!$P$15:$AG$28,14,FALSE)))),"")</f>
        <v/>
      </c>
      <c r="V74" s="542" t="str">
        <f>IFERROR(VLOOKUP(INDEX(xySpace_Type_Details,MATCH($C74,'General Information'!$C$40:$C$60,0),12),Lookups!$L$8:$N$12,2,FALSE),"")</f>
        <v/>
      </c>
      <c r="W74" s="542" t="str">
        <f>IFERROR(VLOOKUP(INDEX(xySpace_Type_Details,MATCH($C74,'General Information'!$C$40:$C$60,0),12),Lookups!$L$8:$N$12,3,FALSE),"")</f>
        <v/>
      </c>
      <c r="X74" s="543"/>
      <c r="Y74" s="542" t="str">
        <f>IFERROR(IF(C74="","",IF(INDEX(xyWattage_Table,MATCH(M74,'Fixture Identities'!$B$9:$B$997,0),2)="Exit Sign",0,IF(PRJ_Type="Retrofit",VLOOKUP(I74,xySVG_Factors,2,FALSE),IF(AND(PRJ_Type="New Construction",Inventory!C71="N"),VLOOKUP(VLOOKUP(Building_Type,xyLPD_BuildingArea,5,FALSE),xySVG_Factors_NC,3,FALSE),0)))),"")</f>
        <v/>
      </c>
      <c r="Z74" s="544" t="str">
        <f>IFERROR(IF(C74="","",IF(INDEX(xyWattage_Table,MATCH(M74,'Fixture Identities'!$B$9:$B$997,0),2)="Exit Sign",0,VLOOKUP(S74,xySVG_Factors,2,FALSE))),"")</f>
        <v/>
      </c>
      <c r="AA74" s="545" t="str">
        <f t="shared" si="30"/>
        <v/>
      </c>
      <c r="AB74" s="542" t="str">
        <f t="shared" si="31"/>
        <v/>
      </c>
      <c r="AC74" s="539" t="str">
        <f t="shared" si="32"/>
        <v/>
      </c>
      <c r="AD74" s="546" t="str">
        <f t="shared" si="33"/>
        <v/>
      </c>
      <c r="AE74" s="539" t="str">
        <f t="shared" si="34"/>
        <v/>
      </c>
      <c r="AF74" s="546" t="str">
        <f t="shared" si="35"/>
        <v/>
      </c>
      <c r="AG74" s="539" t="str">
        <f t="shared" si="36"/>
        <v/>
      </c>
      <c r="AH74" s="32">
        <f t="shared" si="17"/>
        <v>0</v>
      </c>
      <c r="AI74" s="32">
        <f t="shared" si="18"/>
        <v>0</v>
      </c>
      <c r="AJ74" s="32">
        <f t="shared" si="19"/>
        <v>0</v>
      </c>
      <c r="AK74" t="str">
        <f t="shared" si="20"/>
        <v/>
      </c>
      <c r="AL74" t="str">
        <f t="shared" si="21"/>
        <v/>
      </c>
      <c r="AM74" t="str">
        <f t="shared" si="22"/>
        <v/>
      </c>
      <c r="AO74" t="str">
        <f>IFERROR(VLOOKUP(M74,'Fixture Identities'!$B$9:$O$1045,14,FALSE),"")</f>
        <v/>
      </c>
      <c r="AP74" t="str">
        <f t="shared" si="4"/>
        <v/>
      </c>
      <c r="AQ74" s="548" t="s">
        <v>583</v>
      </c>
    </row>
    <row r="75" spans="1:43" ht="15">
      <c r="A75" s="71">
        <f t="shared" si="5"/>
        <v>0</v>
      </c>
      <c r="B75" s="513">
        <f t="shared" si="23"/>
        <v>63</v>
      </c>
      <c r="C75" s="530" t="str">
        <f>IF(Inventory!E72="","",Inventory!E72)</f>
        <v/>
      </c>
      <c r="D75" s="531">
        <f>IF(Inventory!D72="",0,Inventory!D72)</f>
        <v>0</v>
      </c>
      <c r="E75" s="532" t="str">
        <f>IF(Inventory!I72=0,"",Inventory!I72)</f>
        <v/>
      </c>
      <c r="F75" s="533" t="str">
        <f t="shared" si="24"/>
        <v/>
      </c>
      <c r="G75" s="534" t="str">
        <f>IF(Inventory!G72="","",Inventory!G72)</f>
        <v/>
      </c>
      <c r="H75" s="535" t="str">
        <f t="shared" si="25"/>
        <v/>
      </c>
      <c r="I75" s="536" t="str">
        <f>IF(Inventory!J72="","",Inventory!J72)</f>
        <v/>
      </c>
      <c r="J75" s="537" t="str">
        <f>IFERROR(IF(PRJ_Type="New Construction",IF(Inventory!C72="N",INDEX(xyLPD_BuildingArea,MATCH(Building_Type,Lookups!$F$37:$F$75,0),4),INDEX(xyLPD_SpaceBySpace,MATCH(INDEX(xyNCEx,MATCH(I75,yNCExArea,0),2),ySpace_by_Space_Type,0),2)),VLOOKUP(E75,xyWattage_Table,11,FALSE)),"")</f>
        <v/>
      </c>
      <c r="K75" s="538" t="str">
        <f>IFERROR(IF(AND(NC_Type="Building Area Method",Inventory!C72="N"),IF(ISERROR(INDEX('Usage Groups (&gt;120 MWh only)'!$N$8:$N$12,MATCH(C75,'Usage Groups (&gt;120 MWh only)'!$B$8:$B$12,0),1))=TRUE,SqFt/COUNTIFS(Inventory!$C$10:$C$1009,"N",$Q$13:$Q$1012,"&gt;=0"),INDEX('Usage Groups (&gt;120 MWh only)'!$N$8:$N$12,MATCH(C75,'Usage Groups (&gt;120 MWh only)'!$B$8:$B$12,0),1)/COUNTIF($C$13:$C$1012,C75)),IF(AND(NC_Type="Building Area Method",Inventory!C72="Y"),INDEX(xyNCEx,MATCH(I75,yNCExArea,0),3)/COUNTIF($I$13:$I$1012,I75),VLOOKUP(J75,xyWattage_Table,10,FALSE))),"")</f>
        <v/>
      </c>
      <c r="L75" s="539" t="str">
        <f t="shared" si="26"/>
        <v/>
      </c>
      <c r="M75" s="540">
        <f>IF(Inventory!N72="","",Inventory!N72)</f>
        <v>0</v>
      </c>
      <c r="N75" s="533" t="str">
        <f t="shared" si="27"/>
        <v/>
      </c>
      <c r="O75" s="534"/>
      <c r="P75" s="533" t="str">
        <f t="shared" si="28"/>
        <v/>
      </c>
      <c r="Q75" s="534" t="str">
        <f>IF(Inventory!L72="","",Inventory!L72)</f>
        <v/>
      </c>
      <c r="R75" s="535" t="str">
        <f t="shared" si="29"/>
        <v/>
      </c>
      <c r="S75" s="536" t="str">
        <f>IF(Inventory!O72="","",Inventory!O72)</f>
        <v/>
      </c>
      <c r="T75" s="541" t="str">
        <f>IFERROR(IF(C75="","",IF(INDEX(xyWattage_Table,MATCH(M75,'Fixture Identities'!$B$9:$B$997,0),2)="Exit Sign",8760,IF(VLOOKUP(C75,xySpace_Type_Details,8,FALSE)="TRM",INDEX('General Information'!$AF$17:$AG$28,11,MATCH(N75,'General Information'!$AF$16:$AG$16,0)),HLOOKUP(VLOOKUP(C75,xySpace_Type_Details,8,FALSE),'General Information'!$P$15:$AG$28,13,FALSE)))),"")</f>
        <v/>
      </c>
      <c r="U75" s="542" t="str">
        <f>IFERROR(IF(C75="","",IF(INDEX(xyWattage_Table,MATCH(M75,'Fixture Identities'!$B$9:$B$997,0),2)="Exit Sign",1,IF(VLOOKUP(C75,xySpace_Type_Details,8,FALSE)="TRM",INDEX('General Information'!$AF$17:$AG$28,12,MATCH(N75,'General Information'!$AF$16:$AG$16,0)),HLOOKUP(VLOOKUP(C75,xySpace_Type_Details,8,FALSE),'General Information'!$P$15:$AG$28,14,FALSE)))),"")</f>
        <v/>
      </c>
      <c r="V75" s="542" t="str">
        <f>IFERROR(VLOOKUP(INDEX(xySpace_Type_Details,MATCH($C75,'General Information'!$C$40:$C$60,0),12),Lookups!$L$8:$N$12,2,FALSE),"")</f>
        <v/>
      </c>
      <c r="W75" s="542" t="str">
        <f>IFERROR(VLOOKUP(INDEX(xySpace_Type_Details,MATCH($C75,'General Information'!$C$40:$C$60,0),12),Lookups!$L$8:$N$12,3,FALSE),"")</f>
        <v/>
      </c>
      <c r="X75" s="543"/>
      <c r="Y75" s="542" t="str">
        <f>IFERROR(IF(C75="","",IF(INDEX(xyWattage_Table,MATCH(M75,'Fixture Identities'!$B$9:$B$997,0),2)="Exit Sign",0,IF(PRJ_Type="Retrofit",VLOOKUP(I75,xySVG_Factors,2,FALSE),IF(AND(PRJ_Type="New Construction",Inventory!C72="N"),VLOOKUP(VLOOKUP(Building_Type,xyLPD_BuildingArea,5,FALSE),xySVG_Factors_NC,3,FALSE),0)))),"")</f>
        <v/>
      </c>
      <c r="Z75" s="544" t="str">
        <f>IFERROR(IF(C75="","",IF(INDEX(xyWattage_Table,MATCH(M75,'Fixture Identities'!$B$9:$B$997,0),2)="Exit Sign",0,VLOOKUP(S75,xySVG_Factors,2,FALSE))),"")</f>
        <v/>
      </c>
      <c r="AA75" s="545" t="str">
        <f t="shared" si="30"/>
        <v/>
      </c>
      <c r="AB75" s="542" t="str">
        <f t="shared" si="31"/>
        <v/>
      </c>
      <c r="AC75" s="539" t="str">
        <f t="shared" si="32"/>
        <v/>
      </c>
      <c r="AD75" s="546" t="str">
        <f t="shared" si="33"/>
        <v/>
      </c>
      <c r="AE75" s="539" t="str">
        <f t="shared" si="34"/>
        <v/>
      </c>
      <c r="AF75" s="546" t="str">
        <f t="shared" si="35"/>
        <v/>
      </c>
      <c r="AG75" s="539" t="str">
        <f t="shared" si="36"/>
        <v/>
      </c>
      <c r="AH75" s="32">
        <f t="shared" si="17"/>
        <v>0</v>
      </c>
      <c r="AI75" s="32">
        <f t="shared" si="18"/>
        <v>0</v>
      </c>
      <c r="AJ75" s="32">
        <f t="shared" si="19"/>
        <v>0</v>
      </c>
      <c r="AK75" t="str">
        <f t="shared" si="20"/>
        <v/>
      </c>
      <c r="AL75" t="str">
        <f t="shared" si="21"/>
        <v/>
      </c>
      <c r="AM75" t="str">
        <f t="shared" si="22"/>
        <v/>
      </c>
      <c r="AO75" t="str">
        <f>IFERROR(VLOOKUP(M75,'Fixture Identities'!$B$9:$O$1045,14,FALSE),"")</f>
        <v/>
      </c>
      <c r="AP75" t="str">
        <f t="shared" si="4"/>
        <v/>
      </c>
      <c r="AQ75" s="512" t="s">
        <v>584</v>
      </c>
    </row>
    <row r="76" spans="1:43" ht="15">
      <c r="A76" s="71">
        <f t="shared" si="5"/>
        <v>0</v>
      </c>
      <c r="B76" s="513">
        <f t="shared" si="23"/>
        <v>64</v>
      </c>
      <c r="C76" s="530" t="str">
        <f>IF(Inventory!E73="","",Inventory!E73)</f>
        <v/>
      </c>
      <c r="D76" s="531">
        <f>IF(Inventory!D73="",0,Inventory!D73)</f>
        <v>0</v>
      </c>
      <c r="E76" s="532" t="str">
        <f>IF(Inventory!I73=0,"",Inventory!I73)</f>
        <v/>
      </c>
      <c r="F76" s="533" t="str">
        <f t="shared" si="24"/>
        <v/>
      </c>
      <c r="G76" s="534" t="str">
        <f>IF(Inventory!G73="","",Inventory!G73)</f>
        <v/>
      </c>
      <c r="H76" s="535" t="str">
        <f t="shared" si="25"/>
        <v/>
      </c>
      <c r="I76" s="536" t="str">
        <f>IF(Inventory!J73="","",Inventory!J73)</f>
        <v/>
      </c>
      <c r="J76" s="537" t="str">
        <f>IFERROR(IF(PRJ_Type="New Construction",IF(Inventory!C73="N",INDEX(xyLPD_BuildingArea,MATCH(Building_Type,Lookups!$F$37:$F$75,0),4),INDEX(xyLPD_SpaceBySpace,MATCH(INDEX(xyNCEx,MATCH(I76,yNCExArea,0),2),ySpace_by_Space_Type,0),2)),VLOOKUP(E76,xyWattage_Table,11,FALSE)),"")</f>
        <v/>
      </c>
      <c r="K76" s="538" t="str">
        <f>IFERROR(IF(AND(NC_Type="Building Area Method",Inventory!C73="N"),IF(ISERROR(INDEX('Usage Groups (&gt;120 MWh only)'!$N$8:$N$12,MATCH(C76,'Usage Groups (&gt;120 MWh only)'!$B$8:$B$12,0),1))=TRUE,SqFt/COUNTIFS(Inventory!$C$10:$C$1009,"N",$Q$13:$Q$1012,"&gt;=0"),INDEX('Usage Groups (&gt;120 MWh only)'!$N$8:$N$12,MATCH(C76,'Usage Groups (&gt;120 MWh only)'!$B$8:$B$12,0),1)/COUNTIF($C$13:$C$1012,C76)),IF(AND(NC_Type="Building Area Method",Inventory!C73="Y"),INDEX(xyNCEx,MATCH(I76,yNCExArea,0),3)/COUNTIF($I$13:$I$1012,I76),VLOOKUP(J76,xyWattage_Table,10,FALSE))),"")</f>
        <v/>
      </c>
      <c r="L76" s="539" t="str">
        <f t="shared" si="26"/>
        <v/>
      </c>
      <c r="M76" s="540">
        <f>IF(Inventory!N73="","",Inventory!N73)</f>
        <v>0</v>
      </c>
      <c r="N76" s="533" t="str">
        <f t="shared" si="27"/>
        <v/>
      </c>
      <c r="O76" s="534"/>
      <c r="P76" s="533" t="str">
        <f t="shared" si="28"/>
        <v/>
      </c>
      <c r="Q76" s="534" t="str">
        <f>IF(Inventory!L73="","",Inventory!L73)</f>
        <v/>
      </c>
      <c r="R76" s="535" t="str">
        <f t="shared" si="29"/>
        <v/>
      </c>
      <c r="S76" s="536" t="str">
        <f>IF(Inventory!O73="","",Inventory!O73)</f>
        <v/>
      </c>
      <c r="T76" s="541" t="str">
        <f>IFERROR(IF(C76="","",IF(INDEX(xyWattage_Table,MATCH(M76,'Fixture Identities'!$B$9:$B$997,0),2)="Exit Sign",8760,IF(VLOOKUP(C76,xySpace_Type_Details,8,FALSE)="TRM",INDEX('General Information'!$AF$17:$AG$28,11,MATCH(N76,'General Information'!$AF$16:$AG$16,0)),HLOOKUP(VLOOKUP(C76,xySpace_Type_Details,8,FALSE),'General Information'!$P$15:$AG$28,13,FALSE)))),"")</f>
        <v/>
      </c>
      <c r="U76" s="542" t="str">
        <f>IFERROR(IF(C76="","",IF(INDEX(xyWattage_Table,MATCH(M76,'Fixture Identities'!$B$9:$B$997,0),2)="Exit Sign",1,IF(VLOOKUP(C76,xySpace_Type_Details,8,FALSE)="TRM",INDEX('General Information'!$AF$17:$AG$28,12,MATCH(N76,'General Information'!$AF$16:$AG$16,0)),HLOOKUP(VLOOKUP(C76,xySpace_Type_Details,8,FALSE),'General Information'!$P$15:$AG$28,14,FALSE)))),"")</f>
        <v/>
      </c>
      <c r="V76" s="542" t="str">
        <f>IFERROR(VLOOKUP(INDEX(xySpace_Type_Details,MATCH($C76,'General Information'!$C$40:$C$60,0),12),Lookups!$L$8:$N$12,2,FALSE),"")</f>
        <v/>
      </c>
      <c r="W76" s="542" t="str">
        <f>IFERROR(VLOOKUP(INDEX(xySpace_Type_Details,MATCH($C76,'General Information'!$C$40:$C$60,0),12),Lookups!$L$8:$N$12,3,FALSE),"")</f>
        <v/>
      </c>
      <c r="X76" s="543"/>
      <c r="Y76" s="542" t="str">
        <f>IFERROR(IF(C76="","",IF(INDEX(xyWattage_Table,MATCH(M76,'Fixture Identities'!$B$9:$B$997,0),2)="Exit Sign",0,IF(PRJ_Type="Retrofit",VLOOKUP(I76,xySVG_Factors,2,FALSE),IF(AND(PRJ_Type="New Construction",Inventory!C73="N"),VLOOKUP(VLOOKUP(Building_Type,xyLPD_BuildingArea,5,FALSE),xySVG_Factors_NC,3,FALSE),0)))),"")</f>
        <v/>
      </c>
      <c r="Z76" s="544" t="str">
        <f>IFERROR(IF(C76="","",IF(INDEX(xyWattage_Table,MATCH(M76,'Fixture Identities'!$B$9:$B$997,0),2)="Exit Sign",0,VLOOKUP(S76,xySVG_Factors,2,FALSE))),"")</f>
        <v/>
      </c>
      <c r="AA76" s="545" t="str">
        <f t="shared" si="30"/>
        <v/>
      </c>
      <c r="AB76" s="542" t="str">
        <f t="shared" si="31"/>
        <v/>
      </c>
      <c r="AC76" s="539" t="str">
        <f t="shared" si="32"/>
        <v/>
      </c>
      <c r="AD76" s="546" t="str">
        <f t="shared" si="33"/>
        <v/>
      </c>
      <c r="AE76" s="539" t="str">
        <f t="shared" si="34"/>
        <v/>
      </c>
      <c r="AF76" s="546" t="str">
        <f t="shared" si="35"/>
        <v/>
      </c>
      <c r="AG76" s="539" t="str">
        <f t="shared" si="36"/>
        <v/>
      </c>
      <c r="AH76" s="32">
        <f t="shared" si="17"/>
        <v>0</v>
      </c>
      <c r="AI76" s="32">
        <f t="shared" si="18"/>
        <v>0</v>
      </c>
      <c r="AJ76" s="32">
        <f t="shared" si="19"/>
        <v>0</v>
      </c>
      <c r="AK76" t="str">
        <f t="shared" si="20"/>
        <v/>
      </c>
      <c r="AL76" t="str">
        <f t="shared" si="21"/>
        <v/>
      </c>
      <c r="AM76" t="str">
        <f t="shared" si="22"/>
        <v/>
      </c>
      <c r="AO76" t="str">
        <f>IFERROR(VLOOKUP(M76,'Fixture Identities'!$B$9:$O$1045,14,FALSE),"")</f>
        <v/>
      </c>
      <c r="AP76" t="str">
        <f t="shared" si="4"/>
        <v/>
      </c>
      <c r="AQ76" s="512" t="s">
        <v>585</v>
      </c>
    </row>
    <row r="77" spans="1:43">
      <c r="A77" s="71">
        <f t="shared" si="5"/>
        <v>0</v>
      </c>
      <c r="B77" s="513">
        <f t="shared" si="23"/>
        <v>65</v>
      </c>
      <c r="C77" s="530" t="str">
        <f>IF(Inventory!E74="","",Inventory!E74)</f>
        <v/>
      </c>
      <c r="D77" s="531">
        <f>IF(Inventory!D74="",0,Inventory!D74)</f>
        <v>0</v>
      </c>
      <c r="E77" s="532" t="str">
        <f>IF(Inventory!I74=0,"",Inventory!I74)</f>
        <v/>
      </c>
      <c r="F77" s="533" t="str">
        <f t="shared" si="24"/>
        <v/>
      </c>
      <c r="G77" s="534" t="str">
        <f>IF(Inventory!G74="","",Inventory!G74)</f>
        <v/>
      </c>
      <c r="H77" s="535" t="str">
        <f t="shared" si="25"/>
        <v/>
      </c>
      <c r="I77" s="536" t="str">
        <f>IF(Inventory!J74="","",Inventory!J74)</f>
        <v/>
      </c>
      <c r="J77" s="537" t="str">
        <f>IFERROR(IF(PRJ_Type="New Construction",IF(Inventory!C74="N",INDEX(xyLPD_BuildingArea,MATCH(Building_Type,Lookups!$F$37:$F$75,0),4),INDEX(xyLPD_SpaceBySpace,MATCH(INDEX(xyNCEx,MATCH(I77,yNCExArea,0),2),ySpace_by_Space_Type,0),2)),VLOOKUP(E77,xyWattage_Table,11,FALSE)),"")</f>
        <v/>
      </c>
      <c r="K77" s="538" t="str">
        <f>IFERROR(IF(AND(NC_Type="Building Area Method",Inventory!C74="N"),IF(ISERROR(INDEX('Usage Groups (&gt;120 MWh only)'!$N$8:$N$12,MATCH(C77,'Usage Groups (&gt;120 MWh only)'!$B$8:$B$12,0),1))=TRUE,SqFt/COUNTIFS(Inventory!$C$10:$C$1009,"N",$Q$13:$Q$1012,"&gt;=0"),INDEX('Usage Groups (&gt;120 MWh only)'!$N$8:$N$12,MATCH(C77,'Usage Groups (&gt;120 MWh only)'!$B$8:$B$12,0),1)/COUNTIF($C$13:$C$1012,C77)),IF(AND(NC_Type="Building Area Method",Inventory!C74="Y"),INDEX(xyNCEx,MATCH(I77,yNCExArea,0),3)/COUNTIF($I$13:$I$1012,I77),VLOOKUP(J77,xyWattage_Table,10,FALSE))),"")</f>
        <v/>
      </c>
      <c r="L77" s="539" t="str">
        <f t="shared" si="26"/>
        <v/>
      </c>
      <c r="M77" s="540">
        <f>IF(Inventory!N74="","",Inventory!N74)</f>
        <v>0</v>
      </c>
      <c r="N77" s="533" t="str">
        <f t="shared" si="27"/>
        <v/>
      </c>
      <c r="O77" s="534"/>
      <c r="P77" s="533" t="str">
        <f t="shared" si="28"/>
        <v/>
      </c>
      <c r="Q77" s="534" t="str">
        <f>IF(Inventory!L74="","",Inventory!L74)</f>
        <v/>
      </c>
      <c r="R77" s="535" t="str">
        <f t="shared" si="29"/>
        <v/>
      </c>
      <c r="S77" s="536" t="str">
        <f>IF(Inventory!O74="","",Inventory!O74)</f>
        <v/>
      </c>
      <c r="T77" s="541" t="str">
        <f>IFERROR(IF(C77="","",IF(INDEX(xyWattage_Table,MATCH(M77,'Fixture Identities'!$B$9:$B$997,0),2)="Exit Sign",8760,IF(VLOOKUP(C77,xySpace_Type_Details,8,FALSE)="TRM",INDEX('General Information'!$AF$17:$AG$28,11,MATCH(N77,'General Information'!$AF$16:$AG$16,0)),HLOOKUP(VLOOKUP(C77,xySpace_Type_Details,8,FALSE),'General Information'!$P$15:$AG$28,13,FALSE)))),"")</f>
        <v/>
      </c>
      <c r="U77" s="542" t="str">
        <f>IFERROR(IF(C77="","",IF(INDEX(xyWattage_Table,MATCH(M77,'Fixture Identities'!$B$9:$B$997,0),2)="Exit Sign",1,IF(VLOOKUP(C77,xySpace_Type_Details,8,FALSE)="TRM",INDEX('General Information'!$AF$17:$AG$28,12,MATCH(N77,'General Information'!$AF$16:$AG$16,0)),HLOOKUP(VLOOKUP(C77,xySpace_Type_Details,8,FALSE),'General Information'!$P$15:$AG$28,14,FALSE)))),"")</f>
        <v/>
      </c>
      <c r="V77" s="542" t="str">
        <f>IFERROR(VLOOKUP(INDEX(xySpace_Type_Details,MATCH($C77,'General Information'!$C$40:$C$60,0),12),Lookups!$L$8:$N$12,2,FALSE),"")</f>
        <v/>
      </c>
      <c r="W77" s="542" t="str">
        <f>IFERROR(VLOOKUP(INDEX(xySpace_Type_Details,MATCH($C77,'General Information'!$C$40:$C$60,0),12),Lookups!$L$8:$N$12,3,FALSE),"")</f>
        <v/>
      </c>
      <c r="X77" s="543"/>
      <c r="Y77" s="542" t="str">
        <f>IFERROR(IF(C77="","",IF(INDEX(xyWattage_Table,MATCH(M77,'Fixture Identities'!$B$9:$B$997,0),2)="Exit Sign",0,IF(PRJ_Type="Retrofit",VLOOKUP(I77,xySVG_Factors,2,FALSE),IF(AND(PRJ_Type="New Construction",Inventory!C74="N"),VLOOKUP(VLOOKUP(Building_Type,xyLPD_BuildingArea,5,FALSE),xySVG_Factors_NC,3,FALSE),0)))),"")</f>
        <v/>
      </c>
      <c r="Z77" s="544" t="str">
        <f>IFERROR(IF(C77="","",IF(INDEX(xyWattage_Table,MATCH(M77,'Fixture Identities'!$B$9:$B$997,0),2)="Exit Sign",0,VLOOKUP(S77,xySVG_Factors,2,FALSE))),"")</f>
        <v/>
      </c>
      <c r="AA77" s="545" t="str">
        <f t="shared" si="30"/>
        <v/>
      </c>
      <c r="AB77" s="542" t="str">
        <f t="shared" si="31"/>
        <v/>
      </c>
      <c r="AC77" s="539" t="str">
        <f t="shared" si="32"/>
        <v/>
      </c>
      <c r="AD77" s="546" t="str">
        <f t="shared" si="33"/>
        <v/>
      </c>
      <c r="AE77" s="539" t="str">
        <f t="shared" si="34"/>
        <v/>
      </c>
      <c r="AF77" s="546" t="str">
        <f t="shared" si="35"/>
        <v/>
      </c>
      <c r="AG77" s="539" t="str">
        <f t="shared" si="36"/>
        <v/>
      </c>
      <c r="AH77" s="32">
        <f t="shared" si="17"/>
        <v>0</v>
      </c>
      <c r="AI77" s="32">
        <f t="shared" si="18"/>
        <v>0</v>
      </c>
      <c r="AJ77" s="32">
        <f t="shared" si="19"/>
        <v>0</v>
      </c>
      <c r="AK77" t="str">
        <f t="shared" si="20"/>
        <v/>
      </c>
      <c r="AL77" t="str">
        <f t="shared" si="21"/>
        <v/>
      </c>
      <c r="AM77" t="str">
        <f t="shared" si="22"/>
        <v/>
      </c>
      <c r="AO77" t="str">
        <f>IFERROR(VLOOKUP(M77,'Fixture Identities'!$B$9:$O$1045,14,FALSE),"")</f>
        <v/>
      </c>
      <c r="AP77" t="str">
        <f t="shared" ref="AP77:AP140" si="37">IF(M78="Signage",G78,"")</f>
        <v/>
      </c>
    </row>
    <row r="78" spans="1:43">
      <c r="A78" s="71">
        <f>IF(E78&lt;&gt;J78,1,0)</f>
        <v>0</v>
      </c>
      <c r="B78" s="513">
        <f t="shared" si="23"/>
        <v>66</v>
      </c>
      <c r="C78" s="530" t="str">
        <f>IF(Inventory!E75="","",Inventory!E75)</f>
        <v/>
      </c>
      <c r="D78" s="531">
        <f>IF(Inventory!D75="",0,Inventory!D75)</f>
        <v>0</v>
      </c>
      <c r="E78" s="532" t="str">
        <f>IF(Inventory!I75=0,"",Inventory!I75)</f>
        <v/>
      </c>
      <c r="F78" s="533" t="str">
        <f t="shared" si="24"/>
        <v/>
      </c>
      <c r="G78" s="534" t="str">
        <f>IF(Inventory!G75="","",Inventory!G75)</f>
        <v/>
      </c>
      <c r="H78" s="535" t="str">
        <f t="shared" si="25"/>
        <v/>
      </c>
      <c r="I78" s="536" t="str">
        <f>IF(Inventory!J75="","",Inventory!J75)</f>
        <v/>
      </c>
      <c r="J78" s="537" t="str">
        <f>IFERROR(IF(PRJ_Type="New Construction",IF(Inventory!C75="N",INDEX(xyLPD_BuildingArea,MATCH(Building_Type,Lookups!$F$37:$F$75,0),4),INDEX(xyLPD_SpaceBySpace,MATCH(INDEX(xyNCEx,MATCH(I78,yNCExArea,0),2),ySpace_by_Space_Type,0),2)),VLOOKUP(E78,xyWattage_Table,11,FALSE)),"")</f>
        <v/>
      </c>
      <c r="K78" s="538" t="str">
        <f>IFERROR(IF(AND(NC_Type="Building Area Method",Inventory!C75="N"),IF(ISERROR(INDEX('Usage Groups (&gt;120 MWh only)'!$N$8:$N$12,MATCH(C78,'Usage Groups (&gt;120 MWh only)'!$B$8:$B$12,0),1))=TRUE,SqFt/COUNTIFS(Inventory!$C$10:$C$1009,"N",$Q$13:$Q$1012,"&gt;=0"),INDEX('Usage Groups (&gt;120 MWh only)'!$N$8:$N$12,MATCH(C78,'Usage Groups (&gt;120 MWh only)'!$B$8:$B$12,0),1)/COUNTIF($C$13:$C$1012,C78)),IF(AND(NC_Type="Building Area Method",Inventory!C75="Y"),INDEX(xyNCEx,MATCH(I78,yNCExArea,0),3)/COUNTIF($I$13:$I$1012,I78),VLOOKUP(J78,xyWattage_Table,10,FALSE))),"")</f>
        <v/>
      </c>
      <c r="L78" s="539" t="str">
        <f t="shared" si="26"/>
        <v/>
      </c>
      <c r="M78" s="540">
        <f>IF(Inventory!N75="","",Inventory!N75)</f>
        <v>0</v>
      </c>
      <c r="N78" s="533" t="str">
        <f t="shared" si="27"/>
        <v/>
      </c>
      <c r="O78" s="534"/>
      <c r="P78" s="533" t="str">
        <f t="shared" si="28"/>
        <v/>
      </c>
      <c r="Q78" s="534" t="str">
        <f>IF(Inventory!L75="","",Inventory!L75)</f>
        <v/>
      </c>
      <c r="R78" s="535" t="str">
        <f t="shared" si="29"/>
        <v/>
      </c>
      <c r="S78" s="536" t="str">
        <f>IF(Inventory!O75="","",Inventory!O75)</f>
        <v/>
      </c>
      <c r="T78" s="541" t="str">
        <f>IFERROR(IF(C78="","",IF(INDEX(xyWattage_Table,MATCH(M78,'Fixture Identities'!$B$9:$B$997,0),2)="Exit Sign",8760,IF(VLOOKUP(C78,xySpace_Type_Details,8,FALSE)="TRM",INDEX('General Information'!$AF$17:$AG$28,11,MATCH(N78,'General Information'!$AF$16:$AG$16,0)),HLOOKUP(VLOOKUP(C78,xySpace_Type_Details,8,FALSE),'General Information'!$P$15:$AG$28,13,FALSE)))),"")</f>
        <v/>
      </c>
      <c r="U78" s="542" t="str">
        <f>IFERROR(IF(C78="","",IF(INDEX(xyWattage_Table,MATCH(M78,'Fixture Identities'!$B$9:$B$997,0),2)="Exit Sign",1,IF(VLOOKUP(C78,xySpace_Type_Details,8,FALSE)="TRM",INDEX('General Information'!$AF$17:$AG$28,12,MATCH(N78,'General Information'!$AF$16:$AG$16,0)),HLOOKUP(VLOOKUP(C78,xySpace_Type_Details,8,FALSE),'General Information'!$P$15:$AG$28,14,FALSE)))),"")</f>
        <v/>
      </c>
      <c r="V78" s="542" t="str">
        <f>IFERROR(VLOOKUP(INDEX(xySpace_Type_Details,MATCH($C78,'General Information'!$C$40:$C$60,0),12),Lookups!$L$8:$N$12,2,FALSE),"")</f>
        <v/>
      </c>
      <c r="W78" s="542" t="str">
        <f>IFERROR(VLOOKUP(INDEX(xySpace_Type_Details,MATCH($C78,'General Information'!$C$40:$C$60,0),12),Lookups!$L$8:$N$12,3,FALSE),"")</f>
        <v/>
      </c>
      <c r="X78" s="543"/>
      <c r="Y78" s="542" t="str">
        <f>IFERROR(IF(C78="","",IF(INDEX(xyWattage_Table,MATCH(M78,'Fixture Identities'!$B$9:$B$997,0),2)="Exit Sign",0,IF(PRJ_Type="Retrofit",VLOOKUP(I78,xySVG_Factors,2,FALSE),IF(AND(PRJ_Type="New Construction",Inventory!C75="N"),VLOOKUP(VLOOKUP(Building_Type,xyLPD_BuildingArea,5,FALSE),xySVG_Factors_NC,3,FALSE),0)))),"")</f>
        <v/>
      </c>
      <c r="Z78" s="544" t="str">
        <f>IFERROR(IF(C78="","",IF(INDEX(xyWattage_Table,MATCH(M78,'Fixture Identities'!$B$9:$B$997,0),2)="Exit Sign",0,VLOOKUP(S78,xySVG_Factors,2,FALSE))),"")</f>
        <v/>
      </c>
      <c r="AA78" s="545" t="str">
        <f t="shared" si="30"/>
        <v/>
      </c>
      <c r="AB78" s="542" t="str">
        <f t="shared" si="31"/>
        <v/>
      </c>
      <c r="AC78" s="539" t="str">
        <f t="shared" si="32"/>
        <v/>
      </c>
      <c r="AD78" s="546" t="str">
        <f t="shared" si="33"/>
        <v/>
      </c>
      <c r="AE78" s="539" t="str">
        <f t="shared" si="34"/>
        <v/>
      </c>
      <c r="AF78" s="546" t="str">
        <f t="shared" si="35"/>
        <v/>
      </c>
      <c r="AG78" s="539" t="str">
        <f t="shared" si="36"/>
        <v/>
      </c>
      <c r="AH78" s="32">
        <f t="shared" ref="AH78:AH141" si="38">IF(I78&lt;&gt;S78,R78,0)</f>
        <v>0</v>
      </c>
      <c r="AI78" s="32">
        <f t="shared" ref="AI78:AI141" si="39">IFERROR(VLOOKUP(E78,xyWattage_Table,8,FALSE)*G78,0)</f>
        <v>0</v>
      </c>
      <c r="AJ78" s="32">
        <f t="shared" ref="AJ78:AJ141" si="40">IFERROR(VLOOKUP(M78,xyWattage_Table,8,FALSE)*Q78,0)</f>
        <v>0</v>
      </c>
      <c r="AK78" t="str">
        <f t="shared" ref="AK78:AK141" si="41">IFERROR((L78)/1000,"")</f>
        <v/>
      </c>
      <c r="AL78" t="str">
        <f t="shared" ref="AL78:AL141" si="42">IFERROR(AK78*U78*(1+W78)*(1-Y78),"")</f>
        <v/>
      </c>
      <c r="AM78" t="str">
        <f t="shared" ref="AM78:AM141" si="43">IFERROR(AK78*T78*(1+V78)*(1-Y78),"")</f>
        <v/>
      </c>
      <c r="AO78" t="str">
        <f>IFERROR(VLOOKUP(M78,'Fixture Identities'!$B$9:$O$1045,14,FALSE),"")</f>
        <v/>
      </c>
      <c r="AP78" t="str">
        <f t="shared" si="37"/>
        <v/>
      </c>
    </row>
    <row r="79" spans="1:43">
      <c r="A79" s="71">
        <f>IF(E79&lt;&gt;J79,1,0)</f>
        <v>0</v>
      </c>
      <c r="B79" s="513">
        <f t="shared" ref="B79:B142" si="44">B78+1</f>
        <v>67</v>
      </c>
      <c r="C79" s="530" t="str">
        <f>IF(Inventory!E76="","",Inventory!E76)</f>
        <v/>
      </c>
      <c r="D79" s="531">
        <f>IF(Inventory!D76="",0,Inventory!D76)</f>
        <v>0</v>
      </c>
      <c r="E79" s="532" t="str">
        <f>IF(Inventory!I76=0,"",Inventory!I76)</f>
        <v/>
      </c>
      <c r="F79" s="533" t="str">
        <f t="shared" ref="F79:F142" si="45">IFERROR(VLOOKUP(E79,xyWattage_Table,10,FALSE),"")</f>
        <v/>
      </c>
      <c r="G79" s="534" t="str">
        <f>IF(Inventory!G76="","",Inventory!G76)</f>
        <v/>
      </c>
      <c r="H79" s="535" t="str">
        <f t="shared" ref="H79:H142" si="46">IF(G79="","",G79*F79)</f>
        <v/>
      </c>
      <c r="I79" s="536" t="str">
        <f>IF(Inventory!J76="","",Inventory!J76)</f>
        <v/>
      </c>
      <c r="J79" s="537" t="str">
        <f>IFERROR(IF(PRJ_Type="New Construction",IF(Inventory!C76="N",INDEX(xyLPD_BuildingArea,MATCH(Building_Type,Lookups!$F$37:$F$75,0),4),INDEX(xyLPD_SpaceBySpace,MATCH(INDEX(xyNCEx,MATCH(I79,yNCExArea,0),2),ySpace_by_Space_Type,0),2)),VLOOKUP(E79,xyWattage_Table,11,FALSE)),"")</f>
        <v/>
      </c>
      <c r="K79" s="538" t="str">
        <f>IFERROR(IF(AND(NC_Type="Building Area Method",Inventory!C76="N"),IF(ISERROR(INDEX('Usage Groups (&gt;120 MWh only)'!$N$8:$N$12,MATCH(C79,'Usage Groups (&gt;120 MWh only)'!$B$8:$B$12,0),1))=TRUE,SqFt/COUNTIFS(Inventory!$C$10:$C$1009,"N",$Q$13:$Q$1012,"&gt;=0"),INDEX('Usage Groups (&gt;120 MWh only)'!$N$8:$N$12,MATCH(C79,'Usage Groups (&gt;120 MWh only)'!$B$8:$B$12,0),1)/COUNTIF($C$13:$C$1012,C79)),IF(AND(NC_Type="Building Area Method",Inventory!C76="Y"),INDEX(xyNCEx,MATCH(I79,yNCExArea,0),3)/COUNTIF($I$13:$I$1012,I79),VLOOKUP(J79,xyWattage_Table,10,FALSE))),"")</f>
        <v/>
      </c>
      <c r="L79" s="539" t="str">
        <f t="shared" ref="L79:L142" si="47">IFERROR(IF(PRJ_Type="New Construction",J79*K79,IF(G79="","",K79*G79)),"")</f>
        <v/>
      </c>
      <c r="M79" s="540">
        <f>IF(Inventory!N76="","",Inventory!N76)</f>
        <v>0</v>
      </c>
      <c r="N79" s="533" t="str">
        <f t="shared" ref="N79:N142" si="48">IFERROR(VLOOKUP(M79,xyWattage_Table,12,FALSE),"")</f>
        <v/>
      </c>
      <c r="O79" s="534"/>
      <c r="P79" s="533" t="str">
        <f t="shared" ref="P79:P142" si="49">IFERROR(VLOOKUP(M79,xyWattage_Table,10,FALSE),"")</f>
        <v/>
      </c>
      <c r="Q79" s="534" t="str">
        <f>IF(Inventory!L76="","",Inventory!L76)</f>
        <v/>
      </c>
      <c r="R79" s="535" t="str">
        <f t="shared" ref="R79:R142" si="50">IF(P79="","",Q79*P79)</f>
        <v/>
      </c>
      <c r="S79" s="536" t="str">
        <f>IF(Inventory!O76="","",Inventory!O76)</f>
        <v/>
      </c>
      <c r="T79" s="541" t="str">
        <f>IFERROR(IF(C79="","",IF(INDEX(xyWattage_Table,MATCH(M79,'Fixture Identities'!$B$9:$B$997,0),2)="Exit Sign",8760,IF(VLOOKUP(C79,xySpace_Type_Details,8,FALSE)="TRM",INDEX('General Information'!$AF$17:$AG$28,11,MATCH(N79,'General Information'!$AF$16:$AG$16,0)),HLOOKUP(VLOOKUP(C79,xySpace_Type_Details,8,FALSE),'General Information'!$P$15:$AG$28,13,FALSE)))),"")</f>
        <v/>
      </c>
      <c r="U79" s="542" t="str">
        <f>IFERROR(IF(C79="","",IF(INDEX(xyWattage_Table,MATCH(M79,'Fixture Identities'!$B$9:$B$997,0),2)="Exit Sign",1,IF(VLOOKUP(C79,xySpace_Type_Details,8,FALSE)="TRM",INDEX('General Information'!$AF$17:$AG$28,12,MATCH(N79,'General Information'!$AF$16:$AG$16,0)),HLOOKUP(VLOOKUP(C79,xySpace_Type_Details,8,FALSE),'General Information'!$P$15:$AG$28,14,FALSE)))),"")</f>
        <v/>
      </c>
      <c r="V79" s="542" t="str">
        <f>IFERROR(VLOOKUP(INDEX(xySpace_Type_Details,MATCH($C79,'General Information'!$C$40:$C$60,0),12),Lookups!$L$8:$N$12,2,FALSE),"")</f>
        <v/>
      </c>
      <c r="W79" s="542" t="str">
        <f>IFERROR(VLOOKUP(INDEX(xySpace_Type_Details,MATCH($C79,'General Information'!$C$40:$C$60,0),12),Lookups!$L$8:$N$12,3,FALSE),"")</f>
        <v/>
      </c>
      <c r="X79" s="543"/>
      <c r="Y79" s="542" t="str">
        <f>IFERROR(IF(C79="","",IF(INDEX(xyWattage_Table,MATCH(M79,'Fixture Identities'!$B$9:$B$997,0),2)="Exit Sign",0,IF(PRJ_Type="Retrofit",VLOOKUP(I79,xySVG_Factors,2,FALSE),IF(AND(PRJ_Type="New Construction",Inventory!C76="N"),VLOOKUP(VLOOKUP(Building_Type,xyLPD_BuildingArea,5,FALSE),xySVG_Factors_NC,3,FALSE),0)))),"")</f>
        <v/>
      </c>
      <c r="Z79" s="544" t="str">
        <f>IFERROR(IF(C79="","",IF(INDEX(xyWattage_Table,MATCH(M79,'Fixture Identities'!$B$9:$B$997,0),2)="Exit Sign",0,VLOOKUP(S79,xySVG_Factors,2,FALSE))),"")</f>
        <v/>
      </c>
      <c r="AA79" s="545" t="str">
        <f t="shared" ref="AA79:AA142" si="51">IFERROR((L79-R79)/1000,"")</f>
        <v/>
      </c>
      <c r="AB79" s="542" t="str">
        <f t="shared" ref="AB79:AB142" si="52">IFERROR(AA79*U79*(1+W79)*(1-Y79),"")</f>
        <v/>
      </c>
      <c r="AC79" s="539" t="str">
        <f t="shared" ref="AC79:AC142" si="53">IFERROR(AA79*T79*(1+V79)*(1-Y79),"")</f>
        <v/>
      </c>
      <c r="AD79" s="546" t="str">
        <f t="shared" ref="AD79:AD142" si="54">IFERROR(R79/1000*(Z79-Y79)*(1+W79)*U79,"")</f>
        <v/>
      </c>
      <c r="AE79" s="539" t="str">
        <f t="shared" ref="AE79:AE142" si="55">IFERROR(R79/1000*T79*(Z79-Y79)*(1+V79),"")</f>
        <v/>
      </c>
      <c r="AF79" s="546" t="str">
        <f t="shared" ref="AF79:AF142" si="56">IFERROR(AB79+AD79,"")</f>
        <v/>
      </c>
      <c r="AG79" s="539" t="str">
        <f t="shared" ref="AG79:AG142" si="57">IFERROR(AC79+AE79,"")</f>
        <v/>
      </c>
      <c r="AH79" s="32">
        <f t="shared" si="38"/>
        <v>0</v>
      </c>
      <c r="AI79" s="32">
        <f t="shared" si="39"/>
        <v>0</v>
      </c>
      <c r="AJ79" s="32">
        <f t="shared" si="40"/>
        <v>0</v>
      </c>
      <c r="AK79" t="str">
        <f t="shared" si="41"/>
        <v/>
      </c>
      <c r="AL79" t="str">
        <f t="shared" si="42"/>
        <v/>
      </c>
      <c r="AM79" t="str">
        <f t="shared" si="43"/>
        <v/>
      </c>
      <c r="AO79" t="str">
        <f>IFERROR(VLOOKUP(M79,'Fixture Identities'!$B$9:$O$1045,14,FALSE),"")</f>
        <v/>
      </c>
      <c r="AP79" t="str">
        <f t="shared" si="37"/>
        <v/>
      </c>
    </row>
    <row r="80" spans="1:43">
      <c r="A80" s="71">
        <f>IF(E80&lt;&gt;J80,1,0)</f>
        <v>0</v>
      </c>
      <c r="B80" s="513">
        <f t="shared" si="44"/>
        <v>68</v>
      </c>
      <c r="C80" s="530" t="str">
        <f>IF(Inventory!E77="","",Inventory!E77)</f>
        <v/>
      </c>
      <c r="D80" s="531">
        <f>IF(Inventory!D77="",0,Inventory!D77)</f>
        <v>0</v>
      </c>
      <c r="E80" s="532" t="str">
        <f>IF(Inventory!I77=0,"",Inventory!I77)</f>
        <v/>
      </c>
      <c r="F80" s="533" t="str">
        <f t="shared" si="45"/>
        <v/>
      </c>
      <c r="G80" s="534" t="str">
        <f>IF(Inventory!G77="","",Inventory!G77)</f>
        <v/>
      </c>
      <c r="H80" s="535" t="str">
        <f t="shared" si="46"/>
        <v/>
      </c>
      <c r="I80" s="536" t="str">
        <f>IF(Inventory!J77="","",Inventory!J77)</f>
        <v/>
      </c>
      <c r="J80" s="537" t="str">
        <f>IFERROR(IF(PRJ_Type="New Construction",IF(Inventory!C77="N",INDEX(xyLPD_BuildingArea,MATCH(Building_Type,Lookups!$F$37:$F$75,0),4),INDEX(xyLPD_SpaceBySpace,MATCH(INDEX(xyNCEx,MATCH(I80,yNCExArea,0),2),ySpace_by_Space_Type,0),2)),VLOOKUP(E80,xyWattage_Table,11,FALSE)),"")</f>
        <v/>
      </c>
      <c r="K80" s="538" t="str">
        <f>IFERROR(IF(AND(NC_Type="Building Area Method",Inventory!C77="N"),IF(ISERROR(INDEX('Usage Groups (&gt;120 MWh only)'!$N$8:$N$12,MATCH(C80,'Usage Groups (&gt;120 MWh only)'!$B$8:$B$12,0),1))=TRUE,SqFt/COUNTIFS(Inventory!$C$10:$C$1009,"N",$Q$13:$Q$1012,"&gt;=0"),INDEX('Usage Groups (&gt;120 MWh only)'!$N$8:$N$12,MATCH(C80,'Usage Groups (&gt;120 MWh only)'!$B$8:$B$12,0),1)/COUNTIF($C$13:$C$1012,C80)),IF(AND(NC_Type="Building Area Method",Inventory!C77="Y"),INDEX(xyNCEx,MATCH(I80,yNCExArea,0),3)/COUNTIF($I$13:$I$1012,I80),VLOOKUP(J80,xyWattage_Table,10,FALSE))),"")</f>
        <v/>
      </c>
      <c r="L80" s="539" t="str">
        <f t="shared" si="47"/>
        <v/>
      </c>
      <c r="M80" s="540">
        <f>IF(Inventory!N77="","",Inventory!N77)</f>
        <v>0</v>
      </c>
      <c r="N80" s="533" t="str">
        <f t="shared" si="48"/>
        <v/>
      </c>
      <c r="O80" s="534"/>
      <c r="P80" s="533" t="str">
        <f t="shared" si="49"/>
        <v/>
      </c>
      <c r="Q80" s="534" t="str">
        <f>IF(Inventory!L77="","",Inventory!L77)</f>
        <v/>
      </c>
      <c r="R80" s="535" t="str">
        <f t="shared" si="50"/>
        <v/>
      </c>
      <c r="S80" s="536" t="str">
        <f>IF(Inventory!O77="","",Inventory!O77)</f>
        <v/>
      </c>
      <c r="T80" s="541" t="str">
        <f>IFERROR(IF(C80="","",IF(INDEX(xyWattage_Table,MATCH(M80,'Fixture Identities'!$B$9:$B$997,0),2)="Exit Sign",8760,IF(VLOOKUP(C80,xySpace_Type_Details,8,FALSE)="TRM",INDEX('General Information'!$AF$17:$AG$28,11,MATCH(N80,'General Information'!$AF$16:$AG$16,0)),HLOOKUP(VLOOKUP(C80,xySpace_Type_Details,8,FALSE),'General Information'!$P$15:$AG$28,13,FALSE)))),"")</f>
        <v/>
      </c>
      <c r="U80" s="542" t="str">
        <f>IFERROR(IF(C80="","",IF(INDEX(xyWattage_Table,MATCH(M80,'Fixture Identities'!$B$9:$B$997,0),2)="Exit Sign",1,IF(VLOOKUP(C80,xySpace_Type_Details,8,FALSE)="TRM",INDEX('General Information'!$AF$17:$AG$28,12,MATCH(N80,'General Information'!$AF$16:$AG$16,0)),HLOOKUP(VLOOKUP(C80,xySpace_Type_Details,8,FALSE),'General Information'!$P$15:$AG$28,14,FALSE)))),"")</f>
        <v/>
      </c>
      <c r="V80" s="542" t="str">
        <f>IFERROR(VLOOKUP(INDEX(xySpace_Type_Details,MATCH($C80,'General Information'!$C$40:$C$60,0),12),Lookups!$L$8:$N$12,2,FALSE),"")</f>
        <v/>
      </c>
      <c r="W80" s="542" t="str">
        <f>IFERROR(VLOOKUP(INDEX(xySpace_Type_Details,MATCH($C80,'General Information'!$C$40:$C$60,0),12),Lookups!$L$8:$N$12,3,FALSE),"")</f>
        <v/>
      </c>
      <c r="X80" s="543"/>
      <c r="Y80" s="542" t="str">
        <f>IFERROR(IF(C80="","",IF(INDEX(xyWattage_Table,MATCH(M80,'Fixture Identities'!$B$9:$B$997,0),2)="Exit Sign",0,IF(PRJ_Type="Retrofit",VLOOKUP(I80,xySVG_Factors,2,FALSE),IF(AND(PRJ_Type="New Construction",Inventory!C77="N"),VLOOKUP(VLOOKUP(Building_Type,xyLPD_BuildingArea,5,FALSE),xySVG_Factors_NC,3,FALSE),0)))),"")</f>
        <v/>
      </c>
      <c r="Z80" s="544" t="str">
        <f>IFERROR(IF(C80="","",IF(INDEX(xyWattage_Table,MATCH(M80,'Fixture Identities'!$B$9:$B$997,0),2)="Exit Sign",0,VLOOKUP(S80,xySVG_Factors,2,FALSE))),"")</f>
        <v/>
      </c>
      <c r="AA80" s="545" t="str">
        <f t="shared" si="51"/>
        <v/>
      </c>
      <c r="AB80" s="542" t="str">
        <f t="shared" si="52"/>
        <v/>
      </c>
      <c r="AC80" s="539" t="str">
        <f t="shared" si="53"/>
        <v/>
      </c>
      <c r="AD80" s="546" t="str">
        <f t="shared" si="54"/>
        <v/>
      </c>
      <c r="AE80" s="539" t="str">
        <f t="shared" si="55"/>
        <v/>
      </c>
      <c r="AF80" s="546" t="str">
        <f t="shared" si="56"/>
        <v/>
      </c>
      <c r="AG80" s="539" t="str">
        <f t="shared" si="57"/>
        <v/>
      </c>
      <c r="AH80" s="32">
        <f t="shared" si="38"/>
        <v>0</v>
      </c>
      <c r="AI80" s="32">
        <f t="shared" si="39"/>
        <v>0</v>
      </c>
      <c r="AJ80" s="32">
        <f t="shared" si="40"/>
        <v>0</v>
      </c>
      <c r="AK80" t="str">
        <f t="shared" si="41"/>
        <v/>
      </c>
      <c r="AL80" t="str">
        <f t="shared" si="42"/>
        <v/>
      </c>
      <c r="AM80" t="str">
        <f t="shared" si="43"/>
        <v/>
      </c>
      <c r="AO80" t="str">
        <f>IFERROR(VLOOKUP(M80,'Fixture Identities'!$B$9:$O$1045,14,FALSE),"")</f>
        <v/>
      </c>
      <c r="AP80" t="str">
        <f t="shared" si="37"/>
        <v/>
      </c>
    </row>
    <row r="81" spans="1:42">
      <c r="A81" s="71">
        <f>IF(E81&lt;&gt;J81,1,0)</f>
        <v>0</v>
      </c>
      <c r="B81" s="513">
        <f t="shared" si="44"/>
        <v>69</v>
      </c>
      <c r="C81" s="530" t="str">
        <f>IF(Inventory!E78="","",Inventory!E78)</f>
        <v/>
      </c>
      <c r="D81" s="531">
        <f>IF(Inventory!D78="",0,Inventory!D78)</f>
        <v>0</v>
      </c>
      <c r="E81" s="532" t="str">
        <f>IF(Inventory!I78=0,"",Inventory!I78)</f>
        <v/>
      </c>
      <c r="F81" s="533" t="str">
        <f t="shared" si="45"/>
        <v/>
      </c>
      <c r="G81" s="534" t="str">
        <f>IF(Inventory!G78="","",Inventory!G78)</f>
        <v/>
      </c>
      <c r="H81" s="535" t="str">
        <f t="shared" si="46"/>
        <v/>
      </c>
      <c r="I81" s="536" t="str">
        <f>IF(Inventory!J78="","",Inventory!J78)</f>
        <v/>
      </c>
      <c r="J81" s="537" t="str">
        <f>IFERROR(IF(PRJ_Type="New Construction",IF(Inventory!C78="N",INDEX(xyLPD_BuildingArea,MATCH(Building_Type,Lookups!$F$37:$F$75,0),4),INDEX(xyLPD_SpaceBySpace,MATCH(INDEX(xyNCEx,MATCH(I81,yNCExArea,0),2),ySpace_by_Space_Type,0),2)),VLOOKUP(E81,xyWattage_Table,11,FALSE)),"")</f>
        <v/>
      </c>
      <c r="K81" s="538" t="str">
        <f>IFERROR(IF(AND(NC_Type="Building Area Method",Inventory!C78="N"),IF(ISERROR(INDEX('Usage Groups (&gt;120 MWh only)'!$N$8:$N$12,MATCH(C81,'Usage Groups (&gt;120 MWh only)'!$B$8:$B$12,0),1))=TRUE,SqFt/COUNTIFS(Inventory!$C$10:$C$1009,"N",$Q$13:$Q$1012,"&gt;=0"),INDEX('Usage Groups (&gt;120 MWh only)'!$N$8:$N$12,MATCH(C81,'Usage Groups (&gt;120 MWh only)'!$B$8:$B$12,0),1)/COUNTIF($C$13:$C$1012,C81)),IF(AND(NC_Type="Building Area Method",Inventory!C78="Y"),INDEX(xyNCEx,MATCH(I81,yNCExArea,0),3)/COUNTIF($I$13:$I$1012,I81),VLOOKUP(J81,xyWattage_Table,10,FALSE))),"")</f>
        <v/>
      </c>
      <c r="L81" s="539" t="str">
        <f t="shared" si="47"/>
        <v/>
      </c>
      <c r="M81" s="540">
        <f>IF(Inventory!N78="","",Inventory!N78)</f>
        <v>0</v>
      </c>
      <c r="N81" s="533" t="str">
        <f t="shared" si="48"/>
        <v/>
      </c>
      <c r="O81" s="534"/>
      <c r="P81" s="533" t="str">
        <f t="shared" si="49"/>
        <v/>
      </c>
      <c r="Q81" s="534" t="str">
        <f>IF(Inventory!L78="","",Inventory!L78)</f>
        <v/>
      </c>
      <c r="R81" s="535" t="str">
        <f t="shared" si="50"/>
        <v/>
      </c>
      <c r="S81" s="536" t="str">
        <f>IF(Inventory!O78="","",Inventory!O78)</f>
        <v/>
      </c>
      <c r="T81" s="541" t="str">
        <f>IFERROR(IF(C81="","",IF(INDEX(xyWattage_Table,MATCH(M81,'Fixture Identities'!$B$9:$B$997,0),2)="Exit Sign",8760,IF(VLOOKUP(C81,xySpace_Type_Details,8,FALSE)="TRM",INDEX('General Information'!$AF$17:$AG$28,11,MATCH(N81,'General Information'!$AF$16:$AG$16,0)),HLOOKUP(VLOOKUP(C81,xySpace_Type_Details,8,FALSE),'General Information'!$P$15:$AG$28,13,FALSE)))),"")</f>
        <v/>
      </c>
      <c r="U81" s="542" t="str">
        <f>IFERROR(IF(C81="","",IF(INDEX(xyWattage_Table,MATCH(M81,'Fixture Identities'!$B$9:$B$997,0),2)="Exit Sign",1,IF(VLOOKUP(C81,xySpace_Type_Details,8,FALSE)="TRM",INDEX('General Information'!$AF$17:$AG$28,12,MATCH(N81,'General Information'!$AF$16:$AG$16,0)),HLOOKUP(VLOOKUP(C81,xySpace_Type_Details,8,FALSE),'General Information'!$P$15:$AG$28,14,FALSE)))),"")</f>
        <v/>
      </c>
      <c r="V81" s="542" t="str">
        <f>IFERROR(VLOOKUP(INDEX(xySpace_Type_Details,MATCH($C81,'General Information'!$C$40:$C$60,0),12),Lookups!$L$8:$N$12,2,FALSE),"")</f>
        <v/>
      </c>
      <c r="W81" s="542" t="str">
        <f>IFERROR(VLOOKUP(INDEX(xySpace_Type_Details,MATCH($C81,'General Information'!$C$40:$C$60,0),12),Lookups!$L$8:$N$12,3,FALSE),"")</f>
        <v/>
      </c>
      <c r="X81" s="543"/>
      <c r="Y81" s="542" t="str">
        <f>IFERROR(IF(C81="","",IF(INDEX(xyWattage_Table,MATCH(M81,'Fixture Identities'!$B$9:$B$997,0),2)="Exit Sign",0,IF(PRJ_Type="Retrofit",VLOOKUP(I81,xySVG_Factors,2,FALSE),IF(AND(PRJ_Type="New Construction",Inventory!C78="N"),VLOOKUP(VLOOKUP(Building_Type,xyLPD_BuildingArea,5,FALSE),xySVG_Factors_NC,3,FALSE),0)))),"")</f>
        <v/>
      </c>
      <c r="Z81" s="544" t="str">
        <f>IFERROR(IF(C81="","",IF(INDEX(xyWattage_Table,MATCH(M81,'Fixture Identities'!$B$9:$B$997,0),2)="Exit Sign",0,VLOOKUP(S81,xySVG_Factors,2,FALSE))),"")</f>
        <v/>
      </c>
      <c r="AA81" s="545" t="str">
        <f t="shared" si="51"/>
        <v/>
      </c>
      <c r="AB81" s="542" t="str">
        <f t="shared" si="52"/>
        <v/>
      </c>
      <c r="AC81" s="539" t="str">
        <f t="shared" si="53"/>
        <v/>
      </c>
      <c r="AD81" s="546" t="str">
        <f t="shared" si="54"/>
        <v/>
      </c>
      <c r="AE81" s="539" t="str">
        <f t="shared" si="55"/>
        <v/>
      </c>
      <c r="AF81" s="546" t="str">
        <f t="shared" si="56"/>
        <v/>
      </c>
      <c r="AG81" s="539" t="str">
        <f t="shared" si="57"/>
        <v/>
      </c>
      <c r="AH81" s="32">
        <f t="shared" si="38"/>
        <v>0</v>
      </c>
      <c r="AI81" s="32">
        <f t="shared" si="39"/>
        <v>0</v>
      </c>
      <c r="AJ81" s="32">
        <f t="shared" si="40"/>
        <v>0</v>
      </c>
      <c r="AK81" t="str">
        <f t="shared" si="41"/>
        <v/>
      </c>
      <c r="AL81" t="str">
        <f t="shared" si="42"/>
        <v/>
      </c>
      <c r="AM81" t="str">
        <f t="shared" si="43"/>
        <v/>
      </c>
      <c r="AO81" t="str">
        <f>IFERROR(VLOOKUP(M81,'Fixture Identities'!$B$9:$O$1045,14,FALSE),"")</f>
        <v/>
      </c>
      <c r="AP81" t="str">
        <f t="shared" si="37"/>
        <v/>
      </c>
    </row>
    <row r="82" spans="1:42" ht="15" thickBot="1">
      <c r="A82" s="71">
        <f t="shared" ref="A82:A145" si="58">IF(E82&lt;&gt;J82,1,0)</f>
        <v>0</v>
      </c>
      <c r="B82" s="513">
        <f t="shared" si="44"/>
        <v>70</v>
      </c>
      <c r="C82" s="530" t="str">
        <f>IF(Inventory!E79="","",Inventory!E79)</f>
        <v/>
      </c>
      <c r="D82" s="531">
        <f>IF(Inventory!D79="",0,Inventory!D79)</f>
        <v>0</v>
      </c>
      <c r="E82" s="532" t="str">
        <f>IF(Inventory!I79=0,"",Inventory!I79)</f>
        <v/>
      </c>
      <c r="F82" s="533" t="str">
        <f t="shared" si="45"/>
        <v/>
      </c>
      <c r="G82" s="534" t="str">
        <f>IF(Inventory!G79="","",Inventory!G79)</f>
        <v/>
      </c>
      <c r="H82" s="535" t="str">
        <f t="shared" si="46"/>
        <v/>
      </c>
      <c r="I82" s="536" t="str">
        <f>IF(Inventory!J79="","",Inventory!J79)</f>
        <v/>
      </c>
      <c r="J82" s="537" t="str">
        <f>IFERROR(IF(PRJ_Type="New Construction",IF(Inventory!C79="N",INDEX(xyLPD_BuildingArea,MATCH(Building_Type,Lookups!$F$37:$F$75,0),4),INDEX(xyLPD_SpaceBySpace,MATCH(INDEX(xyNCEx,MATCH(I82,yNCExArea,0),2),ySpace_by_Space_Type,0),2)),VLOOKUP(E82,xyWattage_Table,11,FALSE)),"")</f>
        <v/>
      </c>
      <c r="K82" s="538" t="str">
        <f>IFERROR(IF(AND(NC_Type="Building Area Method",Inventory!C79="N"),IF(ISERROR(INDEX('Usage Groups (&gt;120 MWh only)'!$N$8:$N$12,MATCH(C82,'Usage Groups (&gt;120 MWh only)'!$B$8:$B$12,0),1))=TRUE,SqFt/COUNTIFS(Inventory!$C$10:$C$1009,"N",$Q$13:$Q$1012,"&gt;=0"),INDEX('Usage Groups (&gt;120 MWh only)'!$N$8:$N$12,MATCH(C82,'Usage Groups (&gt;120 MWh only)'!$B$8:$B$12,0),1)/COUNTIF($C$13:$C$1012,C82)),IF(AND(NC_Type="Building Area Method",Inventory!C79="Y"),INDEX(xyNCEx,MATCH(I82,yNCExArea,0),3)/COUNTIF($I$13:$I$1012,I82),VLOOKUP(J82,xyWattage_Table,10,FALSE))),"")</f>
        <v/>
      </c>
      <c r="L82" s="539" t="str">
        <f t="shared" si="47"/>
        <v/>
      </c>
      <c r="M82" s="540">
        <f>IF(Inventory!N79="","",Inventory!N79)</f>
        <v>0</v>
      </c>
      <c r="N82" s="533" t="str">
        <f t="shared" si="48"/>
        <v/>
      </c>
      <c r="O82" s="534"/>
      <c r="P82" s="533" t="str">
        <f t="shared" si="49"/>
        <v/>
      </c>
      <c r="Q82" s="534" t="str">
        <f>IF(Inventory!L79="","",Inventory!L79)</f>
        <v/>
      </c>
      <c r="R82" s="535" t="str">
        <f t="shared" si="50"/>
        <v/>
      </c>
      <c r="S82" s="536" t="str">
        <f>IF(Inventory!O79="","",Inventory!O79)</f>
        <v/>
      </c>
      <c r="T82" s="541" t="str">
        <f>IFERROR(IF(C82="","",IF(INDEX(xyWattage_Table,MATCH(M82,'Fixture Identities'!$B$9:$B$997,0),2)="Exit Sign",8760,IF(VLOOKUP(C82,xySpace_Type_Details,8,FALSE)="TRM",INDEX('General Information'!$AF$17:$AG$28,11,MATCH(N82,'General Information'!$AF$16:$AG$16,0)),HLOOKUP(VLOOKUP(C82,xySpace_Type_Details,8,FALSE),'General Information'!$P$15:$AG$28,13,FALSE)))),"")</f>
        <v/>
      </c>
      <c r="U82" s="542" t="str">
        <f>IFERROR(IF(C82="","",IF(INDEX(xyWattage_Table,MATCH(M82,'Fixture Identities'!$B$9:$B$997,0),2)="Exit Sign",1,IF(VLOOKUP(C82,xySpace_Type_Details,8,FALSE)="TRM",INDEX('General Information'!$AF$17:$AG$28,12,MATCH(N82,'General Information'!$AF$16:$AG$16,0)),HLOOKUP(VLOOKUP(C82,xySpace_Type_Details,8,FALSE),'General Information'!$P$15:$AG$28,14,FALSE)))),"")</f>
        <v/>
      </c>
      <c r="V82" s="542" t="str">
        <f>IFERROR(VLOOKUP(INDEX(xySpace_Type_Details,MATCH($C82,'General Information'!$C$40:$C$60,0),12),Lookups!$L$8:$N$12,2,FALSE),"")</f>
        <v/>
      </c>
      <c r="W82" s="542" t="str">
        <f>IFERROR(VLOOKUP(INDEX(xySpace_Type_Details,MATCH($C82,'General Information'!$C$40:$C$60,0),12),Lookups!$L$8:$N$12,3,FALSE),"")</f>
        <v/>
      </c>
      <c r="X82" s="551"/>
      <c r="Y82" s="542" t="str">
        <f>IFERROR(IF(C82="","",IF(INDEX(xyWattage_Table,MATCH(M82,'Fixture Identities'!$B$9:$B$997,0),2)="Exit Sign",0,IF(PRJ_Type="Retrofit",VLOOKUP(I82,xySVG_Factors,2,FALSE),IF(AND(PRJ_Type="New Construction",Inventory!C79="N"),VLOOKUP(VLOOKUP(Building_Type,xyLPD_BuildingArea,5,FALSE),xySVG_Factors_NC,3,FALSE),0)))),"")</f>
        <v/>
      </c>
      <c r="Z82" s="544" t="str">
        <f>IFERROR(IF(C82="","",IF(INDEX(xyWattage_Table,MATCH(M82,'Fixture Identities'!$B$9:$B$997,0),2)="Exit Sign",0,VLOOKUP(S82,xySVG_Factors,2,FALSE))),"")</f>
        <v/>
      </c>
      <c r="AA82" s="545" t="str">
        <f t="shared" si="51"/>
        <v/>
      </c>
      <c r="AB82" s="542" t="str">
        <f t="shared" si="52"/>
        <v/>
      </c>
      <c r="AC82" s="539" t="str">
        <f t="shared" si="53"/>
        <v/>
      </c>
      <c r="AD82" s="546" t="str">
        <f t="shared" si="54"/>
        <v/>
      </c>
      <c r="AE82" s="539" t="str">
        <f t="shared" si="55"/>
        <v/>
      </c>
      <c r="AF82" s="546" t="str">
        <f t="shared" si="56"/>
        <v/>
      </c>
      <c r="AG82" s="539" t="str">
        <f t="shared" si="57"/>
        <v/>
      </c>
      <c r="AH82" s="32">
        <f t="shared" si="38"/>
        <v>0</v>
      </c>
      <c r="AI82" s="32">
        <f t="shared" si="39"/>
        <v>0</v>
      </c>
      <c r="AJ82" s="32">
        <f t="shared" si="40"/>
        <v>0</v>
      </c>
      <c r="AK82" t="str">
        <f t="shared" si="41"/>
        <v/>
      </c>
      <c r="AL82" t="str">
        <f t="shared" si="42"/>
        <v/>
      </c>
      <c r="AM82" t="str">
        <f t="shared" si="43"/>
        <v/>
      </c>
      <c r="AO82" t="str">
        <f>IFERROR(VLOOKUP(M82,'Fixture Identities'!$B$9:$O$1045,14,FALSE),"")</f>
        <v/>
      </c>
      <c r="AP82" t="str">
        <f t="shared" si="37"/>
        <v/>
      </c>
    </row>
    <row r="83" spans="1:42">
      <c r="A83" s="71">
        <f t="shared" si="58"/>
        <v>0</v>
      </c>
      <c r="B83" s="513">
        <f t="shared" si="44"/>
        <v>71</v>
      </c>
      <c r="C83" s="530" t="str">
        <f>IF(Inventory!E80="","",Inventory!E80)</f>
        <v/>
      </c>
      <c r="D83" s="531">
        <f>IF(Inventory!D80="",0,Inventory!D80)</f>
        <v>0</v>
      </c>
      <c r="E83" s="532" t="str">
        <f>IF(Inventory!I80=0,"",Inventory!I80)</f>
        <v/>
      </c>
      <c r="F83" s="533" t="str">
        <f t="shared" si="45"/>
        <v/>
      </c>
      <c r="G83" s="534" t="str">
        <f>IF(Inventory!G80="","",Inventory!G80)</f>
        <v/>
      </c>
      <c r="H83" s="535" t="str">
        <f t="shared" si="46"/>
        <v/>
      </c>
      <c r="I83" s="536" t="str">
        <f>IF(Inventory!J80="","",Inventory!J80)</f>
        <v/>
      </c>
      <c r="J83" s="537" t="str">
        <f>IFERROR(IF(PRJ_Type="New Construction",IF(Inventory!C80="N",INDEX(xyLPD_BuildingArea,MATCH(Building_Type,Lookups!$F$37:$F$75,0),4),INDEX(xyLPD_SpaceBySpace,MATCH(INDEX(xyNCEx,MATCH(I83,yNCExArea,0),2),ySpace_by_Space_Type,0),2)),VLOOKUP(E83,xyWattage_Table,11,FALSE)),"")</f>
        <v/>
      </c>
      <c r="K83" s="538" t="str">
        <f>IFERROR(IF(AND(NC_Type="Building Area Method",Inventory!C80="N"),IF(ISERROR(INDEX('Usage Groups (&gt;120 MWh only)'!$N$8:$N$12,MATCH(C83,'Usage Groups (&gt;120 MWh only)'!$B$8:$B$12,0),1))=TRUE,SqFt/COUNTIFS(Inventory!$C$10:$C$1009,"N",$Q$13:$Q$1012,"&gt;=0"),INDEX('Usage Groups (&gt;120 MWh only)'!$N$8:$N$12,MATCH(C83,'Usage Groups (&gt;120 MWh only)'!$B$8:$B$12,0),1)/COUNTIF($C$13:$C$1012,C83)),IF(AND(NC_Type="Building Area Method",Inventory!C80="Y"),INDEX(xyNCEx,MATCH(I83,yNCExArea,0),3)/COUNTIF($I$13:$I$1012,I83),VLOOKUP(J83,xyWattage_Table,10,FALSE))),"")</f>
        <v/>
      </c>
      <c r="L83" s="539" t="str">
        <f t="shared" si="47"/>
        <v/>
      </c>
      <c r="M83" s="540">
        <f>IF(Inventory!N80="","",Inventory!N80)</f>
        <v>0</v>
      </c>
      <c r="N83" s="533" t="str">
        <f t="shared" si="48"/>
        <v/>
      </c>
      <c r="O83" s="534"/>
      <c r="P83" s="533" t="str">
        <f t="shared" si="49"/>
        <v/>
      </c>
      <c r="Q83" s="534" t="str">
        <f>IF(Inventory!L80="","",Inventory!L80)</f>
        <v/>
      </c>
      <c r="R83" s="535" t="str">
        <f t="shared" si="50"/>
        <v/>
      </c>
      <c r="S83" s="536" t="str">
        <f>IF(Inventory!O80="","",Inventory!O80)</f>
        <v/>
      </c>
      <c r="T83" s="541" t="str">
        <f>IFERROR(IF(C83="","",IF(INDEX(xyWattage_Table,MATCH(M83,'Fixture Identities'!$B$9:$B$997,0),2)="Exit Sign",8760,IF(VLOOKUP(C83,xySpace_Type_Details,8,FALSE)="TRM",INDEX('General Information'!$AF$17:$AG$28,11,MATCH(N83,'General Information'!$AF$16:$AG$16,0)),HLOOKUP(VLOOKUP(C83,xySpace_Type_Details,8,FALSE),'General Information'!$P$15:$AG$28,13,FALSE)))),"")</f>
        <v/>
      </c>
      <c r="U83" s="542" t="str">
        <f>IFERROR(IF(C83="","",IF(INDEX(xyWattage_Table,MATCH(M83,'Fixture Identities'!$B$9:$B$997,0),2)="Exit Sign",1,IF(VLOOKUP(C83,xySpace_Type_Details,8,FALSE)="TRM",INDEX('General Information'!$AF$17:$AG$28,12,MATCH(N83,'General Information'!$AF$16:$AG$16,0)),HLOOKUP(VLOOKUP(C83,xySpace_Type_Details,8,FALSE),'General Information'!$P$15:$AG$28,14,FALSE)))),"")</f>
        <v/>
      </c>
      <c r="V83" s="542" t="str">
        <f>IFERROR(VLOOKUP(INDEX(xySpace_Type_Details,MATCH($C83,'General Information'!$C$40:$C$60,0),12),Lookups!$L$8:$N$12,2,FALSE),"")</f>
        <v/>
      </c>
      <c r="W83" s="542" t="str">
        <f>IFERROR(VLOOKUP(INDEX(xySpace_Type_Details,MATCH($C83,'General Information'!$C$40:$C$60,0),12),Lookups!$L$8:$N$12,3,FALSE),"")</f>
        <v/>
      </c>
      <c r="Y83" s="542" t="str">
        <f>IFERROR(IF(C83="","",IF(INDEX(xyWattage_Table,MATCH(M83,'Fixture Identities'!$B$9:$B$997,0),2)="Exit Sign",0,IF(PRJ_Type="Retrofit",VLOOKUP(I83,xySVG_Factors,2,FALSE),IF(AND(PRJ_Type="New Construction",Inventory!C80="N"),VLOOKUP(VLOOKUP(Building_Type,xyLPD_BuildingArea,5,FALSE),xySVG_Factors_NC,3,FALSE),0)))),"")</f>
        <v/>
      </c>
      <c r="Z83" s="544" t="str">
        <f>IFERROR(IF(C83="","",IF(INDEX(xyWattage_Table,MATCH(M83,'Fixture Identities'!$B$9:$B$997,0),2)="Exit Sign",0,VLOOKUP(S83,xySVG_Factors,2,FALSE))),"")</f>
        <v/>
      </c>
      <c r="AA83" s="545" t="str">
        <f t="shared" si="51"/>
        <v/>
      </c>
      <c r="AB83" s="542" t="str">
        <f t="shared" si="52"/>
        <v/>
      </c>
      <c r="AC83" s="539" t="str">
        <f t="shared" si="53"/>
        <v/>
      </c>
      <c r="AD83" s="546" t="str">
        <f t="shared" si="54"/>
        <v/>
      </c>
      <c r="AE83" s="539" t="str">
        <f t="shared" si="55"/>
        <v/>
      </c>
      <c r="AF83" s="546" t="str">
        <f t="shared" si="56"/>
        <v/>
      </c>
      <c r="AG83" s="539" t="str">
        <f t="shared" si="57"/>
        <v/>
      </c>
      <c r="AH83" s="32">
        <f t="shared" si="38"/>
        <v>0</v>
      </c>
      <c r="AI83" s="32">
        <f t="shared" si="39"/>
        <v>0</v>
      </c>
      <c r="AJ83" s="32">
        <f t="shared" si="40"/>
        <v>0</v>
      </c>
      <c r="AK83" t="str">
        <f t="shared" si="41"/>
        <v/>
      </c>
      <c r="AL83" t="str">
        <f t="shared" si="42"/>
        <v/>
      </c>
      <c r="AM83" t="str">
        <f t="shared" si="43"/>
        <v/>
      </c>
      <c r="AO83" t="str">
        <f>IFERROR(VLOOKUP(M83,'Fixture Identities'!$B$9:$O$1045,14,FALSE),"")</f>
        <v/>
      </c>
      <c r="AP83" t="str">
        <f t="shared" si="37"/>
        <v/>
      </c>
    </row>
    <row r="84" spans="1:42">
      <c r="A84" s="71">
        <f t="shared" si="58"/>
        <v>0</v>
      </c>
      <c r="B84" s="513">
        <f t="shared" si="44"/>
        <v>72</v>
      </c>
      <c r="C84" s="530" t="str">
        <f>IF(Inventory!E81="","",Inventory!E81)</f>
        <v/>
      </c>
      <c r="D84" s="531">
        <f>IF(Inventory!D81="",0,Inventory!D81)</f>
        <v>0</v>
      </c>
      <c r="E84" s="532" t="str">
        <f>IF(Inventory!I81=0,"",Inventory!I81)</f>
        <v/>
      </c>
      <c r="F84" s="533" t="str">
        <f t="shared" si="45"/>
        <v/>
      </c>
      <c r="G84" s="534" t="str">
        <f>IF(Inventory!G81="","",Inventory!G81)</f>
        <v/>
      </c>
      <c r="H84" s="535" t="str">
        <f t="shared" si="46"/>
        <v/>
      </c>
      <c r="I84" s="536" t="str">
        <f>IF(Inventory!J81="","",Inventory!J81)</f>
        <v/>
      </c>
      <c r="J84" s="537" t="str">
        <f>IFERROR(IF(PRJ_Type="New Construction",IF(Inventory!C81="N",INDEX(xyLPD_BuildingArea,MATCH(Building_Type,Lookups!$F$37:$F$75,0),4),INDEX(xyLPD_SpaceBySpace,MATCH(INDEX(xyNCEx,MATCH(I84,yNCExArea,0),2),ySpace_by_Space_Type,0),2)),VLOOKUP(E84,xyWattage_Table,11,FALSE)),"")</f>
        <v/>
      </c>
      <c r="K84" s="538" t="str">
        <f>IFERROR(IF(AND(NC_Type="Building Area Method",Inventory!C81="N"),IF(ISERROR(INDEX('Usage Groups (&gt;120 MWh only)'!$N$8:$N$12,MATCH(C84,'Usage Groups (&gt;120 MWh only)'!$B$8:$B$12,0),1))=TRUE,SqFt/COUNTIFS(Inventory!$C$10:$C$1009,"N",$Q$13:$Q$1012,"&gt;=0"),INDEX('Usage Groups (&gt;120 MWh only)'!$N$8:$N$12,MATCH(C84,'Usage Groups (&gt;120 MWh only)'!$B$8:$B$12,0),1)/COUNTIF($C$13:$C$1012,C84)),IF(AND(NC_Type="Building Area Method",Inventory!C81="Y"),INDEX(xyNCEx,MATCH(I84,yNCExArea,0),3)/COUNTIF($I$13:$I$1012,I84),VLOOKUP(J84,xyWattage_Table,10,FALSE))),"")</f>
        <v/>
      </c>
      <c r="L84" s="539" t="str">
        <f t="shared" si="47"/>
        <v/>
      </c>
      <c r="M84" s="540">
        <f>IF(Inventory!N81="","",Inventory!N81)</f>
        <v>0</v>
      </c>
      <c r="N84" s="533" t="str">
        <f t="shared" si="48"/>
        <v/>
      </c>
      <c r="O84" s="534"/>
      <c r="P84" s="533" t="str">
        <f t="shared" si="49"/>
        <v/>
      </c>
      <c r="Q84" s="534" t="str">
        <f>IF(Inventory!L81="","",Inventory!L81)</f>
        <v/>
      </c>
      <c r="R84" s="535" t="str">
        <f t="shared" si="50"/>
        <v/>
      </c>
      <c r="S84" s="536" t="str">
        <f>IF(Inventory!O81="","",Inventory!O81)</f>
        <v/>
      </c>
      <c r="T84" s="541" t="str">
        <f>IFERROR(IF(C84="","",IF(INDEX(xyWattage_Table,MATCH(M84,'Fixture Identities'!$B$9:$B$997,0),2)="Exit Sign",8760,IF(VLOOKUP(C84,xySpace_Type_Details,8,FALSE)="TRM",INDEX('General Information'!$AF$17:$AG$28,11,MATCH(N84,'General Information'!$AF$16:$AG$16,0)),HLOOKUP(VLOOKUP(C84,xySpace_Type_Details,8,FALSE),'General Information'!$P$15:$AG$28,13,FALSE)))),"")</f>
        <v/>
      </c>
      <c r="U84" s="542" t="str">
        <f>IFERROR(IF(C84="","",IF(INDEX(xyWattage_Table,MATCH(M84,'Fixture Identities'!$B$9:$B$997,0),2)="Exit Sign",1,IF(VLOOKUP(C84,xySpace_Type_Details,8,FALSE)="TRM",INDEX('General Information'!$AF$17:$AG$28,12,MATCH(N84,'General Information'!$AF$16:$AG$16,0)),HLOOKUP(VLOOKUP(C84,xySpace_Type_Details,8,FALSE),'General Information'!$P$15:$AG$28,14,FALSE)))),"")</f>
        <v/>
      </c>
      <c r="V84" s="542" t="str">
        <f>IFERROR(VLOOKUP(INDEX(xySpace_Type_Details,MATCH($C84,'General Information'!$C$40:$C$60,0),12),Lookups!$L$8:$N$12,2,FALSE),"")</f>
        <v/>
      </c>
      <c r="W84" s="542" t="str">
        <f>IFERROR(VLOOKUP(INDEX(xySpace_Type_Details,MATCH($C84,'General Information'!$C$40:$C$60,0),12),Lookups!$L$8:$N$12,3,FALSE),"")</f>
        <v/>
      </c>
      <c r="Y84" s="542" t="str">
        <f>IFERROR(IF(C84="","",IF(INDEX(xyWattage_Table,MATCH(M84,'Fixture Identities'!$B$9:$B$997,0),2)="Exit Sign",0,IF(PRJ_Type="Retrofit",VLOOKUP(I84,xySVG_Factors,2,FALSE),IF(AND(PRJ_Type="New Construction",Inventory!C81="N"),VLOOKUP(VLOOKUP(Building_Type,xyLPD_BuildingArea,5,FALSE),xySVG_Factors_NC,3,FALSE),0)))),"")</f>
        <v/>
      </c>
      <c r="Z84" s="544" t="str">
        <f>IFERROR(IF(C84="","",IF(INDEX(xyWattage_Table,MATCH(M84,'Fixture Identities'!$B$9:$B$997,0),2)="Exit Sign",0,VLOOKUP(S84,xySVG_Factors,2,FALSE))),"")</f>
        <v/>
      </c>
      <c r="AA84" s="545" t="str">
        <f t="shared" si="51"/>
        <v/>
      </c>
      <c r="AB84" s="542" t="str">
        <f t="shared" si="52"/>
        <v/>
      </c>
      <c r="AC84" s="539" t="str">
        <f t="shared" si="53"/>
        <v/>
      </c>
      <c r="AD84" s="546" t="str">
        <f t="shared" si="54"/>
        <v/>
      </c>
      <c r="AE84" s="539" t="str">
        <f t="shared" si="55"/>
        <v/>
      </c>
      <c r="AF84" s="546" t="str">
        <f t="shared" si="56"/>
        <v/>
      </c>
      <c r="AG84" s="539" t="str">
        <f t="shared" si="57"/>
        <v/>
      </c>
      <c r="AH84" s="32">
        <f t="shared" si="38"/>
        <v>0</v>
      </c>
      <c r="AI84" s="32">
        <f t="shared" si="39"/>
        <v>0</v>
      </c>
      <c r="AJ84" s="32">
        <f t="shared" si="40"/>
        <v>0</v>
      </c>
      <c r="AK84" t="str">
        <f t="shared" si="41"/>
        <v/>
      </c>
      <c r="AL84" t="str">
        <f t="shared" si="42"/>
        <v/>
      </c>
      <c r="AM84" t="str">
        <f t="shared" si="43"/>
        <v/>
      </c>
      <c r="AO84" t="str">
        <f>IFERROR(VLOOKUP(M84,'Fixture Identities'!$B$9:$O$1045,14,FALSE),"")</f>
        <v/>
      </c>
      <c r="AP84" t="str">
        <f t="shared" si="37"/>
        <v/>
      </c>
    </row>
    <row r="85" spans="1:42">
      <c r="A85" s="71">
        <f t="shared" si="58"/>
        <v>0</v>
      </c>
      <c r="B85" s="513">
        <f t="shared" si="44"/>
        <v>73</v>
      </c>
      <c r="C85" s="530" t="str">
        <f>IF(Inventory!E82="","",Inventory!E82)</f>
        <v/>
      </c>
      <c r="D85" s="531">
        <f>IF(Inventory!D82="",0,Inventory!D82)</f>
        <v>0</v>
      </c>
      <c r="E85" s="532" t="str">
        <f>IF(Inventory!I82=0,"",Inventory!I82)</f>
        <v/>
      </c>
      <c r="F85" s="533" t="str">
        <f t="shared" si="45"/>
        <v/>
      </c>
      <c r="G85" s="534" t="str">
        <f>IF(Inventory!G82="","",Inventory!G82)</f>
        <v/>
      </c>
      <c r="H85" s="535" t="str">
        <f t="shared" si="46"/>
        <v/>
      </c>
      <c r="I85" s="536" t="str">
        <f>IF(Inventory!J82="","",Inventory!J82)</f>
        <v/>
      </c>
      <c r="J85" s="537" t="str">
        <f>IFERROR(IF(PRJ_Type="New Construction",IF(Inventory!C82="N",INDEX(xyLPD_BuildingArea,MATCH(Building_Type,Lookups!$F$37:$F$75,0),4),INDEX(xyLPD_SpaceBySpace,MATCH(INDEX(xyNCEx,MATCH(I85,yNCExArea,0),2),ySpace_by_Space_Type,0),2)),VLOOKUP(E85,xyWattage_Table,11,FALSE)),"")</f>
        <v/>
      </c>
      <c r="K85" s="538" t="str">
        <f>IFERROR(IF(AND(NC_Type="Building Area Method",Inventory!C82="N"),IF(ISERROR(INDEX('Usage Groups (&gt;120 MWh only)'!$N$8:$N$12,MATCH(C85,'Usage Groups (&gt;120 MWh only)'!$B$8:$B$12,0),1))=TRUE,SqFt/COUNTIFS(Inventory!$C$10:$C$1009,"N",$Q$13:$Q$1012,"&gt;=0"),INDEX('Usage Groups (&gt;120 MWh only)'!$N$8:$N$12,MATCH(C85,'Usage Groups (&gt;120 MWh only)'!$B$8:$B$12,0),1)/COUNTIF($C$13:$C$1012,C85)),IF(AND(NC_Type="Building Area Method",Inventory!C82="Y"),INDEX(xyNCEx,MATCH(I85,yNCExArea,0),3)/COUNTIF($I$13:$I$1012,I85),VLOOKUP(J85,xyWattage_Table,10,FALSE))),"")</f>
        <v/>
      </c>
      <c r="L85" s="539" t="str">
        <f t="shared" si="47"/>
        <v/>
      </c>
      <c r="M85" s="540">
        <f>IF(Inventory!N82="","",Inventory!N82)</f>
        <v>0</v>
      </c>
      <c r="N85" s="533" t="str">
        <f t="shared" si="48"/>
        <v/>
      </c>
      <c r="O85" s="534"/>
      <c r="P85" s="533" t="str">
        <f t="shared" si="49"/>
        <v/>
      </c>
      <c r="Q85" s="534" t="str">
        <f>IF(Inventory!L82="","",Inventory!L82)</f>
        <v/>
      </c>
      <c r="R85" s="535" t="str">
        <f t="shared" si="50"/>
        <v/>
      </c>
      <c r="S85" s="536" t="str">
        <f>IF(Inventory!O82="","",Inventory!O82)</f>
        <v/>
      </c>
      <c r="T85" s="541" t="str">
        <f>IFERROR(IF(C85="","",IF(INDEX(xyWattage_Table,MATCH(M85,'Fixture Identities'!$B$9:$B$997,0),2)="Exit Sign",8760,IF(VLOOKUP(C85,xySpace_Type_Details,8,FALSE)="TRM",INDEX('General Information'!$AF$17:$AG$28,11,MATCH(N85,'General Information'!$AF$16:$AG$16,0)),HLOOKUP(VLOOKUP(C85,xySpace_Type_Details,8,FALSE),'General Information'!$P$15:$AG$28,13,FALSE)))),"")</f>
        <v/>
      </c>
      <c r="U85" s="542" t="str">
        <f>IFERROR(IF(C85="","",IF(INDEX(xyWattage_Table,MATCH(M85,'Fixture Identities'!$B$9:$B$997,0),2)="Exit Sign",1,IF(VLOOKUP(C85,xySpace_Type_Details,8,FALSE)="TRM",INDEX('General Information'!$AF$17:$AG$28,12,MATCH(N85,'General Information'!$AF$16:$AG$16,0)),HLOOKUP(VLOOKUP(C85,xySpace_Type_Details,8,FALSE),'General Information'!$P$15:$AG$28,14,FALSE)))),"")</f>
        <v/>
      </c>
      <c r="V85" s="542" t="str">
        <f>IFERROR(VLOOKUP(INDEX(xySpace_Type_Details,MATCH($C85,'General Information'!$C$40:$C$60,0),12),Lookups!$L$8:$N$12,2,FALSE),"")</f>
        <v/>
      </c>
      <c r="W85" s="542" t="str">
        <f>IFERROR(VLOOKUP(INDEX(xySpace_Type_Details,MATCH($C85,'General Information'!$C$40:$C$60,0),12),Lookups!$L$8:$N$12,3,FALSE),"")</f>
        <v/>
      </c>
      <c r="Y85" s="542" t="str">
        <f>IFERROR(IF(C85="","",IF(INDEX(xyWattage_Table,MATCH(M85,'Fixture Identities'!$B$9:$B$997,0),2)="Exit Sign",0,IF(PRJ_Type="Retrofit",VLOOKUP(I85,xySVG_Factors,2,FALSE),IF(AND(PRJ_Type="New Construction",Inventory!C82="N"),VLOOKUP(VLOOKUP(Building_Type,xyLPD_BuildingArea,5,FALSE),xySVG_Factors_NC,3,FALSE),0)))),"")</f>
        <v/>
      </c>
      <c r="Z85" s="544" t="str">
        <f>IFERROR(IF(C85="","",IF(INDEX(xyWattage_Table,MATCH(M85,'Fixture Identities'!$B$9:$B$997,0),2)="Exit Sign",0,VLOOKUP(S85,xySVG_Factors,2,FALSE))),"")</f>
        <v/>
      </c>
      <c r="AA85" s="545" t="str">
        <f t="shared" si="51"/>
        <v/>
      </c>
      <c r="AB85" s="542" t="str">
        <f t="shared" si="52"/>
        <v/>
      </c>
      <c r="AC85" s="539" t="str">
        <f t="shared" si="53"/>
        <v/>
      </c>
      <c r="AD85" s="546" t="str">
        <f t="shared" si="54"/>
        <v/>
      </c>
      <c r="AE85" s="539" t="str">
        <f t="shared" si="55"/>
        <v/>
      </c>
      <c r="AF85" s="546" t="str">
        <f t="shared" si="56"/>
        <v/>
      </c>
      <c r="AG85" s="539" t="str">
        <f t="shared" si="57"/>
        <v/>
      </c>
      <c r="AH85" s="32">
        <f t="shared" si="38"/>
        <v>0</v>
      </c>
      <c r="AI85" s="32">
        <f t="shared" si="39"/>
        <v>0</v>
      </c>
      <c r="AJ85" s="32">
        <f t="shared" si="40"/>
        <v>0</v>
      </c>
      <c r="AK85" t="str">
        <f t="shared" si="41"/>
        <v/>
      </c>
      <c r="AL85" t="str">
        <f t="shared" si="42"/>
        <v/>
      </c>
      <c r="AM85" t="str">
        <f t="shared" si="43"/>
        <v/>
      </c>
      <c r="AO85" t="str">
        <f>IFERROR(VLOOKUP(M85,'Fixture Identities'!$B$9:$O$1045,14,FALSE),"")</f>
        <v/>
      </c>
      <c r="AP85" t="str">
        <f t="shared" si="37"/>
        <v/>
      </c>
    </row>
    <row r="86" spans="1:42">
      <c r="A86" s="71">
        <f t="shared" si="58"/>
        <v>0</v>
      </c>
      <c r="B86" s="513">
        <f t="shared" si="44"/>
        <v>74</v>
      </c>
      <c r="C86" s="530" t="str">
        <f>IF(Inventory!E83="","",Inventory!E83)</f>
        <v/>
      </c>
      <c r="D86" s="531">
        <f>IF(Inventory!D83="",0,Inventory!D83)</f>
        <v>0</v>
      </c>
      <c r="E86" s="532" t="str">
        <f>IF(Inventory!I83=0,"",Inventory!I83)</f>
        <v/>
      </c>
      <c r="F86" s="533" t="str">
        <f t="shared" si="45"/>
        <v/>
      </c>
      <c r="G86" s="534" t="str">
        <f>IF(Inventory!G83="","",Inventory!G83)</f>
        <v/>
      </c>
      <c r="H86" s="535" t="str">
        <f t="shared" si="46"/>
        <v/>
      </c>
      <c r="I86" s="536" t="str">
        <f>IF(Inventory!J83="","",Inventory!J83)</f>
        <v/>
      </c>
      <c r="J86" s="537" t="str">
        <f>IFERROR(IF(PRJ_Type="New Construction",IF(Inventory!C83="N",INDEX(xyLPD_BuildingArea,MATCH(Building_Type,Lookups!$F$37:$F$75,0),4),INDEX(xyLPD_SpaceBySpace,MATCH(INDEX(xyNCEx,MATCH(I86,yNCExArea,0),2),ySpace_by_Space_Type,0),2)),VLOOKUP(E86,xyWattage_Table,11,FALSE)),"")</f>
        <v/>
      </c>
      <c r="K86" s="538" t="str">
        <f>IFERROR(IF(AND(NC_Type="Building Area Method",Inventory!C83="N"),IF(ISERROR(INDEX('Usage Groups (&gt;120 MWh only)'!$N$8:$N$12,MATCH(C86,'Usage Groups (&gt;120 MWh only)'!$B$8:$B$12,0),1))=TRUE,SqFt/COUNTIFS(Inventory!$C$10:$C$1009,"N",$Q$13:$Q$1012,"&gt;=0"),INDEX('Usage Groups (&gt;120 MWh only)'!$N$8:$N$12,MATCH(C86,'Usage Groups (&gt;120 MWh only)'!$B$8:$B$12,0),1)/COUNTIF($C$13:$C$1012,C86)),IF(AND(NC_Type="Building Area Method",Inventory!C83="Y"),INDEX(xyNCEx,MATCH(I86,yNCExArea,0),3)/COUNTIF($I$13:$I$1012,I86),VLOOKUP(J86,xyWattage_Table,10,FALSE))),"")</f>
        <v/>
      </c>
      <c r="L86" s="539" t="str">
        <f t="shared" si="47"/>
        <v/>
      </c>
      <c r="M86" s="540">
        <f>IF(Inventory!N83="","",Inventory!N83)</f>
        <v>0</v>
      </c>
      <c r="N86" s="533" t="str">
        <f t="shared" si="48"/>
        <v/>
      </c>
      <c r="O86" s="534"/>
      <c r="P86" s="533" t="str">
        <f t="shared" si="49"/>
        <v/>
      </c>
      <c r="Q86" s="534" t="str">
        <f>IF(Inventory!L83="","",Inventory!L83)</f>
        <v/>
      </c>
      <c r="R86" s="535" t="str">
        <f t="shared" si="50"/>
        <v/>
      </c>
      <c r="S86" s="536" t="str">
        <f>IF(Inventory!O83="","",Inventory!O83)</f>
        <v/>
      </c>
      <c r="T86" s="541" t="str">
        <f>IFERROR(IF(C86="","",IF(INDEX(xyWattage_Table,MATCH(M86,'Fixture Identities'!$B$9:$B$997,0),2)="Exit Sign",8760,IF(VLOOKUP(C86,xySpace_Type_Details,8,FALSE)="TRM",INDEX('General Information'!$AF$17:$AG$28,11,MATCH(N86,'General Information'!$AF$16:$AG$16,0)),HLOOKUP(VLOOKUP(C86,xySpace_Type_Details,8,FALSE),'General Information'!$P$15:$AG$28,13,FALSE)))),"")</f>
        <v/>
      </c>
      <c r="U86" s="542" t="str">
        <f>IFERROR(IF(C86="","",IF(INDEX(xyWattage_Table,MATCH(M86,'Fixture Identities'!$B$9:$B$997,0),2)="Exit Sign",1,IF(VLOOKUP(C86,xySpace_Type_Details,8,FALSE)="TRM",INDEX('General Information'!$AF$17:$AG$28,12,MATCH(N86,'General Information'!$AF$16:$AG$16,0)),HLOOKUP(VLOOKUP(C86,xySpace_Type_Details,8,FALSE),'General Information'!$P$15:$AG$28,14,FALSE)))),"")</f>
        <v/>
      </c>
      <c r="V86" s="542" t="str">
        <f>IFERROR(VLOOKUP(INDEX(xySpace_Type_Details,MATCH($C86,'General Information'!$C$40:$C$60,0),12),Lookups!$L$8:$N$12,2,FALSE),"")</f>
        <v/>
      </c>
      <c r="W86" s="542" t="str">
        <f>IFERROR(VLOOKUP(INDEX(xySpace_Type_Details,MATCH($C86,'General Information'!$C$40:$C$60,0),12),Lookups!$L$8:$N$12,3,FALSE),"")</f>
        <v/>
      </c>
      <c r="Y86" s="542" t="str">
        <f>IFERROR(IF(C86="","",IF(INDEX(xyWattage_Table,MATCH(M86,'Fixture Identities'!$B$9:$B$997,0),2)="Exit Sign",0,IF(PRJ_Type="Retrofit",VLOOKUP(I86,xySVG_Factors,2,FALSE),IF(AND(PRJ_Type="New Construction",Inventory!C83="N"),VLOOKUP(VLOOKUP(Building_Type,xyLPD_BuildingArea,5,FALSE),xySVG_Factors_NC,3,FALSE),0)))),"")</f>
        <v/>
      </c>
      <c r="Z86" s="544" t="str">
        <f>IFERROR(IF(C86="","",IF(INDEX(xyWattage_Table,MATCH(M86,'Fixture Identities'!$B$9:$B$997,0),2)="Exit Sign",0,VLOOKUP(S86,xySVG_Factors,2,FALSE))),"")</f>
        <v/>
      </c>
      <c r="AA86" s="545" t="str">
        <f t="shared" si="51"/>
        <v/>
      </c>
      <c r="AB86" s="542" t="str">
        <f t="shared" si="52"/>
        <v/>
      </c>
      <c r="AC86" s="539" t="str">
        <f t="shared" si="53"/>
        <v/>
      </c>
      <c r="AD86" s="546" t="str">
        <f t="shared" si="54"/>
        <v/>
      </c>
      <c r="AE86" s="539" t="str">
        <f t="shared" si="55"/>
        <v/>
      </c>
      <c r="AF86" s="546" t="str">
        <f t="shared" si="56"/>
        <v/>
      </c>
      <c r="AG86" s="539" t="str">
        <f t="shared" si="57"/>
        <v/>
      </c>
      <c r="AH86" s="32">
        <f t="shared" si="38"/>
        <v>0</v>
      </c>
      <c r="AI86" s="32">
        <f t="shared" si="39"/>
        <v>0</v>
      </c>
      <c r="AJ86" s="32">
        <f t="shared" si="40"/>
        <v>0</v>
      </c>
      <c r="AK86" t="str">
        <f t="shared" si="41"/>
        <v/>
      </c>
      <c r="AL86" t="str">
        <f t="shared" si="42"/>
        <v/>
      </c>
      <c r="AM86" t="str">
        <f t="shared" si="43"/>
        <v/>
      </c>
      <c r="AO86" t="str">
        <f>IFERROR(VLOOKUP(M86,'Fixture Identities'!$B$9:$O$1045,14,FALSE),"")</f>
        <v/>
      </c>
      <c r="AP86" t="str">
        <f t="shared" si="37"/>
        <v/>
      </c>
    </row>
    <row r="87" spans="1:42">
      <c r="A87" s="71">
        <f t="shared" si="58"/>
        <v>0</v>
      </c>
      <c r="B87" s="513">
        <f t="shared" si="44"/>
        <v>75</v>
      </c>
      <c r="C87" s="530" t="str">
        <f>IF(Inventory!E84="","",Inventory!E84)</f>
        <v/>
      </c>
      <c r="D87" s="531">
        <f>IF(Inventory!D84="",0,Inventory!D84)</f>
        <v>0</v>
      </c>
      <c r="E87" s="532" t="str">
        <f>IF(Inventory!I84=0,"",Inventory!I84)</f>
        <v/>
      </c>
      <c r="F87" s="533" t="str">
        <f t="shared" si="45"/>
        <v/>
      </c>
      <c r="G87" s="534" t="str">
        <f>IF(Inventory!G84="","",Inventory!G84)</f>
        <v/>
      </c>
      <c r="H87" s="535" t="str">
        <f t="shared" si="46"/>
        <v/>
      </c>
      <c r="I87" s="536" t="str">
        <f>IF(Inventory!J84="","",Inventory!J84)</f>
        <v/>
      </c>
      <c r="J87" s="537" t="str">
        <f>IFERROR(IF(PRJ_Type="New Construction",IF(Inventory!C84="N",INDEX(xyLPD_BuildingArea,MATCH(Building_Type,Lookups!$F$37:$F$75,0),4),INDEX(xyLPD_SpaceBySpace,MATCH(INDEX(xyNCEx,MATCH(I87,yNCExArea,0),2),ySpace_by_Space_Type,0),2)),VLOOKUP(E87,xyWattage_Table,11,FALSE)),"")</f>
        <v/>
      </c>
      <c r="K87" s="538" t="str">
        <f>IFERROR(IF(AND(NC_Type="Building Area Method",Inventory!C84="N"),IF(ISERROR(INDEX('Usage Groups (&gt;120 MWh only)'!$N$8:$N$12,MATCH(C87,'Usage Groups (&gt;120 MWh only)'!$B$8:$B$12,0),1))=TRUE,SqFt/COUNTIFS(Inventory!$C$10:$C$1009,"N",$Q$13:$Q$1012,"&gt;=0"),INDEX('Usage Groups (&gt;120 MWh only)'!$N$8:$N$12,MATCH(C87,'Usage Groups (&gt;120 MWh only)'!$B$8:$B$12,0),1)/COUNTIF($C$13:$C$1012,C87)),IF(AND(NC_Type="Building Area Method",Inventory!C84="Y"),INDEX(xyNCEx,MATCH(I87,yNCExArea,0),3)/COUNTIF($I$13:$I$1012,I87),VLOOKUP(J87,xyWattage_Table,10,FALSE))),"")</f>
        <v/>
      </c>
      <c r="L87" s="539" t="str">
        <f t="shared" si="47"/>
        <v/>
      </c>
      <c r="M87" s="540">
        <f>IF(Inventory!N84="","",Inventory!N84)</f>
        <v>0</v>
      </c>
      <c r="N87" s="533" t="str">
        <f t="shared" si="48"/>
        <v/>
      </c>
      <c r="O87" s="534"/>
      <c r="P87" s="533" t="str">
        <f t="shared" si="49"/>
        <v/>
      </c>
      <c r="Q87" s="534" t="str">
        <f>IF(Inventory!L84="","",Inventory!L84)</f>
        <v/>
      </c>
      <c r="R87" s="535" t="str">
        <f t="shared" si="50"/>
        <v/>
      </c>
      <c r="S87" s="536" t="str">
        <f>IF(Inventory!O84="","",Inventory!O84)</f>
        <v/>
      </c>
      <c r="T87" s="541" t="str">
        <f>IFERROR(IF(C87="","",IF(INDEX(xyWattage_Table,MATCH(M87,'Fixture Identities'!$B$9:$B$997,0),2)="Exit Sign",8760,IF(VLOOKUP(C87,xySpace_Type_Details,8,FALSE)="TRM",INDEX('General Information'!$AF$17:$AG$28,11,MATCH(N87,'General Information'!$AF$16:$AG$16,0)),HLOOKUP(VLOOKUP(C87,xySpace_Type_Details,8,FALSE),'General Information'!$P$15:$AG$28,13,FALSE)))),"")</f>
        <v/>
      </c>
      <c r="U87" s="542" t="str">
        <f>IFERROR(IF(C87="","",IF(INDEX(xyWattage_Table,MATCH(M87,'Fixture Identities'!$B$9:$B$997,0),2)="Exit Sign",1,IF(VLOOKUP(C87,xySpace_Type_Details,8,FALSE)="TRM",INDEX('General Information'!$AF$17:$AG$28,12,MATCH(N87,'General Information'!$AF$16:$AG$16,0)),HLOOKUP(VLOOKUP(C87,xySpace_Type_Details,8,FALSE),'General Information'!$P$15:$AG$28,14,FALSE)))),"")</f>
        <v/>
      </c>
      <c r="V87" s="542" t="str">
        <f>IFERROR(VLOOKUP(INDEX(xySpace_Type_Details,MATCH($C87,'General Information'!$C$40:$C$60,0),12),Lookups!$L$8:$N$12,2,FALSE),"")</f>
        <v/>
      </c>
      <c r="W87" s="542" t="str">
        <f>IFERROR(VLOOKUP(INDEX(xySpace_Type_Details,MATCH($C87,'General Information'!$C$40:$C$60,0),12),Lookups!$L$8:$N$12,3,FALSE),"")</f>
        <v/>
      </c>
      <c r="Y87" s="542" t="str">
        <f>IFERROR(IF(C87="","",IF(INDEX(xyWattage_Table,MATCH(M87,'Fixture Identities'!$B$9:$B$997,0),2)="Exit Sign",0,IF(PRJ_Type="Retrofit",VLOOKUP(I87,xySVG_Factors,2,FALSE),IF(AND(PRJ_Type="New Construction",Inventory!C84="N"),VLOOKUP(VLOOKUP(Building_Type,xyLPD_BuildingArea,5,FALSE),xySVG_Factors_NC,3,FALSE),0)))),"")</f>
        <v/>
      </c>
      <c r="Z87" s="544" t="str">
        <f>IFERROR(IF(C87="","",IF(INDEX(xyWattage_Table,MATCH(M87,'Fixture Identities'!$B$9:$B$997,0),2)="Exit Sign",0,VLOOKUP(S87,xySVG_Factors,2,FALSE))),"")</f>
        <v/>
      </c>
      <c r="AA87" s="545" t="str">
        <f t="shared" si="51"/>
        <v/>
      </c>
      <c r="AB87" s="542" t="str">
        <f t="shared" si="52"/>
        <v/>
      </c>
      <c r="AC87" s="539" t="str">
        <f t="shared" si="53"/>
        <v/>
      </c>
      <c r="AD87" s="546" t="str">
        <f t="shared" si="54"/>
        <v/>
      </c>
      <c r="AE87" s="539" t="str">
        <f t="shared" si="55"/>
        <v/>
      </c>
      <c r="AF87" s="546" t="str">
        <f t="shared" si="56"/>
        <v/>
      </c>
      <c r="AG87" s="539" t="str">
        <f t="shared" si="57"/>
        <v/>
      </c>
      <c r="AH87" s="32">
        <f t="shared" si="38"/>
        <v>0</v>
      </c>
      <c r="AI87" s="32">
        <f t="shared" si="39"/>
        <v>0</v>
      </c>
      <c r="AJ87" s="32">
        <f t="shared" si="40"/>
        <v>0</v>
      </c>
      <c r="AK87" t="str">
        <f t="shared" si="41"/>
        <v/>
      </c>
      <c r="AL87" t="str">
        <f t="shared" si="42"/>
        <v/>
      </c>
      <c r="AM87" t="str">
        <f t="shared" si="43"/>
        <v/>
      </c>
      <c r="AO87" t="str">
        <f>IFERROR(VLOOKUP(M87,'Fixture Identities'!$B$9:$O$1045,14,FALSE),"")</f>
        <v/>
      </c>
      <c r="AP87" t="str">
        <f t="shared" si="37"/>
        <v/>
      </c>
    </row>
    <row r="88" spans="1:42">
      <c r="A88" s="71">
        <f t="shared" si="58"/>
        <v>0</v>
      </c>
      <c r="B88" s="513">
        <f t="shared" si="44"/>
        <v>76</v>
      </c>
      <c r="C88" s="530" t="str">
        <f>IF(Inventory!E85="","",Inventory!E85)</f>
        <v/>
      </c>
      <c r="D88" s="531">
        <f>IF(Inventory!D85="",0,Inventory!D85)</f>
        <v>0</v>
      </c>
      <c r="E88" s="532" t="str">
        <f>IF(Inventory!I85=0,"",Inventory!I85)</f>
        <v/>
      </c>
      <c r="F88" s="533" t="str">
        <f t="shared" si="45"/>
        <v/>
      </c>
      <c r="G88" s="534" t="str">
        <f>IF(Inventory!G85="","",Inventory!G85)</f>
        <v/>
      </c>
      <c r="H88" s="535" t="str">
        <f t="shared" si="46"/>
        <v/>
      </c>
      <c r="I88" s="536" t="str">
        <f>IF(Inventory!J85="","",Inventory!J85)</f>
        <v/>
      </c>
      <c r="J88" s="537" t="str">
        <f>IFERROR(IF(PRJ_Type="New Construction",IF(Inventory!C85="N",INDEX(xyLPD_BuildingArea,MATCH(Building_Type,Lookups!$F$37:$F$75,0),4),INDEX(xyLPD_SpaceBySpace,MATCH(INDEX(xyNCEx,MATCH(I88,yNCExArea,0),2),ySpace_by_Space_Type,0),2)),VLOOKUP(E88,xyWattage_Table,11,FALSE)),"")</f>
        <v/>
      </c>
      <c r="K88" s="538" t="str">
        <f>IFERROR(IF(AND(NC_Type="Building Area Method",Inventory!C85="N"),IF(ISERROR(INDEX('Usage Groups (&gt;120 MWh only)'!$N$8:$N$12,MATCH(C88,'Usage Groups (&gt;120 MWh only)'!$B$8:$B$12,0),1))=TRUE,SqFt/COUNTIFS(Inventory!$C$10:$C$1009,"N",$Q$13:$Q$1012,"&gt;=0"),INDEX('Usage Groups (&gt;120 MWh only)'!$N$8:$N$12,MATCH(C88,'Usage Groups (&gt;120 MWh only)'!$B$8:$B$12,0),1)/COUNTIF($C$13:$C$1012,C88)),IF(AND(NC_Type="Building Area Method",Inventory!C85="Y"),INDEX(xyNCEx,MATCH(I88,yNCExArea,0),3)/COUNTIF($I$13:$I$1012,I88),VLOOKUP(J88,xyWattage_Table,10,FALSE))),"")</f>
        <v/>
      </c>
      <c r="L88" s="539" t="str">
        <f t="shared" si="47"/>
        <v/>
      </c>
      <c r="M88" s="540">
        <f>IF(Inventory!N85="","",Inventory!N85)</f>
        <v>0</v>
      </c>
      <c r="N88" s="533" t="str">
        <f t="shared" si="48"/>
        <v/>
      </c>
      <c r="O88" s="534"/>
      <c r="P88" s="533" t="str">
        <f t="shared" si="49"/>
        <v/>
      </c>
      <c r="Q88" s="534" t="str">
        <f>IF(Inventory!L85="","",Inventory!L85)</f>
        <v/>
      </c>
      <c r="R88" s="535" t="str">
        <f t="shared" si="50"/>
        <v/>
      </c>
      <c r="S88" s="536" t="str">
        <f>IF(Inventory!O85="","",Inventory!O85)</f>
        <v/>
      </c>
      <c r="T88" s="541" t="str">
        <f>IFERROR(IF(C88="","",IF(INDEX(xyWattage_Table,MATCH(M88,'Fixture Identities'!$B$9:$B$997,0),2)="Exit Sign",8760,IF(VLOOKUP(C88,xySpace_Type_Details,8,FALSE)="TRM",INDEX('General Information'!$AF$17:$AG$28,11,MATCH(N88,'General Information'!$AF$16:$AG$16,0)),HLOOKUP(VLOOKUP(C88,xySpace_Type_Details,8,FALSE),'General Information'!$P$15:$AG$28,13,FALSE)))),"")</f>
        <v/>
      </c>
      <c r="U88" s="542" t="str">
        <f>IFERROR(IF(C88="","",IF(INDEX(xyWattage_Table,MATCH(M88,'Fixture Identities'!$B$9:$B$997,0),2)="Exit Sign",1,IF(VLOOKUP(C88,xySpace_Type_Details,8,FALSE)="TRM",INDEX('General Information'!$AF$17:$AG$28,12,MATCH(N88,'General Information'!$AF$16:$AG$16,0)),HLOOKUP(VLOOKUP(C88,xySpace_Type_Details,8,FALSE),'General Information'!$P$15:$AG$28,14,FALSE)))),"")</f>
        <v/>
      </c>
      <c r="V88" s="542" t="str">
        <f>IFERROR(VLOOKUP(INDEX(xySpace_Type_Details,MATCH($C88,'General Information'!$C$40:$C$60,0),12),Lookups!$L$8:$N$12,2,FALSE),"")</f>
        <v/>
      </c>
      <c r="W88" s="542" t="str">
        <f>IFERROR(VLOOKUP(INDEX(xySpace_Type_Details,MATCH($C88,'General Information'!$C$40:$C$60,0),12),Lookups!$L$8:$N$12,3,FALSE),"")</f>
        <v/>
      </c>
      <c r="Y88" s="542" t="str">
        <f>IFERROR(IF(C88="","",IF(INDEX(xyWattage_Table,MATCH(M88,'Fixture Identities'!$B$9:$B$997,0),2)="Exit Sign",0,IF(PRJ_Type="Retrofit",VLOOKUP(I88,xySVG_Factors,2,FALSE),IF(AND(PRJ_Type="New Construction",Inventory!C85="N"),VLOOKUP(VLOOKUP(Building_Type,xyLPD_BuildingArea,5,FALSE),xySVG_Factors_NC,3,FALSE),0)))),"")</f>
        <v/>
      </c>
      <c r="Z88" s="544" t="str">
        <f>IFERROR(IF(C88="","",IF(INDEX(xyWattage_Table,MATCH(M88,'Fixture Identities'!$B$9:$B$997,0),2)="Exit Sign",0,VLOOKUP(S88,xySVG_Factors,2,FALSE))),"")</f>
        <v/>
      </c>
      <c r="AA88" s="545" t="str">
        <f t="shared" si="51"/>
        <v/>
      </c>
      <c r="AB88" s="542" t="str">
        <f t="shared" si="52"/>
        <v/>
      </c>
      <c r="AC88" s="539" t="str">
        <f t="shared" si="53"/>
        <v/>
      </c>
      <c r="AD88" s="546" t="str">
        <f t="shared" si="54"/>
        <v/>
      </c>
      <c r="AE88" s="539" t="str">
        <f t="shared" si="55"/>
        <v/>
      </c>
      <c r="AF88" s="546" t="str">
        <f t="shared" si="56"/>
        <v/>
      </c>
      <c r="AG88" s="539" t="str">
        <f t="shared" si="57"/>
        <v/>
      </c>
      <c r="AH88" s="32">
        <f t="shared" si="38"/>
        <v>0</v>
      </c>
      <c r="AI88" s="32">
        <f t="shared" si="39"/>
        <v>0</v>
      </c>
      <c r="AJ88" s="32">
        <f t="shared" si="40"/>
        <v>0</v>
      </c>
      <c r="AK88" t="str">
        <f t="shared" si="41"/>
        <v/>
      </c>
      <c r="AL88" t="str">
        <f t="shared" si="42"/>
        <v/>
      </c>
      <c r="AM88" t="str">
        <f t="shared" si="43"/>
        <v/>
      </c>
      <c r="AO88" t="str">
        <f>IFERROR(VLOOKUP(M88,'Fixture Identities'!$B$9:$O$1045,14,FALSE),"")</f>
        <v/>
      </c>
      <c r="AP88" t="str">
        <f t="shared" si="37"/>
        <v/>
      </c>
    </row>
    <row r="89" spans="1:42">
      <c r="A89" s="71">
        <f t="shared" si="58"/>
        <v>0</v>
      </c>
      <c r="B89" s="513">
        <f t="shared" si="44"/>
        <v>77</v>
      </c>
      <c r="C89" s="530" t="str">
        <f>IF(Inventory!E86="","",Inventory!E86)</f>
        <v/>
      </c>
      <c r="D89" s="531">
        <f>IF(Inventory!D86="",0,Inventory!D86)</f>
        <v>0</v>
      </c>
      <c r="E89" s="532" t="str">
        <f>IF(Inventory!I86=0,"",Inventory!I86)</f>
        <v/>
      </c>
      <c r="F89" s="533" t="str">
        <f t="shared" si="45"/>
        <v/>
      </c>
      <c r="G89" s="534" t="str">
        <f>IF(Inventory!G86="","",Inventory!G86)</f>
        <v/>
      </c>
      <c r="H89" s="535" t="str">
        <f t="shared" si="46"/>
        <v/>
      </c>
      <c r="I89" s="536" t="str">
        <f>IF(Inventory!J86="","",Inventory!J86)</f>
        <v/>
      </c>
      <c r="J89" s="537" t="str">
        <f>IFERROR(IF(PRJ_Type="New Construction",IF(Inventory!C86="N",INDEX(xyLPD_BuildingArea,MATCH(Building_Type,Lookups!$F$37:$F$75,0),4),INDEX(xyLPD_SpaceBySpace,MATCH(INDEX(xyNCEx,MATCH(I89,yNCExArea,0),2),ySpace_by_Space_Type,0),2)),VLOOKUP(E89,xyWattage_Table,11,FALSE)),"")</f>
        <v/>
      </c>
      <c r="K89" s="538" t="str">
        <f>IFERROR(IF(AND(NC_Type="Building Area Method",Inventory!C86="N"),IF(ISERROR(INDEX('Usage Groups (&gt;120 MWh only)'!$N$8:$N$12,MATCH(C89,'Usage Groups (&gt;120 MWh only)'!$B$8:$B$12,0),1))=TRUE,SqFt/COUNTIFS(Inventory!$C$10:$C$1009,"N",$Q$13:$Q$1012,"&gt;=0"),INDEX('Usage Groups (&gt;120 MWh only)'!$N$8:$N$12,MATCH(C89,'Usage Groups (&gt;120 MWh only)'!$B$8:$B$12,0),1)/COUNTIF($C$13:$C$1012,C89)),IF(AND(NC_Type="Building Area Method",Inventory!C86="Y"),INDEX(xyNCEx,MATCH(I89,yNCExArea,0),3)/COUNTIF($I$13:$I$1012,I89),VLOOKUP(J89,xyWattage_Table,10,FALSE))),"")</f>
        <v/>
      </c>
      <c r="L89" s="539" t="str">
        <f t="shared" si="47"/>
        <v/>
      </c>
      <c r="M89" s="540">
        <f>IF(Inventory!N86="","",Inventory!N86)</f>
        <v>0</v>
      </c>
      <c r="N89" s="533" t="str">
        <f t="shared" si="48"/>
        <v/>
      </c>
      <c r="O89" s="534"/>
      <c r="P89" s="533" t="str">
        <f t="shared" si="49"/>
        <v/>
      </c>
      <c r="Q89" s="534" t="str">
        <f>IF(Inventory!L86="","",Inventory!L86)</f>
        <v/>
      </c>
      <c r="R89" s="535" t="str">
        <f t="shared" si="50"/>
        <v/>
      </c>
      <c r="S89" s="536" t="str">
        <f>IF(Inventory!O86="","",Inventory!O86)</f>
        <v/>
      </c>
      <c r="T89" s="541" t="str">
        <f>IFERROR(IF(C89="","",IF(INDEX(xyWattage_Table,MATCH(M89,'Fixture Identities'!$B$9:$B$997,0),2)="Exit Sign",8760,IF(VLOOKUP(C89,xySpace_Type_Details,8,FALSE)="TRM",INDEX('General Information'!$AF$17:$AG$28,11,MATCH(N89,'General Information'!$AF$16:$AG$16,0)),HLOOKUP(VLOOKUP(C89,xySpace_Type_Details,8,FALSE),'General Information'!$P$15:$AG$28,13,FALSE)))),"")</f>
        <v/>
      </c>
      <c r="U89" s="542" t="str">
        <f>IFERROR(IF(C89="","",IF(INDEX(xyWattage_Table,MATCH(M89,'Fixture Identities'!$B$9:$B$997,0),2)="Exit Sign",1,IF(VLOOKUP(C89,xySpace_Type_Details,8,FALSE)="TRM",INDEX('General Information'!$AF$17:$AG$28,12,MATCH(N89,'General Information'!$AF$16:$AG$16,0)),HLOOKUP(VLOOKUP(C89,xySpace_Type_Details,8,FALSE),'General Information'!$P$15:$AG$28,14,FALSE)))),"")</f>
        <v/>
      </c>
      <c r="V89" s="542" t="str">
        <f>IFERROR(VLOOKUP(INDEX(xySpace_Type_Details,MATCH($C89,'General Information'!$C$40:$C$60,0),12),Lookups!$L$8:$N$12,2,FALSE),"")</f>
        <v/>
      </c>
      <c r="W89" s="542" t="str">
        <f>IFERROR(VLOOKUP(INDEX(xySpace_Type_Details,MATCH($C89,'General Information'!$C$40:$C$60,0),12),Lookups!$L$8:$N$12,3,FALSE),"")</f>
        <v/>
      </c>
      <c r="Y89" s="542" t="str">
        <f>IFERROR(IF(C89="","",IF(INDEX(xyWattage_Table,MATCH(M89,'Fixture Identities'!$B$9:$B$997,0),2)="Exit Sign",0,IF(PRJ_Type="Retrofit",VLOOKUP(I89,xySVG_Factors,2,FALSE),IF(AND(PRJ_Type="New Construction",Inventory!C86="N"),VLOOKUP(VLOOKUP(Building_Type,xyLPD_BuildingArea,5,FALSE),xySVG_Factors_NC,3,FALSE),0)))),"")</f>
        <v/>
      </c>
      <c r="Z89" s="544" t="str">
        <f>IFERROR(IF(C89="","",IF(INDEX(xyWattage_Table,MATCH(M89,'Fixture Identities'!$B$9:$B$997,0),2)="Exit Sign",0,VLOOKUP(S89,xySVG_Factors,2,FALSE))),"")</f>
        <v/>
      </c>
      <c r="AA89" s="545" t="str">
        <f t="shared" si="51"/>
        <v/>
      </c>
      <c r="AB89" s="542" t="str">
        <f t="shared" si="52"/>
        <v/>
      </c>
      <c r="AC89" s="539" t="str">
        <f t="shared" si="53"/>
        <v/>
      </c>
      <c r="AD89" s="546" t="str">
        <f t="shared" si="54"/>
        <v/>
      </c>
      <c r="AE89" s="539" t="str">
        <f t="shared" si="55"/>
        <v/>
      </c>
      <c r="AF89" s="546" t="str">
        <f t="shared" si="56"/>
        <v/>
      </c>
      <c r="AG89" s="539" t="str">
        <f t="shared" si="57"/>
        <v/>
      </c>
      <c r="AH89" s="32">
        <f t="shared" si="38"/>
        <v>0</v>
      </c>
      <c r="AI89" s="32">
        <f t="shared" si="39"/>
        <v>0</v>
      </c>
      <c r="AJ89" s="32">
        <f t="shared" si="40"/>
        <v>0</v>
      </c>
      <c r="AK89" t="str">
        <f t="shared" si="41"/>
        <v/>
      </c>
      <c r="AL89" t="str">
        <f t="shared" si="42"/>
        <v/>
      </c>
      <c r="AM89" t="str">
        <f t="shared" si="43"/>
        <v/>
      </c>
      <c r="AO89" t="str">
        <f>IFERROR(VLOOKUP(M89,'Fixture Identities'!$B$9:$O$1045,14,FALSE),"")</f>
        <v/>
      </c>
      <c r="AP89" t="str">
        <f t="shared" si="37"/>
        <v/>
      </c>
    </row>
    <row r="90" spans="1:42">
      <c r="A90" s="71">
        <f t="shared" si="58"/>
        <v>0</v>
      </c>
      <c r="B90" s="513">
        <f t="shared" si="44"/>
        <v>78</v>
      </c>
      <c r="C90" s="530" t="str">
        <f>IF(Inventory!E87="","",Inventory!E87)</f>
        <v/>
      </c>
      <c r="D90" s="531">
        <f>IF(Inventory!D87="",0,Inventory!D87)</f>
        <v>0</v>
      </c>
      <c r="E90" s="532" t="str">
        <f>IF(Inventory!I87=0,"",Inventory!I87)</f>
        <v/>
      </c>
      <c r="F90" s="533" t="str">
        <f t="shared" si="45"/>
        <v/>
      </c>
      <c r="G90" s="534" t="str">
        <f>IF(Inventory!G87="","",Inventory!G87)</f>
        <v/>
      </c>
      <c r="H90" s="535" t="str">
        <f t="shared" si="46"/>
        <v/>
      </c>
      <c r="I90" s="536" t="str">
        <f>IF(Inventory!J87="","",Inventory!J87)</f>
        <v/>
      </c>
      <c r="J90" s="537" t="str">
        <f>IFERROR(IF(PRJ_Type="New Construction",IF(Inventory!C87="N",INDEX(xyLPD_BuildingArea,MATCH(Building_Type,Lookups!$F$37:$F$75,0),4),INDEX(xyLPD_SpaceBySpace,MATCH(INDEX(xyNCEx,MATCH(I90,yNCExArea,0),2),ySpace_by_Space_Type,0),2)),VLOOKUP(E90,xyWattage_Table,11,FALSE)),"")</f>
        <v/>
      </c>
      <c r="K90" s="538" t="str">
        <f>IFERROR(IF(AND(NC_Type="Building Area Method",Inventory!C87="N"),IF(ISERROR(INDEX('Usage Groups (&gt;120 MWh only)'!$N$8:$N$12,MATCH(C90,'Usage Groups (&gt;120 MWh only)'!$B$8:$B$12,0),1))=TRUE,SqFt/COUNTIFS(Inventory!$C$10:$C$1009,"N",$Q$13:$Q$1012,"&gt;=0"),INDEX('Usage Groups (&gt;120 MWh only)'!$N$8:$N$12,MATCH(C90,'Usage Groups (&gt;120 MWh only)'!$B$8:$B$12,0),1)/COUNTIF($C$13:$C$1012,C90)),IF(AND(NC_Type="Building Area Method",Inventory!C87="Y"),INDEX(xyNCEx,MATCH(I90,yNCExArea,0),3)/COUNTIF($I$13:$I$1012,I90),VLOOKUP(J90,xyWattage_Table,10,FALSE))),"")</f>
        <v/>
      </c>
      <c r="L90" s="539" t="str">
        <f t="shared" si="47"/>
        <v/>
      </c>
      <c r="M90" s="540">
        <f>IF(Inventory!N87="","",Inventory!N87)</f>
        <v>0</v>
      </c>
      <c r="N90" s="533" t="str">
        <f t="shared" si="48"/>
        <v/>
      </c>
      <c r="O90" s="534"/>
      <c r="P90" s="533" t="str">
        <f t="shared" si="49"/>
        <v/>
      </c>
      <c r="Q90" s="534" t="str">
        <f>IF(Inventory!L87="","",Inventory!L87)</f>
        <v/>
      </c>
      <c r="R90" s="535" t="str">
        <f t="shared" si="50"/>
        <v/>
      </c>
      <c r="S90" s="536" t="str">
        <f>IF(Inventory!O87="","",Inventory!O87)</f>
        <v/>
      </c>
      <c r="T90" s="541" t="str">
        <f>IFERROR(IF(C90="","",IF(INDEX(xyWattage_Table,MATCH(M90,'Fixture Identities'!$B$9:$B$997,0),2)="Exit Sign",8760,IF(VLOOKUP(C90,xySpace_Type_Details,8,FALSE)="TRM",INDEX('General Information'!$AF$17:$AG$28,11,MATCH(N90,'General Information'!$AF$16:$AG$16,0)),HLOOKUP(VLOOKUP(C90,xySpace_Type_Details,8,FALSE),'General Information'!$P$15:$AG$28,13,FALSE)))),"")</f>
        <v/>
      </c>
      <c r="U90" s="542" t="str">
        <f>IFERROR(IF(C90="","",IF(INDEX(xyWattage_Table,MATCH(M90,'Fixture Identities'!$B$9:$B$997,0),2)="Exit Sign",1,IF(VLOOKUP(C90,xySpace_Type_Details,8,FALSE)="TRM",INDEX('General Information'!$AF$17:$AG$28,12,MATCH(N90,'General Information'!$AF$16:$AG$16,0)),HLOOKUP(VLOOKUP(C90,xySpace_Type_Details,8,FALSE),'General Information'!$P$15:$AG$28,14,FALSE)))),"")</f>
        <v/>
      </c>
      <c r="V90" s="542" t="str">
        <f>IFERROR(VLOOKUP(INDEX(xySpace_Type_Details,MATCH($C90,'General Information'!$C$40:$C$60,0),12),Lookups!$L$8:$N$12,2,FALSE),"")</f>
        <v/>
      </c>
      <c r="W90" s="542" t="str">
        <f>IFERROR(VLOOKUP(INDEX(xySpace_Type_Details,MATCH($C90,'General Information'!$C$40:$C$60,0),12),Lookups!$L$8:$N$12,3,FALSE),"")</f>
        <v/>
      </c>
      <c r="Y90" s="542" t="str">
        <f>IFERROR(IF(C90="","",IF(INDEX(xyWattage_Table,MATCH(M90,'Fixture Identities'!$B$9:$B$997,0),2)="Exit Sign",0,IF(PRJ_Type="Retrofit",VLOOKUP(I90,xySVG_Factors,2,FALSE),IF(AND(PRJ_Type="New Construction",Inventory!C87="N"),VLOOKUP(VLOOKUP(Building_Type,xyLPD_BuildingArea,5,FALSE),xySVG_Factors_NC,3,FALSE),0)))),"")</f>
        <v/>
      </c>
      <c r="Z90" s="544" t="str">
        <f>IFERROR(IF(C90="","",IF(INDEX(xyWattage_Table,MATCH(M90,'Fixture Identities'!$B$9:$B$997,0),2)="Exit Sign",0,VLOOKUP(S90,xySVG_Factors,2,FALSE))),"")</f>
        <v/>
      </c>
      <c r="AA90" s="545" t="str">
        <f t="shared" si="51"/>
        <v/>
      </c>
      <c r="AB90" s="542" t="str">
        <f t="shared" si="52"/>
        <v/>
      </c>
      <c r="AC90" s="539" t="str">
        <f t="shared" si="53"/>
        <v/>
      </c>
      <c r="AD90" s="546" t="str">
        <f t="shared" si="54"/>
        <v/>
      </c>
      <c r="AE90" s="539" t="str">
        <f t="shared" si="55"/>
        <v/>
      </c>
      <c r="AF90" s="546" t="str">
        <f t="shared" si="56"/>
        <v/>
      </c>
      <c r="AG90" s="539" t="str">
        <f t="shared" si="57"/>
        <v/>
      </c>
      <c r="AH90" s="32">
        <f t="shared" si="38"/>
        <v>0</v>
      </c>
      <c r="AI90" s="32">
        <f t="shared" si="39"/>
        <v>0</v>
      </c>
      <c r="AJ90" s="32">
        <f t="shared" si="40"/>
        <v>0</v>
      </c>
      <c r="AK90" t="str">
        <f t="shared" si="41"/>
        <v/>
      </c>
      <c r="AL90" t="str">
        <f t="shared" si="42"/>
        <v/>
      </c>
      <c r="AM90" t="str">
        <f t="shared" si="43"/>
        <v/>
      </c>
      <c r="AO90" t="str">
        <f>IFERROR(VLOOKUP(M90,'Fixture Identities'!$B$9:$O$1045,14,FALSE),"")</f>
        <v/>
      </c>
      <c r="AP90" t="str">
        <f t="shared" si="37"/>
        <v/>
      </c>
    </row>
    <row r="91" spans="1:42">
      <c r="A91" s="71">
        <f t="shared" si="58"/>
        <v>0</v>
      </c>
      <c r="B91" s="513">
        <f t="shared" si="44"/>
        <v>79</v>
      </c>
      <c r="C91" s="530" t="str">
        <f>IF(Inventory!E88="","",Inventory!E88)</f>
        <v/>
      </c>
      <c r="D91" s="531">
        <f>IF(Inventory!D88="",0,Inventory!D88)</f>
        <v>0</v>
      </c>
      <c r="E91" s="532" t="str">
        <f>IF(Inventory!I88=0,"",Inventory!I88)</f>
        <v/>
      </c>
      <c r="F91" s="533" t="str">
        <f t="shared" si="45"/>
        <v/>
      </c>
      <c r="G91" s="534" t="str">
        <f>IF(Inventory!G88="","",Inventory!G88)</f>
        <v/>
      </c>
      <c r="H91" s="535" t="str">
        <f t="shared" si="46"/>
        <v/>
      </c>
      <c r="I91" s="536" t="str">
        <f>IF(Inventory!J88="","",Inventory!J88)</f>
        <v/>
      </c>
      <c r="J91" s="537" t="str">
        <f>IFERROR(IF(PRJ_Type="New Construction",IF(Inventory!C88="N",INDEX(xyLPD_BuildingArea,MATCH(Building_Type,Lookups!$F$37:$F$75,0),4),INDEX(xyLPD_SpaceBySpace,MATCH(INDEX(xyNCEx,MATCH(I91,yNCExArea,0),2),ySpace_by_Space_Type,0),2)),VLOOKUP(E91,xyWattage_Table,11,FALSE)),"")</f>
        <v/>
      </c>
      <c r="K91" s="538" t="str">
        <f>IFERROR(IF(AND(NC_Type="Building Area Method",Inventory!C88="N"),IF(ISERROR(INDEX('Usage Groups (&gt;120 MWh only)'!$N$8:$N$12,MATCH(C91,'Usage Groups (&gt;120 MWh only)'!$B$8:$B$12,0),1))=TRUE,SqFt/COUNTIFS(Inventory!$C$10:$C$1009,"N",$Q$13:$Q$1012,"&gt;=0"),INDEX('Usage Groups (&gt;120 MWh only)'!$N$8:$N$12,MATCH(C91,'Usage Groups (&gt;120 MWh only)'!$B$8:$B$12,0),1)/COUNTIF($C$13:$C$1012,C91)),IF(AND(NC_Type="Building Area Method",Inventory!C88="Y"),INDEX(xyNCEx,MATCH(I91,yNCExArea,0),3)/COUNTIF($I$13:$I$1012,I91),VLOOKUP(J91,xyWattage_Table,10,FALSE))),"")</f>
        <v/>
      </c>
      <c r="L91" s="539" t="str">
        <f t="shared" si="47"/>
        <v/>
      </c>
      <c r="M91" s="540">
        <f>IF(Inventory!N88="","",Inventory!N88)</f>
        <v>0</v>
      </c>
      <c r="N91" s="533" t="str">
        <f t="shared" si="48"/>
        <v/>
      </c>
      <c r="O91" s="534"/>
      <c r="P91" s="533" t="str">
        <f t="shared" si="49"/>
        <v/>
      </c>
      <c r="Q91" s="534" t="str">
        <f>IF(Inventory!L88="","",Inventory!L88)</f>
        <v/>
      </c>
      <c r="R91" s="535" t="str">
        <f t="shared" si="50"/>
        <v/>
      </c>
      <c r="S91" s="536" t="str">
        <f>IF(Inventory!O88="","",Inventory!O88)</f>
        <v/>
      </c>
      <c r="T91" s="541" t="str">
        <f>IFERROR(IF(C91="","",IF(INDEX(xyWattage_Table,MATCH(M91,'Fixture Identities'!$B$9:$B$997,0),2)="Exit Sign",8760,IF(VLOOKUP(C91,xySpace_Type_Details,8,FALSE)="TRM",INDEX('General Information'!$AF$17:$AG$28,11,MATCH(N91,'General Information'!$AF$16:$AG$16,0)),HLOOKUP(VLOOKUP(C91,xySpace_Type_Details,8,FALSE),'General Information'!$P$15:$AG$28,13,FALSE)))),"")</f>
        <v/>
      </c>
      <c r="U91" s="542" t="str">
        <f>IFERROR(IF(C91="","",IF(INDEX(xyWattage_Table,MATCH(M91,'Fixture Identities'!$B$9:$B$997,0),2)="Exit Sign",1,IF(VLOOKUP(C91,xySpace_Type_Details,8,FALSE)="TRM",INDEX('General Information'!$AF$17:$AG$28,12,MATCH(N91,'General Information'!$AF$16:$AG$16,0)),HLOOKUP(VLOOKUP(C91,xySpace_Type_Details,8,FALSE),'General Information'!$P$15:$AG$28,14,FALSE)))),"")</f>
        <v/>
      </c>
      <c r="V91" s="542" t="str">
        <f>IFERROR(VLOOKUP(INDEX(xySpace_Type_Details,MATCH($C91,'General Information'!$C$40:$C$60,0),12),Lookups!$L$8:$N$12,2,FALSE),"")</f>
        <v/>
      </c>
      <c r="W91" s="542" t="str">
        <f>IFERROR(VLOOKUP(INDEX(xySpace_Type_Details,MATCH($C91,'General Information'!$C$40:$C$60,0),12),Lookups!$L$8:$N$12,3,FALSE),"")</f>
        <v/>
      </c>
      <c r="Y91" s="542" t="str">
        <f>IFERROR(IF(C91="","",IF(INDEX(xyWattage_Table,MATCH(M91,'Fixture Identities'!$B$9:$B$997,0),2)="Exit Sign",0,IF(PRJ_Type="Retrofit",VLOOKUP(I91,xySVG_Factors,2,FALSE),IF(AND(PRJ_Type="New Construction",Inventory!C88="N"),VLOOKUP(VLOOKUP(Building_Type,xyLPD_BuildingArea,5,FALSE),xySVG_Factors_NC,3,FALSE),0)))),"")</f>
        <v/>
      </c>
      <c r="Z91" s="544" t="str">
        <f>IFERROR(IF(C91="","",IF(INDEX(xyWattage_Table,MATCH(M91,'Fixture Identities'!$B$9:$B$997,0),2)="Exit Sign",0,VLOOKUP(S91,xySVG_Factors,2,FALSE))),"")</f>
        <v/>
      </c>
      <c r="AA91" s="545" t="str">
        <f t="shared" si="51"/>
        <v/>
      </c>
      <c r="AB91" s="542" t="str">
        <f t="shared" si="52"/>
        <v/>
      </c>
      <c r="AC91" s="539" t="str">
        <f t="shared" si="53"/>
        <v/>
      </c>
      <c r="AD91" s="546" t="str">
        <f t="shared" si="54"/>
        <v/>
      </c>
      <c r="AE91" s="539" t="str">
        <f t="shared" si="55"/>
        <v/>
      </c>
      <c r="AF91" s="546" t="str">
        <f t="shared" si="56"/>
        <v/>
      </c>
      <c r="AG91" s="539" t="str">
        <f t="shared" si="57"/>
        <v/>
      </c>
      <c r="AH91" s="32">
        <f t="shared" si="38"/>
        <v>0</v>
      </c>
      <c r="AI91" s="32">
        <f t="shared" si="39"/>
        <v>0</v>
      </c>
      <c r="AJ91" s="32">
        <f t="shared" si="40"/>
        <v>0</v>
      </c>
      <c r="AK91" t="str">
        <f t="shared" si="41"/>
        <v/>
      </c>
      <c r="AL91" t="str">
        <f t="shared" si="42"/>
        <v/>
      </c>
      <c r="AM91" t="str">
        <f t="shared" si="43"/>
        <v/>
      </c>
      <c r="AO91" t="str">
        <f>IFERROR(VLOOKUP(M91,'Fixture Identities'!$B$9:$O$1045,14,FALSE),"")</f>
        <v/>
      </c>
      <c r="AP91" t="str">
        <f t="shared" si="37"/>
        <v/>
      </c>
    </row>
    <row r="92" spans="1:42">
      <c r="A92" s="71">
        <f t="shared" si="58"/>
        <v>0</v>
      </c>
      <c r="B92" s="513">
        <f t="shared" si="44"/>
        <v>80</v>
      </c>
      <c r="C92" s="530" t="str">
        <f>IF(Inventory!E89="","",Inventory!E89)</f>
        <v/>
      </c>
      <c r="D92" s="531">
        <f>IF(Inventory!D89="",0,Inventory!D89)</f>
        <v>0</v>
      </c>
      <c r="E92" s="532" t="str">
        <f>IF(Inventory!I89=0,"",Inventory!I89)</f>
        <v/>
      </c>
      <c r="F92" s="533" t="str">
        <f t="shared" si="45"/>
        <v/>
      </c>
      <c r="G92" s="534" t="str">
        <f>IF(Inventory!G89="","",Inventory!G89)</f>
        <v/>
      </c>
      <c r="H92" s="535" t="str">
        <f t="shared" si="46"/>
        <v/>
      </c>
      <c r="I92" s="536" t="str">
        <f>IF(Inventory!J89="","",Inventory!J89)</f>
        <v/>
      </c>
      <c r="J92" s="537" t="str">
        <f>IFERROR(IF(PRJ_Type="New Construction",IF(Inventory!C89="N",INDEX(xyLPD_BuildingArea,MATCH(Building_Type,Lookups!$F$37:$F$75,0),4),INDEX(xyLPD_SpaceBySpace,MATCH(INDEX(xyNCEx,MATCH(I92,yNCExArea,0),2),ySpace_by_Space_Type,0),2)),VLOOKUP(E92,xyWattage_Table,11,FALSE)),"")</f>
        <v/>
      </c>
      <c r="K92" s="538" t="str">
        <f>IFERROR(IF(AND(NC_Type="Building Area Method",Inventory!C89="N"),IF(ISERROR(INDEX('Usage Groups (&gt;120 MWh only)'!$N$8:$N$12,MATCH(C92,'Usage Groups (&gt;120 MWh only)'!$B$8:$B$12,0),1))=TRUE,SqFt/COUNTIFS(Inventory!$C$10:$C$1009,"N",$Q$13:$Q$1012,"&gt;=0"),INDEX('Usage Groups (&gt;120 MWh only)'!$N$8:$N$12,MATCH(C92,'Usage Groups (&gt;120 MWh only)'!$B$8:$B$12,0),1)/COUNTIF($C$13:$C$1012,C92)),IF(AND(NC_Type="Building Area Method",Inventory!C89="Y"),INDEX(xyNCEx,MATCH(I92,yNCExArea,0),3)/COUNTIF($I$13:$I$1012,I92),VLOOKUP(J92,xyWattage_Table,10,FALSE))),"")</f>
        <v/>
      </c>
      <c r="L92" s="539" t="str">
        <f t="shared" si="47"/>
        <v/>
      </c>
      <c r="M92" s="540">
        <f>IF(Inventory!N89="","",Inventory!N89)</f>
        <v>0</v>
      </c>
      <c r="N92" s="533" t="str">
        <f t="shared" si="48"/>
        <v/>
      </c>
      <c r="O92" s="534"/>
      <c r="P92" s="533" t="str">
        <f t="shared" si="49"/>
        <v/>
      </c>
      <c r="Q92" s="534" t="str">
        <f>IF(Inventory!L89="","",Inventory!L89)</f>
        <v/>
      </c>
      <c r="R92" s="535" t="str">
        <f t="shared" si="50"/>
        <v/>
      </c>
      <c r="S92" s="536" t="str">
        <f>IF(Inventory!O89="","",Inventory!O89)</f>
        <v/>
      </c>
      <c r="T92" s="541" t="str">
        <f>IFERROR(IF(C92="","",IF(INDEX(xyWattage_Table,MATCH(M92,'Fixture Identities'!$B$9:$B$997,0),2)="Exit Sign",8760,IF(VLOOKUP(C92,xySpace_Type_Details,8,FALSE)="TRM",INDEX('General Information'!$AF$17:$AG$28,11,MATCH(N92,'General Information'!$AF$16:$AG$16,0)),HLOOKUP(VLOOKUP(C92,xySpace_Type_Details,8,FALSE),'General Information'!$P$15:$AG$28,13,FALSE)))),"")</f>
        <v/>
      </c>
      <c r="U92" s="542" t="str">
        <f>IFERROR(IF(C92="","",IF(INDEX(xyWattage_Table,MATCH(M92,'Fixture Identities'!$B$9:$B$997,0),2)="Exit Sign",1,IF(VLOOKUP(C92,xySpace_Type_Details,8,FALSE)="TRM",INDEX('General Information'!$AF$17:$AG$28,12,MATCH(N92,'General Information'!$AF$16:$AG$16,0)),HLOOKUP(VLOOKUP(C92,xySpace_Type_Details,8,FALSE),'General Information'!$P$15:$AG$28,14,FALSE)))),"")</f>
        <v/>
      </c>
      <c r="V92" s="542" t="str">
        <f>IFERROR(VLOOKUP(INDEX(xySpace_Type_Details,MATCH($C92,'General Information'!$C$40:$C$60,0),12),Lookups!$L$8:$N$12,2,FALSE),"")</f>
        <v/>
      </c>
      <c r="W92" s="542" t="str">
        <f>IFERROR(VLOOKUP(INDEX(xySpace_Type_Details,MATCH($C92,'General Information'!$C$40:$C$60,0),12),Lookups!$L$8:$N$12,3,FALSE),"")</f>
        <v/>
      </c>
      <c r="Y92" s="542" t="str">
        <f>IFERROR(IF(C92="","",IF(INDEX(xyWattage_Table,MATCH(M92,'Fixture Identities'!$B$9:$B$997,0),2)="Exit Sign",0,IF(PRJ_Type="Retrofit",VLOOKUP(I92,xySVG_Factors,2,FALSE),IF(AND(PRJ_Type="New Construction",Inventory!C89="N"),VLOOKUP(VLOOKUP(Building_Type,xyLPD_BuildingArea,5,FALSE),xySVG_Factors_NC,3,FALSE),0)))),"")</f>
        <v/>
      </c>
      <c r="Z92" s="544" t="str">
        <f>IFERROR(IF(C92="","",IF(INDEX(xyWattage_Table,MATCH(M92,'Fixture Identities'!$B$9:$B$997,0),2)="Exit Sign",0,VLOOKUP(S92,xySVG_Factors,2,FALSE))),"")</f>
        <v/>
      </c>
      <c r="AA92" s="545" t="str">
        <f t="shared" si="51"/>
        <v/>
      </c>
      <c r="AB92" s="542" t="str">
        <f t="shared" si="52"/>
        <v/>
      </c>
      <c r="AC92" s="539" t="str">
        <f t="shared" si="53"/>
        <v/>
      </c>
      <c r="AD92" s="546" t="str">
        <f t="shared" si="54"/>
        <v/>
      </c>
      <c r="AE92" s="539" t="str">
        <f t="shared" si="55"/>
        <v/>
      </c>
      <c r="AF92" s="546" t="str">
        <f t="shared" si="56"/>
        <v/>
      </c>
      <c r="AG92" s="539" t="str">
        <f t="shared" si="57"/>
        <v/>
      </c>
      <c r="AH92" s="32">
        <f t="shared" si="38"/>
        <v>0</v>
      </c>
      <c r="AI92" s="32">
        <f t="shared" si="39"/>
        <v>0</v>
      </c>
      <c r="AJ92" s="32">
        <f t="shared" si="40"/>
        <v>0</v>
      </c>
      <c r="AK92" t="str">
        <f t="shared" si="41"/>
        <v/>
      </c>
      <c r="AL92" t="str">
        <f t="shared" si="42"/>
        <v/>
      </c>
      <c r="AM92" t="str">
        <f t="shared" si="43"/>
        <v/>
      </c>
      <c r="AO92" t="str">
        <f>IFERROR(VLOOKUP(M92,'Fixture Identities'!$B$9:$O$1045,14,FALSE),"")</f>
        <v/>
      </c>
      <c r="AP92" t="str">
        <f t="shared" si="37"/>
        <v/>
      </c>
    </row>
    <row r="93" spans="1:42">
      <c r="A93" s="71">
        <f t="shared" si="58"/>
        <v>0</v>
      </c>
      <c r="B93" s="513">
        <f t="shared" si="44"/>
        <v>81</v>
      </c>
      <c r="C93" s="530" t="str">
        <f>IF(Inventory!E90="","",Inventory!E90)</f>
        <v/>
      </c>
      <c r="D93" s="531">
        <f>IF(Inventory!D90="",0,Inventory!D90)</f>
        <v>0</v>
      </c>
      <c r="E93" s="532" t="str">
        <f>IF(Inventory!I90=0,"",Inventory!I90)</f>
        <v/>
      </c>
      <c r="F93" s="533" t="str">
        <f t="shared" si="45"/>
        <v/>
      </c>
      <c r="G93" s="534" t="str">
        <f>IF(Inventory!G90="","",Inventory!G90)</f>
        <v/>
      </c>
      <c r="H93" s="535" t="str">
        <f t="shared" si="46"/>
        <v/>
      </c>
      <c r="I93" s="536" t="str">
        <f>IF(Inventory!J90="","",Inventory!J90)</f>
        <v/>
      </c>
      <c r="J93" s="537" t="str">
        <f>IFERROR(IF(PRJ_Type="New Construction",IF(Inventory!C90="N",INDEX(xyLPD_BuildingArea,MATCH(Building_Type,Lookups!$F$37:$F$75,0),4),INDEX(xyLPD_SpaceBySpace,MATCH(INDEX(xyNCEx,MATCH(I93,yNCExArea,0),2),ySpace_by_Space_Type,0),2)),VLOOKUP(E93,xyWattage_Table,11,FALSE)),"")</f>
        <v/>
      </c>
      <c r="K93" s="538" t="str">
        <f>IFERROR(IF(AND(NC_Type="Building Area Method",Inventory!C90="N"),IF(ISERROR(INDEX('Usage Groups (&gt;120 MWh only)'!$N$8:$N$12,MATCH(C93,'Usage Groups (&gt;120 MWh only)'!$B$8:$B$12,0),1))=TRUE,SqFt/COUNTIFS(Inventory!$C$10:$C$1009,"N",$Q$13:$Q$1012,"&gt;=0"),INDEX('Usage Groups (&gt;120 MWh only)'!$N$8:$N$12,MATCH(C93,'Usage Groups (&gt;120 MWh only)'!$B$8:$B$12,0),1)/COUNTIF($C$13:$C$1012,C93)),IF(AND(NC_Type="Building Area Method",Inventory!C90="Y"),INDEX(xyNCEx,MATCH(I93,yNCExArea,0),3)/COUNTIF($I$13:$I$1012,I93),VLOOKUP(J93,xyWattage_Table,10,FALSE))),"")</f>
        <v/>
      </c>
      <c r="L93" s="539" t="str">
        <f t="shared" si="47"/>
        <v/>
      </c>
      <c r="M93" s="540">
        <f>IF(Inventory!N90="","",Inventory!N90)</f>
        <v>0</v>
      </c>
      <c r="N93" s="533" t="str">
        <f t="shared" si="48"/>
        <v/>
      </c>
      <c r="O93" s="534"/>
      <c r="P93" s="533" t="str">
        <f t="shared" si="49"/>
        <v/>
      </c>
      <c r="Q93" s="534" t="str">
        <f>IF(Inventory!L90="","",Inventory!L90)</f>
        <v/>
      </c>
      <c r="R93" s="535" t="str">
        <f t="shared" si="50"/>
        <v/>
      </c>
      <c r="S93" s="536" t="str">
        <f>IF(Inventory!O90="","",Inventory!O90)</f>
        <v/>
      </c>
      <c r="T93" s="541" t="str">
        <f>IFERROR(IF(C93="","",IF(INDEX(xyWattage_Table,MATCH(M93,'Fixture Identities'!$B$9:$B$997,0),2)="Exit Sign",8760,IF(VLOOKUP(C93,xySpace_Type_Details,8,FALSE)="TRM",INDEX('General Information'!$AF$17:$AG$28,11,MATCH(N93,'General Information'!$AF$16:$AG$16,0)),HLOOKUP(VLOOKUP(C93,xySpace_Type_Details,8,FALSE),'General Information'!$P$15:$AG$28,13,FALSE)))),"")</f>
        <v/>
      </c>
      <c r="U93" s="542" t="str">
        <f>IFERROR(IF(C93="","",IF(INDEX(xyWattage_Table,MATCH(M93,'Fixture Identities'!$B$9:$B$997,0),2)="Exit Sign",1,IF(VLOOKUP(C93,xySpace_Type_Details,8,FALSE)="TRM",INDEX('General Information'!$AF$17:$AG$28,12,MATCH(N93,'General Information'!$AF$16:$AG$16,0)),HLOOKUP(VLOOKUP(C93,xySpace_Type_Details,8,FALSE),'General Information'!$P$15:$AG$28,14,FALSE)))),"")</f>
        <v/>
      </c>
      <c r="V93" s="542" t="str">
        <f>IFERROR(VLOOKUP(INDEX(xySpace_Type_Details,MATCH($C93,'General Information'!$C$40:$C$60,0),12),Lookups!$L$8:$N$12,2,FALSE),"")</f>
        <v/>
      </c>
      <c r="W93" s="542" t="str">
        <f>IFERROR(VLOOKUP(INDEX(xySpace_Type_Details,MATCH($C93,'General Information'!$C$40:$C$60,0),12),Lookups!$L$8:$N$12,3,FALSE),"")</f>
        <v/>
      </c>
      <c r="Y93" s="542" t="str">
        <f>IFERROR(IF(C93="","",IF(INDEX(xyWattage_Table,MATCH(M93,'Fixture Identities'!$B$9:$B$997,0),2)="Exit Sign",0,IF(PRJ_Type="Retrofit",VLOOKUP(I93,xySVG_Factors,2,FALSE),IF(AND(PRJ_Type="New Construction",Inventory!C90="N"),VLOOKUP(VLOOKUP(Building_Type,xyLPD_BuildingArea,5,FALSE),xySVG_Factors_NC,3,FALSE),0)))),"")</f>
        <v/>
      </c>
      <c r="Z93" s="544" t="str">
        <f>IFERROR(IF(C93="","",IF(INDEX(xyWattage_Table,MATCH(M93,'Fixture Identities'!$B$9:$B$997,0),2)="Exit Sign",0,VLOOKUP(S93,xySVG_Factors,2,FALSE))),"")</f>
        <v/>
      </c>
      <c r="AA93" s="545" t="str">
        <f t="shared" si="51"/>
        <v/>
      </c>
      <c r="AB93" s="542" t="str">
        <f t="shared" si="52"/>
        <v/>
      </c>
      <c r="AC93" s="539" t="str">
        <f t="shared" si="53"/>
        <v/>
      </c>
      <c r="AD93" s="546" t="str">
        <f t="shared" si="54"/>
        <v/>
      </c>
      <c r="AE93" s="539" t="str">
        <f t="shared" si="55"/>
        <v/>
      </c>
      <c r="AF93" s="546" t="str">
        <f t="shared" si="56"/>
        <v/>
      </c>
      <c r="AG93" s="539" t="str">
        <f t="shared" si="57"/>
        <v/>
      </c>
      <c r="AH93" s="32">
        <f t="shared" si="38"/>
        <v>0</v>
      </c>
      <c r="AI93" s="32">
        <f t="shared" si="39"/>
        <v>0</v>
      </c>
      <c r="AJ93" s="32">
        <f t="shared" si="40"/>
        <v>0</v>
      </c>
      <c r="AK93" t="str">
        <f t="shared" si="41"/>
        <v/>
      </c>
      <c r="AL93" t="str">
        <f t="shared" si="42"/>
        <v/>
      </c>
      <c r="AM93" t="str">
        <f t="shared" si="43"/>
        <v/>
      </c>
      <c r="AO93" t="str">
        <f>IFERROR(VLOOKUP(M93,'Fixture Identities'!$B$9:$O$1045,14,FALSE),"")</f>
        <v/>
      </c>
      <c r="AP93" t="str">
        <f t="shared" si="37"/>
        <v/>
      </c>
    </row>
    <row r="94" spans="1:42">
      <c r="A94" s="71">
        <f t="shared" si="58"/>
        <v>0</v>
      </c>
      <c r="B94" s="513">
        <f t="shared" si="44"/>
        <v>82</v>
      </c>
      <c r="C94" s="530" t="str">
        <f>IF(Inventory!E91="","",Inventory!E91)</f>
        <v/>
      </c>
      <c r="D94" s="531">
        <f>IF(Inventory!D91="",0,Inventory!D91)</f>
        <v>0</v>
      </c>
      <c r="E94" s="532" t="str">
        <f>IF(Inventory!I91=0,"",Inventory!I91)</f>
        <v/>
      </c>
      <c r="F94" s="533" t="str">
        <f t="shared" si="45"/>
        <v/>
      </c>
      <c r="G94" s="534" t="str">
        <f>IF(Inventory!G91="","",Inventory!G91)</f>
        <v/>
      </c>
      <c r="H94" s="535" t="str">
        <f t="shared" si="46"/>
        <v/>
      </c>
      <c r="I94" s="536" t="str">
        <f>IF(Inventory!J91="","",Inventory!J91)</f>
        <v/>
      </c>
      <c r="J94" s="537" t="str">
        <f>IFERROR(IF(PRJ_Type="New Construction",IF(Inventory!C91="N",INDEX(xyLPD_BuildingArea,MATCH(Building_Type,Lookups!$F$37:$F$75,0),4),INDEX(xyLPD_SpaceBySpace,MATCH(INDEX(xyNCEx,MATCH(I94,yNCExArea,0),2),ySpace_by_Space_Type,0),2)),VLOOKUP(E94,xyWattage_Table,11,FALSE)),"")</f>
        <v/>
      </c>
      <c r="K94" s="538" t="str">
        <f>IFERROR(IF(AND(NC_Type="Building Area Method",Inventory!C91="N"),IF(ISERROR(INDEX('Usage Groups (&gt;120 MWh only)'!$N$8:$N$12,MATCH(C94,'Usage Groups (&gt;120 MWh only)'!$B$8:$B$12,0),1))=TRUE,SqFt/COUNTIFS(Inventory!$C$10:$C$1009,"N",$Q$13:$Q$1012,"&gt;=0"),INDEX('Usage Groups (&gt;120 MWh only)'!$N$8:$N$12,MATCH(C94,'Usage Groups (&gt;120 MWh only)'!$B$8:$B$12,0),1)/COUNTIF($C$13:$C$1012,C94)),IF(AND(NC_Type="Building Area Method",Inventory!C91="Y"),INDEX(xyNCEx,MATCH(I94,yNCExArea,0),3)/COUNTIF($I$13:$I$1012,I94),VLOOKUP(J94,xyWattage_Table,10,FALSE))),"")</f>
        <v/>
      </c>
      <c r="L94" s="539" t="str">
        <f t="shared" si="47"/>
        <v/>
      </c>
      <c r="M94" s="540">
        <f>IF(Inventory!N91="","",Inventory!N91)</f>
        <v>0</v>
      </c>
      <c r="N94" s="533" t="str">
        <f t="shared" si="48"/>
        <v/>
      </c>
      <c r="O94" s="534"/>
      <c r="P94" s="533" t="str">
        <f t="shared" si="49"/>
        <v/>
      </c>
      <c r="Q94" s="534" t="str">
        <f>IF(Inventory!L91="","",Inventory!L91)</f>
        <v/>
      </c>
      <c r="R94" s="535" t="str">
        <f t="shared" si="50"/>
        <v/>
      </c>
      <c r="S94" s="536" t="str">
        <f>IF(Inventory!O91="","",Inventory!O91)</f>
        <v/>
      </c>
      <c r="T94" s="541" t="str">
        <f>IFERROR(IF(C94="","",IF(INDEX(xyWattage_Table,MATCH(M94,'Fixture Identities'!$B$9:$B$997,0),2)="Exit Sign",8760,IF(VLOOKUP(C94,xySpace_Type_Details,8,FALSE)="TRM",INDEX('General Information'!$AF$17:$AG$28,11,MATCH(N94,'General Information'!$AF$16:$AG$16,0)),HLOOKUP(VLOOKUP(C94,xySpace_Type_Details,8,FALSE),'General Information'!$P$15:$AG$28,13,FALSE)))),"")</f>
        <v/>
      </c>
      <c r="U94" s="542" t="str">
        <f>IFERROR(IF(C94="","",IF(INDEX(xyWattage_Table,MATCH(M94,'Fixture Identities'!$B$9:$B$997,0),2)="Exit Sign",1,IF(VLOOKUP(C94,xySpace_Type_Details,8,FALSE)="TRM",INDEX('General Information'!$AF$17:$AG$28,12,MATCH(N94,'General Information'!$AF$16:$AG$16,0)),HLOOKUP(VLOOKUP(C94,xySpace_Type_Details,8,FALSE),'General Information'!$P$15:$AG$28,14,FALSE)))),"")</f>
        <v/>
      </c>
      <c r="V94" s="542" t="str">
        <f>IFERROR(VLOOKUP(INDEX(xySpace_Type_Details,MATCH($C94,'General Information'!$C$40:$C$60,0),12),Lookups!$L$8:$N$12,2,FALSE),"")</f>
        <v/>
      </c>
      <c r="W94" s="542" t="str">
        <f>IFERROR(VLOOKUP(INDEX(xySpace_Type_Details,MATCH($C94,'General Information'!$C$40:$C$60,0),12),Lookups!$L$8:$N$12,3,FALSE),"")</f>
        <v/>
      </c>
      <c r="Y94" s="542" t="str">
        <f>IFERROR(IF(C94="","",IF(INDEX(xyWattage_Table,MATCH(M94,'Fixture Identities'!$B$9:$B$997,0),2)="Exit Sign",0,IF(PRJ_Type="Retrofit",VLOOKUP(I94,xySVG_Factors,2,FALSE),IF(AND(PRJ_Type="New Construction",Inventory!C91="N"),VLOOKUP(VLOOKUP(Building_Type,xyLPD_BuildingArea,5,FALSE),xySVG_Factors_NC,3,FALSE),0)))),"")</f>
        <v/>
      </c>
      <c r="Z94" s="544" t="str">
        <f>IFERROR(IF(C94="","",IF(INDEX(xyWattage_Table,MATCH(M94,'Fixture Identities'!$B$9:$B$997,0),2)="Exit Sign",0,VLOOKUP(S94,xySVG_Factors,2,FALSE))),"")</f>
        <v/>
      </c>
      <c r="AA94" s="545" t="str">
        <f t="shared" si="51"/>
        <v/>
      </c>
      <c r="AB94" s="542" t="str">
        <f t="shared" si="52"/>
        <v/>
      </c>
      <c r="AC94" s="539" t="str">
        <f t="shared" si="53"/>
        <v/>
      </c>
      <c r="AD94" s="546" t="str">
        <f t="shared" si="54"/>
        <v/>
      </c>
      <c r="AE94" s="539" t="str">
        <f t="shared" si="55"/>
        <v/>
      </c>
      <c r="AF94" s="546" t="str">
        <f t="shared" si="56"/>
        <v/>
      </c>
      <c r="AG94" s="539" t="str">
        <f t="shared" si="57"/>
        <v/>
      </c>
      <c r="AH94" s="32">
        <f t="shared" si="38"/>
        <v>0</v>
      </c>
      <c r="AI94" s="32">
        <f t="shared" si="39"/>
        <v>0</v>
      </c>
      <c r="AJ94" s="32">
        <f t="shared" si="40"/>
        <v>0</v>
      </c>
      <c r="AK94" t="str">
        <f t="shared" si="41"/>
        <v/>
      </c>
      <c r="AL94" t="str">
        <f t="shared" si="42"/>
        <v/>
      </c>
      <c r="AM94" t="str">
        <f t="shared" si="43"/>
        <v/>
      </c>
      <c r="AO94" t="str">
        <f>IFERROR(VLOOKUP(M94,'Fixture Identities'!$B$9:$O$1045,14,FALSE),"")</f>
        <v/>
      </c>
      <c r="AP94" t="str">
        <f t="shared" si="37"/>
        <v/>
      </c>
    </row>
    <row r="95" spans="1:42">
      <c r="A95" s="71">
        <f t="shared" si="58"/>
        <v>0</v>
      </c>
      <c r="B95" s="513">
        <f t="shared" si="44"/>
        <v>83</v>
      </c>
      <c r="C95" s="530" t="str">
        <f>IF(Inventory!E92="","",Inventory!E92)</f>
        <v/>
      </c>
      <c r="D95" s="531">
        <f>IF(Inventory!D92="",0,Inventory!D92)</f>
        <v>0</v>
      </c>
      <c r="E95" s="532" t="str">
        <f>IF(Inventory!I92=0,"",Inventory!I92)</f>
        <v/>
      </c>
      <c r="F95" s="533" t="str">
        <f t="shared" si="45"/>
        <v/>
      </c>
      <c r="G95" s="534" t="str">
        <f>IF(Inventory!G92="","",Inventory!G92)</f>
        <v/>
      </c>
      <c r="H95" s="535" t="str">
        <f t="shared" si="46"/>
        <v/>
      </c>
      <c r="I95" s="536" t="str">
        <f>IF(Inventory!J92="","",Inventory!J92)</f>
        <v/>
      </c>
      <c r="J95" s="537" t="str">
        <f>IFERROR(IF(PRJ_Type="New Construction",IF(Inventory!C92="N",INDEX(xyLPD_BuildingArea,MATCH(Building_Type,Lookups!$F$37:$F$75,0),4),INDEX(xyLPD_SpaceBySpace,MATCH(INDEX(xyNCEx,MATCH(I95,yNCExArea,0),2),ySpace_by_Space_Type,0),2)),VLOOKUP(E95,xyWattage_Table,11,FALSE)),"")</f>
        <v/>
      </c>
      <c r="K95" s="538" t="str">
        <f>IFERROR(IF(AND(NC_Type="Building Area Method",Inventory!C92="N"),IF(ISERROR(INDEX('Usage Groups (&gt;120 MWh only)'!$N$8:$N$12,MATCH(C95,'Usage Groups (&gt;120 MWh only)'!$B$8:$B$12,0),1))=TRUE,SqFt/COUNTIFS(Inventory!$C$10:$C$1009,"N",$Q$13:$Q$1012,"&gt;=0"),INDEX('Usage Groups (&gt;120 MWh only)'!$N$8:$N$12,MATCH(C95,'Usage Groups (&gt;120 MWh only)'!$B$8:$B$12,0),1)/COUNTIF($C$13:$C$1012,C95)),IF(AND(NC_Type="Building Area Method",Inventory!C92="Y"),INDEX(xyNCEx,MATCH(I95,yNCExArea,0),3)/COUNTIF($I$13:$I$1012,I95),VLOOKUP(J95,xyWattage_Table,10,FALSE))),"")</f>
        <v/>
      </c>
      <c r="L95" s="539" t="str">
        <f t="shared" si="47"/>
        <v/>
      </c>
      <c r="M95" s="540">
        <f>IF(Inventory!N92="","",Inventory!N92)</f>
        <v>0</v>
      </c>
      <c r="N95" s="533" t="str">
        <f t="shared" si="48"/>
        <v/>
      </c>
      <c r="O95" s="534"/>
      <c r="P95" s="533" t="str">
        <f t="shared" si="49"/>
        <v/>
      </c>
      <c r="Q95" s="534" t="str">
        <f>IF(Inventory!L92="","",Inventory!L92)</f>
        <v/>
      </c>
      <c r="R95" s="535" t="str">
        <f t="shared" si="50"/>
        <v/>
      </c>
      <c r="S95" s="536" t="str">
        <f>IF(Inventory!O92="","",Inventory!O92)</f>
        <v/>
      </c>
      <c r="T95" s="541" t="str">
        <f>IFERROR(IF(C95="","",IF(INDEX(xyWattage_Table,MATCH(M95,'Fixture Identities'!$B$9:$B$997,0),2)="Exit Sign",8760,IF(VLOOKUP(C95,xySpace_Type_Details,8,FALSE)="TRM",INDEX('General Information'!$AF$17:$AG$28,11,MATCH(N95,'General Information'!$AF$16:$AG$16,0)),HLOOKUP(VLOOKUP(C95,xySpace_Type_Details,8,FALSE),'General Information'!$P$15:$AG$28,13,FALSE)))),"")</f>
        <v/>
      </c>
      <c r="U95" s="542" t="str">
        <f>IFERROR(IF(C95="","",IF(INDEX(xyWattage_Table,MATCH(M95,'Fixture Identities'!$B$9:$B$997,0),2)="Exit Sign",1,IF(VLOOKUP(C95,xySpace_Type_Details,8,FALSE)="TRM",INDEX('General Information'!$AF$17:$AG$28,12,MATCH(N95,'General Information'!$AF$16:$AG$16,0)),HLOOKUP(VLOOKUP(C95,xySpace_Type_Details,8,FALSE),'General Information'!$P$15:$AG$28,14,FALSE)))),"")</f>
        <v/>
      </c>
      <c r="V95" s="542" t="str">
        <f>IFERROR(VLOOKUP(INDEX(xySpace_Type_Details,MATCH($C95,'General Information'!$C$40:$C$60,0),12),Lookups!$L$8:$N$12,2,FALSE),"")</f>
        <v/>
      </c>
      <c r="W95" s="542" t="str">
        <f>IFERROR(VLOOKUP(INDEX(xySpace_Type_Details,MATCH($C95,'General Information'!$C$40:$C$60,0),12),Lookups!$L$8:$N$12,3,FALSE),"")</f>
        <v/>
      </c>
      <c r="Y95" s="542" t="str">
        <f>IFERROR(IF(C95="","",IF(INDEX(xyWattage_Table,MATCH(M95,'Fixture Identities'!$B$9:$B$997,0),2)="Exit Sign",0,IF(PRJ_Type="Retrofit",VLOOKUP(I95,xySVG_Factors,2,FALSE),IF(AND(PRJ_Type="New Construction",Inventory!C92="N"),VLOOKUP(VLOOKUP(Building_Type,xyLPD_BuildingArea,5,FALSE),xySVG_Factors_NC,3,FALSE),0)))),"")</f>
        <v/>
      </c>
      <c r="Z95" s="544" t="str">
        <f>IFERROR(IF(C95="","",IF(INDEX(xyWattage_Table,MATCH(M95,'Fixture Identities'!$B$9:$B$997,0),2)="Exit Sign",0,VLOOKUP(S95,xySVG_Factors,2,FALSE))),"")</f>
        <v/>
      </c>
      <c r="AA95" s="545" t="str">
        <f t="shared" si="51"/>
        <v/>
      </c>
      <c r="AB95" s="542" t="str">
        <f t="shared" si="52"/>
        <v/>
      </c>
      <c r="AC95" s="539" t="str">
        <f t="shared" si="53"/>
        <v/>
      </c>
      <c r="AD95" s="546" t="str">
        <f t="shared" si="54"/>
        <v/>
      </c>
      <c r="AE95" s="539" t="str">
        <f t="shared" si="55"/>
        <v/>
      </c>
      <c r="AF95" s="546" t="str">
        <f t="shared" si="56"/>
        <v/>
      </c>
      <c r="AG95" s="539" t="str">
        <f t="shared" si="57"/>
        <v/>
      </c>
      <c r="AH95" s="32">
        <f t="shared" si="38"/>
        <v>0</v>
      </c>
      <c r="AI95" s="32">
        <f t="shared" si="39"/>
        <v>0</v>
      </c>
      <c r="AJ95" s="32">
        <f t="shared" si="40"/>
        <v>0</v>
      </c>
      <c r="AK95" t="str">
        <f t="shared" si="41"/>
        <v/>
      </c>
      <c r="AL95" t="str">
        <f t="shared" si="42"/>
        <v/>
      </c>
      <c r="AM95" t="str">
        <f t="shared" si="43"/>
        <v/>
      </c>
      <c r="AO95" t="str">
        <f>IFERROR(VLOOKUP(M95,'Fixture Identities'!$B$9:$O$1045,14,FALSE),"")</f>
        <v/>
      </c>
      <c r="AP95" t="str">
        <f t="shared" si="37"/>
        <v/>
      </c>
    </row>
    <row r="96" spans="1:42">
      <c r="A96" s="71">
        <f t="shared" si="58"/>
        <v>0</v>
      </c>
      <c r="B96" s="513">
        <f t="shared" si="44"/>
        <v>84</v>
      </c>
      <c r="C96" s="530" t="str">
        <f>IF(Inventory!E93="","",Inventory!E93)</f>
        <v/>
      </c>
      <c r="D96" s="531">
        <f>IF(Inventory!D93="",0,Inventory!D93)</f>
        <v>0</v>
      </c>
      <c r="E96" s="532" t="str">
        <f>IF(Inventory!I93=0,"",Inventory!I93)</f>
        <v/>
      </c>
      <c r="F96" s="533" t="str">
        <f t="shared" si="45"/>
        <v/>
      </c>
      <c r="G96" s="534" t="str">
        <f>IF(Inventory!G93="","",Inventory!G93)</f>
        <v/>
      </c>
      <c r="H96" s="535" t="str">
        <f t="shared" si="46"/>
        <v/>
      </c>
      <c r="I96" s="536" t="str">
        <f>IF(Inventory!J93="","",Inventory!J93)</f>
        <v/>
      </c>
      <c r="J96" s="537" t="str">
        <f>IFERROR(IF(PRJ_Type="New Construction",IF(Inventory!C93="N",INDEX(xyLPD_BuildingArea,MATCH(Building_Type,Lookups!$F$37:$F$75,0),4),INDEX(xyLPD_SpaceBySpace,MATCH(INDEX(xyNCEx,MATCH(I96,yNCExArea,0),2),ySpace_by_Space_Type,0),2)),VLOOKUP(E96,xyWattage_Table,11,FALSE)),"")</f>
        <v/>
      </c>
      <c r="K96" s="538" t="str">
        <f>IFERROR(IF(AND(NC_Type="Building Area Method",Inventory!C93="N"),IF(ISERROR(INDEX('Usage Groups (&gt;120 MWh only)'!$N$8:$N$12,MATCH(C96,'Usage Groups (&gt;120 MWh only)'!$B$8:$B$12,0),1))=TRUE,SqFt/COUNTIFS(Inventory!$C$10:$C$1009,"N",$Q$13:$Q$1012,"&gt;=0"),INDEX('Usage Groups (&gt;120 MWh only)'!$N$8:$N$12,MATCH(C96,'Usage Groups (&gt;120 MWh only)'!$B$8:$B$12,0),1)/COUNTIF($C$13:$C$1012,C96)),IF(AND(NC_Type="Building Area Method",Inventory!C93="Y"),INDEX(xyNCEx,MATCH(I96,yNCExArea,0),3)/COUNTIF($I$13:$I$1012,I96),VLOOKUP(J96,xyWattage_Table,10,FALSE))),"")</f>
        <v/>
      </c>
      <c r="L96" s="539" t="str">
        <f t="shared" si="47"/>
        <v/>
      </c>
      <c r="M96" s="540">
        <f>IF(Inventory!N93="","",Inventory!N93)</f>
        <v>0</v>
      </c>
      <c r="N96" s="533" t="str">
        <f t="shared" si="48"/>
        <v/>
      </c>
      <c r="O96" s="534"/>
      <c r="P96" s="533" t="str">
        <f t="shared" si="49"/>
        <v/>
      </c>
      <c r="Q96" s="534" t="str">
        <f>IF(Inventory!L93="","",Inventory!L93)</f>
        <v/>
      </c>
      <c r="R96" s="535" t="str">
        <f t="shared" si="50"/>
        <v/>
      </c>
      <c r="S96" s="536" t="str">
        <f>IF(Inventory!O93="","",Inventory!O93)</f>
        <v/>
      </c>
      <c r="T96" s="541" t="str">
        <f>IFERROR(IF(C96="","",IF(INDEX(xyWattage_Table,MATCH(M96,'Fixture Identities'!$B$9:$B$997,0),2)="Exit Sign",8760,IF(VLOOKUP(C96,xySpace_Type_Details,8,FALSE)="TRM",INDEX('General Information'!$AF$17:$AG$28,11,MATCH(N96,'General Information'!$AF$16:$AG$16,0)),HLOOKUP(VLOOKUP(C96,xySpace_Type_Details,8,FALSE),'General Information'!$P$15:$AG$28,13,FALSE)))),"")</f>
        <v/>
      </c>
      <c r="U96" s="542" t="str">
        <f>IFERROR(IF(C96="","",IF(INDEX(xyWattage_Table,MATCH(M96,'Fixture Identities'!$B$9:$B$997,0),2)="Exit Sign",1,IF(VLOOKUP(C96,xySpace_Type_Details,8,FALSE)="TRM",INDEX('General Information'!$AF$17:$AG$28,12,MATCH(N96,'General Information'!$AF$16:$AG$16,0)),HLOOKUP(VLOOKUP(C96,xySpace_Type_Details,8,FALSE),'General Information'!$P$15:$AG$28,14,FALSE)))),"")</f>
        <v/>
      </c>
      <c r="V96" s="542" t="str">
        <f>IFERROR(VLOOKUP(INDEX(xySpace_Type_Details,MATCH($C96,'General Information'!$C$40:$C$60,0),12),Lookups!$L$8:$N$12,2,FALSE),"")</f>
        <v/>
      </c>
      <c r="W96" s="542" t="str">
        <f>IFERROR(VLOOKUP(INDEX(xySpace_Type_Details,MATCH($C96,'General Information'!$C$40:$C$60,0),12),Lookups!$L$8:$N$12,3,FALSE),"")</f>
        <v/>
      </c>
      <c r="Y96" s="542" t="str">
        <f>IFERROR(IF(C96="","",IF(INDEX(xyWattage_Table,MATCH(M96,'Fixture Identities'!$B$9:$B$997,0),2)="Exit Sign",0,IF(PRJ_Type="Retrofit",VLOOKUP(I96,xySVG_Factors,2,FALSE),IF(AND(PRJ_Type="New Construction",Inventory!C93="N"),VLOOKUP(VLOOKUP(Building_Type,xyLPD_BuildingArea,5,FALSE),xySVG_Factors_NC,3,FALSE),0)))),"")</f>
        <v/>
      </c>
      <c r="Z96" s="544" t="str">
        <f>IFERROR(IF(C96="","",IF(INDEX(xyWattage_Table,MATCH(M96,'Fixture Identities'!$B$9:$B$997,0),2)="Exit Sign",0,VLOOKUP(S96,xySVG_Factors,2,FALSE))),"")</f>
        <v/>
      </c>
      <c r="AA96" s="545" t="str">
        <f t="shared" si="51"/>
        <v/>
      </c>
      <c r="AB96" s="542" t="str">
        <f t="shared" si="52"/>
        <v/>
      </c>
      <c r="AC96" s="539" t="str">
        <f t="shared" si="53"/>
        <v/>
      </c>
      <c r="AD96" s="546" t="str">
        <f t="shared" si="54"/>
        <v/>
      </c>
      <c r="AE96" s="539" t="str">
        <f t="shared" si="55"/>
        <v/>
      </c>
      <c r="AF96" s="546" t="str">
        <f t="shared" si="56"/>
        <v/>
      </c>
      <c r="AG96" s="539" t="str">
        <f t="shared" si="57"/>
        <v/>
      </c>
      <c r="AH96" s="32">
        <f t="shared" si="38"/>
        <v>0</v>
      </c>
      <c r="AI96" s="32">
        <f t="shared" si="39"/>
        <v>0</v>
      </c>
      <c r="AJ96" s="32">
        <f t="shared" si="40"/>
        <v>0</v>
      </c>
      <c r="AK96" t="str">
        <f t="shared" si="41"/>
        <v/>
      </c>
      <c r="AL96" t="str">
        <f t="shared" si="42"/>
        <v/>
      </c>
      <c r="AM96" t="str">
        <f t="shared" si="43"/>
        <v/>
      </c>
      <c r="AO96" t="str">
        <f>IFERROR(VLOOKUP(M96,'Fixture Identities'!$B$9:$O$1045,14,FALSE),"")</f>
        <v/>
      </c>
      <c r="AP96" t="str">
        <f t="shared" si="37"/>
        <v/>
      </c>
    </row>
    <row r="97" spans="1:42">
      <c r="A97" s="71">
        <f t="shared" si="58"/>
        <v>0</v>
      </c>
      <c r="B97" s="513">
        <f t="shared" si="44"/>
        <v>85</v>
      </c>
      <c r="C97" s="530" t="str">
        <f>IF(Inventory!E94="","",Inventory!E94)</f>
        <v/>
      </c>
      <c r="D97" s="531">
        <f>IF(Inventory!D94="",0,Inventory!D94)</f>
        <v>0</v>
      </c>
      <c r="E97" s="532" t="str">
        <f>IF(Inventory!I94=0,"",Inventory!I94)</f>
        <v/>
      </c>
      <c r="F97" s="533" t="str">
        <f t="shared" si="45"/>
        <v/>
      </c>
      <c r="G97" s="534" t="str">
        <f>IF(Inventory!G94="","",Inventory!G94)</f>
        <v/>
      </c>
      <c r="H97" s="535" t="str">
        <f t="shared" si="46"/>
        <v/>
      </c>
      <c r="I97" s="536" t="str">
        <f>IF(Inventory!J94="","",Inventory!J94)</f>
        <v/>
      </c>
      <c r="J97" s="537" t="str">
        <f>IFERROR(IF(PRJ_Type="New Construction",IF(Inventory!C94="N",INDEX(xyLPD_BuildingArea,MATCH(Building_Type,Lookups!$F$37:$F$75,0),4),INDEX(xyLPD_SpaceBySpace,MATCH(INDEX(xyNCEx,MATCH(I97,yNCExArea,0),2),ySpace_by_Space_Type,0),2)),VLOOKUP(E97,xyWattage_Table,11,FALSE)),"")</f>
        <v/>
      </c>
      <c r="K97" s="538" t="str">
        <f>IFERROR(IF(AND(NC_Type="Building Area Method",Inventory!C94="N"),IF(ISERROR(INDEX('Usage Groups (&gt;120 MWh only)'!$N$8:$N$12,MATCH(C97,'Usage Groups (&gt;120 MWh only)'!$B$8:$B$12,0),1))=TRUE,SqFt/COUNTIFS(Inventory!$C$10:$C$1009,"N",$Q$13:$Q$1012,"&gt;=0"),INDEX('Usage Groups (&gt;120 MWh only)'!$N$8:$N$12,MATCH(C97,'Usage Groups (&gt;120 MWh only)'!$B$8:$B$12,0),1)/COUNTIF($C$13:$C$1012,C97)),IF(AND(NC_Type="Building Area Method",Inventory!C94="Y"),INDEX(xyNCEx,MATCH(I97,yNCExArea,0),3)/COUNTIF($I$13:$I$1012,I97),VLOOKUP(J97,xyWattage_Table,10,FALSE))),"")</f>
        <v/>
      </c>
      <c r="L97" s="539" t="str">
        <f t="shared" si="47"/>
        <v/>
      </c>
      <c r="M97" s="540">
        <f>IF(Inventory!N94="","",Inventory!N94)</f>
        <v>0</v>
      </c>
      <c r="N97" s="533" t="str">
        <f t="shared" si="48"/>
        <v/>
      </c>
      <c r="O97" s="534"/>
      <c r="P97" s="533" t="str">
        <f t="shared" si="49"/>
        <v/>
      </c>
      <c r="Q97" s="534" t="str">
        <f>IF(Inventory!L94="","",Inventory!L94)</f>
        <v/>
      </c>
      <c r="R97" s="535" t="str">
        <f t="shared" si="50"/>
        <v/>
      </c>
      <c r="S97" s="536" t="str">
        <f>IF(Inventory!O94="","",Inventory!O94)</f>
        <v/>
      </c>
      <c r="T97" s="541" t="str">
        <f>IFERROR(IF(C97="","",IF(INDEX(xyWattage_Table,MATCH(M97,'Fixture Identities'!$B$9:$B$997,0),2)="Exit Sign",8760,IF(VLOOKUP(C97,xySpace_Type_Details,8,FALSE)="TRM",INDEX('General Information'!$AF$17:$AG$28,11,MATCH(N97,'General Information'!$AF$16:$AG$16,0)),HLOOKUP(VLOOKUP(C97,xySpace_Type_Details,8,FALSE),'General Information'!$P$15:$AG$28,13,FALSE)))),"")</f>
        <v/>
      </c>
      <c r="U97" s="542" t="str">
        <f>IFERROR(IF(C97="","",IF(INDEX(xyWattage_Table,MATCH(M97,'Fixture Identities'!$B$9:$B$997,0),2)="Exit Sign",1,IF(VLOOKUP(C97,xySpace_Type_Details,8,FALSE)="TRM",INDEX('General Information'!$AF$17:$AG$28,12,MATCH(N97,'General Information'!$AF$16:$AG$16,0)),HLOOKUP(VLOOKUP(C97,xySpace_Type_Details,8,FALSE),'General Information'!$P$15:$AG$28,14,FALSE)))),"")</f>
        <v/>
      </c>
      <c r="V97" s="542" t="str">
        <f>IFERROR(VLOOKUP(INDEX(xySpace_Type_Details,MATCH($C97,'General Information'!$C$40:$C$60,0),12),Lookups!$L$8:$N$12,2,FALSE),"")</f>
        <v/>
      </c>
      <c r="W97" s="542" t="str">
        <f>IFERROR(VLOOKUP(INDEX(xySpace_Type_Details,MATCH($C97,'General Information'!$C$40:$C$60,0),12),Lookups!$L$8:$N$12,3,FALSE),"")</f>
        <v/>
      </c>
      <c r="Y97" s="542" t="str">
        <f>IFERROR(IF(C97="","",IF(INDEX(xyWattage_Table,MATCH(M97,'Fixture Identities'!$B$9:$B$997,0),2)="Exit Sign",0,IF(PRJ_Type="Retrofit",VLOOKUP(I97,xySVG_Factors,2,FALSE),IF(AND(PRJ_Type="New Construction",Inventory!C94="N"),VLOOKUP(VLOOKUP(Building_Type,xyLPD_BuildingArea,5,FALSE),xySVG_Factors_NC,3,FALSE),0)))),"")</f>
        <v/>
      </c>
      <c r="Z97" s="544" t="str">
        <f>IFERROR(IF(C97="","",IF(INDEX(xyWattage_Table,MATCH(M97,'Fixture Identities'!$B$9:$B$997,0),2)="Exit Sign",0,VLOOKUP(S97,xySVG_Factors,2,FALSE))),"")</f>
        <v/>
      </c>
      <c r="AA97" s="545" t="str">
        <f t="shared" si="51"/>
        <v/>
      </c>
      <c r="AB97" s="542" t="str">
        <f t="shared" si="52"/>
        <v/>
      </c>
      <c r="AC97" s="539" t="str">
        <f t="shared" si="53"/>
        <v/>
      </c>
      <c r="AD97" s="546" t="str">
        <f t="shared" si="54"/>
        <v/>
      </c>
      <c r="AE97" s="539" t="str">
        <f t="shared" si="55"/>
        <v/>
      </c>
      <c r="AF97" s="546" t="str">
        <f t="shared" si="56"/>
        <v/>
      </c>
      <c r="AG97" s="539" t="str">
        <f t="shared" si="57"/>
        <v/>
      </c>
      <c r="AH97" s="32">
        <f t="shared" si="38"/>
        <v>0</v>
      </c>
      <c r="AI97" s="32">
        <f t="shared" si="39"/>
        <v>0</v>
      </c>
      <c r="AJ97" s="32">
        <f t="shared" si="40"/>
        <v>0</v>
      </c>
      <c r="AK97" t="str">
        <f t="shared" si="41"/>
        <v/>
      </c>
      <c r="AL97" t="str">
        <f t="shared" si="42"/>
        <v/>
      </c>
      <c r="AM97" t="str">
        <f t="shared" si="43"/>
        <v/>
      </c>
      <c r="AO97" t="str">
        <f>IFERROR(VLOOKUP(M97,'Fixture Identities'!$B$9:$O$1045,14,FALSE),"")</f>
        <v/>
      </c>
      <c r="AP97" t="str">
        <f t="shared" si="37"/>
        <v/>
      </c>
    </row>
    <row r="98" spans="1:42">
      <c r="A98" s="71">
        <f t="shared" si="58"/>
        <v>0</v>
      </c>
      <c r="B98" s="513">
        <f t="shared" si="44"/>
        <v>86</v>
      </c>
      <c r="C98" s="530" t="str">
        <f>IF(Inventory!E95="","",Inventory!E95)</f>
        <v/>
      </c>
      <c r="D98" s="531">
        <f>IF(Inventory!D95="",0,Inventory!D95)</f>
        <v>0</v>
      </c>
      <c r="E98" s="532" t="str">
        <f>IF(Inventory!I95=0,"",Inventory!I95)</f>
        <v/>
      </c>
      <c r="F98" s="533" t="str">
        <f t="shared" si="45"/>
        <v/>
      </c>
      <c r="G98" s="534" t="str">
        <f>IF(Inventory!G95="","",Inventory!G95)</f>
        <v/>
      </c>
      <c r="H98" s="535" t="str">
        <f t="shared" si="46"/>
        <v/>
      </c>
      <c r="I98" s="536" t="str">
        <f>IF(Inventory!J95="","",Inventory!J95)</f>
        <v/>
      </c>
      <c r="J98" s="537" t="str">
        <f>IFERROR(IF(PRJ_Type="New Construction",IF(Inventory!C95="N",INDEX(xyLPD_BuildingArea,MATCH(Building_Type,Lookups!$F$37:$F$75,0),4),INDEX(xyLPD_SpaceBySpace,MATCH(INDEX(xyNCEx,MATCH(I98,yNCExArea,0),2),ySpace_by_Space_Type,0),2)),VLOOKUP(E98,xyWattage_Table,11,FALSE)),"")</f>
        <v/>
      </c>
      <c r="K98" s="538" t="str">
        <f>IFERROR(IF(AND(NC_Type="Building Area Method",Inventory!C95="N"),IF(ISERROR(INDEX('Usage Groups (&gt;120 MWh only)'!$N$8:$N$12,MATCH(C98,'Usage Groups (&gt;120 MWh only)'!$B$8:$B$12,0),1))=TRUE,SqFt/COUNTIFS(Inventory!$C$10:$C$1009,"N",$Q$13:$Q$1012,"&gt;=0"),INDEX('Usage Groups (&gt;120 MWh only)'!$N$8:$N$12,MATCH(C98,'Usage Groups (&gt;120 MWh only)'!$B$8:$B$12,0),1)/COUNTIF($C$13:$C$1012,C98)),IF(AND(NC_Type="Building Area Method",Inventory!C95="Y"),INDEX(xyNCEx,MATCH(I98,yNCExArea,0),3)/COUNTIF($I$13:$I$1012,I98),VLOOKUP(J98,xyWattage_Table,10,FALSE))),"")</f>
        <v/>
      </c>
      <c r="L98" s="539" t="str">
        <f t="shared" si="47"/>
        <v/>
      </c>
      <c r="M98" s="540">
        <f>IF(Inventory!N95="","",Inventory!N95)</f>
        <v>0</v>
      </c>
      <c r="N98" s="533" t="str">
        <f t="shared" si="48"/>
        <v/>
      </c>
      <c r="O98" s="534"/>
      <c r="P98" s="533" t="str">
        <f t="shared" si="49"/>
        <v/>
      </c>
      <c r="Q98" s="534" t="str">
        <f>IF(Inventory!L95="","",Inventory!L95)</f>
        <v/>
      </c>
      <c r="R98" s="535" t="str">
        <f t="shared" si="50"/>
        <v/>
      </c>
      <c r="S98" s="536" t="str">
        <f>IF(Inventory!O95="","",Inventory!O95)</f>
        <v/>
      </c>
      <c r="T98" s="541" t="str">
        <f>IFERROR(IF(C98="","",IF(INDEX(xyWattage_Table,MATCH(M98,'Fixture Identities'!$B$9:$B$997,0),2)="Exit Sign",8760,IF(VLOOKUP(C98,xySpace_Type_Details,8,FALSE)="TRM",INDEX('General Information'!$AF$17:$AG$28,11,MATCH(N98,'General Information'!$AF$16:$AG$16,0)),HLOOKUP(VLOOKUP(C98,xySpace_Type_Details,8,FALSE),'General Information'!$P$15:$AG$28,13,FALSE)))),"")</f>
        <v/>
      </c>
      <c r="U98" s="542" t="str">
        <f>IFERROR(IF(C98="","",IF(INDEX(xyWattage_Table,MATCH(M98,'Fixture Identities'!$B$9:$B$997,0),2)="Exit Sign",1,IF(VLOOKUP(C98,xySpace_Type_Details,8,FALSE)="TRM",INDEX('General Information'!$AF$17:$AG$28,12,MATCH(N98,'General Information'!$AF$16:$AG$16,0)),HLOOKUP(VLOOKUP(C98,xySpace_Type_Details,8,FALSE),'General Information'!$P$15:$AG$28,14,FALSE)))),"")</f>
        <v/>
      </c>
      <c r="V98" s="542" t="str">
        <f>IFERROR(VLOOKUP(INDEX(xySpace_Type_Details,MATCH($C98,'General Information'!$C$40:$C$60,0),12),Lookups!$L$8:$N$12,2,FALSE),"")</f>
        <v/>
      </c>
      <c r="W98" s="542" t="str">
        <f>IFERROR(VLOOKUP(INDEX(xySpace_Type_Details,MATCH($C98,'General Information'!$C$40:$C$60,0),12),Lookups!$L$8:$N$12,3,FALSE),"")</f>
        <v/>
      </c>
      <c r="Y98" s="542" t="str">
        <f>IFERROR(IF(C98="","",IF(INDEX(xyWattage_Table,MATCH(M98,'Fixture Identities'!$B$9:$B$997,0),2)="Exit Sign",0,IF(PRJ_Type="Retrofit",VLOOKUP(I98,xySVG_Factors,2,FALSE),IF(AND(PRJ_Type="New Construction",Inventory!C95="N"),VLOOKUP(VLOOKUP(Building_Type,xyLPD_BuildingArea,5,FALSE),xySVG_Factors_NC,3,FALSE),0)))),"")</f>
        <v/>
      </c>
      <c r="Z98" s="544" t="str">
        <f>IFERROR(IF(C98="","",IF(INDEX(xyWattage_Table,MATCH(M98,'Fixture Identities'!$B$9:$B$997,0),2)="Exit Sign",0,VLOOKUP(S98,xySVG_Factors,2,FALSE))),"")</f>
        <v/>
      </c>
      <c r="AA98" s="545" t="str">
        <f t="shared" si="51"/>
        <v/>
      </c>
      <c r="AB98" s="542" t="str">
        <f t="shared" si="52"/>
        <v/>
      </c>
      <c r="AC98" s="539" t="str">
        <f t="shared" si="53"/>
        <v/>
      </c>
      <c r="AD98" s="546" t="str">
        <f t="shared" si="54"/>
        <v/>
      </c>
      <c r="AE98" s="539" t="str">
        <f t="shared" si="55"/>
        <v/>
      </c>
      <c r="AF98" s="546" t="str">
        <f t="shared" si="56"/>
        <v/>
      </c>
      <c r="AG98" s="539" t="str">
        <f t="shared" si="57"/>
        <v/>
      </c>
      <c r="AH98" s="32">
        <f t="shared" si="38"/>
        <v>0</v>
      </c>
      <c r="AI98" s="32">
        <f t="shared" si="39"/>
        <v>0</v>
      </c>
      <c r="AJ98" s="32">
        <f t="shared" si="40"/>
        <v>0</v>
      </c>
      <c r="AK98" t="str">
        <f t="shared" si="41"/>
        <v/>
      </c>
      <c r="AL98" t="str">
        <f t="shared" si="42"/>
        <v/>
      </c>
      <c r="AM98" t="str">
        <f t="shared" si="43"/>
        <v/>
      </c>
      <c r="AO98" t="str">
        <f>IFERROR(VLOOKUP(M98,'Fixture Identities'!$B$9:$O$1045,14,FALSE),"")</f>
        <v/>
      </c>
      <c r="AP98" t="str">
        <f t="shared" si="37"/>
        <v/>
      </c>
    </row>
    <row r="99" spans="1:42">
      <c r="A99" s="71">
        <f t="shared" si="58"/>
        <v>0</v>
      </c>
      <c r="B99" s="513">
        <f t="shared" si="44"/>
        <v>87</v>
      </c>
      <c r="C99" s="530" t="str">
        <f>IF(Inventory!E96="","",Inventory!E96)</f>
        <v/>
      </c>
      <c r="D99" s="531">
        <f>IF(Inventory!D96="",0,Inventory!D96)</f>
        <v>0</v>
      </c>
      <c r="E99" s="532" t="str">
        <f>IF(Inventory!I96=0,"",Inventory!I96)</f>
        <v/>
      </c>
      <c r="F99" s="533" t="str">
        <f t="shared" si="45"/>
        <v/>
      </c>
      <c r="G99" s="534" t="str">
        <f>IF(Inventory!G96="","",Inventory!G96)</f>
        <v/>
      </c>
      <c r="H99" s="535" t="str">
        <f t="shared" si="46"/>
        <v/>
      </c>
      <c r="I99" s="536" t="str">
        <f>IF(Inventory!J96="","",Inventory!J96)</f>
        <v/>
      </c>
      <c r="J99" s="537" t="str">
        <f>IFERROR(IF(PRJ_Type="New Construction",IF(Inventory!C96="N",INDEX(xyLPD_BuildingArea,MATCH(Building_Type,Lookups!$F$37:$F$75,0),4),INDEX(xyLPD_SpaceBySpace,MATCH(INDEX(xyNCEx,MATCH(I99,yNCExArea,0),2),ySpace_by_Space_Type,0),2)),VLOOKUP(E99,xyWattage_Table,11,FALSE)),"")</f>
        <v/>
      </c>
      <c r="K99" s="538" t="str">
        <f>IFERROR(IF(AND(NC_Type="Building Area Method",Inventory!C96="N"),IF(ISERROR(INDEX('Usage Groups (&gt;120 MWh only)'!$N$8:$N$12,MATCH(C99,'Usage Groups (&gt;120 MWh only)'!$B$8:$B$12,0),1))=TRUE,SqFt/COUNTIFS(Inventory!$C$10:$C$1009,"N",$Q$13:$Q$1012,"&gt;=0"),INDEX('Usage Groups (&gt;120 MWh only)'!$N$8:$N$12,MATCH(C99,'Usage Groups (&gt;120 MWh only)'!$B$8:$B$12,0),1)/COUNTIF($C$13:$C$1012,C99)),IF(AND(NC_Type="Building Area Method",Inventory!C96="Y"),INDEX(xyNCEx,MATCH(I99,yNCExArea,0),3)/COUNTIF($I$13:$I$1012,I99),VLOOKUP(J99,xyWattage_Table,10,FALSE))),"")</f>
        <v/>
      </c>
      <c r="L99" s="539" t="str">
        <f t="shared" si="47"/>
        <v/>
      </c>
      <c r="M99" s="540">
        <f>IF(Inventory!N96="","",Inventory!N96)</f>
        <v>0</v>
      </c>
      <c r="N99" s="533" t="str">
        <f t="shared" si="48"/>
        <v/>
      </c>
      <c r="O99" s="534"/>
      <c r="P99" s="533" t="str">
        <f t="shared" si="49"/>
        <v/>
      </c>
      <c r="Q99" s="534" t="str">
        <f>IF(Inventory!L96="","",Inventory!L96)</f>
        <v/>
      </c>
      <c r="R99" s="535" t="str">
        <f t="shared" si="50"/>
        <v/>
      </c>
      <c r="S99" s="536" t="str">
        <f>IF(Inventory!O96="","",Inventory!O96)</f>
        <v/>
      </c>
      <c r="T99" s="541" t="str">
        <f>IFERROR(IF(C99="","",IF(INDEX(xyWattage_Table,MATCH(M99,'Fixture Identities'!$B$9:$B$997,0),2)="Exit Sign",8760,IF(VLOOKUP(C99,xySpace_Type_Details,8,FALSE)="TRM",INDEX('General Information'!$AF$17:$AG$28,11,MATCH(N99,'General Information'!$AF$16:$AG$16,0)),HLOOKUP(VLOOKUP(C99,xySpace_Type_Details,8,FALSE),'General Information'!$P$15:$AG$28,13,FALSE)))),"")</f>
        <v/>
      </c>
      <c r="U99" s="542" t="str">
        <f>IFERROR(IF(C99="","",IF(INDEX(xyWattage_Table,MATCH(M99,'Fixture Identities'!$B$9:$B$997,0),2)="Exit Sign",1,IF(VLOOKUP(C99,xySpace_Type_Details,8,FALSE)="TRM",INDEX('General Information'!$AF$17:$AG$28,12,MATCH(N99,'General Information'!$AF$16:$AG$16,0)),HLOOKUP(VLOOKUP(C99,xySpace_Type_Details,8,FALSE),'General Information'!$P$15:$AG$28,14,FALSE)))),"")</f>
        <v/>
      </c>
      <c r="V99" s="542" t="str">
        <f>IFERROR(VLOOKUP(INDEX(xySpace_Type_Details,MATCH($C99,'General Information'!$C$40:$C$60,0),12),Lookups!$L$8:$N$12,2,FALSE),"")</f>
        <v/>
      </c>
      <c r="W99" s="542" t="str">
        <f>IFERROR(VLOOKUP(INDEX(xySpace_Type_Details,MATCH($C99,'General Information'!$C$40:$C$60,0),12),Lookups!$L$8:$N$12,3,FALSE),"")</f>
        <v/>
      </c>
      <c r="Y99" s="542" t="str">
        <f>IFERROR(IF(C99="","",IF(INDEX(xyWattage_Table,MATCH(M99,'Fixture Identities'!$B$9:$B$997,0),2)="Exit Sign",0,IF(PRJ_Type="Retrofit",VLOOKUP(I99,xySVG_Factors,2,FALSE),IF(AND(PRJ_Type="New Construction",Inventory!C96="N"),VLOOKUP(VLOOKUP(Building_Type,xyLPD_BuildingArea,5,FALSE),xySVG_Factors_NC,3,FALSE),0)))),"")</f>
        <v/>
      </c>
      <c r="Z99" s="544" t="str">
        <f>IFERROR(IF(C99="","",IF(INDEX(xyWattage_Table,MATCH(M99,'Fixture Identities'!$B$9:$B$997,0),2)="Exit Sign",0,VLOOKUP(S99,xySVG_Factors,2,FALSE))),"")</f>
        <v/>
      </c>
      <c r="AA99" s="545" t="str">
        <f t="shared" si="51"/>
        <v/>
      </c>
      <c r="AB99" s="542" t="str">
        <f t="shared" si="52"/>
        <v/>
      </c>
      <c r="AC99" s="539" t="str">
        <f t="shared" si="53"/>
        <v/>
      </c>
      <c r="AD99" s="546" t="str">
        <f t="shared" si="54"/>
        <v/>
      </c>
      <c r="AE99" s="539" t="str">
        <f t="shared" si="55"/>
        <v/>
      </c>
      <c r="AF99" s="546" t="str">
        <f t="shared" si="56"/>
        <v/>
      </c>
      <c r="AG99" s="539" t="str">
        <f t="shared" si="57"/>
        <v/>
      </c>
      <c r="AH99" s="32">
        <f t="shared" si="38"/>
        <v>0</v>
      </c>
      <c r="AI99" s="32">
        <f t="shared" si="39"/>
        <v>0</v>
      </c>
      <c r="AJ99" s="32">
        <f t="shared" si="40"/>
        <v>0</v>
      </c>
      <c r="AK99" t="str">
        <f t="shared" si="41"/>
        <v/>
      </c>
      <c r="AL99" t="str">
        <f t="shared" si="42"/>
        <v/>
      </c>
      <c r="AM99" t="str">
        <f t="shared" si="43"/>
        <v/>
      </c>
      <c r="AO99" t="str">
        <f>IFERROR(VLOOKUP(M99,'Fixture Identities'!$B$9:$O$1045,14,FALSE),"")</f>
        <v/>
      </c>
      <c r="AP99" t="str">
        <f t="shared" si="37"/>
        <v/>
      </c>
    </row>
    <row r="100" spans="1:42">
      <c r="A100" s="71">
        <f t="shared" si="58"/>
        <v>0</v>
      </c>
      <c r="B100" s="513">
        <f t="shared" si="44"/>
        <v>88</v>
      </c>
      <c r="C100" s="530" t="str">
        <f>IF(Inventory!E97="","",Inventory!E97)</f>
        <v/>
      </c>
      <c r="D100" s="531">
        <f>IF(Inventory!D97="",0,Inventory!D97)</f>
        <v>0</v>
      </c>
      <c r="E100" s="532" t="str">
        <f>IF(Inventory!I97=0,"",Inventory!I97)</f>
        <v/>
      </c>
      <c r="F100" s="533" t="str">
        <f t="shared" si="45"/>
        <v/>
      </c>
      <c r="G100" s="534" t="str">
        <f>IF(Inventory!G97="","",Inventory!G97)</f>
        <v/>
      </c>
      <c r="H100" s="535" t="str">
        <f t="shared" si="46"/>
        <v/>
      </c>
      <c r="I100" s="536" t="str">
        <f>IF(Inventory!J97="","",Inventory!J97)</f>
        <v/>
      </c>
      <c r="J100" s="537" t="str">
        <f>IFERROR(IF(PRJ_Type="New Construction",IF(Inventory!C97="N",INDEX(xyLPD_BuildingArea,MATCH(Building_Type,Lookups!$F$37:$F$75,0),4),INDEX(xyLPD_SpaceBySpace,MATCH(INDEX(xyNCEx,MATCH(I100,yNCExArea,0),2),ySpace_by_Space_Type,0),2)),VLOOKUP(E100,xyWattage_Table,11,FALSE)),"")</f>
        <v/>
      </c>
      <c r="K100" s="538" t="str">
        <f>IFERROR(IF(AND(NC_Type="Building Area Method",Inventory!C97="N"),IF(ISERROR(INDEX('Usage Groups (&gt;120 MWh only)'!$N$8:$N$12,MATCH(C100,'Usage Groups (&gt;120 MWh only)'!$B$8:$B$12,0),1))=TRUE,SqFt/COUNTIFS(Inventory!$C$10:$C$1009,"N",$Q$13:$Q$1012,"&gt;=0"),INDEX('Usage Groups (&gt;120 MWh only)'!$N$8:$N$12,MATCH(C100,'Usage Groups (&gt;120 MWh only)'!$B$8:$B$12,0),1)/COUNTIF($C$13:$C$1012,C100)),IF(AND(NC_Type="Building Area Method",Inventory!C97="Y"),INDEX(xyNCEx,MATCH(I100,yNCExArea,0),3)/COUNTIF($I$13:$I$1012,I100),VLOOKUP(J100,xyWattage_Table,10,FALSE))),"")</f>
        <v/>
      </c>
      <c r="L100" s="539" t="str">
        <f t="shared" si="47"/>
        <v/>
      </c>
      <c r="M100" s="540">
        <f>IF(Inventory!N97="","",Inventory!N97)</f>
        <v>0</v>
      </c>
      <c r="N100" s="533" t="str">
        <f t="shared" si="48"/>
        <v/>
      </c>
      <c r="O100" s="534"/>
      <c r="P100" s="533" t="str">
        <f t="shared" si="49"/>
        <v/>
      </c>
      <c r="Q100" s="534" t="str">
        <f>IF(Inventory!L97="","",Inventory!L97)</f>
        <v/>
      </c>
      <c r="R100" s="535" t="str">
        <f t="shared" si="50"/>
        <v/>
      </c>
      <c r="S100" s="536" t="str">
        <f>IF(Inventory!O97="","",Inventory!O97)</f>
        <v/>
      </c>
      <c r="T100" s="541" t="str">
        <f>IFERROR(IF(C100="","",IF(INDEX(xyWattage_Table,MATCH(M100,'Fixture Identities'!$B$9:$B$997,0),2)="Exit Sign",8760,IF(VLOOKUP(C100,xySpace_Type_Details,8,FALSE)="TRM",INDEX('General Information'!$AF$17:$AG$28,11,MATCH(N100,'General Information'!$AF$16:$AG$16,0)),HLOOKUP(VLOOKUP(C100,xySpace_Type_Details,8,FALSE),'General Information'!$P$15:$AG$28,13,FALSE)))),"")</f>
        <v/>
      </c>
      <c r="U100" s="542" t="str">
        <f>IFERROR(IF(C100="","",IF(INDEX(xyWattage_Table,MATCH(M100,'Fixture Identities'!$B$9:$B$997,0),2)="Exit Sign",1,IF(VLOOKUP(C100,xySpace_Type_Details,8,FALSE)="TRM",INDEX('General Information'!$AF$17:$AG$28,12,MATCH(N100,'General Information'!$AF$16:$AG$16,0)),HLOOKUP(VLOOKUP(C100,xySpace_Type_Details,8,FALSE),'General Information'!$P$15:$AG$28,14,FALSE)))),"")</f>
        <v/>
      </c>
      <c r="V100" s="542" t="str">
        <f>IFERROR(VLOOKUP(INDEX(xySpace_Type_Details,MATCH($C100,'General Information'!$C$40:$C$60,0),12),Lookups!$L$8:$N$12,2,FALSE),"")</f>
        <v/>
      </c>
      <c r="W100" s="542" t="str">
        <f>IFERROR(VLOOKUP(INDEX(xySpace_Type_Details,MATCH($C100,'General Information'!$C$40:$C$60,0),12),Lookups!$L$8:$N$12,3,FALSE),"")</f>
        <v/>
      </c>
      <c r="Y100" s="542" t="str">
        <f>IFERROR(IF(C100="","",IF(INDEX(xyWattage_Table,MATCH(M100,'Fixture Identities'!$B$9:$B$997,0),2)="Exit Sign",0,IF(PRJ_Type="Retrofit",VLOOKUP(I100,xySVG_Factors,2,FALSE),IF(AND(PRJ_Type="New Construction",Inventory!C97="N"),VLOOKUP(VLOOKUP(Building_Type,xyLPD_BuildingArea,5,FALSE),xySVG_Factors_NC,3,FALSE),0)))),"")</f>
        <v/>
      </c>
      <c r="Z100" s="544" t="str">
        <f>IFERROR(IF(C100="","",IF(INDEX(xyWattage_Table,MATCH(M100,'Fixture Identities'!$B$9:$B$997,0),2)="Exit Sign",0,VLOOKUP(S100,xySVG_Factors,2,FALSE))),"")</f>
        <v/>
      </c>
      <c r="AA100" s="545" t="str">
        <f t="shared" si="51"/>
        <v/>
      </c>
      <c r="AB100" s="542" t="str">
        <f t="shared" si="52"/>
        <v/>
      </c>
      <c r="AC100" s="539" t="str">
        <f t="shared" si="53"/>
        <v/>
      </c>
      <c r="AD100" s="546" t="str">
        <f t="shared" si="54"/>
        <v/>
      </c>
      <c r="AE100" s="539" t="str">
        <f t="shared" si="55"/>
        <v/>
      </c>
      <c r="AF100" s="546" t="str">
        <f t="shared" si="56"/>
        <v/>
      </c>
      <c r="AG100" s="539" t="str">
        <f t="shared" si="57"/>
        <v/>
      </c>
      <c r="AH100" s="32">
        <f t="shared" si="38"/>
        <v>0</v>
      </c>
      <c r="AI100" s="32">
        <f t="shared" si="39"/>
        <v>0</v>
      </c>
      <c r="AJ100" s="32">
        <f t="shared" si="40"/>
        <v>0</v>
      </c>
      <c r="AK100" t="str">
        <f t="shared" si="41"/>
        <v/>
      </c>
      <c r="AL100" t="str">
        <f t="shared" si="42"/>
        <v/>
      </c>
      <c r="AM100" t="str">
        <f t="shared" si="43"/>
        <v/>
      </c>
      <c r="AO100" t="str">
        <f>IFERROR(VLOOKUP(M100,'Fixture Identities'!$B$9:$O$1045,14,FALSE),"")</f>
        <v/>
      </c>
      <c r="AP100" t="str">
        <f t="shared" si="37"/>
        <v/>
      </c>
    </row>
    <row r="101" spans="1:42">
      <c r="A101" s="71">
        <f t="shared" si="58"/>
        <v>0</v>
      </c>
      <c r="B101" s="513">
        <f t="shared" si="44"/>
        <v>89</v>
      </c>
      <c r="C101" s="530" t="str">
        <f>IF(Inventory!E98="","",Inventory!E98)</f>
        <v/>
      </c>
      <c r="D101" s="531">
        <f>IF(Inventory!D98="",0,Inventory!D98)</f>
        <v>0</v>
      </c>
      <c r="E101" s="532" t="str">
        <f>IF(Inventory!I98=0,"",Inventory!I98)</f>
        <v/>
      </c>
      <c r="F101" s="533" t="str">
        <f t="shared" si="45"/>
        <v/>
      </c>
      <c r="G101" s="534" t="str">
        <f>IF(Inventory!G98="","",Inventory!G98)</f>
        <v/>
      </c>
      <c r="H101" s="535" t="str">
        <f t="shared" si="46"/>
        <v/>
      </c>
      <c r="I101" s="536" t="str">
        <f>IF(Inventory!J98="","",Inventory!J98)</f>
        <v/>
      </c>
      <c r="J101" s="537" t="str">
        <f>IFERROR(IF(PRJ_Type="New Construction",IF(Inventory!C98="N",INDEX(xyLPD_BuildingArea,MATCH(Building_Type,Lookups!$F$37:$F$75,0),4),INDEX(xyLPD_SpaceBySpace,MATCH(INDEX(xyNCEx,MATCH(I101,yNCExArea,0),2),ySpace_by_Space_Type,0),2)),VLOOKUP(E101,xyWattage_Table,11,FALSE)),"")</f>
        <v/>
      </c>
      <c r="K101" s="538" t="str">
        <f>IFERROR(IF(AND(NC_Type="Building Area Method",Inventory!C98="N"),IF(ISERROR(INDEX('Usage Groups (&gt;120 MWh only)'!$N$8:$N$12,MATCH(C101,'Usage Groups (&gt;120 MWh only)'!$B$8:$B$12,0),1))=TRUE,SqFt/COUNTIFS(Inventory!$C$10:$C$1009,"N",$Q$13:$Q$1012,"&gt;=0"),INDEX('Usage Groups (&gt;120 MWh only)'!$N$8:$N$12,MATCH(C101,'Usage Groups (&gt;120 MWh only)'!$B$8:$B$12,0),1)/COUNTIF($C$13:$C$1012,C101)),IF(AND(NC_Type="Building Area Method",Inventory!C98="Y"),INDEX(xyNCEx,MATCH(I101,yNCExArea,0),3)/COUNTIF($I$13:$I$1012,I101),VLOOKUP(J101,xyWattage_Table,10,FALSE))),"")</f>
        <v/>
      </c>
      <c r="L101" s="539" t="str">
        <f t="shared" si="47"/>
        <v/>
      </c>
      <c r="M101" s="540">
        <f>IF(Inventory!N98="","",Inventory!N98)</f>
        <v>0</v>
      </c>
      <c r="N101" s="533" t="str">
        <f t="shared" si="48"/>
        <v/>
      </c>
      <c r="O101" s="534"/>
      <c r="P101" s="533" t="str">
        <f t="shared" si="49"/>
        <v/>
      </c>
      <c r="Q101" s="534" t="str">
        <f>IF(Inventory!L98="","",Inventory!L98)</f>
        <v/>
      </c>
      <c r="R101" s="535" t="str">
        <f t="shared" si="50"/>
        <v/>
      </c>
      <c r="S101" s="536" t="str">
        <f>IF(Inventory!O98="","",Inventory!O98)</f>
        <v/>
      </c>
      <c r="T101" s="541" t="str">
        <f>IFERROR(IF(C101="","",IF(INDEX(xyWattage_Table,MATCH(M101,'Fixture Identities'!$B$9:$B$997,0),2)="Exit Sign",8760,IF(VLOOKUP(C101,xySpace_Type_Details,8,FALSE)="TRM",INDEX('General Information'!$AF$17:$AG$28,11,MATCH(N101,'General Information'!$AF$16:$AG$16,0)),HLOOKUP(VLOOKUP(C101,xySpace_Type_Details,8,FALSE),'General Information'!$P$15:$AG$28,13,FALSE)))),"")</f>
        <v/>
      </c>
      <c r="U101" s="542" t="str">
        <f>IFERROR(IF(C101="","",IF(INDEX(xyWattage_Table,MATCH(M101,'Fixture Identities'!$B$9:$B$997,0),2)="Exit Sign",1,IF(VLOOKUP(C101,xySpace_Type_Details,8,FALSE)="TRM",INDEX('General Information'!$AF$17:$AG$28,12,MATCH(N101,'General Information'!$AF$16:$AG$16,0)),HLOOKUP(VLOOKUP(C101,xySpace_Type_Details,8,FALSE),'General Information'!$P$15:$AG$28,14,FALSE)))),"")</f>
        <v/>
      </c>
      <c r="V101" s="542" t="str">
        <f>IFERROR(VLOOKUP(INDEX(xySpace_Type_Details,MATCH($C101,'General Information'!$C$40:$C$60,0),12),Lookups!$L$8:$N$12,2,FALSE),"")</f>
        <v/>
      </c>
      <c r="W101" s="542" t="str">
        <f>IFERROR(VLOOKUP(INDEX(xySpace_Type_Details,MATCH($C101,'General Information'!$C$40:$C$60,0),12),Lookups!$L$8:$N$12,3,FALSE),"")</f>
        <v/>
      </c>
      <c r="Y101" s="542" t="str">
        <f>IFERROR(IF(C101="","",IF(INDEX(xyWattage_Table,MATCH(M101,'Fixture Identities'!$B$9:$B$997,0),2)="Exit Sign",0,IF(PRJ_Type="Retrofit",VLOOKUP(I101,xySVG_Factors,2,FALSE),IF(AND(PRJ_Type="New Construction",Inventory!C98="N"),VLOOKUP(VLOOKUP(Building_Type,xyLPD_BuildingArea,5,FALSE),xySVG_Factors_NC,3,FALSE),0)))),"")</f>
        <v/>
      </c>
      <c r="Z101" s="544" t="str">
        <f>IFERROR(IF(C101="","",IF(INDEX(xyWattage_Table,MATCH(M101,'Fixture Identities'!$B$9:$B$997,0),2)="Exit Sign",0,VLOOKUP(S101,xySVG_Factors,2,FALSE))),"")</f>
        <v/>
      </c>
      <c r="AA101" s="545" t="str">
        <f t="shared" si="51"/>
        <v/>
      </c>
      <c r="AB101" s="542" t="str">
        <f t="shared" si="52"/>
        <v/>
      </c>
      <c r="AC101" s="539" t="str">
        <f t="shared" si="53"/>
        <v/>
      </c>
      <c r="AD101" s="546" t="str">
        <f t="shared" si="54"/>
        <v/>
      </c>
      <c r="AE101" s="539" t="str">
        <f t="shared" si="55"/>
        <v/>
      </c>
      <c r="AF101" s="546" t="str">
        <f t="shared" si="56"/>
        <v/>
      </c>
      <c r="AG101" s="539" t="str">
        <f t="shared" si="57"/>
        <v/>
      </c>
      <c r="AH101" s="32">
        <f t="shared" si="38"/>
        <v>0</v>
      </c>
      <c r="AI101" s="32">
        <f t="shared" si="39"/>
        <v>0</v>
      </c>
      <c r="AJ101" s="32">
        <f t="shared" si="40"/>
        <v>0</v>
      </c>
      <c r="AK101" t="str">
        <f t="shared" si="41"/>
        <v/>
      </c>
      <c r="AL101" t="str">
        <f t="shared" si="42"/>
        <v/>
      </c>
      <c r="AM101" t="str">
        <f t="shared" si="43"/>
        <v/>
      </c>
      <c r="AO101" t="str">
        <f>IFERROR(VLOOKUP(M101,'Fixture Identities'!$B$9:$O$1045,14,FALSE),"")</f>
        <v/>
      </c>
      <c r="AP101" t="str">
        <f t="shared" si="37"/>
        <v/>
      </c>
    </row>
    <row r="102" spans="1:42">
      <c r="A102" s="71">
        <f t="shared" si="58"/>
        <v>0</v>
      </c>
      <c r="B102" s="513">
        <f t="shared" si="44"/>
        <v>90</v>
      </c>
      <c r="C102" s="530" t="str">
        <f>IF(Inventory!E99="","",Inventory!E99)</f>
        <v/>
      </c>
      <c r="D102" s="531">
        <f>IF(Inventory!D99="",0,Inventory!D99)</f>
        <v>0</v>
      </c>
      <c r="E102" s="532" t="str">
        <f>IF(Inventory!I99=0,"",Inventory!I99)</f>
        <v/>
      </c>
      <c r="F102" s="533" t="str">
        <f t="shared" si="45"/>
        <v/>
      </c>
      <c r="G102" s="534" t="str">
        <f>IF(Inventory!G99="","",Inventory!G99)</f>
        <v/>
      </c>
      <c r="H102" s="535" t="str">
        <f t="shared" si="46"/>
        <v/>
      </c>
      <c r="I102" s="536" t="str">
        <f>IF(Inventory!J99="","",Inventory!J99)</f>
        <v/>
      </c>
      <c r="J102" s="537" t="str">
        <f>IFERROR(IF(PRJ_Type="New Construction",IF(Inventory!C99="N",INDEX(xyLPD_BuildingArea,MATCH(Building_Type,Lookups!$F$37:$F$75,0),4),INDEX(xyLPD_SpaceBySpace,MATCH(INDEX(xyNCEx,MATCH(I102,yNCExArea,0),2),ySpace_by_Space_Type,0),2)),VLOOKUP(E102,xyWattage_Table,11,FALSE)),"")</f>
        <v/>
      </c>
      <c r="K102" s="538" t="str">
        <f>IFERROR(IF(AND(NC_Type="Building Area Method",Inventory!C99="N"),IF(ISERROR(INDEX('Usage Groups (&gt;120 MWh only)'!$N$8:$N$12,MATCH(C102,'Usage Groups (&gt;120 MWh only)'!$B$8:$B$12,0),1))=TRUE,SqFt/COUNTIFS(Inventory!$C$10:$C$1009,"N",$Q$13:$Q$1012,"&gt;=0"),INDEX('Usage Groups (&gt;120 MWh only)'!$N$8:$N$12,MATCH(C102,'Usage Groups (&gt;120 MWh only)'!$B$8:$B$12,0),1)/COUNTIF($C$13:$C$1012,C102)),IF(AND(NC_Type="Building Area Method",Inventory!C99="Y"),INDEX(xyNCEx,MATCH(I102,yNCExArea,0),3)/COUNTIF($I$13:$I$1012,I102),VLOOKUP(J102,xyWattage_Table,10,FALSE))),"")</f>
        <v/>
      </c>
      <c r="L102" s="539" t="str">
        <f t="shared" si="47"/>
        <v/>
      </c>
      <c r="M102" s="540">
        <f>IF(Inventory!N99="","",Inventory!N99)</f>
        <v>0</v>
      </c>
      <c r="N102" s="533" t="str">
        <f t="shared" si="48"/>
        <v/>
      </c>
      <c r="O102" s="534"/>
      <c r="P102" s="533" t="str">
        <f t="shared" si="49"/>
        <v/>
      </c>
      <c r="Q102" s="534" t="str">
        <f>IF(Inventory!L99="","",Inventory!L99)</f>
        <v/>
      </c>
      <c r="R102" s="535" t="str">
        <f t="shared" si="50"/>
        <v/>
      </c>
      <c r="S102" s="536" t="str">
        <f>IF(Inventory!O99="","",Inventory!O99)</f>
        <v/>
      </c>
      <c r="T102" s="541" t="str">
        <f>IFERROR(IF(C102="","",IF(INDEX(xyWattage_Table,MATCH(M102,'Fixture Identities'!$B$9:$B$997,0),2)="Exit Sign",8760,IF(VLOOKUP(C102,xySpace_Type_Details,8,FALSE)="TRM",INDEX('General Information'!$AF$17:$AG$28,11,MATCH(N102,'General Information'!$AF$16:$AG$16,0)),HLOOKUP(VLOOKUP(C102,xySpace_Type_Details,8,FALSE),'General Information'!$P$15:$AG$28,13,FALSE)))),"")</f>
        <v/>
      </c>
      <c r="U102" s="542" t="str">
        <f>IFERROR(IF(C102="","",IF(INDEX(xyWattage_Table,MATCH(M102,'Fixture Identities'!$B$9:$B$997,0),2)="Exit Sign",1,IF(VLOOKUP(C102,xySpace_Type_Details,8,FALSE)="TRM",INDEX('General Information'!$AF$17:$AG$28,12,MATCH(N102,'General Information'!$AF$16:$AG$16,0)),HLOOKUP(VLOOKUP(C102,xySpace_Type_Details,8,FALSE),'General Information'!$P$15:$AG$28,14,FALSE)))),"")</f>
        <v/>
      </c>
      <c r="V102" s="542" t="str">
        <f>IFERROR(VLOOKUP(INDEX(xySpace_Type_Details,MATCH($C102,'General Information'!$C$40:$C$60,0),12),Lookups!$L$8:$N$12,2,FALSE),"")</f>
        <v/>
      </c>
      <c r="W102" s="542" t="str">
        <f>IFERROR(VLOOKUP(INDEX(xySpace_Type_Details,MATCH($C102,'General Information'!$C$40:$C$60,0),12),Lookups!$L$8:$N$12,3,FALSE),"")</f>
        <v/>
      </c>
      <c r="Y102" s="542" t="str">
        <f>IFERROR(IF(C102="","",IF(INDEX(xyWattage_Table,MATCH(M102,'Fixture Identities'!$B$9:$B$997,0),2)="Exit Sign",0,IF(PRJ_Type="Retrofit",VLOOKUP(I102,xySVG_Factors,2,FALSE),IF(AND(PRJ_Type="New Construction",Inventory!C99="N"),VLOOKUP(VLOOKUP(Building_Type,xyLPD_BuildingArea,5,FALSE),xySVG_Factors_NC,3,FALSE),0)))),"")</f>
        <v/>
      </c>
      <c r="Z102" s="544" t="str">
        <f>IFERROR(IF(C102="","",IF(INDEX(xyWattage_Table,MATCH(M102,'Fixture Identities'!$B$9:$B$997,0),2)="Exit Sign",0,VLOOKUP(S102,xySVG_Factors,2,FALSE))),"")</f>
        <v/>
      </c>
      <c r="AA102" s="545" t="str">
        <f t="shared" si="51"/>
        <v/>
      </c>
      <c r="AB102" s="542" t="str">
        <f t="shared" si="52"/>
        <v/>
      </c>
      <c r="AC102" s="539" t="str">
        <f t="shared" si="53"/>
        <v/>
      </c>
      <c r="AD102" s="546" t="str">
        <f t="shared" si="54"/>
        <v/>
      </c>
      <c r="AE102" s="539" t="str">
        <f t="shared" si="55"/>
        <v/>
      </c>
      <c r="AF102" s="546" t="str">
        <f t="shared" si="56"/>
        <v/>
      </c>
      <c r="AG102" s="539" t="str">
        <f t="shared" si="57"/>
        <v/>
      </c>
      <c r="AH102" s="32">
        <f t="shared" si="38"/>
        <v>0</v>
      </c>
      <c r="AI102" s="32">
        <f t="shared" si="39"/>
        <v>0</v>
      </c>
      <c r="AJ102" s="32">
        <f t="shared" si="40"/>
        <v>0</v>
      </c>
      <c r="AK102" t="str">
        <f t="shared" si="41"/>
        <v/>
      </c>
      <c r="AL102" t="str">
        <f t="shared" si="42"/>
        <v/>
      </c>
      <c r="AM102" t="str">
        <f t="shared" si="43"/>
        <v/>
      </c>
      <c r="AO102" t="str">
        <f>IFERROR(VLOOKUP(M102,'Fixture Identities'!$B$9:$O$1045,14,FALSE),"")</f>
        <v/>
      </c>
      <c r="AP102" t="str">
        <f t="shared" si="37"/>
        <v/>
      </c>
    </row>
    <row r="103" spans="1:42">
      <c r="A103" s="71">
        <f t="shared" si="58"/>
        <v>0</v>
      </c>
      <c r="B103" s="513">
        <f t="shared" si="44"/>
        <v>91</v>
      </c>
      <c r="C103" s="530" t="str">
        <f>IF(Inventory!E100="","",Inventory!E100)</f>
        <v/>
      </c>
      <c r="D103" s="531">
        <f>IF(Inventory!D100="",0,Inventory!D100)</f>
        <v>0</v>
      </c>
      <c r="E103" s="532" t="str">
        <f>IF(Inventory!I100=0,"",Inventory!I100)</f>
        <v/>
      </c>
      <c r="F103" s="533" t="str">
        <f t="shared" si="45"/>
        <v/>
      </c>
      <c r="G103" s="534" t="str">
        <f>IF(Inventory!G100="","",Inventory!G100)</f>
        <v/>
      </c>
      <c r="H103" s="535" t="str">
        <f t="shared" si="46"/>
        <v/>
      </c>
      <c r="I103" s="536" t="str">
        <f>IF(Inventory!J100="","",Inventory!J100)</f>
        <v/>
      </c>
      <c r="J103" s="537" t="str">
        <f>IFERROR(IF(PRJ_Type="New Construction",IF(Inventory!C100="N",INDEX(xyLPD_BuildingArea,MATCH(Building_Type,Lookups!$F$37:$F$75,0),4),INDEX(xyLPD_SpaceBySpace,MATCH(INDEX(xyNCEx,MATCH(I103,yNCExArea,0),2),ySpace_by_Space_Type,0),2)),VLOOKUP(E103,xyWattage_Table,11,FALSE)),"")</f>
        <v/>
      </c>
      <c r="K103" s="538" t="str">
        <f>IFERROR(IF(AND(NC_Type="Building Area Method",Inventory!C100="N"),IF(ISERROR(INDEX('Usage Groups (&gt;120 MWh only)'!$N$8:$N$12,MATCH(C103,'Usage Groups (&gt;120 MWh only)'!$B$8:$B$12,0),1))=TRUE,SqFt/COUNTIFS(Inventory!$C$10:$C$1009,"N",$Q$13:$Q$1012,"&gt;=0"),INDEX('Usage Groups (&gt;120 MWh only)'!$N$8:$N$12,MATCH(C103,'Usage Groups (&gt;120 MWh only)'!$B$8:$B$12,0),1)/COUNTIF($C$13:$C$1012,C103)),IF(AND(NC_Type="Building Area Method",Inventory!C100="Y"),INDEX(xyNCEx,MATCH(I103,yNCExArea,0),3)/COUNTIF($I$13:$I$1012,I103),VLOOKUP(J103,xyWattage_Table,10,FALSE))),"")</f>
        <v/>
      </c>
      <c r="L103" s="539" t="str">
        <f t="shared" si="47"/>
        <v/>
      </c>
      <c r="M103" s="540">
        <f>IF(Inventory!N100="","",Inventory!N100)</f>
        <v>0</v>
      </c>
      <c r="N103" s="533" t="str">
        <f t="shared" si="48"/>
        <v/>
      </c>
      <c r="O103" s="534"/>
      <c r="P103" s="533" t="str">
        <f t="shared" si="49"/>
        <v/>
      </c>
      <c r="Q103" s="534" t="str">
        <f>IF(Inventory!L100="","",Inventory!L100)</f>
        <v/>
      </c>
      <c r="R103" s="535" t="str">
        <f t="shared" si="50"/>
        <v/>
      </c>
      <c r="S103" s="536" t="str">
        <f>IF(Inventory!O100="","",Inventory!O100)</f>
        <v/>
      </c>
      <c r="T103" s="541" t="str">
        <f>IFERROR(IF(C103="","",IF(INDEX(xyWattage_Table,MATCH(M103,'Fixture Identities'!$B$9:$B$997,0),2)="Exit Sign",8760,IF(VLOOKUP(C103,xySpace_Type_Details,8,FALSE)="TRM",INDEX('General Information'!$AF$17:$AG$28,11,MATCH(N103,'General Information'!$AF$16:$AG$16,0)),HLOOKUP(VLOOKUP(C103,xySpace_Type_Details,8,FALSE),'General Information'!$P$15:$AG$28,13,FALSE)))),"")</f>
        <v/>
      </c>
      <c r="U103" s="542" t="str">
        <f>IFERROR(IF(C103="","",IF(INDEX(xyWattage_Table,MATCH(M103,'Fixture Identities'!$B$9:$B$997,0),2)="Exit Sign",1,IF(VLOOKUP(C103,xySpace_Type_Details,8,FALSE)="TRM",INDEX('General Information'!$AF$17:$AG$28,12,MATCH(N103,'General Information'!$AF$16:$AG$16,0)),HLOOKUP(VLOOKUP(C103,xySpace_Type_Details,8,FALSE),'General Information'!$P$15:$AG$28,14,FALSE)))),"")</f>
        <v/>
      </c>
      <c r="V103" s="542" t="str">
        <f>IFERROR(VLOOKUP(INDEX(xySpace_Type_Details,MATCH($C103,'General Information'!$C$40:$C$60,0),12),Lookups!$L$8:$N$12,2,FALSE),"")</f>
        <v/>
      </c>
      <c r="W103" s="542" t="str">
        <f>IFERROR(VLOOKUP(INDEX(xySpace_Type_Details,MATCH($C103,'General Information'!$C$40:$C$60,0),12),Lookups!$L$8:$N$12,3,FALSE),"")</f>
        <v/>
      </c>
      <c r="Y103" s="542" t="str">
        <f>IFERROR(IF(C103="","",IF(INDEX(xyWattage_Table,MATCH(M103,'Fixture Identities'!$B$9:$B$997,0),2)="Exit Sign",0,IF(PRJ_Type="Retrofit",VLOOKUP(I103,xySVG_Factors,2,FALSE),IF(AND(PRJ_Type="New Construction",Inventory!C100="N"),VLOOKUP(VLOOKUP(Building_Type,xyLPD_BuildingArea,5,FALSE),xySVG_Factors_NC,3,FALSE),0)))),"")</f>
        <v/>
      </c>
      <c r="Z103" s="544" t="str">
        <f>IFERROR(IF(C103="","",IF(INDEX(xyWattage_Table,MATCH(M103,'Fixture Identities'!$B$9:$B$997,0),2)="Exit Sign",0,VLOOKUP(S103,xySVG_Factors,2,FALSE))),"")</f>
        <v/>
      </c>
      <c r="AA103" s="545" t="str">
        <f t="shared" si="51"/>
        <v/>
      </c>
      <c r="AB103" s="542" t="str">
        <f t="shared" si="52"/>
        <v/>
      </c>
      <c r="AC103" s="539" t="str">
        <f t="shared" si="53"/>
        <v/>
      </c>
      <c r="AD103" s="546" t="str">
        <f t="shared" si="54"/>
        <v/>
      </c>
      <c r="AE103" s="539" t="str">
        <f t="shared" si="55"/>
        <v/>
      </c>
      <c r="AF103" s="546" t="str">
        <f t="shared" si="56"/>
        <v/>
      </c>
      <c r="AG103" s="539" t="str">
        <f t="shared" si="57"/>
        <v/>
      </c>
      <c r="AH103" s="32">
        <f t="shared" si="38"/>
        <v>0</v>
      </c>
      <c r="AI103" s="32">
        <f t="shared" si="39"/>
        <v>0</v>
      </c>
      <c r="AJ103" s="32">
        <f t="shared" si="40"/>
        <v>0</v>
      </c>
      <c r="AK103" t="str">
        <f t="shared" si="41"/>
        <v/>
      </c>
      <c r="AL103" t="str">
        <f t="shared" si="42"/>
        <v/>
      </c>
      <c r="AM103" t="str">
        <f t="shared" si="43"/>
        <v/>
      </c>
      <c r="AO103" t="str">
        <f>IFERROR(VLOOKUP(M103,'Fixture Identities'!$B$9:$O$1045,14,FALSE),"")</f>
        <v/>
      </c>
      <c r="AP103" t="str">
        <f t="shared" si="37"/>
        <v/>
      </c>
    </row>
    <row r="104" spans="1:42">
      <c r="A104" s="71">
        <f t="shared" si="58"/>
        <v>0</v>
      </c>
      <c r="B104" s="513">
        <f t="shared" si="44"/>
        <v>92</v>
      </c>
      <c r="C104" s="530" t="str">
        <f>IF(Inventory!E101="","",Inventory!E101)</f>
        <v/>
      </c>
      <c r="D104" s="531">
        <f>IF(Inventory!D101="",0,Inventory!D101)</f>
        <v>0</v>
      </c>
      <c r="E104" s="532" t="str">
        <f>IF(Inventory!I101=0,"",Inventory!I101)</f>
        <v/>
      </c>
      <c r="F104" s="533" t="str">
        <f t="shared" si="45"/>
        <v/>
      </c>
      <c r="G104" s="534" t="str">
        <f>IF(Inventory!G101="","",Inventory!G101)</f>
        <v/>
      </c>
      <c r="H104" s="535" t="str">
        <f t="shared" si="46"/>
        <v/>
      </c>
      <c r="I104" s="536" t="str">
        <f>IF(Inventory!J101="","",Inventory!J101)</f>
        <v/>
      </c>
      <c r="J104" s="537" t="str">
        <f>IFERROR(IF(PRJ_Type="New Construction",IF(Inventory!C101="N",INDEX(xyLPD_BuildingArea,MATCH(Building_Type,Lookups!$F$37:$F$75,0),4),INDEX(xyLPD_SpaceBySpace,MATCH(INDEX(xyNCEx,MATCH(I104,yNCExArea,0),2),ySpace_by_Space_Type,0),2)),VLOOKUP(E104,xyWattage_Table,11,FALSE)),"")</f>
        <v/>
      </c>
      <c r="K104" s="538" t="str">
        <f>IFERROR(IF(AND(NC_Type="Building Area Method",Inventory!C101="N"),IF(ISERROR(INDEX('Usage Groups (&gt;120 MWh only)'!$N$8:$N$12,MATCH(C104,'Usage Groups (&gt;120 MWh only)'!$B$8:$B$12,0),1))=TRUE,SqFt/COUNTIFS(Inventory!$C$10:$C$1009,"N",$Q$13:$Q$1012,"&gt;=0"),INDEX('Usage Groups (&gt;120 MWh only)'!$N$8:$N$12,MATCH(C104,'Usage Groups (&gt;120 MWh only)'!$B$8:$B$12,0),1)/COUNTIF($C$13:$C$1012,C104)),IF(AND(NC_Type="Building Area Method",Inventory!C101="Y"),INDEX(xyNCEx,MATCH(I104,yNCExArea,0),3)/COUNTIF($I$13:$I$1012,I104),VLOOKUP(J104,xyWattage_Table,10,FALSE))),"")</f>
        <v/>
      </c>
      <c r="L104" s="539" t="str">
        <f t="shared" si="47"/>
        <v/>
      </c>
      <c r="M104" s="540">
        <f>IF(Inventory!N101="","",Inventory!N101)</f>
        <v>0</v>
      </c>
      <c r="N104" s="533" t="str">
        <f t="shared" si="48"/>
        <v/>
      </c>
      <c r="O104" s="534"/>
      <c r="P104" s="533" t="str">
        <f t="shared" si="49"/>
        <v/>
      </c>
      <c r="Q104" s="534" t="str">
        <f>IF(Inventory!L101="","",Inventory!L101)</f>
        <v/>
      </c>
      <c r="R104" s="535" t="str">
        <f t="shared" si="50"/>
        <v/>
      </c>
      <c r="S104" s="536" t="str">
        <f>IF(Inventory!O101="","",Inventory!O101)</f>
        <v/>
      </c>
      <c r="T104" s="541" t="str">
        <f>IFERROR(IF(C104="","",IF(INDEX(xyWattage_Table,MATCH(M104,'Fixture Identities'!$B$9:$B$997,0),2)="Exit Sign",8760,IF(VLOOKUP(C104,xySpace_Type_Details,8,FALSE)="TRM",INDEX('General Information'!$AF$17:$AG$28,11,MATCH(N104,'General Information'!$AF$16:$AG$16,0)),HLOOKUP(VLOOKUP(C104,xySpace_Type_Details,8,FALSE),'General Information'!$P$15:$AG$28,13,FALSE)))),"")</f>
        <v/>
      </c>
      <c r="U104" s="542" t="str">
        <f>IFERROR(IF(C104="","",IF(INDEX(xyWattage_Table,MATCH(M104,'Fixture Identities'!$B$9:$B$997,0),2)="Exit Sign",1,IF(VLOOKUP(C104,xySpace_Type_Details,8,FALSE)="TRM",INDEX('General Information'!$AF$17:$AG$28,12,MATCH(N104,'General Information'!$AF$16:$AG$16,0)),HLOOKUP(VLOOKUP(C104,xySpace_Type_Details,8,FALSE),'General Information'!$P$15:$AG$28,14,FALSE)))),"")</f>
        <v/>
      </c>
      <c r="V104" s="542" t="str">
        <f>IFERROR(VLOOKUP(INDEX(xySpace_Type_Details,MATCH($C104,'General Information'!$C$40:$C$60,0),12),Lookups!$L$8:$N$12,2,FALSE),"")</f>
        <v/>
      </c>
      <c r="W104" s="542" t="str">
        <f>IFERROR(VLOOKUP(INDEX(xySpace_Type_Details,MATCH($C104,'General Information'!$C$40:$C$60,0),12),Lookups!$L$8:$N$12,3,FALSE),"")</f>
        <v/>
      </c>
      <c r="Y104" s="542" t="str">
        <f>IFERROR(IF(C104="","",IF(INDEX(xyWattage_Table,MATCH(M104,'Fixture Identities'!$B$9:$B$997,0),2)="Exit Sign",0,IF(PRJ_Type="Retrofit",VLOOKUP(I104,xySVG_Factors,2,FALSE),IF(AND(PRJ_Type="New Construction",Inventory!C101="N"),VLOOKUP(VLOOKUP(Building_Type,xyLPD_BuildingArea,5,FALSE),xySVG_Factors_NC,3,FALSE),0)))),"")</f>
        <v/>
      </c>
      <c r="Z104" s="544" t="str">
        <f>IFERROR(IF(C104="","",IF(INDEX(xyWattage_Table,MATCH(M104,'Fixture Identities'!$B$9:$B$997,0),2)="Exit Sign",0,VLOOKUP(S104,xySVG_Factors,2,FALSE))),"")</f>
        <v/>
      </c>
      <c r="AA104" s="545" t="str">
        <f t="shared" si="51"/>
        <v/>
      </c>
      <c r="AB104" s="542" t="str">
        <f t="shared" si="52"/>
        <v/>
      </c>
      <c r="AC104" s="539" t="str">
        <f t="shared" si="53"/>
        <v/>
      </c>
      <c r="AD104" s="546" t="str">
        <f t="shared" si="54"/>
        <v/>
      </c>
      <c r="AE104" s="539" t="str">
        <f t="shared" si="55"/>
        <v/>
      </c>
      <c r="AF104" s="546" t="str">
        <f t="shared" si="56"/>
        <v/>
      </c>
      <c r="AG104" s="539" t="str">
        <f t="shared" si="57"/>
        <v/>
      </c>
      <c r="AH104" s="32">
        <f t="shared" si="38"/>
        <v>0</v>
      </c>
      <c r="AI104" s="32">
        <f t="shared" si="39"/>
        <v>0</v>
      </c>
      <c r="AJ104" s="32">
        <f t="shared" si="40"/>
        <v>0</v>
      </c>
      <c r="AK104" t="str">
        <f t="shared" si="41"/>
        <v/>
      </c>
      <c r="AL104" t="str">
        <f t="shared" si="42"/>
        <v/>
      </c>
      <c r="AM104" t="str">
        <f t="shared" si="43"/>
        <v/>
      </c>
      <c r="AO104" t="str">
        <f>IFERROR(VLOOKUP(M104,'Fixture Identities'!$B$9:$O$1045,14,FALSE),"")</f>
        <v/>
      </c>
      <c r="AP104" t="str">
        <f t="shared" si="37"/>
        <v/>
      </c>
    </row>
    <row r="105" spans="1:42">
      <c r="A105" s="71">
        <f t="shared" si="58"/>
        <v>0</v>
      </c>
      <c r="B105" s="513">
        <f t="shared" si="44"/>
        <v>93</v>
      </c>
      <c r="C105" s="530" t="str">
        <f>IF(Inventory!E102="","",Inventory!E102)</f>
        <v/>
      </c>
      <c r="D105" s="531">
        <f>IF(Inventory!D102="",0,Inventory!D102)</f>
        <v>0</v>
      </c>
      <c r="E105" s="532" t="str">
        <f>IF(Inventory!I102=0,"",Inventory!I102)</f>
        <v/>
      </c>
      <c r="F105" s="533" t="str">
        <f t="shared" si="45"/>
        <v/>
      </c>
      <c r="G105" s="534" t="str">
        <f>IF(Inventory!G102="","",Inventory!G102)</f>
        <v/>
      </c>
      <c r="H105" s="535" t="str">
        <f t="shared" si="46"/>
        <v/>
      </c>
      <c r="I105" s="536" t="str">
        <f>IF(Inventory!J102="","",Inventory!J102)</f>
        <v/>
      </c>
      <c r="J105" s="537" t="str">
        <f>IFERROR(IF(PRJ_Type="New Construction",IF(Inventory!C102="N",INDEX(xyLPD_BuildingArea,MATCH(Building_Type,Lookups!$F$37:$F$75,0),4),INDEX(xyLPD_SpaceBySpace,MATCH(INDEX(xyNCEx,MATCH(I105,yNCExArea,0),2),ySpace_by_Space_Type,0),2)),VLOOKUP(E105,xyWattage_Table,11,FALSE)),"")</f>
        <v/>
      </c>
      <c r="K105" s="538" t="str">
        <f>IFERROR(IF(AND(NC_Type="Building Area Method",Inventory!C102="N"),IF(ISERROR(INDEX('Usage Groups (&gt;120 MWh only)'!$N$8:$N$12,MATCH(C105,'Usage Groups (&gt;120 MWh only)'!$B$8:$B$12,0),1))=TRUE,SqFt/COUNTIFS(Inventory!$C$10:$C$1009,"N",$Q$13:$Q$1012,"&gt;=0"),INDEX('Usage Groups (&gt;120 MWh only)'!$N$8:$N$12,MATCH(C105,'Usage Groups (&gt;120 MWh only)'!$B$8:$B$12,0),1)/COUNTIF($C$13:$C$1012,C105)),IF(AND(NC_Type="Building Area Method",Inventory!C102="Y"),INDEX(xyNCEx,MATCH(I105,yNCExArea,0),3)/COUNTIF($I$13:$I$1012,I105),VLOOKUP(J105,xyWattage_Table,10,FALSE))),"")</f>
        <v/>
      </c>
      <c r="L105" s="539" t="str">
        <f t="shared" si="47"/>
        <v/>
      </c>
      <c r="M105" s="540">
        <f>IF(Inventory!N102="","",Inventory!N102)</f>
        <v>0</v>
      </c>
      <c r="N105" s="533" t="str">
        <f t="shared" si="48"/>
        <v/>
      </c>
      <c r="O105" s="534"/>
      <c r="P105" s="533" t="str">
        <f t="shared" si="49"/>
        <v/>
      </c>
      <c r="Q105" s="534" t="str">
        <f>IF(Inventory!L102="","",Inventory!L102)</f>
        <v/>
      </c>
      <c r="R105" s="535" t="str">
        <f t="shared" si="50"/>
        <v/>
      </c>
      <c r="S105" s="536" t="str">
        <f>IF(Inventory!O102="","",Inventory!O102)</f>
        <v/>
      </c>
      <c r="T105" s="541" t="str">
        <f>IFERROR(IF(C105="","",IF(INDEX(xyWattage_Table,MATCH(M105,'Fixture Identities'!$B$9:$B$997,0),2)="Exit Sign",8760,IF(VLOOKUP(C105,xySpace_Type_Details,8,FALSE)="TRM",INDEX('General Information'!$AF$17:$AG$28,11,MATCH(N105,'General Information'!$AF$16:$AG$16,0)),HLOOKUP(VLOOKUP(C105,xySpace_Type_Details,8,FALSE),'General Information'!$P$15:$AG$28,13,FALSE)))),"")</f>
        <v/>
      </c>
      <c r="U105" s="542" t="str">
        <f>IFERROR(IF(C105="","",IF(INDEX(xyWattage_Table,MATCH(M105,'Fixture Identities'!$B$9:$B$997,0),2)="Exit Sign",1,IF(VLOOKUP(C105,xySpace_Type_Details,8,FALSE)="TRM",INDEX('General Information'!$AF$17:$AG$28,12,MATCH(N105,'General Information'!$AF$16:$AG$16,0)),HLOOKUP(VLOOKUP(C105,xySpace_Type_Details,8,FALSE),'General Information'!$P$15:$AG$28,14,FALSE)))),"")</f>
        <v/>
      </c>
      <c r="V105" s="542" t="str">
        <f>IFERROR(VLOOKUP(INDEX(xySpace_Type_Details,MATCH($C105,'General Information'!$C$40:$C$60,0),12),Lookups!$L$8:$N$12,2,FALSE),"")</f>
        <v/>
      </c>
      <c r="W105" s="542" t="str">
        <f>IFERROR(VLOOKUP(INDEX(xySpace_Type_Details,MATCH($C105,'General Information'!$C$40:$C$60,0),12),Lookups!$L$8:$N$12,3,FALSE),"")</f>
        <v/>
      </c>
      <c r="Y105" s="542" t="str">
        <f>IFERROR(IF(C105="","",IF(INDEX(xyWattage_Table,MATCH(M105,'Fixture Identities'!$B$9:$B$997,0),2)="Exit Sign",0,IF(PRJ_Type="Retrofit",VLOOKUP(I105,xySVG_Factors,2,FALSE),IF(AND(PRJ_Type="New Construction",Inventory!C102="N"),VLOOKUP(VLOOKUP(Building_Type,xyLPD_BuildingArea,5,FALSE),xySVG_Factors_NC,3,FALSE),0)))),"")</f>
        <v/>
      </c>
      <c r="Z105" s="544" t="str">
        <f>IFERROR(IF(C105="","",IF(INDEX(xyWattage_Table,MATCH(M105,'Fixture Identities'!$B$9:$B$997,0),2)="Exit Sign",0,VLOOKUP(S105,xySVG_Factors,2,FALSE))),"")</f>
        <v/>
      </c>
      <c r="AA105" s="545" t="str">
        <f t="shared" si="51"/>
        <v/>
      </c>
      <c r="AB105" s="542" t="str">
        <f t="shared" si="52"/>
        <v/>
      </c>
      <c r="AC105" s="539" t="str">
        <f t="shared" si="53"/>
        <v/>
      </c>
      <c r="AD105" s="546" t="str">
        <f t="shared" si="54"/>
        <v/>
      </c>
      <c r="AE105" s="539" t="str">
        <f t="shared" si="55"/>
        <v/>
      </c>
      <c r="AF105" s="546" t="str">
        <f t="shared" si="56"/>
        <v/>
      </c>
      <c r="AG105" s="539" t="str">
        <f t="shared" si="57"/>
        <v/>
      </c>
      <c r="AH105" s="32">
        <f t="shared" si="38"/>
        <v>0</v>
      </c>
      <c r="AI105" s="32">
        <f t="shared" si="39"/>
        <v>0</v>
      </c>
      <c r="AJ105" s="32">
        <f t="shared" si="40"/>
        <v>0</v>
      </c>
      <c r="AK105" t="str">
        <f t="shared" si="41"/>
        <v/>
      </c>
      <c r="AL105" t="str">
        <f t="shared" si="42"/>
        <v/>
      </c>
      <c r="AM105" t="str">
        <f t="shared" si="43"/>
        <v/>
      </c>
      <c r="AO105" t="str">
        <f>IFERROR(VLOOKUP(M105,'Fixture Identities'!$B$9:$O$1045,14,FALSE),"")</f>
        <v/>
      </c>
      <c r="AP105" t="str">
        <f t="shared" si="37"/>
        <v/>
      </c>
    </row>
    <row r="106" spans="1:42">
      <c r="A106" s="71">
        <f t="shared" si="58"/>
        <v>0</v>
      </c>
      <c r="B106" s="513">
        <f t="shared" si="44"/>
        <v>94</v>
      </c>
      <c r="C106" s="530" t="str">
        <f>IF(Inventory!E103="","",Inventory!E103)</f>
        <v/>
      </c>
      <c r="D106" s="531">
        <f>IF(Inventory!D103="",0,Inventory!D103)</f>
        <v>0</v>
      </c>
      <c r="E106" s="532" t="str">
        <f>IF(Inventory!I103=0,"",Inventory!I103)</f>
        <v/>
      </c>
      <c r="F106" s="533" t="str">
        <f t="shared" si="45"/>
        <v/>
      </c>
      <c r="G106" s="534" t="str">
        <f>IF(Inventory!G103="","",Inventory!G103)</f>
        <v/>
      </c>
      <c r="H106" s="535" t="str">
        <f t="shared" si="46"/>
        <v/>
      </c>
      <c r="I106" s="536" t="str">
        <f>IF(Inventory!J103="","",Inventory!J103)</f>
        <v/>
      </c>
      <c r="J106" s="537" t="str">
        <f>IFERROR(IF(PRJ_Type="New Construction",IF(Inventory!C103="N",INDEX(xyLPD_BuildingArea,MATCH(Building_Type,Lookups!$F$37:$F$75,0),4),INDEX(xyLPD_SpaceBySpace,MATCH(INDEX(xyNCEx,MATCH(I106,yNCExArea,0),2),ySpace_by_Space_Type,0),2)),VLOOKUP(E106,xyWattage_Table,11,FALSE)),"")</f>
        <v/>
      </c>
      <c r="K106" s="538" t="str">
        <f>IFERROR(IF(AND(NC_Type="Building Area Method",Inventory!C103="N"),IF(ISERROR(INDEX('Usage Groups (&gt;120 MWh only)'!$N$8:$N$12,MATCH(C106,'Usage Groups (&gt;120 MWh only)'!$B$8:$B$12,0),1))=TRUE,SqFt/COUNTIFS(Inventory!$C$10:$C$1009,"N",$Q$13:$Q$1012,"&gt;=0"),INDEX('Usage Groups (&gt;120 MWh only)'!$N$8:$N$12,MATCH(C106,'Usage Groups (&gt;120 MWh only)'!$B$8:$B$12,0),1)/COUNTIF($C$13:$C$1012,C106)),IF(AND(NC_Type="Building Area Method",Inventory!C103="Y"),INDEX(xyNCEx,MATCH(I106,yNCExArea,0),3)/COUNTIF($I$13:$I$1012,I106),VLOOKUP(J106,xyWattage_Table,10,FALSE))),"")</f>
        <v/>
      </c>
      <c r="L106" s="539" t="str">
        <f t="shared" si="47"/>
        <v/>
      </c>
      <c r="M106" s="540">
        <f>IF(Inventory!N103="","",Inventory!N103)</f>
        <v>0</v>
      </c>
      <c r="N106" s="533" t="str">
        <f t="shared" si="48"/>
        <v/>
      </c>
      <c r="O106" s="534"/>
      <c r="P106" s="533" t="str">
        <f t="shared" si="49"/>
        <v/>
      </c>
      <c r="Q106" s="534" t="str">
        <f>IF(Inventory!L103="","",Inventory!L103)</f>
        <v/>
      </c>
      <c r="R106" s="535" t="str">
        <f t="shared" si="50"/>
        <v/>
      </c>
      <c r="S106" s="536" t="str">
        <f>IF(Inventory!O103="","",Inventory!O103)</f>
        <v/>
      </c>
      <c r="T106" s="541" t="str">
        <f>IFERROR(IF(C106="","",IF(INDEX(xyWattage_Table,MATCH(M106,'Fixture Identities'!$B$9:$B$997,0),2)="Exit Sign",8760,IF(VLOOKUP(C106,xySpace_Type_Details,8,FALSE)="TRM",INDEX('General Information'!$AF$17:$AG$28,11,MATCH(N106,'General Information'!$AF$16:$AG$16,0)),HLOOKUP(VLOOKUP(C106,xySpace_Type_Details,8,FALSE),'General Information'!$P$15:$AG$28,13,FALSE)))),"")</f>
        <v/>
      </c>
      <c r="U106" s="542" t="str">
        <f>IFERROR(IF(C106="","",IF(INDEX(xyWattage_Table,MATCH(M106,'Fixture Identities'!$B$9:$B$997,0),2)="Exit Sign",1,IF(VLOOKUP(C106,xySpace_Type_Details,8,FALSE)="TRM",INDEX('General Information'!$AF$17:$AG$28,12,MATCH(N106,'General Information'!$AF$16:$AG$16,0)),HLOOKUP(VLOOKUP(C106,xySpace_Type_Details,8,FALSE),'General Information'!$P$15:$AG$28,14,FALSE)))),"")</f>
        <v/>
      </c>
      <c r="V106" s="542" t="str">
        <f>IFERROR(VLOOKUP(INDEX(xySpace_Type_Details,MATCH($C106,'General Information'!$C$40:$C$60,0),12),Lookups!$L$8:$N$12,2,FALSE),"")</f>
        <v/>
      </c>
      <c r="W106" s="542" t="str">
        <f>IFERROR(VLOOKUP(INDEX(xySpace_Type_Details,MATCH($C106,'General Information'!$C$40:$C$60,0),12),Lookups!$L$8:$N$12,3,FALSE),"")</f>
        <v/>
      </c>
      <c r="Y106" s="542" t="str">
        <f>IFERROR(IF(C106="","",IF(INDEX(xyWattage_Table,MATCH(M106,'Fixture Identities'!$B$9:$B$997,0),2)="Exit Sign",0,IF(PRJ_Type="Retrofit",VLOOKUP(I106,xySVG_Factors,2,FALSE),IF(AND(PRJ_Type="New Construction",Inventory!C103="N"),VLOOKUP(VLOOKUP(Building_Type,xyLPD_BuildingArea,5,FALSE),xySVG_Factors_NC,3,FALSE),0)))),"")</f>
        <v/>
      </c>
      <c r="Z106" s="544" t="str">
        <f>IFERROR(IF(C106="","",IF(INDEX(xyWattage_Table,MATCH(M106,'Fixture Identities'!$B$9:$B$997,0),2)="Exit Sign",0,VLOOKUP(S106,xySVG_Factors,2,FALSE))),"")</f>
        <v/>
      </c>
      <c r="AA106" s="545" t="str">
        <f t="shared" si="51"/>
        <v/>
      </c>
      <c r="AB106" s="542" t="str">
        <f t="shared" si="52"/>
        <v/>
      </c>
      <c r="AC106" s="539" t="str">
        <f t="shared" si="53"/>
        <v/>
      </c>
      <c r="AD106" s="546" t="str">
        <f t="shared" si="54"/>
        <v/>
      </c>
      <c r="AE106" s="539" t="str">
        <f t="shared" si="55"/>
        <v/>
      </c>
      <c r="AF106" s="546" t="str">
        <f t="shared" si="56"/>
        <v/>
      </c>
      <c r="AG106" s="539" t="str">
        <f t="shared" si="57"/>
        <v/>
      </c>
      <c r="AH106" s="32">
        <f t="shared" si="38"/>
        <v>0</v>
      </c>
      <c r="AI106" s="32">
        <f t="shared" si="39"/>
        <v>0</v>
      </c>
      <c r="AJ106" s="32">
        <f t="shared" si="40"/>
        <v>0</v>
      </c>
      <c r="AK106" t="str">
        <f t="shared" si="41"/>
        <v/>
      </c>
      <c r="AL106" t="str">
        <f t="shared" si="42"/>
        <v/>
      </c>
      <c r="AM106" t="str">
        <f t="shared" si="43"/>
        <v/>
      </c>
      <c r="AO106" t="str">
        <f>IFERROR(VLOOKUP(M106,'Fixture Identities'!$B$9:$O$1045,14,FALSE),"")</f>
        <v/>
      </c>
      <c r="AP106" t="str">
        <f t="shared" si="37"/>
        <v/>
      </c>
    </row>
    <row r="107" spans="1:42">
      <c r="A107" s="71">
        <f t="shared" si="58"/>
        <v>0</v>
      </c>
      <c r="B107" s="513">
        <f t="shared" si="44"/>
        <v>95</v>
      </c>
      <c r="C107" s="530" t="str">
        <f>IF(Inventory!E104="","",Inventory!E104)</f>
        <v/>
      </c>
      <c r="D107" s="531">
        <f>IF(Inventory!D104="",0,Inventory!D104)</f>
        <v>0</v>
      </c>
      <c r="E107" s="532" t="str">
        <f>IF(Inventory!I104=0,"",Inventory!I104)</f>
        <v/>
      </c>
      <c r="F107" s="533" t="str">
        <f t="shared" si="45"/>
        <v/>
      </c>
      <c r="G107" s="534" t="str">
        <f>IF(Inventory!G104="","",Inventory!G104)</f>
        <v/>
      </c>
      <c r="H107" s="535" t="str">
        <f t="shared" si="46"/>
        <v/>
      </c>
      <c r="I107" s="536" t="str">
        <f>IF(Inventory!J104="","",Inventory!J104)</f>
        <v/>
      </c>
      <c r="J107" s="537" t="str">
        <f>IFERROR(IF(PRJ_Type="New Construction",IF(Inventory!C104="N",INDEX(xyLPD_BuildingArea,MATCH(Building_Type,Lookups!$F$37:$F$75,0),4),INDEX(xyLPD_SpaceBySpace,MATCH(INDEX(xyNCEx,MATCH(I107,yNCExArea,0),2),ySpace_by_Space_Type,0),2)),VLOOKUP(E107,xyWattage_Table,11,FALSE)),"")</f>
        <v/>
      </c>
      <c r="K107" s="538" t="str">
        <f>IFERROR(IF(AND(NC_Type="Building Area Method",Inventory!C104="N"),IF(ISERROR(INDEX('Usage Groups (&gt;120 MWh only)'!$N$8:$N$12,MATCH(C107,'Usage Groups (&gt;120 MWh only)'!$B$8:$B$12,0),1))=TRUE,SqFt/COUNTIFS(Inventory!$C$10:$C$1009,"N",$Q$13:$Q$1012,"&gt;=0"),INDEX('Usage Groups (&gt;120 MWh only)'!$N$8:$N$12,MATCH(C107,'Usage Groups (&gt;120 MWh only)'!$B$8:$B$12,0),1)/COUNTIF($C$13:$C$1012,C107)),IF(AND(NC_Type="Building Area Method",Inventory!C104="Y"),INDEX(xyNCEx,MATCH(I107,yNCExArea,0),3)/COUNTIF($I$13:$I$1012,I107),VLOOKUP(J107,xyWattage_Table,10,FALSE))),"")</f>
        <v/>
      </c>
      <c r="L107" s="539" t="str">
        <f t="shared" si="47"/>
        <v/>
      </c>
      <c r="M107" s="540">
        <f>IF(Inventory!N104="","",Inventory!N104)</f>
        <v>0</v>
      </c>
      <c r="N107" s="533" t="str">
        <f t="shared" si="48"/>
        <v/>
      </c>
      <c r="O107" s="534"/>
      <c r="P107" s="533" t="str">
        <f t="shared" si="49"/>
        <v/>
      </c>
      <c r="Q107" s="534" t="str">
        <f>IF(Inventory!L104="","",Inventory!L104)</f>
        <v/>
      </c>
      <c r="R107" s="535" t="str">
        <f t="shared" si="50"/>
        <v/>
      </c>
      <c r="S107" s="536" t="str">
        <f>IF(Inventory!O104="","",Inventory!O104)</f>
        <v/>
      </c>
      <c r="T107" s="541" t="str">
        <f>IFERROR(IF(C107="","",IF(INDEX(xyWattage_Table,MATCH(M107,'Fixture Identities'!$B$9:$B$997,0),2)="Exit Sign",8760,IF(VLOOKUP(C107,xySpace_Type_Details,8,FALSE)="TRM",INDEX('General Information'!$AF$17:$AG$28,11,MATCH(N107,'General Information'!$AF$16:$AG$16,0)),HLOOKUP(VLOOKUP(C107,xySpace_Type_Details,8,FALSE),'General Information'!$P$15:$AG$28,13,FALSE)))),"")</f>
        <v/>
      </c>
      <c r="U107" s="542" t="str">
        <f>IFERROR(IF(C107="","",IF(INDEX(xyWattage_Table,MATCH(M107,'Fixture Identities'!$B$9:$B$997,0),2)="Exit Sign",1,IF(VLOOKUP(C107,xySpace_Type_Details,8,FALSE)="TRM",INDEX('General Information'!$AF$17:$AG$28,12,MATCH(N107,'General Information'!$AF$16:$AG$16,0)),HLOOKUP(VLOOKUP(C107,xySpace_Type_Details,8,FALSE),'General Information'!$P$15:$AG$28,14,FALSE)))),"")</f>
        <v/>
      </c>
      <c r="V107" s="542" t="str">
        <f>IFERROR(VLOOKUP(INDEX(xySpace_Type_Details,MATCH($C107,'General Information'!$C$40:$C$60,0),12),Lookups!$L$8:$N$12,2,FALSE),"")</f>
        <v/>
      </c>
      <c r="W107" s="542" t="str">
        <f>IFERROR(VLOOKUP(INDEX(xySpace_Type_Details,MATCH($C107,'General Information'!$C$40:$C$60,0),12),Lookups!$L$8:$N$12,3,FALSE),"")</f>
        <v/>
      </c>
      <c r="Y107" s="542" t="str">
        <f>IFERROR(IF(C107="","",IF(INDEX(xyWattage_Table,MATCH(M107,'Fixture Identities'!$B$9:$B$997,0),2)="Exit Sign",0,IF(PRJ_Type="Retrofit",VLOOKUP(I107,xySVG_Factors,2,FALSE),IF(AND(PRJ_Type="New Construction",Inventory!C104="N"),VLOOKUP(VLOOKUP(Building_Type,xyLPD_BuildingArea,5,FALSE),xySVG_Factors_NC,3,FALSE),0)))),"")</f>
        <v/>
      </c>
      <c r="Z107" s="544" t="str">
        <f>IFERROR(IF(C107="","",IF(INDEX(xyWattage_Table,MATCH(M107,'Fixture Identities'!$B$9:$B$997,0),2)="Exit Sign",0,VLOOKUP(S107,xySVG_Factors,2,FALSE))),"")</f>
        <v/>
      </c>
      <c r="AA107" s="545" t="str">
        <f t="shared" si="51"/>
        <v/>
      </c>
      <c r="AB107" s="542" t="str">
        <f t="shared" si="52"/>
        <v/>
      </c>
      <c r="AC107" s="539" t="str">
        <f t="shared" si="53"/>
        <v/>
      </c>
      <c r="AD107" s="546" t="str">
        <f t="shared" si="54"/>
        <v/>
      </c>
      <c r="AE107" s="539" t="str">
        <f t="shared" si="55"/>
        <v/>
      </c>
      <c r="AF107" s="546" t="str">
        <f t="shared" si="56"/>
        <v/>
      </c>
      <c r="AG107" s="539" t="str">
        <f t="shared" si="57"/>
        <v/>
      </c>
      <c r="AH107" s="32">
        <f t="shared" si="38"/>
        <v>0</v>
      </c>
      <c r="AI107" s="32">
        <f t="shared" si="39"/>
        <v>0</v>
      </c>
      <c r="AJ107" s="32">
        <f t="shared" si="40"/>
        <v>0</v>
      </c>
      <c r="AK107" t="str">
        <f t="shared" si="41"/>
        <v/>
      </c>
      <c r="AL107" t="str">
        <f t="shared" si="42"/>
        <v/>
      </c>
      <c r="AM107" t="str">
        <f t="shared" si="43"/>
        <v/>
      </c>
      <c r="AO107" t="str">
        <f>IFERROR(VLOOKUP(M107,'Fixture Identities'!$B$9:$O$1045,14,FALSE),"")</f>
        <v/>
      </c>
      <c r="AP107" t="str">
        <f t="shared" si="37"/>
        <v/>
      </c>
    </row>
    <row r="108" spans="1:42">
      <c r="A108" s="71">
        <f t="shared" si="58"/>
        <v>0</v>
      </c>
      <c r="B108" s="513">
        <f t="shared" si="44"/>
        <v>96</v>
      </c>
      <c r="C108" s="530" t="str">
        <f>IF(Inventory!E105="","",Inventory!E105)</f>
        <v/>
      </c>
      <c r="D108" s="531">
        <f>IF(Inventory!D105="",0,Inventory!D105)</f>
        <v>0</v>
      </c>
      <c r="E108" s="532" t="str">
        <f>IF(Inventory!I105=0,"",Inventory!I105)</f>
        <v/>
      </c>
      <c r="F108" s="533" t="str">
        <f t="shared" si="45"/>
        <v/>
      </c>
      <c r="G108" s="534" t="str">
        <f>IF(Inventory!G105="","",Inventory!G105)</f>
        <v/>
      </c>
      <c r="H108" s="535" t="str">
        <f t="shared" si="46"/>
        <v/>
      </c>
      <c r="I108" s="536" t="str">
        <f>IF(Inventory!J105="","",Inventory!J105)</f>
        <v/>
      </c>
      <c r="J108" s="537" t="str">
        <f>IFERROR(IF(PRJ_Type="New Construction",IF(Inventory!C105="N",INDEX(xyLPD_BuildingArea,MATCH(Building_Type,Lookups!$F$37:$F$75,0),4),INDEX(xyLPD_SpaceBySpace,MATCH(INDEX(xyNCEx,MATCH(I108,yNCExArea,0),2),ySpace_by_Space_Type,0),2)),VLOOKUP(E108,xyWattage_Table,11,FALSE)),"")</f>
        <v/>
      </c>
      <c r="K108" s="538" t="str">
        <f>IFERROR(IF(AND(NC_Type="Building Area Method",Inventory!C105="N"),IF(ISERROR(INDEX('Usage Groups (&gt;120 MWh only)'!$N$8:$N$12,MATCH(C108,'Usage Groups (&gt;120 MWh only)'!$B$8:$B$12,0),1))=TRUE,SqFt/COUNTIFS(Inventory!$C$10:$C$1009,"N",$Q$13:$Q$1012,"&gt;=0"),INDEX('Usage Groups (&gt;120 MWh only)'!$N$8:$N$12,MATCH(C108,'Usage Groups (&gt;120 MWh only)'!$B$8:$B$12,0),1)/COUNTIF($C$13:$C$1012,C108)),IF(AND(NC_Type="Building Area Method",Inventory!C105="Y"),INDEX(xyNCEx,MATCH(I108,yNCExArea,0),3)/COUNTIF($I$13:$I$1012,I108),VLOOKUP(J108,xyWattage_Table,10,FALSE))),"")</f>
        <v/>
      </c>
      <c r="L108" s="539" t="str">
        <f t="shared" si="47"/>
        <v/>
      </c>
      <c r="M108" s="540">
        <f>IF(Inventory!N105="","",Inventory!N105)</f>
        <v>0</v>
      </c>
      <c r="N108" s="533" t="str">
        <f t="shared" si="48"/>
        <v/>
      </c>
      <c r="O108" s="534"/>
      <c r="P108" s="533" t="str">
        <f t="shared" si="49"/>
        <v/>
      </c>
      <c r="Q108" s="534" t="str">
        <f>IF(Inventory!L105="","",Inventory!L105)</f>
        <v/>
      </c>
      <c r="R108" s="535" t="str">
        <f t="shared" si="50"/>
        <v/>
      </c>
      <c r="S108" s="536" t="str">
        <f>IF(Inventory!O105="","",Inventory!O105)</f>
        <v/>
      </c>
      <c r="T108" s="541" t="str">
        <f>IFERROR(IF(C108="","",IF(INDEX(xyWattage_Table,MATCH(M108,'Fixture Identities'!$B$9:$B$997,0),2)="Exit Sign",8760,IF(VLOOKUP(C108,xySpace_Type_Details,8,FALSE)="TRM",INDEX('General Information'!$AF$17:$AG$28,11,MATCH(N108,'General Information'!$AF$16:$AG$16,0)),HLOOKUP(VLOOKUP(C108,xySpace_Type_Details,8,FALSE),'General Information'!$P$15:$AG$28,13,FALSE)))),"")</f>
        <v/>
      </c>
      <c r="U108" s="542" t="str">
        <f>IFERROR(IF(C108="","",IF(INDEX(xyWattage_Table,MATCH(M108,'Fixture Identities'!$B$9:$B$997,0),2)="Exit Sign",1,IF(VLOOKUP(C108,xySpace_Type_Details,8,FALSE)="TRM",INDEX('General Information'!$AF$17:$AG$28,12,MATCH(N108,'General Information'!$AF$16:$AG$16,0)),HLOOKUP(VLOOKUP(C108,xySpace_Type_Details,8,FALSE),'General Information'!$P$15:$AG$28,14,FALSE)))),"")</f>
        <v/>
      </c>
      <c r="V108" s="542" t="str">
        <f>IFERROR(VLOOKUP(INDEX(xySpace_Type_Details,MATCH($C108,'General Information'!$C$40:$C$60,0),12),Lookups!$L$8:$N$12,2,FALSE),"")</f>
        <v/>
      </c>
      <c r="W108" s="542" t="str">
        <f>IFERROR(VLOOKUP(INDEX(xySpace_Type_Details,MATCH($C108,'General Information'!$C$40:$C$60,0),12),Lookups!$L$8:$N$12,3,FALSE),"")</f>
        <v/>
      </c>
      <c r="Y108" s="542" t="str">
        <f>IFERROR(IF(C108="","",IF(INDEX(xyWattage_Table,MATCH(M108,'Fixture Identities'!$B$9:$B$997,0),2)="Exit Sign",0,IF(PRJ_Type="Retrofit",VLOOKUP(I108,xySVG_Factors,2,FALSE),IF(AND(PRJ_Type="New Construction",Inventory!C105="N"),VLOOKUP(VLOOKUP(Building_Type,xyLPD_BuildingArea,5,FALSE),xySVG_Factors_NC,3,FALSE),0)))),"")</f>
        <v/>
      </c>
      <c r="Z108" s="544" t="str">
        <f>IFERROR(IF(C108="","",IF(INDEX(xyWattage_Table,MATCH(M108,'Fixture Identities'!$B$9:$B$997,0),2)="Exit Sign",0,VLOOKUP(S108,xySVG_Factors,2,FALSE))),"")</f>
        <v/>
      </c>
      <c r="AA108" s="545" t="str">
        <f t="shared" si="51"/>
        <v/>
      </c>
      <c r="AB108" s="542" t="str">
        <f t="shared" si="52"/>
        <v/>
      </c>
      <c r="AC108" s="539" t="str">
        <f t="shared" si="53"/>
        <v/>
      </c>
      <c r="AD108" s="546" t="str">
        <f t="shared" si="54"/>
        <v/>
      </c>
      <c r="AE108" s="539" t="str">
        <f t="shared" si="55"/>
        <v/>
      </c>
      <c r="AF108" s="546" t="str">
        <f t="shared" si="56"/>
        <v/>
      </c>
      <c r="AG108" s="539" t="str">
        <f t="shared" si="57"/>
        <v/>
      </c>
      <c r="AH108" s="32">
        <f t="shared" si="38"/>
        <v>0</v>
      </c>
      <c r="AI108" s="32">
        <f t="shared" si="39"/>
        <v>0</v>
      </c>
      <c r="AJ108" s="32">
        <f t="shared" si="40"/>
        <v>0</v>
      </c>
      <c r="AK108" t="str">
        <f t="shared" si="41"/>
        <v/>
      </c>
      <c r="AL108" t="str">
        <f t="shared" si="42"/>
        <v/>
      </c>
      <c r="AM108" t="str">
        <f t="shared" si="43"/>
        <v/>
      </c>
      <c r="AO108" t="str">
        <f>IFERROR(VLOOKUP(M108,'Fixture Identities'!$B$9:$O$1045,14,FALSE),"")</f>
        <v/>
      </c>
      <c r="AP108" t="str">
        <f t="shared" si="37"/>
        <v/>
      </c>
    </row>
    <row r="109" spans="1:42">
      <c r="A109" s="71">
        <f t="shared" si="58"/>
        <v>0</v>
      </c>
      <c r="B109" s="513">
        <f t="shared" si="44"/>
        <v>97</v>
      </c>
      <c r="C109" s="530" t="str">
        <f>IF(Inventory!E106="","",Inventory!E106)</f>
        <v/>
      </c>
      <c r="D109" s="531">
        <f>IF(Inventory!D106="",0,Inventory!D106)</f>
        <v>0</v>
      </c>
      <c r="E109" s="532" t="str">
        <f>IF(Inventory!I106=0,"",Inventory!I106)</f>
        <v/>
      </c>
      <c r="F109" s="533" t="str">
        <f t="shared" si="45"/>
        <v/>
      </c>
      <c r="G109" s="534" t="str">
        <f>IF(Inventory!G106="","",Inventory!G106)</f>
        <v/>
      </c>
      <c r="H109" s="535" t="str">
        <f t="shared" si="46"/>
        <v/>
      </c>
      <c r="I109" s="536" t="str">
        <f>IF(Inventory!J106="","",Inventory!J106)</f>
        <v/>
      </c>
      <c r="J109" s="537" t="str">
        <f>IFERROR(IF(PRJ_Type="New Construction",IF(Inventory!C106="N",INDEX(xyLPD_BuildingArea,MATCH(Building_Type,Lookups!$F$37:$F$75,0),4),INDEX(xyLPD_SpaceBySpace,MATCH(INDEX(xyNCEx,MATCH(I109,yNCExArea,0),2),ySpace_by_Space_Type,0),2)),VLOOKUP(E109,xyWattage_Table,11,FALSE)),"")</f>
        <v/>
      </c>
      <c r="K109" s="538" t="str">
        <f>IFERROR(IF(AND(NC_Type="Building Area Method",Inventory!C106="N"),IF(ISERROR(INDEX('Usage Groups (&gt;120 MWh only)'!$N$8:$N$12,MATCH(C109,'Usage Groups (&gt;120 MWh only)'!$B$8:$B$12,0),1))=TRUE,SqFt/COUNTIFS(Inventory!$C$10:$C$1009,"N",$Q$13:$Q$1012,"&gt;=0"),INDEX('Usage Groups (&gt;120 MWh only)'!$N$8:$N$12,MATCH(C109,'Usage Groups (&gt;120 MWh only)'!$B$8:$B$12,0),1)/COUNTIF($C$13:$C$1012,C109)),IF(AND(NC_Type="Building Area Method",Inventory!C106="Y"),INDEX(xyNCEx,MATCH(I109,yNCExArea,0),3)/COUNTIF($I$13:$I$1012,I109),VLOOKUP(J109,xyWattage_Table,10,FALSE))),"")</f>
        <v/>
      </c>
      <c r="L109" s="539" t="str">
        <f t="shared" si="47"/>
        <v/>
      </c>
      <c r="M109" s="540">
        <f>IF(Inventory!N106="","",Inventory!N106)</f>
        <v>0</v>
      </c>
      <c r="N109" s="533" t="str">
        <f t="shared" si="48"/>
        <v/>
      </c>
      <c r="O109" s="534"/>
      <c r="P109" s="533" t="str">
        <f t="shared" si="49"/>
        <v/>
      </c>
      <c r="Q109" s="534" t="str">
        <f>IF(Inventory!L106="","",Inventory!L106)</f>
        <v/>
      </c>
      <c r="R109" s="535" t="str">
        <f t="shared" si="50"/>
        <v/>
      </c>
      <c r="S109" s="536" t="str">
        <f>IF(Inventory!O106="","",Inventory!O106)</f>
        <v/>
      </c>
      <c r="T109" s="541" t="str">
        <f>IFERROR(IF(C109="","",IF(INDEX(xyWattage_Table,MATCH(M109,'Fixture Identities'!$B$9:$B$997,0),2)="Exit Sign",8760,IF(VLOOKUP(C109,xySpace_Type_Details,8,FALSE)="TRM",INDEX('General Information'!$AF$17:$AG$28,11,MATCH(N109,'General Information'!$AF$16:$AG$16,0)),HLOOKUP(VLOOKUP(C109,xySpace_Type_Details,8,FALSE),'General Information'!$P$15:$AG$28,13,FALSE)))),"")</f>
        <v/>
      </c>
      <c r="U109" s="542" t="str">
        <f>IFERROR(IF(C109="","",IF(INDEX(xyWattage_Table,MATCH(M109,'Fixture Identities'!$B$9:$B$997,0),2)="Exit Sign",1,IF(VLOOKUP(C109,xySpace_Type_Details,8,FALSE)="TRM",INDEX('General Information'!$AF$17:$AG$28,12,MATCH(N109,'General Information'!$AF$16:$AG$16,0)),HLOOKUP(VLOOKUP(C109,xySpace_Type_Details,8,FALSE),'General Information'!$P$15:$AG$28,14,FALSE)))),"")</f>
        <v/>
      </c>
      <c r="V109" s="542" t="str">
        <f>IFERROR(VLOOKUP(INDEX(xySpace_Type_Details,MATCH($C109,'General Information'!$C$40:$C$60,0),12),Lookups!$L$8:$N$12,2,FALSE),"")</f>
        <v/>
      </c>
      <c r="W109" s="542" t="str">
        <f>IFERROR(VLOOKUP(INDEX(xySpace_Type_Details,MATCH($C109,'General Information'!$C$40:$C$60,0),12),Lookups!$L$8:$N$12,3,FALSE),"")</f>
        <v/>
      </c>
      <c r="Y109" s="542" t="str">
        <f>IFERROR(IF(C109="","",IF(INDEX(xyWattage_Table,MATCH(M109,'Fixture Identities'!$B$9:$B$997,0),2)="Exit Sign",0,IF(PRJ_Type="Retrofit",VLOOKUP(I109,xySVG_Factors,2,FALSE),IF(AND(PRJ_Type="New Construction",Inventory!C106="N"),VLOOKUP(VLOOKUP(Building_Type,xyLPD_BuildingArea,5,FALSE),xySVG_Factors_NC,3,FALSE),0)))),"")</f>
        <v/>
      </c>
      <c r="Z109" s="544" t="str">
        <f>IFERROR(IF(C109="","",IF(INDEX(xyWattage_Table,MATCH(M109,'Fixture Identities'!$B$9:$B$997,0),2)="Exit Sign",0,VLOOKUP(S109,xySVG_Factors,2,FALSE))),"")</f>
        <v/>
      </c>
      <c r="AA109" s="545" t="str">
        <f t="shared" si="51"/>
        <v/>
      </c>
      <c r="AB109" s="542" t="str">
        <f t="shared" si="52"/>
        <v/>
      </c>
      <c r="AC109" s="539" t="str">
        <f t="shared" si="53"/>
        <v/>
      </c>
      <c r="AD109" s="546" t="str">
        <f t="shared" si="54"/>
        <v/>
      </c>
      <c r="AE109" s="539" t="str">
        <f t="shared" si="55"/>
        <v/>
      </c>
      <c r="AF109" s="546" t="str">
        <f t="shared" si="56"/>
        <v/>
      </c>
      <c r="AG109" s="539" t="str">
        <f t="shared" si="57"/>
        <v/>
      </c>
      <c r="AH109" s="32">
        <f t="shared" si="38"/>
        <v>0</v>
      </c>
      <c r="AI109" s="32">
        <f t="shared" si="39"/>
        <v>0</v>
      </c>
      <c r="AJ109" s="32">
        <f t="shared" si="40"/>
        <v>0</v>
      </c>
      <c r="AK109" t="str">
        <f t="shared" si="41"/>
        <v/>
      </c>
      <c r="AL109" t="str">
        <f t="shared" si="42"/>
        <v/>
      </c>
      <c r="AM109" t="str">
        <f t="shared" si="43"/>
        <v/>
      </c>
      <c r="AO109" t="str">
        <f>IFERROR(VLOOKUP(M109,'Fixture Identities'!$B$9:$O$1045,14,FALSE),"")</f>
        <v/>
      </c>
      <c r="AP109" t="str">
        <f t="shared" si="37"/>
        <v/>
      </c>
    </row>
    <row r="110" spans="1:42">
      <c r="A110" s="71">
        <f t="shared" si="58"/>
        <v>0</v>
      </c>
      <c r="B110" s="513">
        <f t="shared" si="44"/>
        <v>98</v>
      </c>
      <c r="C110" s="530" t="str">
        <f>IF(Inventory!E107="","",Inventory!E107)</f>
        <v/>
      </c>
      <c r="D110" s="531">
        <f>IF(Inventory!D107="",0,Inventory!D107)</f>
        <v>0</v>
      </c>
      <c r="E110" s="532" t="str">
        <f>IF(Inventory!I107=0,"",Inventory!I107)</f>
        <v/>
      </c>
      <c r="F110" s="533" t="str">
        <f t="shared" si="45"/>
        <v/>
      </c>
      <c r="G110" s="534" t="str">
        <f>IF(Inventory!G107="","",Inventory!G107)</f>
        <v/>
      </c>
      <c r="H110" s="535" t="str">
        <f t="shared" si="46"/>
        <v/>
      </c>
      <c r="I110" s="536" t="str">
        <f>IF(Inventory!J107="","",Inventory!J107)</f>
        <v/>
      </c>
      <c r="J110" s="537" t="str">
        <f>IFERROR(IF(PRJ_Type="New Construction",IF(Inventory!C107="N",INDEX(xyLPD_BuildingArea,MATCH(Building_Type,Lookups!$F$37:$F$75,0),4),INDEX(xyLPD_SpaceBySpace,MATCH(INDEX(xyNCEx,MATCH(I110,yNCExArea,0),2),ySpace_by_Space_Type,0),2)),VLOOKUP(E110,xyWattage_Table,11,FALSE)),"")</f>
        <v/>
      </c>
      <c r="K110" s="538" t="str">
        <f>IFERROR(IF(AND(NC_Type="Building Area Method",Inventory!C107="N"),IF(ISERROR(INDEX('Usage Groups (&gt;120 MWh only)'!$N$8:$N$12,MATCH(C110,'Usage Groups (&gt;120 MWh only)'!$B$8:$B$12,0),1))=TRUE,SqFt/COUNTIFS(Inventory!$C$10:$C$1009,"N",$Q$13:$Q$1012,"&gt;=0"),INDEX('Usage Groups (&gt;120 MWh only)'!$N$8:$N$12,MATCH(C110,'Usage Groups (&gt;120 MWh only)'!$B$8:$B$12,0),1)/COUNTIF($C$13:$C$1012,C110)),IF(AND(NC_Type="Building Area Method",Inventory!C107="Y"),INDEX(xyNCEx,MATCH(I110,yNCExArea,0),3)/COUNTIF($I$13:$I$1012,I110),VLOOKUP(J110,xyWattage_Table,10,FALSE))),"")</f>
        <v/>
      </c>
      <c r="L110" s="539" t="str">
        <f t="shared" si="47"/>
        <v/>
      </c>
      <c r="M110" s="540">
        <f>IF(Inventory!N107="","",Inventory!N107)</f>
        <v>0</v>
      </c>
      <c r="N110" s="533" t="str">
        <f t="shared" si="48"/>
        <v/>
      </c>
      <c r="O110" s="534"/>
      <c r="P110" s="533" t="str">
        <f t="shared" si="49"/>
        <v/>
      </c>
      <c r="Q110" s="534" t="str">
        <f>IF(Inventory!L107="","",Inventory!L107)</f>
        <v/>
      </c>
      <c r="R110" s="535" t="str">
        <f t="shared" si="50"/>
        <v/>
      </c>
      <c r="S110" s="536" t="str">
        <f>IF(Inventory!O107="","",Inventory!O107)</f>
        <v/>
      </c>
      <c r="T110" s="541" t="str">
        <f>IFERROR(IF(C110="","",IF(INDEX(xyWattage_Table,MATCH(M110,'Fixture Identities'!$B$9:$B$997,0),2)="Exit Sign",8760,IF(VLOOKUP(C110,xySpace_Type_Details,8,FALSE)="TRM",INDEX('General Information'!$AF$17:$AG$28,11,MATCH(N110,'General Information'!$AF$16:$AG$16,0)),HLOOKUP(VLOOKUP(C110,xySpace_Type_Details,8,FALSE),'General Information'!$P$15:$AG$28,13,FALSE)))),"")</f>
        <v/>
      </c>
      <c r="U110" s="542" t="str">
        <f>IFERROR(IF(C110="","",IF(INDEX(xyWattage_Table,MATCH(M110,'Fixture Identities'!$B$9:$B$997,0),2)="Exit Sign",1,IF(VLOOKUP(C110,xySpace_Type_Details,8,FALSE)="TRM",INDEX('General Information'!$AF$17:$AG$28,12,MATCH(N110,'General Information'!$AF$16:$AG$16,0)),HLOOKUP(VLOOKUP(C110,xySpace_Type_Details,8,FALSE),'General Information'!$P$15:$AG$28,14,FALSE)))),"")</f>
        <v/>
      </c>
      <c r="V110" s="542" t="str">
        <f>IFERROR(VLOOKUP(INDEX(xySpace_Type_Details,MATCH($C110,'General Information'!$C$40:$C$60,0),12),Lookups!$L$8:$N$12,2,FALSE),"")</f>
        <v/>
      </c>
      <c r="W110" s="542" t="str">
        <f>IFERROR(VLOOKUP(INDEX(xySpace_Type_Details,MATCH($C110,'General Information'!$C$40:$C$60,0),12),Lookups!$L$8:$N$12,3,FALSE),"")</f>
        <v/>
      </c>
      <c r="Y110" s="542" t="str">
        <f>IFERROR(IF(C110="","",IF(INDEX(xyWattage_Table,MATCH(M110,'Fixture Identities'!$B$9:$B$997,0),2)="Exit Sign",0,IF(PRJ_Type="Retrofit",VLOOKUP(I110,xySVG_Factors,2,FALSE),IF(AND(PRJ_Type="New Construction",Inventory!C107="N"),VLOOKUP(VLOOKUP(Building_Type,xyLPD_BuildingArea,5,FALSE),xySVG_Factors_NC,3,FALSE),0)))),"")</f>
        <v/>
      </c>
      <c r="Z110" s="544" t="str">
        <f>IFERROR(IF(C110="","",IF(INDEX(xyWattage_Table,MATCH(M110,'Fixture Identities'!$B$9:$B$997,0),2)="Exit Sign",0,VLOOKUP(S110,xySVG_Factors,2,FALSE))),"")</f>
        <v/>
      </c>
      <c r="AA110" s="545" t="str">
        <f t="shared" si="51"/>
        <v/>
      </c>
      <c r="AB110" s="542" t="str">
        <f t="shared" si="52"/>
        <v/>
      </c>
      <c r="AC110" s="539" t="str">
        <f t="shared" si="53"/>
        <v/>
      </c>
      <c r="AD110" s="546" t="str">
        <f t="shared" si="54"/>
        <v/>
      </c>
      <c r="AE110" s="539" t="str">
        <f t="shared" si="55"/>
        <v/>
      </c>
      <c r="AF110" s="546" t="str">
        <f t="shared" si="56"/>
        <v/>
      </c>
      <c r="AG110" s="539" t="str">
        <f t="shared" si="57"/>
        <v/>
      </c>
      <c r="AH110" s="32">
        <f t="shared" si="38"/>
        <v>0</v>
      </c>
      <c r="AI110" s="32">
        <f t="shared" si="39"/>
        <v>0</v>
      </c>
      <c r="AJ110" s="32">
        <f t="shared" si="40"/>
        <v>0</v>
      </c>
      <c r="AK110" t="str">
        <f t="shared" si="41"/>
        <v/>
      </c>
      <c r="AL110" t="str">
        <f t="shared" si="42"/>
        <v/>
      </c>
      <c r="AM110" t="str">
        <f t="shared" si="43"/>
        <v/>
      </c>
      <c r="AO110" t="str">
        <f>IFERROR(VLOOKUP(M110,'Fixture Identities'!$B$9:$O$1045,14,FALSE),"")</f>
        <v/>
      </c>
      <c r="AP110" t="str">
        <f t="shared" si="37"/>
        <v/>
      </c>
    </row>
    <row r="111" spans="1:42">
      <c r="A111" s="71">
        <f t="shared" si="58"/>
        <v>0</v>
      </c>
      <c r="B111" s="513">
        <f t="shared" si="44"/>
        <v>99</v>
      </c>
      <c r="C111" s="530" t="str">
        <f>IF(Inventory!E108="","",Inventory!E108)</f>
        <v/>
      </c>
      <c r="D111" s="531">
        <f>IF(Inventory!D108="",0,Inventory!D108)</f>
        <v>0</v>
      </c>
      <c r="E111" s="532" t="str">
        <f>IF(Inventory!I108=0,"",Inventory!I108)</f>
        <v/>
      </c>
      <c r="F111" s="533" t="str">
        <f t="shared" si="45"/>
        <v/>
      </c>
      <c r="G111" s="534" t="str">
        <f>IF(Inventory!G108="","",Inventory!G108)</f>
        <v/>
      </c>
      <c r="H111" s="535" t="str">
        <f t="shared" si="46"/>
        <v/>
      </c>
      <c r="I111" s="536" t="str">
        <f>IF(Inventory!J108="","",Inventory!J108)</f>
        <v/>
      </c>
      <c r="J111" s="537" t="str">
        <f>IFERROR(IF(PRJ_Type="New Construction",IF(Inventory!C108="N",INDEX(xyLPD_BuildingArea,MATCH(Building_Type,Lookups!$F$37:$F$75,0),4),INDEX(xyLPD_SpaceBySpace,MATCH(INDEX(xyNCEx,MATCH(I111,yNCExArea,0),2),ySpace_by_Space_Type,0),2)),VLOOKUP(E111,xyWattage_Table,11,FALSE)),"")</f>
        <v/>
      </c>
      <c r="K111" s="538" t="str">
        <f>IFERROR(IF(AND(NC_Type="Building Area Method",Inventory!C108="N"),IF(ISERROR(INDEX('Usage Groups (&gt;120 MWh only)'!$N$8:$N$12,MATCH(C111,'Usage Groups (&gt;120 MWh only)'!$B$8:$B$12,0),1))=TRUE,SqFt/COUNTIFS(Inventory!$C$10:$C$1009,"N",$Q$13:$Q$1012,"&gt;=0"),INDEX('Usage Groups (&gt;120 MWh only)'!$N$8:$N$12,MATCH(C111,'Usage Groups (&gt;120 MWh only)'!$B$8:$B$12,0),1)/COUNTIF($C$13:$C$1012,C111)),IF(AND(NC_Type="Building Area Method",Inventory!C108="Y"),INDEX(xyNCEx,MATCH(I111,yNCExArea,0),3)/COUNTIF($I$13:$I$1012,I111),VLOOKUP(J111,xyWattage_Table,10,FALSE))),"")</f>
        <v/>
      </c>
      <c r="L111" s="539" t="str">
        <f t="shared" si="47"/>
        <v/>
      </c>
      <c r="M111" s="540">
        <f>IF(Inventory!N108="","",Inventory!N108)</f>
        <v>0</v>
      </c>
      <c r="N111" s="533" t="str">
        <f t="shared" si="48"/>
        <v/>
      </c>
      <c r="O111" s="534"/>
      <c r="P111" s="533" t="str">
        <f t="shared" si="49"/>
        <v/>
      </c>
      <c r="Q111" s="534" t="str">
        <f>IF(Inventory!L108="","",Inventory!L108)</f>
        <v/>
      </c>
      <c r="R111" s="535" t="str">
        <f t="shared" si="50"/>
        <v/>
      </c>
      <c r="S111" s="536" t="str">
        <f>IF(Inventory!O108="","",Inventory!O108)</f>
        <v/>
      </c>
      <c r="T111" s="541" t="str">
        <f>IFERROR(IF(C111="","",IF(INDEX(xyWattage_Table,MATCH(M111,'Fixture Identities'!$B$9:$B$997,0),2)="Exit Sign",8760,IF(VLOOKUP(C111,xySpace_Type_Details,8,FALSE)="TRM",INDEX('General Information'!$AF$17:$AG$28,11,MATCH(N111,'General Information'!$AF$16:$AG$16,0)),HLOOKUP(VLOOKUP(C111,xySpace_Type_Details,8,FALSE),'General Information'!$P$15:$AG$28,13,FALSE)))),"")</f>
        <v/>
      </c>
      <c r="U111" s="542" t="str">
        <f>IFERROR(IF(C111="","",IF(INDEX(xyWattage_Table,MATCH(M111,'Fixture Identities'!$B$9:$B$997,0),2)="Exit Sign",1,IF(VLOOKUP(C111,xySpace_Type_Details,8,FALSE)="TRM",INDEX('General Information'!$AF$17:$AG$28,12,MATCH(N111,'General Information'!$AF$16:$AG$16,0)),HLOOKUP(VLOOKUP(C111,xySpace_Type_Details,8,FALSE),'General Information'!$P$15:$AG$28,14,FALSE)))),"")</f>
        <v/>
      </c>
      <c r="V111" s="542" t="str">
        <f>IFERROR(VLOOKUP(INDEX(xySpace_Type_Details,MATCH($C111,'General Information'!$C$40:$C$60,0),12),Lookups!$L$8:$N$12,2,FALSE),"")</f>
        <v/>
      </c>
      <c r="W111" s="542" t="str">
        <f>IFERROR(VLOOKUP(INDEX(xySpace_Type_Details,MATCH($C111,'General Information'!$C$40:$C$60,0),12),Lookups!$L$8:$N$12,3,FALSE),"")</f>
        <v/>
      </c>
      <c r="Y111" s="542" t="str">
        <f>IFERROR(IF(C111="","",IF(INDEX(xyWattage_Table,MATCH(M111,'Fixture Identities'!$B$9:$B$997,0),2)="Exit Sign",0,IF(PRJ_Type="Retrofit",VLOOKUP(I111,xySVG_Factors,2,FALSE),IF(AND(PRJ_Type="New Construction",Inventory!C108="N"),VLOOKUP(VLOOKUP(Building_Type,xyLPD_BuildingArea,5,FALSE),xySVG_Factors_NC,3,FALSE),0)))),"")</f>
        <v/>
      </c>
      <c r="Z111" s="544" t="str">
        <f>IFERROR(IF(C111="","",IF(INDEX(xyWattage_Table,MATCH(M111,'Fixture Identities'!$B$9:$B$997,0),2)="Exit Sign",0,VLOOKUP(S111,xySVG_Factors,2,FALSE))),"")</f>
        <v/>
      </c>
      <c r="AA111" s="545" t="str">
        <f t="shared" si="51"/>
        <v/>
      </c>
      <c r="AB111" s="542" t="str">
        <f t="shared" si="52"/>
        <v/>
      </c>
      <c r="AC111" s="539" t="str">
        <f t="shared" si="53"/>
        <v/>
      </c>
      <c r="AD111" s="546" t="str">
        <f t="shared" si="54"/>
        <v/>
      </c>
      <c r="AE111" s="539" t="str">
        <f t="shared" si="55"/>
        <v/>
      </c>
      <c r="AF111" s="546" t="str">
        <f t="shared" si="56"/>
        <v/>
      </c>
      <c r="AG111" s="539" t="str">
        <f t="shared" si="57"/>
        <v/>
      </c>
      <c r="AH111" s="32">
        <f t="shared" si="38"/>
        <v>0</v>
      </c>
      <c r="AI111" s="32">
        <f t="shared" si="39"/>
        <v>0</v>
      </c>
      <c r="AJ111" s="32">
        <f t="shared" si="40"/>
        <v>0</v>
      </c>
      <c r="AK111" t="str">
        <f t="shared" si="41"/>
        <v/>
      </c>
      <c r="AL111" t="str">
        <f t="shared" si="42"/>
        <v/>
      </c>
      <c r="AM111" t="str">
        <f t="shared" si="43"/>
        <v/>
      </c>
      <c r="AO111" t="str">
        <f>IFERROR(VLOOKUP(M111,'Fixture Identities'!$B$9:$O$1045,14,FALSE),"")</f>
        <v/>
      </c>
      <c r="AP111" t="str">
        <f t="shared" si="37"/>
        <v/>
      </c>
    </row>
    <row r="112" spans="1:42">
      <c r="A112" s="71">
        <f t="shared" si="58"/>
        <v>0</v>
      </c>
      <c r="B112" s="513">
        <f t="shared" si="44"/>
        <v>100</v>
      </c>
      <c r="C112" s="530" t="str">
        <f>IF(Inventory!E109="","",Inventory!E109)</f>
        <v/>
      </c>
      <c r="D112" s="531">
        <f>IF(Inventory!D109="",0,Inventory!D109)</f>
        <v>0</v>
      </c>
      <c r="E112" s="532" t="str">
        <f>IF(Inventory!I109=0,"",Inventory!I109)</f>
        <v/>
      </c>
      <c r="F112" s="533" t="str">
        <f t="shared" si="45"/>
        <v/>
      </c>
      <c r="G112" s="534" t="str">
        <f>IF(Inventory!G109="","",Inventory!G109)</f>
        <v/>
      </c>
      <c r="H112" s="535" t="str">
        <f t="shared" si="46"/>
        <v/>
      </c>
      <c r="I112" s="536" t="str">
        <f>IF(Inventory!J109="","",Inventory!J109)</f>
        <v/>
      </c>
      <c r="J112" s="537" t="str">
        <f>IFERROR(IF(PRJ_Type="New Construction",IF(Inventory!C109="N",INDEX(xyLPD_BuildingArea,MATCH(Building_Type,Lookups!$F$37:$F$75,0),4),INDEX(xyLPD_SpaceBySpace,MATCH(INDEX(xyNCEx,MATCH(I112,yNCExArea,0),2),ySpace_by_Space_Type,0),2)),VLOOKUP(E112,xyWattage_Table,11,FALSE)),"")</f>
        <v/>
      </c>
      <c r="K112" s="538" t="str">
        <f>IFERROR(IF(AND(NC_Type="Building Area Method",Inventory!C109="N"),IF(ISERROR(INDEX('Usage Groups (&gt;120 MWh only)'!$N$8:$N$12,MATCH(C112,'Usage Groups (&gt;120 MWh only)'!$B$8:$B$12,0),1))=TRUE,SqFt/COUNTIFS(Inventory!$C$10:$C$1009,"N",$Q$13:$Q$1012,"&gt;=0"),INDEX('Usage Groups (&gt;120 MWh only)'!$N$8:$N$12,MATCH(C112,'Usage Groups (&gt;120 MWh only)'!$B$8:$B$12,0),1)/COUNTIF($C$13:$C$1012,C112)),IF(AND(NC_Type="Building Area Method",Inventory!C109="Y"),INDEX(xyNCEx,MATCH(I112,yNCExArea,0),3)/COUNTIF($I$13:$I$1012,I112),VLOOKUP(J112,xyWattage_Table,10,FALSE))),"")</f>
        <v/>
      </c>
      <c r="L112" s="539" t="str">
        <f t="shared" si="47"/>
        <v/>
      </c>
      <c r="M112" s="540">
        <f>IF(Inventory!N109="","",Inventory!N109)</f>
        <v>0</v>
      </c>
      <c r="N112" s="533" t="str">
        <f t="shared" si="48"/>
        <v/>
      </c>
      <c r="O112" s="534"/>
      <c r="P112" s="533" t="str">
        <f t="shared" si="49"/>
        <v/>
      </c>
      <c r="Q112" s="534" t="str">
        <f>IF(Inventory!L109="","",Inventory!L109)</f>
        <v/>
      </c>
      <c r="R112" s="535" t="str">
        <f t="shared" si="50"/>
        <v/>
      </c>
      <c r="S112" s="536" t="str">
        <f>IF(Inventory!O109="","",Inventory!O109)</f>
        <v/>
      </c>
      <c r="T112" s="541" t="str">
        <f>IFERROR(IF(C112="","",IF(INDEX(xyWattage_Table,MATCH(M112,'Fixture Identities'!$B$9:$B$997,0),2)="Exit Sign",8760,IF(VLOOKUP(C112,xySpace_Type_Details,8,FALSE)="TRM",INDEX('General Information'!$AF$17:$AG$28,11,MATCH(N112,'General Information'!$AF$16:$AG$16,0)),HLOOKUP(VLOOKUP(C112,xySpace_Type_Details,8,FALSE),'General Information'!$P$15:$AG$28,13,FALSE)))),"")</f>
        <v/>
      </c>
      <c r="U112" s="542" t="str">
        <f>IFERROR(IF(C112="","",IF(INDEX(xyWattage_Table,MATCH(M112,'Fixture Identities'!$B$9:$B$997,0),2)="Exit Sign",1,IF(VLOOKUP(C112,xySpace_Type_Details,8,FALSE)="TRM",INDEX('General Information'!$AF$17:$AG$28,12,MATCH(N112,'General Information'!$AF$16:$AG$16,0)),HLOOKUP(VLOOKUP(C112,xySpace_Type_Details,8,FALSE),'General Information'!$P$15:$AG$28,14,FALSE)))),"")</f>
        <v/>
      </c>
      <c r="V112" s="542" t="str">
        <f>IFERROR(VLOOKUP(INDEX(xySpace_Type_Details,MATCH($C112,'General Information'!$C$40:$C$60,0),12),Lookups!$L$8:$N$12,2,FALSE),"")</f>
        <v/>
      </c>
      <c r="W112" s="542" t="str">
        <f>IFERROR(VLOOKUP(INDEX(xySpace_Type_Details,MATCH($C112,'General Information'!$C$40:$C$60,0),12),Lookups!$L$8:$N$12,3,FALSE),"")</f>
        <v/>
      </c>
      <c r="Y112" s="542" t="str">
        <f>IFERROR(IF(C112="","",IF(INDEX(xyWattage_Table,MATCH(M112,'Fixture Identities'!$B$9:$B$997,0),2)="Exit Sign",0,IF(PRJ_Type="Retrofit",VLOOKUP(I112,xySVG_Factors,2,FALSE),IF(AND(PRJ_Type="New Construction",Inventory!C109="N"),VLOOKUP(VLOOKUP(Building_Type,xyLPD_BuildingArea,5,FALSE),xySVG_Factors_NC,3,FALSE),0)))),"")</f>
        <v/>
      </c>
      <c r="Z112" s="544" t="str">
        <f>IFERROR(IF(C112="","",IF(INDEX(xyWattage_Table,MATCH(M112,'Fixture Identities'!$B$9:$B$997,0),2)="Exit Sign",0,VLOOKUP(S112,xySVG_Factors,2,FALSE))),"")</f>
        <v/>
      </c>
      <c r="AA112" s="545" t="str">
        <f t="shared" si="51"/>
        <v/>
      </c>
      <c r="AB112" s="542" t="str">
        <f t="shared" si="52"/>
        <v/>
      </c>
      <c r="AC112" s="539" t="str">
        <f t="shared" si="53"/>
        <v/>
      </c>
      <c r="AD112" s="546" t="str">
        <f t="shared" si="54"/>
        <v/>
      </c>
      <c r="AE112" s="539" t="str">
        <f t="shared" si="55"/>
        <v/>
      </c>
      <c r="AF112" s="546" t="str">
        <f t="shared" si="56"/>
        <v/>
      </c>
      <c r="AG112" s="539" t="str">
        <f t="shared" si="57"/>
        <v/>
      </c>
      <c r="AH112" s="32">
        <f t="shared" si="38"/>
        <v>0</v>
      </c>
      <c r="AI112" s="32">
        <f t="shared" si="39"/>
        <v>0</v>
      </c>
      <c r="AJ112" s="32">
        <f t="shared" si="40"/>
        <v>0</v>
      </c>
      <c r="AK112" t="str">
        <f t="shared" si="41"/>
        <v/>
      </c>
      <c r="AL112" t="str">
        <f t="shared" si="42"/>
        <v/>
      </c>
      <c r="AM112" t="str">
        <f t="shared" si="43"/>
        <v/>
      </c>
      <c r="AO112" t="str">
        <f>IFERROR(VLOOKUP(M112,'Fixture Identities'!$B$9:$O$1045,14,FALSE),"")</f>
        <v/>
      </c>
      <c r="AP112" t="str">
        <f t="shared" si="37"/>
        <v/>
      </c>
    </row>
    <row r="113" spans="1:42">
      <c r="A113" s="71">
        <f t="shared" si="58"/>
        <v>0</v>
      </c>
      <c r="B113" s="513">
        <f t="shared" si="44"/>
        <v>101</v>
      </c>
      <c r="C113" s="530" t="str">
        <f>IF(Inventory!E110="","",Inventory!E110)</f>
        <v/>
      </c>
      <c r="D113" s="531">
        <f>IF(Inventory!D110="",0,Inventory!D110)</f>
        <v>0</v>
      </c>
      <c r="E113" s="532" t="str">
        <f>IF(Inventory!I110=0,"",Inventory!I110)</f>
        <v/>
      </c>
      <c r="F113" s="533" t="str">
        <f t="shared" si="45"/>
        <v/>
      </c>
      <c r="G113" s="534" t="str">
        <f>IF(Inventory!G110="","",Inventory!G110)</f>
        <v/>
      </c>
      <c r="H113" s="535" t="str">
        <f t="shared" si="46"/>
        <v/>
      </c>
      <c r="I113" s="536" t="str">
        <f>IF(Inventory!J110="","",Inventory!J110)</f>
        <v/>
      </c>
      <c r="J113" s="537" t="str">
        <f>IFERROR(IF(PRJ_Type="New Construction",IF(Inventory!C110="N",INDEX(xyLPD_BuildingArea,MATCH(Building_Type,Lookups!$F$37:$F$75,0),4),INDEX(xyLPD_SpaceBySpace,MATCH(INDEX(xyNCEx,MATCH(I113,yNCExArea,0),2),ySpace_by_Space_Type,0),2)),VLOOKUP(E113,xyWattage_Table,11,FALSE)),"")</f>
        <v/>
      </c>
      <c r="K113" s="538" t="str">
        <f>IFERROR(IF(AND(NC_Type="Building Area Method",Inventory!C110="N"),IF(ISERROR(INDEX('Usage Groups (&gt;120 MWh only)'!$N$8:$N$12,MATCH(C113,'Usage Groups (&gt;120 MWh only)'!$B$8:$B$12,0),1))=TRUE,SqFt/COUNTIFS(Inventory!$C$10:$C$1009,"N",$Q$13:$Q$1012,"&gt;=0"),INDEX('Usage Groups (&gt;120 MWh only)'!$N$8:$N$12,MATCH(C113,'Usage Groups (&gt;120 MWh only)'!$B$8:$B$12,0),1)/COUNTIF($C$13:$C$1012,C113)),IF(AND(NC_Type="Building Area Method",Inventory!C110="Y"),INDEX(xyNCEx,MATCH(I113,yNCExArea,0),3)/COUNTIF($I$13:$I$1012,I113),VLOOKUP(J113,xyWattage_Table,10,FALSE))),"")</f>
        <v/>
      </c>
      <c r="L113" s="539" t="str">
        <f t="shared" si="47"/>
        <v/>
      </c>
      <c r="M113" s="540">
        <f>IF(Inventory!N110="","",Inventory!N110)</f>
        <v>0</v>
      </c>
      <c r="N113" s="533" t="str">
        <f t="shared" si="48"/>
        <v/>
      </c>
      <c r="O113" s="534"/>
      <c r="P113" s="533" t="str">
        <f t="shared" si="49"/>
        <v/>
      </c>
      <c r="Q113" s="534" t="str">
        <f>IF(Inventory!L110="","",Inventory!L110)</f>
        <v/>
      </c>
      <c r="R113" s="535" t="str">
        <f t="shared" si="50"/>
        <v/>
      </c>
      <c r="S113" s="536" t="str">
        <f>IF(Inventory!O110="","",Inventory!O110)</f>
        <v/>
      </c>
      <c r="T113" s="541" t="str">
        <f>IFERROR(IF(C113="","",IF(INDEX(xyWattage_Table,MATCH(M113,'Fixture Identities'!$B$9:$B$997,0),2)="Exit Sign",8760,IF(VLOOKUP(C113,xySpace_Type_Details,8,FALSE)="TRM",INDEX('General Information'!$AF$17:$AG$28,11,MATCH(N113,'General Information'!$AF$16:$AG$16,0)),HLOOKUP(VLOOKUP(C113,xySpace_Type_Details,8,FALSE),'General Information'!$P$15:$AG$28,13,FALSE)))),"")</f>
        <v/>
      </c>
      <c r="U113" s="542" t="str">
        <f>IFERROR(IF(C113="","",IF(INDEX(xyWattage_Table,MATCH(M113,'Fixture Identities'!$B$9:$B$997,0),2)="Exit Sign",1,IF(VLOOKUP(C113,xySpace_Type_Details,8,FALSE)="TRM",INDEX('General Information'!$AF$17:$AG$28,12,MATCH(N113,'General Information'!$AF$16:$AG$16,0)),HLOOKUP(VLOOKUP(C113,xySpace_Type_Details,8,FALSE),'General Information'!$P$15:$AG$28,14,FALSE)))),"")</f>
        <v/>
      </c>
      <c r="V113" s="542" t="str">
        <f>IFERROR(VLOOKUP(INDEX(xySpace_Type_Details,MATCH($C113,'General Information'!$C$40:$C$60,0),12),Lookups!$L$8:$N$12,2,FALSE),"")</f>
        <v/>
      </c>
      <c r="W113" s="542" t="str">
        <f>IFERROR(VLOOKUP(INDEX(xySpace_Type_Details,MATCH($C113,'General Information'!$C$40:$C$60,0),12),Lookups!$L$8:$N$12,3,FALSE),"")</f>
        <v/>
      </c>
      <c r="Y113" s="542" t="str">
        <f>IFERROR(IF(C113="","",IF(INDEX(xyWattage_Table,MATCH(M113,'Fixture Identities'!$B$9:$B$997,0),2)="Exit Sign",0,IF(PRJ_Type="Retrofit",VLOOKUP(I113,xySVG_Factors,2,FALSE),IF(AND(PRJ_Type="New Construction",Inventory!C110="N"),VLOOKUP(VLOOKUP(Building_Type,xyLPD_BuildingArea,5,FALSE),xySVG_Factors_NC,3,FALSE),0)))),"")</f>
        <v/>
      </c>
      <c r="Z113" s="544" t="str">
        <f>IFERROR(IF(C113="","",IF(INDEX(xyWattage_Table,MATCH(M113,'Fixture Identities'!$B$9:$B$997,0),2)="Exit Sign",0,VLOOKUP(S113,xySVG_Factors,2,FALSE))),"")</f>
        <v/>
      </c>
      <c r="AA113" s="545" t="str">
        <f t="shared" si="51"/>
        <v/>
      </c>
      <c r="AB113" s="542" t="str">
        <f t="shared" si="52"/>
        <v/>
      </c>
      <c r="AC113" s="539" t="str">
        <f t="shared" si="53"/>
        <v/>
      </c>
      <c r="AD113" s="546" t="str">
        <f t="shared" si="54"/>
        <v/>
      </c>
      <c r="AE113" s="539" t="str">
        <f t="shared" si="55"/>
        <v/>
      </c>
      <c r="AF113" s="546" t="str">
        <f t="shared" si="56"/>
        <v/>
      </c>
      <c r="AG113" s="539" t="str">
        <f t="shared" si="57"/>
        <v/>
      </c>
      <c r="AH113" s="32">
        <f t="shared" si="38"/>
        <v>0</v>
      </c>
      <c r="AI113" s="32">
        <f t="shared" si="39"/>
        <v>0</v>
      </c>
      <c r="AJ113" s="32">
        <f t="shared" si="40"/>
        <v>0</v>
      </c>
      <c r="AK113" t="str">
        <f t="shared" si="41"/>
        <v/>
      </c>
      <c r="AL113" t="str">
        <f t="shared" si="42"/>
        <v/>
      </c>
      <c r="AM113" t="str">
        <f t="shared" si="43"/>
        <v/>
      </c>
      <c r="AO113" t="str">
        <f>IFERROR(VLOOKUP(M113,'Fixture Identities'!$B$9:$O$1045,14,FALSE),"")</f>
        <v/>
      </c>
      <c r="AP113" t="str">
        <f t="shared" si="37"/>
        <v/>
      </c>
    </row>
    <row r="114" spans="1:42">
      <c r="A114" s="71">
        <f t="shared" si="58"/>
        <v>0</v>
      </c>
      <c r="B114" s="513">
        <f t="shared" si="44"/>
        <v>102</v>
      </c>
      <c r="C114" s="530" t="str">
        <f>IF(Inventory!E111="","",Inventory!E111)</f>
        <v/>
      </c>
      <c r="D114" s="531">
        <f>IF(Inventory!D111="",0,Inventory!D111)</f>
        <v>0</v>
      </c>
      <c r="E114" s="532" t="str">
        <f>IF(Inventory!I111=0,"",Inventory!I111)</f>
        <v/>
      </c>
      <c r="F114" s="533" t="str">
        <f t="shared" si="45"/>
        <v/>
      </c>
      <c r="G114" s="534" t="str">
        <f>IF(Inventory!G111="","",Inventory!G111)</f>
        <v/>
      </c>
      <c r="H114" s="535" t="str">
        <f t="shared" si="46"/>
        <v/>
      </c>
      <c r="I114" s="536" t="str">
        <f>IF(Inventory!J111="","",Inventory!J111)</f>
        <v/>
      </c>
      <c r="J114" s="537" t="str">
        <f>IFERROR(IF(PRJ_Type="New Construction",IF(Inventory!C111="N",INDEX(xyLPD_BuildingArea,MATCH(Building_Type,Lookups!$F$37:$F$75,0),4),INDEX(xyLPD_SpaceBySpace,MATCH(INDEX(xyNCEx,MATCH(I114,yNCExArea,0),2),ySpace_by_Space_Type,0),2)),VLOOKUP(E114,xyWattage_Table,11,FALSE)),"")</f>
        <v/>
      </c>
      <c r="K114" s="538" t="str">
        <f>IFERROR(IF(AND(NC_Type="Building Area Method",Inventory!C111="N"),IF(ISERROR(INDEX('Usage Groups (&gt;120 MWh only)'!$N$8:$N$12,MATCH(C114,'Usage Groups (&gt;120 MWh only)'!$B$8:$B$12,0),1))=TRUE,SqFt/COUNTIFS(Inventory!$C$10:$C$1009,"N",$Q$13:$Q$1012,"&gt;=0"),INDEX('Usage Groups (&gt;120 MWh only)'!$N$8:$N$12,MATCH(C114,'Usage Groups (&gt;120 MWh only)'!$B$8:$B$12,0),1)/COUNTIF($C$13:$C$1012,C114)),IF(AND(NC_Type="Building Area Method",Inventory!C111="Y"),INDEX(xyNCEx,MATCH(I114,yNCExArea,0),3)/COUNTIF($I$13:$I$1012,I114),VLOOKUP(J114,xyWattage_Table,10,FALSE))),"")</f>
        <v/>
      </c>
      <c r="L114" s="539" t="str">
        <f t="shared" si="47"/>
        <v/>
      </c>
      <c r="M114" s="540">
        <f>IF(Inventory!N111="","",Inventory!N111)</f>
        <v>0</v>
      </c>
      <c r="N114" s="533" t="str">
        <f t="shared" si="48"/>
        <v/>
      </c>
      <c r="O114" s="534"/>
      <c r="P114" s="533" t="str">
        <f t="shared" si="49"/>
        <v/>
      </c>
      <c r="Q114" s="534" t="str">
        <f>IF(Inventory!L111="","",Inventory!L111)</f>
        <v/>
      </c>
      <c r="R114" s="535" t="str">
        <f t="shared" si="50"/>
        <v/>
      </c>
      <c r="S114" s="536" t="str">
        <f>IF(Inventory!O111="","",Inventory!O111)</f>
        <v/>
      </c>
      <c r="T114" s="541" t="str">
        <f>IFERROR(IF(C114="","",IF(INDEX(xyWattage_Table,MATCH(M114,'Fixture Identities'!$B$9:$B$997,0),2)="Exit Sign",8760,IF(VLOOKUP(C114,xySpace_Type_Details,8,FALSE)="TRM",INDEX('General Information'!$AF$17:$AG$28,11,MATCH(N114,'General Information'!$AF$16:$AG$16,0)),HLOOKUP(VLOOKUP(C114,xySpace_Type_Details,8,FALSE),'General Information'!$P$15:$AG$28,13,FALSE)))),"")</f>
        <v/>
      </c>
      <c r="U114" s="542" t="str">
        <f>IFERROR(IF(C114="","",IF(INDEX(xyWattage_Table,MATCH(M114,'Fixture Identities'!$B$9:$B$997,0),2)="Exit Sign",1,IF(VLOOKUP(C114,xySpace_Type_Details,8,FALSE)="TRM",INDEX('General Information'!$AF$17:$AG$28,12,MATCH(N114,'General Information'!$AF$16:$AG$16,0)),HLOOKUP(VLOOKUP(C114,xySpace_Type_Details,8,FALSE),'General Information'!$P$15:$AG$28,14,FALSE)))),"")</f>
        <v/>
      </c>
      <c r="V114" s="542" t="str">
        <f>IFERROR(VLOOKUP(INDEX(xySpace_Type_Details,MATCH($C114,'General Information'!$C$40:$C$60,0),12),Lookups!$L$8:$N$12,2,FALSE),"")</f>
        <v/>
      </c>
      <c r="W114" s="542" t="str">
        <f>IFERROR(VLOOKUP(INDEX(xySpace_Type_Details,MATCH($C114,'General Information'!$C$40:$C$60,0),12),Lookups!$L$8:$N$12,3,FALSE),"")</f>
        <v/>
      </c>
      <c r="Y114" s="542" t="str">
        <f>IFERROR(IF(C114="","",IF(INDEX(xyWattage_Table,MATCH(M114,'Fixture Identities'!$B$9:$B$997,0),2)="Exit Sign",0,IF(PRJ_Type="Retrofit",VLOOKUP(I114,xySVG_Factors,2,FALSE),IF(AND(PRJ_Type="New Construction",Inventory!C111="N"),VLOOKUP(VLOOKUP(Building_Type,xyLPD_BuildingArea,5,FALSE),xySVG_Factors_NC,3,FALSE),0)))),"")</f>
        <v/>
      </c>
      <c r="Z114" s="544" t="str">
        <f>IFERROR(IF(C114="","",IF(INDEX(xyWattage_Table,MATCH(M114,'Fixture Identities'!$B$9:$B$997,0),2)="Exit Sign",0,VLOOKUP(S114,xySVG_Factors,2,FALSE))),"")</f>
        <v/>
      </c>
      <c r="AA114" s="545" t="str">
        <f t="shared" si="51"/>
        <v/>
      </c>
      <c r="AB114" s="542" t="str">
        <f t="shared" si="52"/>
        <v/>
      </c>
      <c r="AC114" s="539" t="str">
        <f t="shared" si="53"/>
        <v/>
      </c>
      <c r="AD114" s="546" t="str">
        <f t="shared" si="54"/>
        <v/>
      </c>
      <c r="AE114" s="539" t="str">
        <f t="shared" si="55"/>
        <v/>
      </c>
      <c r="AF114" s="546" t="str">
        <f t="shared" si="56"/>
        <v/>
      </c>
      <c r="AG114" s="539" t="str">
        <f t="shared" si="57"/>
        <v/>
      </c>
      <c r="AH114" s="32">
        <f t="shared" si="38"/>
        <v>0</v>
      </c>
      <c r="AI114" s="32">
        <f t="shared" si="39"/>
        <v>0</v>
      </c>
      <c r="AJ114" s="32">
        <f t="shared" si="40"/>
        <v>0</v>
      </c>
      <c r="AK114" t="str">
        <f t="shared" si="41"/>
        <v/>
      </c>
      <c r="AL114" t="str">
        <f t="shared" si="42"/>
        <v/>
      </c>
      <c r="AM114" t="str">
        <f t="shared" si="43"/>
        <v/>
      </c>
      <c r="AO114" t="str">
        <f>IFERROR(VLOOKUP(M114,'Fixture Identities'!$B$9:$O$1045,14,FALSE),"")</f>
        <v/>
      </c>
      <c r="AP114" t="str">
        <f t="shared" si="37"/>
        <v/>
      </c>
    </row>
    <row r="115" spans="1:42">
      <c r="A115" s="71">
        <f t="shared" si="58"/>
        <v>0</v>
      </c>
      <c r="B115" s="513">
        <f t="shared" si="44"/>
        <v>103</v>
      </c>
      <c r="C115" s="530" t="str">
        <f>IF(Inventory!E112="","",Inventory!E112)</f>
        <v/>
      </c>
      <c r="D115" s="531">
        <f>IF(Inventory!D112="",0,Inventory!D112)</f>
        <v>0</v>
      </c>
      <c r="E115" s="532" t="str">
        <f>IF(Inventory!I112=0,"",Inventory!I112)</f>
        <v/>
      </c>
      <c r="F115" s="533" t="str">
        <f t="shared" si="45"/>
        <v/>
      </c>
      <c r="G115" s="534" t="str">
        <f>IF(Inventory!G112="","",Inventory!G112)</f>
        <v/>
      </c>
      <c r="H115" s="535" t="str">
        <f t="shared" si="46"/>
        <v/>
      </c>
      <c r="I115" s="536" t="str">
        <f>IF(Inventory!J112="","",Inventory!J112)</f>
        <v/>
      </c>
      <c r="J115" s="537" t="str">
        <f>IFERROR(IF(PRJ_Type="New Construction",IF(Inventory!C112="N",INDEX(xyLPD_BuildingArea,MATCH(Building_Type,Lookups!$F$37:$F$75,0),4),INDEX(xyLPD_SpaceBySpace,MATCH(INDEX(xyNCEx,MATCH(I115,yNCExArea,0),2),ySpace_by_Space_Type,0),2)),VLOOKUP(E115,xyWattage_Table,11,FALSE)),"")</f>
        <v/>
      </c>
      <c r="K115" s="538" t="str">
        <f>IFERROR(IF(AND(NC_Type="Building Area Method",Inventory!C112="N"),IF(ISERROR(INDEX('Usage Groups (&gt;120 MWh only)'!$N$8:$N$12,MATCH(C115,'Usage Groups (&gt;120 MWh only)'!$B$8:$B$12,0),1))=TRUE,SqFt/COUNTIFS(Inventory!$C$10:$C$1009,"N",$Q$13:$Q$1012,"&gt;=0"),INDEX('Usage Groups (&gt;120 MWh only)'!$N$8:$N$12,MATCH(C115,'Usage Groups (&gt;120 MWh only)'!$B$8:$B$12,0),1)/COUNTIF($C$13:$C$1012,C115)),IF(AND(NC_Type="Building Area Method",Inventory!C112="Y"),INDEX(xyNCEx,MATCH(I115,yNCExArea,0),3)/COUNTIF($I$13:$I$1012,I115),VLOOKUP(J115,xyWattage_Table,10,FALSE))),"")</f>
        <v/>
      </c>
      <c r="L115" s="539" t="str">
        <f t="shared" si="47"/>
        <v/>
      </c>
      <c r="M115" s="540">
        <f>IF(Inventory!N112="","",Inventory!N112)</f>
        <v>0</v>
      </c>
      <c r="N115" s="533" t="str">
        <f t="shared" si="48"/>
        <v/>
      </c>
      <c r="O115" s="534"/>
      <c r="P115" s="533" t="str">
        <f t="shared" si="49"/>
        <v/>
      </c>
      <c r="Q115" s="534" t="str">
        <f>IF(Inventory!L112="","",Inventory!L112)</f>
        <v/>
      </c>
      <c r="R115" s="535" t="str">
        <f t="shared" si="50"/>
        <v/>
      </c>
      <c r="S115" s="536" t="str">
        <f>IF(Inventory!O112="","",Inventory!O112)</f>
        <v/>
      </c>
      <c r="T115" s="541" t="str">
        <f>IFERROR(IF(C115="","",IF(INDEX(xyWattage_Table,MATCH(M115,'Fixture Identities'!$B$9:$B$997,0),2)="Exit Sign",8760,IF(VLOOKUP(C115,xySpace_Type_Details,8,FALSE)="TRM",INDEX('General Information'!$AF$17:$AG$28,11,MATCH(N115,'General Information'!$AF$16:$AG$16,0)),HLOOKUP(VLOOKUP(C115,xySpace_Type_Details,8,FALSE),'General Information'!$P$15:$AG$28,13,FALSE)))),"")</f>
        <v/>
      </c>
      <c r="U115" s="542" t="str">
        <f>IFERROR(IF(C115="","",IF(INDEX(xyWattage_Table,MATCH(M115,'Fixture Identities'!$B$9:$B$997,0),2)="Exit Sign",1,IF(VLOOKUP(C115,xySpace_Type_Details,8,FALSE)="TRM",INDEX('General Information'!$AF$17:$AG$28,12,MATCH(N115,'General Information'!$AF$16:$AG$16,0)),HLOOKUP(VLOOKUP(C115,xySpace_Type_Details,8,FALSE),'General Information'!$P$15:$AG$28,14,FALSE)))),"")</f>
        <v/>
      </c>
      <c r="V115" s="542" t="str">
        <f>IFERROR(VLOOKUP(INDEX(xySpace_Type_Details,MATCH($C115,'General Information'!$C$40:$C$60,0),12),Lookups!$L$8:$N$12,2,FALSE),"")</f>
        <v/>
      </c>
      <c r="W115" s="542" t="str">
        <f>IFERROR(VLOOKUP(INDEX(xySpace_Type_Details,MATCH($C115,'General Information'!$C$40:$C$60,0),12),Lookups!$L$8:$N$12,3,FALSE),"")</f>
        <v/>
      </c>
      <c r="Y115" s="542" t="str">
        <f>IFERROR(IF(C115="","",IF(INDEX(xyWattage_Table,MATCH(M115,'Fixture Identities'!$B$9:$B$997,0),2)="Exit Sign",0,IF(PRJ_Type="Retrofit",VLOOKUP(I115,xySVG_Factors,2,FALSE),IF(AND(PRJ_Type="New Construction",Inventory!C112="N"),VLOOKUP(VLOOKUP(Building_Type,xyLPD_BuildingArea,5,FALSE),xySVG_Factors_NC,3,FALSE),0)))),"")</f>
        <v/>
      </c>
      <c r="Z115" s="544" t="str">
        <f>IFERROR(IF(C115="","",IF(INDEX(xyWattage_Table,MATCH(M115,'Fixture Identities'!$B$9:$B$997,0),2)="Exit Sign",0,VLOOKUP(S115,xySVG_Factors,2,FALSE))),"")</f>
        <v/>
      </c>
      <c r="AA115" s="545" t="str">
        <f t="shared" si="51"/>
        <v/>
      </c>
      <c r="AB115" s="542" t="str">
        <f t="shared" si="52"/>
        <v/>
      </c>
      <c r="AC115" s="539" t="str">
        <f t="shared" si="53"/>
        <v/>
      </c>
      <c r="AD115" s="546" t="str">
        <f t="shared" si="54"/>
        <v/>
      </c>
      <c r="AE115" s="539" t="str">
        <f t="shared" si="55"/>
        <v/>
      </c>
      <c r="AF115" s="546" t="str">
        <f t="shared" si="56"/>
        <v/>
      </c>
      <c r="AG115" s="539" t="str">
        <f t="shared" si="57"/>
        <v/>
      </c>
      <c r="AH115" s="32">
        <f t="shared" si="38"/>
        <v>0</v>
      </c>
      <c r="AI115" s="32">
        <f t="shared" si="39"/>
        <v>0</v>
      </c>
      <c r="AJ115" s="32">
        <f t="shared" si="40"/>
        <v>0</v>
      </c>
      <c r="AK115" t="str">
        <f t="shared" si="41"/>
        <v/>
      </c>
      <c r="AL115" t="str">
        <f t="shared" si="42"/>
        <v/>
      </c>
      <c r="AM115" t="str">
        <f t="shared" si="43"/>
        <v/>
      </c>
      <c r="AO115" t="str">
        <f>IFERROR(VLOOKUP(M115,'Fixture Identities'!$B$9:$O$1045,14,FALSE),"")</f>
        <v/>
      </c>
      <c r="AP115" t="str">
        <f t="shared" si="37"/>
        <v/>
      </c>
    </row>
    <row r="116" spans="1:42">
      <c r="A116" s="71">
        <f t="shared" si="58"/>
        <v>0</v>
      </c>
      <c r="B116" s="513">
        <f t="shared" si="44"/>
        <v>104</v>
      </c>
      <c r="C116" s="530" t="str">
        <f>IF(Inventory!E113="","",Inventory!E113)</f>
        <v/>
      </c>
      <c r="D116" s="531">
        <f>IF(Inventory!D113="",0,Inventory!D113)</f>
        <v>0</v>
      </c>
      <c r="E116" s="532" t="str">
        <f>IF(Inventory!I113=0,"",Inventory!I113)</f>
        <v/>
      </c>
      <c r="F116" s="533" t="str">
        <f t="shared" si="45"/>
        <v/>
      </c>
      <c r="G116" s="534" t="str">
        <f>IF(Inventory!G113="","",Inventory!G113)</f>
        <v/>
      </c>
      <c r="H116" s="535" t="str">
        <f t="shared" si="46"/>
        <v/>
      </c>
      <c r="I116" s="536" t="str">
        <f>IF(Inventory!J113="","",Inventory!J113)</f>
        <v/>
      </c>
      <c r="J116" s="537" t="str">
        <f>IFERROR(IF(PRJ_Type="New Construction",IF(Inventory!C113="N",INDEX(xyLPD_BuildingArea,MATCH(Building_Type,Lookups!$F$37:$F$75,0),4),INDEX(xyLPD_SpaceBySpace,MATCH(INDEX(xyNCEx,MATCH(I116,yNCExArea,0),2),ySpace_by_Space_Type,0),2)),VLOOKUP(E116,xyWattage_Table,11,FALSE)),"")</f>
        <v/>
      </c>
      <c r="K116" s="538" t="str">
        <f>IFERROR(IF(AND(NC_Type="Building Area Method",Inventory!C113="N"),IF(ISERROR(INDEX('Usage Groups (&gt;120 MWh only)'!$N$8:$N$12,MATCH(C116,'Usage Groups (&gt;120 MWh only)'!$B$8:$B$12,0),1))=TRUE,SqFt/COUNTIFS(Inventory!$C$10:$C$1009,"N",$Q$13:$Q$1012,"&gt;=0"),INDEX('Usage Groups (&gt;120 MWh only)'!$N$8:$N$12,MATCH(C116,'Usage Groups (&gt;120 MWh only)'!$B$8:$B$12,0),1)/COUNTIF($C$13:$C$1012,C116)),IF(AND(NC_Type="Building Area Method",Inventory!C113="Y"),INDEX(xyNCEx,MATCH(I116,yNCExArea,0),3)/COUNTIF($I$13:$I$1012,I116),VLOOKUP(J116,xyWattage_Table,10,FALSE))),"")</f>
        <v/>
      </c>
      <c r="L116" s="539" t="str">
        <f t="shared" si="47"/>
        <v/>
      </c>
      <c r="M116" s="540">
        <f>IF(Inventory!N113="","",Inventory!N113)</f>
        <v>0</v>
      </c>
      <c r="N116" s="533" t="str">
        <f t="shared" si="48"/>
        <v/>
      </c>
      <c r="O116" s="534"/>
      <c r="P116" s="533" t="str">
        <f t="shared" si="49"/>
        <v/>
      </c>
      <c r="Q116" s="534" t="str">
        <f>IF(Inventory!L113="","",Inventory!L113)</f>
        <v/>
      </c>
      <c r="R116" s="535" t="str">
        <f t="shared" si="50"/>
        <v/>
      </c>
      <c r="S116" s="536" t="str">
        <f>IF(Inventory!O113="","",Inventory!O113)</f>
        <v/>
      </c>
      <c r="T116" s="541" t="str">
        <f>IFERROR(IF(C116="","",IF(INDEX(xyWattage_Table,MATCH(M116,'Fixture Identities'!$B$9:$B$997,0),2)="Exit Sign",8760,IF(VLOOKUP(C116,xySpace_Type_Details,8,FALSE)="TRM",INDEX('General Information'!$AF$17:$AG$28,11,MATCH(N116,'General Information'!$AF$16:$AG$16,0)),HLOOKUP(VLOOKUP(C116,xySpace_Type_Details,8,FALSE),'General Information'!$P$15:$AG$28,13,FALSE)))),"")</f>
        <v/>
      </c>
      <c r="U116" s="542" t="str">
        <f>IFERROR(IF(C116="","",IF(INDEX(xyWattage_Table,MATCH(M116,'Fixture Identities'!$B$9:$B$997,0),2)="Exit Sign",1,IF(VLOOKUP(C116,xySpace_Type_Details,8,FALSE)="TRM",INDEX('General Information'!$AF$17:$AG$28,12,MATCH(N116,'General Information'!$AF$16:$AG$16,0)),HLOOKUP(VLOOKUP(C116,xySpace_Type_Details,8,FALSE),'General Information'!$P$15:$AG$28,14,FALSE)))),"")</f>
        <v/>
      </c>
      <c r="V116" s="542" t="str">
        <f>IFERROR(VLOOKUP(INDEX(xySpace_Type_Details,MATCH($C116,'General Information'!$C$40:$C$60,0),12),Lookups!$L$8:$N$12,2,FALSE),"")</f>
        <v/>
      </c>
      <c r="W116" s="542" t="str">
        <f>IFERROR(VLOOKUP(INDEX(xySpace_Type_Details,MATCH($C116,'General Information'!$C$40:$C$60,0),12),Lookups!$L$8:$N$12,3,FALSE),"")</f>
        <v/>
      </c>
      <c r="Y116" s="542" t="str">
        <f>IFERROR(IF(C116="","",IF(INDEX(xyWattage_Table,MATCH(M116,'Fixture Identities'!$B$9:$B$997,0),2)="Exit Sign",0,IF(PRJ_Type="Retrofit",VLOOKUP(I116,xySVG_Factors,2,FALSE),IF(AND(PRJ_Type="New Construction",Inventory!C113="N"),VLOOKUP(VLOOKUP(Building_Type,xyLPD_BuildingArea,5,FALSE),xySVG_Factors_NC,3,FALSE),0)))),"")</f>
        <v/>
      </c>
      <c r="Z116" s="544" t="str">
        <f>IFERROR(IF(C116="","",IF(INDEX(xyWattage_Table,MATCH(M116,'Fixture Identities'!$B$9:$B$997,0),2)="Exit Sign",0,VLOOKUP(S116,xySVG_Factors,2,FALSE))),"")</f>
        <v/>
      </c>
      <c r="AA116" s="545" t="str">
        <f t="shared" si="51"/>
        <v/>
      </c>
      <c r="AB116" s="542" t="str">
        <f t="shared" si="52"/>
        <v/>
      </c>
      <c r="AC116" s="539" t="str">
        <f t="shared" si="53"/>
        <v/>
      </c>
      <c r="AD116" s="546" t="str">
        <f t="shared" si="54"/>
        <v/>
      </c>
      <c r="AE116" s="539" t="str">
        <f t="shared" si="55"/>
        <v/>
      </c>
      <c r="AF116" s="546" t="str">
        <f t="shared" si="56"/>
        <v/>
      </c>
      <c r="AG116" s="539" t="str">
        <f t="shared" si="57"/>
        <v/>
      </c>
      <c r="AH116" s="32">
        <f t="shared" si="38"/>
        <v>0</v>
      </c>
      <c r="AI116" s="32">
        <f t="shared" si="39"/>
        <v>0</v>
      </c>
      <c r="AJ116" s="32">
        <f t="shared" si="40"/>
        <v>0</v>
      </c>
      <c r="AK116" t="str">
        <f t="shared" si="41"/>
        <v/>
      </c>
      <c r="AL116" t="str">
        <f t="shared" si="42"/>
        <v/>
      </c>
      <c r="AM116" t="str">
        <f t="shared" si="43"/>
        <v/>
      </c>
      <c r="AO116" t="str">
        <f>IFERROR(VLOOKUP(M116,'Fixture Identities'!$B$9:$O$1045,14,FALSE),"")</f>
        <v/>
      </c>
      <c r="AP116" t="str">
        <f t="shared" si="37"/>
        <v/>
      </c>
    </row>
    <row r="117" spans="1:42">
      <c r="A117" s="71">
        <f t="shared" si="58"/>
        <v>0</v>
      </c>
      <c r="B117" s="513">
        <f t="shared" si="44"/>
        <v>105</v>
      </c>
      <c r="C117" s="530" t="str">
        <f>IF(Inventory!E114="","",Inventory!E114)</f>
        <v/>
      </c>
      <c r="D117" s="531">
        <f>IF(Inventory!D114="",0,Inventory!D114)</f>
        <v>0</v>
      </c>
      <c r="E117" s="532" t="str">
        <f>IF(Inventory!I114=0,"",Inventory!I114)</f>
        <v/>
      </c>
      <c r="F117" s="533" t="str">
        <f t="shared" si="45"/>
        <v/>
      </c>
      <c r="G117" s="534" t="str">
        <f>IF(Inventory!G114="","",Inventory!G114)</f>
        <v/>
      </c>
      <c r="H117" s="535" t="str">
        <f t="shared" si="46"/>
        <v/>
      </c>
      <c r="I117" s="536" t="str">
        <f>IF(Inventory!J114="","",Inventory!J114)</f>
        <v/>
      </c>
      <c r="J117" s="537" t="str">
        <f>IFERROR(IF(PRJ_Type="New Construction",IF(Inventory!C114="N",INDEX(xyLPD_BuildingArea,MATCH(Building_Type,Lookups!$F$37:$F$75,0),4),INDEX(xyLPD_SpaceBySpace,MATCH(INDEX(xyNCEx,MATCH(I117,yNCExArea,0),2),ySpace_by_Space_Type,0),2)),VLOOKUP(E117,xyWattage_Table,11,FALSE)),"")</f>
        <v/>
      </c>
      <c r="K117" s="538" t="str">
        <f>IFERROR(IF(AND(NC_Type="Building Area Method",Inventory!C114="N"),IF(ISERROR(INDEX('Usage Groups (&gt;120 MWh only)'!$N$8:$N$12,MATCH(C117,'Usage Groups (&gt;120 MWh only)'!$B$8:$B$12,0),1))=TRUE,SqFt/COUNTIFS(Inventory!$C$10:$C$1009,"N",$Q$13:$Q$1012,"&gt;=0"),INDEX('Usage Groups (&gt;120 MWh only)'!$N$8:$N$12,MATCH(C117,'Usage Groups (&gt;120 MWh only)'!$B$8:$B$12,0),1)/COUNTIF($C$13:$C$1012,C117)),IF(AND(NC_Type="Building Area Method",Inventory!C114="Y"),INDEX(xyNCEx,MATCH(I117,yNCExArea,0),3)/COUNTIF($I$13:$I$1012,I117),VLOOKUP(J117,xyWattage_Table,10,FALSE))),"")</f>
        <v/>
      </c>
      <c r="L117" s="539" t="str">
        <f t="shared" si="47"/>
        <v/>
      </c>
      <c r="M117" s="540">
        <f>IF(Inventory!N114="","",Inventory!N114)</f>
        <v>0</v>
      </c>
      <c r="N117" s="533" t="str">
        <f t="shared" si="48"/>
        <v/>
      </c>
      <c r="O117" s="534"/>
      <c r="P117" s="533" t="str">
        <f t="shared" si="49"/>
        <v/>
      </c>
      <c r="Q117" s="534" t="str">
        <f>IF(Inventory!L114="","",Inventory!L114)</f>
        <v/>
      </c>
      <c r="R117" s="535" t="str">
        <f t="shared" si="50"/>
        <v/>
      </c>
      <c r="S117" s="536" t="str">
        <f>IF(Inventory!O114="","",Inventory!O114)</f>
        <v/>
      </c>
      <c r="T117" s="541" t="str">
        <f>IFERROR(IF(C117="","",IF(INDEX(xyWattage_Table,MATCH(M117,'Fixture Identities'!$B$9:$B$997,0),2)="Exit Sign",8760,IF(VLOOKUP(C117,xySpace_Type_Details,8,FALSE)="TRM",INDEX('General Information'!$AF$17:$AG$28,11,MATCH(N117,'General Information'!$AF$16:$AG$16,0)),HLOOKUP(VLOOKUP(C117,xySpace_Type_Details,8,FALSE),'General Information'!$P$15:$AG$28,13,FALSE)))),"")</f>
        <v/>
      </c>
      <c r="U117" s="542" t="str">
        <f>IFERROR(IF(C117="","",IF(INDEX(xyWattage_Table,MATCH(M117,'Fixture Identities'!$B$9:$B$997,0),2)="Exit Sign",1,IF(VLOOKUP(C117,xySpace_Type_Details,8,FALSE)="TRM",INDEX('General Information'!$AF$17:$AG$28,12,MATCH(N117,'General Information'!$AF$16:$AG$16,0)),HLOOKUP(VLOOKUP(C117,xySpace_Type_Details,8,FALSE),'General Information'!$P$15:$AG$28,14,FALSE)))),"")</f>
        <v/>
      </c>
      <c r="V117" s="542" t="str">
        <f>IFERROR(VLOOKUP(INDEX(xySpace_Type_Details,MATCH($C117,'General Information'!$C$40:$C$60,0),12),Lookups!$L$8:$N$12,2,FALSE),"")</f>
        <v/>
      </c>
      <c r="W117" s="542" t="str">
        <f>IFERROR(VLOOKUP(INDEX(xySpace_Type_Details,MATCH($C117,'General Information'!$C$40:$C$60,0),12),Lookups!$L$8:$N$12,3,FALSE),"")</f>
        <v/>
      </c>
      <c r="Y117" s="542" t="str">
        <f>IFERROR(IF(C117="","",IF(INDEX(xyWattage_Table,MATCH(M117,'Fixture Identities'!$B$9:$B$997,0),2)="Exit Sign",0,IF(PRJ_Type="Retrofit",VLOOKUP(I117,xySVG_Factors,2,FALSE),IF(AND(PRJ_Type="New Construction",Inventory!C114="N"),VLOOKUP(VLOOKUP(Building_Type,xyLPD_BuildingArea,5,FALSE),xySVG_Factors_NC,3,FALSE),0)))),"")</f>
        <v/>
      </c>
      <c r="Z117" s="544" t="str">
        <f>IFERROR(IF(C117="","",IF(INDEX(xyWattage_Table,MATCH(M117,'Fixture Identities'!$B$9:$B$997,0),2)="Exit Sign",0,VLOOKUP(S117,xySVG_Factors,2,FALSE))),"")</f>
        <v/>
      </c>
      <c r="AA117" s="545" t="str">
        <f t="shared" si="51"/>
        <v/>
      </c>
      <c r="AB117" s="542" t="str">
        <f t="shared" si="52"/>
        <v/>
      </c>
      <c r="AC117" s="539" t="str">
        <f t="shared" si="53"/>
        <v/>
      </c>
      <c r="AD117" s="546" t="str">
        <f t="shared" si="54"/>
        <v/>
      </c>
      <c r="AE117" s="539" t="str">
        <f t="shared" si="55"/>
        <v/>
      </c>
      <c r="AF117" s="546" t="str">
        <f t="shared" si="56"/>
        <v/>
      </c>
      <c r="AG117" s="539" t="str">
        <f t="shared" si="57"/>
        <v/>
      </c>
      <c r="AH117" s="32">
        <f t="shared" si="38"/>
        <v>0</v>
      </c>
      <c r="AI117" s="32">
        <f t="shared" si="39"/>
        <v>0</v>
      </c>
      <c r="AJ117" s="32">
        <f t="shared" si="40"/>
        <v>0</v>
      </c>
      <c r="AK117" t="str">
        <f t="shared" si="41"/>
        <v/>
      </c>
      <c r="AL117" t="str">
        <f t="shared" si="42"/>
        <v/>
      </c>
      <c r="AM117" t="str">
        <f t="shared" si="43"/>
        <v/>
      </c>
      <c r="AO117" t="str">
        <f>IFERROR(VLOOKUP(M117,'Fixture Identities'!$B$9:$O$1045,14,FALSE),"")</f>
        <v/>
      </c>
      <c r="AP117" t="str">
        <f t="shared" si="37"/>
        <v/>
      </c>
    </row>
    <row r="118" spans="1:42">
      <c r="A118" s="71">
        <f t="shared" si="58"/>
        <v>0</v>
      </c>
      <c r="B118" s="513">
        <f t="shared" si="44"/>
        <v>106</v>
      </c>
      <c r="C118" s="530" t="str">
        <f>IF(Inventory!E115="","",Inventory!E115)</f>
        <v/>
      </c>
      <c r="D118" s="531">
        <f>IF(Inventory!D115="",0,Inventory!D115)</f>
        <v>0</v>
      </c>
      <c r="E118" s="532" t="str">
        <f>IF(Inventory!I115=0,"",Inventory!I115)</f>
        <v/>
      </c>
      <c r="F118" s="533" t="str">
        <f t="shared" si="45"/>
        <v/>
      </c>
      <c r="G118" s="534" t="str">
        <f>IF(Inventory!G115="","",Inventory!G115)</f>
        <v/>
      </c>
      <c r="H118" s="535" t="str">
        <f t="shared" si="46"/>
        <v/>
      </c>
      <c r="I118" s="536" t="str">
        <f>IF(Inventory!J115="","",Inventory!J115)</f>
        <v/>
      </c>
      <c r="J118" s="537" t="str">
        <f>IFERROR(IF(PRJ_Type="New Construction",IF(Inventory!C115="N",INDEX(xyLPD_BuildingArea,MATCH(Building_Type,Lookups!$F$37:$F$75,0),4),INDEX(xyLPD_SpaceBySpace,MATCH(INDEX(xyNCEx,MATCH(I118,yNCExArea,0),2),ySpace_by_Space_Type,0),2)),VLOOKUP(E118,xyWattage_Table,11,FALSE)),"")</f>
        <v/>
      </c>
      <c r="K118" s="538" t="str">
        <f>IFERROR(IF(AND(NC_Type="Building Area Method",Inventory!C115="N"),IF(ISERROR(INDEX('Usage Groups (&gt;120 MWh only)'!$N$8:$N$12,MATCH(C118,'Usage Groups (&gt;120 MWh only)'!$B$8:$B$12,0),1))=TRUE,SqFt/COUNTIFS(Inventory!$C$10:$C$1009,"N",$Q$13:$Q$1012,"&gt;=0"),INDEX('Usage Groups (&gt;120 MWh only)'!$N$8:$N$12,MATCH(C118,'Usage Groups (&gt;120 MWh only)'!$B$8:$B$12,0),1)/COUNTIF($C$13:$C$1012,C118)),IF(AND(NC_Type="Building Area Method",Inventory!C115="Y"),INDEX(xyNCEx,MATCH(I118,yNCExArea,0),3)/COUNTIF($I$13:$I$1012,I118),VLOOKUP(J118,xyWattage_Table,10,FALSE))),"")</f>
        <v/>
      </c>
      <c r="L118" s="539" t="str">
        <f t="shared" si="47"/>
        <v/>
      </c>
      <c r="M118" s="540">
        <f>IF(Inventory!N115="","",Inventory!N115)</f>
        <v>0</v>
      </c>
      <c r="N118" s="533" t="str">
        <f t="shared" si="48"/>
        <v/>
      </c>
      <c r="O118" s="534"/>
      <c r="P118" s="533" t="str">
        <f t="shared" si="49"/>
        <v/>
      </c>
      <c r="Q118" s="534" t="str">
        <f>IF(Inventory!L115="","",Inventory!L115)</f>
        <v/>
      </c>
      <c r="R118" s="535" t="str">
        <f t="shared" si="50"/>
        <v/>
      </c>
      <c r="S118" s="536" t="str">
        <f>IF(Inventory!O115="","",Inventory!O115)</f>
        <v/>
      </c>
      <c r="T118" s="541" t="str">
        <f>IFERROR(IF(C118="","",IF(INDEX(xyWattage_Table,MATCH(M118,'Fixture Identities'!$B$9:$B$997,0),2)="Exit Sign",8760,IF(VLOOKUP(C118,xySpace_Type_Details,8,FALSE)="TRM",INDEX('General Information'!$AF$17:$AG$28,11,MATCH(N118,'General Information'!$AF$16:$AG$16,0)),HLOOKUP(VLOOKUP(C118,xySpace_Type_Details,8,FALSE),'General Information'!$P$15:$AG$28,13,FALSE)))),"")</f>
        <v/>
      </c>
      <c r="U118" s="542" t="str">
        <f>IFERROR(IF(C118="","",IF(INDEX(xyWattage_Table,MATCH(M118,'Fixture Identities'!$B$9:$B$997,0),2)="Exit Sign",1,IF(VLOOKUP(C118,xySpace_Type_Details,8,FALSE)="TRM",INDEX('General Information'!$AF$17:$AG$28,12,MATCH(N118,'General Information'!$AF$16:$AG$16,0)),HLOOKUP(VLOOKUP(C118,xySpace_Type_Details,8,FALSE),'General Information'!$P$15:$AG$28,14,FALSE)))),"")</f>
        <v/>
      </c>
      <c r="V118" s="542" t="str">
        <f>IFERROR(VLOOKUP(INDEX(xySpace_Type_Details,MATCH($C118,'General Information'!$C$40:$C$60,0),12),Lookups!$L$8:$N$12,2,FALSE),"")</f>
        <v/>
      </c>
      <c r="W118" s="542" t="str">
        <f>IFERROR(VLOOKUP(INDEX(xySpace_Type_Details,MATCH($C118,'General Information'!$C$40:$C$60,0),12),Lookups!$L$8:$N$12,3,FALSE),"")</f>
        <v/>
      </c>
      <c r="Y118" s="542" t="str">
        <f>IFERROR(IF(C118="","",IF(INDEX(xyWattage_Table,MATCH(M118,'Fixture Identities'!$B$9:$B$997,0),2)="Exit Sign",0,IF(PRJ_Type="Retrofit",VLOOKUP(I118,xySVG_Factors,2,FALSE),IF(AND(PRJ_Type="New Construction",Inventory!C115="N"),VLOOKUP(VLOOKUP(Building_Type,xyLPD_BuildingArea,5,FALSE),xySVG_Factors_NC,3,FALSE),0)))),"")</f>
        <v/>
      </c>
      <c r="Z118" s="544" t="str">
        <f>IFERROR(IF(C118="","",IF(INDEX(xyWattage_Table,MATCH(M118,'Fixture Identities'!$B$9:$B$997,0),2)="Exit Sign",0,VLOOKUP(S118,xySVG_Factors,2,FALSE))),"")</f>
        <v/>
      </c>
      <c r="AA118" s="545" t="str">
        <f t="shared" si="51"/>
        <v/>
      </c>
      <c r="AB118" s="542" t="str">
        <f t="shared" si="52"/>
        <v/>
      </c>
      <c r="AC118" s="539" t="str">
        <f t="shared" si="53"/>
        <v/>
      </c>
      <c r="AD118" s="546" t="str">
        <f t="shared" si="54"/>
        <v/>
      </c>
      <c r="AE118" s="539" t="str">
        <f t="shared" si="55"/>
        <v/>
      </c>
      <c r="AF118" s="546" t="str">
        <f t="shared" si="56"/>
        <v/>
      </c>
      <c r="AG118" s="539" t="str">
        <f t="shared" si="57"/>
        <v/>
      </c>
      <c r="AH118" s="32">
        <f t="shared" si="38"/>
        <v>0</v>
      </c>
      <c r="AI118" s="32">
        <f t="shared" si="39"/>
        <v>0</v>
      </c>
      <c r="AJ118" s="32">
        <f t="shared" si="40"/>
        <v>0</v>
      </c>
      <c r="AK118" t="str">
        <f t="shared" si="41"/>
        <v/>
      </c>
      <c r="AL118" t="str">
        <f t="shared" si="42"/>
        <v/>
      </c>
      <c r="AM118" t="str">
        <f t="shared" si="43"/>
        <v/>
      </c>
      <c r="AO118" t="str">
        <f>IFERROR(VLOOKUP(M118,'Fixture Identities'!$B$9:$O$1045,14,FALSE),"")</f>
        <v/>
      </c>
      <c r="AP118" t="str">
        <f t="shared" si="37"/>
        <v/>
      </c>
    </row>
    <row r="119" spans="1:42">
      <c r="A119" s="71">
        <f t="shared" si="58"/>
        <v>0</v>
      </c>
      <c r="B119" s="513">
        <f t="shared" si="44"/>
        <v>107</v>
      </c>
      <c r="C119" s="530" t="str">
        <f>IF(Inventory!E116="","",Inventory!E116)</f>
        <v/>
      </c>
      <c r="D119" s="531">
        <f>IF(Inventory!D116="",0,Inventory!D116)</f>
        <v>0</v>
      </c>
      <c r="E119" s="532" t="str">
        <f>IF(Inventory!I116=0,"",Inventory!I116)</f>
        <v/>
      </c>
      <c r="F119" s="533" t="str">
        <f t="shared" si="45"/>
        <v/>
      </c>
      <c r="G119" s="534" t="str">
        <f>IF(Inventory!G116="","",Inventory!G116)</f>
        <v/>
      </c>
      <c r="H119" s="535" t="str">
        <f t="shared" si="46"/>
        <v/>
      </c>
      <c r="I119" s="536" t="str">
        <f>IF(Inventory!J116="","",Inventory!J116)</f>
        <v/>
      </c>
      <c r="J119" s="537" t="str">
        <f>IFERROR(IF(PRJ_Type="New Construction",IF(Inventory!C116="N",INDEX(xyLPD_BuildingArea,MATCH(Building_Type,Lookups!$F$37:$F$75,0),4),INDEX(xyLPD_SpaceBySpace,MATCH(INDEX(xyNCEx,MATCH(I119,yNCExArea,0),2),ySpace_by_Space_Type,0),2)),VLOOKUP(E119,xyWattage_Table,11,FALSE)),"")</f>
        <v/>
      </c>
      <c r="K119" s="538" t="str">
        <f>IFERROR(IF(AND(NC_Type="Building Area Method",Inventory!C116="N"),IF(ISERROR(INDEX('Usage Groups (&gt;120 MWh only)'!$N$8:$N$12,MATCH(C119,'Usage Groups (&gt;120 MWh only)'!$B$8:$B$12,0),1))=TRUE,SqFt/COUNTIFS(Inventory!$C$10:$C$1009,"N",$Q$13:$Q$1012,"&gt;=0"),INDEX('Usage Groups (&gt;120 MWh only)'!$N$8:$N$12,MATCH(C119,'Usage Groups (&gt;120 MWh only)'!$B$8:$B$12,0),1)/COUNTIF($C$13:$C$1012,C119)),IF(AND(NC_Type="Building Area Method",Inventory!C116="Y"),INDEX(xyNCEx,MATCH(I119,yNCExArea,0),3)/COUNTIF($I$13:$I$1012,I119),VLOOKUP(J119,xyWattage_Table,10,FALSE))),"")</f>
        <v/>
      </c>
      <c r="L119" s="539" t="str">
        <f t="shared" si="47"/>
        <v/>
      </c>
      <c r="M119" s="540">
        <f>IF(Inventory!N116="","",Inventory!N116)</f>
        <v>0</v>
      </c>
      <c r="N119" s="533" t="str">
        <f t="shared" si="48"/>
        <v/>
      </c>
      <c r="O119" s="534"/>
      <c r="P119" s="533" t="str">
        <f t="shared" si="49"/>
        <v/>
      </c>
      <c r="Q119" s="534" t="str">
        <f>IF(Inventory!L116="","",Inventory!L116)</f>
        <v/>
      </c>
      <c r="R119" s="535" t="str">
        <f t="shared" si="50"/>
        <v/>
      </c>
      <c r="S119" s="536" t="str">
        <f>IF(Inventory!O116="","",Inventory!O116)</f>
        <v/>
      </c>
      <c r="T119" s="541" t="str">
        <f>IFERROR(IF(C119="","",IF(INDEX(xyWattage_Table,MATCH(M119,'Fixture Identities'!$B$9:$B$997,0),2)="Exit Sign",8760,IF(VLOOKUP(C119,xySpace_Type_Details,8,FALSE)="TRM",INDEX('General Information'!$AF$17:$AG$28,11,MATCH(N119,'General Information'!$AF$16:$AG$16,0)),HLOOKUP(VLOOKUP(C119,xySpace_Type_Details,8,FALSE),'General Information'!$P$15:$AG$28,13,FALSE)))),"")</f>
        <v/>
      </c>
      <c r="U119" s="542" t="str">
        <f>IFERROR(IF(C119="","",IF(INDEX(xyWattage_Table,MATCH(M119,'Fixture Identities'!$B$9:$B$997,0),2)="Exit Sign",1,IF(VLOOKUP(C119,xySpace_Type_Details,8,FALSE)="TRM",INDEX('General Information'!$AF$17:$AG$28,12,MATCH(N119,'General Information'!$AF$16:$AG$16,0)),HLOOKUP(VLOOKUP(C119,xySpace_Type_Details,8,FALSE),'General Information'!$P$15:$AG$28,14,FALSE)))),"")</f>
        <v/>
      </c>
      <c r="V119" s="542" t="str">
        <f>IFERROR(VLOOKUP(INDEX(xySpace_Type_Details,MATCH($C119,'General Information'!$C$40:$C$60,0),12),Lookups!$L$8:$N$12,2,FALSE),"")</f>
        <v/>
      </c>
      <c r="W119" s="542" t="str">
        <f>IFERROR(VLOOKUP(INDEX(xySpace_Type_Details,MATCH($C119,'General Information'!$C$40:$C$60,0),12),Lookups!$L$8:$N$12,3,FALSE),"")</f>
        <v/>
      </c>
      <c r="Y119" s="542" t="str">
        <f>IFERROR(IF(C119="","",IF(INDEX(xyWattage_Table,MATCH(M119,'Fixture Identities'!$B$9:$B$997,0),2)="Exit Sign",0,IF(PRJ_Type="Retrofit",VLOOKUP(I119,xySVG_Factors,2,FALSE),IF(AND(PRJ_Type="New Construction",Inventory!C116="N"),VLOOKUP(VLOOKUP(Building_Type,xyLPD_BuildingArea,5,FALSE),xySVG_Factors_NC,3,FALSE),0)))),"")</f>
        <v/>
      </c>
      <c r="Z119" s="544" t="str">
        <f>IFERROR(IF(C119="","",IF(INDEX(xyWattage_Table,MATCH(M119,'Fixture Identities'!$B$9:$B$997,0),2)="Exit Sign",0,VLOOKUP(S119,xySVG_Factors,2,FALSE))),"")</f>
        <v/>
      </c>
      <c r="AA119" s="545" t="str">
        <f t="shared" si="51"/>
        <v/>
      </c>
      <c r="AB119" s="542" t="str">
        <f t="shared" si="52"/>
        <v/>
      </c>
      <c r="AC119" s="539" t="str">
        <f t="shared" si="53"/>
        <v/>
      </c>
      <c r="AD119" s="546" t="str">
        <f t="shared" si="54"/>
        <v/>
      </c>
      <c r="AE119" s="539" t="str">
        <f t="shared" si="55"/>
        <v/>
      </c>
      <c r="AF119" s="546" t="str">
        <f t="shared" si="56"/>
        <v/>
      </c>
      <c r="AG119" s="539" t="str">
        <f t="shared" si="57"/>
        <v/>
      </c>
      <c r="AH119" s="32">
        <f t="shared" si="38"/>
        <v>0</v>
      </c>
      <c r="AI119" s="32">
        <f t="shared" si="39"/>
        <v>0</v>
      </c>
      <c r="AJ119" s="32">
        <f t="shared" si="40"/>
        <v>0</v>
      </c>
      <c r="AK119" t="str">
        <f t="shared" si="41"/>
        <v/>
      </c>
      <c r="AL119" t="str">
        <f t="shared" si="42"/>
        <v/>
      </c>
      <c r="AM119" t="str">
        <f t="shared" si="43"/>
        <v/>
      </c>
      <c r="AO119" t="str">
        <f>IFERROR(VLOOKUP(M119,'Fixture Identities'!$B$9:$O$1045,14,FALSE),"")</f>
        <v/>
      </c>
      <c r="AP119" t="str">
        <f t="shared" si="37"/>
        <v/>
      </c>
    </row>
    <row r="120" spans="1:42">
      <c r="A120" s="71">
        <f t="shared" si="58"/>
        <v>0</v>
      </c>
      <c r="B120" s="513">
        <f t="shared" si="44"/>
        <v>108</v>
      </c>
      <c r="C120" s="530" t="str">
        <f>IF(Inventory!E117="","",Inventory!E117)</f>
        <v/>
      </c>
      <c r="D120" s="531">
        <f>IF(Inventory!D117="",0,Inventory!D117)</f>
        <v>0</v>
      </c>
      <c r="E120" s="532" t="str">
        <f>IF(Inventory!I117=0,"",Inventory!I117)</f>
        <v/>
      </c>
      <c r="F120" s="533" t="str">
        <f t="shared" si="45"/>
        <v/>
      </c>
      <c r="G120" s="534" t="str">
        <f>IF(Inventory!G117="","",Inventory!G117)</f>
        <v/>
      </c>
      <c r="H120" s="535" t="str">
        <f t="shared" si="46"/>
        <v/>
      </c>
      <c r="I120" s="536" t="str">
        <f>IF(Inventory!J117="","",Inventory!J117)</f>
        <v/>
      </c>
      <c r="J120" s="537" t="str">
        <f>IFERROR(IF(PRJ_Type="New Construction",IF(Inventory!C117="N",INDEX(xyLPD_BuildingArea,MATCH(Building_Type,Lookups!$F$37:$F$75,0),4),INDEX(xyLPD_SpaceBySpace,MATCH(INDEX(xyNCEx,MATCH(I120,yNCExArea,0),2),ySpace_by_Space_Type,0),2)),VLOOKUP(E120,xyWattage_Table,11,FALSE)),"")</f>
        <v/>
      </c>
      <c r="K120" s="538" t="str">
        <f>IFERROR(IF(AND(NC_Type="Building Area Method",Inventory!C117="N"),IF(ISERROR(INDEX('Usage Groups (&gt;120 MWh only)'!$N$8:$N$12,MATCH(C120,'Usage Groups (&gt;120 MWh only)'!$B$8:$B$12,0),1))=TRUE,SqFt/COUNTIFS(Inventory!$C$10:$C$1009,"N",$Q$13:$Q$1012,"&gt;=0"),INDEX('Usage Groups (&gt;120 MWh only)'!$N$8:$N$12,MATCH(C120,'Usage Groups (&gt;120 MWh only)'!$B$8:$B$12,0),1)/COUNTIF($C$13:$C$1012,C120)),IF(AND(NC_Type="Building Area Method",Inventory!C117="Y"),INDEX(xyNCEx,MATCH(I120,yNCExArea,0),3)/COUNTIF($I$13:$I$1012,I120),VLOOKUP(J120,xyWattage_Table,10,FALSE))),"")</f>
        <v/>
      </c>
      <c r="L120" s="539" t="str">
        <f t="shared" si="47"/>
        <v/>
      </c>
      <c r="M120" s="540">
        <f>IF(Inventory!N117="","",Inventory!N117)</f>
        <v>0</v>
      </c>
      <c r="N120" s="533" t="str">
        <f t="shared" si="48"/>
        <v/>
      </c>
      <c r="O120" s="534"/>
      <c r="P120" s="533" t="str">
        <f t="shared" si="49"/>
        <v/>
      </c>
      <c r="Q120" s="534" t="str">
        <f>IF(Inventory!L117="","",Inventory!L117)</f>
        <v/>
      </c>
      <c r="R120" s="535" t="str">
        <f t="shared" si="50"/>
        <v/>
      </c>
      <c r="S120" s="536" t="str">
        <f>IF(Inventory!O117="","",Inventory!O117)</f>
        <v/>
      </c>
      <c r="T120" s="541" t="str">
        <f>IFERROR(IF(C120="","",IF(INDEX(xyWattage_Table,MATCH(M120,'Fixture Identities'!$B$9:$B$997,0),2)="Exit Sign",8760,IF(VLOOKUP(C120,xySpace_Type_Details,8,FALSE)="TRM",INDEX('General Information'!$AF$17:$AG$28,11,MATCH(N120,'General Information'!$AF$16:$AG$16,0)),HLOOKUP(VLOOKUP(C120,xySpace_Type_Details,8,FALSE),'General Information'!$P$15:$AG$28,13,FALSE)))),"")</f>
        <v/>
      </c>
      <c r="U120" s="542" t="str">
        <f>IFERROR(IF(C120="","",IF(INDEX(xyWattage_Table,MATCH(M120,'Fixture Identities'!$B$9:$B$997,0),2)="Exit Sign",1,IF(VLOOKUP(C120,xySpace_Type_Details,8,FALSE)="TRM",INDEX('General Information'!$AF$17:$AG$28,12,MATCH(N120,'General Information'!$AF$16:$AG$16,0)),HLOOKUP(VLOOKUP(C120,xySpace_Type_Details,8,FALSE),'General Information'!$P$15:$AG$28,14,FALSE)))),"")</f>
        <v/>
      </c>
      <c r="V120" s="542" t="str">
        <f>IFERROR(VLOOKUP(INDEX(xySpace_Type_Details,MATCH($C120,'General Information'!$C$40:$C$60,0),12),Lookups!$L$8:$N$12,2,FALSE),"")</f>
        <v/>
      </c>
      <c r="W120" s="542" t="str">
        <f>IFERROR(VLOOKUP(INDEX(xySpace_Type_Details,MATCH($C120,'General Information'!$C$40:$C$60,0),12),Lookups!$L$8:$N$12,3,FALSE),"")</f>
        <v/>
      </c>
      <c r="Y120" s="542" t="str">
        <f>IFERROR(IF(C120="","",IF(INDEX(xyWattage_Table,MATCH(M120,'Fixture Identities'!$B$9:$B$997,0),2)="Exit Sign",0,IF(PRJ_Type="Retrofit",VLOOKUP(I120,xySVG_Factors,2,FALSE),IF(AND(PRJ_Type="New Construction",Inventory!C117="N"),VLOOKUP(VLOOKUP(Building_Type,xyLPD_BuildingArea,5,FALSE),xySVG_Factors_NC,3,FALSE),0)))),"")</f>
        <v/>
      </c>
      <c r="Z120" s="544" t="str">
        <f>IFERROR(IF(C120="","",IF(INDEX(xyWattage_Table,MATCH(M120,'Fixture Identities'!$B$9:$B$997,0),2)="Exit Sign",0,VLOOKUP(S120,xySVG_Factors,2,FALSE))),"")</f>
        <v/>
      </c>
      <c r="AA120" s="545" t="str">
        <f t="shared" si="51"/>
        <v/>
      </c>
      <c r="AB120" s="542" t="str">
        <f t="shared" si="52"/>
        <v/>
      </c>
      <c r="AC120" s="539" t="str">
        <f t="shared" si="53"/>
        <v/>
      </c>
      <c r="AD120" s="546" t="str">
        <f t="shared" si="54"/>
        <v/>
      </c>
      <c r="AE120" s="539" t="str">
        <f t="shared" si="55"/>
        <v/>
      </c>
      <c r="AF120" s="546" t="str">
        <f t="shared" si="56"/>
        <v/>
      </c>
      <c r="AG120" s="539" t="str">
        <f t="shared" si="57"/>
        <v/>
      </c>
      <c r="AH120" s="32">
        <f t="shared" si="38"/>
        <v>0</v>
      </c>
      <c r="AI120" s="32">
        <f t="shared" si="39"/>
        <v>0</v>
      </c>
      <c r="AJ120" s="32">
        <f t="shared" si="40"/>
        <v>0</v>
      </c>
      <c r="AK120" t="str">
        <f t="shared" si="41"/>
        <v/>
      </c>
      <c r="AL120" t="str">
        <f t="shared" si="42"/>
        <v/>
      </c>
      <c r="AM120" t="str">
        <f t="shared" si="43"/>
        <v/>
      </c>
      <c r="AO120" t="str">
        <f>IFERROR(VLOOKUP(M120,'Fixture Identities'!$B$9:$O$1045,14,FALSE),"")</f>
        <v/>
      </c>
      <c r="AP120" t="str">
        <f t="shared" si="37"/>
        <v/>
      </c>
    </row>
    <row r="121" spans="1:42">
      <c r="A121" s="71">
        <f t="shared" si="58"/>
        <v>0</v>
      </c>
      <c r="B121" s="513">
        <f t="shared" si="44"/>
        <v>109</v>
      </c>
      <c r="C121" s="530" t="str">
        <f>IF(Inventory!E118="","",Inventory!E118)</f>
        <v/>
      </c>
      <c r="D121" s="531">
        <f>IF(Inventory!D118="",0,Inventory!D118)</f>
        <v>0</v>
      </c>
      <c r="E121" s="532" t="str">
        <f>IF(Inventory!I118=0,"",Inventory!I118)</f>
        <v/>
      </c>
      <c r="F121" s="533" t="str">
        <f t="shared" si="45"/>
        <v/>
      </c>
      <c r="G121" s="534" t="str">
        <f>IF(Inventory!G118="","",Inventory!G118)</f>
        <v/>
      </c>
      <c r="H121" s="535" t="str">
        <f t="shared" si="46"/>
        <v/>
      </c>
      <c r="I121" s="536" t="str">
        <f>IF(Inventory!J118="","",Inventory!J118)</f>
        <v/>
      </c>
      <c r="J121" s="537" t="str">
        <f>IFERROR(IF(PRJ_Type="New Construction",IF(Inventory!C118="N",INDEX(xyLPD_BuildingArea,MATCH(Building_Type,Lookups!$F$37:$F$75,0),4),INDEX(xyLPD_SpaceBySpace,MATCH(INDEX(xyNCEx,MATCH(I121,yNCExArea,0),2),ySpace_by_Space_Type,0),2)),VLOOKUP(E121,xyWattage_Table,11,FALSE)),"")</f>
        <v/>
      </c>
      <c r="K121" s="538" t="str">
        <f>IFERROR(IF(AND(NC_Type="Building Area Method",Inventory!C118="N"),IF(ISERROR(INDEX('Usage Groups (&gt;120 MWh only)'!$N$8:$N$12,MATCH(C121,'Usage Groups (&gt;120 MWh only)'!$B$8:$B$12,0),1))=TRUE,SqFt/COUNTIFS(Inventory!$C$10:$C$1009,"N",$Q$13:$Q$1012,"&gt;=0"),INDEX('Usage Groups (&gt;120 MWh only)'!$N$8:$N$12,MATCH(C121,'Usage Groups (&gt;120 MWh only)'!$B$8:$B$12,0),1)/COUNTIF($C$13:$C$1012,C121)),IF(AND(NC_Type="Building Area Method",Inventory!C118="Y"),INDEX(xyNCEx,MATCH(I121,yNCExArea,0),3)/COUNTIF($I$13:$I$1012,I121),VLOOKUP(J121,xyWattage_Table,10,FALSE))),"")</f>
        <v/>
      </c>
      <c r="L121" s="539" t="str">
        <f t="shared" si="47"/>
        <v/>
      </c>
      <c r="M121" s="540">
        <f>IF(Inventory!N118="","",Inventory!N118)</f>
        <v>0</v>
      </c>
      <c r="N121" s="533" t="str">
        <f t="shared" si="48"/>
        <v/>
      </c>
      <c r="O121" s="534"/>
      <c r="P121" s="533" t="str">
        <f t="shared" si="49"/>
        <v/>
      </c>
      <c r="Q121" s="534" t="str">
        <f>IF(Inventory!L118="","",Inventory!L118)</f>
        <v/>
      </c>
      <c r="R121" s="535" t="str">
        <f t="shared" si="50"/>
        <v/>
      </c>
      <c r="S121" s="536" t="str">
        <f>IF(Inventory!O118="","",Inventory!O118)</f>
        <v/>
      </c>
      <c r="T121" s="541" t="str">
        <f>IFERROR(IF(C121="","",IF(INDEX(xyWattage_Table,MATCH(M121,'Fixture Identities'!$B$9:$B$997,0),2)="Exit Sign",8760,IF(VLOOKUP(C121,xySpace_Type_Details,8,FALSE)="TRM",INDEX('General Information'!$AF$17:$AG$28,11,MATCH(N121,'General Information'!$AF$16:$AG$16,0)),HLOOKUP(VLOOKUP(C121,xySpace_Type_Details,8,FALSE),'General Information'!$P$15:$AG$28,13,FALSE)))),"")</f>
        <v/>
      </c>
      <c r="U121" s="542" t="str">
        <f>IFERROR(IF(C121="","",IF(INDEX(xyWattage_Table,MATCH(M121,'Fixture Identities'!$B$9:$B$997,0),2)="Exit Sign",1,IF(VLOOKUP(C121,xySpace_Type_Details,8,FALSE)="TRM",INDEX('General Information'!$AF$17:$AG$28,12,MATCH(N121,'General Information'!$AF$16:$AG$16,0)),HLOOKUP(VLOOKUP(C121,xySpace_Type_Details,8,FALSE),'General Information'!$P$15:$AG$28,14,FALSE)))),"")</f>
        <v/>
      </c>
      <c r="V121" s="542" t="str">
        <f>IFERROR(VLOOKUP(INDEX(xySpace_Type_Details,MATCH($C121,'General Information'!$C$40:$C$60,0),12),Lookups!$L$8:$N$12,2,FALSE),"")</f>
        <v/>
      </c>
      <c r="W121" s="542" t="str">
        <f>IFERROR(VLOOKUP(INDEX(xySpace_Type_Details,MATCH($C121,'General Information'!$C$40:$C$60,0),12),Lookups!$L$8:$N$12,3,FALSE),"")</f>
        <v/>
      </c>
      <c r="Y121" s="542" t="str">
        <f>IFERROR(IF(C121="","",IF(INDEX(xyWattage_Table,MATCH(M121,'Fixture Identities'!$B$9:$B$997,0),2)="Exit Sign",0,IF(PRJ_Type="Retrofit",VLOOKUP(I121,xySVG_Factors,2,FALSE),IF(AND(PRJ_Type="New Construction",Inventory!C118="N"),VLOOKUP(VLOOKUP(Building_Type,xyLPD_BuildingArea,5,FALSE),xySVG_Factors_NC,3,FALSE),0)))),"")</f>
        <v/>
      </c>
      <c r="Z121" s="544" t="str">
        <f>IFERROR(IF(C121="","",IF(INDEX(xyWattage_Table,MATCH(M121,'Fixture Identities'!$B$9:$B$997,0),2)="Exit Sign",0,VLOOKUP(S121,xySVG_Factors,2,FALSE))),"")</f>
        <v/>
      </c>
      <c r="AA121" s="545" t="str">
        <f t="shared" si="51"/>
        <v/>
      </c>
      <c r="AB121" s="542" t="str">
        <f t="shared" si="52"/>
        <v/>
      </c>
      <c r="AC121" s="539" t="str">
        <f t="shared" si="53"/>
        <v/>
      </c>
      <c r="AD121" s="546" t="str">
        <f t="shared" si="54"/>
        <v/>
      </c>
      <c r="AE121" s="539" t="str">
        <f t="shared" si="55"/>
        <v/>
      </c>
      <c r="AF121" s="546" t="str">
        <f t="shared" si="56"/>
        <v/>
      </c>
      <c r="AG121" s="539" t="str">
        <f t="shared" si="57"/>
        <v/>
      </c>
      <c r="AH121" s="32">
        <f t="shared" si="38"/>
        <v>0</v>
      </c>
      <c r="AI121" s="32">
        <f t="shared" si="39"/>
        <v>0</v>
      </c>
      <c r="AJ121" s="32">
        <f t="shared" si="40"/>
        <v>0</v>
      </c>
      <c r="AK121" t="str">
        <f t="shared" si="41"/>
        <v/>
      </c>
      <c r="AL121" t="str">
        <f t="shared" si="42"/>
        <v/>
      </c>
      <c r="AM121" t="str">
        <f t="shared" si="43"/>
        <v/>
      </c>
      <c r="AO121" t="str">
        <f>IFERROR(VLOOKUP(M121,'Fixture Identities'!$B$9:$O$1045,14,FALSE),"")</f>
        <v/>
      </c>
      <c r="AP121" t="str">
        <f t="shared" si="37"/>
        <v/>
      </c>
    </row>
    <row r="122" spans="1:42">
      <c r="A122" s="71">
        <f t="shared" si="58"/>
        <v>0</v>
      </c>
      <c r="B122" s="513">
        <f t="shared" si="44"/>
        <v>110</v>
      </c>
      <c r="C122" s="530" t="str">
        <f>IF(Inventory!E119="","",Inventory!E119)</f>
        <v/>
      </c>
      <c r="D122" s="531">
        <f>IF(Inventory!D119="",0,Inventory!D119)</f>
        <v>0</v>
      </c>
      <c r="E122" s="532" t="str">
        <f>IF(Inventory!I119=0,"",Inventory!I119)</f>
        <v/>
      </c>
      <c r="F122" s="533" t="str">
        <f t="shared" si="45"/>
        <v/>
      </c>
      <c r="G122" s="534" t="str">
        <f>IF(Inventory!G119="","",Inventory!G119)</f>
        <v/>
      </c>
      <c r="H122" s="535" t="str">
        <f t="shared" si="46"/>
        <v/>
      </c>
      <c r="I122" s="536" t="str">
        <f>IF(Inventory!J119="","",Inventory!J119)</f>
        <v/>
      </c>
      <c r="J122" s="537" t="str">
        <f>IFERROR(IF(PRJ_Type="New Construction",IF(Inventory!C119="N",INDEX(xyLPD_BuildingArea,MATCH(Building_Type,Lookups!$F$37:$F$75,0),4),INDEX(xyLPD_SpaceBySpace,MATCH(INDEX(xyNCEx,MATCH(I122,yNCExArea,0),2),ySpace_by_Space_Type,0),2)),VLOOKUP(E122,xyWattage_Table,11,FALSE)),"")</f>
        <v/>
      </c>
      <c r="K122" s="538" t="str">
        <f>IFERROR(IF(AND(NC_Type="Building Area Method",Inventory!C119="N"),IF(ISERROR(INDEX('Usage Groups (&gt;120 MWh only)'!$N$8:$N$12,MATCH(C122,'Usage Groups (&gt;120 MWh only)'!$B$8:$B$12,0),1))=TRUE,SqFt/COUNTIFS(Inventory!$C$10:$C$1009,"N",$Q$13:$Q$1012,"&gt;=0"),INDEX('Usage Groups (&gt;120 MWh only)'!$N$8:$N$12,MATCH(C122,'Usage Groups (&gt;120 MWh only)'!$B$8:$B$12,0),1)/COUNTIF($C$13:$C$1012,C122)),IF(AND(NC_Type="Building Area Method",Inventory!C119="Y"),INDEX(xyNCEx,MATCH(I122,yNCExArea,0),3)/COUNTIF($I$13:$I$1012,I122),VLOOKUP(J122,xyWattage_Table,10,FALSE))),"")</f>
        <v/>
      </c>
      <c r="L122" s="539" t="str">
        <f t="shared" si="47"/>
        <v/>
      </c>
      <c r="M122" s="540">
        <f>IF(Inventory!N119="","",Inventory!N119)</f>
        <v>0</v>
      </c>
      <c r="N122" s="533" t="str">
        <f t="shared" si="48"/>
        <v/>
      </c>
      <c r="O122" s="534"/>
      <c r="P122" s="533" t="str">
        <f t="shared" si="49"/>
        <v/>
      </c>
      <c r="Q122" s="534" t="str">
        <f>IF(Inventory!L119="","",Inventory!L119)</f>
        <v/>
      </c>
      <c r="R122" s="535" t="str">
        <f t="shared" si="50"/>
        <v/>
      </c>
      <c r="S122" s="536" t="str">
        <f>IF(Inventory!O119="","",Inventory!O119)</f>
        <v/>
      </c>
      <c r="T122" s="541" t="str">
        <f>IFERROR(IF(C122="","",IF(INDEX(xyWattage_Table,MATCH(M122,'Fixture Identities'!$B$9:$B$997,0),2)="Exit Sign",8760,IF(VLOOKUP(C122,xySpace_Type_Details,8,FALSE)="TRM",INDEX('General Information'!$AF$17:$AG$28,11,MATCH(N122,'General Information'!$AF$16:$AG$16,0)),HLOOKUP(VLOOKUP(C122,xySpace_Type_Details,8,FALSE),'General Information'!$P$15:$AG$28,13,FALSE)))),"")</f>
        <v/>
      </c>
      <c r="U122" s="542" t="str">
        <f>IFERROR(IF(C122="","",IF(INDEX(xyWattage_Table,MATCH(M122,'Fixture Identities'!$B$9:$B$997,0),2)="Exit Sign",1,IF(VLOOKUP(C122,xySpace_Type_Details,8,FALSE)="TRM",INDEX('General Information'!$AF$17:$AG$28,12,MATCH(N122,'General Information'!$AF$16:$AG$16,0)),HLOOKUP(VLOOKUP(C122,xySpace_Type_Details,8,FALSE),'General Information'!$P$15:$AG$28,14,FALSE)))),"")</f>
        <v/>
      </c>
      <c r="V122" s="542" t="str">
        <f>IFERROR(VLOOKUP(INDEX(xySpace_Type_Details,MATCH($C122,'General Information'!$C$40:$C$60,0),12),Lookups!$L$8:$N$12,2,FALSE),"")</f>
        <v/>
      </c>
      <c r="W122" s="542" t="str">
        <f>IFERROR(VLOOKUP(INDEX(xySpace_Type_Details,MATCH($C122,'General Information'!$C$40:$C$60,0),12),Lookups!$L$8:$N$12,3,FALSE),"")</f>
        <v/>
      </c>
      <c r="Y122" s="542" t="str">
        <f>IFERROR(IF(C122="","",IF(INDEX(xyWattage_Table,MATCH(M122,'Fixture Identities'!$B$9:$B$997,0),2)="Exit Sign",0,IF(PRJ_Type="Retrofit",VLOOKUP(I122,xySVG_Factors,2,FALSE),IF(AND(PRJ_Type="New Construction",Inventory!C119="N"),VLOOKUP(VLOOKUP(Building_Type,xyLPD_BuildingArea,5,FALSE),xySVG_Factors_NC,3,FALSE),0)))),"")</f>
        <v/>
      </c>
      <c r="Z122" s="544" t="str">
        <f>IFERROR(IF(C122="","",IF(INDEX(xyWattage_Table,MATCH(M122,'Fixture Identities'!$B$9:$B$997,0),2)="Exit Sign",0,VLOOKUP(S122,xySVG_Factors,2,FALSE))),"")</f>
        <v/>
      </c>
      <c r="AA122" s="545" t="str">
        <f t="shared" si="51"/>
        <v/>
      </c>
      <c r="AB122" s="542" t="str">
        <f t="shared" si="52"/>
        <v/>
      </c>
      <c r="AC122" s="539" t="str">
        <f t="shared" si="53"/>
        <v/>
      </c>
      <c r="AD122" s="546" t="str">
        <f t="shared" si="54"/>
        <v/>
      </c>
      <c r="AE122" s="539" t="str">
        <f t="shared" si="55"/>
        <v/>
      </c>
      <c r="AF122" s="546" t="str">
        <f t="shared" si="56"/>
        <v/>
      </c>
      <c r="AG122" s="539" t="str">
        <f t="shared" si="57"/>
        <v/>
      </c>
      <c r="AH122" s="32">
        <f t="shared" si="38"/>
        <v>0</v>
      </c>
      <c r="AI122" s="32">
        <f t="shared" si="39"/>
        <v>0</v>
      </c>
      <c r="AJ122" s="32">
        <f t="shared" si="40"/>
        <v>0</v>
      </c>
      <c r="AK122" t="str">
        <f t="shared" si="41"/>
        <v/>
      </c>
      <c r="AL122" t="str">
        <f t="shared" si="42"/>
        <v/>
      </c>
      <c r="AM122" t="str">
        <f t="shared" si="43"/>
        <v/>
      </c>
      <c r="AO122" t="str">
        <f>IFERROR(VLOOKUP(M122,'Fixture Identities'!$B$9:$O$1045,14,FALSE),"")</f>
        <v/>
      </c>
      <c r="AP122" t="str">
        <f t="shared" si="37"/>
        <v/>
      </c>
    </row>
    <row r="123" spans="1:42">
      <c r="A123" s="71">
        <f t="shared" si="58"/>
        <v>0</v>
      </c>
      <c r="B123" s="513">
        <f t="shared" si="44"/>
        <v>111</v>
      </c>
      <c r="C123" s="530" t="str">
        <f>IF(Inventory!E120="","",Inventory!E120)</f>
        <v/>
      </c>
      <c r="D123" s="531">
        <f>IF(Inventory!D120="",0,Inventory!D120)</f>
        <v>0</v>
      </c>
      <c r="E123" s="532" t="str">
        <f>IF(Inventory!I120=0,"",Inventory!I120)</f>
        <v/>
      </c>
      <c r="F123" s="533" t="str">
        <f t="shared" si="45"/>
        <v/>
      </c>
      <c r="G123" s="534" t="str">
        <f>IF(Inventory!G120="","",Inventory!G120)</f>
        <v/>
      </c>
      <c r="H123" s="535" t="str">
        <f t="shared" si="46"/>
        <v/>
      </c>
      <c r="I123" s="536" t="str">
        <f>IF(Inventory!J120="","",Inventory!J120)</f>
        <v/>
      </c>
      <c r="J123" s="537" t="str">
        <f>IFERROR(IF(PRJ_Type="New Construction",IF(Inventory!C120="N",INDEX(xyLPD_BuildingArea,MATCH(Building_Type,Lookups!$F$37:$F$75,0),4),INDEX(xyLPD_SpaceBySpace,MATCH(INDEX(xyNCEx,MATCH(I123,yNCExArea,0),2),ySpace_by_Space_Type,0),2)),VLOOKUP(E123,xyWattage_Table,11,FALSE)),"")</f>
        <v/>
      </c>
      <c r="K123" s="538" t="str">
        <f>IFERROR(IF(AND(NC_Type="Building Area Method",Inventory!C120="N"),IF(ISERROR(INDEX('Usage Groups (&gt;120 MWh only)'!$N$8:$N$12,MATCH(C123,'Usage Groups (&gt;120 MWh only)'!$B$8:$B$12,0),1))=TRUE,SqFt/COUNTIFS(Inventory!$C$10:$C$1009,"N",$Q$13:$Q$1012,"&gt;=0"),INDEX('Usage Groups (&gt;120 MWh only)'!$N$8:$N$12,MATCH(C123,'Usage Groups (&gt;120 MWh only)'!$B$8:$B$12,0),1)/COUNTIF($C$13:$C$1012,C123)),IF(AND(NC_Type="Building Area Method",Inventory!C120="Y"),INDEX(xyNCEx,MATCH(I123,yNCExArea,0),3)/COUNTIF($I$13:$I$1012,I123),VLOOKUP(J123,xyWattage_Table,10,FALSE))),"")</f>
        <v/>
      </c>
      <c r="L123" s="539" t="str">
        <f t="shared" si="47"/>
        <v/>
      </c>
      <c r="M123" s="540">
        <f>IF(Inventory!N120="","",Inventory!N120)</f>
        <v>0</v>
      </c>
      <c r="N123" s="533" t="str">
        <f t="shared" si="48"/>
        <v/>
      </c>
      <c r="O123" s="534"/>
      <c r="P123" s="533" t="str">
        <f t="shared" si="49"/>
        <v/>
      </c>
      <c r="Q123" s="534" t="str">
        <f>IF(Inventory!L120="","",Inventory!L120)</f>
        <v/>
      </c>
      <c r="R123" s="535" t="str">
        <f t="shared" si="50"/>
        <v/>
      </c>
      <c r="S123" s="536" t="str">
        <f>IF(Inventory!O120="","",Inventory!O120)</f>
        <v/>
      </c>
      <c r="T123" s="541" t="str">
        <f>IFERROR(IF(C123="","",IF(INDEX(xyWattage_Table,MATCH(M123,'Fixture Identities'!$B$9:$B$997,0),2)="Exit Sign",8760,IF(VLOOKUP(C123,xySpace_Type_Details,8,FALSE)="TRM",INDEX('General Information'!$AF$17:$AG$28,11,MATCH(N123,'General Information'!$AF$16:$AG$16,0)),HLOOKUP(VLOOKUP(C123,xySpace_Type_Details,8,FALSE),'General Information'!$P$15:$AG$28,13,FALSE)))),"")</f>
        <v/>
      </c>
      <c r="U123" s="542" t="str">
        <f>IFERROR(IF(C123="","",IF(INDEX(xyWattage_Table,MATCH(M123,'Fixture Identities'!$B$9:$B$997,0),2)="Exit Sign",1,IF(VLOOKUP(C123,xySpace_Type_Details,8,FALSE)="TRM",INDEX('General Information'!$AF$17:$AG$28,12,MATCH(N123,'General Information'!$AF$16:$AG$16,0)),HLOOKUP(VLOOKUP(C123,xySpace_Type_Details,8,FALSE),'General Information'!$P$15:$AG$28,14,FALSE)))),"")</f>
        <v/>
      </c>
      <c r="V123" s="542" t="str">
        <f>IFERROR(VLOOKUP(INDEX(xySpace_Type_Details,MATCH($C123,'General Information'!$C$40:$C$60,0),12),Lookups!$L$8:$N$12,2,FALSE),"")</f>
        <v/>
      </c>
      <c r="W123" s="542" t="str">
        <f>IFERROR(VLOOKUP(INDEX(xySpace_Type_Details,MATCH($C123,'General Information'!$C$40:$C$60,0),12),Lookups!$L$8:$N$12,3,FALSE),"")</f>
        <v/>
      </c>
      <c r="Y123" s="542" t="str">
        <f>IFERROR(IF(C123="","",IF(INDEX(xyWattage_Table,MATCH(M123,'Fixture Identities'!$B$9:$B$997,0),2)="Exit Sign",0,IF(PRJ_Type="Retrofit",VLOOKUP(I123,xySVG_Factors,2,FALSE),IF(AND(PRJ_Type="New Construction",Inventory!C120="N"),VLOOKUP(VLOOKUP(Building_Type,xyLPD_BuildingArea,5,FALSE),xySVG_Factors_NC,3,FALSE),0)))),"")</f>
        <v/>
      </c>
      <c r="Z123" s="544" t="str">
        <f>IFERROR(IF(C123="","",IF(INDEX(xyWattage_Table,MATCH(M123,'Fixture Identities'!$B$9:$B$997,0),2)="Exit Sign",0,VLOOKUP(S123,xySVG_Factors,2,FALSE))),"")</f>
        <v/>
      </c>
      <c r="AA123" s="545" t="str">
        <f t="shared" si="51"/>
        <v/>
      </c>
      <c r="AB123" s="542" t="str">
        <f t="shared" si="52"/>
        <v/>
      </c>
      <c r="AC123" s="539" t="str">
        <f t="shared" si="53"/>
        <v/>
      </c>
      <c r="AD123" s="546" t="str">
        <f t="shared" si="54"/>
        <v/>
      </c>
      <c r="AE123" s="539" t="str">
        <f t="shared" si="55"/>
        <v/>
      </c>
      <c r="AF123" s="546" t="str">
        <f t="shared" si="56"/>
        <v/>
      </c>
      <c r="AG123" s="539" t="str">
        <f t="shared" si="57"/>
        <v/>
      </c>
      <c r="AH123" s="32">
        <f t="shared" si="38"/>
        <v>0</v>
      </c>
      <c r="AI123" s="32">
        <f t="shared" si="39"/>
        <v>0</v>
      </c>
      <c r="AJ123" s="32">
        <f t="shared" si="40"/>
        <v>0</v>
      </c>
      <c r="AK123" t="str">
        <f t="shared" si="41"/>
        <v/>
      </c>
      <c r="AL123" t="str">
        <f t="shared" si="42"/>
        <v/>
      </c>
      <c r="AM123" t="str">
        <f t="shared" si="43"/>
        <v/>
      </c>
      <c r="AO123" t="str">
        <f>IFERROR(VLOOKUP(M123,'Fixture Identities'!$B$9:$O$1045,14,FALSE),"")</f>
        <v/>
      </c>
      <c r="AP123" t="str">
        <f t="shared" si="37"/>
        <v/>
      </c>
    </row>
    <row r="124" spans="1:42">
      <c r="A124" s="71">
        <f t="shared" si="58"/>
        <v>0</v>
      </c>
      <c r="B124" s="513">
        <f t="shared" si="44"/>
        <v>112</v>
      </c>
      <c r="C124" s="530" t="str">
        <f>IF(Inventory!E121="","",Inventory!E121)</f>
        <v/>
      </c>
      <c r="D124" s="531">
        <f>IF(Inventory!D121="",0,Inventory!D121)</f>
        <v>0</v>
      </c>
      <c r="E124" s="532" t="str">
        <f>IF(Inventory!I121=0,"",Inventory!I121)</f>
        <v/>
      </c>
      <c r="F124" s="533" t="str">
        <f t="shared" si="45"/>
        <v/>
      </c>
      <c r="G124" s="534" t="str">
        <f>IF(Inventory!G121="","",Inventory!G121)</f>
        <v/>
      </c>
      <c r="H124" s="535" t="str">
        <f t="shared" si="46"/>
        <v/>
      </c>
      <c r="I124" s="536" t="str">
        <f>IF(Inventory!J121="","",Inventory!J121)</f>
        <v/>
      </c>
      <c r="J124" s="537" t="str">
        <f>IFERROR(IF(PRJ_Type="New Construction",IF(Inventory!C121="N",INDEX(xyLPD_BuildingArea,MATCH(Building_Type,Lookups!$F$37:$F$75,0),4),INDEX(xyLPD_SpaceBySpace,MATCH(INDEX(xyNCEx,MATCH(I124,yNCExArea,0),2),ySpace_by_Space_Type,0),2)),VLOOKUP(E124,xyWattage_Table,11,FALSE)),"")</f>
        <v/>
      </c>
      <c r="K124" s="538" t="str">
        <f>IFERROR(IF(AND(NC_Type="Building Area Method",Inventory!C121="N"),IF(ISERROR(INDEX('Usage Groups (&gt;120 MWh only)'!$N$8:$N$12,MATCH(C124,'Usage Groups (&gt;120 MWh only)'!$B$8:$B$12,0),1))=TRUE,SqFt/COUNTIFS(Inventory!$C$10:$C$1009,"N",$Q$13:$Q$1012,"&gt;=0"),INDEX('Usage Groups (&gt;120 MWh only)'!$N$8:$N$12,MATCH(C124,'Usage Groups (&gt;120 MWh only)'!$B$8:$B$12,0),1)/COUNTIF($C$13:$C$1012,C124)),IF(AND(NC_Type="Building Area Method",Inventory!C121="Y"),INDEX(xyNCEx,MATCH(I124,yNCExArea,0),3)/COUNTIF($I$13:$I$1012,I124),VLOOKUP(J124,xyWattage_Table,10,FALSE))),"")</f>
        <v/>
      </c>
      <c r="L124" s="539" t="str">
        <f t="shared" si="47"/>
        <v/>
      </c>
      <c r="M124" s="540">
        <f>IF(Inventory!N121="","",Inventory!N121)</f>
        <v>0</v>
      </c>
      <c r="N124" s="533" t="str">
        <f t="shared" si="48"/>
        <v/>
      </c>
      <c r="O124" s="534"/>
      <c r="P124" s="533" t="str">
        <f t="shared" si="49"/>
        <v/>
      </c>
      <c r="Q124" s="534" t="str">
        <f>IF(Inventory!L121="","",Inventory!L121)</f>
        <v/>
      </c>
      <c r="R124" s="535" t="str">
        <f t="shared" si="50"/>
        <v/>
      </c>
      <c r="S124" s="536" t="str">
        <f>IF(Inventory!O121="","",Inventory!O121)</f>
        <v/>
      </c>
      <c r="T124" s="541" t="str">
        <f>IFERROR(IF(C124="","",IF(INDEX(xyWattage_Table,MATCH(M124,'Fixture Identities'!$B$9:$B$997,0),2)="Exit Sign",8760,IF(VLOOKUP(C124,xySpace_Type_Details,8,FALSE)="TRM",INDEX('General Information'!$AF$17:$AG$28,11,MATCH(N124,'General Information'!$AF$16:$AG$16,0)),HLOOKUP(VLOOKUP(C124,xySpace_Type_Details,8,FALSE),'General Information'!$P$15:$AG$28,13,FALSE)))),"")</f>
        <v/>
      </c>
      <c r="U124" s="542" t="str">
        <f>IFERROR(IF(C124="","",IF(INDEX(xyWattage_Table,MATCH(M124,'Fixture Identities'!$B$9:$B$997,0),2)="Exit Sign",1,IF(VLOOKUP(C124,xySpace_Type_Details,8,FALSE)="TRM",INDEX('General Information'!$AF$17:$AG$28,12,MATCH(N124,'General Information'!$AF$16:$AG$16,0)),HLOOKUP(VLOOKUP(C124,xySpace_Type_Details,8,FALSE),'General Information'!$P$15:$AG$28,14,FALSE)))),"")</f>
        <v/>
      </c>
      <c r="V124" s="542" t="str">
        <f>IFERROR(VLOOKUP(INDEX(xySpace_Type_Details,MATCH($C124,'General Information'!$C$40:$C$60,0),12),Lookups!$L$8:$N$12,2,FALSE),"")</f>
        <v/>
      </c>
      <c r="W124" s="542" t="str">
        <f>IFERROR(VLOOKUP(INDEX(xySpace_Type_Details,MATCH($C124,'General Information'!$C$40:$C$60,0),12),Lookups!$L$8:$N$12,3,FALSE),"")</f>
        <v/>
      </c>
      <c r="Y124" s="542" t="str">
        <f>IFERROR(IF(C124="","",IF(INDEX(xyWattage_Table,MATCH(M124,'Fixture Identities'!$B$9:$B$997,0),2)="Exit Sign",0,IF(PRJ_Type="Retrofit",VLOOKUP(I124,xySVG_Factors,2,FALSE),IF(AND(PRJ_Type="New Construction",Inventory!C121="N"),VLOOKUP(VLOOKUP(Building_Type,xyLPD_BuildingArea,5,FALSE),xySVG_Factors_NC,3,FALSE),0)))),"")</f>
        <v/>
      </c>
      <c r="Z124" s="544" t="str">
        <f>IFERROR(IF(C124="","",IF(INDEX(xyWattage_Table,MATCH(M124,'Fixture Identities'!$B$9:$B$997,0),2)="Exit Sign",0,VLOOKUP(S124,xySVG_Factors,2,FALSE))),"")</f>
        <v/>
      </c>
      <c r="AA124" s="545" t="str">
        <f t="shared" si="51"/>
        <v/>
      </c>
      <c r="AB124" s="542" t="str">
        <f t="shared" si="52"/>
        <v/>
      </c>
      <c r="AC124" s="539" t="str">
        <f t="shared" si="53"/>
        <v/>
      </c>
      <c r="AD124" s="546" t="str">
        <f t="shared" si="54"/>
        <v/>
      </c>
      <c r="AE124" s="539" t="str">
        <f t="shared" si="55"/>
        <v/>
      </c>
      <c r="AF124" s="546" t="str">
        <f t="shared" si="56"/>
        <v/>
      </c>
      <c r="AG124" s="539" t="str">
        <f t="shared" si="57"/>
        <v/>
      </c>
      <c r="AH124" s="32">
        <f t="shared" si="38"/>
        <v>0</v>
      </c>
      <c r="AI124" s="32">
        <f t="shared" si="39"/>
        <v>0</v>
      </c>
      <c r="AJ124" s="32">
        <f t="shared" si="40"/>
        <v>0</v>
      </c>
      <c r="AK124" t="str">
        <f t="shared" si="41"/>
        <v/>
      </c>
      <c r="AL124" t="str">
        <f t="shared" si="42"/>
        <v/>
      </c>
      <c r="AM124" t="str">
        <f t="shared" si="43"/>
        <v/>
      </c>
      <c r="AO124" t="str">
        <f>IFERROR(VLOOKUP(M124,'Fixture Identities'!$B$9:$O$1045,14,FALSE),"")</f>
        <v/>
      </c>
      <c r="AP124" t="str">
        <f t="shared" si="37"/>
        <v/>
      </c>
    </row>
    <row r="125" spans="1:42">
      <c r="A125" s="71">
        <f t="shared" si="58"/>
        <v>0</v>
      </c>
      <c r="B125" s="513">
        <f t="shared" si="44"/>
        <v>113</v>
      </c>
      <c r="C125" s="530" t="str">
        <f>IF(Inventory!E122="","",Inventory!E122)</f>
        <v/>
      </c>
      <c r="D125" s="531">
        <f>IF(Inventory!D122="",0,Inventory!D122)</f>
        <v>0</v>
      </c>
      <c r="E125" s="532" t="str">
        <f>IF(Inventory!I122=0,"",Inventory!I122)</f>
        <v/>
      </c>
      <c r="F125" s="533" t="str">
        <f t="shared" si="45"/>
        <v/>
      </c>
      <c r="G125" s="534" t="str">
        <f>IF(Inventory!G122="","",Inventory!G122)</f>
        <v/>
      </c>
      <c r="H125" s="535" t="str">
        <f t="shared" si="46"/>
        <v/>
      </c>
      <c r="I125" s="536" t="str">
        <f>IF(Inventory!J122="","",Inventory!J122)</f>
        <v/>
      </c>
      <c r="J125" s="537" t="str">
        <f>IFERROR(IF(PRJ_Type="New Construction",IF(Inventory!C122="N",INDEX(xyLPD_BuildingArea,MATCH(Building_Type,Lookups!$F$37:$F$75,0),4),INDEX(xyLPD_SpaceBySpace,MATCH(INDEX(xyNCEx,MATCH(I125,yNCExArea,0),2),ySpace_by_Space_Type,0),2)),VLOOKUP(E125,xyWattage_Table,11,FALSE)),"")</f>
        <v/>
      </c>
      <c r="K125" s="538" t="str">
        <f>IFERROR(IF(AND(NC_Type="Building Area Method",Inventory!C122="N"),IF(ISERROR(INDEX('Usage Groups (&gt;120 MWh only)'!$N$8:$N$12,MATCH(C125,'Usage Groups (&gt;120 MWh only)'!$B$8:$B$12,0),1))=TRUE,SqFt/COUNTIFS(Inventory!$C$10:$C$1009,"N",$Q$13:$Q$1012,"&gt;=0"),INDEX('Usage Groups (&gt;120 MWh only)'!$N$8:$N$12,MATCH(C125,'Usage Groups (&gt;120 MWh only)'!$B$8:$B$12,0),1)/COUNTIF($C$13:$C$1012,C125)),IF(AND(NC_Type="Building Area Method",Inventory!C122="Y"),INDEX(xyNCEx,MATCH(I125,yNCExArea,0),3)/COUNTIF($I$13:$I$1012,I125),VLOOKUP(J125,xyWattage_Table,10,FALSE))),"")</f>
        <v/>
      </c>
      <c r="L125" s="539" t="str">
        <f t="shared" si="47"/>
        <v/>
      </c>
      <c r="M125" s="540">
        <f>IF(Inventory!N122="","",Inventory!N122)</f>
        <v>0</v>
      </c>
      <c r="N125" s="533" t="str">
        <f t="shared" si="48"/>
        <v/>
      </c>
      <c r="O125" s="534"/>
      <c r="P125" s="533" t="str">
        <f t="shared" si="49"/>
        <v/>
      </c>
      <c r="Q125" s="534" t="str">
        <f>IF(Inventory!L122="","",Inventory!L122)</f>
        <v/>
      </c>
      <c r="R125" s="535" t="str">
        <f t="shared" si="50"/>
        <v/>
      </c>
      <c r="S125" s="536" t="str">
        <f>IF(Inventory!O122="","",Inventory!O122)</f>
        <v/>
      </c>
      <c r="T125" s="541" t="str">
        <f>IFERROR(IF(C125="","",IF(INDEX(xyWattage_Table,MATCH(M125,'Fixture Identities'!$B$9:$B$997,0),2)="Exit Sign",8760,IF(VLOOKUP(C125,xySpace_Type_Details,8,FALSE)="TRM",INDEX('General Information'!$AF$17:$AG$28,11,MATCH(N125,'General Information'!$AF$16:$AG$16,0)),HLOOKUP(VLOOKUP(C125,xySpace_Type_Details,8,FALSE),'General Information'!$P$15:$AG$28,13,FALSE)))),"")</f>
        <v/>
      </c>
      <c r="U125" s="542" t="str">
        <f>IFERROR(IF(C125="","",IF(INDEX(xyWattage_Table,MATCH(M125,'Fixture Identities'!$B$9:$B$997,0),2)="Exit Sign",1,IF(VLOOKUP(C125,xySpace_Type_Details,8,FALSE)="TRM",INDEX('General Information'!$AF$17:$AG$28,12,MATCH(N125,'General Information'!$AF$16:$AG$16,0)),HLOOKUP(VLOOKUP(C125,xySpace_Type_Details,8,FALSE),'General Information'!$P$15:$AG$28,14,FALSE)))),"")</f>
        <v/>
      </c>
      <c r="V125" s="542" t="str">
        <f>IFERROR(VLOOKUP(INDEX(xySpace_Type_Details,MATCH($C125,'General Information'!$C$40:$C$60,0),12),Lookups!$L$8:$N$12,2,FALSE),"")</f>
        <v/>
      </c>
      <c r="W125" s="542" t="str">
        <f>IFERROR(VLOOKUP(INDEX(xySpace_Type_Details,MATCH($C125,'General Information'!$C$40:$C$60,0),12),Lookups!$L$8:$N$12,3,FALSE),"")</f>
        <v/>
      </c>
      <c r="Y125" s="542" t="str">
        <f>IFERROR(IF(C125="","",IF(INDEX(xyWattage_Table,MATCH(M125,'Fixture Identities'!$B$9:$B$997,0),2)="Exit Sign",0,IF(PRJ_Type="Retrofit",VLOOKUP(I125,xySVG_Factors,2,FALSE),IF(AND(PRJ_Type="New Construction",Inventory!C122="N"),VLOOKUP(VLOOKUP(Building_Type,xyLPD_BuildingArea,5,FALSE),xySVG_Factors_NC,3,FALSE),0)))),"")</f>
        <v/>
      </c>
      <c r="Z125" s="544" t="str">
        <f>IFERROR(IF(C125="","",IF(INDEX(xyWattage_Table,MATCH(M125,'Fixture Identities'!$B$9:$B$997,0),2)="Exit Sign",0,VLOOKUP(S125,xySVG_Factors,2,FALSE))),"")</f>
        <v/>
      </c>
      <c r="AA125" s="545" t="str">
        <f t="shared" si="51"/>
        <v/>
      </c>
      <c r="AB125" s="542" t="str">
        <f t="shared" si="52"/>
        <v/>
      </c>
      <c r="AC125" s="539" t="str">
        <f t="shared" si="53"/>
        <v/>
      </c>
      <c r="AD125" s="546" t="str">
        <f t="shared" si="54"/>
        <v/>
      </c>
      <c r="AE125" s="539" t="str">
        <f t="shared" si="55"/>
        <v/>
      </c>
      <c r="AF125" s="546" t="str">
        <f t="shared" si="56"/>
        <v/>
      </c>
      <c r="AG125" s="539" t="str">
        <f t="shared" si="57"/>
        <v/>
      </c>
      <c r="AH125" s="32">
        <f t="shared" si="38"/>
        <v>0</v>
      </c>
      <c r="AI125" s="32">
        <f t="shared" si="39"/>
        <v>0</v>
      </c>
      <c r="AJ125" s="32">
        <f t="shared" si="40"/>
        <v>0</v>
      </c>
      <c r="AK125" t="str">
        <f t="shared" si="41"/>
        <v/>
      </c>
      <c r="AL125" t="str">
        <f t="shared" si="42"/>
        <v/>
      </c>
      <c r="AM125" t="str">
        <f t="shared" si="43"/>
        <v/>
      </c>
      <c r="AO125" t="str">
        <f>IFERROR(VLOOKUP(M125,'Fixture Identities'!$B$9:$O$1045,14,FALSE),"")</f>
        <v/>
      </c>
      <c r="AP125" t="str">
        <f t="shared" si="37"/>
        <v/>
      </c>
    </row>
    <row r="126" spans="1:42">
      <c r="A126" s="71">
        <f t="shared" si="58"/>
        <v>0</v>
      </c>
      <c r="B126" s="513">
        <f t="shared" si="44"/>
        <v>114</v>
      </c>
      <c r="C126" s="530" t="str">
        <f>IF(Inventory!E123="","",Inventory!E123)</f>
        <v/>
      </c>
      <c r="D126" s="531">
        <f>IF(Inventory!D123="",0,Inventory!D123)</f>
        <v>0</v>
      </c>
      <c r="E126" s="532" t="str">
        <f>IF(Inventory!I123=0,"",Inventory!I123)</f>
        <v/>
      </c>
      <c r="F126" s="533" t="str">
        <f t="shared" si="45"/>
        <v/>
      </c>
      <c r="G126" s="534" t="str">
        <f>IF(Inventory!G123="","",Inventory!G123)</f>
        <v/>
      </c>
      <c r="H126" s="535" t="str">
        <f t="shared" si="46"/>
        <v/>
      </c>
      <c r="I126" s="536" t="str">
        <f>IF(Inventory!J123="","",Inventory!J123)</f>
        <v/>
      </c>
      <c r="J126" s="537" t="str">
        <f>IFERROR(IF(PRJ_Type="New Construction",IF(Inventory!C123="N",INDEX(xyLPD_BuildingArea,MATCH(Building_Type,Lookups!$F$37:$F$75,0),4),INDEX(xyLPD_SpaceBySpace,MATCH(INDEX(xyNCEx,MATCH(I126,yNCExArea,0),2),ySpace_by_Space_Type,0),2)),VLOOKUP(E126,xyWattage_Table,11,FALSE)),"")</f>
        <v/>
      </c>
      <c r="K126" s="538" t="str">
        <f>IFERROR(IF(AND(NC_Type="Building Area Method",Inventory!C123="N"),IF(ISERROR(INDEX('Usage Groups (&gt;120 MWh only)'!$N$8:$N$12,MATCH(C126,'Usage Groups (&gt;120 MWh only)'!$B$8:$B$12,0),1))=TRUE,SqFt/COUNTIFS(Inventory!$C$10:$C$1009,"N",$Q$13:$Q$1012,"&gt;=0"),INDEX('Usage Groups (&gt;120 MWh only)'!$N$8:$N$12,MATCH(C126,'Usage Groups (&gt;120 MWh only)'!$B$8:$B$12,0),1)/COUNTIF($C$13:$C$1012,C126)),IF(AND(NC_Type="Building Area Method",Inventory!C123="Y"),INDEX(xyNCEx,MATCH(I126,yNCExArea,0),3)/COUNTIF($I$13:$I$1012,I126),VLOOKUP(J126,xyWattage_Table,10,FALSE))),"")</f>
        <v/>
      </c>
      <c r="L126" s="539" t="str">
        <f t="shared" si="47"/>
        <v/>
      </c>
      <c r="M126" s="540">
        <f>IF(Inventory!N123="","",Inventory!N123)</f>
        <v>0</v>
      </c>
      <c r="N126" s="533" t="str">
        <f t="shared" si="48"/>
        <v/>
      </c>
      <c r="O126" s="534"/>
      <c r="P126" s="533" t="str">
        <f t="shared" si="49"/>
        <v/>
      </c>
      <c r="Q126" s="534" t="str">
        <f>IF(Inventory!L123="","",Inventory!L123)</f>
        <v/>
      </c>
      <c r="R126" s="535" t="str">
        <f t="shared" si="50"/>
        <v/>
      </c>
      <c r="S126" s="536" t="str">
        <f>IF(Inventory!O123="","",Inventory!O123)</f>
        <v/>
      </c>
      <c r="T126" s="541" t="str">
        <f>IFERROR(IF(C126="","",IF(INDEX(xyWattage_Table,MATCH(M126,'Fixture Identities'!$B$9:$B$997,0),2)="Exit Sign",8760,IF(VLOOKUP(C126,xySpace_Type_Details,8,FALSE)="TRM",INDEX('General Information'!$AF$17:$AG$28,11,MATCH(N126,'General Information'!$AF$16:$AG$16,0)),HLOOKUP(VLOOKUP(C126,xySpace_Type_Details,8,FALSE),'General Information'!$P$15:$AG$28,13,FALSE)))),"")</f>
        <v/>
      </c>
      <c r="U126" s="542" t="str">
        <f>IFERROR(IF(C126="","",IF(INDEX(xyWattage_Table,MATCH(M126,'Fixture Identities'!$B$9:$B$997,0),2)="Exit Sign",1,IF(VLOOKUP(C126,xySpace_Type_Details,8,FALSE)="TRM",INDEX('General Information'!$AF$17:$AG$28,12,MATCH(N126,'General Information'!$AF$16:$AG$16,0)),HLOOKUP(VLOOKUP(C126,xySpace_Type_Details,8,FALSE),'General Information'!$P$15:$AG$28,14,FALSE)))),"")</f>
        <v/>
      </c>
      <c r="V126" s="542" t="str">
        <f>IFERROR(VLOOKUP(INDEX(xySpace_Type_Details,MATCH($C126,'General Information'!$C$40:$C$60,0),12),Lookups!$L$8:$N$12,2,FALSE),"")</f>
        <v/>
      </c>
      <c r="W126" s="542" t="str">
        <f>IFERROR(VLOOKUP(INDEX(xySpace_Type_Details,MATCH($C126,'General Information'!$C$40:$C$60,0),12),Lookups!$L$8:$N$12,3,FALSE),"")</f>
        <v/>
      </c>
      <c r="Y126" s="542" t="str">
        <f>IFERROR(IF(C126="","",IF(INDEX(xyWattage_Table,MATCH(M126,'Fixture Identities'!$B$9:$B$997,0),2)="Exit Sign",0,IF(PRJ_Type="Retrofit",VLOOKUP(I126,xySVG_Factors,2,FALSE),IF(AND(PRJ_Type="New Construction",Inventory!C123="N"),VLOOKUP(VLOOKUP(Building_Type,xyLPD_BuildingArea,5,FALSE),xySVG_Factors_NC,3,FALSE),0)))),"")</f>
        <v/>
      </c>
      <c r="Z126" s="544" t="str">
        <f>IFERROR(IF(C126="","",IF(INDEX(xyWattage_Table,MATCH(M126,'Fixture Identities'!$B$9:$B$997,0),2)="Exit Sign",0,VLOOKUP(S126,xySVG_Factors,2,FALSE))),"")</f>
        <v/>
      </c>
      <c r="AA126" s="545" t="str">
        <f t="shared" si="51"/>
        <v/>
      </c>
      <c r="AB126" s="542" t="str">
        <f t="shared" si="52"/>
        <v/>
      </c>
      <c r="AC126" s="539" t="str">
        <f t="shared" si="53"/>
        <v/>
      </c>
      <c r="AD126" s="546" t="str">
        <f t="shared" si="54"/>
        <v/>
      </c>
      <c r="AE126" s="539" t="str">
        <f t="shared" si="55"/>
        <v/>
      </c>
      <c r="AF126" s="546" t="str">
        <f t="shared" si="56"/>
        <v/>
      </c>
      <c r="AG126" s="539" t="str">
        <f t="shared" si="57"/>
        <v/>
      </c>
      <c r="AH126" s="32">
        <f t="shared" si="38"/>
        <v>0</v>
      </c>
      <c r="AI126" s="32">
        <f t="shared" si="39"/>
        <v>0</v>
      </c>
      <c r="AJ126" s="32">
        <f t="shared" si="40"/>
        <v>0</v>
      </c>
      <c r="AK126" t="str">
        <f t="shared" si="41"/>
        <v/>
      </c>
      <c r="AL126" t="str">
        <f t="shared" si="42"/>
        <v/>
      </c>
      <c r="AM126" t="str">
        <f t="shared" si="43"/>
        <v/>
      </c>
      <c r="AO126" t="str">
        <f>IFERROR(VLOOKUP(M126,'Fixture Identities'!$B$9:$O$1045,14,FALSE),"")</f>
        <v/>
      </c>
      <c r="AP126" t="str">
        <f t="shared" si="37"/>
        <v/>
      </c>
    </row>
    <row r="127" spans="1:42">
      <c r="A127" s="71">
        <f t="shared" si="58"/>
        <v>0</v>
      </c>
      <c r="B127" s="513">
        <f t="shared" si="44"/>
        <v>115</v>
      </c>
      <c r="C127" s="530" t="str">
        <f>IF(Inventory!E124="","",Inventory!E124)</f>
        <v/>
      </c>
      <c r="D127" s="531">
        <f>IF(Inventory!D124="",0,Inventory!D124)</f>
        <v>0</v>
      </c>
      <c r="E127" s="532" t="str">
        <f>IF(Inventory!I124=0,"",Inventory!I124)</f>
        <v/>
      </c>
      <c r="F127" s="533" t="str">
        <f t="shared" si="45"/>
        <v/>
      </c>
      <c r="G127" s="534" t="str">
        <f>IF(Inventory!G124="","",Inventory!G124)</f>
        <v/>
      </c>
      <c r="H127" s="535" t="str">
        <f t="shared" si="46"/>
        <v/>
      </c>
      <c r="I127" s="536" t="str">
        <f>IF(Inventory!J124="","",Inventory!J124)</f>
        <v/>
      </c>
      <c r="J127" s="537" t="str">
        <f>IFERROR(IF(PRJ_Type="New Construction",IF(Inventory!C124="N",INDEX(xyLPD_BuildingArea,MATCH(Building_Type,Lookups!$F$37:$F$75,0),4),INDEX(xyLPD_SpaceBySpace,MATCH(INDEX(xyNCEx,MATCH(I127,yNCExArea,0),2),ySpace_by_Space_Type,0),2)),VLOOKUP(E127,xyWattage_Table,11,FALSE)),"")</f>
        <v/>
      </c>
      <c r="K127" s="538" t="str">
        <f>IFERROR(IF(AND(NC_Type="Building Area Method",Inventory!C124="N"),IF(ISERROR(INDEX('Usage Groups (&gt;120 MWh only)'!$N$8:$N$12,MATCH(C127,'Usage Groups (&gt;120 MWh only)'!$B$8:$B$12,0),1))=TRUE,SqFt/COUNTIFS(Inventory!$C$10:$C$1009,"N",$Q$13:$Q$1012,"&gt;=0"),INDEX('Usage Groups (&gt;120 MWh only)'!$N$8:$N$12,MATCH(C127,'Usage Groups (&gt;120 MWh only)'!$B$8:$B$12,0),1)/COUNTIF($C$13:$C$1012,C127)),IF(AND(NC_Type="Building Area Method",Inventory!C124="Y"),INDEX(xyNCEx,MATCH(I127,yNCExArea,0),3)/COUNTIF($I$13:$I$1012,I127),VLOOKUP(J127,xyWattage_Table,10,FALSE))),"")</f>
        <v/>
      </c>
      <c r="L127" s="539" t="str">
        <f t="shared" si="47"/>
        <v/>
      </c>
      <c r="M127" s="540">
        <f>IF(Inventory!N124="","",Inventory!N124)</f>
        <v>0</v>
      </c>
      <c r="N127" s="533" t="str">
        <f t="shared" si="48"/>
        <v/>
      </c>
      <c r="O127" s="534"/>
      <c r="P127" s="533" t="str">
        <f t="shared" si="49"/>
        <v/>
      </c>
      <c r="Q127" s="534" t="str">
        <f>IF(Inventory!L124="","",Inventory!L124)</f>
        <v/>
      </c>
      <c r="R127" s="535" t="str">
        <f t="shared" si="50"/>
        <v/>
      </c>
      <c r="S127" s="536" t="str">
        <f>IF(Inventory!O124="","",Inventory!O124)</f>
        <v/>
      </c>
      <c r="T127" s="541" t="str">
        <f>IFERROR(IF(C127="","",IF(INDEX(xyWattage_Table,MATCH(M127,'Fixture Identities'!$B$9:$B$997,0),2)="Exit Sign",8760,IF(VLOOKUP(C127,xySpace_Type_Details,8,FALSE)="TRM",INDEX('General Information'!$AF$17:$AG$28,11,MATCH(N127,'General Information'!$AF$16:$AG$16,0)),HLOOKUP(VLOOKUP(C127,xySpace_Type_Details,8,FALSE),'General Information'!$P$15:$AG$28,13,FALSE)))),"")</f>
        <v/>
      </c>
      <c r="U127" s="542" t="str">
        <f>IFERROR(IF(C127="","",IF(INDEX(xyWattage_Table,MATCH(M127,'Fixture Identities'!$B$9:$B$997,0),2)="Exit Sign",1,IF(VLOOKUP(C127,xySpace_Type_Details,8,FALSE)="TRM",INDEX('General Information'!$AF$17:$AG$28,12,MATCH(N127,'General Information'!$AF$16:$AG$16,0)),HLOOKUP(VLOOKUP(C127,xySpace_Type_Details,8,FALSE),'General Information'!$P$15:$AG$28,14,FALSE)))),"")</f>
        <v/>
      </c>
      <c r="V127" s="542" t="str">
        <f>IFERROR(VLOOKUP(INDEX(xySpace_Type_Details,MATCH($C127,'General Information'!$C$40:$C$60,0),12),Lookups!$L$8:$N$12,2,FALSE),"")</f>
        <v/>
      </c>
      <c r="W127" s="542" t="str">
        <f>IFERROR(VLOOKUP(INDEX(xySpace_Type_Details,MATCH($C127,'General Information'!$C$40:$C$60,0),12),Lookups!$L$8:$N$12,3,FALSE),"")</f>
        <v/>
      </c>
      <c r="Y127" s="542" t="str">
        <f>IFERROR(IF(C127="","",IF(INDEX(xyWattage_Table,MATCH(M127,'Fixture Identities'!$B$9:$B$997,0),2)="Exit Sign",0,IF(PRJ_Type="Retrofit",VLOOKUP(I127,xySVG_Factors,2,FALSE),IF(AND(PRJ_Type="New Construction",Inventory!C124="N"),VLOOKUP(VLOOKUP(Building_Type,xyLPD_BuildingArea,5,FALSE),xySVG_Factors_NC,3,FALSE),0)))),"")</f>
        <v/>
      </c>
      <c r="Z127" s="544" t="str">
        <f>IFERROR(IF(C127="","",IF(INDEX(xyWattage_Table,MATCH(M127,'Fixture Identities'!$B$9:$B$997,0),2)="Exit Sign",0,VLOOKUP(S127,xySVG_Factors,2,FALSE))),"")</f>
        <v/>
      </c>
      <c r="AA127" s="545" t="str">
        <f t="shared" si="51"/>
        <v/>
      </c>
      <c r="AB127" s="542" t="str">
        <f t="shared" si="52"/>
        <v/>
      </c>
      <c r="AC127" s="539" t="str">
        <f t="shared" si="53"/>
        <v/>
      </c>
      <c r="AD127" s="546" t="str">
        <f t="shared" si="54"/>
        <v/>
      </c>
      <c r="AE127" s="539" t="str">
        <f t="shared" si="55"/>
        <v/>
      </c>
      <c r="AF127" s="546" t="str">
        <f t="shared" si="56"/>
        <v/>
      </c>
      <c r="AG127" s="539" t="str">
        <f t="shared" si="57"/>
        <v/>
      </c>
      <c r="AH127" s="32">
        <f t="shared" si="38"/>
        <v>0</v>
      </c>
      <c r="AI127" s="32">
        <f t="shared" si="39"/>
        <v>0</v>
      </c>
      <c r="AJ127" s="32">
        <f t="shared" si="40"/>
        <v>0</v>
      </c>
      <c r="AK127" t="str">
        <f t="shared" si="41"/>
        <v/>
      </c>
      <c r="AL127" t="str">
        <f t="shared" si="42"/>
        <v/>
      </c>
      <c r="AM127" t="str">
        <f t="shared" si="43"/>
        <v/>
      </c>
      <c r="AO127" t="str">
        <f>IFERROR(VLOOKUP(M127,'Fixture Identities'!$B$9:$O$1045,14,FALSE),"")</f>
        <v/>
      </c>
      <c r="AP127" t="str">
        <f t="shared" si="37"/>
        <v/>
      </c>
    </row>
    <row r="128" spans="1:42">
      <c r="A128" s="71">
        <f t="shared" si="58"/>
        <v>0</v>
      </c>
      <c r="B128" s="513">
        <f t="shared" si="44"/>
        <v>116</v>
      </c>
      <c r="C128" s="530" t="str">
        <f>IF(Inventory!E125="","",Inventory!E125)</f>
        <v/>
      </c>
      <c r="D128" s="531">
        <f>IF(Inventory!D125="",0,Inventory!D125)</f>
        <v>0</v>
      </c>
      <c r="E128" s="532" t="str">
        <f>IF(Inventory!I125=0,"",Inventory!I125)</f>
        <v/>
      </c>
      <c r="F128" s="533" t="str">
        <f t="shared" si="45"/>
        <v/>
      </c>
      <c r="G128" s="534" t="str">
        <f>IF(Inventory!G125="","",Inventory!G125)</f>
        <v/>
      </c>
      <c r="H128" s="535" t="str">
        <f t="shared" si="46"/>
        <v/>
      </c>
      <c r="I128" s="536" t="str">
        <f>IF(Inventory!J125="","",Inventory!J125)</f>
        <v/>
      </c>
      <c r="J128" s="537" t="str">
        <f>IFERROR(IF(PRJ_Type="New Construction",IF(Inventory!C125="N",INDEX(xyLPD_BuildingArea,MATCH(Building_Type,Lookups!$F$37:$F$75,0),4),INDEX(xyLPD_SpaceBySpace,MATCH(INDEX(xyNCEx,MATCH(I128,yNCExArea,0),2),ySpace_by_Space_Type,0),2)),VLOOKUP(E128,xyWattage_Table,11,FALSE)),"")</f>
        <v/>
      </c>
      <c r="K128" s="538" t="str">
        <f>IFERROR(IF(AND(NC_Type="Building Area Method",Inventory!C125="N"),IF(ISERROR(INDEX('Usage Groups (&gt;120 MWh only)'!$N$8:$N$12,MATCH(C128,'Usage Groups (&gt;120 MWh only)'!$B$8:$B$12,0),1))=TRUE,SqFt/COUNTIFS(Inventory!$C$10:$C$1009,"N",$Q$13:$Q$1012,"&gt;=0"),INDEX('Usage Groups (&gt;120 MWh only)'!$N$8:$N$12,MATCH(C128,'Usage Groups (&gt;120 MWh only)'!$B$8:$B$12,0),1)/COUNTIF($C$13:$C$1012,C128)),IF(AND(NC_Type="Building Area Method",Inventory!C125="Y"),INDEX(xyNCEx,MATCH(I128,yNCExArea,0),3)/COUNTIF($I$13:$I$1012,I128),VLOOKUP(J128,xyWattage_Table,10,FALSE))),"")</f>
        <v/>
      </c>
      <c r="L128" s="539" t="str">
        <f t="shared" si="47"/>
        <v/>
      </c>
      <c r="M128" s="540">
        <f>IF(Inventory!N125="","",Inventory!N125)</f>
        <v>0</v>
      </c>
      <c r="N128" s="533" t="str">
        <f t="shared" si="48"/>
        <v/>
      </c>
      <c r="O128" s="534"/>
      <c r="P128" s="533" t="str">
        <f t="shared" si="49"/>
        <v/>
      </c>
      <c r="Q128" s="534" t="str">
        <f>IF(Inventory!L125="","",Inventory!L125)</f>
        <v/>
      </c>
      <c r="R128" s="535" t="str">
        <f t="shared" si="50"/>
        <v/>
      </c>
      <c r="S128" s="536" t="str">
        <f>IF(Inventory!O125="","",Inventory!O125)</f>
        <v/>
      </c>
      <c r="T128" s="541" t="str">
        <f>IFERROR(IF(C128="","",IF(INDEX(xyWattage_Table,MATCH(M128,'Fixture Identities'!$B$9:$B$997,0),2)="Exit Sign",8760,IF(VLOOKUP(C128,xySpace_Type_Details,8,FALSE)="TRM",INDEX('General Information'!$AF$17:$AG$28,11,MATCH(N128,'General Information'!$AF$16:$AG$16,0)),HLOOKUP(VLOOKUP(C128,xySpace_Type_Details,8,FALSE),'General Information'!$P$15:$AG$28,13,FALSE)))),"")</f>
        <v/>
      </c>
      <c r="U128" s="542" t="str">
        <f>IFERROR(IF(C128="","",IF(INDEX(xyWattage_Table,MATCH(M128,'Fixture Identities'!$B$9:$B$997,0),2)="Exit Sign",1,IF(VLOOKUP(C128,xySpace_Type_Details,8,FALSE)="TRM",INDEX('General Information'!$AF$17:$AG$28,12,MATCH(N128,'General Information'!$AF$16:$AG$16,0)),HLOOKUP(VLOOKUP(C128,xySpace_Type_Details,8,FALSE),'General Information'!$P$15:$AG$28,14,FALSE)))),"")</f>
        <v/>
      </c>
      <c r="V128" s="542" t="str">
        <f>IFERROR(VLOOKUP(INDEX(xySpace_Type_Details,MATCH($C128,'General Information'!$C$40:$C$60,0),12),Lookups!$L$8:$N$12,2,FALSE),"")</f>
        <v/>
      </c>
      <c r="W128" s="542" t="str">
        <f>IFERROR(VLOOKUP(INDEX(xySpace_Type_Details,MATCH($C128,'General Information'!$C$40:$C$60,0),12),Lookups!$L$8:$N$12,3,FALSE),"")</f>
        <v/>
      </c>
      <c r="Y128" s="542" t="str">
        <f>IFERROR(IF(C128="","",IF(INDEX(xyWattage_Table,MATCH(M128,'Fixture Identities'!$B$9:$B$997,0),2)="Exit Sign",0,IF(PRJ_Type="Retrofit",VLOOKUP(I128,xySVG_Factors,2,FALSE),IF(AND(PRJ_Type="New Construction",Inventory!C125="N"),VLOOKUP(VLOOKUP(Building_Type,xyLPD_BuildingArea,5,FALSE),xySVG_Factors_NC,3,FALSE),0)))),"")</f>
        <v/>
      </c>
      <c r="Z128" s="544" t="str">
        <f>IFERROR(IF(C128="","",IF(INDEX(xyWattage_Table,MATCH(M128,'Fixture Identities'!$B$9:$B$997,0),2)="Exit Sign",0,VLOOKUP(S128,xySVG_Factors,2,FALSE))),"")</f>
        <v/>
      </c>
      <c r="AA128" s="545" t="str">
        <f t="shared" si="51"/>
        <v/>
      </c>
      <c r="AB128" s="542" t="str">
        <f t="shared" si="52"/>
        <v/>
      </c>
      <c r="AC128" s="539" t="str">
        <f t="shared" si="53"/>
        <v/>
      </c>
      <c r="AD128" s="546" t="str">
        <f t="shared" si="54"/>
        <v/>
      </c>
      <c r="AE128" s="539" t="str">
        <f t="shared" si="55"/>
        <v/>
      </c>
      <c r="AF128" s="546" t="str">
        <f t="shared" si="56"/>
        <v/>
      </c>
      <c r="AG128" s="539" t="str">
        <f t="shared" si="57"/>
        <v/>
      </c>
      <c r="AH128" s="32">
        <f t="shared" si="38"/>
        <v>0</v>
      </c>
      <c r="AI128" s="32">
        <f t="shared" si="39"/>
        <v>0</v>
      </c>
      <c r="AJ128" s="32">
        <f t="shared" si="40"/>
        <v>0</v>
      </c>
      <c r="AK128" t="str">
        <f t="shared" si="41"/>
        <v/>
      </c>
      <c r="AL128" t="str">
        <f t="shared" si="42"/>
        <v/>
      </c>
      <c r="AM128" t="str">
        <f t="shared" si="43"/>
        <v/>
      </c>
      <c r="AO128" t="str">
        <f>IFERROR(VLOOKUP(M128,'Fixture Identities'!$B$9:$O$1045,14,FALSE),"")</f>
        <v/>
      </c>
      <c r="AP128" t="str">
        <f t="shared" si="37"/>
        <v/>
      </c>
    </row>
    <row r="129" spans="1:42">
      <c r="A129" s="71">
        <f t="shared" si="58"/>
        <v>0</v>
      </c>
      <c r="B129" s="513">
        <f t="shared" si="44"/>
        <v>117</v>
      </c>
      <c r="C129" s="530" t="str">
        <f>IF(Inventory!E126="","",Inventory!E126)</f>
        <v/>
      </c>
      <c r="D129" s="531">
        <f>IF(Inventory!D126="",0,Inventory!D126)</f>
        <v>0</v>
      </c>
      <c r="E129" s="532" t="str">
        <f>IF(Inventory!I126=0,"",Inventory!I126)</f>
        <v/>
      </c>
      <c r="F129" s="533" t="str">
        <f t="shared" si="45"/>
        <v/>
      </c>
      <c r="G129" s="534" t="str">
        <f>IF(Inventory!G126="","",Inventory!G126)</f>
        <v/>
      </c>
      <c r="H129" s="535" t="str">
        <f t="shared" si="46"/>
        <v/>
      </c>
      <c r="I129" s="536" t="str">
        <f>IF(Inventory!J126="","",Inventory!J126)</f>
        <v/>
      </c>
      <c r="J129" s="537" t="str">
        <f>IFERROR(IF(PRJ_Type="New Construction",IF(Inventory!C126="N",INDEX(xyLPD_BuildingArea,MATCH(Building_Type,Lookups!$F$37:$F$75,0),4),INDEX(xyLPD_SpaceBySpace,MATCH(INDEX(xyNCEx,MATCH(I129,yNCExArea,0),2),ySpace_by_Space_Type,0),2)),VLOOKUP(E129,xyWattage_Table,11,FALSE)),"")</f>
        <v/>
      </c>
      <c r="K129" s="538" t="str">
        <f>IFERROR(IF(AND(NC_Type="Building Area Method",Inventory!C126="N"),IF(ISERROR(INDEX('Usage Groups (&gt;120 MWh only)'!$N$8:$N$12,MATCH(C129,'Usage Groups (&gt;120 MWh only)'!$B$8:$B$12,0),1))=TRUE,SqFt/COUNTIFS(Inventory!$C$10:$C$1009,"N",$Q$13:$Q$1012,"&gt;=0"),INDEX('Usage Groups (&gt;120 MWh only)'!$N$8:$N$12,MATCH(C129,'Usage Groups (&gt;120 MWh only)'!$B$8:$B$12,0),1)/COUNTIF($C$13:$C$1012,C129)),IF(AND(NC_Type="Building Area Method",Inventory!C126="Y"),INDEX(xyNCEx,MATCH(I129,yNCExArea,0),3)/COUNTIF($I$13:$I$1012,I129),VLOOKUP(J129,xyWattage_Table,10,FALSE))),"")</f>
        <v/>
      </c>
      <c r="L129" s="539" t="str">
        <f t="shared" si="47"/>
        <v/>
      </c>
      <c r="M129" s="540">
        <f>IF(Inventory!N126="","",Inventory!N126)</f>
        <v>0</v>
      </c>
      <c r="N129" s="533" t="str">
        <f t="shared" si="48"/>
        <v/>
      </c>
      <c r="O129" s="534"/>
      <c r="P129" s="533" t="str">
        <f t="shared" si="49"/>
        <v/>
      </c>
      <c r="Q129" s="534" t="str">
        <f>IF(Inventory!L126="","",Inventory!L126)</f>
        <v/>
      </c>
      <c r="R129" s="535" t="str">
        <f t="shared" si="50"/>
        <v/>
      </c>
      <c r="S129" s="536" t="str">
        <f>IF(Inventory!O126="","",Inventory!O126)</f>
        <v/>
      </c>
      <c r="T129" s="541" t="str">
        <f>IFERROR(IF(C129="","",IF(INDEX(xyWattage_Table,MATCH(M129,'Fixture Identities'!$B$9:$B$997,0),2)="Exit Sign",8760,IF(VLOOKUP(C129,xySpace_Type_Details,8,FALSE)="TRM",INDEX('General Information'!$AF$17:$AG$28,11,MATCH(N129,'General Information'!$AF$16:$AG$16,0)),HLOOKUP(VLOOKUP(C129,xySpace_Type_Details,8,FALSE),'General Information'!$P$15:$AG$28,13,FALSE)))),"")</f>
        <v/>
      </c>
      <c r="U129" s="542" t="str">
        <f>IFERROR(IF(C129="","",IF(INDEX(xyWattage_Table,MATCH(M129,'Fixture Identities'!$B$9:$B$997,0),2)="Exit Sign",1,IF(VLOOKUP(C129,xySpace_Type_Details,8,FALSE)="TRM",INDEX('General Information'!$AF$17:$AG$28,12,MATCH(N129,'General Information'!$AF$16:$AG$16,0)),HLOOKUP(VLOOKUP(C129,xySpace_Type_Details,8,FALSE),'General Information'!$P$15:$AG$28,14,FALSE)))),"")</f>
        <v/>
      </c>
      <c r="V129" s="542" t="str">
        <f>IFERROR(VLOOKUP(INDEX(xySpace_Type_Details,MATCH($C129,'General Information'!$C$40:$C$60,0),12),Lookups!$L$8:$N$12,2,FALSE),"")</f>
        <v/>
      </c>
      <c r="W129" s="542" t="str">
        <f>IFERROR(VLOOKUP(INDEX(xySpace_Type_Details,MATCH($C129,'General Information'!$C$40:$C$60,0),12),Lookups!$L$8:$N$12,3,FALSE),"")</f>
        <v/>
      </c>
      <c r="Y129" s="542" t="str">
        <f>IFERROR(IF(C129="","",IF(INDEX(xyWattage_Table,MATCH(M129,'Fixture Identities'!$B$9:$B$997,0),2)="Exit Sign",0,IF(PRJ_Type="Retrofit",VLOOKUP(I129,xySVG_Factors,2,FALSE),IF(AND(PRJ_Type="New Construction",Inventory!C126="N"),VLOOKUP(VLOOKUP(Building_Type,xyLPD_BuildingArea,5,FALSE),xySVG_Factors_NC,3,FALSE),0)))),"")</f>
        <v/>
      </c>
      <c r="Z129" s="544" t="str">
        <f>IFERROR(IF(C129="","",IF(INDEX(xyWattage_Table,MATCH(M129,'Fixture Identities'!$B$9:$B$997,0),2)="Exit Sign",0,VLOOKUP(S129,xySVG_Factors,2,FALSE))),"")</f>
        <v/>
      </c>
      <c r="AA129" s="545" t="str">
        <f t="shared" si="51"/>
        <v/>
      </c>
      <c r="AB129" s="542" t="str">
        <f t="shared" si="52"/>
        <v/>
      </c>
      <c r="AC129" s="539" t="str">
        <f t="shared" si="53"/>
        <v/>
      </c>
      <c r="AD129" s="546" t="str">
        <f t="shared" si="54"/>
        <v/>
      </c>
      <c r="AE129" s="539" t="str">
        <f t="shared" si="55"/>
        <v/>
      </c>
      <c r="AF129" s="546" t="str">
        <f t="shared" si="56"/>
        <v/>
      </c>
      <c r="AG129" s="539" t="str">
        <f t="shared" si="57"/>
        <v/>
      </c>
      <c r="AH129" s="32">
        <f t="shared" si="38"/>
        <v>0</v>
      </c>
      <c r="AI129" s="32">
        <f t="shared" si="39"/>
        <v>0</v>
      </c>
      <c r="AJ129" s="32">
        <f t="shared" si="40"/>
        <v>0</v>
      </c>
      <c r="AK129" t="str">
        <f t="shared" si="41"/>
        <v/>
      </c>
      <c r="AL129" t="str">
        <f t="shared" si="42"/>
        <v/>
      </c>
      <c r="AM129" t="str">
        <f t="shared" si="43"/>
        <v/>
      </c>
      <c r="AO129" t="str">
        <f>IFERROR(VLOOKUP(M129,'Fixture Identities'!$B$9:$O$1045,14,FALSE),"")</f>
        <v/>
      </c>
      <c r="AP129" t="str">
        <f t="shared" si="37"/>
        <v/>
      </c>
    </row>
    <row r="130" spans="1:42">
      <c r="A130" s="71">
        <f t="shared" si="58"/>
        <v>0</v>
      </c>
      <c r="B130" s="513">
        <f t="shared" si="44"/>
        <v>118</v>
      </c>
      <c r="C130" s="530" t="str">
        <f>IF(Inventory!E127="","",Inventory!E127)</f>
        <v/>
      </c>
      <c r="D130" s="531">
        <f>IF(Inventory!D127="",0,Inventory!D127)</f>
        <v>0</v>
      </c>
      <c r="E130" s="532" t="str">
        <f>IF(Inventory!I127=0,"",Inventory!I127)</f>
        <v/>
      </c>
      <c r="F130" s="533" t="str">
        <f t="shared" si="45"/>
        <v/>
      </c>
      <c r="G130" s="534" t="str">
        <f>IF(Inventory!G127="","",Inventory!G127)</f>
        <v/>
      </c>
      <c r="H130" s="535" t="str">
        <f t="shared" si="46"/>
        <v/>
      </c>
      <c r="I130" s="536" t="str">
        <f>IF(Inventory!J127="","",Inventory!J127)</f>
        <v/>
      </c>
      <c r="J130" s="537" t="str">
        <f>IFERROR(IF(PRJ_Type="New Construction",IF(Inventory!C127="N",INDEX(xyLPD_BuildingArea,MATCH(Building_Type,Lookups!$F$37:$F$75,0),4),INDEX(xyLPD_SpaceBySpace,MATCH(INDEX(xyNCEx,MATCH(I130,yNCExArea,0),2),ySpace_by_Space_Type,0),2)),VLOOKUP(E130,xyWattage_Table,11,FALSE)),"")</f>
        <v/>
      </c>
      <c r="K130" s="538" t="str">
        <f>IFERROR(IF(AND(NC_Type="Building Area Method",Inventory!C127="N"),IF(ISERROR(INDEX('Usage Groups (&gt;120 MWh only)'!$N$8:$N$12,MATCH(C130,'Usage Groups (&gt;120 MWh only)'!$B$8:$B$12,0),1))=TRUE,SqFt/COUNTIFS(Inventory!$C$10:$C$1009,"N",$Q$13:$Q$1012,"&gt;=0"),INDEX('Usage Groups (&gt;120 MWh only)'!$N$8:$N$12,MATCH(C130,'Usage Groups (&gt;120 MWh only)'!$B$8:$B$12,0),1)/COUNTIF($C$13:$C$1012,C130)),IF(AND(NC_Type="Building Area Method",Inventory!C127="Y"),INDEX(xyNCEx,MATCH(I130,yNCExArea,0),3)/COUNTIF($I$13:$I$1012,I130),VLOOKUP(J130,xyWattage_Table,10,FALSE))),"")</f>
        <v/>
      </c>
      <c r="L130" s="539" t="str">
        <f t="shared" si="47"/>
        <v/>
      </c>
      <c r="M130" s="540">
        <f>IF(Inventory!N127="","",Inventory!N127)</f>
        <v>0</v>
      </c>
      <c r="N130" s="533" t="str">
        <f t="shared" si="48"/>
        <v/>
      </c>
      <c r="O130" s="534"/>
      <c r="P130" s="533" t="str">
        <f t="shared" si="49"/>
        <v/>
      </c>
      <c r="Q130" s="534" t="str">
        <f>IF(Inventory!L127="","",Inventory!L127)</f>
        <v/>
      </c>
      <c r="R130" s="535" t="str">
        <f t="shared" si="50"/>
        <v/>
      </c>
      <c r="S130" s="536" t="str">
        <f>IF(Inventory!O127="","",Inventory!O127)</f>
        <v/>
      </c>
      <c r="T130" s="541" t="str">
        <f>IFERROR(IF(C130="","",IF(INDEX(xyWattage_Table,MATCH(M130,'Fixture Identities'!$B$9:$B$997,0),2)="Exit Sign",8760,IF(VLOOKUP(C130,xySpace_Type_Details,8,FALSE)="TRM",INDEX('General Information'!$AF$17:$AG$28,11,MATCH(N130,'General Information'!$AF$16:$AG$16,0)),HLOOKUP(VLOOKUP(C130,xySpace_Type_Details,8,FALSE),'General Information'!$P$15:$AG$28,13,FALSE)))),"")</f>
        <v/>
      </c>
      <c r="U130" s="542" t="str">
        <f>IFERROR(IF(C130="","",IF(INDEX(xyWattage_Table,MATCH(M130,'Fixture Identities'!$B$9:$B$997,0),2)="Exit Sign",1,IF(VLOOKUP(C130,xySpace_Type_Details,8,FALSE)="TRM",INDEX('General Information'!$AF$17:$AG$28,12,MATCH(N130,'General Information'!$AF$16:$AG$16,0)),HLOOKUP(VLOOKUP(C130,xySpace_Type_Details,8,FALSE),'General Information'!$P$15:$AG$28,14,FALSE)))),"")</f>
        <v/>
      </c>
      <c r="V130" s="542" t="str">
        <f>IFERROR(VLOOKUP(INDEX(xySpace_Type_Details,MATCH($C130,'General Information'!$C$40:$C$60,0),12),Lookups!$L$8:$N$12,2,FALSE),"")</f>
        <v/>
      </c>
      <c r="W130" s="542" t="str">
        <f>IFERROR(VLOOKUP(INDEX(xySpace_Type_Details,MATCH($C130,'General Information'!$C$40:$C$60,0),12),Lookups!$L$8:$N$12,3,FALSE),"")</f>
        <v/>
      </c>
      <c r="Y130" s="542" t="str">
        <f>IFERROR(IF(C130="","",IF(INDEX(xyWattage_Table,MATCH(M130,'Fixture Identities'!$B$9:$B$997,0),2)="Exit Sign",0,IF(PRJ_Type="Retrofit",VLOOKUP(I130,xySVG_Factors,2,FALSE),IF(AND(PRJ_Type="New Construction",Inventory!C127="N"),VLOOKUP(VLOOKUP(Building_Type,xyLPD_BuildingArea,5,FALSE),xySVG_Factors_NC,3,FALSE),0)))),"")</f>
        <v/>
      </c>
      <c r="Z130" s="544" t="str">
        <f>IFERROR(IF(C130="","",IF(INDEX(xyWattage_Table,MATCH(M130,'Fixture Identities'!$B$9:$B$997,0),2)="Exit Sign",0,VLOOKUP(S130,xySVG_Factors,2,FALSE))),"")</f>
        <v/>
      </c>
      <c r="AA130" s="545" t="str">
        <f t="shared" si="51"/>
        <v/>
      </c>
      <c r="AB130" s="542" t="str">
        <f t="shared" si="52"/>
        <v/>
      </c>
      <c r="AC130" s="539" t="str">
        <f t="shared" si="53"/>
        <v/>
      </c>
      <c r="AD130" s="546" t="str">
        <f t="shared" si="54"/>
        <v/>
      </c>
      <c r="AE130" s="539" t="str">
        <f t="shared" si="55"/>
        <v/>
      </c>
      <c r="AF130" s="546" t="str">
        <f t="shared" si="56"/>
        <v/>
      </c>
      <c r="AG130" s="539" t="str">
        <f t="shared" si="57"/>
        <v/>
      </c>
      <c r="AH130" s="32">
        <f t="shared" si="38"/>
        <v>0</v>
      </c>
      <c r="AI130" s="32">
        <f t="shared" si="39"/>
        <v>0</v>
      </c>
      <c r="AJ130" s="32">
        <f t="shared" si="40"/>
        <v>0</v>
      </c>
      <c r="AK130" t="str">
        <f t="shared" si="41"/>
        <v/>
      </c>
      <c r="AL130" t="str">
        <f t="shared" si="42"/>
        <v/>
      </c>
      <c r="AM130" t="str">
        <f t="shared" si="43"/>
        <v/>
      </c>
      <c r="AO130" t="str">
        <f>IFERROR(VLOOKUP(M130,'Fixture Identities'!$B$9:$O$1045,14,FALSE),"")</f>
        <v/>
      </c>
      <c r="AP130" t="str">
        <f t="shared" si="37"/>
        <v/>
      </c>
    </row>
    <row r="131" spans="1:42">
      <c r="A131" s="71">
        <f t="shared" si="58"/>
        <v>0</v>
      </c>
      <c r="B131" s="513">
        <f t="shared" si="44"/>
        <v>119</v>
      </c>
      <c r="C131" s="530" t="str">
        <f>IF(Inventory!E128="","",Inventory!E128)</f>
        <v/>
      </c>
      <c r="D131" s="531">
        <f>IF(Inventory!D128="",0,Inventory!D128)</f>
        <v>0</v>
      </c>
      <c r="E131" s="532" t="str">
        <f>IF(Inventory!I128=0,"",Inventory!I128)</f>
        <v/>
      </c>
      <c r="F131" s="533" t="str">
        <f t="shared" si="45"/>
        <v/>
      </c>
      <c r="G131" s="534" t="str">
        <f>IF(Inventory!G128="","",Inventory!G128)</f>
        <v/>
      </c>
      <c r="H131" s="535" t="str">
        <f t="shared" si="46"/>
        <v/>
      </c>
      <c r="I131" s="536" t="str">
        <f>IF(Inventory!J128="","",Inventory!J128)</f>
        <v/>
      </c>
      <c r="J131" s="537" t="str">
        <f>IFERROR(IF(PRJ_Type="New Construction",IF(Inventory!C128="N",INDEX(xyLPD_BuildingArea,MATCH(Building_Type,Lookups!$F$37:$F$75,0),4),INDEX(xyLPD_SpaceBySpace,MATCH(INDEX(xyNCEx,MATCH(I131,yNCExArea,0),2),ySpace_by_Space_Type,0),2)),VLOOKUP(E131,xyWattage_Table,11,FALSE)),"")</f>
        <v/>
      </c>
      <c r="K131" s="538" t="str">
        <f>IFERROR(IF(AND(NC_Type="Building Area Method",Inventory!C128="N"),IF(ISERROR(INDEX('Usage Groups (&gt;120 MWh only)'!$N$8:$N$12,MATCH(C131,'Usage Groups (&gt;120 MWh only)'!$B$8:$B$12,0),1))=TRUE,SqFt/COUNTIFS(Inventory!$C$10:$C$1009,"N",$Q$13:$Q$1012,"&gt;=0"),INDEX('Usage Groups (&gt;120 MWh only)'!$N$8:$N$12,MATCH(C131,'Usage Groups (&gt;120 MWh only)'!$B$8:$B$12,0),1)/COUNTIF($C$13:$C$1012,C131)),IF(AND(NC_Type="Building Area Method",Inventory!C128="Y"),INDEX(xyNCEx,MATCH(I131,yNCExArea,0),3)/COUNTIF($I$13:$I$1012,I131),VLOOKUP(J131,xyWattage_Table,10,FALSE))),"")</f>
        <v/>
      </c>
      <c r="L131" s="539" t="str">
        <f t="shared" si="47"/>
        <v/>
      </c>
      <c r="M131" s="540">
        <f>IF(Inventory!N128="","",Inventory!N128)</f>
        <v>0</v>
      </c>
      <c r="N131" s="533" t="str">
        <f t="shared" si="48"/>
        <v/>
      </c>
      <c r="O131" s="534"/>
      <c r="P131" s="533" t="str">
        <f t="shared" si="49"/>
        <v/>
      </c>
      <c r="Q131" s="534" t="str">
        <f>IF(Inventory!L128="","",Inventory!L128)</f>
        <v/>
      </c>
      <c r="R131" s="535" t="str">
        <f t="shared" si="50"/>
        <v/>
      </c>
      <c r="S131" s="536" t="str">
        <f>IF(Inventory!O128="","",Inventory!O128)</f>
        <v/>
      </c>
      <c r="T131" s="541" t="str">
        <f>IFERROR(IF(C131="","",IF(INDEX(xyWattage_Table,MATCH(M131,'Fixture Identities'!$B$9:$B$997,0),2)="Exit Sign",8760,IF(VLOOKUP(C131,xySpace_Type_Details,8,FALSE)="TRM",INDEX('General Information'!$AF$17:$AG$28,11,MATCH(N131,'General Information'!$AF$16:$AG$16,0)),HLOOKUP(VLOOKUP(C131,xySpace_Type_Details,8,FALSE),'General Information'!$P$15:$AG$28,13,FALSE)))),"")</f>
        <v/>
      </c>
      <c r="U131" s="542" t="str">
        <f>IFERROR(IF(C131="","",IF(INDEX(xyWattage_Table,MATCH(M131,'Fixture Identities'!$B$9:$B$997,0),2)="Exit Sign",1,IF(VLOOKUP(C131,xySpace_Type_Details,8,FALSE)="TRM",INDEX('General Information'!$AF$17:$AG$28,12,MATCH(N131,'General Information'!$AF$16:$AG$16,0)),HLOOKUP(VLOOKUP(C131,xySpace_Type_Details,8,FALSE),'General Information'!$P$15:$AG$28,14,FALSE)))),"")</f>
        <v/>
      </c>
      <c r="V131" s="542" t="str">
        <f>IFERROR(VLOOKUP(INDEX(xySpace_Type_Details,MATCH($C131,'General Information'!$C$40:$C$60,0),12),Lookups!$L$8:$N$12,2,FALSE),"")</f>
        <v/>
      </c>
      <c r="W131" s="542" t="str">
        <f>IFERROR(VLOOKUP(INDEX(xySpace_Type_Details,MATCH($C131,'General Information'!$C$40:$C$60,0),12),Lookups!$L$8:$N$12,3,FALSE),"")</f>
        <v/>
      </c>
      <c r="Y131" s="542" t="str">
        <f>IFERROR(IF(C131="","",IF(INDEX(xyWattage_Table,MATCH(M131,'Fixture Identities'!$B$9:$B$997,0),2)="Exit Sign",0,IF(PRJ_Type="Retrofit",VLOOKUP(I131,xySVG_Factors,2,FALSE),IF(AND(PRJ_Type="New Construction",Inventory!C128="N"),VLOOKUP(VLOOKUP(Building_Type,xyLPD_BuildingArea,5,FALSE),xySVG_Factors_NC,3,FALSE),0)))),"")</f>
        <v/>
      </c>
      <c r="Z131" s="544" t="str">
        <f>IFERROR(IF(C131="","",IF(INDEX(xyWattage_Table,MATCH(M131,'Fixture Identities'!$B$9:$B$997,0),2)="Exit Sign",0,VLOOKUP(S131,xySVG_Factors,2,FALSE))),"")</f>
        <v/>
      </c>
      <c r="AA131" s="545" t="str">
        <f t="shared" si="51"/>
        <v/>
      </c>
      <c r="AB131" s="542" t="str">
        <f t="shared" si="52"/>
        <v/>
      </c>
      <c r="AC131" s="539" t="str">
        <f t="shared" si="53"/>
        <v/>
      </c>
      <c r="AD131" s="546" t="str">
        <f t="shared" si="54"/>
        <v/>
      </c>
      <c r="AE131" s="539" t="str">
        <f t="shared" si="55"/>
        <v/>
      </c>
      <c r="AF131" s="546" t="str">
        <f t="shared" si="56"/>
        <v/>
      </c>
      <c r="AG131" s="539" t="str">
        <f t="shared" si="57"/>
        <v/>
      </c>
      <c r="AH131" s="32">
        <f t="shared" si="38"/>
        <v>0</v>
      </c>
      <c r="AI131" s="32">
        <f t="shared" si="39"/>
        <v>0</v>
      </c>
      <c r="AJ131" s="32">
        <f t="shared" si="40"/>
        <v>0</v>
      </c>
      <c r="AK131" t="str">
        <f t="shared" si="41"/>
        <v/>
      </c>
      <c r="AL131" t="str">
        <f t="shared" si="42"/>
        <v/>
      </c>
      <c r="AM131" t="str">
        <f t="shared" si="43"/>
        <v/>
      </c>
      <c r="AO131" t="str">
        <f>IFERROR(VLOOKUP(M131,'Fixture Identities'!$B$9:$O$1045,14,FALSE),"")</f>
        <v/>
      </c>
      <c r="AP131" t="str">
        <f t="shared" si="37"/>
        <v/>
      </c>
    </row>
    <row r="132" spans="1:42">
      <c r="A132" s="71">
        <f t="shared" si="58"/>
        <v>0</v>
      </c>
      <c r="B132" s="513">
        <f t="shared" si="44"/>
        <v>120</v>
      </c>
      <c r="C132" s="530" t="str">
        <f>IF(Inventory!E129="","",Inventory!E129)</f>
        <v/>
      </c>
      <c r="D132" s="531">
        <f>IF(Inventory!D129="",0,Inventory!D129)</f>
        <v>0</v>
      </c>
      <c r="E132" s="532" t="str">
        <f>IF(Inventory!I129=0,"",Inventory!I129)</f>
        <v/>
      </c>
      <c r="F132" s="533" t="str">
        <f t="shared" si="45"/>
        <v/>
      </c>
      <c r="G132" s="534" t="str">
        <f>IF(Inventory!G129="","",Inventory!G129)</f>
        <v/>
      </c>
      <c r="H132" s="535" t="str">
        <f t="shared" si="46"/>
        <v/>
      </c>
      <c r="I132" s="536" t="str">
        <f>IF(Inventory!J129="","",Inventory!J129)</f>
        <v/>
      </c>
      <c r="J132" s="537" t="str">
        <f>IFERROR(IF(PRJ_Type="New Construction",IF(Inventory!C129="N",INDEX(xyLPD_BuildingArea,MATCH(Building_Type,Lookups!$F$37:$F$75,0),4),INDEX(xyLPD_SpaceBySpace,MATCH(INDEX(xyNCEx,MATCH(I132,yNCExArea,0),2),ySpace_by_Space_Type,0),2)),VLOOKUP(E132,xyWattage_Table,11,FALSE)),"")</f>
        <v/>
      </c>
      <c r="K132" s="538" t="str">
        <f>IFERROR(IF(AND(NC_Type="Building Area Method",Inventory!C129="N"),IF(ISERROR(INDEX('Usage Groups (&gt;120 MWh only)'!$N$8:$N$12,MATCH(C132,'Usage Groups (&gt;120 MWh only)'!$B$8:$B$12,0),1))=TRUE,SqFt/COUNTIFS(Inventory!$C$10:$C$1009,"N",$Q$13:$Q$1012,"&gt;=0"),INDEX('Usage Groups (&gt;120 MWh only)'!$N$8:$N$12,MATCH(C132,'Usage Groups (&gt;120 MWh only)'!$B$8:$B$12,0),1)/COUNTIF($C$13:$C$1012,C132)),IF(AND(NC_Type="Building Area Method",Inventory!C129="Y"),INDEX(xyNCEx,MATCH(I132,yNCExArea,0),3)/COUNTIF($I$13:$I$1012,I132),VLOOKUP(J132,xyWattage_Table,10,FALSE))),"")</f>
        <v/>
      </c>
      <c r="L132" s="539" t="str">
        <f t="shared" si="47"/>
        <v/>
      </c>
      <c r="M132" s="540">
        <f>IF(Inventory!N129="","",Inventory!N129)</f>
        <v>0</v>
      </c>
      <c r="N132" s="533" t="str">
        <f t="shared" si="48"/>
        <v/>
      </c>
      <c r="O132" s="534"/>
      <c r="P132" s="533" t="str">
        <f t="shared" si="49"/>
        <v/>
      </c>
      <c r="Q132" s="534" t="str">
        <f>IF(Inventory!L129="","",Inventory!L129)</f>
        <v/>
      </c>
      <c r="R132" s="535" t="str">
        <f t="shared" si="50"/>
        <v/>
      </c>
      <c r="S132" s="536" t="str">
        <f>IF(Inventory!O129="","",Inventory!O129)</f>
        <v/>
      </c>
      <c r="T132" s="541" t="str">
        <f>IFERROR(IF(C132="","",IF(INDEX(xyWattage_Table,MATCH(M132,'Fixture Identities'!$B$9:$B$997,0),2)="Exit Sign",8760,IF(VLOOKUP(C132,xySpace_Type_Details,8,FALSE)="TRM",INDEX('General Information'!$AF$17:$AG$28,11,MATCH(N132,'General Information'!$AF$16:$AG$16,0)),HLOOKUP(VLOOKUP(C132,xySpace_Type_Details,8,FALSE),'General Information'!$P$15:$AG$28,13,FALSE)))),"")</f>
        <v/>
      </c>
      <c r="U132" s="542" t="str">
        <f>IFERROR(IF(C132="","",IF(INDEX(xyWattage_Table,MATCH(M132,'Fixture Identities'!$B$9:$B$997,0),2)="Exit Sign",1,IF(VLOOKUP(C132,xySpace_Type_Details,8,FALSE)="TRM",INDEX('General Information'!$AF$17:$AG$28,12,MATCH(N132,'General Information'!$AF$16:$AG$16,0)),HLOOKUP(VLOOKUP(C132,xySpace_Type_Details,8,FALSE),'General Information'!$P$15:$AG$28,14,FALSE)))),"")</f>
        <v/>
      </c>
      <c r="V132" s="542" t="str">
        <f>IFERROR(VLOOKUP(INDEX(xySpace_Type_Details,MATCH($C132,'General Information'!$C$40:$C$60,0),12),Lookups!$L$8:$N$12,2,FALSE),"")</f>
        <v/>
      </c>
      <c r="W132" s="542" t="str">
        <f>IFERROR(VLOOKUP(INDEX(xySpace_Type_Details,MATCH($C132,'General Information'!$C$40:$C$60,0),12),Lookups!$L$8:$N$12,3,FALSE),"")</f>
        <v/>
      </c>
      <c r="Y132" s="542" t="str">
        <f>IFERROR(IF(C132="","",IF(INDEX(xyWattage_Table,MATCH(M132,'Fixture Identities'!$B$9:$B$997,0),2)="Exit Sign",0,IF(PRJ_Type="Retrofit",VLOOKUP(I132,xySVG_Factors,2,FALSE),IF(AND(PRJ_Type="New Construction",Inventory!C129="N"),VLOOKUP(VLOOKUP(Building_Type,xyLPD_BuildingArea,5,FALSE),xySVG_Factors_NC,3,FALSE),0)))),"")</f>
        <v/>
      </c>
      <c r="Z132" s="544" t="str">
        <f>IFERROR(IF(C132="","",IF(INDEX(xyWattage_Table,MATCH(M132,'Fixture Identities'!$B$9:$B$997,0),2)="Exit Sign",0,VLOOKUP(S132,xySVG_Factors,2,FALSE))),"")</f>
        <v/>
      </c>
      <c r="AA132" s="545" t="str">
        <f t="shared" si="51"/>
        <v/>
      </c>
      <c r="AB132" s="542" t="str">
        <f t="shared" si="52"/>
        <v/>
      </c>
      <c r="AC132" s="539" t="str">
        <f t="shared" si="53"/>
        <v/>
      </c>
      <c r="AD132" s="546" t="str">
        <f t="shared" si="54"/>
        <v/>
      </c>
      <c r="AE132" s="539" t="str">
        <f t="shared" si="55"/>
        <v/>
      </c>
      <c r="AF132" s="546" t="str">
        <f t="shared" si="56"/>
        <v/>
      </c>
      <c r="AG132" s="539" t="str">
        <f t="shared" si="57"/>
        <v/>
      </c>
      <c r="AH132" s="32">
        <f t="shared" si="38"/>
        <v>0</v>
      </c>
      <c r="AI132" s="32">
        <f t="shared" si="39"/>
        <v>0</v>
      </c>
      <c r="AJ132" s="32">
        <f t="shared" si="40"/>
        <v>0</v>
      </c>
      <c r="AK132" t="str">
        <f t="shared" si="41"/>
        <v/>
      </c>
      <c r="AL132" t="str">
        <f t="shared" si="42"/>
        <v/>
      </c>
      <c r="AM132" t="str">
        <f t="shared" si="43"/>
        <v/>
      </c>
      <c r="AO132" t="str">
        <f>IFERROR(VLOOKUP(M132,'Fixture Identities'!$B$9:$O$1045,14,FALSE),"")</f>
        <v/>
      </c>
      <c r="AP132" t="str">
        <f t="shared" si="37"/>
        <v/>
      </c>
    </row>
    <row r="133" spans="1:42">
      <c r="A133" s="71">
        <f t="shared" si="58"/>
        <v>0</v>
      </c>
      <c r="B133" s="513">
        <f t="shared" si="44"/>
        <v>121</v>
      </c>
      <c r="C133" s="530" t="str">
        <f>IF(Inventory!E130="","",Inventory!E130)</f>
        <v/>
      </c>
      <c r="D133" s="531">
        <f>IF(Inventory!D130="",0,Inventory!D130)</f>
        <v>0</v>
      </c>
      <c r="E133" s="532" t="str">
        <f>IF(Inventory!I130=0,"",Inventory!I130)</f>
        <v/>
      </c>
      <c r="F133" s="533" t="str">
        <f t="shared" si="45"/>
        <v/>
      </c>
      <c r="G133" s="534" t="str">
        <f>IF(Inventory!G130="","",Inventory!G130)</f>
        <v/>
      </c>
      <c r="H133" s="535" t="str">
        <f t="shared" si="46"/>
        <v/>
      </c>
      <c r="I133" s="536" t="str">
        <f>IF(Inventory!J130="","",Inventory!J130)</f>
        <v/>
      </c>
      <c r="J133" s="537" t="str">
        <f>IFERROR(IF(PRJ_Type="New Construction",IF(Inventory!C130="N",INDEX(xyLPD_BuildingArea,MATCH(Building_Type,Lookups!$F$37:$F$75,0),4),INDEX(xyLPD_SpaceBySpace,MATCH(INDEX(xyNCEx,MATCH(I133,yNCExArea,0),2),ySpace_by_Space_Type,0),2)),VLOOKUP(E133,xyWattage_Table,11,FALSE)),"")</f>
        <v/>
      </c>
      <c r="K133" s="538" t="str">
        <f>IFERROR(IF(AND(NC_Type="Building Area Method",Inventory!C130="N"),IF(ISERROR(INDEX('Usage Groups (&gt;120 MWh only)'!$N$8:$N$12,MATCH(C133,'Usage Groups (&gt;120 MWh only)'!$B$8:$B$12,0),1))=TRUE,SqFt/COUNTIFS(Inventory!$C$10:$C$1009,"N",$Q$13:$Q$1012,"&gt;=0"),INDEX('Usage Groups (&gt;120 MWh only)'!$N$8:$N$12,MATCH(C133,'Usage Groups (&gt;120 MWh only)'!$B$8:$B$12,0),1)/COUNTIF($C$13:$C$1012,C133)),IF(AND(NC_Type="Building Area Method",Inventory!C130="Y"),INDEX(xyNCEx,MATCH(I133,yNCExArea,0),3)/COUNTIF($I$13:$I$1012,I133),VLOOKUP(J133,xyWattage_Table,10,FALSE))),"")</f>
        <v/>
      </c>
      <c r="L133" s="539" t="str">
        <f t="shared" si="47"/>
        <v/>
      </c>
      <c r="M133" s="540">
        <f>IF(Inventory!N130="","",Inventory!N130)</f>
        <v>0</v>
      </c>
      <c r="N133" s="533" t="str">
        <f t="shared" si="48"/>
        <v/>
      </c>
      <c r="O133" s="534"/>
      <c r="P133" s="533" t="str">
        <f t="shared" si="49"/>
        <v/>
      </c>
      <c r="Q133" s="534" t="str">
        <f>IF(Inventory!L130="","",Inventory!L130)</f>
        <v/>
      </c>
      <c r="R133" s="535" t="str">
        <f t="shared" si="50"/>
        <v/>
      </c>
      <c r="S133" s="536" t="str">
        <f>IF(Inventory!O130="","",Inventory!O130)</f>
        <v/>
      </c>
      <c r="T133" s="541" t="str">
        <f>IFERROR(IF(C133="","",IF(INDEX(xyWattage_Table,MATCH(M133,'Fixture Identities'!$B$9:$B$997,0),2)="Exit Sign",8760,IF(VLOOKUP(C133,xySpace_Type_Details,8,FALSE)="TRM",INDEX('General Information'!$AF$17:$AG$28,11,MATCH(N133,'General Information'!$AF$16:$AG$16,0)),HLOOKUP(VLOOKUP(C133,xySpace_Type_Details,8,FALSE),'General Information'!$P$15:$AG$28,13,FALSE)))),"")</f>
        <v/>
      </c>
      <c r="U133" s="542" t="str">
        <f>IFERROR(IF(C133="","",IF(INDEX(xyWattage_Table,MATCH(M133,'Fixture Identities'!$B$9:$B$997,0),2)="Exit Sign",1,IF(VLOOKUP(C133,xySpace_Type_Details,8,FALSE)="TRM",INDEX('General Information'!$AF$17:$AG$28,12,MATCH(N133,'General Information'!$AF$16:$AG$16,0)),HLOOKUP(VLOOKUP(C133,xySpace_Type_Details,8,FALSE),'General Information'!$P$15:$AG$28,14,FALSE)))),"")</f>
        <v/>
      </c>
      <c r="V133" s="542" t="str">
        <f>IFERROR(VLOOKUP(INDEX(xySpace_Type_Details,MATCH($C133,'General Information'!$C$40:$C$60,0),12),Lookups!$L$8:$N$12,2,FALSE),"")</f>
        <v/>
      </c>
      <c r="W133" s="542" t="str">
        <f>IFERROR(VLOOKUP(INDEX(xySpace_Type_Details,MATCH($C133,'General Information'!$C$40:$C$60,0),12),Lookups!$L$8:$N$12,3,FALSE),"")</f>
        <v/>
      </c>
      <c r="Y133" s="542" t="str">
        <f>IFERROR(IF(C133="","",IF(INDEX(xyWattage_Table,MATCH(M133,'Fixture Identities'!$B$9:$B$997,0),2)="Exit Sign",0,IF(PRJ_Type="Retrofit",VLOOKUP(I133,xySVG_Factors,2,FALSE),IF(AND(PRJ_Type="New Construction",Inventory!C130="N"),VLOOKUP(VLOOKUP(Building_Type,xyLPD_BuildingArea,5,FALSE),xySVG_Factors_NC,3,FALSE),0)))),"")</f>
        <v/>
      </c>
      <c r="Z133" s="544" t="str">
        <f>IFERROR(IF(C133="","",IF(INDEX(xyWattage_Table,MATCH(M133,'Fixture Identities'!$B$9:$B$997,0),2)="Exit Sign",0,VLOOKUP(S133,xySVG_Factors,2,FALSE))),"")</f>
        <v/>
      </c>
      <c r="AA133" s="545" t="str">
        <f t="shared" si="51"/>
        <v/>
      </c>
      <c r="AB133" s="542" t="str">
        <f t="shared" si="52"/>
        <v/>
      </c>
      <c r="AC133" s="539" t="str">
        <f t="shared" si="53"/>
        <v/>
      </c>
      <c r="AD133" s="546" t="str">
        <f t="shared" si="54"/>
        <v/>
      </c>
      <c r="AE133" s="539" t="str">
        <f t="shared" si="55"/>
        <v/>
      </c>
      <c r="AF133" s="546" t="str">
        <f t="shared" si="56"/>
        <v/>
      </c>
      <c r="AG133" s="539" t="str">
        <f t="shared" si="57"/>
        <v/>
      </c>
      <c r="AH133" s="32">
        <f t="shared" si="38"/>
        <v>0</v>
      </c>
      <c r="AI133" s="32">
        <f t="shared" si="39"/>
        <v>0</v>
      </c>
      <c r="AJ133" s="32">
        <f t="shared" si="40"/>
        <v>0</v>
      </c>
      <c r="AK133" t="str">
        <f t="shared" si="41"/>
        <v/>
      </c>
      <c r="AL133" t="str">
        <f t="shared" si="42"/>
        <v/>
      </c>
      <c r="AM133" t="str">
        <f t="shared" si="43"/>
        <v/>
      </c>
      <c r="AO133" t="str">
        <f>IFERROR(VLOOKUP(M133,'Fixture Identities'!$B$9:$O$1045,14,FALSE),"")</f>
        <v/>
      </c>
      <c r="AP133" t="str">
        <f t="shared" si="37"/>
        <v/>
      </c>
    </row>
    <row r="134" spans="1:42">
      <c r="A134" s="71">
        <f t="shared" si="58"/>
        <v>0</v>
      </c>
      <c r="B134" s="513">
        <f t="shared" si="44"/>
        <v>122</v>
      </c>
      <c r="C134" s="530" t="str">
        <f>IF(Inventory!E131="","",Inventory!E131)</f>
        <v/>
      </c>
      <c r="D134" s="531">
        <f>IF(Inventory!D131="",0,Inventory!D131)</f>
        <v>0</v>
      </c>
      <c r="E134" s="532" t="str">
        <f>IF(Inventory!I131=0,"",Inventory!I131)</f>
        <v/>
      </c>
      <c r="F134" s="533" t="str">
        <f t="shared" si="45"/>
        <v/>
      </c>
      <c r="G134" s="534" t="str">
        <f>IF(Inventory!G131="","",Inventory!G131)</f>
        <v/>
      </c>
      <c r="H134" s="535" t="str">
        <f t="shared" si="46"/>
        <v/>
      </c>
      <c r="I134" s="536" t="str">
        <f>IF(Inventory!J131="","",Inventory!J131)</f>
        <v/>
      </c>
      <c r="J134" s="537" t="str">
        <f>IFERROR(IF(PRJ_Type="New Construction",IF(Inventory!C131="N",INDEX(xyLPD_BuildingArea,MATCH(Building_Type,Lookups!$F$37:$F$75,0),4),INDEX(xyLPD_SpaceBySpace,MATCH(INDEX(xyNCEx,MATCH(I134,yNCExArea,0),2),ySpace_by_Space_Type,0),2)),VLOOKUP(E134,xyWattage_Table,11,FALSE)),"")</f>
        <v/>
      </c>
      <c r="K134" s="538" t="str">
        <f>IFERROR(IF(AND(NC_Type="Building Area Method",Inventory!C131="N"),IF(ISERROR(INDEX('Usage Groups (&gt;120 MWh only)'!$N$8:$N$12,MATCH(C134,'Usage Groups (&gt;120 MWh only)'!$B$8:$B$12,0),1))=TRUE,SqFt/COUNTIFS(Inventory!$C$10:$C$1009,"N",$Q$13:$Q$1012,"&gt;=0"),INDEX('Usage Groups (&gt;120 MWh only)'!$N$8:$N$12,MATCH(C134,'Usage Groups (&gt;120 MWh only)'!$B$8:$B$12,0),1)/COUNTIF($C$13:$C$1012,C134)),IF(AND(NC_Type="Building Area Method",Inventory!C131="Y"),INDEX(xyNCEx,MATCH(I134,yNCExArea,0),3)/COUNTIF($I$13:$I$1012,I134),VLOOKUP(J134,xyWattage_Table,10,FALSE))),"")</f>
        <v/>
      </c>
      <c r="L134" s="539" t="str">
        <f t="shared" si="47"/>
        <v/>
      </c>
      <c r="M134" s="540">
        <f>IF(Inventory!N131="","",Inventory!N131)</f>
        <v>0</v>
      </c>
      <c r="N134" s="533" t="str">
        <f t="shared" si="48"/>
        <v/>
      </c>
      <c r="O134" s="534"/>
      <c r="P134" s="533" t="str">
        <f t="shared" si="49"/>
        <v/>
      </c>
      <c r="Q134" s="534" t="str">
        <f>IF(Inventory!L131="","",Inventory!L131)</f>
        <v/>
      </c>
      <c r="R134" s="535" t="str">
        <f t="shared" si="50"/>
        <v/>
      </c>
      <c r="S134" s="536" t="str">
        <f>IF(Inventory!O131="","",Inventory!O131)</f>
        <v/>
      </c>
      <c r="T134" s="541" t="str">
        <f>IFERROR(IF(C134="","",IF(INDEX(xyWattage_Table,MATCH(M134,'Fixture Identities'!$B$9:$B$997,0),2)="Exit Sign",8760,IF(VLOOKUP(C134,xySpace_Type_Details,8,FALSE)="TRM",INDEX('General Information'!$AF$17:$AG$28,11,MATCH(N134,'General Information'!$AF$16:$AG$16,0)),HLOOKUP(VLOOKUP(C134,xySpace_Type_Details,8,FALSE),'General Information'!$P$15:$AG$28,13,FALSE)))),"")</f>
        <v/>
      </c>
      <c r="U134" s="542" t="str">
        <f>IFERROR(IF(C134="","",IF(INDEX(xyWattage_Table,MATCH(M134,'Fixture Identities'!$B$9:$B$997,0),2)="Exit Sign",1,IF(VLOOKUP(C134,xySpace_Type_Details,8,FALSE)="TRM",INDEX('General Information'!$AF$17:$AG$28,12,MATCH(N134,'General Information'!$AF$16:$AG$16,0)),HLOOKUP(VLOOKUP(C134,xySpace_Type_Details,8,FALSE),'General Information'!$P$15:$AG$28,14,FALSE)))),"")</f>
        <v/>
      </c>
      <c r="V134" s="542" t="str">
        <f>IFERROR(VLOOKUP(INDEX(xySpace_Type_Details,MATCH($C134,'General Information'!$C$40:$C$60,0),12),Lookups!$L$8:$N$12,2,FALSE),"")</f>
        <v/>
      </c>
      <c r="W134" s="542" t="str">
        <f>IFERROR(VLOOKUP(INDEX(xySpace_Type_Details,MATCH($C134,'General Information'!$C$40:$C$60,0),12),Lookups!$L$8:$N$12,3,FALSE),"")</f>
        <v/>
      </c>
      <c r="Y134" s="542" t="str">
        <f>IFERROR(IF(C134="","",IF(INDEX(xyWattage_Table,MATCH(M134,'Fixture Identities'!$B$9:$B$997,0),2)="Exit Sign",0,IF(PRJ_Type="Retrofit",VLOOKUP(I134,xySVG_Factors,2,FALSE),IF(AND(PRJ_Type="New Construction",Inventory!C131="N"),VLOOKUP(VLOOKUP(Building_Type,xyLPD_BuildingArea,5,FALSE),xySVG_Factors_NC,3,FALSE),0)))),"")</f>
        <v/>
      </c>
      <c r="Z134" s="544" t="str">
        <f>IFERROR(IF(C134="","",IF(INDEX(xyWattage_Table,MATCH(M134,'Fixture Identities'!$B$9:$B$997,0),2)="Exit Sign",0,VLOOKUP(S134,xySVG_Factors,2,FALSE))),"")</f>
        <v/>
      </c>
      <c r="AA134" s="545" t="str">
        <f t="shared" si="51"/>
        <v/>
      </c>
      <c r="AB134" s="542" t="str">
        <f t="shared" si="52"/>
        <v/>
      </c>
      <c r="AC134" s="539" t="str">
        <f t="shared" si="53"/>
        <v/>
      </c>
      <c r="AD134" s="546" t="str">
        <f t="shared" si="54"/>
        <v/>
      </c>
      <c r="AE134" s="539" t="str">
        <f t="shared" si="55"/>
        <v/>
      </c>
      <c r="AF134" s="546" t="str">
        <f t="shared" si="56"/>
        <v/>
      </c>
      <c r="AG134" s="539" t="str">
        <f t="shared" si="57"/>
        <v/>
      </c>
      <c r="AH134" s="32">
        <f t="shared" si="38"/>
        <v>0</v>
      </c>
      <c r="AI134" s="32">
        <f t="shared" si="39"/>
        <v>0</v>
      </c>
      <c r="AJ134" s="32">
        <f t="shared" si="40"/>
        <v>0</v>
      </c>
      <c r="AK134" t="str">
        <f t="shared" si="41"/>
        <v/>
      </c>
      <c r="AL134" t="str">
        <f t="shared" si="42"/>
        <v/>
      </c>
      <c r="AM134" t="str">
        <f t="shared" si="43"/>
        <v/>
      </c>
      <c r="AO134" t="str">
        <f>IFERROR(VLOOKUP(M134,'Fixture Identities'!$B$9:$O$1045,14,FALSE),"")</f>
        <v/>
      </c>
      <c r="AP134" t="str">
        <f t="shared" si="37"/>
        <v/>
      </c>
    </row>
    <row r="135" spans="1:42">
      <c r="A135" s="71">
        <f t="shared" si="58"/>
        <v>0</v>
      </c>
      <c r="B135" s="513">
        <f t="shared" si="44"/>
        <v>123</v>
      </c>
      <c r="C135" s="530" t="str">
        <f>IF(Inventory!E132="","",Inventory!E132)</f>
        <v/>
      </c>
      <c r="D135" s="531">
        <f>IF(Inventory!D132="",0,Inventory!D132)</f>
        <v>0</v>
      </c>
      <c r="E135" s="532" t="str">
        <f>IF(Inventory!I132=0,"",Inventory!I132)</f>
        <v/>
      </c>
      <c r="F135" s="533" t="str">
        <f t="shared" si="45"/>
        <v/>
      </c>
      <c r="G135" s="534" t="str">
        <f>IF(Inventory!G132="","",Inventory!G132)</f>
        <v/>
      </c>
      <c r="H135" s="535" t="str">
        <f t="shared" si="46"/>
        <v/>
      </c>
      <c r="I135" s="536" t="str">
        <f>IF(Inventory!J132="","",Inventory!J132)</f>
        <v/>
      </c>
      <c r="J135" s="537" t="str">
        <f>IFERROR(IF(PRJ_Type="New Construction",IF(Inventory!C132="N",INDEX(xyLPD_BuildingArea,MATCH(Building_Type,Lookups!$F$37:$F$75,0),4),INDEX(xyLPD_SpaceBySpace,MATCH(INDEX(xyNCEx,MATCH(I135,yNCExArea,0),2),ySpace_by_Space_Type,0),2)),VLOOKUP(E135,xyWattage_Table,11,FALSE)),"")</f>
        <v/>
      </c>
      <c r="K135" s="538" t="str">
        <f>IFERROR(IF(AND(NC_Type="Building Area Method",Inventory!C132="N"),IF(ISERROR(INDEX('Usage Groups (&gt;120 MWh only)'!$N$8:$N$12,MATCH(C135,'Usage Groups (&gt;120 MWh only)'!$B$8:$B$12,0),1))=TRUE,SqFt/COUNTIFS(Inventory!$C$10:$C$1009,"N",$Q$13:$Q$1012,"&gt;=0"),INDEX('Usage Groups (&gt;120 MWh only)'!$N$8:$N$12,MATCH(C135,'Usage Groups (&gt;120 MWh only)'!$B$8:$B$12,0),1)/COUNTIF($C$13:$C$1012,C135)),IF(AND(NC_Type="Building Area Method",Inventory!C132="Y"),INDEX(xyNCEx,MATCH(I135,yNCExArea,0),3)/COUNTIF($I$13:$I$1012,I135),VLOOKUP(J135,xyWattage_Table,10,FALSE))),"")</f>
        <v/>
      </c>
      <c r="L135" s="539" t="str">
        <f t="shared" si="47"/>
        <v/>
      </c>
      <c r="M135" s="540">
        <f>IF(Inventory!N132="","",Inventory!N132)</f>
        <v>0</v>
      </c>
      <c r="N135" s="533" t="str">
        <f t="shared" si="48"/>
        <v/>
      </c>
      <c r="O135" s="534"/>
      <c r="P135" s="533" t="str">
        <f t="shared" si="49"/>
        <v/>
      </c>
      <c r="Q135" s="534" t="str">
        <f>IF(Inventory!L132="","",Inventory!L132)</f>
        <v/>
      </c>
      <c r="R135" s="535" t="str">
        <f t="shared" si="50"/>
        <v/>
      </c>
      <c r="S135" s="536" t="str">
        <f>IF(Inventory!O132="","",Inventory!O132)</f>
        <v/>
      </c>
      <c r="T135" s="541" t="str">
        <f>IFERROR(IF(C135="","",IF(INDEX(xyWattage_Table,MATCH(M135,'Fixture Identities'!$B$9:$B$997,0),2)="Exit Sign",8760,IF(VLOOKUP(C135,xySpace_Type_Details,8,FALSE)="TRM",INDEX('General Information'!$AF$17:$AG$28,11,MATCH(N135,'General Information'!$AF$16:$AG$16,0)),HLOOKUP(VLOOKUP(C135,xySpace_Type_Details,8,FALSE),'General Information'!$P$15:$AG$28,13,FALSE)))),"")</f>
        <v/>
      </c>
      <c r="U135" s="542" t="str">
        <f>IFERROR(IF(C135="","",IF(INDEX(xyWattage_Table,MATCH(M135,'Fixture Identities'!$B$9:$B$997,0),2)="Exit Sign",1,IF(VLOOKUP(C135,xySpace_Type_Details,8,FALSE)="TRM",INDEX('General Information'!$AF$17:$AG$28,12,MATCH(N135,'General Information'!$AF$16:$AG$16,0)),HLOOKUP(VLOOKUP(C135,xySpace_Type_Details,8,FALSE),'General Information'!$P$15:$AG$28,14,FALSE)))),"")</f>
        <v/>
      </c>
      <c r="V135" s="542" t="str">
        <f>IFERROR(VLOOKUP(INDEX(xySpace_Type_Details,MATCH($C135,'General Information'!$C$40:$C$60,0),12),Lookups!$L$8:$N$12,2,FALSE),"")</f>
        <v/>
      </c>
      <c r="W135" s="542" t="str">
        <f>IFERROR(VLOOKUP(INDEX(xySpace_Type_Details,MATCH($C135,'General Information'!$C$40:$C$60,0),12),Lookups!$L$8:$N$12,3,FALSE),"")</f>
        <v/>
      </c>
      <c r="Y135" s="542" t="str">
        <f>IFERROR(IF(C135="","",IF(INDEX(xyWattage_Table,MATCH(M135,'Fixture Identities'!$B$9:$B$997,0),2)="Exit Sign",0,IF(PRJ_Type="Retrofit",VLOOKUP(I135,xySVG_Factors,2,FALSE),IF(AND(PRJ_Type="New Construction",Inventory!C132="N"),VLOOKUP(VLOOKUP(Building_Type,xyLPD_BuildingArea,5,FALSE),xySVG_Factors_NC,3,FALSE),0)))),"")</f>
        <v/>
      </c>
      <c r="Z135" s="544" t="str">
        <f>IFERROR(IF(C135="","",IF(INDEX(xyWattage_Table,MATCH(M135,'Fixture Identities'!$B$9:$B$997,0),2)="Exit Sign",0,VLOOKUP(S135,xySVG_Factors,2,FALSE))),"")</f>
        <v/>
      </c>
      <c r="AA135" s="545" t="str">
        <f t="shared" si="51"/>
        <v/>
      </c>
      <c r="AB135" s="542" t="str">
        <f t="shared" si="52"/>
        <v/>
      </c>
      <c r="AC135" s="539" t="str">
        <f t="shared" si="53"/>
        <v/>
      </c>
      <c r="AD135" s="546" t="str">
        <f t="shared" si="54"/>
        <v/>
      </c>
      <c r="AE135" s="539" t="str">
        <f t="shared" si="55"/>
        <v/>
      </c>
      <c r="AF135" s="546" t="str">
        <f t="shared" si="56"/>
        <v/>
      </c>
      <c r="AG135" s="539" t="str">
        <f t="shared" si="57"/>
        <v/>
      </c>
      <c r="AH135" s="32">
        <f t="shared" si="38"/>
        <v>0</v>
      </c>
      <c r="AI135" s="32">
        <f t="shared" si="39"/>
        <v>0</v>
      </c>
      <c r="AJ135" s="32">
        <f t="shared" si="40"/>
        <v>0</v>
      </c>
      <c r="AK135" t="str">
        <f t="shared" si="41"/>
        <v/>
      </c>
      <c r="AL135" t="str">
        <f t="shared" si="42"/>
        <v/>
      </c>
      <c r="AM135" t="str">
        <f t="shared" si="43"/>
        <v/>
      </c>
      <c r="AO135" t="str">
        <f>IFERROR(VLOOKUP(M135,'Fixture Identities'!$B$9:$O$1045,14,FALSE),"")</f>
        <v/>
      </c>
      <c r="AP135" t="str">
        <f t="shared" si="37"/>
        <v/>
      </c>
    </row>
    <row r="136" spans="1:42">
      <c r="A136" s="71">
        <f t="shared" si="58"/>
        <v>0</v>
      </c>
      <c r="B136" s="513">
        <f t="shared" si="44"/>
        <v>124</v>
      </c>
      <c r="C136" s="530" t="str">
        <f>IF(Inventory!E133="","",Inventory!E133)</f>
        <v/>
      </c>
      <c r="D136" s="531">
        <f>IF(Inventory!D133="",0,Inventory!D133)</f>
        <v>0</v>
      </c>
      <c r="E136" s="532" t="str">
        <f>IF(Inventory!I133=0,"",Inventory!I133)</f>
        <v/>
      </c>
      <c r="F136" s="533" t="str">
        <f t="shared" si="45"/>
        <v/>
      </c>
      <c r="G136" s="534" t="str">
        <f>IF(Inventory!G133="","",Inventory!G133)</f>
        <v/>
      </c>
      <c r="H136" s="535" t="str">
        <f t="shared" si="46"/>
        <v/>
      </c>
      <c r="I136" s="536" t="str">
        <f>IF(Inventory!J133="","",Inventory!J133)</f>
        <v/>
      </c>
      <c r="J136" s="537" t="str">
        <f>IFERROR(IF(PRJ_Type="New Construction",IF(Inventory!C133="N",INDEX(xyLPD_BuildingArea,MATCH(Building_Type,Lookups!$F$37:$F$75,0),4),INDEX(xyLPD_SpaceBySpace,MATCH(INDEX(xyNCEx,MATCH(I136,yNCExArea,0),2),ySpace_by_Space_Type,0),2)),VLOOKUP(E136,xyWattage_Table,11,FALSE)),"")</f>
        <v/>
      </c>
      <c r="K136" s="538" t="str">
        <f>IFERROR(IF(AND(NC_Type="Building Area Method",Inventory!C133="N"),IF(ISERROR(INDEX('Usage Groups (&gt;120 MWh only)'!$N$8:$N$12,MATCH(C136,'Usage Groups (&gt;120 MWh only)'!$B$8:$B$12,0),1))=TRUE,SqFt/COUNTIFS(Inventory!$C$10:$C$1009,"N",$Q$13:$Q$1012,"&gt;=0"),INDEX('Usage Groups (&gt;120 MWh only)'!$N$8:$N$12,MATCH(C136,'Usage Groups (&gt;120 MWh only)'!$B$8:$B$12,0),1)/COUNTIF($C$13:$C$1012,C136)),IF(AND(NC_Type="Building Area Method",Inventory!C133="Y"),INDEX(xyNCEx,MATCH(I136,yNCExArea,0),3)/COUNTIF($I$13:$I$1012,I136),VLOOKUP(J136,xyWattage_Table,10,FALSE))),"")</f>
        <v/>
      </c>
      <c r="L136" s="539" t="str">
        <f t="shared" si="47"/>
        <v/>
      </c>
      <c r="M136" s="540">
        <f>IF(Inventory!N133="","",Inventory!N133)</f>
        <v>0</v>
      </c>
      <c r="N136" s="533" t="str">
        <f t="shared" si="48"/>
        <v/>
      </c>
      <c r="O136" s="534"/>
      <c r="P136" s="533" t="str">
        <f t="shared" si="49"/>
        <v/>
      </c>
      <c r="Q136" s="534" t="str">
        <f>IF(Inventory!L133="","",Inventory!L133)</f>
        <v/>
      </c>
      <c r="R136" s="535" t="str">
        <f t="shared" si="50"/>
        <v/>
      </c>
      <c r="S136" s="536" t="str">
        <f>IF(Inventory!O133="","",Inventory!O133)</f>
        <v/>
      </c>
      <c r="T136" s="541" t="str">
        <f>IFERROR(IF(C136="","",IF(INDEX(xyWattage_Table,MATCH(M136,'Fixture Identities'!$B$9:$B$997,0),2)="Exit Sign",8760,IF(VLOOKUP(C136,xySpace_Type_Details,8,FALSE)="TRM",INDEX('General Information'!$AF$17:$AG$28,11,MATCH(N136,'General Information'!$AF$16:$AG$16,0)),HLOOKUP(VLOOKUP(C136,xySpace_Type_Details,8,FALSE),'General Information'!$P$15:$AG$28,13,FALSE)))),"")</f>
        <v/>
      </c>
      <c r="U136" s="542" t="str">
        <f>IFERROR(IF(C136="","",IF(INDEX(xyWattage_Table,MATCH(M136,'Fixture Identities'!$B$9:$B$997,0),2)="Exit Sign",1,IF(VLOOKUP(C136,xySpace_Type_Details,8,FALSE)="TRM",INDEX('General Information'!$AF$17:$AG$28,12,MATCH(N136,'General Information'!$AF$16:$AG$16,0)),HLOOKUP(VLOOKUP(C136,xySpace_Type_Details,8,FALSE),'General Information'!$P$15:$AG$28,14,FALSE)))),"")</f>
        <v/>
      </c>
      <c r="V136" s="542" t="str">
        <f>IFERROR(VLOOKUP(INDEX(xySpace_Type_Details,MATCH($C136,'General Information'!$C$40:$C$60,0),12),Lookups!$L$8:$N$12,2,FALSE),"")</f>
        <v/>
      </c>
      <c r="W136" s="542" t="str">
        <f>IFERROR(VLOOKUP(INDEX(xySpace_Type_Details,MATCH($C136,'General Information'!$C$40:$C$60,0),12),Lookups!$L$8:$N$12,3,FALSE),"")</f>
        <v/>
      </c>
      <c r="Y136" s="542" t="str">
        <f>IFERROR(IF(C136="","",IF(INDEX(xyWattage_Table,MATCH(M136,'Fixture Identities'!$B$9:$B$997,0),2)="Exit Sign",0,IF(PRJ_Type="Retrofit",VLOOKUP(I136,xySVG_Factors,2,FALSE),IF(AND(PRJ_Type="New Construction",Inventory!C133="N"),VLOOKUP(VLOOKUP(Building_Type,xyLPD_BuildingArea,5,FALSE),xySVG_Factors_NC,3,FALSE),0)))),"")</f>
        <v/>
      </c>
      <c r="Z136" s="544" t="str">
        <f>IFERROR(IF(C136="","",IF(INDEX(xyWattage_Table,MATCH(M136,'Fixture Identities'!$B$9:$B$997,0),2)="Exit Sign",0,VLOOKUP(S136,xySVG_Factors,2,FALSE))),"")</f>
        <v/>
      </c>
      <c r="AA136" s="545" t="str">
        <f t="shared" si="51"/>
        <v/>
      </c>
      <c r="AB136" s="542" t="str">
        <f t="shared" si="52"/>
        <v/>
      </c>
      <c r="AC136" s="539" t="str">
        <f t="shared" si="53"/>
        <v/>
      </c>
      <c r="AD136" s="546" t="str">
        <f t="shared" si="54"/>
        <v/>
      </c>
      <c r="AE136" s="539" t="str">
        <f t="shared" si="55"/>
        <v/>
      </c>
      <c r="AF136" s="546" t="str">
        <f t="shared" si="56"/>
        <v/>
      </c>
      <c r="AG136" s="539" t="str">
        <f t="shared" si="57"/>
        <v/>
      </c>
      <c r="AH136" s="32">
        <f t="shared" si="38"/>
        <v>0</v>
      </c>
      <c r="AI136" s="32">
        <f t="shared" si="39"/>
        <v>0</v>
      </c>
      <c r="AJ136" s="32">
        <f t="shared" si="40"/>
        <v>0</v>
      </c>
      <c r="AK136" t="str">
        <f t="shared" si="41"/>
        <v/>
      </c>
      <c r="AL136" t="str">
        <f t="shared" si="42"/>
        <v/>
      </c>
      <c r="AM136" t="str">
        <f t="shared" si="43"/>
        <v/>
      </c>
      <c r="AO136" t="str">
        <f>IFERROR(VLOOKUP(M136,'Fixture Identities'!$B$9:$O$1045,14,FALSE),"")</f>
        <v/>
      </c>
      <c r="AP136" t="str">
        <f t="shared" si="37"/>
        <v/>
      </c>
    </row>
    <row r="137" spans="1:42">
      <c r="A137" s="71">
        <f t="shared" si="58"/>
        <v>0</v>
      </c>
      <c r="B137" s="513">
        <f t="shared" si="44"/>
        <v>125</v>
      </c>
      <c r="C137" s="530" t="str">
        <f>IF(Inventory!E134="","",Inventory!E134)</f>
        <v/>
      </c>
      <c r="D137" s="531">
        <f>IF(Inventory!D134="",0,Inventory!D134)</f>
        <v>0</v>
      </c>
      <c r="E137" s="532" t="str">
        <f>IF(Inventory!I134=0,"",Inventory!I134)</f>
        <v/>
      </c>
      <c r="F137" s="533" t="str">
        <f t="shared" si="45"/>
        <v/>
      </c>
      <c r="G137" s="534" t="str">
        <f>IF(Inventory!G134="","",Inventory!G134)</f>
        <v/>
      </c>
      <c r="H137" s="535" t="str">
        <f t="shared" si="46"/>
        <v/>
      </c>
      <c r="I137" s="536" t="str">
        <f>IF(Inventory!J134="","",Inventory!J134)</f>
        <v/>
      </c>
      <c r="J137" s="537" t="str">
        <f>IFERROR(IF(PRJ_Type="New Construction",IF(Inventory!C134="N",INDEX(xyLPD_BuildingArea,MATCH(Building_Type,Lookups!$F$37:$F$75,0),4),INDEX(xyLPD_SpaceBySpace,MATCH(INDEX(xyNCEx,MATCH(I137,yNCExArea,0),2),ySpace_by_Space_Type,0),2)),VLOOKUP(E137,xyWattage_Table,11,FALSE)),"")</f>
        <v/>
      </c>
      <c r="K137" s="538" t="str">
        <f>IFERROR(IF(AND(NC_Type="Building Area Method",Inventory!C134="N"),IF(ISERROR(INDEX('Usage Groups (&gt;120 MWh only)'!$N$8:$N$12,MATCH(C137,'Usage Groups (&gt;120 MWh only)'!$B$8:$B$12,0),1))=TRUE,SqFt/COUNTIFS(Inventory!$C$10:$C$1009,"N",$Q$13:$Q$1012,"&gt;=0"),INDEX('Usage Groups (&gt;120 MWh only)'!$N$8:$N$12,MATCH(C137,'Usage Groups (&gt;120 MWh only)'!$B$8:$B$12,0),1)/COUNTIF($C$13:$C$1012,C137)),IF(AND(NC_Type="Building Area Method",Inventory!C134="Y"),INDEX(xyNCEx,MATCH(I137,yNCExArea,0),3)/COUNTIF($I$13:$I$1012,I137),VLOOKUP(J137,xyWattage_Table,10,FALSE))),"")</f>
        <v/>
      </c>
      <c r="L137" s="539" t="str">
        <f t="shared" si="47"/>
        <v/>
      </c>
      <c r="M137" s="540">
        <f>IF(Inventory!N134="","",Inventory!N134)</f>
        <v>0</v>
      </c>
      <c r="N137" s="533" t="str">
        <f t="shared" si="48"/>
        <v/>
      </c>
      <c r="O137" s="534"/>
      <c r="P137" s="533" t="str">
        <f t="shared" si="49"/>
        <v/>
      </c>
      <c r="Q137" s="534" t="str">
        <f>IF(Inventory!L134="","",Inventory!L134)</f>
        <v/>
      </c>
      <c r="R137" s="535" t="str">
        <f t="shared" si="50"/>
        <v/>
      </c>
      <c r="S137" s="536" t="str">
        <f>IF(Inventory!O134="","",Inventory!O134)</f>
        <v/>
      </c>
      <c r="T137" s="541" t="str">
        <f>IFERROR(IF(C137="","",IF(INDEX(xyWattage_Table,MATCH(M137,'Fixture Identities'!$B$9:$B$997,0),2)="Exit Sign",8760,IF(VLOOKUP(C137,xySpace_Type_Details,8,FALSE)="TRM",INDEX('General Information'!$AF$17:$AG$28,11,MATCH(N137,'General Information'!$AF$16:$AG$16,0)),HLOOKUP(VLOOKUP(C137,xySpace_Type_Details,8,FALSE),'General Information'!$P$15:$AG$28,13,FALSE)))),"")</f>
        <v/>
      </c>
      <c r="U137" s="542" t="str">
        <f>IFERROR(IF(C137="","",IF(INDEX(xyWattage_Table,MATCH(M137,'Fixture Identities'!$B$9:$B$997,0),2)="Exit Sign",1,IF(VLOOKUP(C137,xySpace_Type_Details,8,FALSE)="TRM",INDEX('General Information'!$AF$17:$AG$28,12,MATCH(N137,'General Information'!$AF$16:$AG$16,0)),HLOOKUP(VLOOKUP(C137,xySpace_Type_Details,8,FALSE),'General Information'!$P$15:$AG$28,14,FALSE)))),"")</f>
        <v/>
      </c>
      <c r="V137" s="542" t="str">
        <f>IFERROR(VLOOKUP(INDEX(xySpace_Type_Details,MATCH($C137,'General Information'!$C$40:$C$60,0),12),Lookups!$L$8:$N$12,2,FALSE),"")</f>
        <v/>
      </c>
      <c r="W137" s="542" t="str">
        <f>IFERROR(VLOOKUP(INDEX(xySpace_Type_Details,MATCH($C137,'General Information'!$C$40:$C$60,0),12),Lookups!$L$8:$N$12,3,FALSE),"")</f>
        <v/>
      </c>
      <c r="Y137" s="542" t="str">
        <f>IFERROR(IF(C137="","",IF(INDEX(xyWattage_Table,MATCH(M137,'Fixture Identities'!$B$9:$B$997,0),2)="Exit Sign",0,IF(PRJ_Type="Retrofit",VLOOKUP(I137,xySVG_Factors,2,FALSE),IF(AND(PRJ_Type="New Construction",Inventory!C134="N"),VLOOKUP(VLOOKUP(Building_Type,xyLPD_BuildingArea,5,FALSE),xySVG_Factors_NC,3,FALSE),0)))),"")</f>
        <v/>
      </c>
      <c r="Z137" s="544" t="str">
        <f>IFERROR(IF(C137="","",IF(INDEX(xyWattage_Table,MATCH(M137,'Fixture Identities'!$B$9:$B$997,0),2)="Exit Sign",0,VLOOKUP(S137,xySVG_Factors,2,FALSE))),"")</f>
        <v/>
      </c>
      <c r="AA137" s="545" t="str">
        <f t="shared" si="51"/>
        <v/>
      </c>
      <c r="AB137" s="542" t="str">
        <f t="shared" si="52"/>
        <v/>
      </c>
      <c r="AC137" s="539" t="str">
        <f t="shared" si="53"/>
        <v/>
      </c>
      <c r="AD137" s="546" t="str">
        <f t="shared" si="54"/>
        <v/>
      </c>
      <c r="AE137" s="539" t="str">
        <f t="shared" si="55"/>
        <v/>
      </c>
      <c r="AF137" s="546" t="str">
        <f t="shared" si="56"/>
        <v/>
      </c>
      <c r="AG137" s="539" t="str">
        <f t="shared" si="57"/>
        <v/>
      </c>
      <c r="AH137" s="32">
        <f t="shared" si="38"/>
        <v>0</v>
      </c>
      <c r="AI137" s="32">
        <f t="shared" si="39"/>
        <v>0</v>
      </c>
      <c r="AJ137" s="32">
        <f t="shared" si="40"/>
        <v>0</v>
      </c>
      <c r="AK137" t="str">
        <f t="shared" si="41"/>
        <v/>
      </c>
      <c r="AL137" t="str">
        <f t="shared" si="42"/>
        <v/>
      </c>
      <c r="AM137" t="str">
        <f t="shared" si="43"/>
        <v/>
      </c>
      <c r="AO137" t="str">
        <f>IFERROR(VLOOKUP(M137,'Fixture Identities'!$B$9:$O$1045,14,FALSE),"")</f>
        <v/>
      </c>
      <c r="AP137" t="str">
        <f t="shared" si="37"/>
        <v/>
      </c>
    </row>
    <row r="138" spans="1:42">
      <c r="A138" s="71">
        <f t="shared" si="58"/>
        <v>0</v>
      </c>
      <c r="B138" s="513">
        <f t="shared" si="44"/>
        <v>126</v>
      </c>
      <c r="C138" s="530" t="str">
        <f>IF(Inventory!E135="","",Inventory!E135)</f>
        <v/>
      </c>
      <c r="D138" s="531">
        <f>IF(Inventory!D135="",0,Inventory!D135)</f>
        <v>0</v>
      </c>
      <c r="E138" s="532" t="str">
        <f>IF(Inventory!I135=0,"",Inventory!I135)</f>
        <v/>
      </c>
      <c r="F138" s="533" t="str">
        <f t="shared" si="45"/>
        <v/>
      </c>
      <c r="G138" s="534" t="str">
        <f>IF(Inventory!G135="","",Inventory!G135)</f>
        <v/>
      </c>
      <c r="H138" s="535" t="str">
        <f t="shared" si="46"/>
        <v/>
      </c>
      <c r="I138" s="536" t="str">
        <f>IF(Inventory!J135="","",Inventory!J135)</f>
        <v/>
      </c>
      <c r="J138" s="537" t="str">
        <f>IFERROR(IF(PRJ_Type="New Construction",IF(Inventory!C135="N",INDEX(xyLPD_BuildingArea,MATCH(Building_Type,Lookups!$F$37:$F$75,0),4),INDEX(xyLPD_SpaceBySpace,MATCH(INDEX(xyNCEx,MATCH(I138,yNCExArea,0),2),ySpace_by_Space_Type,0),2)),VLOOKUP(E138,xyWattage_Table,11,FALSE)),"")</f>
        <v/>
      </c>
      <c r="K138" s="538" t="str">
        <f>IFERROR(IF(AND(NC_Type="Building Area Method",Inventory!C135="N"),IF(ISERROR(INDEX('Usage Groups (&gt;120 MWh only)'!$N$8:$N$12,MATCH(C138,'Usage Groups (&gt;120 MWh only)'!$B$8:$B$12,0),1))=TRUE,SqFt/COUNTIFS(Inventory!$C$10:$C$1009,"N",$Q$13:$Q$1012,"&gt;=0"),INDEX('Usage Groups (&gt;120 MWh only)'!$N$8:$N$12,MATCH(C138,'Usage Groups (&gt;120 MWh only)'!$B$8:$B$12,0),1)/COUNTIF($C$13:$C$1012,C138)),IF(AND(NC_Type="Building Area Method",Inventory!C135="Y"),INDEX(xyNCEx,MATCH(I138,yNCExArea,0),3)/COUNTIF($I$13:$I$1012,I138),VLOOKUP(J138,xyWattage_Table,10,FALSE))),"")</f>
        <v/>
      </c>
      <c r="L138" s="539" t="str">
        <f t="shared" si="47"/>
        <v/>
      </c>
      <c r="M138" s="540">
        <f>IF(Inventory!N135="","",Inventory!N135)</f>
        <v>0</v>
      </c>
      <c r="N138" s="533" t="str">
        <f t="shared" si="48"/>
        <v/>
      </c>
      <c r="O138" s="534"/>
      <c r="P138" s="533" t="str">
        <f t="shared" si="49"/>
        <v/>
      </c>
      <c r="Q138" s="534" t="str">
        <f>IF(Inventory!L135="","",Inventory!L135)</f>
        <v/>
      </c>
      <c r="R138" s="535" t="str">
        <f t="shared" si="50"/>
        <v/>
      </c>
      <c r="S138" s="536" t="str">
        <f>IF(Inventory!O135="","",Inventory!O135)</f>
        <v/>
      </c>
      <c r="T138" s="541" t="str">
        <f>IFERROR(IF(C138="","",IF(INDEX(xyWattage_Table,MATCH(M138,'Fixture Identities'!$B$9:$B$997,0),2)="Exit Sign",8760,IF(VLOOKUP(C138,xySpace_Type_Details,8,FALSE)="TRM",INDEX('General Information'!$AF$17:$AG$28,11,MATCH(N138,'General Information'!$AF$16:$AG$16,0)),HLOOKUP(VLOOKUP(C138,xySpace_Type_Details,8,FALSE),'General Information'!$P$15:$AG$28,13,FALSE)))),"")</f>
        <v/>
      </c>
      <c r="U138" s="542" t="str">
        <f>IFERROR(IF(C138="","",IF(INDEX(xyWattage_Table,MATCH(M138,'Fixture Identities'!$B$9:$B$997,0),2)="Exit Sign",1,IF(VLOOKUP(C138,xySpace_Type_Details,8,FALSE)="TRM",INDEX('General Information'!$AF$17:$AG$28,12,MATCH(N138,'General Information'!$AF$16:$AG$16,0)),HLOOKUP(VLOOKUP(C138,xySpace_Type_Details,8,FALSE),'General Information'!$P$15:$AG$28,14,FALSE)))),"")</f>
        <v/>
      </c>
      <c r="V138" s="542" t="str">
        <f>IFERROR(VLOOKUP(INDEX(xySpace_Type_Details,MATCH($C138,'General Information'!$C$40:$C$60,0),12),Lookups!$L$8:$N$12,2,FALSE),"")</f>
        <v/>
      </c>
      <c r="W138" s="542" t="str">
        <f>IFERROR(VLOOKUP(INDEX(xySpace_Type_Details,MATCH($C138,'General Information'!$C$40:$C$60,0),12),Lookups!$L$8:$N$12,3,FALSE),"")</f>
        <v/>
      </c>
      <c r="Y138" s="542" t="str">
        <f>IFERROR(IF(C138="","",IF(INDEX(xyWattage_Table,MATCH(M138,'Fixture Identities'!$B$9:$B$997,0),2)="Exit Sign",0,IF(PRJ_Type="Retrofit",VLOOKUP(I138,xySVG_Factors,2,FALSE),IF(AND(PRJ_Type="New Construction",Inventory!C135="N"),VLOOKUP(VLOOKUP(Building_Type,xyLPD_BuildingArea,5,FALSE),xySVG_Factors_NC,3,FALSE),0)))),"")</f>
        <v/>
      </c>
      <c r="Z138" s="544" t="str">
        <f>IFERROR(IF(C138="","",IF(INDEX(xyWattage_Table,MATCH(M138,'Fixture Identities'!$B$9:$B$997,0),2)="Exit Sign",0,VLOOKUP(S138,xySVG_Factors,2,FALSE))),"")</f>
        <v/>
      </c>
      <c r="AA138" s="545" t="str">
        <f t="shared" si="51"/>
        <v/>
      </c>
      <c r="AB138" s="542" t="str">
        <f t="shared" si="52"/>
        <v/>
      </c>
      <c r="AC138" s="539" t="str">
        <f t="shared" si="53"/>
        <v/>
      </c>
      <c r="AD138" s="546" t="str">
        <f t="shared" si="54"/>
        <v/>
      </c>
      <c r="AE138" s="539" t="str">
        <f t="shared" si="55"/>
        <v/>
      </c>
      <c r="AF138" s="546" t="str">
        <f t="shared" si="56"/>
        <v/>
      </c>
      <c r="AG138" s="539" t="str">
        <f t="shared" si="57"/>
        <v/>
      </c>
      <c r="AH138" s="32">
        <f t="shared" si="38"/>
        <v>0</v>
      </c>
      <c r="AI138" s="32">
        <f t="shared" si="39"/>
        <v>0</v>
      </c>
      <c r="AJ138" s="32">
        <f t="shared" si="40"/>
        <v>0</v>
      </c>
      <c r="AK138" t="str">
        <f t="shared" si="41"/>
        <v/>
      </c>
      <c r="AL138" t="str">
        <f t="shared" si="42"/>
        <v/>
      </c>
      <c r="AM138" t="str">
        <f t="shared" si="43"/>
        <v/>
      </c>
      <c r="AO138" t="str">
        <f>IFERROR(VLOOKUP(M138,'Fixture Identities'!$B$9:$O$1045,14,FALSE),"")</f>
        <v/>
      </c>
      <c r="AP138" t="str">
        <f t="shared" si="37"/>
        <v/>
      </c>
    </row>
    <row r="139" spans="1:42">
      <c r="A139" s="71">
        <f t="shared" si="58"/>
        <v>0</v>
      </c>
      <c r="B139" s="513">
        <f t="shared" si="44"/>
        <v>127</v>
      </c>
      <c r="C139" s="530" t="str">
        <f>IF(Inventory!E136="","",Inventory!E136)</f>
        <v/>
      </c>
      <c r="D139" s="531">
        <f>IF(Inventory!D136="",0,Inventory!D136)</f>
        <v>0</v>
      </c>
      <c r="E139" s="532" t="str">
        <f>IF(Inventory!I136=0,"",Inventory!I136)</f>
        <v/>
      </c>
      <c r="F139" s="533" t="str">
        <f t="shared" si="45"/>
        <v/>
      </c>
      <c r="G139" s="534" t="str">
        <f>IF(Inventory!G136="","",Inventory!G136)</f>
        <v/>
      </c>
      <c r="H139" s="535" t="str">
        <f t="shared" si="46"/>
        <v/>
      </c>
      <c r="I139" s="536" t="str">
        <f>IF(Inventory!J136="","",Inventory!J136)</f>
        <v/>
      </c>
      <c r="J139" s="537" t="str">
        <f>IFERROR(IF(PRJ_Type="New Construction",IF(Inventory!C136="N",INDEX(xyLPD_BuildingArea,MATCH(Building_Type,Lookups!$F$37:$F$75,0),4),INDEX(xyLPD_SpaceBySpace,MATCH(INDEX(xyNCEx,MATCH(I139,yNCExArea,0),2),ySpace_by_Space_Type,0),2)),VLOOKUP(E139,xyWattage_Table,11,FALSE)),"")</f>
        <v/>
      </c>
      <c r="K139" s="538" t="str">
        <f>IFERROR(IF(AND(NC_Type="Building Area Method",Inventory!C136="N"),IF(ISERROR(INDEX('Usage Groups (&gt;120 MWh only)'!$N$8:$N$12,MATCH(C139,'Usage Groups (&gt;120 MWh only)'!$B$8:$B$12,0),1))=TRUE,SqFt/COUNTIFS(Inventory!$C$10:$C$1009,"N",$Q$13:$Q$1012,"&gt;=0"),INDEX('Usage Groups (&gt;120 MWh only)'!$N$8:$N$12,MATCH(C139,'Usage Groups (&gt;120 MWh only)'!$B$8:$B$12,0),1)/COUNTIF($C$13:$C$1012,C139)),IF(AND(NC_Type="Building Area Method",Inventory!C136="Y"),INDEX(xyNCEx,MATCH(I139,yNCExArea,0),3)/COUNTIF($I$13:$I$1012,I139),VLOOKUP(J139,xyWattage_Table,10,FALSE))),"")</f>
        <v/>
      </c>
      <c r="L139" s="539" t="str">
        <f t="shared" si="47"/>
        <v/>
      </c>
      <c r="M139" s="540">
        <f>IF(Inventory!N136="","",Inventory!N136)</f>
        <v>0</v>
      </c>
      <c r="N139" s="533" t="str">
        <f t="shared" si="48"/>
        <v/>
      </c>
      <c r="O139" s="534"/>
      <c r="P139" s="533" t="str">
        <f t="shared" si="49"/>
        <v/>
      </c>
      <c r="Q139" s="534" t="str">
        <f>IF(Inventory!L136="","",Inventory!L136)</f>
        <v/>
      </c>
      <c r="R139" s="535" t="str">
        <f t="shared" si="50"/>
        <v/>
      </c>
      <c r="S139" s="536" t="str">
        <f>IF(Inventory!O136="","",Inventory!O136)</f>
        <v/>
      </c>
      <c r="T139" s="541" t="str">
        <f>IFERROR(IF(C139="","",IF(INDEX(xyWattage_Table,MATCH(M139,'Fixture Identities'!$B$9:$B$997,0),2)="Exit Sign",8760,IF(VLOOKUP(C139,xySpace_Type_Details,8,FALSE)="TRM",INDEX('General Information'!$AF$17:$AG$28,11,MATCH(N139,'General Information'!$AF$16:$AG$16,0)),HLOOKUP(VLOOKUP(C139,xySpace_Type_Details,8,FALSE),'General Information'!$P$15:$AG$28,13,FALSE)))),"")</f>
        <v/>
      </c>
      <c r="U139" s="542" t="str">
        <f>IFERROR(IF(C139="","",IF(INDEX(xyWattage_Table,MATCH(M139,'Fixture Identities'!$B$9:$B$997,0),2)="Exit Sign",1,IF(VLOOKUP(C139,xySpace_Type_Details,8,FALSE)="TRM",INDEX('General Information'!$AF$17:$AG$28,12,MATCH(N139,'General Information'!$AF$16:$AG$16,0)),HLOOKUP(VLOOKUP(C139,xySpace_Type_Details,8,FALSE),'General Information'!$P$15:$AG$28,14,FALSE)))),"")</f>
        <v/>
      </c>
      <c r="V139" s="542" t="str">
        <f>IFERROR(VLOOKUP(INDEX(xySpace_Type_Details,MATCH($C139,'General Information'!$C$40:$C$60,0),12),Lookups!$L$8:$N$12,2,FALSE),"")</f>
        <v/>
      </c>
      <c r="W139" s="542" t="str">
        <f>IFERROR(VLOOKUP(INDEX(xySpace_Type_Details,MATCH($C139,'General Information'!$C$40:$C$60,0),12),Lookups!$L$8:$N$12,3,FALSE),"")</f>
        <v/>
      </c>
      <c r="Y139" s="542" t="str">
        <f>IFERROR(IF(C139="","",IF(INDEX(xyWattage_Table,MATCH(M139,'Fixture Identities'!$B$9:$B$997,0),2)="Exit Sign",0,IF(PRJ_Type="Retrofit",VLOOKUP(I139,xySVG_Factors,2,FALSE),IF(AND(PRJ_Type="New Construction",Inventory!C136="N"),VLOOKUP(VLOOKUP(Building_Type,xyLPD_BuildingArea,5,FALSE),xySVG_Factors_NC,3,FALSE),0)))),"")</f>
        <v/>
      </c>
      <c r="Z139" s="544" t="str">
        <f>IFERROR(IF(C139="","",IF(INDEX(xyWattage_Table,MATCH(M139,'Fixture Identities'!$B$9:$B$997,0),2)="Exit Sign",0,VLOOKUP(S139,xySVG_Factors,2,FALSE))),"")</f>
        <v/>
      </c>
      <c r="AA139" s="545" t="str">
        <f t="shared" si="51"/>
        <v/>
      </c>
      <c r="AB139" s="542" t="str">
        <f t="shared" si="52"/>
        <v/>
      </c>
      <c r="AC139" s="539" t="str">
        <f t="shared" si="53"/>
        <v/>
      </c>
      <c r="AD139" s="546" t="str">
        <f t="shared" si="54"/>
        <v/>
      </c>
      <c r="AE139" s="539" t="str">
        <f t="shared" si="55"/>
        <v/>
      </c>
      <c r="AF139" s="546" t="str">
        <f t="shared" si="56"/>
        <v/>
      </c>
      <c r="AG139" s="539" t="str">
        <f t="shared" si="57"/>
        <v/>
      </c>
      <c r="AH139" s="32">
        <f t="shared" si="38"/>
        <v>0</v>
      </c>
      <c r="AI139" s="32">
        <f t="shared" si="39"/>
        <v>0</v>
      </c>
      <c r="AJ139" s="32">
        <f t="shared" si="40"/>
        <v>0</v>
      </c>
      <c r="AK139" t="str">
        <f t="shared" si="41"/>
        <v/>
      </c>
      <c r="AL139" t="str">
        <f t="shared" si="42"/>
        <v/>
      </c>
      <c r="AM139" t="str">
        <f t="shared" si="43"/>
        <v/>
      </c>
      <c r="AO139" t="str">
        <f>IFERROR(VLOOKUP(M139,'Fixture Identities'!$B$9:$O$1045,14,FALSE),"")</f>
        <v/>
      </c>
      <c r="AP139" t="str">
        <f t="shared" si="37"/>
        <v/>
      </c>
    </row>
    <row r="140" spans="1:42">
      <c r="A140" s="71">
        <f t="shared" si="58"/>
        <v>0</v>
      </c>
      <c r="B140" s="513">
        <f t="shared" si="44"/>
        <v>128</v>
      </c>
      <c r="C140" s="530" t="str">
        <f>IF(Inventory!E137="","",Inventory!E137)</f>
        <v/>
      </c>
      <c r="D140" s="531">
        <f>IF(Inventory!D137="",0,Inventory!D137)</f>
        <v>0</v>
      </c>
      <c r="E140" s="532" t="str">
        <f>IF(Inventory!I137=0,"",Inventory!I137)</f>
        <v/>
      </c>
      <c r="F140" s="533" t="str">
        <f t="shared" si="45"/>
        <v/>
      </c>
      <c r="G140" s="534" t="str">
        <f>IF(Inventory!G137="","",Inventory!G137)</f>
        <v/>
      </c>
      <c r="H140" s="535" t="str">
        <f t="shared" si="46"/>
        <v/>
      </c>
      <c r="I140" s="536" t="str">
        <f>IF(Inventory!J137="","",Inventory!J137)</f>
        <v/>
      </c>
      <c r="J140" s="537" t="str">
        <f>IFERROR(IF(PRJ_Type="New Construction",IF(Inventory!C137="N",INDEX(xyLPD_BuildingArea,MATCH(Building_Type,Lookups!$F$37:$F$75,0),4),INDEX(xyLPD_SpaceBySpace,MATCH(INDEX(xyNCEx,MATCH(I140,yNCExArea,0),2),ySpace_by_Space_Type,0),2)),VLOOKUP(E140,xyWattage_Table,11,FALSE)),"")</f>
        <v/>
      </c>
      <c r="K140" s="538" t="str">
        <f>IFERROR(IF(AND(NC_Type="Building Area Method",Inventory!C137="N"),IF(ISERROR(INDEX('Usage Groups (&gt;120 MWh only)'!$N$8:$N$12,MATCH(C140,'Usage Groups (&gt;120 MWh only)'!$B$8:$B$12,0),1))=TRUE,SqFt/COUNTIFS(Inventory!$C$10:$C$1009,"N",$Q$13:$Q$1012,"&gt;=0"),INDEX('Usage Groups (&gt;120 MWh only)'!$N$8:$N$12,MATCH(C140,'Usage Groups (&gt;120 MWh only)'!$B$8:$B$12,0),1)/COUNTIF($C$13:$C$1012,C140)),IF(AND(NC_Type="Building Area Method",Inventory!C137="Y"),INDEX(xyNCEx,MATCH(I140,yNCExArea,0),3)/COUNTIF($I$13:$I$1012,I140),VLOOKUP(J140,xyWattage_Table,10,FALSE))),"")</f>
        <v/>
      </c>
      <c r="L140" s="539" t="str">
        <f t="shared" si="47"/>
        <v/>
      </c>
      <c r="M140" s="540">
        <f>IF(Inventory!N137="","",Inventory!N137)</f>
        <v>0</v>
      </c>
      <c r="N140" s="533" t="str">
        <f t="shared" si="48"/>
        <v/>
      </c>
      <c r="O140" s="534"/>
      <c r="P140" s="533" t="str">
        <f t="shared" si="49"/>
        <v/>
      </c>
      <c r="Q140" s="534" t="str">
        <f>IF(Inventory!L137="","",Inventory!L137)</f>
        <v/>
      </c>
      <c r="R140" s="535" t="str">
        <f t="shared" si="50"/>
        <v/>
      </c>
      <c r="S140" s="536" t="str">
        <f>IF(Inventory!O137="","",Inventory!O137)</f>
        <v/>
      </c>
      <c r="T140" s="541" t="str">
        <f>IFERROR(IF(C140="","",IF(INDEX(xyWattage_Table,MATCH(M140,'Fixture Identities'!$B$9:$B$997,0),2)="Exit Sign",8760,IF(VLOOKUP(C140,xySpace_Type_Details,8,FALSE)="TRM",INDEX('General Information'!$AF$17:$AG$28,11,MATCH(N140,'General Information'!$AF$16:$AG$16,0)),HLOOKUP(VLOOKUP(C140,xySpace_Type_Details,8,FALSE),'General Information'!$P$15:$AG$28,13,FALSE)))),"")</f>
        <v/>
      </c>
      <c r="U140" s="542" t="str">
        <f>IFERROR(IF(C140="","",IF(INDEX(xyWattage_Table,MATCH(M140,'Fixture Identities'!$B$9:$B$997,0),2)="Exit Sign",1,IF(VLOOKUP(C140,xySpace_Type_Details,8,FALSE)="TRM",INDEX('General Information'!$AF$17:$AG$28,12,MATCH(N140,'General Information'!$AF$16:$AG$16,0)),HLOOKUP(VLOOKUP(C140,xySpace_Type_Details,8,FALSE),'General Information'!$P$15:$AG$28,14,FALSE)))),"")</f>
        <v/>
      </c>
      <c r="V140" s="542" t="str">
        <f>IFERROR(VLOOKUP(INDEX(xySpace_Type_Details,MATCH($C140,'General Information'!$C$40:$C$60,0),12),Lookups!$L$8:$N$12,2,FALSE),"")</f>
        <v/>
      </c>
      <c r="W140" s="542" t="str">
        <f>IFERROR(VLOOKUP(INDEX(xySpace_Type_Details,MATCH($C140,'General Information'!$C$40:$C$60,0),12),Lookups!$L$8:$N$12,3,FALSE),"")</f>
        <v/>
      </c>
      <c r="Y140" s="542" t="str">
        <f>IFERROR(IF(C140="","",IF(INDEX(xyWattage_Table,MATCH(M140,'Fixture Identities'!$B$9:$B$997,0),2)="Exit Sign",0,IF(PRJ_Type="Retrofit",VLOOKUP(I140,xySVG_Factors,2,FALSE),IF(AND(PRJ_Type="New Construction",Inventory!C137="N"),VLOOKUP(VLOOKUP(Building_Type,xyLPD_BuildingArea,5,FALSE),xySVG_Factors_NC,3,FALSE),0)))),"")</f>
        <v/>
      </c>
      <c r="Z140" s="544" t="str">
        <f>IFERROR(IF(C140="","",IF(INDEX(xyWattage_Table,MATCH(M140,'Fixture Identities'!$B$9:$B$997,0),2)="Exit Sign",0,VLOOKUP(S140,xySVG_Factors,2,FALSE))),"")</f>
        <v/>
      </c>
      <c r="AA140" s="545" t="str">
        <f t="shared" si="51"/>
        <v/>
      </c>
      <c r="AB140" s="542" t="str">
        <f t="shared" si="52"/>
        <v/>
      </c>
      <c r="AC140" s="539" t="str">
        <f t="shared" si="53"/>
        <v/>
      </c>
      <c r="AD140" s="546" t="str">
        <f t="shared" si="54"/>
        <v/>
      </c>
      <c r="AE140" s="539" t="str">
        <f t="shared" si="55"/>
        <v/>
      </c>
      <c r="AF140" s="546" t="str">
        <f t="shared" si="56"/>
        <v/>
      </c>
      <c r="AG140" s="539" t="str">
        <f t="shared" si="57"/>
        <v/>
      </c>
      <c r="AH140" s="32">
        <f t="shared" si="38"/>
        <v>0</v>
      </c>
      <c r="AI140" s="32">
        <f t="shared" si="39"/>
        <v>0</v>
      </c>
      <c r="AJ140" s="32">
        <f t="shared" si="40"/>
        <v>0</v>
      </c>
      <c r="AK140" t="str">
        <f t="shared" si="41"/>
        <v/>
      </c>
      <c r="AL140" t="str">
        <f t="shared" si="42"/>
        <v/>
      </c>
      <c r="AM140" t="str">
        <f t="shared" si="43"/>
        <v/>
      </c>
      <c r="AO140" t="str">
        <f>IFERROR(VLOOKUP(M140,'Fixture Identities'!$B$9:$O$1045,14,FALSE),"")</f>
        <v/>
      </c>
      <c r="AP140" t="str">
        <f t="shared" si="37"/>
        <v/>
      </c>
    </row>
    <row r="141" spans="1:42">
      <c r="A141" s="71">
        <f t="shared" si="58"/>
        <v>0</v>
      </c>
      <c r="B141" s="513">
        <f t="shared" si="44"/>
        <v>129</v>
      </c>
      <c r="C141" s="530" t="str">
        <f>IF(Inventory!E138="","",Inventory!E138)</f>
        <v/>
      </c>
      <c r="D141" s="531">
        <f>IF(Inventory!D138="",0,Inventory!D138)</f>
        <v>0</v>
      </c>
      <c r="E141" s="532" t="str">
        <f>IF(Inventory!I138=0,"",Inventory!I138)</f>
        <v/>
      </c>
      <c r="F141" s="533" t="str">
        <f t="shared" si="45"/>
        <v/>
      </c>
      <c r="G141" s="534" t="str">
        <f>IF(Inventory!G138="","",Inventory!G138)</f>
        <v/>
      </c>
      <c r="H141" s="535" t="str">
        <f t="shared" si="46"/>
        <v/>
      </c>
      <c r="I141" s="536" t="str">
        <f>IF(Inventory!J138="","",Inventory!J138)</f>
        <v/>
      </c>
      <c r="J141" s="537" t="str">
        <f>IFERROR(IF(PRJ_Type="New Construction",IF(Inventory!C138="N",INDEX(xyLPD_BuildingArea,MATCH(Building_Type,Lookups!$F$37:$F$75,0),4),INDEX(xyLPD_SpaceBySpace,MATCH(INDEX(xyNCEx,MATCH(I141,yNCExArea,0),2),ySpace_by_Space_Type,0),2)),VLOOKUP(E141,xyWattage_Table,11,FALSE)),"")</f>
        <v/>
      </c>
      <c r="K141" s="538" t="str">
        <f>IFERROR(IF(AND(NC_Type="Building Area Method",Inventory!C138="N"),IF(ISERROR(INDEX('Usage Groups (&gt;120 MWh only)'!$N$8:$N$12,MATCH(C141,'Usage Groups (&gt;120 MWh only)'!$B$8:$B$12,0),1))=TRUE,SqFt/COUNTIFS(Inventory!$C$10:$C$1009,"N",$Q$13:$Q$1012,"&gt;=0"),INDEX('Usage Groups (&gt;120 MWh only)'!$N$8:$N$12,MATCH(C141,'Usage Groups (&gt;120 MWh only)'!$B$8:$B$12,0),1)/COUNTIF($C$13:$C$1012,C141)),IF(AND(NC_Type="Building Area Method",Inventory!C138="Y"),INDEX(xyNCEx,MATCH(I141,yNCExArea,0),3)/COUNTIF($I$13:$I$1012,I141),VLOOKUP(J141,xyWattage_Table,10,FALSE))),"")</f>
        <v/>
      </c>
      <c r="L141" s="539" t="str">
        <f t="shared" si="47"/>
        <v/>
      </c>
      <c r="M141" s="540">
        <f>IF(Inventory!N138="","",Inventory!N138)</f>
        <v>0</v>
      </c>
      <c r="N141" s="533" t="str">
        <f t="shared" si="48"/>
        <v/>
      </c>
      <c r="O141" s="534"/>
      <c r="P141" s="533" t="str">
        <f t="shared" si="49"/>
        <v/>
      </c>
      <c r="Q141" s="534" t="str">
        <f>IF(Inventory!L138="","",Inventory!L138)</f>
        <v/>
      </c>
      <c r="R141" s="535" t="str">
        <f t="shared" si="50"/>
        <v/>
      </c>
      <c r="S141" s="536" t="str">
        <f>IF(Inventory!O138="","",Inventory!O138)</f>
        <v/>
      </c>
      <c r="T141" s="541" t="str">
        <f>IFERROR(IF(C141="","",IF(INDEX(xyWattage_Table,MATCH(M141,'Fixture Identities'!$B$9:$B$997,0),2)="Exit Sign",8760,IF(VLOOKUP(C141,xySpace_Type_Details,8,FALSE)="TRM",INDEX('General Information'!$AF$17:$AG$28,11,MATCH(N141,'General Information'!$AF$16:$AG$16,0)),HLOOKUP(VLOOKUP(C141,xySpace_Type_Details,8,FALSE),'General Information'!$P$15:$AG$28,13,FALSE)))),"")</f>
        <v/>
      </c>
      <c r="U141" s="542" t="str">
        <f>IFERROR(IF(C141="","",IF(INDEX(xyWattage_Table,MATCH(M141,'Fixture Identities'!$B$9:$B$997,0),2)="Exit Sign",1,IF(VLOOKUP(C141,xySpace_Type_Details,8,FALSE)="TRM",INDEX('General Information'!$AF$17:$AG$28,12,MATCH(N141,'General Information'!$AF$16:$AG$16,0)),HLOOKUP(VLOOKUP(C141,xySpace_Type_Details,8,FALSE),'General Information'!$P$15:$AG$28,14,FALSE)))),"")</f>
        <v/>
      </c>
      <c r="V141" s="542" t="str">
        <f>IFERROR(VLOOKUP(INDEX(xySpace_Type_Details,MATCH($C141,'General Information'!$C$40:$C$60,0),12),Lookups!$L$8:$N$12,2,FALSE),"")</f>
        <v/>
      </c>
      <c r="W141" s="542" t="str">
        <f>IFERROR(VLOOKUP(INDEX(xySpace_Type_Details,MATCH($C141,'General Information'!$C$40:$C$60,0),12),Lookups!$L$8:$N$12,3,FALSE),"")</f>
        <v/>
      </c>
      <c r="Y141" s="542" t="str">
        <f>IFERROR(IF(C141="","",IF(INDEX(xyWattage_Table,MATCH(M141,'Fixture Identities'!$B$9:$B$997,0),2)="Exit Sign",0,IF(PRJ_Type="Retrofit",VLOOKUP(I141,xySVG_Factors,2,FALSE),IF(AND(PRJ_Type="New Construction",Inventory!C138="N"),VLOOKUP(VLOOKUP(Building_Type,xyLPD_BuildingArea,5,FALSE),xySVG_Factors_NC,3,FALSE),0)))),"")</f>
        <v/>
      </c>
      <c r="Z141" s="544" t="str">
        <f>IFERROR(IF(C141="","",IF(INDEX(xyWattage_Table,MATCH(M141,'Fixture Identities'!$B$9:$B$997,0),2)="Exit Sign",0,VLOOKUP(S141,xySVG_Factors,2,FALSE))),"")</f>
        <v/>
      </c>
      <c r="AA141" s="545" t="str">
        <f t="shared" si="51"/>
        <v/>
      </c>
      <c r="AB141" s="542" t="str">
        <f t="shared" si="52"/>
        <v/>
      </c>
      <c r="AC141" s="539" t="str">
        <f t="shared" si="53"/>
        <v/>
      </c>
      <c r="AD141" s="546" t="str">
        <f t="shared" si="54"/>
        <v/>
      </c>
      <c r="AE141" s="539" t="str">
        <f t="shared" si="55"/>
        <v/>
      </c>
      <c r="AF141" s="546" t="str">
        <f t="shared" si="56"/>
        <v/>
      </c>
      <c r="AG141" s="539" t="str">
        <f t="shared" si="57"/>
        <v/>
      </c>
      <c r="AH141" s="32">
        <f t="shared" si="38"/>
        <v>0</v>
      </c>
      <c r="AI141" s="32">
        <f t="shared" si="39"/>
        <v>0</v>
      </c>
      <c r="AJ141" s="32">
        <f t="shared" si="40"/>
        <v>0</v>
      </c>
      <c r="AK141" t="str">
        <f t="shared" si="41"/>
        <v/>
      </c>
      <c r="AL141" t="str">
        <f t="shared" si="42"/>
        <v/>
      </c>
      <c r="AM141" t="str">
        <f t="shared" si="43"/>
        <v/>
      </c>
      <c r="AO141" t="str">
        <f>IFERROR(VLOOKUP(M141,'Fixture Identities'!$B$9:$O$1045,14,FALSE),"")</f>
        <v/>
      </c>
      <c r="AP141" t="str">
        <f t="shared" ref="AP141:AP204" si="59">IF(M142="Signage",G142,"")</f>
        <v/>
      </c>
    </row>
    <row r="142" spans="1:42">
      <c r="A142" s="71">
        <f t="shared" si="58"/>
        <v>0</v>
      </c>
      <c r="B142" s="513">
        <f t="shared" si="44"/>
        <v>130</v>
      </c>
      <c r="C142" s="530" t="str">
        <f>IF(Inventory!E139="","",Inventory!E139)</f>
        <v/>
      </c>
      <c r="D142" s="531">
        <f>IF(Inventory!D139="",0,Inventory!D139)</f>
        <v>0</v>
      </c>
      <c r="E142" s="532" t="str">
        <f>IF(Inventory!I139=0,"",Inventory!I139)</f>
        <v/>
      </c>
      <c r="F142" s="533" t="str">
        <f t="shared" si="45"/>
        <v/>
      </c>
      <c r="G142" s="534" t="str">
        <f>IF(Inventory!G139="","",Inventory!G139)</f>
        <v/>
      </c>
      <c r="H142" s="535" t="str">
        <f t="shared" si="46"/>
        <v/>
      </c>
      <c r="I142" s="536" t="str">
        <f>IF(Inventory!J139="","",Inventory!J139)</f>
        <v/>
      </c>
      <c r="J142" s="537" t="str">
        <f>IFERROR(IF(PRJ_Type="New Construction",IF(Inventory!C139="N",INDEX(xyLPD_BuildingArea,MATCH(Building_Type,Lookups!$F$37:$F$75,0),4),INDEX(xyLPD_SpaceBySpace,MATCH(INDEX(xyNCEx,MATCH(I142,yNCExArea,0),2),ySpace_by_Space_Type,0),2)),VLOOKUP(E142,xyWattage_Table,11,FALSE)),"")</f>
        <v/>
      </c>
      <c r="K142" s="538" t="str">
        <f>IFERROR(IF(AND(NC_Type="Building Area Method",Inventory!C139="N"),IF(ISERROR(INDEX('Usage Groups (&gt;120 MWh only)'!$N$8:$N$12,MATCH(C142,'Usage Groups (&gt;120 MWh only)'!$B$8:$B$12,0),1))=TRUE,SqFt/COUNTIFS(Inventory!$C$10:$C$1009,"N",$Q$13:$Q$1012,"&gt;=0"),INDEX('Usage Groups (&gt;120 MWh only)'!$N$8:$N$12,MATCH(C142,'Usage Groups (&gt;120 MWh only)'!$B$8:$B$12,0),1)/COUNTIF($C$13:$C$1012,C142)),IF(AND(NC_Type="Building Area Method",Inventory!C139="Y"),INDEX(xyNCEx,MATCH(I142,yNCExArea,0),3)/COUNTIF($I$13:$I$1012,I142),VLOOKUP(J142,xyWattage_Table,10,FALSE))),"")</f>
        <v/>
      </c>
      <c r="L142" s="539" t="str">
        <f t="shared" si="47"/>
        <v/>
      </c>
      <c r="M142" s="540">
        <f>IF(Inventory!N139="","",Inventory!N139)</f>
        <v>0</v>
      </c>
      <c r="N142" s="533" t="str">
        <f t="shared" si="48"/>
        <v/>
      </c>
      <c r="O142" s="534"/>
      <c r="P142" s="533" t="str">
        <f t="shared" si="49"/>
        <v/>
      </c>
      <c r="Q142" s="534" t="str">
        <f>IF(Inventory!L139="","",Inventory!L139)</f>
        <v/>
      </c>
      <c r="R142" s="535" t="str">
        <f t="shared" si="50"/>
        <v/>
      </c>
      <c r="S142" s="536" t="str">
        <f>IF(Inventory!O139="","",Inventory!O139)</f>
        <v/>
      </c>
      <c r="T142" s="541" t="str">
        <f>IFERROR(IF(C142="","",IF(INDEX(xyWattage_Table,MATCH(M142,'Fixture Identities'!$B$9:$B$997,0),2)="Exit Sign",8760,IF(VLOOKUP(C142,xySpace_Type_Details,8,FALSE)="TRM",INDEX('General Information'!$AF$17:$AG$28,11,MATCH(N142,'General Information'!$AF$16:$AG$16,0)),HLOOKUP(VLOOKUP(C142,xySpace_Type_Details,8,FALSE),'General Information'!$P$15:$AG$28,13,FALSE)))),"")</f>
        <v/>
      </c>
      <c r="U142" s="542" t="str">
        <f>IFERROR(IF(C142="","",IF(INDEX(xyWattage_Table,MATCH(M142,'Fixture Identities'!$B$9:$B$997,0),2)="Exit Sign",1,IF(VLOOKUP(C142,xySpace_Type_Details,8,FALSE)="TRM",INDEX('General Information'!$AF$17:$AG$28,12,MATCH(N142,'General Information'!$AF$16:$AG$16,0)),HLOOKUP(VLOOKUP(C142,xySpace_Type_Details,8,FALSE),'General Information'!$P$15:$AG$28,14,FALSE)))),"")</f>
        <v/>
      </c>
      <c r="V142" s="542" t="str">
        <f>IFERROR(VLOOKUP(INDEX(xySpace_Type_Details,MATCH($C142,'General Information'!$C$40:$C$60,0),12),Lookups!$L$8:$N$12,2,FALSE),"")</f>
        <v/>
      </c>
      <c r="W142" s="542" t="str">
        <f>IFERROR(VLOOKUP(INDEX(xySpace_Type_Details,MATCH($C142,'General Information'!$C$40:$C$60,0),12),Lookups!$L$8:$N$12,3,FALSE),"")</f>
        <v/>
      </c>
      <c r="Y142" s="542" t="str">
        <f>IFERROR(IF(C142="","",IF(INDEX(xyWattage_Table,MATCH(M142,'Fixture Identities'!$B$9:$B$997,0),2)="Exit Sign",0,IF(PRJ_Type="Retrofit",VLOOKUP(I142,xySVG_Factors,2,FALSE),IF(AND(PRJ_Type="New Construction",Inventory!C139="N"),VLOOKUP(VLOOKUP(Building_Type,xyLPD_BuildingArea,5,FALSE),xySVG_Factors_NC,3,FALSE),0)))),"")</f>
        <v/>
      </c>
      <c r="Z142" s="544" t="str">
        <f>IFERROR(IF(C142="","",IF(INDEX(xyWattage_Table,MATCH(M142,'Fixture Identities'!$B$9:$B$997,0),2)="Exit Sign",0,VLOOKUP(S142,xySVG_Factors,2,FALSE))),"")</f>
        <v/>
      </c>
      <c r="AA142" s="545" t="str">
        <f t="shared" si="51"/>
        <v/>
      </c>
      <c r="AB142" s="542" t="str">
        <f t="shared" si="52"/>
        <v/>
      </c>
      <c r="AC142" s="539" t="str">
        <f t="shared" si="53"/>
        <v/>
      </c>
      <c r="AD142" s="546" t="str">
        <f t="shared" si="54"/>
        <v/>
      </c>
      <c r="AE142" s="539" t="str">
        <f t="shared" si="55"/>
        <v/>
      </c>
      <c r="AF142" s="546" t="str">
        <f t="shared" si="56"/>
        <v/>
      </c>
      <c r="AG142" s="539" t="str">
        <f t="shared" si="57"/>
        <v/>
      </c>
      <c r="AH142" s="32">
        <f t="shared" ref="AH142:AH205" si="60">IF(I142&lt;&gt;S142,R142,0)</f>
        <v>0</v>
      </c>
      <c r="AI142" s="32">
        <f t="shared" ref="AI142:AI205" si="61">IFERROR(VLOOKUP(E142,xyWattage_Table,8,FALSE)*G142,0)</f>
        <v>0</v>
      </c>
      <c r="AJ142" s="32">
        <f t="shared" ref="AJ142:AJ205" si="62">IFERROR(VLOOKUP(M142,xyWattage_Table,8,FALSE)*Q142,0)</f>
        <v>0</v>
      </c>
      <c r="AK142" t="str">
        <f t="shared" ref="AK142:AK205" si="63">IFERROR((L142)/1000,"")</f>
        <v/>
      </c>
      <c r="AL142" t="str">
        <f t="shared" ref="AL142:AL205" si="64">IFERROR(AK142*U142*(1+W142)*(1-Y142),"")</f>
        <v/>
      </c>
      <c r="AM142" t="str">
        <f t="shared" ref="AM142:AM205" si="65">IFERROR(AK142*T142*(1+V142)*(1-Y142),"")</f>
        <v/>
      </c>
      <c r="AO142" t="str">
        <f>IFERROR(VLOOKUP(M142,'Fixture Identities'!$B$9:$O$1045,14,FALSE),"")</f>
        <v/>
      </c>
      <c r="AP142" t="str">
        <f t="shared" si="59"/>
        <v/>
      </c>
    </row>
    <row r="143" spans="1:42">
      <c r="A143" s="71">
        <f t="shared" si="58"/>
        <v>0</v>
      </c>
      <c r="B143" s="513">
        <f t="shared" ref="B143:B206" si="66">B142+1</f>
        <v>131</v>
      </c>
      <c r="C143" s="530" t="str">
        <f>IF(Inventory!E140="","",Inventory!E140)</f>
        <v/>
      </c>
      <c r="D143" s="531">
        <f>IF(Inventory!D140="",0,Inventory!D140)</f>
        <v>0</v>
      </c>
      <c r="E143" s="532" t="str">
        <f>IF(Inventory!I140=0,"",Inventory!I140)</f>
        <v/>
      </c>
      <c r="F143" s="533" t="str">
        <f t="shared" ref="F143:F206" si="67">IFERROR(VLOOKUP(E143,xyWattage_Table,10,FALSE),"")</f>
        <v/>
      </c>
      <c r="G143" s="534" t="str">
        <f>IF(Inventory!G140="","",Inventory!G140)</f>
        <v/>
      </c>
      <c r="H143" s="535" t="str">
        <f t="shared" ref="H143:H206" si="68">IF(G143="","",G143*F143)</f>
        <v/>
      </c>
      <c r="I143" s="536" t="str">
        <f>IF(Inventory!J140="","",Inventory!J140)</f>
        <v/>
      </c>
      <c r="J143" s="537" t="str">
        <f>IFERROR(IF(PRJ_Type="New Construction",IF(Inventory!C140="N",INDEX(xyLPD_BuildingArea,MATCH(Building_Type,Lookups!$F$37:$F$75,0),4),INDEX(xyLPD_SpaceBySpace,MATCH(INDEX(xyNCEx,MATCH(I143,yNCExArea,0),2),ySpace_by_Space_Type,0),2)),VLOOKUP(E143,xyWattage_Table,11,FALSE)),"")</f>
        <v/>
      </c>
      <c r="K143" s="538" t="str">
        <f>IFERROR(IF(AND(NC_Type="Building Area Method",Inventory!C140="N"),IF(ISERROR(INDEX('Usage Groups (&gt;120 MWh only)'!$N$8:$N$12,MATCH(C143,'Usage Groups (&gt;120 MWh only)'!$B$8:$B$12,0),1))=TRUE,SqFt/COUNTIFS(Inventory!$C$10:$C$1009,"N",$Q$13:$Q$1012,"&gt;=0"),INDEX('Usage Groups (&gt;120 MWh only)'!$N$8:$N$12,MATCH(C143,'Usage Groups (&gt;120 MWh only)'!$B$8:$B$12,0),1)/COUNTIF($C$13:$C$1012,C143)),IF(AND(NC_Type="Building Area Method",Inventory!C140="Y"),INDEX(xyNCEx,MATCH(I143,yNCExArea,0),3)/COUNTIF($I$13:$I$1012,I143),VLOOKUP(J143,xyWattage_Table,10,FALSE))),"")</f>
        <v/>
      </c>
      <c r="L143" s="539" t="str">
        <f t="shared" ref="L143:L206" si="69">IFERROR(IF(PRJ_Type="New Construction",J143*K143,IF(G143="","",K143*G143)),"")</f>
        <v/>
      </c>
      <c r="M143" s="540">
        <f>IF(Inventory!N140="","",Inventory!N140)</f>
        <v>0</v>
      </c>
      <c r="N143" s="533" t="str">
        <f t="shared" ref="N143:N206" si="70">IFERROR(VLOOKUP(M143,xyWattage_Table,12,FALSE),"")</f>
        <v/>
      </c>
      <c r="O143" s="534"/>
      <c r="P143" s="533" t="str">
        <f t="shared" ref="P143:P206" si="71">IFERROR(VLOOKUP(M143,xyWattage_Table,10,FALSE),"")</f>
        <v/>
      </c>
      <c r="Q143" s="534" t="str">
        <f>IF(Inventory!L140="","",Inventory!L140)</f>
        <v/>
      </c>
      <c r="R143" s="535" t="str">
        <f t="shared" ref="R143:R206" si="72">IF(P143="","",Q143*P143)</f>
        <v/>
      </c>
      <c r="S143" s="536" t="str">
        <f>IF(Inventory!O140="","",Inventory!O140)</f>
        <v/>
      </c>
      <c r="T143" s="541" t="str">
        <f>IFERROR(IF(C143="","",IF(INDEX(xyWattage_Table,MATCH(M143,'Fixture Identities'!$B$9:$B$997,0),2)="Exit Sign",8760,IF(VLOOKUP(C143,xySpace_Type_Details,8,FALSE)="TRM",INDEX('General Information'!$AF$17:$AG$28,11,MATCH(N143,'General Information'!$AF$16:$AG$16,0)),HLOOKUP(VLOOKUP(C143,xySpace_Type_Details,8,FALSE),'General Information'!$P$15:$AG$28,13,FALSE)))),"")</f>
        <v/>
      </c>
      <c r="U143" s="542" t="str">
        <f>IFERROR(IF(C143="","",IF(INDEX(xyWattage_Table,MATCH(M143,'Fixture Identities'!$B$9:$B$997,0),2)="Exit Sign",1,IF(VLOOKUP(C143,xySpace_Type_Details,8,FALSE)="TRM",INDEX('General Information'!$AF$17:$AG$28,12,MATCH(N143,'General Information'!$AF$16:$AG$16,0)),HLOOKUP(VLOOKUP(C143,xySpace_Type_Details,8,FALSE),'General Information'!$P$15:$AG$28,14,FALSE)))),"")</f>
        <v/>
      </c>
      <c r="V143" s="542" t="str">
        <f>IFERROR(VLOOKUP(INDEX(xySpace_Type_Details,MATCH($C143,'General Information'!$C$40:$C$60,0),12),Lookups!$L$8:$N$12,2,FALSE),"")</f>
        <v/>
      </c>
      <c r="W143" s="542" t="str">
        <f>IFERROR(VLOOKUP(INDEX(xySpace_Type_Details,MATCH($C143,'General Information'!$C$40:$C$60,0),12),Lookups!$L$8:$N$12,3,FALSE),"")</f>
        <v/>
      </c>
      <c r="Y143" s="542" t="str">
        <f>IFERROR(IF(C143="","",IF(INDEX(xyWattage_Table,MATCH(M143,'Fixture Identities'!$B$9:$B$997,0),2)="Exit Sign",0,IF(PRJ_Type="Retrofit",VLOOKUP(I143,xySVG_Factors,2,FALSE),IF(AND(PRJ_Type="New Construction",Inventory!C140="N"),VLOOKUP(VLOOKUP(Building_Type,xyLPD_BuildingArea,5,FALSE),xySVG_Factors_NC,3,FALSE),0)))),"")</f>
        <v/>
      </c>
      <c r="Z143" s="544" t="str">
        <f>IFERROR(IF(C143="","",IF(INDEX(xyWattage_Table,MATCH(M143,'Fixture Identities'!$B$9:$B$997,0),2)="Exit Sign",0,VLOOKUP(S143,xySVG_Factors,2,FALSE))),"")</f>
        <v/>
      </c>
      <c r="AA143" s="545" t="str">
        <f t="shared" ref="AA143:AA206" si="73">IFERROR((L143-R143)/1000,"")</f>
        <v/>
      </c>
      <c r="AB143" s="542" t="str">
        <f t="shared" ref="AB143:AB206" si="74">IFERROR(AA143*U143*(1+W143)*(1-Y143),"")</f>
        <v/>
      </c>
      <c r="AC143" s="539" t="str">
        <f t="shared" ref="AC143:AC206" si="75">IFERROR(AA143*T143*(1+V143)*(1-Y143),"")</f>
        <v/>
      </c>
      <c r="AD143" s="546" t="str">
        <f t="shared" ref="AD143:AD206" si="76">IFERROR(R143/1000*(Z143-Y143)*(1+W143)*U143,"")</f>
        <v/>
      </c>
      <c r="AE143" s="539" t="str">
        <f t="shared" ref="AE143:AE206" si="77">IFERROR(R143/1000*T143*(Z143-Y143)*(1+V143),"")</f>
        <v/>
      </c>
      <c r="AF143" s="546" t="str">
        <f t="shared" ref="AF143:AF206" si="78">IFERROR(AB143+AD143,"")</f>
        <v/>
      </c>
      <c r="AG143" s="539" t="str">
        <f t="shared" ref="AG143:AG206" si="79">IFERROR(AC143+AE143,"")</f>
        <v/>
      </c>
      <c r="AH143" s="32">
        <f t="shared" si="60"/>
        <v>0</v>
      </c>
      <c r="AI143" s="32">
        <f t="shared" si="61"/>
        <v>0</v>
      </c>
      <c r="AJ143" s="32">
        <f t="shared" si="62"/>
        <v>0</v>
      </c>
      <c r="AK143" t="str">
        <f t="shared" si="63"/>
        <v/>
      </c>
      <c r="AL143" t="str">
        <f t="shared" si="64"/>
        <v/>
      </c>
      <c r="AM143" t="str">
        <f t="shared" si="65"/>
        <v/>
      </c>
      <c r="AO143" t="str">
        <f>IFERROR(VLOOKUP(M143,'Fixture Identities'!$B$9:$O$1045,14,FALSE),"")</f>
        <v/>
      </c>
      <c r="AP143" t="str">
        <f t="shared" si="59"/>
        <v/>
      </c>
    </row>
    <row r="144" spans="1:42">
      <c r="A144" s="71">
        <f t="shared" si="58"/>
        <v>0</v>
      </c>
      <c r="B144" s="513">
        <f t="shared" si="66"/>
        <v>132</v>
      </c>
      <c r="C144" s="530" t="str">
        <f>IF(Inventory!E141="","",Inventory!E141)</f>
        <v/>
      </c>
      <c r="D144" s="531">
        <f>IF(Inventory!D141="",0,Inventory!D141)</f>
        <v>0</v>
      </c>
      <c r="E144" s="532" t="str">
        <f>IF(Inventory!I141=0,"",Inventory!I141)</f>
        <v/>
      </c>
      <c r="F144" s="533" t="str">
        <f t="shared" si="67"/>
        <v/>
      </c>
      <c r="G144" s="534" t="str">
        <f>IF(Inventory!G141="","",Inventory!G141)</f>
        <v/>
      </c>
      <c r="H144" s="535" t="str">
        <f t="shared" si="68"/>
        <v/>
      </c>
      <c r="I144" s="536" t="str">
        <f>IF(Inventory!J141="","",Inventory!J141)</f>
        <v/>
      </c>
      <c r="J144" s="537" t="str">
        <f>IFERROR(IF(PRJ_Type="New Construction",IF(Inventory!C141="N",INDEX(xyLPD_BuildingArea,MATCH(Building_Type,Lookups!$F$37:$F$75,0),4),INDEX(xyLPD_SpaceBySpace,MATCH(INDEX(xyNCEx,MATCH(I144,yNCExArea,0),2),ySpace_by_Space_Type,0),2)),VLOOKUP(E144,xyWattage_Table,11,FALSE)),"")</f>
        <v/>
      </c>
      <c r="K144" s="538" t="str">
        <f>IFERROR(IF(AND(NC_Type="Building Area Method",Inventory!C141="N"),IF(ISERROR(INDEX('Usage Groups (&gt;120 MWh only)'!$N$8:$N$12,MATCH(C144,'Usage Groups (&gt;120 MWh only)'!$B$8:$B$12,0),1))=TRUE,SqFt/COUNTIFS(Inventory!$C$10:$C$1009,"N",$Q$13:$Q$1012,"&gt;=0"),INDEX('Usage Groups (&gt;120 MWh only)'!$N$8:$N$12,MATCH(C144,'Usage Groups (&gt;120 MWh only)'!$B$8:$B$12,0),1)/COUNTIF($C$13:$C$1012,C144)),IF(AND(NC_Type="Building Area Method",Inventory!C141="Y"),INDEX(xyNCEx,MATCH(I144,yNCExArea,0),3)/COUNTIF($I$13:$I$1012,I144),VLOOKUP(J144,xyWattage_Table,10,FALSE))),"")</f>
        <v/>
      </c>
      <c r="L144" s="539" t="str">
        <f t="shared" si="69"/>
        <v/>
      </c>
      <c r="M144" s="540">
        <f>IF(Inventory!N141="","",Inventory!N141)</f>
        <v>0</v>
      </c>
      <c r="N144" s="533" t="str">
        <f t="shared" si="70"/>
        <v/>
      </c>
      <c r="O144" s="534"/>
      <c r="P144" s="533" t="str">
        <f t="shared" si="71"/>
        <v/>
      </c>
      <c r="Q144" s="534" t="str">
        <f>IF(Inventory!L141="","",Inventory!L141)</f>
        <v/>
      </c>
      <c r="R144" s="535" t="str">
        <f t="shared" si="72"/>
        <v/>
      </c>
      <c r="S144" s="536" t="str">
        <f>IF(Inventory!O141="","",Inventory!O141)</f>
        <v/>
      </c>
      <c r="T144" s="541" t="str">
        <f>IFERROR(IF(C144="","",IF(INDEX(xyWattage_Table,MATCH(M144,'Fixture Identities'!$B$9:$B$997,0),2)="Exit Sign",8760,IF(VLOOKUP(C144,xySpace_Type_Details,8,FALSE)="TRM",INDEX('General Information'!$AF$17:$AG$28,11,MATCH(N144,'General Information'!$AF$16:$AG$16,0)),HLOOKUP(VLOOKUP(C144,xySpace_Type_Details,8,FALSE),'General Information'!$P$15:$AG$28,13,FALSE)))),"")</f>
        <v/>
      </c>
      <c r="U144" s="542" t="str">
        <f>IFERROR(IF(C144="","",IF(INDEX(xyWattage_Table,MATCH(M144,'Fixture Identities'!$B$9:$B$997,0),2)="Exit Sign",1,IF(VLOOKUP(C144,xySpace_Type_Details,8,FALSE)="TRM",INDEX('General Information'!$AF$17:$AG$28,12,MATCH(N144,'General Information'!$AF$16:$AG$16,0)),HLOOKUP(VLOOKUP(C144,xySpace_Type_Details,8,FALSE),'General Information'!$P$15:$AG$28,14,FALSE)))),"")</f>
        <v/>
      </c>
      <c r="V144" s="542" t="str">
        <f>IFERROR(VLOOKUP(INDEX(xySpace_Type_Details,MATCH($C144,'General Information'!$C$40:$C$60,0),12),Lookups!$L$8:$N$12,2,FALSE),"")</f>
        <v/>
      </c>
      <c r="W144" s="542" t="str">
        <f>IFERROR(VLOOKUP(INDEX(xySpace_Type_Details,MATCH($C144,'General Information'!$C$40:$C$60,0),12),Lookups!$L$8:$N$12,3,FALSE),"")</f>
        <v/>
      </c>
      <c r="Y144" s="542" t="str">
        <f>IFERROR(IF(C144="","",IF(INDEX(xyWattage_Table,MATCH(M144,'Fixture Identities'!$B$9:$B$997,0),2)="Exit Sign",0,IF(PRJ_Type="Retrofit",VLOOKUP(I144,xySVG_Factors,2,FALSE),IF(AND(PRJ_Type="New Construction",Inventory!C141="N"),VLOOKUP(VLOOKUP(Building_Type,xyLPD_BuildingArea,5,FALSE),xySVG_Factors_NC,3,FALSE),0)))),"")</f>
        <v/>
      </c>
      <c r="Z144" s="544" t="str">
        <f>IFERROR(IF(C144="","",IF(INDEX(xyWattage_Table,MATCH(M144,'Fixture Identities'!$B$9:$B$997,0),2)="Exit Sign",0,VLOOKUP(S144,xySVG_Factors,2,FALSE))),"")</f>
        <v/>
      </c>
      <c r="AA144" s="545" t="str">
        <f t="shared" si="73"/>
        <v/>
      </c>
      <c r="AB144" s="542" t="str">
        <f t="shared" si="74"/>
        <v/>
      </c>
      <c r="AC144" s="539" t="str">
        <f t="shared" si="75"/>
        <v/>
      </c>
      <c r="AD144" s="546" t="str">
        <f t="shared" si="76"/>
        <v/>
      </c>
      <c r="AE144" s="539" t="str">
        <f t="shared" si="77"/>
        <v/>
      </c>
      <c r="AF144" s="546" t="str">
        <f t="shared" si="78"/>
        <v/>
      </c>
      <c r="AG144" s="539" t="str">
        <f t="shared" si="79"/>
        <v/>
      </c>
      <c r="AH144" s="32">
        <f t="shared" si="60"/>
        <v>0</v>
      </c>
      <c r="AI144" s="32">
        <f t="shared" si="61"/>
        <v>0</v>
      </c>
      <c r="AJ144" s="32">
        <f t="shared" si="62"/>
        <v>0</v>
      </c>
      <c r="AK144" t="str">
        <f t="shared" si="63"/>
        <v/>
      </c>
      <c r="AL144" t="str">
        <f t="shared" si="64"/>
        <v/>
      </c>
      <c r="AM144" t="str">
        <f t="shared" si="65"/>
        <v/>
      </c>
      <c r="AO144" t="str">
        <f>IFERROR(VLOOKUP(M144,'Fixture Identities'!$B$9:$O$1045,14,FALSE),"")</f>
        <v/>
      </c>
      <c r="AP144" t="str">
        <f t="shared" si="59"/>
        <v/>
      </c>
    </row>
    <row r="145" spans="1:42">
      <c r="A145" s="71">
        <f t="shared" si="58"/>
        <v>0</v>
      </c>
      <c r="B145" s="513">
        <f t="shared" si="66"/>
        <v>133</v>
      </c>
      <c r="C145" s="530" t="str">
        <f>IF(Inventory!E142="","",Inventory!E142)</f>
        <v/>
      </c>
      <c r="D145" s="531">
        <f>IF(Inventory!D142="",0,Inventory!D142)</f>
        <v>0</v>
      </c>
      <c r="E145" s="532" t="str">
        <f>IF(Inventory!I142=0,"",Inventory!I142)</f>
        <v/>
      </c>
      <c r="F145" s="533" t="str">
        <f t="shared" si="67"/>
        <v/>
      </c>
      <c r="G145" s="534" t="str">
        <f>IF(Inventory!G142="","",Inventory!G142)</f>
        <v/>
      </c>
      <c r="H145" s="535" t="str">
        <f t="shared" si="68"/>
        <v/>
      </c>
      <c r="I145" s="536" t="str">
        <f>IF(Inventory!J142="","",Inventory!J142)</f>
        <v/>
      </c>
      <c r="J145" s="537" t="str">
        <f>IFERROR(IF(PRJ_Type="New Construction",IF(Inventory!C142="N",INDEX(xyLPD_BuildingArea,MATCH(Building_Type,Lookups!$F$37:$F$75,0),4),INDEX(xyLPD_SpaceBySpace,MATCH(INDEX(xyNCEx,MATCH(I145,yNCExArea,0),2),ySpace_by_Space_Type,0),2)),VLOOKUP(E145,xyWattage_Table,11,FALSE)),"")</f>
        <v/>
      </c>
      <c r="K145" s="538" t="str">
        <f>IFERROR(IF(AND(NC_Type="Building Area Method",Inventory!C142="N"),IF(ISERROR(INDEX('Usage Groups (&gt;120 MWh only)'!$N$8:$N$12,MATCH(C145,'Usage Groups (&gt;120 MWh only)'!$B$8:$B$12,0),1))=TRUE,SqFt/COUNTIFS(Inventory!$C$10:$C$1009,"N",$Q$13:$Q$1012,"&gt;=0"),INDEX('Usage Groups (&gt;120 MWh only)'!$N$8:$N$12,MATCH(C145,'Usage Groups (&gt;120 MWh only)'!$B$8:$B$12,0),1)/COUNTIF($C$13:$C$1012,C145)),IF(AND(NC_Type="Building Area Method",Inventory!C142="Y"),INDEX(xyNCEx,MATCH(I145,yNCExArea,0),3)/COUNTIF($I$13:$I$1012,I145),VLOOKUP(J145,xyWattage_Table,10,FALSE))),"")</f>
        <v/>
      </c>
      <c r="L145" s="539" t="str">
        <f t="shared" si="69"/>
        <v/>
      </c>
      <c r="M145" s="540">
        <f>IF(Inventory!N142="","",Inventory!N142)</f>
        <v>0</v>
      </c>
      <c r="N145" s="533" t="str">
        <f t="shared" si="70"/>
        <v/>
      </c>
      <c r="O145" s="534"/>
      <c r="P145" s="533" t="str">
        <f t="shared" si="71"/>
        <v/>
      </c>
      <c r="Q145" s="534" t="str">
        <f>IF(Inventory!L142="","",Inventory!L142)</f>
        <v/>
      </c>
      <c r="R145" s="535" t="str">
        <f t="shared" si="72"/>
        <v/>
      </c>
      <c r="S145" s="536" t="str">
        <f>IF(Inventory!O142="","",Inventory!O142)</f>
        <v/>
      </c>
      <c r="T145" s="541" t="str">
        <f>IFERROR(IF(C145="","",IF(INDEX(xyWattage_Table,MATCH(M145,'Fixture Identities'!$B$9:$B$997,0),2)="Exit Sign",8760,IF(VLOOKUP(C145,xySpace_Type_Details,8,FALSE)="TRM",INDEX('General Information'!$AF$17:$AG$28,11,MATCH(N145,'General Information'!$AF$16:$AG$16,0)),HLOOKUP(VLOOKUP(C145,xySpace_Type_Details,8,FALSE),'General Information'!$P$15:$AG$28,13,FALSE)))),"")</f>
        <v/>
      </c>
      <c r="U145" s="542" t="str">
        <f>IFERROR(IF(C145="","",IF(INDEX(xyWattage_Table,MATCH(M145,'Fixture Identities'!$B$9:$B$997,0),2)="Exit Sign",1,IF(VLOOKUP(C145,xySpace_Type_Details,8,FALSE)="TRM",INDEX('General Information'!$AF$17:$AG$28,12,MATCH(N145,'General Information'!$AF$16:$AG$16,0)),HLOOKUP(VLOOKUP(C145,xySpace_Type_Details,8,FALSE),'General Information'!$P$15:$AG$28,14,FALSE)))),"")</f>
        <v/>
      </c>
      <c r="V145" s="542" t="str">
        <f>IFERROR(VLOOKUP(INDEX(xySpace_Type_Details,MATCH($C145,'General Information'!$C$40:$C$60,0),12),Lookups!$L$8:$N$12,2,FALSE),"")</f>
        <v/>
      </c>
      <c r="W145" s="542" t="str">
        <f>IFERROR(VLOOKUP(INDEX(xySpace_Type_Details,MATCH($C145,'General Information'!$C$40:$C$60,0),12),Lookups!$L$8:$N$12,3,FALSE),"")</f>
        <v/>
      </c>
      <c r="Y145" s="542" t="str">
        <f>IFERROR(IF(C145="","",IF(INDEX(xyWattage_Table,MATCH(M145,'Fixture Identities'!$B$9:$B$997,0),2)="Exit Sign",0,IF(PRJ_Type="Retrofit",VLOOKUP(I145,xySVG_Factors,2,FALSE),IF(AND(PRJ_Type="New Construction",Inventory!C142="N"),VLOOKUP(VLOOKUP(Building_Type,xyLPD_BuildingArea,5,FALSE),xySVG_Factors_NC,3,FALSE),0)))),"")</f>
        <v/>
      </c>
      <c r="Z145" s="544" t="str">
        <f>IFERROR(IF(C145="","",IF(INDEX(xyWattage_Table,MATCH(M145,'Fixture Identities'!$B$9:$B$997,0),2)="Exit Sign",0,VLOOKUP(S145,xySVG_Factors,2,FALSE))),"")</f>
        <v/>
      </c>
      <c r="AA145" s="545" t="str">
        <f t="shared" si="73"/>
        <v/>
      </c>
      <c r="AB145" s="542" t="str">
        <f t="shared" si="74"/>
        <v/>
      </c>
      <c r="AC145" s="539" t="str">
        <f t="shared" si="75"/>
        <v/>
      </c>
      <c r="AD145" s="546" t="str">
        <f t="shared" si="76"/>
        <v/>
      </c>
      <c r="AE145" s="539" t="str">
        <f t="shared" si="77"/>
        <v/>
      </c>
      <c r="AF145" s="546" t="str">
        <f t="shared" si="78"/>
        <v/>
      </c>
      <c r="AG145" s="539" t="str">
        <f t="shared" si="79"/>
        <v/>
      </c>
      <c r="AH145" s="32">
        <f t="shared" si="60"/>
        <v>0</v>
      </c>
      <c r="AI145" s="32">
        <f t="shared" si="61"/>
        <v>0</v>
      </c>
      <c r="AJ145" s="32">
        <f t="shared" si="62"/>
        <v>0</v>
      </c>
      <c r="AK145" t="str">
        <f t="shared" si="63"/>
        <v/>
      </c>
      <c r="AL145" t="str">
        <f t="shared" si="64"/>
        <v/>
      </c>
      <c r="AM145" t="str">
        <f t="shared" si="65"/>
        <v/>
      </c>
      <c r="AO145" t="str">
        <f>IFERROR(VLOOKUP(M145,'Fixture Identities'!$B$9:$O$1045,14,FALSE),"")</f>
        <v/>
      </c>
      <c r="AP145" t="str">
        <f t="shared" si="59"/>
        <v/>
      </c>
    </row>
    <row r="146" spans="1:42">
      <c r="A146" s="71">
        <f t="shared" ref="A146:A209" si="80">IF(E146&lt;&gt;J146,1,0)</f>
        <v>0</v>
      </c>
      <c r="B146" s="513">
        <f t="shared" si="66"/>
        <v>134</v>
      </c>
      <c r="C146" s="530" t="str">
        <f>IF(Inventory!E143="","",Inventory!E143)</f>
        <v/>
      </c>
      <c r="D146" s="531">
        <f>IF(Inventory!D143="",0,Inventory!D143)</f>
        <v>0</v>
      </c>
      <c r="E146" s="532" t="str">
        <f>IF(Inventory!I143=0,"",Inventory!I143)</f>
        <v/>
      </c>
      <c r="F146" s="533" t="str">
        <f t="shared" si="67"/>
        <v/>
      </c>
      <c r="G146" s="534" t="str">
        <f>IF(Inventory!G143="","",Inventory!G143)</f>
        <v/>
      </c>
      <c r="H146" s="535" t="str">
        <f t="shared" si="68"/>
        <v/>
      </c>
      <c r="I146" s="536" t="str">
        <f>IF(Inventory!J143="","",Inventory!J143)</f>
        <v/>
      </c>
      <c r="J146" s="537" t="str">
        <f>IFERROR(IF(PRJ_Type="New Construction",IF(Inventory!C143="N",INDEX(xyLPD_BuildingArea,MATCH(Building_Type,Lookups!$F$37:$F$75,0),4),INDEX(xyLPD_SpaceBySpace,MATCH(INDEX(xyNCEx,MATCH(I146,yNCExArea,0),2),ySpace_by_Space_Type,0),2)),VLOOKUP(E146,xyWattage_Table,11,FALSE)),"")</f>
        <v/>
      </c>
      <c r="K146" s="538" t="str">
        <f>IFERROR(IF(AND(NC_Type="Building Area Method",Inventory!C143="N"),IF(ISERROR(INDEX('Usage Groups (&gt;120 MWh only)'!$N$8:$N$12,MATCH(C146,'Usage Groups (&gt;120 MWh only)'!$B$8:$B$12,0),1))=TRUE,SqFt/COUNTIFS(Inventory!$C$10:$C$1009,"N",$Q$13:$Q$1012,"&gt;=0"),INDEX('Usage Groups (&gt;120 MWh only)'!$N$8:$N$12,MATCH(C146,'Usage Groups (&gt;120 MWh only)'!$B$8:$B$12,0),1)/COUNTIF($C$13:$C$1012,C146)),IF(AND(NC_Type="Building Area Method",Inventory!C143="Y"),INDEX(xyNCEx,MATCH(I146,yNCExArea,0),3)/COUNTIF($I$13:$I$1012,I146),VLOOKUP(J146,xyWattage_Table,10,FALSE))),"")</f>
        <v/>
      </c>
      <c r="L146" s="539" t="str">
        <f t="shared" si="69"/>
        <v/>
      </c>
      <c r="M146" s="540">
        <f>IF(Inventory!N143="","",Inventory!N143)</f>
        <v>0</v>
      </c>
      <c r="N146" s="533" t="str">
        <f t="shared" si="70"/>
        <v/>
      </c>
      <c r="O146" s="534"/>
      <c r="P146" s="533" t="str">
        <f t="shared" si="71"/>
        <v/>
      </c>
      <c r="Q146" s="534" t="str">
        <f>IF(Inventory!L143="","",Inventory!L143)</f>
        <v/>
      </c>
      <c r="R146" s="535" t="str">
        <f t="shared" si="72"/>
        <v/>
      </c>
      <c r="S146" s="536" t="str">
        <f>IF(Inventory!O143="","",Inventory!O143)</f>
        <v/>
      </c>
      <c r="T146" s="541" t="str">
        <f>IFERROR(IF(C146="","",IF(INDEX(xyWattage_Table,MATCH(M146,'Fixture Identities'!$B$9:$B$997,0),2)="Exit Sign",8760,IF(VLOOKUP(C146,xySpace_Type_Details,8,FALSE)="TRM",INDEX('General Information'!$AF$17:$AG$28,11,MATCH(N146,'General Information'!$AF$16:$AG$16,0)),HLOOKUP(VLOOKUP(C146,xySpace_Type_Details,8,FALSE),'General Information'!$P$15:$AG$28,13,FALSE)))),"")</f>
        <v/>
      </c>
      <c r="U146" s="542" t="str">
        <f>IFERROR(IF(C146="","",IF(INDEX(xyWattage_Table,MATCH(M146,'Fixture Identities'!$B$9:$B$997,0),2)="Exit Sign",1,IF(VLOOKUP(C146,xySpace_Type_Details,8,FALSE)="TRM",INDEX('General Information'!$AF$17:$AG$28,12,MATCH(N146,'General Information'!$AF$16:$AG$16,0)),HLOOKUP(VLOOKUP(C146,xySpace_Type_Details,8,FALSE),'General Information'!$P$15:$AG$28,14,FALSE)))),"")</f>
        <v/>
      </c>
      <c r="V146" s="542" t="str">
        <f>IFERROR(VLOOKUP(INDEX(xySpace_Type_Details,MATCH($C146,'General Information'!$C$40:$C$60,0),12),Lookups!$L$8:$N$12,2,FALSE),"")</f>
        <v/>
      </c>
      <c r="W146" s="542" t="str">
        <f>IFERROR(VLOOKUP(INDEX(xySpace_Type_Details,MATCH($C146,'General Information'!$C$40:$C$60,0),12),Lookups!$L$8:$N$12,3,FALSE),"")</f>
        <v/>
      </c>
      <c r="Y146" s="542" t="str">
        <f>IFERROR(IF(C146="","",IF(INDEX(xyWattage_Table,MATCH(M146,'Fixture Identities'!$B$9:$B$997,0),2)="Exit Sign",0,IF(PRJ_Type="Retrofit",VLOOKUP(I146,xySVG_Factors,2,FALSE),IF(AND(PRJ_Type="New Construction",Inventory!C143="N"),VLOOKUP(VLOOKUP(Building_Type,xyLPD_BuildingArea,5,FALSE),xySVG_Factors_NC,3,FALSE),0)))),"")</f>
        <v/>
      </c>
      <c r="Z146" s="544" t="str">
        <f>IFERROR(IF(C146="","",IF(INDEX(xyWattage_Table,MATCH(M146,'Fixture Identities'!$B$9:$B$997,0),2)="Exit Sign",0,VLOOKUP(S146,xySVG_Factors,2,FALSE))),"")</f>
        <v/>
      </c>
      <c r="AA146" s="545" t="str">
        <f t="shared" si="73"/>
        <v/>
      </c>
      <c r="AB146" s="542" t="str">
        <f t="shared" si="74"/>
        <v/>
      </c>
      <c r="AC146" s="539" t="str">
        <f t="shared" si="75"/>
        <v/>
      </c>
      <c r="AD146" s="546" t="str">
        <f t="shared" si="76"/>
        <v/>
      </c>
      <c r="AE146" s="539" t="str">
        <f t="shared" si="77"/>
        <v/>
      </c>
      <c r="AF146" s="546" t="str">
        <f t="shared" si="78"/>
        <v/>
      </c>
      <c r="AG146" s="539" t="str">
        <f t="shared" si="79"/>
        <v/>
      </c>
      <c r="AH146" s="32">
        <f t="shared" si="60"/>
        <v>0</v>
      </c>
      <c r="AI146" s="32">
        <f t="shared" si="61"/>
        <v>0</v>
      </c>
      <c r="AJ146" s="32">
        <f t="shared" si="62"/>
        <v>0</v>
      </c>
      <c r="AK146" t="str">
        <f t="shared" si="63"/>
        <v/>
      </c>
      <c r="AL146" t="str">
        <f t="shared" si="64"/>
        <v/>
      </c>
      <c r="AM146" t="str">
        <f t="shared" si="65"/>
        <v/>
      </c>
      <c r="AO146" t="str">
        <f>IFERROR(VLOOKUP(M146,'Fixture Identities'!$B$9:$O$1045,14,FALSE),"")</f>
        <v/>
      </c>
      <c r="AP146" t="str">
        <f t="shared" si="59"/>
        <v/>
      </c>
    </row>
    <row r="147" spans="1:42">
      <c r="A147" s="71">
        <f t="shared" si="80"/>
        <v>0</v>
      </c>
      <c r="B147" s="513">
        <f t="shared" si="66"/>
        <v>135</v>
      </c>
      <c r="C147" s="530" t="str">
        <f>IF(Inventory!E144="","",Inventory!E144)</f>
        <v/>
      </c>
      <c r="D147" s="531">
        <f>IF(Inventory!D144="",0,Inventory!D144)</f>
        <v>0</v>
      </c>
      <c r="E147" s="532" t="str">
        <f>IF(Inventory!I144=0,"",Inventory!I144)</f>
        <v/>
      </c>
      <c r="F147" s="533" t="str">
        <f t="shared" si="67"/>
        <v/>
      </c>
      <c r="G147" s="534" t="str">
        <f>IF(Inventory!G144="","",Inventory!G144)</f>
        <v/>
      </c>
      <c r="H147" s="535" t="str">
        <f t="shared" si="68"/>
        <v/>
      </c>
      <c r="I147" s="536" t="str">
        <f>IF(Inventory!J144="","",Inventory!J144)</f>
        <v/>
      </c>
      <c r="J147" s="537" t="str">
        <f>IFERROR(IF(PRJ_Type="New Construction",IF(Inventory!C144="N",INDEX(xyLPD_BuildingArea,MATCH(Building_Type,Lookups!$F$37:$F$75,0),4),INDEX(xyLPD_SpaceBySpace,MATCH(INDEX(xyNCEx,MATCH(I147,yNCExArea,0),2),ySpace_by_Space_Type,0),2)),VLOOKUP(E147,xyWattage_Table,11,FALSE)),"")</f>
        <v/>
      </c>
      <c r="K147" s="538" t="str">
        <f>IFERROR(IF(AND(NC_Type="Building Area Method",Inventory!C144="N"),IF(ISERROR(INDEX('Usage Groups (&gt;120 MWh only)'!$N$8:$N$12,MATCH(C147,'Usage Groups (&gt;120 MWh only)'!$B$8:$B$12,0),1))=TRUE,SqFt/COUNTIFS(Inventory!$C$10:$C$1009,"N",$Q$13:$Q$1012,"&gt;=0"),INDEX('Usage Groups (&gt;120 MWh only)'!$N$8:$N$12,MATCH(C147,'Usage Groups (&gt;120 MWh only)'!$B$8:$B$12,0),1)/COUNTIF($C$13:$C$1012,C147)),IF(AND(NC_Type="Building Area Method",Inventory!C144="Y"),INDEX(xyNCEx,MATCH(I147,yNCExArea,0),3)/COUNTIF($I$13:$I$1012,I147),VLOOKUP(J147,xyWattage_Table,10,FALSE))),"")</f>
        <v/>
      </c>
      <c r="L147" s="539" t="str">
        <f t="shared" si="69"/>
        <v/>
      </c>
      <c r="M147" s="540">
        <f>IF(Inventory!N144="","",Inventory!N144)</f>
        <v>0</v>
      </c>
      <c r="N147" s="533" t="str">
        <f t="shared" si="70"/>
        <v/>
      </c>
      <c r="O147" s="534"/>
      <c r="P147" s="533" t="str">
        <f t="shared" si="71"/>
        <v/>
      </c>
      <c r="Q147" s="534" t="str">
        <f>IF(Inventory!L144="","",Inventory!L144)</f>
        <v/>
      </c>
      <c r="R147" s="535" t="str">
        <f t="shared" si="72"/>
        <v/>
      </c>
      <c r="S147" s="536" t="str">
        <f>IF(Inventory!O144="","",Inventory!O144)</f>
        <v/>
      </c>
      <c r="T147" s="541" t="str">
        <f>IFERROR(IF(C147="","",IF(INDEX(xyWattage_Table,MATCH(M147,'Fixture Identities'!$B$9:$B$997,0),2)="Exit Sign",8760,IF(VLOOKUP(C147,xySpace_Type_Details,8,FALSE)="TRM",INDEX('General Information'!$AF$17:$AG$28,11,MATCH(N147,'General Information'!$AF$16:$AG$16,0)),HLOOKUP(VLOOKUP(C147,xySpace_Type_Details,8,FALSE),'General Information'!$P$15:$AG$28,13,FALSE)))),"")</f>
        <v/>
      </c>
      <c r="U147" s="542" t="str">
        <f>IFERROR(IF(C147="","",IF(INDEX(xyWattage_Table,MATCH(M147,'Fixture Identities'!$B$9:$B$997,0),2)="Exit Sign",1,IF(VLOOKUP(C147,xySpace_Type_Details,8,FALSE)="TRM",INDEX('General Information'!$AF$17:$AG$28,12,MATCH(N147,'General Information'!$AF$16:$AG$16,0)),HLOOKUP(VLOOKUP(C147,xySpace_Type_Details,8,FALSE),'General Information'!$P$15:$AG$28,14,FALSE)))),"")</f>
        <v/>
      </c>
      <c r="V147" s="542" t="str">
        <f>IFERROR(VLOOKUP(INDEX(xySpace_Type_Details,MATCH($C147,'General Information'!$C$40:$C$60,0),12),Lookups!$L$8:$N$12,2,FALSE),"")</f>
        <v/>
      </c>
      <c r="W147" s="542" t="str">
        <f>IFERROR(VLOOKUP(INDEX(xySpace_Type_Details,MATCH($C147,'General Information'!$C$40:$C$60,0),12),Lookups!$L$8:$N$12,3,FALSE),"")</f>
        <v/>
      </c>
      <c r="Y147" s="542" t="str">
        <f>IFERROR(IF(C147="","",IF(INDEX(xyWattage_Table,MATCH(M147,'Fixture Identities'!$B$9:$B$997,0),2)="Exit Sign",0,IF(PRJ_Type="Retrofit",VLOOKUP(I147,xySVG_Factors,2,FALSE),IF(AND(PRJ_Type="New Construction",Inventory!C144="N"),VLOOKUP(VLOOKUP(Building_Type,xyLPD_BuildingArea,5,FALSE),xySVG_Factors_NC,3,FALSE),0)))),"")</f>
        <v/>
      </c>
      <c r="Z147" s="544" t="str">
        <f>IFERROR(IF(C147="","",IF(INDEX(xyWattage_Table,MATCH(M147,'Fixture Identities'!$B$9:$B$997,0),2)="Exit Sign",0,VLOOKUP(S147,xySVG_Factors,2,FALSE))),"")</f>
        <v/>
      </c>
      <c r="AA147" s="545" t="str">
        <f t="shared" si="73"/>
        <v/>
      </c>
      <c r="AB147" s="542" t="str">
        <f t="shared" si="74"/>
        <v/>
      </c>
      <c r="AC147" s="539" t="str">
        <f t="shared" si="75"/>
        <v/>
      </c>
      <c r="AD147" s="546" t="str">
        <f t="shared" si="76"/>
        <v/>
      </c>
      <c r="AE147" s="539" t="str">
        <f t="shared" si="77"/>
        <v/>
      </c>
      <c r="AF147" s="546" t="str">
        <f t="shared" si="78"/>
        <v/>
      </c>
      <c r="AG147" s="539" t="str">
        <f t="shared" si="79"/>
        <v/>
      </c>
      <c r="AH147" s="32">
        <f t="shared" si="60"/>
        <v>0</v>
      </c>
      <c r="AI147" s="32">
        <f t="shared" si="61"/>
        <v>0</v>
      </c>
      <c r="AJ147" s="32">
        <f t="shared" si="62"/>
        <v>0</v>
      </c>
      <c r="AK147" t="str">
        <f t="shared" si="63"/>
        <v/>
      </c>
      <c r="AL147" t="str">
        <f t="shared" si="64"/>
        <v/>
      </c>
      <c r="AM147" t="str">
        <f t="shared" si="65"/>
        <v/>
      </c>
      <c r="AO147" t="str">
        <f>IFERROR(VLOOKUP(M147,'Fixture Identities'!$B$9:$O$1045,14,FALSE),"")</f>
        <v/>
      </c>
      <c r="AP147" t="str">
        <f t="shared" si="59"/>
        <v/>
      </c>
    </row>
    <row r="148" spans="1:42">
      <c r="A148" s="71">
        <f t="shared" si="80"/>
        <v>0</v>
      </c>
      <c r="B148" s="513">
        <f t="shared" si="66"/>
        <v>136</v>
      </c>
      <c r="C148" s="530" t="str">
        <f>IF(Inventory!E145="","",Inventory!E145)</f>
        <v/>
      </c>
      <c r="D148" s="531">
        <f>IF(Inventory!D145="",0,Inventory!D145)</f>
        <v>0</v>
      </c>
      <c r="E148" s="532" t="str">
        <f>IF(Inventory!I145=0,"",Inventory!I145)</f>
        <v/>
      </c>
      <c r="F148" s="533" t="str">
        <f t="shared" si="67"/>
        <v/>
      </c>
      <c r="G148" s="534" t="str">
        <f>IF(Inventory!G145="","",Inventory!G145)</f>
        <v/>
      </c>
      <c r="H148" s="535" t="str">
        <f t="shared" si="68"/>
        <v/>
      </c>
      <c r="I148" s="536" t="str">
        <f>IF(Inventory!J145="","",Inventory!J145)</f>
        <v/>
      </c>
      <c r="J148" s="537" t="str">
        <f>IFERROR(IF(PRJ_Type="New Construction",IF(Inventory!C145="N",INDEX(xyLPD_BuildingArea,MATCH(Building_Type,Lookups!$F$37:$F$75,0),4),INDEX(xyLPD_SpaceBySpace,MATCH(INDEX(xyNCEx,MATCH(I148,yNCExArea,0),2),ySpace_by_Space_Type,0),2)),VLOOKUP(E148,xyWattage_Table,11,FALSE)),"")</f>
        <v/>
      </c>
      <c r="K148" s="538" t="str">
        <f>IFERROR(IF(AND(NC_Type="Building Area Method",Inventory!C145="N"),IF(ISERROR(INDEX('Usage Groups (&gt;120 MWh only)'!$N$8:$N$12,MATCH(C148,'Usage Groups (&gt;120 MWh only)'!$B$8:$B$12,0),1))=TRUE,SqFt/COUNTIFS(Inventory!$C$10:$C$1009,"N",$Q$13:$Q$1012,"&gt;=0"),INDEX('Usage Groups (&gt;120 MWh only)'!$N$8:$N$12,MATCH(C148,'Usage Groups (&gt;120 MWh only)'!$B$8:$B$12,0),1)/COUNTIF($C$13:$C$1012,C148)),IF(AND(NC_Type="Building Area Method",Inventory!C145="Y"),INDEX(xyNCEx,MATCH(I148,yNCExArea,0),3)/COUNTIF($I$13:$I$1012,I148),VLOOKUP(J148,xyWattage_Table,10,FALSE))),"")</f>
        <v/>
      </c>
      <c r="L148" s="539" t="str">
        <f t="shared" si="69"/>
        <v/>
      </c>
      <c r="M148" s="540">
        <f>IF(Inventory!N145="","",Inventory!N145)</f>
        <v>0</v>
      </c>
      <c r="N148" s="533" t="str">
        <f t="shared" si="70"/>
        <v/>
      </c>
      <c r="O148" s="534"/>
      <c r="P148" s="533" t="str">
        <f t="shared" si="71"/>
        <v/>
      </c>
      <c r="Q148" s="534" t="str">
        <f>IF(Inventory!L145="","",Inventory!L145)</f>
        <v/>
      </c>
      <c r="R148" s="535" t="str">
        <f t="shared" si="72"/>
        <v/>
      </c>
      <c r="S148" s="536" t="str">
        <f>IF(Inventory!O145="","",Inventory!O145)</f>
        <v/>
      </c>
      <c r="T148" s="541" t="str">
        <f>IFERROR(IF(C148="","",IF(INDEX(xyWattage_Table,MATCH(M148,'Fixture Identities'!$B$9:$B$997,0),2)="Exit Sign",8760,IF(VLOOKUP(C148,xySpace_Type_Details,8,FALSE)="TRM",INDEX('General Information'!$AF$17:$AG$28,11,MATCH(N148,'General Information'!$AF$16:$AG$16,0)),HLOOKUP(VLOOKUP(C148,xySpace_Type_Details,8,FALSE),'General Information'!$P$15:$AG$28,13,FALSE)))),"")</f>
        <v/>
      </c>
      <c r="U148" s="542" t="str">
        <f>IFERROR(IF(C148="","",IF(INDEX(xyWattage_Table,MATCH(M148,'Fixture Identities'!$B$9:$B$997,0),2)="Exit Sign",1,IF(VLOOKUP(C148,xySpace_Type_Details,8,FALSE)="TRM",INDEX('General Information'!$AF$17:$AG$28,12,MATCH(N148,'General Information'!$AF$16:$AG$16,0)),HLOOKUP(VLOOKUP(C148,xySpace_Type_Details,8,FALSE),'General Information'!$P$15:$AG$28,14,FALSE)))),"")</f>
        <v/>
      </c>
      <c r="V148" s="542" t="str">
        <f>IFERROR(VLOOKUP(INDEX(xySpace_Type_Details,MATCH($C148,'General Information'!$C$40:$C$60,0),12),Lookups!$L$8:$N$12,2,FALSE),"")</f>
        <v/>
      </c>
      <c r="W148" s="542" t="str">
        <f>IFERROR(VLOOKUP(INDEX(xySpace_Type_Details,MATCH($C148,'General Information'!$C$40:$C$60,0),12),Lookups!$L$8:$N$12,3,FALSE),"")</f>
        <v/>
      </c>
      <c r="Y148" s="542" t="str">
        <f>IFERROR(IF(C148="","",IF(INDEX(xyWattage_Table,MATCH(M148,'Fixture Identities'!$B$9:$B$997,0),2)="Exit Sign",0,IF(PRJ_Type="Retrofit",VLOOKUP(I148,xySVG_Factors,2,FALSE),IF(AND(PRJ_Type="New Construction",Inventory!C145="N"),VLOOKUP(VLOOKUP(Building_Type,xyLPD_BuildingArea,5,FALSE),xySVG_Factors_NC,3,FALSE),0)))),"")</f>
        <v/>
      </c>
      <c r="Z148" s="544" t="str">
        <f>IFERROR(IF(C148="","",IF(INDEX(xyWattage_Table,MATCH(M148,'Fixture Identities'!$B$9:$B$997,0),2)="Exit Sign",0,VLOOKUP(S148,xySVG_Factors,2,FALSE))),"")</f>
        <v/>
      </c>
      <c r="AA148" s="545" t="str">
        <f t="shared" si="73"/>
        <v/>
      </c>
      <c r="AB148" s="542" t="str">
        <f t="shared" si="74"/>
        <v/>
      </c>
      <c r="AC148" s="539" t="str">
        <f t="shared" si="75"/>
        <v/>
      </c>
      <c r="AD148" s="546" t="str">
        <f t="shared" si="76"/>
        <v/>
      </c>
      <c r="AE148" s="539" t="str">
        <f t="shared" si="77"/>
        <v/>
      </c>
      <c r="AF148" s="546" t="str">
        <f t="shared" si="78"/>
        <v/>
      </c>
      <c r="AG148" s="539" t="str">
        <f t="shared" si="79"/>
        <v/>
      </c>
      <c r="AH148" s="32">
        <f t="shared" si="60"/>
        <v>0</v>
      </c>
      <c r="AI148" s="32">
        <f t="shared" si="61"/>
        <v>0</v>
      </c>
      <c r="AJ148" s="32">
        <f t="shared" si="62"/>
        <v>0</v>
      </c>
      <c r="AK148" t="str">
        <f t="shared" si="63"/>
        <v/>
      </c>
      <c r="AL148" t="str">
        <f t="shared" si="64"/>
        <v/>
      </c>
      <c r="AM148" t="str">
        <f t="shared" si="65"/>
        <v/>
      </c>
      <c r="AO148" t="str">
        <f>IFERROR(VLOOKUP(M148,'Fixture Identities'!$B$9:$O$1045,14,FALSE),"")</f>
        <v/>
      </c>
      <c r="AP148" t="str">
        <f t="shared" si="59"/>
        <v/>
      </c>
    </row>
    <row r="149" spans="1:42">
      <c r="A149" s="71">
        <f t="shared" si="80"/>
        <v>0</v>
      </c>
      <c r="B149" s="513">
        <f t="shared" si="66"/>
        <v>137</v>
      </c>
      <c r="C149" s="530" t="str">
        <f>IF(Inventory!E146="","",Inventory!E146)</f>
        <v/>
      </c>
      <c r="D149" s="531">
        <f>IF(Inventory!D146="",0,Inventory!D146)</f>
        <v>0</v>
      </c>
      <c r="E149" s="532" t="str">
        <f>IF(Inventory!I146=0,"",Inventory!I146)</f>
        <v/>
      </c>
      <c r="F149" s="533" t="str">
        <f t="shared" si="67"/>
        <v/>
      </c>
      <c r="G149" s="534" t="str">
        <f>IF(Inventory!G146="","",Inventory!G146)</f>
        <v/>
      </c>
      <c r="H149" s="535" t="str">
        <f t="shared" si="68"/>
        <v/>
      </c>
      <c r="I149" s="536" t="str">
        <f>IF(Inventory!J146="","",Inventory!J146)</f>
        <v/>
      </c>
      <c r="J149" s="537" t="str">
        <f>IFERROR(IF(PRJ_Type="New Construction",IF(Inventory!C146="N",INDEX(xyLPD_BuildingArea,MATCH(Building_Type,Lookups!$F$37:$F$75,0),4),INDEX(xyLPD_SpaceBySpace,MATCH(INDEX(xyNCEx,MATCH(I149,yNCExArea,0),2),ySpace_by_Space_Type,0),2)),VLOOKUP(E149,xyWattage_Table,11,FALSE)),"")</f>
        <v/>
      </c>
      <c r="K149" s="538" t="str">
        <f>IFERROR(IF(AND(NC_Type="Building Area Method",Inventory!C146="N"),IF(ISERROR(INDEX('Usage Groups (&gt;120 MWh only)'!$N$8:$N$12,MATCH(C149,'Usage Groups (&gt;120 MWh only)'!$B$8:$B$12,0),1))=TRUE,SqFt/COUNTIFS(Inventory!$C$10:$C$1009,"N",$Q$13:$Q$1012,"&gt;=0"),INDEX('Usage Groups (&gt;120 MWh only)'!$N$8:$N$12,MATCH(C149,'Usage Groups (&gt;120 MWh only)'!$B$8:$B$12,0),1)/COUNTIF($C$13:$C$1012,C149)),IF(AND(NC_Type="Building Area Method",Inventory!C146="Y"),INDEX(xyNCEx,MATCH(I149,yNCExArea,0),3)/COUNTIF($I$13:$I$1012,I149),VLOOKUP(J149,xyWattage_Table,10,FALSE))),"")</f>
        <v/>
      </c>
      <c r="L149" s="539" t="str">
        <f t="shared" si="69"/>
        <v/>
      </c>
      <c r="M149" s="540">
        <f>IF(Inventory!N146="","",Inventory!N146)</f>
        <v>0</v>
      </c>
      <c r="N149" s="533" t="str">
        <f t="shared" si="70"/>
        <v/>
      </c>
      <c r="O149" s="534"/>
      <c r="P149" s="533" t="str">
        <f t="shared" si="71"/>
        <v/>
      </c>
      <c r="Q149" s="534" t="str">
        <f>IF(Inventory!L146="","",Inventory!L146)</f>
        <v/>
      </c>
      <c r="R149" s="535" t="str">
        <f t="shared" si="72"/>
        <v/>
      </c>
      <c r="S149" s="536" t="str">
        <f>IF(Inventory!O146="","",Inventory!O146)</f>
        <v/>
      </c>
      <c r="T149" s="541" t="str">
        <f>IFERROR(IF(C149="","",IF(INDEX(xyWattage_Table,MATCH(M149,'Fixture Identities'!$B$9:$B$997,0),2)="Exit Sign",8760,IF(VLOOKUP(C149,xySpace_Type_Details,8,FALSE)="TRM",INDEX('General Information'!$AF$17:$AG$28,11,MATCH(N149,'General Information'!$AF$16:$AG$16,0)),HLOOKUP(VLOOKUP(C149,xySpace_Type_Details,8,FALSE),'General Information'!$P$15:$AG$28,13,FALSE)))),"")</f>
        <v/>
      </c>
      <c r="U149" s="542" t="str">
        <f>IFERROR(IF(C149="","",IF(INDEX(xyWattage_Table,MATCH(M149,'Fixture Identities'!$B$9:$B$997,0),2)="Exit Sign",1,IF(VLOOKUP(C149,xySpace_Type_Details,8,FALSE)="TRM",INDEX('General Information'!$AF$17:$AG$28,12,MATCH(N149,'General Information'!$AF$16:$AG$16,0)),HLOOKUP(VLOOKUP(C149,xySpace_Type_Details,8,FALSE),'General Information'!$P$15:$AG$28,14,FALSE)))),"")</f>
        <v/>
      </c>
      <c r="V149" s="542" t="str">
        <f>IFERROR(VLOOKUP(INDEX(xySpace_Type_Details,MATCH($C149,'General Information'!$C$40:$C$60,0),12),Lookups!$L$8:$N$12,2,FALSE),"")</f>
        <v/>
      </c>
      <c r="W149" s="542" t="str">
        <f>IFERROR(VLOOKUP(INDEX(xySpace_Type_Details,MATCH($C149,'General Information'!$C$40:$C$60,0),12),Lookups!$L$8:$N$12,3,FALSE),"")</f>
        <v/>
      </c>
      <c r="Y149" s="542" t="str">
        <f>IFERROR(IF(C149="","",IF(INDEX(xyWattage_Table,MATCH(M149,'Fixture Identities'!$B$9:$B$997,0),2)="Exit Sign",0,IF(PRJ_Type="Retrofit",VLOOKUP(I149,xySVG_Factors,2,FALSE),IF(AND(PRJ_Type="New Construction",Inventory!C146="N"),VLOOKUP(VLOOKUP(Building_Type,xyLPD_BuildingArea,5,FALSE),xySVG_Factors_NC,3,FALSE),0)))),"")</f>
        <v/>
      </c>
      <c r="Z149" s="544" t="str">
        <f>IFERROR(IF(C149="","",IF(INDEX(xyWattage_Table,MATCH(M149,'Fixture Identities'!$B$9:$B$997,0),2)="Exit Sign",0,VLOOKUP(S149,xySVG_Factors,2,FALSE))),"")</f>
        <v/>
      </c>
      <c r="AA149" s="545" t="str">
        <f t="shared" si="73"/>
        <v/>
      </c>
      <c r="AB149" s="542" t="str">
        <f t="shared" si="74"/>
        <v/>
      </c>
      <c r="AC149" s="539" t="str">
        <f t="shared" si="75"/>
        <v/>
      </c>
      <c r="AD149" s="546" t="str">
        <f t="shared" si="76"/>
        <v/>
      </c>
      <c r="AE149" s="539" t="str">
        <f t="shared" si="77"/>
        <v/>
      </c>
      <c r="AF149" s="546" t="str">
        <f t="shared" si="78"/>
        <v/>
      </c>
      <c r="AG149" s="539" t="str">
        <f t="shared" si="79"/>
        <v/>
      </c>
      <c r="AH149" s="32">
        <f t="shared" si="60"/>
        <v>0</v>
      </c>
      <c r="AI149" s="32">
        <f t="shared" si="61"/>
        <v>0</v>
      </c>
      <c r="AJ149" s="32">
        <f t="shared" si="62"/>
        <v>0</v>
      </c>
      <c r="AK149" t="str">
        <f t="shared" si="63"/>
        <v/>
      </c>
      <c r="AL149" t="str">
        <f t="shared" si="64"/>
        <v/>
      </c>
      <c r="AM149" t="str">
        <f t="shared" si="65"/>
        <v/>
      </c>
      <c r="AO149" t="str">
        <f>IFERROR(VLOOKUP(M149,'Fixture Identities'!$B$9:$O$1045,14,FALSE),"")</f>
        <v/>
      </c>
      <c r="AP149" t="str">
        <f t="shared" si="59"/>
        <v/>
      </c>
    </row>
    <row r="150" spans="1:42">
      <c r="A150" s="71">
        <f t="shared" si="80"/>
        <v>0</v>
      </c>
      <c r="B150" s="513">
        <f t="shared" si="66"/>
        <v>138</v>
      </c>
      <c r="C150" s="530" t="str">
        <f>IF(Inventory!E147="","",Inventory!E147)</f>
        <v/>
      </c>
      <c r="D150" s="531">
        <f>IF(Inventory!D147="",0,Inventory!D147)</f>
        <v>0</v>
      </c>
      <c r="E150" s="532" t="str">
        <f>IF(Inventory!I147=0,"",Inventory!I147)</f>
        <v/>
      </c>
      <c r="F150" s="533" t="str">
        <f t="shared" si="67"/>
        <v/>
      </c>
      <c r="G150" s="534" t="str">
        <f>IF(Inventory!G147="","",Inventory!G147)</f>
        <v/>
      </c>
      <c r="H150" s="535" t="str">
        <f t="shared" si="68"/>
        <v/>
      </c>
      <c r="I150" s="536" t="str">
        <f>IF(Inventory!J147="","",Inventory!J147)</f>
        <v/>
      </c>
      <c r="J150" s="537" t="str">
        <f>IFERROR(IF(PRJ_Type="New Construction",IF(Inventory!C147="N",INDEX(xyLPD_BuildingArea,MATCH(Building_Type,Lookups!$F$37:$F$75,0),4),INDEX(xyLPD_SpaceBySpace,MATCH(INDEX(xyNCEx,MATCH(I150,yNCExArea,0),2),ySpace_by_Space_Type,0),2)),VLOOKUP(E150,xyWattage_Table,11,FALSE)),"")</f>
        <v/>
      </c>
      <c r="K150" s="538" t="str">
        <f>IFERROR(IF(AND(NC_Type="Building Area Method",Inventory!C147="N"),IF(ISERROR(INDEX('Usage Groups (&gt;120 MWh only)'!$N$8:$N$12,MATCH(C150,'Usage Groups (&gt;120 MWh only)'!$B$8:$B$12,0),1))=TRUE,SqFt/COUNTIFS(Inventory!$C$10:$C$1009,"N",$Q$13:$Q$1012,"&gt;=0"),INDEX('Usage Groups (&gt;120 MWh only)'!$N$8:$N$12,MATCH(C150,'Usage Groups (&gt;120 MWh only)'!$B$8:$B$12,0),1)/COUNTIF($C$13:$C$1012,C150)),IF(AND(NC_Type="Building Area Method",Inventory!C147="Y"),INDEX(xyNCEx,MATCH(I150,yNCExArea,0),3)/COUNTIF($I$13:$I$1012,I150),VLOOKUP(J150,xyWattage_Table,10,FALSE))),"")</f>
        <v/>
      </c>
      <c r="L150" s="539" t="str">
        <f t="shared" si="69"/>
        <v/>
      </c>
      <c r="M150" s="540">
        <f>IF(Inventory!N147="","",Inventory!N147)</f>
        <v>0</v>
      </c>
      <c r="N150" s="533" t="str">
        <f t="shared" si="70"/>
        <v/>
      </c>
      <c r="O150" s="534"/>
      <c r="P150" s="533" t="str">
        <f t="shared" si="71"/>
        <v/>
      </c>
      <c r="Q150" s="534" t="str">
        <f>IF(Inventory!L147="","",Inventory!L147)</f>
        <v/>
      </c>
      <c r="R150" s="535" t="str">
        <f t="shared" si="72"/>
        <v/>
      </c>
      <c r="S150" s="536" t="str">
        <f>IF(Inventory!O147="","",Inventory!O147)</f>
        <v/>
      </c>
      <c r="T150" s="541" t="str">
        <f>IFERROR(IF(C150="","",IF(INDEX(xyWattage_Table,MATCH(M150,'Fixture Identities'!$B$9:$B$997,0),2)="Exit Sign",8760,IF(VLOOKUP(C150,xySpace_Type_Details,8,FALSE)="TRM",INDEX('General Information'!$AF$17:$AG$28,11,MATCH(N150,'General Information'!$AF$16:$AG$16,0)),HLOOKUP(VLOOKUP(C150,xySpace_Type_Details,8,FALSE),'General Information'!$P$15:$AG$28,13,FALSE)))),"")</f>
        <v/>
      </c>
      <c r="U150" s="542" t="str">
        <f>IFERROR(IF(C150="","",IF(INDEX(xyWattage_Table,MATCH(M150,'Fixture Identities'!$B$9:$B$997,0),2)="Exit Sign",1,IF(VLOOKUP(C150,xySpace_Type_Details,8,FALSE)="TRM",INDEX('General Information'!$AF$17:$AG$28,12,MATCH(N150,'General Information'!$AF$16:$AG$16,0)),HLOOKUP(VLOOKUP(C150,xySpace_Type_Details,8,FALSE),'General Information'!$P$15:$AG$28,14,FALSE)))),"")</f>
        <v/>
      </c>
      <c r="V150" s="542" t="str">
        <f>IFERROR(VLOOKUP(INDEX(xySpace_Type_Details,MATCH($C150,'General Information'!$C$40:$C$60,0),12),Lookups!$L$8:$N$12,2,FALSE),"")</f>
        <v/>
      </c>
      <c r="W150" s="542" t="str">
        <f>IFERROR(VLOOKUP(INDEX(xySpace_Type_Details,MATCH($C150,'General Information'!$C$40:$C$60,0),12),Lookups!$L$8:$N$12,3,FALSE),"")</f>
        <v/>
      </c>
      <c r="Y150" s="542" t="str">
        <f>IFERROR(IF(C150="","",IF(INDEX(xyWattage_Table,MATCH(M150,'Fixture Identities'!$B$9:$B$997,0),2)="Exit Sign",0,IF(PRJ_Type="Retrofit",VLOOKUP(I150,xySVG_Factors,2,FALSE),IF(AND(PRJ_Type="New Construction",Inventory!C147="N"),VLOOKUP(VLOOKUP(Building_Type,xyLPD_BuildingArea,5,FALSE),xySVG_Factors_NC,3,FALSE),0)))),"")</f>
        <v/>
      </c>
      <c r="Z150" s="544" t="str">
        <f>IFERROR(IF(C150="","",IF(INDEX(xyWattage_Table,MATCH(M150,'Fixture Identities'!$B$9:$B$997,0),2)="Exit Sign",0,VLOOKUP(S150,xySVG_Factors,2,FALSE))),"")</f>
        <v/>
      </c>
      <c r="AA150" s="545" t="str">
        <f t="shared" si="73"/>
        <v/>
      </c>
      <c r="AB150" s="542" t="str">
        <f t="shared" si="74"/>
        <v/>
      </c>
      <c r="AC150" s="539" t="str">
        <f t="shared" si="75"/>
        <v/>
      </c>
      <c r="AD150" s="546" t="str">
        <f t="shared" si="76"/>
        <v/>
      </c>
      <c r="AE150" s="539" t="str">
        <f t="shared" si="77"/>
        <v/>
      </c>
      <c r="AF150" s="546" t="str">
        <f t="shared" si="78"/>
        <v/>
      </c>
      <c r="AG150" s="539" t="str">
        <f t="shared" si="79"/>
        <v/>
      </c>
      <c r="AH150" s="32">
        <f t="shared" si="60"/>
        <v>0</v>
      </c>
      <c r="AI150" s="32">
        <f t="shared" si="61"/>
        <v>0</v>
      </c>
      <c r="AJ150" s="32">
        <f t="shared" si="62"/>
        <v>0</v>
      </c>
      <c r="AK150" t="str">
        <f t="shared" si="63"/>
        <v/>
      </c>
      <c r="AL150" t="str">
        <f t="shared" si="64"/>
        <v/>
      </c>
      <c r="AM150" t="str">
        <f t="shared" si="65"/>
        <v/>
      </c>
      <c r="AO150" t="str">
        <f>IFERROR(VLOOKUP(M150,'Fixture Identities'!$B$9:$O$1045,14,FALSE),"")</f>
        <v/>
      </c>
      <c r="AP150" t="str">
        <f t="shared" si="59"/>
        <v/>
      </c>
    </row>
    <row r="151" spans="1:42">
      <c r="A151" s="71">
        <f t="shared" si="80"/>
        <v>0</v>
      </c>
      <c r="B151" s="513">
        <f t="shared" si="66"/>
        <v>139</v>
      </c>
      <c r="C151" s="530" t="str">
        <f>IF(Inventory!E148="","",Inventory!E148)</f>
        <v/>
      </c>
      <c r="D151" s="531">
        <f>IF(Inventory!D148="",0,Inventory!D148)</f>
        <v>0</v>
      </c>
      <c r="E151" s="532" t="str">
        <f>IF(Inventory!I148=0,"",Inventory!I148)</f>
        <v/>
      </c>
      <c r="F151" s="533" t="str">
        <f t="shared" si="67"/>
        <v/>
      </c>
      <c r="G151" s="534" t="str">
        <f>IF(Inventory!G148="","",Inventory!G148)</f>
        <v/>
      </c>
      <c r="H151" s="535" t="str">
        <f t="shared" si="68"/>
        <v/>
      </c>
      <c r="I151" s="536" t="str">
        <f>IF(Inventory!J148="","",Inventory!J148)</f>
        <v/>
      </c>
      <c r="J151" s="537" t="str">
        <f>IFERROR(IF(PRJ_Type="New Construction",IF(Inventory!C148="N",INDEX(xyLPD_BuildingArea,MATCH(Building_Type,Lookups!$F$37:$F$75,0),4),INDEX(xyLPD_SpaceBySpace,MATCH(INDEX(xyNCEx,MATCH(I151,yNCExArea,0),2),ySpace_by_Space_Type,0),2)),VLOOKUP(E151,xyWattage_Table,11,FALSE)),"")</f>
        <v/>
      </c>
      <c r="K151" s="538" t="str">
        <f>IFERROR(IF(AND(NC_Type="Building Area Method",Inventory!C148="N"),IF(ISERROR(INDEX('Usage Groups (&gt;120 MWh only)'!$N$8:$N$12,MATCH(C151,'Usage Groups (&gt;120 MWh only)'!$B$8:$B$12,0),1))=TRUE,SqFt/COUNTIFS(Inventory!$C$10:$C$1009,"N",$Q$13:$Q$1012,"&gt;=0"),INDEX('Usage Groups (&gt;120 MWh only)'!$N$8:$N$12,MATCH(C151,'Usage Groups (&gt;120 MWh only)'!$B$8:$B$12,0),1)/COUNTIF($C$13:$C$1012,C151)),IF(AND(NC_Type="Building Area Method",Inventory!C148="Y"),INDEX(xyNCEx,MATCH(I151,yNCExArea,0),3)/COUNTIF($I$13:$I$1012,I151),VLOOKUP(J151,xyWattage_Table,10,FALSE))),"")</f>
        <v/>
      </c>
      <c r="L151" s="539" t="str">
        <f t="shared" si="69"/>
        <v/>
      </c>
      <c r="M151" s="540">
        <f>IF(Inventory!N148="","",Inventory!N148)</f>
        <v>0</v>
      </c>
      <c r="N151" s="533" t="str">
        <f t="shared" si="70"/>
        <v/>
      </c>
      <c r="O151" s="534"/>
      <c r="P151" s="533" t="str">
        <f t="shared" si="71"/>
        <v/>
      </c>
      <c r="Q151" s="534" t="str">
        <f>IF(Inventory!L148="","",Inventory!L148)</f>
        <v/>
      </c>
      <c r="R151" s="535" t="str">
        <f t="shared" si="72"/>
        <v/>
      </c>
      <c r="S151" s="536" t="str">
        <f>IF(Inventory!O148="","",Inventory!O148)</f>
        <v/>
      </c>
      <c r="T151" s="541" t="str">
        <f>IFERROR(IF(C151="","",IF(INDEX(xyWattage_Table,MATCH(M151,'Fixture Identities'!$B$9:$B$997,0),2)="Exit Sign",8760,IF(VLOOKUP(C151,xySpace_Type_Details,8,FALSE)="TRM",INDEX('General Information'!$AF$17:$AG$28,11,MATCH(N151,'General Information'!$AF$16:$AG$16,0)),HLOOKUP(VLOOKUP(C151,xySpace_Type_Details,8,FALSE),'General Information'!$P$15:$AG$28,13,FALSE)))),"")</f>
        <v/>
      </c>
      <c r="U151" s="542" t="str">
        <f>IFERROR(IF(C151="","",IF(INDEX(xyWattage_Table,MATCH(M151,'Fixture Identities'!$B$9:$B$997,0),2)="Exit Sign",1,IF(VLOOKUP(C151,xySpace_Type_Details,8,FALSE)="TRM",INDEX('General Information'!$AF$17:$AG$28,12,MATCH(N151,'General Information'!$AF$16:$AG$16,0)),HLOOKUP(VLOOKUP(C151,xySpace_Type_Details,8,FALSE),'General Information'!$P$15:$AG$28,14,FALSE)))),"")</f>
        <v/>
      </c>
      <c r="V151" s="542" t="str">
        <f>IFERROR(VLOOKUP(INDEX(xySpace_Type_Details,MATCH($C151,'General Information'!$C$40:$C$60,0),12),Lookups!$L$8:$N$12,2,FALSE),"")</f>
        <v/>
      </c>
      <c r="W151" s="542" t="str">
        <f>IFERROR(VLOOKUP(INDEX(xySpace_Type_Details,MATCH($C151,'General Information'!$C$40:$C$60,0),12),Lookups!$L$8:$N$12,3,FALSE),"")</f>
        <v/>
      </c>
      <c r="Y151" s="542" t="str">
        <f>IFERROR(IF(C151="","",IF(INDEX(xyWattage_Table,MATCH(M151,'Fixture Identities'!$B$9:$B$997,0),2)="Exit Sign",0,IF(PRJ_Type="Retrofit",VLOOKUP(I151,xySVG_Factors,2,FALSE),IF(AND(PRJ_Type="New Construction",Inventory!C148="N"),VLOOKUP(VLOOKUP(Building_Type,xyLPD_BuildingArea,5,FALSE),xySVG_Factors_NC,3,FALSE),0)))),"")</f>
        <v/>
      </c>
      <c r="Z151" s="544" t="str">
        <f>IFERROR(IF(C151="","",IF(INDEX(xyWattage_Table,MATCH(M151,'Fixture Identities'!$B$9:$B$997,0),2)="Exit Sign",0,VLOOKUP(S151,xySVG_Factors,2,FALSE))),"")</f>
        <v/>
      </c>
      <c r="AA151" s="545" t="str">
        <f t="shared" si="73"/>
        <v/>
      </c>
      <c r="AB151" s="542" t="str">
        <f t="shared" si="74"/>
        <v/>
      </c>
      <c r="AC151" s="539" t="str">
        <f t="shared" si="75"/>
        <v/>
      </c>
      <c r="AD151" s="546" t="str">
        <f t="shared" si="76"/>
        <v/>
      </c>
      <c r="AE151" s="539" t="str">
        <f t="shared" si="77"/>
        <v/>
      </c>
      <c r="AF151" s="546" t="str">
        <f t="shared" si="78"/>
        <v/>
      </c>
      <c r="AG151" s="539" t="str">
        <f t="shared" si="79"/>
        <v/>
      </c>
      <c r="AH151" s="32">
        <f t="shared" si="60"/>
        <v>0</v>
      </c>
      <c r="AI151" s="32">
        <f t="shared" si="61"/>
        <v>0</v>
      </c>
      <c r="AJ151" s="32">
        <f t="shared" si="62"/>
        <v>0</v>
      </c>
      <c r="AK151" t="str">
        <f t="shared" si="63"/>
        <v/>
      </c>
      <c r="AL151" t="str">
        <f t="shared" si="64"/>
        <v/>
      </c>
      <c r="AM151" t="str">
        <f t="shared" si="65"/>
        <v/>
      </c>
      <c r="AO151" t="str">
        <f>IFERROR(VLOOKUP(M151,'Fixture Identities'!$B$9:$O$1045,14,FALSE),"")</f>
        <v/>
      </c>
      <c r="AP151" t="str">
        <f t="shared" si="59"/>
        <v/>
      </c>
    </row>
    <row r="152" spans="1:42">
      <c r="A152" s="71">
        <f t="shared" si="80"/>
        <v>0</v>
      </c>
      <c r="B152" s="513">
        <f t="shared" si="66"/>
        <v>140</v>
      </c>
      <c r="C152" s="530" t="str">
        <f>IF(Inventory!E149="","",Inventory!E149)</f>
        <v/>
      </c>
      <c r="D152" s="531">
        <f>IF(Inventory!D149="",0,Inventory!D149)</f>
        <v>0</v>
      </c>
      <c r="E152" s="532" t="str">
        <f>IF(Inventory!I149=0,"",Inventory!I149)</f>
        <v/>
      </c>
      <c r="F152" s="533" t="str">
        <f t="shared" si="67"/>
        <v/>
      </c>
      <c r="G152" s="534" t="str">
        <f>IF(Inventory!G149="","",Inventory!G149)</f>
        <v/>
      </c>
      <c r="H152" s="535" t="str">
        <f t="shared" si="68"/>
        <v/>
      </c>
      <c r="I152" s="536" t="str">
        <f>IF(Inventory!J149="","",Inventory!J149)</f>
        <v/>
      </c>
      <c r="J152" s="537" t="str">
        <f>IFERROR(IF(PRJ_Type="New Construction",IF(Inventory!C149="N",INDEX(xyLPD_BuildingArea,MATCH(Building_Type,Lookups!$F$37:$F$75,0),4),INDEX(xyLPD_SpaceBySpace,MATCH(INDEX(xyNCEx,MATCH(I152,yNCExArea,0),2),ySpace_by_Space_Type,0),2)),VLOOKUP(E152,xyWattage_Table,11,FALSE)),"")</f>
        <v/>
      </c>
      <c r="K152" s="538" t="str">
        <f>IFERROR(IF(AND(NC_Type="Building Area Method",Inventory!C149="N"),IF(ISERROR(INDEX('Usage Groups (&gt;120 MWh only)'!$N$8:$N$12,MATCH(C152,'Usage Groups (&gt;120 MWh only)'!$B$8:$B$12,0),1))=TRUE,SqFt/COUNTIFS(Inventory!$C$10:$C$1009,"N",$Q$13:$Q$1012,"&gt;=0"),INDEX('Usage Groups (&gt;120 MWh only)'!$N$8:$N$12,MATCH(C152,'Usage Groups (&gt;120 MWh only)'!$B$8:$B$12,0),1)/COUNTIF($C$13:$C$1012,C152)),IF(AND(NC_Type="Building Area Method",Inventory!C149="Y"),INDEX(xyNCEx,MATCH(I152,yNCExArea,0),3)/COUNTIF($I$13:$I$1012,I152),VLOOKUP(J152,xyWattage_Table,10,FALSE))),"")</f>
        <v/>
      </c>
      <c r="L152" s="539" t="str">
        <f t="shared" si="69"/>
        <v/>
      </c>
      <c r="M152" s="540">
        <f>IF(Inventory!N149="","",Inventory!N149)</f>
        <v>0</v>
      </c>
      <c r="N152" s="533" t="str">
        <f t="shared" si="70"/>
        <v/>
      </c>
      <c r="O152" s="534"/>
      <c r="P152" s="533" t="str">
        <f t="shared" si="71"/>
        <v/>
      </c>
      <c r="Q152" s="534" t="str">
        <f>IF(Inventory!L149="","",Inventory!L149)</f>
        <v/>
      </c>
      <c r="R152" s="535" t="str">
        <f t="shared" si="72"/>
        <v/>
      </c>
      <c r="S152" s="536" t="str">
        <f>IF(Inventory!O149="","",Inventory!O149)</f>
        <v/>
      </c>
      <c r="T152" s="541" t="str">
        <f>IFERROR(IF(C152="","",IF(INDEX(xyWattage_Table,MATCH(M152,'Fixture Identities'!$B$9:$B$997,0),2)="Exit Sign",8760,IF(VLOOKUP(C152,xySpace_Type_Details,8,FALSE)="TRM",INDEX('General Information'!$AF$17:$AG$28,11,MATCH(N152,'General Information'!$AF$16:$AG$16,0)),HLOOKUP(VLOOKUP(C152,xySpace_Type_Details,8,FALSE),'General Information'!$P$15:$AG$28,13,FALSE)))),"")</f>
        <v/>
      </c>
      <c r="U152" s="542" t="str">
        <f>IFERROR(IF(C152="","",IF(INDEX(xyWattage_Table,MATCH(M152,'Fixture Identities'!$B$9:$B$997,0),2)="Exit Sign",1,IF(VLOOKUP(C152,xySpace_Type_Details,8,FALSE)="TRM",INDEX('General Information'!$AF$17:$AG$28,12,MATCH(N152,'General Information'!$AF$16:$AG$16,0)),HLOOKUP(VLOOKUP(C152,xySpace_Type_Details,8,FALSE),'General Information'!$P$15:$AG$28,14,FALSE)))),"")</f>
        <v/>
      </c>
      <c r="V152" s="542" t="str">
        <f>IFERROR(VLOOKUP(INDEX(xySpace_Type_Details,MATCH($C152,'General Information'!$C$40:$C$60,0),12),Lookups!$L$8:$N$12,2,FALSE),"")</f>
        <v/>
      </c>
      <c r="W152" s="542" t="str">
        <f>IFERROR(VLOOKUP(INDEX(xySpace_Type_Details,MATCH($C152,'General Information'!$C$40:$C$60,0),12),Lookups!$L$8:$N$12,3,FALSE),"")</f>
        <v/>
      </c>
      <c r="Y152" s="542" t="str">
        <f>IFERROR(IF(C152="","",IF(INDEX(xyWattage_Table,MATCH(M152,'Fixture Identities'!$B$9:$B$997,0),2)="Exit Sign",0,IF(PRJ_Type="Retrofit",VLOOKUP(I152,xySVG_Factors,2,FALSE),IF(AND(PRJ_Type="New Construction",Inventory!C149="N"),VLOOKUP(VLOOKUP(Building_Type,xyLPD_BuildingArea,5,FALSE),xySVG_Factors_NC,3,FALSE),0)))),"")</f>
        <v/>
      </c>
      <c r="Z152" s="544" t="str">
        <f>IFERROR(IF(C152="","",IF(INDEX(xyWattage_Table,MATCH(M152,'Fixture Identities'!$B$9:$B$997,0),2)="Exit Sign",0,VLOOKUP(S152,xySVG_Factors,2,FALSE))),"")</f>
        <v/>
      </c>
      <c r="AA152" s="545" t="str">
        <f t="shared" si="73"/>
        <v/>
      </c>
      <c r="AB152" s="542" t="str">
        <f t="shared" si="74"/>
        <v/>
      </c>
      <c r="AC152" s="539" t="str">
        <f t="shared" si="75"/>
        <v/>
      </c>
      <c r="AD152" s="546" t="str">
        <f t="shared" si="76"/>
        <v/>
      </c>
      <c r="AE152" s="539" t="str">
        <f t="shared" si="77"/>
        <v/>
      </c>
      <c r="AF152" s="546" t="str">
        <f t="shared" si="78"/>
        <v/>
      </c>
      <c r="AG152" s="539" t="str">
        <f t="shared" si="79"/>
        <v/>
      </c>
      <c r="AH152" s="32">
        <f t="shared" si="60"/>
        <v>0</v>
      </c>
      <c r="AI152" s="32">
        <f t="shared" si="61"/>
        <v>0</v>
      </c>
      <c r="AJ152" s="32">
        <f t="shared" si="62"/>
        <v>0</v>
      </c>
      <c r="AK152" t="str">
        <f t="shared" si="63"/>
        <v/>
      </c>
      <c r="AL152" t="str">
        <f t="shared" si="64"/>
        <v/>
      </c>
      <c r="AM152" t="str">
        <f t="shared" si="65"/>
        <v/>
      </c>
      <c r="AO152" t="str">
        <f>IFERROR(VLOOKUP(M152,'Fixture Identities'!$B$9:$O$1045,14,FALSE),"")</f>
        <v/>
      </c>
      <c r="AP152" t="str">
        <f t="shared" si="59"/>
        <v/>
      </c>
    </row>
    <row r="153" spans="1:42">
      <c r="A153" s="71">
        <f t="shared" si="80"/>
        <v>0</v>
      </c>
      <c r="B153" s="513">
        <f t="shared" si="66"/>
        <v>141</v>
      </c>
      <c r="C153" s="530" t="str">
        <f>IF(Inventory!E150="","",Inventory!E150)</f>
        <v/>
      </c>
      <c r="D153" s="531">
        <f>IF(Inventory!D150="",0,Inventory!D150)</f>
        <v>0</v>
      </c>
      <c r="E153" s="532" t="str">
        <f>IF(Inventory!I150=0,"",Inventory!I150)</f>
        <v/>
      </c>
      <c r="F153" s="533" t="str">
        <f t="shared" si="67"/>
        <v/>
      </c>
      <c r="G153" s="534" t="str">
        <f>IF(Inventory!G150="","",Inventory!G150)</f>
        <v/>
      </c>
      <c r="H153" s="535" t="str">
        <f t="shared" si="68"/>
        <v/>
      </c>
      <c r="I153" s="536" t="str">
        <f>IF(Inventory!J150="","",Inventory!J150)</f>
        <v/>
      </c>
      <c r="J153" s="537" t="str">
        <f>IFERROR(IF(PRJ_Type="New Construction",IF(Inventory!C150="N",INDEX(xyLPD_BuildingArea,MATCH(Building_Type,Lookups!$F$37:$F$75,0),4),INDEX(xyLPD_SpaceBySpace,MATCH(INDEX(xyNCEx,MATCH(I153,yNCExArea,0),2),ySpace_by_Space_Type,0),2)),VLOOKUP(E153,xyWattage_Table,11,FALSE)),"")</f>
        <v/>
      </c>
      <c r="K153" s="538" t="str">
        <f>IFERROR(IF(AND(NC_Type="Building Area Method",Inventory!C150="N"),IF(ISERROR(INDEX('Usage Groups (&gt;120 MWh only)'!$N$8:$N$12,MATCH(C153,'Usage Groups (&gt;120 MWh only)'!$B$8:$B$12,0),1))=TRUE,SqFt/COUNTIFS(Inventory!$C$10:$C$1009,"N",$Q$13:$Q$1012,"&gt;=0"),INDEX('Usage Groups (&gt;120 MWh only)'!$N$8:$N$12,MATCH(C153,'Usage Groups (&gt;120 MWh only)'!$B$8:$B$12,0),1)/COUNTIF($C$13:$C$1012,C153)),IF(AND(NC_Type="Building Area Method",Inventory!C150="Y"),INDEX(xyNCEx,MATCH(I153,yNCExArea,0),3)/COUNTIF($I$13:$I$1012,I153),VLOOKUP(J153,xyWattage_Table,10,FALSE))),"")</f>
        <v/>
      </c>
      <c r="L153" s="539" t="str">
        <f t="shared" si="69"/>
        <v/>
      </c>
      <c r="M153" s="540">
        <f>IF(Inventory!N150="","",Inventory!N150)</f>
        <v>0</v>
      </c>
      <c r="N153" s="533" t="str">
        <f t="shared" si="70"/>
        <v/>
      </c>
      <c r="O153" s="534"/>
      <c r="P153" s="533" t="str">
        <f t="shared" si="71"/>
        <v/>
      </c>
      <c r="Q153" s="534" t="str">
        <f>IF(Inventory!L150="","",Inventory!L150)</f>
        <v/>
      </c>
      <c r="R153" s="535" t="str">
        <f t="shared" si="72"/>
        <v/>
      </c>
      <c r="S153" s="536" t="str">
        <f>IF(Inventory!O150="","",Inventory!O150)</f>
        <v/>
      </c>
      <c r="T153" s="541" t="str">
        <f>IFERROR(IF(C153="","",IF(INDEX(xyWattage_Table,MATCH(M153,'Fixture Identities'!$B$9:$B$997,0),2)="Exit Sign",8760,IF(VLOOKUP(C153,xySpace_Type_Details,8,FALSE)="TRM",INDEX('General Information'!$AF$17:$AG$28,11,MATCH(N153,'General Information'!$AF$16:$AG$16,0)),HLOOKUP(VLOOKUP(C153,xySpace_Type_Details,8,FALSE),'General Information'!$P$15:$AG$28,13,FALSE)))),"")</f>
        <v/>
      </c>
      <c r="U153" s="542" t="str">
        <f>IFERROR(IF(C153="","",IF(INDEX(xyWattage_Table,MATCH(M153,'Fixture Identities'!$B$9:$B$997,0),2)="Exit Sign",1,IF(VLOOKUP(C153,xySpace_Type_Details,8,FALSE)="TRM",INDEX('General Information'!$AF$17:$AG$28,12,MATCH(N153,'General Information'!$AF$16:$AG$16,0)),HLOOKUP(VLOOKUP(C153,xySpace_Type_Details,8,FALSE),'General Information'!$P$15:$AG$28,14,FALSE)))),"")</f>
        <v/>
      </c>
      <c r="V153" s="542" t="str">
        <f>IFERROR(VLOOKUP(INDEX(xySpace_Type_Details,MATCH($C153,'General Information'!$C$40:$C$60,0),12),Lookups!$L$8:$N$12,2,FALSE),"")</f>
        <v/>
      </c>
      <c r="W153" s="542" t="str">
        <f>IFERROR(VLOOKUP(INDEX(xySpace_Type_Details,MATCH($C153,'General Information'!$C$40:$C$60,0),12),Lookups!$L$8:$N$12,3,FALSE),"")</f>
        <v/>
      </c>
      <c r="Y153" s="542" t="str">
        <f>IFERROR(IF(C153="","",IF(INDEX(xyWattage_Table,MATCH(M153,'Fixture Identities'!$B$9:$B$997,0),2)="Exit Sign",0,IF(PRJ_Type="Retrofit",VLOOKUP(I153,xySVG_Factors,2,FALSE),IF(AND(PRJ_Type="New Construction",Inventory!C150="N"),VLOOKUP(VLOOKUP(Building_Type,xyLPD_BuildingArea,5,FALSE),xySVG_Factors_NC,3,FALSE),0)))),"")</f>
        <v/>
      </c>
      <c r="Z153" s="544" t="str">
        <f>IFERROR(IF(C153="","",IF(INDEX(xyWattage_Table,MATCH(M153,'Fixture Identities'!$B$9:$B$997,0),2)="Exit Sign",0,VLOOKUP(S153,xySVG_Factors,2,FALSE))),"")</f>
        <v/>
      </c>
      <c r="AA153" s="545" t="str">
        <f t="shared" si="73"/>
        <v/>
      </c>
      <c r="AB153" s="542" t="str">
        <f t="shared" si="74"/>
        <v/>
      </c>
      <c r="AC153" s="539" t="str">
        <f t="shared" si="75"/>
        <v/>
      </c>
      <c r="AD153" s="546" t="str">
        <f t="shared" si="76"/>
        <v/>
      </c>
      <c r="AE153" s="539" t="str">
        <f t="shared" si="77"/>
        <v/>
      </c>
      <c r="AF153" s="546" t="str">
        <f t="shared" si="78"/>
        <v/>
      </c>
      <c r="AG153" s="539" t="str">
        <f t="shared" si="79"/>
        <v/>
      </c>
      <c r="AH153" s="32">
        <f t="shared" si="60"/>
        <v>0</v>
      </c>
      <c r="AI153" s="32">
        <f t="shared" si="61"/>
        <v>0</v>
      </c>
      <c r="AJ153" s="32">
        <f t="shared" si="62"/>
        <v>0</v>
      </c>
      <c r="AK153" t="str">
        <f t="shared" si="63"/>
        <v/>
      </c>
      <c r="AL153" t="str">
        <f t="shared" si="64"/>
        <v/>
      </c>
      <c r="AM153" t="str">
        <f t="shared" si="65"/>
        <v/>
      </c>
      <c r="AO153" t="str">
        <f>IFERROR(VLOOKUP(M153,'Fixture Identities'!$B$9:$O$1045,14,FALSE),"")</f>
        <v/>
      </c>
      <c r="AP153" t="str">
        <f t="shared" si="59"/>
        <v/>
      </c>
    </row>
    <row r="154" spans="1:42">
      <c r="A154" s="71">
        <f t="shared" si="80"/>
        <v>0</v>
      </c>
      <c r="B154" s="513">
        <f t="shared" si="66"/>
        <v>142</v>
      </c>
      <c r="C154" s="530" t="str">
        <f>IF(Inventory!E151="","",Inventory!E151)</f>
        <v/>
      </c>
      <c r="D154" s="531">
        <f>IF(Inventory!D151="",0,Inventory!D151)</f>
        <v>0</v>
      </c>
      <c r="E154" s="532" t="str">
        <f>IF(Inventory!I151=0,"",Inventory!I151)</f>
        <v/>
      </c>
      <c r="F154" s="533" t="str">
        <f t="shared" si="67"/>
        <v/>
      </c>
      <c r="G154" s="534" t="str">
        <f>IF(Inventory!G151="","",Inventory!G151)</f>
        <v/>
      </c>
      <c r="H154" s="535" t="str">
        <f t="shared" si="68"/>
        <v/>
      </c>
      <c r="I154" s="536" t="str">
        <f>IF(Inventory!J151="","",Inventory!J151)</f>
        <v/>
      </c>
      <c r="J154" s="537" t="str">
        <f>IFERROR(IF(PRJ_Type="New Construction",IF(Inventory!C151="N",INDEX(xyLPD_BuildingArea,MATCH(Building_Type,Lookups!$F$37:$F$75,0),4),INDEX(xyLPD_SpaceBySpace,MATCH(INDEX(xyNCEx,MATCH(I154,yNCExArea,0),2),ySpace_by_Space_Type,0),2)),VLOOKUP(E154,xyWattage_Table,11,FALSE)),"")</f>
        <v/>
      </c>
      <c r="K154" s="538" t="str">
        <f>IFERROR(IF(AND(NC_Type="Building Area Method",Inventory!C151="N"),IF(ISERROR(INDEX('Usage Groups (&gt;120 MWh only)'!$N$8:$N$12,MATCH(C154,'Usage Groups (&gt;120 MWh only)'!$B$8:$B$12,0),1))=TRUE,SqFt/COUNTIFS(Inventory!$C$10:$C$1009,"N",$Q$13:$Q$1012,"&gt;=0"),INDEX('Usage Groups (&gt;120 MWh only)'!$N$8:$N$12,MATCH(C154,'Usage Groups (&gt;120 MWh only)'!$B$8:$B$12,0),1)/COUNTIF($C$13:$C$1012,C154)),IF(AND(NC_Type="Building Area Method",Inventory!C151="Y"),INDEX(xyNCEx,MATCH(I154,yNCExArea,0),3)/COUNTIF($I$13:$I$1012,I154),VLOOKUP(J154,xyWattage_Table,10,FALSE))),"")</f>
        <v/>
      </c>
      <c r="L154" s="539" t="str">
        <f t="shared" si="69"/>
        <v/>
      </c>
      <c r="M154" s="540">
        <f>IF(Inventory!N151="","",Inventory!N151)</f>
        <v>0</v>
      </c>
      <c r="N154" s="533" t="str">
        <f t="shared" si="70"/>
        <v/>
      </c>
      <c r="O154" s="534"/>
      <c r="P154" s="533" t="str">
        <f t="shared" si="71"/>
        <v/>
      </c>
      <c r="Q154" s="534" t="str">
        <f>IF(Inventory!L151="","",Inventory!L151)</f>
        <v/>
      </c>
      <c r="R154" s="535" t="str">
        <f t="shared" si="72"/>
        <v/>
      </c>
      <c r="S154" s="536" t="str">
        <f>IF(Inventory!O151="","",Inventory!O151)</f>
        <v/>
      </c>
      <c r="T154" s="541" t="str">
        <f>IFERROR(IF(C154="","",IF(INDEX(xyWattage_Table,MATCH(M154,'Fixture Identities'!$B$9:$B$997,0),2)="Exit Sign",8760,IF(VLOOKUP(C154,xySpace_Type_Details,8,FALSE)="TRM",INDEX('General Information'!$AF$17:$AG$28,11,MATCH(N154,'General Information'!$AF$16:$AG$16,0)),HLOOKUP(VLOOKUP(C154,xySpace_Type_Details,8,FALSE),'General Information'!$P$15:$AG$28,13,FALSE)))),"")</f>
        <v/>
      </c>
      <c r="U154" s="542" t="str">
        <f>IFERROR(IF(C154="","",IF(INDEX(xyWattage_Table,MATCH(M154,'Fixture Identities'!$B$9:$B$997,0),2)="Exit Sign",1,IF(VLOOKUP(C154,xySpace_Type_Details,8,FALSE)="TRM",INDEX('General Information'!$AF$17:$AG$28,12,MATCH(N154,'General Information'!$AF$16:$AG$16,0)),HLOOKUP(VLOOKUP(C154,xySpace_Type_Details,8,FALSE),'General Information'!$P$15:$AG$28,14,FALSE)))),"")</f>
        <v/>
      </c>
      <c r="V154" s="542" t="str">
        <f>IFERROR(VLOOKUP(INDEX(xySpace_Type_Details,MATCH($C154,'General Information'!$C$40:$C$60,0),12),Lookups!$L$8:$N$12,2,FALSE),"")</f>
        <v/>
      </c>
      <c r="W154" s="542" t="str">
        <f>IFERROR(VLOOKUP(INDEX(xySpace_Type_Details,MATCH($C154,'General Information'!$C$40:$C$60,0),12),Lookups!$L$8:$N$12,3,FALSE),"")</f>
        <v/>
      </c>
      <c r="Y154" s="542" t="str">
        <f>IFERROR(IF(C154="","",IF(INDEX(xyWattage_Table,MATCH(M154,'Fixture Identities'!$B$9:$B$997,0),2)="Exit Sign",0,IF(PRJ_Type="Retrofit",VLOOKUP(I154,xySVG_Factors,2,FALSE),IF(AND(PRJ_Type="New Construction",Inventory!C151="N"),VLOOKUP(VLOOKUP(Building_Type,xyLPD_BuildingArea,5,FALSE),xySVG_Factors_NC,3,FALSE),0)))),"")</f>
        <v/>
      </c>
      <c r="Z154" s="544" t="str">
        <f>IFERROR(IF(C154="","",IF(INDEX(xyWattage_Table,MATCH(M154,'Fixture Identities'!$B$9:$B$997,0),2)="Exit Sign",0,VLOOKUP(S154,xySVG_Factors,2,FALSE))),"")</f>
        <v/>
      </c>
      <c r="AA154" s="545" t="str">
        <f t="shared" si="73"/>
        <v/>
      </c>
      <c r="AB154" s="542" t="str">
        <f t="shared" si="74"/>
        <v/>
      </c>
      <c r="AC154" s="539" t="str">
        <f t="shared" si="75"/>
        <v/>
      </c>
      <c r="AD154" s="546" t="str">
        <f t="shared" si="76"/>
        <v/>
      </c>
      <c r="AE154" s="539" t="str">
        <f t="shared" si="77"/>
        <v/>
      </c>
      <c r="AF154" s="546" t="str">
        <f t="shared" si="78"/>
        <v/>
      </c>
      <c r="AG154" s="539" t="str">
        <f t="shared" si="79"/>
        <v/>
      </c>
      <c r="AH154" s="32">
        <f t="shared" si="60"/>
        <v>0</v>
      </c>
      <c r="AI154" s="32">
        <f t="shared" si="61"/>
        <v>0</v>
      </c>
      <c r="AJ154" s="32">
        <f t="shared" si="62"/>
        <v>0</v>
      </c>
      <c r="AK154" t="str">
        <f t="shared" si="63"/>
        <v/>
      </c>
      <c r="AL154" t="str">
        <f t="shared" si="64"/>
        <v/>
      </c>
      <c r="AM154" t="str">
        <f t="shared" si="65"/>
        <v/>
      </c>
      <c r="AO154" t="str">
        <f>IFERROR(VLOOKUP(M154,'Fixture Identities'!$B$9:$O$1045,14,FALSE),"")</f>
        <v/>
      </c>
      <c r="AP154" t="str">
        <f t="shared" si="59"/>
        <v/>
      </c>
    </row>
    <row r="155" spans="1:42">
      <c r="A155" s="71">
        <f t="shared" si="80"/>
        <v>0</v>
      </c>
      <c r="B155" s="513">
        <f t="shared" si="66"/>
        <v>143</v>
      </c>
      <c r="C155" s="530" t="str">
        <f>IF(Inventory!E152="","",Inventory!E152)</f>
        <v/>
      </c>
      <c r="D155" s="531">
        <f>IF(Inventory!D152="",0,Inventory!D152)</f>
        <v>0</v>
      </c>
      <c r="E155" s="532" t="str">
        <f>IF(Inventory!I152=0,"",Inventory!I152)</f>
        <v/>
      </c>
      <c r="F155" s="533" t="str">
        <f t="shared" si="67"/>
        <v/>
      </c>
      <c r="G155" s="534" t="str">
        <f>IF(Inventory!G152="","",Inventory!G152)</f>
        <v/>
      </c>
      <c r="H155" s="535" t="str">
        <f t="shared" si="68"/>
        <v/>
      </c>
      <c r="I155" s="536" t="str">
        <f>IF(Inventory!J152="","",Inventory!J152)</f>
        <v/>
      </c>
      <c r="J155" s="537" t="str">
        <f>IFERROR(IF(PRJ_Type="New Construction",IF(Inventory!C152="N",INDEX(xyLPD_BuildingArea,MATCH(Building_Type,Lookups!$F$37:$F$75,0),4),INDEX(xyLPD_SpaceBySpace,MATCH(INDEX(xyNCEx,MATCH(I155,yNCExArea,0),2),ySpace_by_Space_Type,0),2)),VLOOKUP(E155,xyWattage_Table,11,FALSE)),"")</f>
        <v/>
      </c>
      <c r="K155" s="538" t="str">
        <f>IFERROR(IF(AND(NC_Type="Building Area Method",Inventory!C152="N"),IF(ISERROR(INDEX('Usage Groups (&gt;120 MWh only)'!$N$8:$N$12,MATCH(C155,'Usage Groups (&gt;120 MWh only)'!$B$8:$B$12,0),1))=TRUE,SqFt/COUNTIFS(Inventory!$C$10:$C$1009,"N",$Q$13:$Q$1012,"&gt;=0"),INDEX('Usage Groups (&gt;120 MWh only)'!$N$8:$N$12,MATCH(C155,'Usage Groups (&gt;120 MWh only)'!$B$8:$B$12,0),1)/COUNTIF($C$13:$C$1012,C155)),IF(AND(NC_Type="Building Area Method",Inventory!C152="Y"),INDEX(xyNCEx,MATCH(I155,yNCExArea,0),3)/COUNTIF($I$13:$I$1012,I155),VLOOKUP(J155,xyWattage_Table,10,FALSE))),"")</f>
        <v/>
      </c>
      <c r="L155" s="539" t="str">
        <f t="shared" si="69"/>
        <v/>
      </c>
      <c r="M155" s="540">
        <f>IF(Inventory!N152="","",Inventory!N152)</f>
        <v>0</v>
      </c>
      <c r="N155" s="533" t="str">
        <f t="shared" si="70"/>
        <v/>
      </c>
      <c r="O155" s="534"/>
      <c r="P155" s="533" t="str">
        <f t="shared" si="71"/>
        <v/>
      </c>
      <c r="Q155" s="534" t="str">
        <f>IF(Inventory!L152="","",Inventory!L152)</f>
        <v/>
      </c>
      <c r="R155" s="535" t="str">
        <f t="shared" si="72"/>
        <v/>
      </c>
      <c r="S155" s="536" t="str">
        <f>IF(Inventory!O152="","",Inventory!O152)</f>
        <v/>
      </c>
      <c r="T155" s="541" t="str">
        <f>IFERROR(IF(C155="","",IF(INDEX(xyWattage_Table,MATCH(M155,'Fixture Identities'!$B$9:$B$997,0),2)="Exit Sign",8760,IF(VLOOKUP(C155,xySpace_Type_Details,8,FALSE)="TRM",INDEX('General Information'!$AF$17:$AG$28,11,MATCH(N155,'General Information'!$AF$16:$AG$16,0)),HLOOKUP(VLOOKUP(C155,xySpace_Type_Details,8,FALSE),'General Information'!$P$15:$AG$28,13,FALSE)))),"")</f>
        <v/>
      </c>
      <c r="U155" s="542" t="str">
        <f>IFERROR(IF(C155="","",IF(INDEX(xyWattage_Table,MATCH(M155,'Fixture Identities'!$B$9:$B$997,0),2)="Exit Sign",1,IF(VLOOKUP(C155,xySpace_Type_Details,8,FALSE)="TRM",INDEX('General Information'!$AF$17:$AG$28,12,MATCH(N155,'General Information'!$AF$16:$AG$16,0)),HLOOKUP(VLOOKUP(C155,xySpace_Type_Details,8,FALSE),'General Information'!$P$15:$AG$28,14,FALSE)))),"")</f>
        <v/>
      </c>
      <c r="V155" s="542" t="str">
        <f>IFERROR(VLOOKUP(INDEX(xySpace_Type_Details,MATCH($C155,'General Information'!$C$40:$C$60,0),12),Lookups!$L$8:$N$12,2,FALSE),"")</f>
        <v/>
      </c>
      <c r="W155" s="542" t="str">
        <f>IFERROR(VLOOKUP(INDEX(xySpace_Type_Details,MATCH($C155,'General Information'!$C$40:$C$60,0),12),Lookups!$L$8:$N$12,3,FALSE),"")</f>
        <v/>
      </c>
      <c r="Y155" s="542" t="str">
        <f>IFERROR(IF(C155="","",IF(INDEX(xyWattage_Table,MATCH(M155,'Fixture Identities'!$B$9:$B$997,0),2)="Exit Sign",0,IF(PRJ_Type="Retrofit",VLOOKUP(I155,xySVG_Factors,2,FALSE),IF(AND(PRJ_Type="New Construction",Inventory!C152="N"),VLOOKUP(VLOOKUP(Building_Type,xyLPD_BuildingArea,5,FALSE),xySVG_Factors_NC,3,FALSE),0)))),"")</f>
        <v/>
      </c>
      <c r="Z155" s="544" t="str">
        <f>IFERROR(IF(C155="","",IF(INDEX(xyWattage_Table,MATCH(M155,'Fixture Identities'!$B$9:$B$997,0),2)="Exit Sign",0,VLOOKUP(S155,xySVG_Factors,2,FALSE))),"")</f>
        <v/>
      </c>
      <c r="AA155" s="545" t="str">
        <f t="shared" si="73"/>
        <v/>
      </c>
      <c r="AB155" s="542" t="str">
        <f t="shared" si="74"/>
        <v/>
      </c>
      <c r="AC155" s="539" t="str">
        <f t="shared" si="75"/>
        <v/>
      </c>
      <c r="AD155" s="546" t="str">
        <f t="shared" si="76"/>
        <v/>
      </c>
      <c r="AE155" s="539" t="str">
        <f t="shared" si="77"/>
        <v/>
      </c>
      <c r="AF155" s="546" t="str">
        <f t="shared" si="78"/>
        <v/>
      </c>
      <c r="AG155" s="539" t="str">
        <f t="shared" si="79"/>
        <v/>
      </c>
      <c r="AH155" s="32">
        <f t="shared" si="60"/>
        <v>0</v>
      </c>
      <c r="AI155" s="32">
        <f t="shared" si="61"/>
        <v>0</v>
      </c>
      <c r="AJ155" s="32">
        <f t="shared" si="62"/>
        <v>0</v>
      </c>
      <c r="AK155" t="str">
        <f t="shared" si="63"/>
        <v/>
      </c>
      <c r="AL155" t="str">
        <f t="shared" si="64"/>
        <v/>
      </c>
      <c r="AM155" t="str">
        <f t="shared" si="65"/>
        <v/>
      </c>
      <c r="AO155" t="str">
        <f>IFERROR(VLOOKUP(M155,'Fixture Identities'!$B$9:$O$1045,14,FALSE),"")</f>
        <v/>
      </c>
      <c r="AP155" t="str">
        <f t="shared" si="59"/>
        <v/>
      </c>
    </row>
    <row r="156" spans="1:42">
      <c r="A156" s="71">
        <f t="shared" si="80"/>
        <v>0</v>
      </c>
      <c r="B156" s="513">
        <f t="shared" si="66"/>
        <v>144</v>
      </c>
      <c r="C156" s="530" t="str">
        <f>IF(Inventory!E153="","",Inventory!E153)</f>
        <v/>
      </c>
      <c r="D156" s="531">
        <f>IF(Inventory!D153="",0,Inventory!D153)</f>
        <v>0</v>
      </c>
      <c r="E156" s="532" t="str">
        <f>IF(Inventory!I153=0,"",Inventory!I153)</f>
        <v/>
      </c>
      <c r="F156" s="533" t="str">
        <f t="shared" si="67"/>
        <v/>
      </c>
      <c r="G156" s="534" t="str">
        <f>IF(Inventory!G153="","",Inventory!G153)</f>
        <v/>
      </c>
      <c r="H156" s="535" t="str">
        <f t="shared" si="68"/>
        <v/>
      </c>
      <c r="I156" s="536" t="str">
        <f>IF(Inventory!J153="","",Inventory!J153)</f>
        <v/>
      </c>
      <c r="J156" s="537" t="str">
        <f>IFERROR(IF(PRJ_Type="New Construction",IF(Inventory!C153="N",INDEX(xyLPD_BuildingArea,MATCH(Building_Type,Lookups!$F$37:$F$75,0),4),INDEX(xyLPD_SpaceBySpace,MATCH(INDEX(xyNCEx,MATCH(I156,yNCExArea,0),2),ySpace_by_Space_Type,0),2)),VLOOKUP(E156,xyWattage_Table,11,FALSE)),"")</f>
        <v/>
      </c>
      <c r="K156" s="538" t="str">
        <f>IFERROR(IF(AND(NC_Type="Building Area Method",Inventory!C153="N"),IF(ISERROR(INDEX('Usage Groups (&gt;120 MWh only)'!$N$8:$N$12,MATCH(C156,'Usage Groups (&gt;120 MWh only)'!$B$8:$B$12,0),1))=TRUE,SqFt/COUNTIFS(Inventory!$C$10:$C$1009,"N",$Q$13:$Q$1012,"&gt;=0"),INDEX('Usage Groups (&gt;120 MWh only)'!$N$8:$N$12,MATCH(C156,'Usage Groups (&gt;120 MWh only)'!$B$8:$B$12,0),1)/COUNTIF($C$13:$C$1012,C156)),IF(AND(NC_Type="Building Area Method",Inventory!C153="Y"),INDEX(xyNCEx,MATCH(I156,yNCExArea,0),3)/COUNTIF($I$13:$I$1012,I156),VLOOKUP(J156,xyWattage_Table,10,FALSE))),"")</f>
        <v/>
      </c>
      <c r="L156" s="539" t="str">
        <f t="shared" si="69"/>
        <v/>
      </c>
      <c r="M156" s="540">
        <f>IF(Inventory!N153="","",Inventory!N153)</f>
        <v>0</v>
      </c>
      <c r="N156" s="533" t="str">
        <f t="shared" si="70"/>
        <v/>
      </c>
      <c r="O156" s="534"/>
      <c r="P156" s="533" t="str">
        <f t="shared" si="71"/>
        <v/>
      </c>
      <c r="Q156" s="534" t="str">
        <f>IF(Inventory!L153="","",Inventory!L153)</f>
        <v/>
      </c>
      <c r="R156" s="535" t="str">
        <f t="shared" si="72"/>
        <v/>
      </c>
      <c r="S156" s="536" t="str">
        <f>IF(Inventory!O153="","",Inventory!O153)</f>
        <v/>
      </c>
      <c r="T156" s="541" t="str">
        <f>IFERROR(IF(C156="","",IF(INDEX(xyWattage_Table,MATCH(M156,'Fixture Identities'!$B$9:$B$997,0),2)="Exit Sign",8760,IF(VLOOKUP(C156,xySpace_Type_Details,8,FALSE)="TRM",INDEX('General Information'!$AF$17:$AG$28,11,MATCH(N156,'General Information'!$AF$16:$AG$16,0)),HLOOKUP(VLOOKUP(C156,xySpace_Type_Details,8,FALSE),'General Information'!$P$15:$AG$28,13,FALSE)))),"")</f>
        <v/>
      </c>
      <c r="U156" s="542" t="str">
        <f>IFERROR(IF(C156="","",IF(INDEX(xyWattage_Table,MATCH(M156,'Fixture Identities'!$B$9:$B$997,0),2)="Exit Sign",1,IF(VLOOKUP(C156,xySpace_Type_Details,8,FALSE)="TRM",INDEX('General Information'!$AF$17:$AG$28,12,MATCH(N156,'General Information'!$AF$16:$AG$16,0)),HLOOKUP(VLOOKUP(C156,xySpace_Type_Details,8,FALSE),'General Information'!$P$15:$AG$28,14,FALSE)))),"")</f>
        <v/>
      </c>
      <c r="V156" s="542" t="str">
        <f>IFERROR(VLOOKUP(INDEX(xySpace_Type_Details,MATCH($C156,'General Information'!$C$40:$C$60,0),12),Lookups!$L$8:$N$12,2,FALSE),"")</f>
        <v/>
      </c>
      <c r="W156" s="542" t="str">
        <f>IFERROR(VLOOKUP(INDEX(xySpace_Type_Details,MATCH($C156,'General Information'!$C$40:$C$60,0),12),Lookups!$L$8:$N$12,3,FALSE),"")</f>
        <v/>
      </c>
      <c r="Y156" s="542" t="str">
        <f>IFERROR(IF(C156="","",IF(INDEX(xyWattage_Table,MATCH(M156,'Fixture Identities'!$B$9:$B$997,0),2)="Exit Sign",0,IF(PRJ_Type="Retrofit",VLOOKUP(I156,xySVG_Factors,2,FALSE),IF(AND(PRJ_Type="New Construction",Inventory!C153="N"),VLOOKUP(VLOOKUP(Building_Type,xyLPD_BuildingArea,5,FALSE),xySVG_Factors_NC,3,FALSE),0)))),"")</f>
        <v/>
      </c>
      <c r="Z156" s="544" t="str">
        <f>IFERROR(IF(C156="","",IF(INDEX(xyWattage_Table,MATCH(M156,'Fixture Identities'!$B$9:$B$997,0),2)="Exit Sign",0,VLOOKUP(S156,xySVG_Factors,2,FALSE))),"")</f>
        <v/>
      </c>
      <c r="AA156" s="545" t="str">
        <f t="shared" si="73"/>
        <v/>
      </c>
      <c r="AB156" s="542" t="str">
        <f t="shared" si="74"/>
        <v/>
      </c>
      <c r="AC156" s="539" t="str">
        <f t="shared" si="75"/>
        <v/>
      </c>
      <c r="AD156" s="546" t="str">
        <f t="shared" si="76"/>
        <v/>
      </c>
      <c r="AE156" s="539" t="str">
        <f t="shared" si="77"/>
        <v/>
      </c>
      <c r="AF156" s="546" t="str">
        <f t="shared" si="78"/>
        <v/>
      </c>
      <c r="AG156" s="539" t="str">
        <f t="shared" si="79"/>
        <v/>
      </c>
      <c r="AH156" s="32">
        <f t="shared" si="60"/>
        <v>0</v>
      </c>
      <c r="AI156" s="32">
        <f t="shared" si="61"/>
        <v>0</v>
      </c>
      <c r="AJ156" s="32">
        <f t="shared" si="62"/>
        <v>0</v>
      </c>
      <c r="AK156" t="str">
        <f t="shared" si="63"/>
        <v/>
      </c>
      <c r="AL156" t="str">
        <f t="shared" si="64"/>
        <v/>
      </c>
      <c r="AM156" t="str">
        <f t="shared" si="65"/>
        <v/>
      </c>
      <c r="AO156" t="str">
        <f>IFERROR(VLOOKUP(M156,'Fixture Identities'!$B$9:$O$1045,14,FALSE),"")</f>
        <v/>
      </c>
      <c r="AP156" t="str">
        <f t="shared" si="59"/>
        <v/>
      </c>
    </row>
    <row r="157" spans="1:42">
      <c r="A157" s="71">
        <f t="shared" si="80"/>
        <v>0</v>
      </c>
      <c r="B157" s="513">
        <f t="shared" si="66"/>
        <v>145</v>
      </c>
      <c r="C157" s="530" t="str">
        <f>IF(Inventory!E154="","",Inventory!E154)</f>
        <v/>
      </c>
      <c r="D157" s="531">
        <f>IF(Inventory!D154="",0,Inventory!D154)</f>
        <v>0</v>
      </c>
      <c r="E157" s="532" t="str">
        <f>IF(Inventory!I154=0,"",Inventory!I154)</f>
        <v/>
      </c>
      <c r="F157" s="533" t="str">
        <f t="shared" si="67"/>
        <v/>
      </c>
      <c r="G157" s="534" t="str">
        <f>IF(Inventory!G154="","",Inventory!G154)</f>
        <v/>
      </c>
      <c r="H157" s="535" t="str">
        <f t="shared" si="68"/>
        <v/>
      </c>
      <c r="I157" s="536" t="str">
        <f>IF(Inventory!J154="","",Inventory!J154)</f>
        <v/>
      </c>
      <c r="J157" s="537" t="str">
        <f>IFERROR(IF(PRJ_Type="New Construction",IF(Inventory!C154="N",INDEX(xyLPD_BuildingArea,MATCH(Building_Type,Lookups!$F$37:$F$75,0),4),INDEX(xyLPD_SpaceBySpace,MATCH(INDEX(xyNCEx,MATCH(I157,yNCExArea,0),2),ySpace_by_Space_Type,0),2)),VLOOKUP(E157,xyWattage_Table,11,FALSE)),"")</f>
        <v/>
      </c>
      <c r="K157" s="538" t="str">
        <f>IFERROR(IF(AND(NC_Type="Building Area Method",Inventory!C154="N"),IF(ISERROR(INDEX('Usage Groups (&gt;120 MWh only)'!$N$8:$N$12,MATCH(C157,'Usage Groups (&gt;120 MWh only)'!$B$8:$B$12,0),1))=TRUE,SqFt/COUNTIFS(Inventory!$C$10:$C$1009,"N",$Q$13:$Q$1012,"&gt;=0"),INDEX('Usage Groups (&gt;120 MWh only)'!$N$8:$N$12,MATCH(C157,'Usage Groups (&gt;120 MWh only)'!$B$8:$B$12,0),1)/COUNTIF($C$13:$C$1012,C157)),IF(AND(NC_Type="Building Area Method",Inventory!C154="Y"),INDEX(xyNCEx,MATCH(I157,yNCExArea,0),3)/COUNTIF($I$13:$I$1012,I157),VLOOKUP(J157,xyWattage_Table,10,FALSE))),"")</f>
        <v/>
      </c>
      <c r="L157" s="539" t="str">
        <f t="shared" si="69"/>
        <v/>
      </c>
      <c r="M157" s="540">
        <f>IF(Inventory!N154="","",Inventory!N154)</f>
        <v>0</v>
      </c>
      <c r="N157" s="533" t="str">
        <f t="shared" si="70"/>
        <v/>
      </c>
      <c r="O157" s="534"/>
      <c r="P157" s="533" t="str">
        <f t="shared" si="71"/>
        <v/>
      </c>
      <c r="Q157" s="534" t="str">
        <f>IF(Inventory!L154="","",Inventory!L154)</f>
        <v/>
      </c>
      <c r="R157" s="535" t="str">
        <f t="shared" si="72"/>
        <v/>
      </c>
      <c r="S157" s="536" t="str">
        <f>IF(Inventory!O154="","",Inventory!O154)</f>
        <v/>
      </c>
      <c r="T157" s="541" t="str">
        <f>IFERROR(IF(C157="","",IF(INDEX(xyWattage_Table,MATCH(M157,'Fixture Identities'!$B$9:$B$997,0),2)="Exit Sign",8760,IF(VLOOKUP(C157,xySpace_Type_Details,8,FALSE)="TRM",INDEX('General Information'!$AF$17:$AG$28,11,MATCH(N157,'General Information'!$AF$16:$AG$16,0)),HLOOKUP(VLOOKUP(C157,xySpace_Type_Details,8,FALSE),'General Information'!$P$15:$AG$28,13,FALSE)))),"")</f>
        <v/>
      </c>
      <c r="U157" s="542" t="str">
        <f>IFERROR(IF(C157="","",IF(INDEX(xyWattage_Table,MATCH(M157,'Fixture Identities'!$B$9:$B$997,0),2)="Exit Sign",1,IF(VLOOKUP(C157,xySpace_Type_Details,8,FALSE)="TRM",INDEX('General Information'!$AF$17:$AG$28,12,MATCH(N157,'General Information'!$AF$16:$AG$16,0)),HLOOKUP(VLOOKUP(C157,xySpace_Type_Details,8,FALSE),'General Information'!$P$15:$AG$28,14,FALSE)))),"")</f>
        <v/>
      </c>
      <c r="V157" s="542" t="str">
        <f>IFERROR(VLOOKUP(INDEX(xySpace_Type_Details,MATCH($C157,'General Information'!$C$40:$C$60,0),12),Lookups!$L$8:$N$12,2,FALSE),"")</f>
        <v/>
      </c>
      <c r="W157" s="542" t="str">
        <f>IFERROR(VLOOKUP(INDEX(xySpace_Type_Details,MATCH($C157,'General Information'!$C$40:$C$60,0),12),Lookups!$L$8:$N$12,3,FALSE),"")</f>
        <v/>
      </c>
      <c r="Y157" s="542" t="str">
        <f>IFERROR(IF(C157="","",IF(INDEX(xyWattage_Table,MATCH(M157,'Fixture Identities'!$B$9:$B$997,0),2)="Exit Sign",0,IF(PRJ_Type="Retrofit",VLOOKUP(I157,xySVG_Factors,2,FALSE),IF(AND(PRJ_Type="New Construction",Inventory!C154="N"),VLOOKUP(VLOOKUP(Building_Type,xyLPD_BuildingArea,5,FALSE),xySVG_Factors_NC,3,FALSE),0)))),"")</f>
        <v/>
      </c>
      <c r="Z157" s="544" t="str">
        <f>IFERROR(IF(C157="","",IF(INDEX(xyWattage_Table,MATCH(M157,'Fixture Identities'!$B$9:$B$997,0),2)="Exit Sign",0,VLOOKUP(S157,xySVG_Factors,2,FALSE))),"")</f>
        <v/>
      </c>
      <c r="AA157" s="545" t="str">
        <f t="shared" si="73"/>
        <v/>
      </c>
      <c r="AB157" s="542" t="str">
        <f t="shared" si="74"/>
        <v/>
      </c>
      <c r="AC157" s="539" t="str">
        <f t="shared" si="75"/>
        <v/>
      </c>
      <c r="AD157" s="546" t="str">
        <f t="shared" si="76"/>
        <v/>
      </c>
      <c r="AE157" s="539" t="str">
        <f t="shared" si="77"/>
        <v/>
      </c>
      <c r="AF157" s="546" t="str">
        <f t="shared" si="78"/>
        <v/>
      </c>
      <c r="AG157" s="539" t="str">
        <f t="shared" si="79"/>
        <v/>
      </c>
      <c r="AH157" s="32">
        <f t="shared" si="60"/>
        <v>0</v>
      </c>
      <c r="AI157" s="32">
        <f t="shared" si="61"/>
        <v>0</v>
      </c>
      <c r="AJ157" s="32">
        <f t="shared" si="62"/>
        <v>0</v>
      </c>
      <c r="AK157" t="str">
        <f t="shared" si="63"/>
        <v/>
      </c>
      <c r="AL157" t="str">
        <f t="shared" si="64"/>
        <v/>
      </c>
      <c r="AM157" t="str">
        <f t="shared" si="65"/>
        <v/>
      </c>
      <c r="AO157" t="str">
        <f>IFERROR(VLOOKUP(M157,'Fixture Identities'!$B$9:$O$1045,14,FALSE),"")</f>
        <v/>
      </c>
      <c r="AP157" t="str">
        <f t="shared" si="59"/>
        <v/>
      </c>
    </row>
    <row r="158" spans="1:42">
      <c r="A158" s="71">
        <f t="shared" si="80"/>
        <v>0</v>
      </c>
      <c r="B158" s="513">
        <f t="shared" si="66"/>
        <v>146</v>
      </c>
      <c r="C158" s="530" t="str">
        <f>IF(Inventory!E155="","",Inventory!E155)</f>
        <v/>
      </c>
      <c r="D158" s="531">
        <f>IF(Inventory!D155="",0,Inventory!D155)</f>
        <v>0</v>
      </c>
      <c r="E158" s="532" t="str">
        <f>IF(Inventory!I155=0,"",Inventory!I155)</f>
        <v/>
      </c>
      <c r="F158" s="533" t="str">
        <f t="shared" si="67"/>
        <v/>
      </c>
      <c r="G158" s="534" t="str">
        <f>IF(Inventory!G155="","",Inventory!G155)</f>
        <v/>
      </c>
      <c r="H158" s="535" t="str">
        <f t="shared" si="68"/>
        <v/>
      </c>
      <c r="I158" s="536" t="str">
        <f>IF(Inventory!J155="","",Inventory!J155)</f>
        <v/>
      </c>
      <c r="J158" s="537" t="str">
        <f>IFERROR(IF(PRJ_Type="New Construction",IF(Inventory!C155="N",INDEX(xyLPD_BuildingArea,MATCH(Building_Type,Lookups!$F$37:$F$75,0),4),INDEX(xyLPD_SpaceBySpace,MATCH(INDEX(xyNCEx,MATCH(I158,yNCExArea,0),2),ySpace_by_Space_Type,0),2)),VLOOKUP(E158,xyWattage_Table,11,FALSE)),"")</f>
        <v/>
      </c>
      <c r="K158" s="538" t="str">
        <f>IFERROR(IF(AND(NC_Type="Building Area Method",Inventory!C155="N"),IF(ISERROR(INDEX('Usage Groups (&gt;120 MWh only)'!$N$8:$N$12,MATCH(C158,'Usage Groups (&gt;120 MWh only)'!$B$8:$B$12,0),1))=TRUE,SqFt/COUNTIFS(Inventory!$C$10:$C$1009,"N",$Q$13:$Q$1012,"&gt;=0"),INDEX('Usage Groups (&gt;120 MWh only)'!$N$8:$N$12,MATCH(C158,'Usage Groups (&gt;120 MWh only)'!$B$8:$B$12,0),1)/COUNTIF($C$13:$C$1012,C158)),IF(AND(NC_Type="Building Area Method",Inventory!C155="Y"),INDEX(xyNCEx,MATCH(I158,yNCExArea,0),3)/COUNTIF($I$13:$I$1012,I158),VLOOKUP(J158,xyWattage_Table,10,FALSE))),"")</f>
        <v/>
      </c>
      <c r="L158" s="539" t="str">
        <f t="shared" si="69"/>
        <v/>
      </c>
      <c r="M158" s="540">
        <f>IF(Inventory!N155="","",Inventory!N155)</f>
        <v>0</v>
      </c>
      <c r="N158" s="533" t="str">
        <f t="shared" si="70"/>
        <v/>
      </c>
      <c r="O158" s="534"/>
      <c r="P158" s="533" t="str">
        <f t="shared" si="71"/>
        <v/>
      </c>
      <c r="Q158" s="534" t="str">
        <f>IF(Inventory!L155="","",Inventory!L155)</f>
        <v/>
      </c>
      <c r="R158" s="535" t="str">
        <f t="shared" si="72"/>
        <v/>
      </c>
      <c r="S158" s="536" t="str">
        <f>IF(Inventory!O155="","",Inventory!O155)</f>
        <v/>
      </c>
      <c r="T158" s="541" t="str">
        <f>IFERROR(IF(C158="","",IF(INDEX(xyWattage_Table,MATCH(M158,'Fixture Identities'!$B$9:$B$997,0),2)="Exit Sign",8760,IF(VLOOKUP(C158,xySpace_Type_Details,8,FALSE)="TRM",INDEX('General Information'!$AF$17:$AG$28,11,MATCH(N158,'General Information'!$AF$16:$AG$16,0)),HLOOKUP(VLOOKUP(C158,xySpace_Type_Details,8,FALSE),'General Information'!$P$15:$AG$28,13,FALSE)))),"")</f>
        <v/>
      </c>
      <c r="U158" s="542" t="str">
        <f>IFERROR(IF(C158="","",IF(INDEX(xyWattage_Table,MATCH(M158,'Fixture Identities'!$B$9:$B$997,0),2)="Exit Sign",1,IF(VLOOKUP(C158,xySpace_Type_Details,8,FALSE)="TRM",INDEX('General Information'!$AF$17:$AG$28,12,MATCH(N158,'General Information'!$AF$16:$AG$16,0)),HLOOKUP(VLOOKUP(C158,xySpace_Type_Details,8,FALSE),'General Information'!$P$15:$AG$28,14,FALSE)))),"")</f>
        <v/>
      </c>
      <c r="V158" s="542" t="str">
        <f>IFERROR(VLOOKUP(INDEX(xySpace_Type_Details,MATCH($C158,'General Information'!$C$40:$C$60,0),12),Lookups!$L$8:$N$12,2,FALSE),"")</f>
        <v/>
      </c>
      <c r="W158" s="542" t="str">
        <f>IFERROR(VLOOKUP(INDEX(xySpace_Type_Details,MATCH($C158,'General Information'!$C$40:$C$60,0),12),Lookups!$L$8:$N$12,3,FALSE),"")</f>
        <v/>
      </c>
      <c r="Y158" s="542" t="str">
        <f>IFERROR(IF(C158="","",IF(INDEX(xyWattage_Table,MATCH(M158,'Fixture Identities'!$B$9:$B$997,0),2)="Exit Sign",0,IF(PRJ_Type="Retrofit",VLOOKUP(I158,xySVG_Factors,2,FALSE),IF(AND(PRJ_Type="New Construction",Inventory!C155="N"),VLOOKUP(VLOOKUP(Building_Type,xyLPD_BuildingArea,5,FALSE),xySVG_Factors_NC,3,FALSE),0)))),"")</f>
        <v/>
      </c>
      <c r="Z158" s="544" t="str">
        <f>IFERROR(IF(C158="","",IF(INDEX(xyWattage_Table,MATCH(M158,'Fixture Identities'!$B$9:$B$997,0),2)="Exit Sign",0,VLOOKUP(S158,xySVG_Factors,2,FALSE))),"")</f>
        <v/>
      </c>
      <c r="AA158" s="545" t="str">
        <f t="shared" si="73"/>
        <v/>
      </c>
      <c r="AB158" s="542" t="str">
        <f t="shared" si="74"/>
        <v/>
      </c>
      <c r="AC158" s="539" t="str">
        <f t="shared" si="75"/>
        <v/>
      </c>
      <c r="AD158" s="546" t="str">
        <f t="shared" si="76"/>
        <v/>
      </c>
      <c r="AE158" s="539" t="str">
        <f t="shared" si="77"/>
        <v/>
      </c>
      <c r="AF158" s="546" t="str">
        <f t="shared" si="78"/>
        <v/>
      </c>
      <c r="AG158" s="539" t="str">
        <f t="shared" si="79"/>
        <v/>
      </c>
      <c r="AH158" s="32">
        <f t="shared" si="60"/>
        <v>0</v>
      </c>
      <c r="AI158" s="32">
        <f t="shared" si="61"/>
        <v>0</v>
      </c>
      <c r="AJ158" s="32">
        <f t="shared" si="62"/>
        <v>0</v>
      </c>
      <c r="AK158" t="str">
        <f t="shared" si="63"/>
        <v/>
      </c>
      <c r="AL158" t="str">
        <f t="shared" si="64"/>
        <v/>
      </c>
      <c r="AM158" t="str">
        <f t="shared" si="65"/>
        <v/>
      </c>
      <c r="AO158" t="str">
        <f>IFERROR(VLOOKUP(M158,'Fixture Identities'!$B$9:$O$1045,14,FALSE),"")</f>
        <v/>
      </c>
      <c r="AP158" t="str">
        <f t="shared" si="59"/>
        <v/>
      </c>
    </row>
    <row r="159" spans="1:42">
      <c r="A159" s="71">
        <f t="shared" si="80"/>
        <v>0</v>
      </c>
      <c r="B159" s="513">
        <f t="shared" si="66"/>
        <v>147</v>
      </c>
      <c r="C159" s="530" t="str">
        <f>IF(Inventory!E156="","",Inventory!E156)</f>
        <v/>
      </c>
      <c r="D159" s="531">
        <f>IF(Inventory!D156="",0,Inventory!D156)</f>
        <v>0</v>
      </c>
      <c r="E159" s="532" t="str">
        <f>IF(Inventory!I156=0,"",Inventory!I156)</f>
        <v/>
      </c>
      <c r="F159" s="533" t="str">
        <f t="shared" si="67"/>
        <v/>
      </c>
      <c r="G159" s="534" t="str">
        <f>IF(Inventory!G156="","",Inventory!G156)</f>
        <v/>
      </c>
      <c r="H159" s="535" t="str">
        <f t="shared" si="68"/>
        <v/>
      </c>
      <c r="I159" s="536" t="str">
        <f>IF(Inventory!J156="","",Inventory!J156)</f>
        <v/>
      </c>
      <c r="J159" s="537" t="str">
        <f>IFERROR(IF(PRJ_Type="New Construction",IF(Inventory!C156="N",INDEX(xyLPD_BuildingArea,MATCH(Building_Type,Lookups!$F$37:$F$75,0),4),INDEX(xyLPD_SpaceBySpace,MATCH(INDEX(xyNCEx,MATCH(I159,yNCExArea,0),2),ySpace_by_Space_Type,0),2)),VLOOKUP(E159,xyWattage_Table,11,FALSE)),"")</f>
        <v/>
      </c>
      <c r="K159" s="538" t="str">
        <f>IFERROR(IF(AND(NC_Type="Building Area Method",Inventory!C156="N"),IF(ISERROR(INDEX('Usage Groups (&gt;120 MWh only)'!$N$8:$N$12,MATCH(C159,'Usage Groups (&gt;120 MWh only)'!$B$8:$B$12,0),1))=TRUE,SqFt/COUNTIFS(Inventory!$C$10:$C$1009,"N",$Q$13:$Q$1012,"&gt;=0"),INDEX('Usage Groups (&gt;120 MWh only)'!$N$8:$N$12,MATCH(C159,'Usage Groups (&gt;120 MWh only)'!$B$8:$B$12,0),1)/COUNTIF($C$13:$C$1012,C159)),IF(AND(NC_Type="Building Area Method",Inventory!C156="Y"),INDEX(xyNCEx,MATCH(I159,yNCExArea,0),3)/COUNTIF($I$13:$I$1012,I159),VLOOKUP(J159,xyWattage_Table,10,FALSE))),"")</f>
        <v/>
      </c>
      <c r="L159" s="539" t="str">
        <f t="shared" si="69"/>
        <v/>
      </c>
      <c r="M159" s="540">
        <f>IF(Inventory!N156="","",Inventory!N156)</f>
        <v>0</v>
      </c>
      <c r="N159" s="533" t="str">
        <f t="shared" si="70"/>
        <v/>
      </c>
      <c r="O159" s="534"/>
      <c r="P159" s="533" t="str">
        <f t="shared" si="71"/>
        <v/>
      </c>
      <c r="Q159" s="534" t="str">
        <f>IF(Inventory!L156="","",Inventory!L156)</f>
        <v/>
      </c>
      <c r="R159" s="535" t="str">
        <f t="shared" si="72"/>
        <v/>
      </c>
      <c r="S159" s="536" t="str">
        <f>IF(Inventory!O156="","",Inventory!O156)</f>
        <v/>
      </c>
      <c r="T159" s="541" t="str">
        <f>IFERROR(IF(C159="","",IF(INDEX(xyWattage_Table,MATCH(M159,'Fixture Identities'!$B$9:$B$997,0),2)="Exit Sign",8760,IF(VLOOKUP(C159,xySpace_Type_Details,8,FALSE)="TRM",INDEX('General Information'!$AF$17:$AG$28,11,MATCH(N159,'General Information'!$AF$16:$AG$16,0)),HLOOKUP(VLOOKUP(C159,xySpace_Type_Details,8,FALSE),'General Information'!$P$15:$AG$28,13,FALSE)))),"")</f>
        <v/>
      </c>
      <c r="U159" s="542" t="str">
        <f>IFERROR(IF(C159="","",IF(INDEX(xyWattage_Table,MATCH(M159,'Fixture Identities'!$B$9:$B$997,0),2)="Exit Sign",1,IF(VLOOKUP(C159,xySpace_Type_Details,8,FALSE)="TRM",INDEX('General Information'!$AF$17:$AG$28,12,MATCH(N159,'General Information'!$AF$16:$AG$16,0)),HLOOKUP(VLOOKUP(C159,xySpace_Type_Details,8,FALSE),'General Information'!$P$15:$AG$28,14,FALSE)))),"")</f>
        <v/>
      </c>
      <c r="V159" s="542" t="str">
        <f>IFERROR(VLOOKUP(INDEX(xySpace_Type_Details,MATCH($C159,'General Information'!$C$40:$C$60,0),12),Lookups!$L$8:$N$12,2,FALSE),"")</f>
        <v/>
      </c>
      <c r="W159" s="542" t="str">
        <f>IFERROR(VLOOKUP(INDEX(xySpace_Type_Details,MATCH($C159,'General Information'!$C$40:$C$60,0),12),Lookups!$L$8:$N$12,3,FALSE),"")</f>
        <v/>
      </c>
      <c r="Y159" s="542" t="str">
        <f>IFERROR(IF(C159="","",IF(INDEX(xyWattage_Table,MATCH(M159,'Fixture Identities'!$B$9:$B$997,0),2)="Exit Sign",0,IF(PRJ_Type="Retrofit",VLOOKUP(I159,xySVG_Factors,2,FALSE),IF(AND(PRJ_Type="New Construction",Inventory!C156="N"),VLOOKUP(VLOOKUP(Building_Type,xyLPD_BuildingArea,5,FALSE),xySVG_Factors_NC,3,FALSE),0)))),"")</f>
        <v/>
      </c>
      <c r="Z159" s="544" t="str">
        <f>IFERROR(IF(C159="","",IF(INDEX(xyWattage_Table,MATCH(M159,'Fixture Identities'!$B$9:$B$997,0),2)="Exit Sign",0,VLOOKUP(S159,xySVG_Factors,2,FALSE))),"")</f>
        <v/>
      </c>
      <c r="AA159" s="545" t="str">
        <f t="shared" si="73"/>
        <v/>
      </c>
      <c r="AB159" s="542" t="str">
        <f t="shared" si="74"/>
        <v/>
      </c>
      <c r="AC159" s="539" t="str">
        <f t="shared" si="75"/>
        <v/>
      </c>
      <c r="AD159" s="546" t="str">
        <f t="shared" si="76"/>
        <v/>
      </c>
      <c r="AE159" s="539" t="str">
        <f t="shared" si="77"/>
        <v/>
      </c>
      <c r="AF159" s="546" t="str">
        <f t="shared" si="78"/>
        <v/>
      </c>
      <c r="AG159" s="539" t="str">
        <f t="shared" si="79"/>
        <v/>
      </c>
      <c r="AH159" s="32">
        <f t="shared" si="60"/>
        <v>0</v>
      </c>
      <c r="AI159" s="32">
        <f t="shared" si="61"/>
        <v>0</v>
      </c>
      <c r="AJ159" s="32">
        <f t="shared" si="62"/>
        <v>0</v>
      </c>
      <c r="AK159" t="str">
        <f t="shared" si="63"/>
        <v/>
      </c>
      <c r="AL159" t="str">
        <f t="shared" si="64"/>
        <v/>
      </c>
      <c r="AM159" t="str">
        <f t="shared" si="65"/>
        <v/>
      </c>
      <c r="AO159" t="str">
        <f>IFERROR(VLOOKUP(M159,'Fixture Identities'!$B$9:$O$1045,14,FALSE),"")</f>
        <v/>
      </c>
      <c r="AP159" t="str">
        <f t="shared" si="59"/>
        <v/>
      </c>
    </row>
    <row r="160" spans="1:42">
      <c r="A160" s="71">
        <f t="shared" si="80"/>
        <v>0</v>
      </c>
      <c r="B160" s="513">
        <f t="shared" si="66"/>
        <v>148</v>
      </c>
      <c r="C160" s="530" t="str">
        <f>IF(Inventory!E157="","",Inventory!E157)</f>
        <v/>
      </c>
      <c r="D160" s="531">
        <f>IF(Inventory!D157="",0,Inventory!D157)</f>
        <v>0</v>
      </c>
      <c r="E160" s="532" t="str">
        <f>IF(Inventory!I157=0,"",Inventory!I157)</f>
        <v/>
      </c>
      <c r="F160" s="533" t="str">
        <f t="shared" si="67"/>
        <v/>
      </c>
      <c r="G160" s="534" t="str">
        <f>IF(Inventory!G157="","",Inventory!G157)</f>
        <v/>
      </c>
      <c r="H160" s="535" t="str">
        <f t="shared" si="68"/>
        <v/>
      </c>
      <c r="I160" s="536" t="str">
        <f>IF(Inventory!J157="","",Inventory!J157)</f>
        <v/>
      </c>
      <c r="J160" s="537" t="str">
        <f>IFERROR(IF(PRJ_Type="New Construction",IF(Inventory!C157="N",INDEX(xyLPD_BuildingArea,MATCH(Building_Type,Lookups!$F$37:$F$75,0),4),INDEX(xyLPD_SpaceBySpace,MATCH(INDEX(xyNCEx,MATCH(I160,yNCExArea,0),2),ySpace_by_Space_Type,0),2)),VLOOKUP(E160,xyWattage_Table,11,FALSE)),"")</f>
        <v/>
      </c>
      <c r="K160" s="538" t="str">
        <f>IFERROR(IF(AND(NC_Type="Building Area Method",Inventory!C157="N"),IF(ISERROR(INDEX('Usage Groups (&gt;120 MWh only)'!$N$8:$N$12,MATCH(C160,'Usage Groups (&gt;120 MWh only)'!$B$8:$B$12,0),1))=TRUE,SqFt/COUNTIFS(Inventory!$C$10:$C$1009,"N",$Q$13:$Q$1012,"&gt;=0"),INDEX('Usage Groups (&gt;120 MWh only)'!$N$8:$N$12,MATCH(C160,'Usage Groups (&gt;120 MWh only)'!$B$8:$B$12,0),1)/COUNTIF($C$13:$C$1012,C160)),IF(AND(NC_Type="Building Area Method",Inventory!C157="Y"),INDEX(xyNCEx,MATCH(I160,yNCExArea,0),3)/COUNTIF($I$13:$I$1012,I160),VLOOKUP(J160,xyWattage_Table,10,FALSE))),"")</f>
        <v/>
      </c>
      <c r="L160" s="539" t="str">
        <f t="shared" si="69"/>
        <v/>
      </c>
      <c r="M160" s="540">
        <f>IF(Inventory!N157="","",Inventory!N157)</f>
        <v>0</v>
      </c>
      <c r="N160" s="533" t="str">
        <f t="shared" si="70"/>
        <v/>
      </c>
      <c r="O160" s="534"/>
      <c r="P160" s="533" t="str">
        <f t="shared" si="71"/>
        <v/>
      </c>
      <c r="Q160" s="534" t="str">
        <f>IF(Inventory!L157="","",Inventory!L157)</f>
        <v/>
      </c>
      <c r="R160" s="535" t="str">
        <f t="shared" si="72"/>
        <v/>
      </c>
      <c r="S160" s="536" t="str">
        <f>IF(Inventory!O157="","",Inventory!O157)</f>
        <v/>
      </c>
      <c r="T160" s="541" t="str">
        <f>IFERROR(IF(C160="","",IF(INDEX(xyWattage_Table,MATCH(M160,'Fixture Identities'!$B$9:$B$997,0),2)="Exit Sign",8760,IF(VLOOKUP(C160,xySpace_Type_Details,8,FALSE)="TRM",INDEX('General Information'!$AF$17:$AG$28,11,MATCH(N160,'General Information'!$AF$16:$AG$16,0)),HLOOKUP(VLOOKUP(C160,xySpace_Type_Details,8,FALSE),'General Information'!$P$15:$AG$28,13,FALSE)))),"")</f>
        <v/>
      </c>
      <c r="U160" s="542" t="str">
        <f>IFERROR(IF(C160="","",IF(INDEX(xyWattage_Table,MATCH(M160,'Fixture Identities'!$B$9:$B$997,0),2)="Exit Sign",1,IF(VLOOKUP(C160,xySpace_Type_Details,8,FALSE)="TRM",INDEX('General Information'!$AF$17:$AG$28,12,MATCH(N160,'General Information'!$AF$16:$AG$16,0)),HLOOKUP(VLOOKUP(C160,xySpace_Type_Details,8,FALSE),'General Information'!$P$15:$AG$28,14,FALSE)))),"")</f>
        <v/>
      </c>
      <c r="V160" s="542" t="str">
        <f>IFERROR(VLOOKUP(INDEX(xySpace_Type_Details,MATCH($C160,'General Information'!$C$40:$C$60,0),12),Lookups!$L$8:$N$12,2,FALSE),"")</f>
        <v/>
      </c>
      <c r="W160" s="542" t="str">
        <f>IFERROR(VLOOKUP(INDEX(xySpace_Type_Details,MATCH($C160,'General Information'!$C$40:$C$60,0),12),Lookups!$L$8:$N$12,3,FALSE),"")</f>
        <v/>
      </c>
      <c r="Y160" s="542" t="str">
        <f>IFERROR(IF(C160="","",IF(INDEX(xyWattage_Table,MATCH(M160,'Fixture Identities'!$B$9:$B$997,0),2)="Exit Sign",0,IF(PRJ_Type="Retrofit",VLOOKUP(I160,xySVG_Factors,2,FALSE),IF(AND(PRJ_Type="New Construction",Inventory!C157="N"),VLOOKUP(VLOOKUP(Building_Type,xyLPD_BuildingArea,5,FALSE),xySVG_Factors_NC,3,FALSE),0)))),"")</f>
        <v/>
      </c>
      <c r="Z160" s="544" t="str">
        <f>IFERROR(IF(C160="","",IF(INDEX(xyWattage_Table,MATCH(M160,'Fixture Identities'!$B$9:$B$997,0),2)="Exit Sign",0,VLOOKUP(S160,xySVG_Factors,2,FALSE))),"")</f>
        <v/>
      </c>
      <c r="AA160" s="545" t="str">
        <f t="shared" si="73"/>
        <v/>
      </c>
      <c r="AB160" s="542" t="str">
        <f t="shared" si="74"/>
        <v/>
      </c>
      <c r="AC160" s="539" t="str">
        <f t="shared" si="75"/>
        <v/>
      </c>
      <c r="AD160" s="546" t="str">
        <f t="shared" si="76"/>
        <v/>
      </c>
      <c r="AE160" s="539" t="str">
        <f t="shared" si="77"/>
        <v/>
      </c>
      <c r="AF160" s="546" t="str">
        <f t="shared" si="78"/>
        <v/>
      </c>
      <c r="AG160" s="539" t="str">
        <f t="shared" si="79"/>
        <v/>
      </c>
      <c r="AH160" s="32">
        <f t="shared" si="60"/>
        <v>0</v>
      </c>
      <c r="AI160" s="32">
        <f t="shared" si="61"/>
        <v>0</v>
      </c>
      <c r="AJ160" s="32">
        <f t="shared" si="62"/>
        <v>0</v>
      </c>
      <c r="AK160" t="str">
        <f t="shared" si="63"/>
        <v/>
      </c>
      <c r="AL160" t="str">
        <f t="shared" si="64"/>
        <v/>
      </c>
      <c r="AM160" t="str">
        <f t="shared" si="65"/>
        <v/>
      </c>
      <c r="AO160" t="str">
        <f>IFERROR(VLOOKUP(M160,'Fixture Identities'!$B$9:$O$1045,14,FALSE),"")</f>
        <v/>
      </c>
      <c r="AP160" t="str">
        <f t="shared" si="59"/>
        <v/>
      </c>
    </row>
    <row r="161" spans="1:42">
      <c r="A161" s="71">
        <f t="shared" si="80"/>
        <v>0</v>
      </c>
      <c r="B161" s="513">
        <f t="shared" si="66"/>
        <v>149</v>
      </c>
      <c r="C161" s="530" t="str">
        <f>IF(Inventory!E158="","",Inventory!E158)</f>
        <v/>
      </c>
      <c r="D161" s="531">
        <f>IF(Inventory!D158="",0,Inventory!D158)</f>
        <v>0</v>
      </c>
      <c r="E161" s="532" t="str">
        <f>IF(Inventory!I158=0,"",Inventory!I158)</f>
        <v/>
      </c>
      <c r="F161" s="533" t="str">
        <f t="shared" si="67"/>
        <v/>
      </c>
      <c r="G161" s="534" t="str">
        <f>IF(Inventory!G158="","",Inventory!G158)</f>
        <v/>
      </c>
      <c r="H161" s="535" t="str">
        <f t="shared" si="68"/>
        <v/>
      </c>
      <c r="I161" s="536" t="str">
        <f>IF(Inventory!J158="","",Inventory!J158)</f>
        <v/>
      </c>
      <c r="J161" s="537" t="str">
        <f>IFERROR(IF(PRJ_Type="New Construction",IF(Inventory!C158="N",INDEX(xyLPD_BuildingArea,MATCH(Building_Type,Lookups!$F$37:$F$75,0),4),INDEX(xyLPD_SpaceBySpace,MATCH(INDEX(xyNCEx,MATCH(I161,yNCExArea,0),2),ySpace_by_Space_Type,0),2)),VLOOKUP(E161,xyWattage_Table,11,FALSE)),"")</f>
        <v/>
      </c>
      <c r="K161" s="538" t="str">
        <f>IFERROR(IF(AND(NC_Type="Building Area Method",Inventory!C158="N"),IF(ISERROR(INDEX('Usage Groups (&gt;120 MWh only)'!$N$8:$N$12,MATCH(C161,'Usage Groups (&gt;120 MWh only)'!$B$8:$B$12,0),1))=TRUE,SqFt/COUNTIFS(Inventory!$C$10:$C$1009,"N",$Q$13:$Q$1012,"&gt;=0"),INDEX('Usage Groups (&gt;120 MWh only)'!$N$8:$N$12,MATCH(C161,'Usage Groups (&gt;120 MWh only)'!$B$8:$B$12,0),1)/COUNTIF($C$13:$C$1012,C161)),IF(AND(NC_Type="Building Area Method",Inventory!C158="Y"),INDEX(xyNCEx,MATCH(I161,yNCExArea,0),3)/COUNTIF($I$13:$I$1012,I161),VLOOKUP(J161,xyWattage_Table,10,FALSE))),"")</f>
        <v/>
      </c>
      <c r="L161" s="539" t="str">
        <f t="shared" si="69"/>
        <v/>
      </c>
      <c r="M161" s="540">
        <f>IF(Inventory!N158="","",Inventory!N158)</f>
        <v>0</v>
      </c>
      <c r="N161" s="533" t="str">
        <f t="shared" si="70"/>
        <v/>
      </c>
      <c r="O161" s="534"/>
      <c r="P161" s="533" t="str">
        <f t="shared" si="71"/>
        <v/>
      </c>
      <c r="Q161" s="534" t="str">
        <f>IF(Inventory!L158="","",Inventory!L158)</f>
        <v/>
      </c>
      <c r="R161" s="535" t="str">
        <f t="shared" si="72"/>
        <v/>
      </c>
      <c r="S161" s="536" t="str">
        <f>IF(Inventory!O158="","",Inventory!O158)</f>
        <v/>
      </c>
      <c r="T161" s="541" t="str">
        <f>IFERROR(IF(C161="","",IF(INDEX(xyWattage_Table,MATCH(M161,'Fixture Identities'!$B$9:$B$997,0),2)="Exit Sign",8760,IF(VLOOKUP(C161,xySpace_Type_Details,8,FALSE)="TRM",INDEX('General Information'!$AF$17:$AG$28,11,MATCH(N161,'General Information'!$AF$16:$AG$16,0)),HLOOKUP(VLOOKUP(C161,xySpace_Type_Details,8,FALSE),'General Information'!$P$15:$AG$28,13,FALSE)))),"")</f>
        <v/>
      </c>
      <c r="U161" s="542" t="str">
        <f>IFERROR(IF(C161="","",IF(INDEX(xyWattage_Table,MATCH(M161,'Fixture Identities'!$B$9:$B$997,0),2)="Exit Sign",1,IF(VLOOKUP(C161,xySpace_Type_Details,8,FALSE)="TRM",INDEX('General Information'!$AF$17:$AG$28,12,MATCH(N161,'General Information'!$AF$16:$AG$16,0)),HLOOKUP(VLOOKUP(C161,xySpace_Type_Details,8,FALSE),'General Information'!$P$15:$AG$28,14,FALSE)))),"")</f>
        <v/>
      </c>
      <c r="V161" s="542" t="str">
        <f>IFERROR(VLOOKUP(INDEX(xySpace_Type_Details,MATCH($C161,'General Information'!$C$40:$C$60,0),12),Lookups!$L$8:$N$12,2,FALSE),"")</f>
        <v/>
      </c>
      <c r="W161" s="542" t="str">
        <f>IFERROR(VLOOKUP(INDEX(xySpace_Type_Details,MATCH($C161,'General Information'!$C$40:$C$60,0),12),Lookups!$L$8:$N$12,3,FALSE),"")</f>
        <v/>
      </c>
      <c r="Y161" s="542" t="str">
        <f>IFERROR(IF(C161="","",IF(INDEX(xyWattage_Table,MATCH(M161,'Fixture Identities'!$B$9:$B$997,0),2)="Exit Sign",0,IF(PRJ_Type="Retrofit",VLOOKUP(I161,xySVG_Factors,2,FALSE),IF(AND(PRJ_Type="New Construction",Inventory!C158="N"),VLOOKUP(VLOOKUP(Building_Type,xyLPD_BuildingArea,5,FALSE),xySVG_Factors_NC,3,FALSE),0)))),"")</f>
        <v/>
      </c>
      <c r="Z161" s="544" t="str">
        <f>IFERROR(IF(C161="","",IF(INDEX(xyWattage_Table,MATCH(M161,'Fixture Identities'!$B$9:$B$997,0),2)="Exit Sign",0,VLOOKUP(S161,xySVG_Factors,2,FALSE))),"")</f>
        <v/>
      </c>
      <c r="AA161" s="545" t="str">
        <f t="shared" si="73"/>
        <v/>
      </c>
      <c r="AB161" s="542" t="str">
        <f t="shared" si="74"/>
        <v/>
      </c>
      <c r="AC161" s="539" t="str">
        <f t="shared" si="75"/>
        <v/>
      </c>
      <c r="AD161" s="546" t="str">
        <f t="shared" si="76"/>
        <v/>
      </c>
      <c r="AE161" s="539" t="str">
        <f t="shared" si="77"/>
        <v/>
      </c>
      <c r="AF161" s="546" t="str">
        <f t="shared" si="78"/>
        <v/>
      </c>
      <c r="AG161" s="539" t="str">
        <f t="shared" si="79"/>
        <v/>
      </c>
      <c r="AH161" s="32">
        <f t="shared" si="60"/>
        <v>0</v>
      </c>
      <c r="AI161" s="32">
        <f t="shared" si="61"/>
        <v>0</v>
      </c>
      <c r="AJ161" s="32">
        <f t="shared" si="62"/>
        <v>0</v>
      </c>
      <c r="AK161" t="str">
        <f t="shared" si="63"/>
        <v/>
      </c>
      <c r="AL161" t="str">
        <f t="shared" si="64"/>
        <v/>
      </c>
      <c r="AM161" t="str">
        <f t="shared" si="65"/>
        <v/>
      </c>
      <c r="AO161" t="str">
        <f>IFERROR(VLOOKUP(M161,'Fixture Identities'!$B$9:$O$1045,14,FALSE),"")</f>
        <v/>
      </c>
      <c r="AP161" t="str">
        <f t="shared" si="59"/>
        <v/>
      </c>
    </row>
    <row r="162" spans="1:42">
      <c r="A162" s="71">
        <f t="shared" si="80"/>
        <v>0</v>
      </c>
      <c r="B162" s="513">
        <f t="shared" si="66"/>
        <v>150</v>
      </c>
      <c r="C162" s="530" t="str">
        <f>IF(Inventory!E159="","",Inventory!E159)</f>
        <v/>
      </c>
      <c r="D162" s="531">
        <f>IF(Inventory!D159="",0,Inventory!D159)</f>
        <v>0</v>
      </c>
      <c r="E162" s="532" t="str">
        <f>IF(Inventory!I159=0,"",Inventory!I159)</f>
        <v/>
      </c>
      <c r="F162" s="533" t="str">
        <f t="shared" si="67"/>
        <v/>
      </c>
      <c r="G162" s="534" t="str">
        <f>IF(Inventory!G159="","",Inventory!G159)</f>
        <v/>
      </c>
      <c r="H162" s="535" t="str">
        <f t="shared" si="68"/>
        <v/>
      </c>
      <c r="I162" s="536" t="str">
        <f>IF(Inventory!J159="","",Inventory!J159)</f>
        <v/>
      </c>
      <c r="J162" s="537" t="str">
        <f>IFERROR(IF(PRJ_Type="New Construction",IF(Inventory!C159="N",INDEX(xyLPD_BuildingArea,MATCH(Building_Type,Lookups!$F$37:$F$75,0),4),INDEX(xyLPD_SpaceBySpace,MATCH(INDEX(xyNCEx,MATCH(I162,yNCExArea,0),2),ySpace_by_Space_Type,0),2)),VLOOKUP(E162,xyWattage_Table,11,FALSE)),"")</f>
        <v/>
      </c>
      <c r="K162" s="538" t="str">
        <f>IFERROR(IF(AND(NC_Type="Building Area Method",Inventory!C159="N"),IF(ISERROR(INDEX('Usage Groups (&gt;120 MWh only)'!$N$8:$N$12,MATCH(C162,'Usage Groups (&gt;120 MWh only)'!$B$8:$B$12,0),1))=TRUE,SqFt/COUNTIFS(Inventory!$C$10:$C$1009,"N",$Q$13:$Q$1012,"&gt;=0"),INDEX('Usage Groups (&gt;120 MWh only)'!$N$8:$N$12,MATCH(C162,'Usage Groups (&gt;120 MWh only)'!$B$8:$B$12,0),1)/COUNTIF($C$13:$C$1012,C162)),IF(AND(NC_Type="Building Area Method",Inventory!C159="Y"),INDEX(xyNCEx,MATCH(I162,yNCExArea,0),3)/COUNTIF($I$13:$I$1012,I162),VLOOKUP(J162,xyWattage_Table,10,FALSE))),"")</f>
        <v/>
      </c>
      <c r="L162" s="539" t="str">
        <f t="shared" si="69"/>
        <v/>
      </c>
      <c r="M162" s="540">
        <f>IF(Inventory!N159="","",Inventory!N159)</f>
        <v>0</v>
      </c>
      <c r="N162" s="533" t="str">
        <f t="shared" si="70"/>
        <v/>
      </c>
      <c r="O162" s="534"/>
      <c r="P162" s="533" t="str">
        <f t="shared" si="71"/>
        <v/>
      </c>
      <c r="Q162" s="534" t="str">
        <f>IF(Inventory!L159="","",Inventory!L159)</f>
        <v/>
      </c>
      <c r="R162" s="535" t="str">
        <f t="shared" si="72"/>
        <v/>
      </c>
      <c r="S162" s="536" t="str">
        <f>IF(Inventory!O159="","",Inventory!O159)</f>
        <v/>
      </c>
      <c r="T162" s="541" t="str">
        <f>IFERROR(IF(C162="","",IF(INDEX(xyWattage_Table,MATCH(M162,'Fixture Identities'!$B$9:$B$997,0),2)="Exit Sign",8760,IF(VLOOKUP(C162,xySpace_Type_Details,8,FALSE)="TRM",INDEX('General Information'!$AF$17:$AG$28,11,MATCH(N162,'General Information'!$AF$16:$AG$16,0)),HLOOKUP(VLOOKUP(C162,xySpace_Type_Details,8,FALSE),'General Information'!$P$15:$AG$28,13,FALSE)))),"")</f>
        <v/>
      </c>
      <c r="U162" s="542" t="str">
        <f>IFERROR(IF(C162="","",IF(INDEX(xyWattage_Table,MATCH(M162,'Fixture Identities'!$B$9:$B$997,0),2)="Exit Sign",1,IF(VLOOKUP(C162,xySpace_Type_Details,8,FALSE)="TRM",INDEX('General Information'!$AF$17:$AG$28,12,MATCH(N162,'General Information'!$AF$16:$AG$16,0)),HLOOKUP(VLOOKUP(C162,xySpace_Type_Details,8,FALSE),'General Information'!$P$15:$AG$28,14,FALSE)))),"")</f>
        <v/>
      </c>
      <c r="V162" s="542" t="str">
        <f>IFERROR(VLOOKUP(INDEX(xySpace_Type_Details,MATCH($C162,'General Information'!$C$40:$C$60,0),12),Lookups!$L$8:$N$12,2,FALSE),"")</f>
        <v/>
      </c>
      <c r="W162" s="542" t="str">
        <f>IFERROR(VLOOKUP(INDEX(xySpace_Type_Details,MATCH($C162,'General Information'!$C$40:$C$60,0),12),Lookups!$L$8:$N$12,3,FALSE),"")</f>
        <v/>
      </c>
      <c r="Y162" s="542" t="str">
        <f>IFERROR(IF(C162="","",IF(INDEX(xyWattage_Table,MATCH(M162,'Fixture Identities'!$B$9:$B$997,0),2)="Exit Sign",0,IF(PRJ_Type="Retrofit",VLOOKUP(I162,xySVG_Factors,2,FALSE),IF(AND(PRJ_Type="New Construction",Inventory!C159="N"),VLOOKUP(VLOOKUP(Building_Type,xyLPD_BuildingArea,5,FALSE),xySVG_Factors_NC,3,FALSE),0)))),"")</f>
        <v/>
      </c>
      <c r="Z162" s="544" t="str">
        <f>IFERROR(IF(C162="","",IF(INDEX(xyWattage_Table,MATCH(M162,'Fixture Identities'!$B$9:$B$997,0),2)="Exit Sign",0,VLOOKUP(S162,xySVG_Factors,2,FALSE))),"")</f>
        <v/>
      </c>
      <c r="AA162" s="545" t="str">
        <f t="shared" si="73"/>
        <v/>
      </c>
      <c r="AB162" s="542" t="str">
        <f t="shared" si="74"/>
        <v/>
      </c>
      <c r="AC162" s="539" t="str">
        <f t="shared" si="75"/>
        <v/>
      </c>
      <c r="AD162" s="546" t="str">
        <f t="shared" si="76"/>
        <v/>
      </c>
      <c r="AE162" s="539" t="str">
        <f t="shared" si="77"/>
        <v/>
      </c>
      <c r="AF162" s="546" t="str">
        <f t="shared" si="78"/>
        <v/>
      </c>
      <c r="AG162" s="539" t="str">
        <f t="shared" si="79"/>
        <v/>
      </c>
      <c r="AH162" s="32">
        <f t="shared" si="60"/>
        <v>0</v>
      </c>
      <c r="AI162" s="32">
        <f t="shared" si="61"/>
        <v>0</v>
      </c>
      <c r="AJ162" s="32">
        <f t="shared" si="62"/>
        <v>0</v>
      </c>
      <c r="AK162" t="str">
        <f t="shared" si="63"/>
        <v/>
      </c>
      <c r="AL162" t="str">
        <f t="shared" si="64"/>
        <v/>
      </c>
      <c r="AM162" t="str">
        <f t="shared" si="65"/>
        <v/>
      </c>
      <c r="AO162" t="str">
        <f>IFERROR(VLOOKUP(M162,'Fixture Identities'!$B$9:$O$1045,14,FALSE),"")</f>
        <v/>
      </c>
      <c r="AP162" t="str">
        <f t="shared" si="59"/>
        <v/>
      </c>
    </row>
    <row r="163" spans="1:42">
      <c r="A163" s="71">
        <f t="shared" si="80"/>
        <v>0</v>
      </c>
      <c r="B163" s="513">
        <f t="shared" si="66"/>
        <v>151</v>
      </c>
      <c r="C163" s="530" t="str">
        <f>IF(Inventory!E160="","",Inventory!E160)</f>
        <v/>
      </c>
      <c r="D163" s="531">
        <f>IF(Inventory!D160="",0,Inventory!D160)</f>
        <v>0</v>
      </c>
      <c r="E163" s="532" t="str">
        <f>IF(Inventory!I160=0,"",Inventory!I160)</f>
        <v/>
      </c>
      <c r="F163" s="533" t="str">
        <f t="shared" si="67"/>
        <v/>
      </c>
      <c r="G163" s="534" t="str">
        <f>IF(Inventory!G160="","",Inventory!G160)</f>
        <v/>
      </c>
      <c r="H163" s="535" t="str">
        <f t="shared" si="68"/>
        <v/>
      </c>
      <c r="I163" s="536" t="str">
        <f>IF(Inventory!J160="","",Inventory!J160)</f>
        <v/>
      </c>
      <c r="J163" s="537" t="str">
        <f>IFERROR(IF(PRJ_Type="New Construction",IF(Inventory!C160="N",INDEX(xyLPD_BuildingArea,MATCH(Building_Type,Lookups!$F$37:$F$75,0),4),INDEX(xyLPD_SpaceBySpace,MATCH(INDEX(xyNCEx,MATCH(I163,yNCExArea,0),2),ySpace_by_Space_Type,0),2)),VLOOKUP(E163,xyWattage_Table,11,FALSE)),"")</f>
        <v/>
      </c>
      <c r="K163" s="538" t="str">
        <f>IFERROR(IF(AND(NC_Type="Building Area Method",Inventory!C160="N"),IF(ISERROR(INDEX('Usage Groups (&gt;120 MWh only)'!$N$8:$N$12,MATCH(C163,'Usage Groups (&gt;120 MWh only)'!$B$8:$B$12,0),1))=TRUE,SqFt/COUNTIFS(Inventory!$C$10:$C$1009,"N",$Q$13:$Q$1012,"&gt;=0"),INDEX('Usage Groups (&gt;120 MWh only)'!$N$8:$N$12,MATCH(C163,'Usage Groups (&gt;120 MWh only)'!$B$8:$B$12,0),1)/COUNTIF($C$13:$C$1012,C163)),IF(AND(NC_Type="Building Area Method",Inventory!C160="Y"),INDEX(xyNCEx,MATCH(I163,yNCExArea,0),3)/COUNTIF($I$13:$I$1012,I163),VLOOKUP(J163,xyWattage_Table,10,FALSE))),"")</f>
        <v/>
      </c>
      <c r="L163" s="539" t="str">
        <f t="shared" si="69"/>
        <v/>
      </c>
      <c r="M163" s="540">
        <f>IF(Inventory!N160="","",Inventory!N160)</f>
        <v>0</v>
      </c>
      <c r="N163" s="533" t="str">
        <f t="shared" si="70"/>
        <v/>
      </c>
      <c r="O163" s="534"/>
      <c r="P163" s="533" t="str">
        <f t="shared" si="71"/>
        <v/>
      </c>
      <c r="Q163" s="534" t="str">
        <f>IF(Inventory!L160="","",Inventory!L160)</f>
        <v/>
      </c>
      <c r="R163" s="535" t="str">
        <f t="shared" si="72"/>
        <v/>
      </c>
      <c r="S163" s="536" t="str">
        <f>IF(Inventory!O160="","",Inventory!O160)</f>
        <v/>
      </c>
      <c r="T163" s="541" t="str">
        <f>IFERROR(IF(C163="","",IF(INDEX(xyWattage_Table,MATCH(M163,'Fixture Identities'!$B$9:$B$997,0),2)="Exit Sign",8760,IF(VLOOKUP(C163,xySpace_Type_Details,8,FALSE)="TRM",INDEX('General Information'!$AF$17:$AG$28,11,MATCH(N163,'General Information'!$AF$16:$AG$16,0)),HLOOKUP(VLOOKUP(C163,xySpace_Type_Details,8,FALSE),'General Information'!$P$15:$AG$28,13,FALSE)))),"")</f>
        <v/>
      </c>
      <c r="U163" s="542" t="str">
        <f>IFERROR(IF(C163="","",IF(INDEX(xyWattage_Table,MATCH(M163,'Fixture Identities'!$B$9:$B$997,0),2)="Exit Sign",1,IF(VLOOKUP(C163,xySpace_Type_Details,8,FALSE)="TRM",INDEX('General Information'!$AF$17:$AG$28,12,MATCH(N163,'General Information'!$AF$16:$AG$16,0)),HLOOKUP(VLOOKUP(C163,xySpace_Type_Details,8,FALSE),'General Information'!$P$15:$AG$28,14,FALSE)))),"")</f>
        <v/>
      </c>
      <c r="V163" s="542" t="str">
        <f>IFERROR(VLOOKUP(INDEX(xySpace_Type_Details,MATCH($C163,'General Information'!$C$40:$C$60,0),12),Lookups!$L$8:$N$12,2,FALSE),"")</f>
        <v/>
      </c>
      <c r="W163" s="542" t="str">
        <f>IFERROR(VLOOKUP(INDEX(xySpace_Type_Details,MATCH($C163,'General Information'!$C$40:$C$60,0),12),Lookups!$L$8:$N$12,3,FALSE),"")</f>
        <v/>
      </c>
      <c r="Y163" s="542" t="str">
        <f>IFERROR(IF(C163="","",IF(INDEX(xyWattage_Table,MATCH(M163,'Fixture Identities'!$B$9:$B$997,0),2)="Exit Sign",0,IF(PRJ_Type="Retrofit",VLOOKUP(I163,xySVG_Factors,2,FALSE),IF(AND(PRJ_Type="New Construction",Inventory!C160="N"),VLOOKUP(VLOOKUP(Building_Type,xyLPD_BuildingArea,5,FALSE),xySVG_Factors_NC,3,FALSE),0)))),"")</f>
        <v/>
      </c>
      <c r="Z163" s="544" t="str">
        <f>IFERROR(IF(C163="","",IF(INDEX(xyWattage_Table,MATCH(M163,'Fixture Identities'!$B$9:$B$997,0),2)="Exit Sign",0,VLOOKUP(S163,xySVG_Factors,2,FALSE))),"")</f>
        <v/>
      </c>
      <c r="AA163" s="545" t="str">
        <f t="shared" si="73"/>
        <v/>
      </c>
      <c r="AB163" s="542" t="str">
        <f t="shared" si="74"/>
        <v/>
      </c>
      <c r="AC163" s="539" t="str">
        <f t="shared" si="75"/>
        <v/>
      </c>
      <c r="AD163" s="546" t="str">
        <f t="shared" si="76"/>
        <v/>
      </c>
      <c r="AE163" s="539" t="str">
        <f t="shared" si="77"/>
        <v/>
      </c>
      <c r="AF163" s="546" t="str">
        <f t="shared" si="78"/>
        <v/>
      </c>
      <c r="AG163" s="539" t="str">
        <f t="shared" si="79"/>
        <v/>
      </c>
      <c r="AH163" s="32">
        <f t="shared" si="60"/>
        <v>0</v>
      </c>
      <c r="AI163" s="32">
        <f t="shared" si="61"/>
        <v>0</v>
      </c>
      <c r="AJ163" s="32">
        <f t="shared" si="62"/>
        <v>0</v>
      </c>
      <c r="AK163" t="str">
        <f t="shared" si="63"/>
        <v/>
      </c>
      <c r="AL163" t="str">
        <f t="shared" si="64"/>
        <v/>
      </c>
      <c r="AM163" t="str">
        <f t="shared" si="65"/>
        <v/>
      </c>
      <c r="AO163" t="str">
        <f>IFERROR(VLOOKUP(M163,'Fixture Identities'!$B$9:$O$1045,14,FALSE),"")</f>
        <v/>
      </c>
      <c r="AP163" t="str">
        <f t="shared" si="59"/>
        <v/>
      </c>
    </row>
    <row r="164" spans="1:42">
      <c r="A164" s="71">
        <f t="shared" si="80"/>
        <v>0</v>
      </c>
      <c r="B164" s="513">
        <f t="shared" si="66"/>
        <v>152</v>
      </c>
      <c r="C164" s="530" t="str">
        <f>IF(Inventory!E161="","",Inventory!E161)</f>
        <v/>
      </c>
      <c r="D164" s="531">
        <f>IF(Inventory!D161="",0,Inventory!D161)</f>
        <v>0</v>
      </c>
      <c r="E164" s="532" t="str">
        <f>IF(Inventory!I161=0,"",Inventory!I161)</f>
        <v/>
      </c>
      <c r="F164" s="533" t="str">
        <f t="shared" si="67"/>
        <v/>
      </c>
      <c r="G164" s="534" t="str">
        <f>IF(Inventory!G161="","",Inventory!G161)</f>
        <v/>
      </c>
      <c r="H164" s="535" t="str">
        <f t="shared" si="68"/>
        <v/>
      </c>
      <c r="I164" s="536" t="str">
        <f>IF(Inventory!J161="","",Inventory!J161)</f>
        <v/>
      </c>
      <c r="J164" s="537" t="str">
        <f>IFERROR(IF(PRJ_Type="New Construction",IF(Inventory!C161="N",INDEX(xyLPD_BuildingArea,MATCH(Building_Type,Lookups!$F$37:$F$75,0),4),INDEX(xyLPD_SpaceBySpace,MATCH(INDEX(xyNCEx,MATCH(I164,yNCExArea,0),2),ySpace_by_Space_Type,0),2)),VLOOKUP(E164,xyWattage_Table,11,FALSE)),"")</f>
        <v/>
      </c>
      <c r="K164" s="538" t="str">
        <f>IFERROR(IF(AND(NC_Type="Building Area Method",Inventory!C161="N"),IF(ISERROR(INDEX('Usage Groups (&gt;120 MWh only)'!$N$8:$N$12,MATCH(C164,'Usage Groups (&gt;120 MWh only)'!$B$8:$B$12,0),1))=TRUE,SqFt/COUNTIFS(Inventory!$C$10:$C$1009,"N",$Q$13:$Q$1012,"&gt;=0"),INDEX('Usage Groups (&gt;120 MWh only)'!$N$8:$N$12,MATCH(C164,'Usage Groups (&gt;120 MWh only)'!$B$8:$B$12,0),1)/COUNTIF($C$13:$C$1012,C164)),IF(AND(NC_Type="Building Area Method",Inventory!C161="Y"),INDEX(xyNCEx,MATCH(I164,yNCExArea,0),3)/COUNTIF($I$13:$I$1012,I164),VLOOKUP(J164,xyWattage_Table,10,FALSE))),"")</f>
        <v/>
      </c>
      <c r="L164" s="539" t="str">
        <f t="shared" si="69"/>
        <v/>
      </c>
      <c r="M164" s="540">
        <f>IF(Inventory!N161="","",Inventory!N161)</f>
        <v>0</v>
      </c>
      <c r="N164" s="533" t="str">
        <f t="shared" si="70"/>
        <v/>
      </c>
      <c r="O164" s="534"/>
      <c r="P164" s="533" t="str">
        <f t="shared" si="71"/>
        <v/>
      </c>
      <c r="Q164" s="534" t="str">
        <f>IF(Inventory!L161="","",Inventory!L161)</f>
        <v/>
      </c>
      <c r="R164" s="535" t="str">
        <f t="shared" si="72"/>
        <v/>
      </c>
      <c r="S164" s="536" t="str">
        <f>IF(Inventory!O161="","",Inventory!O161)</f>
        <v/>
      </c>
      <c r="T164" s="541" t="str">
        <f>IFERROR(IF(C164="","",IF(INDEX(xyWattage_Table,MATCH(M164,'Fixture Identities'!$B$9:$B$997,0),2)="Exit Sign",8760,IF(VLOOKUP(C164,xySpace_Type_Details,8,FALSE)="TRM",INDEX('General Information'!$AF$17:$AG$28,11,MATCH(N164,'General Information'!$AF$16:$AG$16,0)),HLOOKUP(VLOOKUP(C164,xySpace_Type_Details,8,FALSE),'General Information'!$P$15:$AG$28,13,FALSE)))),"")</f>
        <v/>
      </c>
      <c r="U164" s="542" t="str">
        <f>IFERROR(IF(C164="","",IF(INDEX(xyWattage_Table,MATCH(M164,'Fixture Identities'!$B$9:$B$997,0),2)="Exit Sign",1,IF(VLOOKUP(C164,xySpace_Type_Details,8,FALSE)="TRM",INDEX('General Information'!$AF$17:$AG$28,12,MATCH(N164,'General Information'!$AF$16:$AG$16,0)),HLOOKUP(VLOOKUP(C164,xySpace_Type_Details,8,FALSE),'General Information'!$P$15:$AG$28,14,FALSE)))),"")</f>
        <v/>
      </c>
      <c r="V164" s="542" t="str">
        <f>IFERROR(VLOOKUP(INDEX(xySpace_Type_Details,MATCH($C164,'General Information'!$C$40:$C$60,0),12),Lookups!$L$8:$N$12,2,FALSE),"")</f>
        <v/>
      </c>
      <c r="W164" s="542" t="str">
        <f>IFERROR(VLOOKUP(INDEX(xySpace_Type_Details,MATCH($C164,'General Information'!$C$40:$C$60,0),12),Lookups!$L$8:$N$12,3,FALSE),"")</f>
        <v/>
      </c>
      <c r="Y164" s="542" t="str">
        <f>IFERROR(IF(C164="","",IF(INDEX(xyWattage_Table,MATCH(M164,'Fixture Identities'!$B$9:$B$997,0),2)="Exit Sign",0,IF(PRJ_Type="Retrofit",VLOOKUP(I164,xySVG_Factors,2,FALSE),IF(AND(PRJ_Type="New Construction",Inventory!C161="N"),VLOOKUP(VLOOKUP(Building_Type,xyLPD_BuildingArea,5,FALSE),xySVG_Factors_NC,3,FALSE),0)))),"")</f>
        <v/>
      </c>
      <c r="Z164" s="544" t="str">
        <f>IFERROR(IF(C164="","",IF(INDEX(xyWattage_Table,MATCH(M164,'Fixture Identities'!$B$9:$B$997,0),2)="Exit Sign",0,VLOOKUP(S164,xySVG_Factors,2,FALSE))),"")</f>
        <v/>
      </c>
      <c r="AA164" s="545" t="str">
        <f t="shared" si="73"/>
        <v/>
      </c>
      <c r="AB164" s="542" t="str">
        <f t="shared" si="74"/>
        <v/>
      </c>
      <c r="AC164" s="539" t="str">
        <f t="shared" si="75"/>
        <v/>
      </c>
      <c r="AD164" s="546" t="str">
        <f t="shared" si="76"/>
        <v/>
      </c>
      <c r="AE164" s="539" t="str">
        <f t="shared" si="77"/>
        <v/>
      </c>
      <c r="AF164" s="546" t="str">
        <f t="shared" si="78"/>
        <v/>
      </c>
      <c r="AG164" s="539" t="str">
        <f t="shared" si="79"/>
        <v/>
      </c>
      <c r="AH164" s="32">
        <f t="shared" si="60"/>
        <v>0</v>
      </c>
      <c r="AI164" s="32">
        <f t="shared" si="61"/>
        <v>0</v>
      </c>
      <c r="AJ164" s="32">
        <f t="shared" si="62"/>
        <v>0</v>
      </c>
      <c r="AK164" t="str">
        <f t="shared" si="63"/>
        <v/>
      </c>
      <c r="AL164" t="str">
        <f t="shared" si="64"/>
        <v/>
      </c>
      <c r="AM164" t="str">
        <f t="shared" si="65"/>
        <v/>
      </c>
      <c r="AO164" t="str">
        <f>IFERROR(VLOOKUP(M164,'Fixture Identities'!$B$9:$O$1045,14,FALSE),"")</f>
        <v/>
      </c>
      <c r="AP164" t="str">
        <f t="shared" si="59"/>
        <v/>
      </c>
    </row>
    <row r="165" spans="1:42">
      <c r="A165" s="71">
        <f t="shared" si="80"/>
        <v>0</v>
      </c>
      <c r="B165" s="513">
        <f t="shared" si="66"/>
        <v>153</v>
      </c>
      <c r="C165" s="530" t="str">
        <f>IF(Inventory!E162="","",Inventory!E162)</f>
        <v/>
      </c>
      <c r="D165" s="531">
        <f>IF(Inventory!D162="",0,Inventory!D162)</f>
        <v>0</v>
      </c>
      <c r="E165" s="532" t="str">
        <f>IF(Inventory!I162=0,"",Inventory!I162)</f>
        <v/>
      </c>
      <c r="F165" s="533" t="str">
        <f t="shared" si="67"/>
        <v/>
      </c>
      <c r="G165" s="534" t="str">
        <f>IF(Inventory!G162="","",Inventory!G162)</f>
        <v/>
      </c>
      <c r="H165" s="535" t="str">
        <f t="shared" si="68"/>
        <v/>
      </c>
      <c r="I165" s="536" t="str">
        <f>IF(Inventory!J162="","",Inventory!J162)</f>
        <v/>
      </c>
      <c r="J165" s="537" t="str">
        <f>IFERROR(IF(PRJ_Type="New Construction",IF(Inventory!C162="N",INDEX(xyLPD_BuildingArea,MATCH(Building_Type,Lookups!$F$37:$F$75,0),4),INDEX(xyLPD_SpaceBySpace,MATCH(INDEX(xyNCEx,MATCH(I165,yNCExArea,0),2),ySpace_by_Space_Type,0),2)),VLOOKUP(E165,xyWattage_Table,11,FALSE)),"")</f>
        <v/>
      </c>
      <c r="K165" s="538" t="str">
        <f>IFERROR(IF(AND(NC_Type="Building Area Method",Inventory!C162="N"),IF(ISERROR(INDEX('Usage Groups (&gt;120 MWh only)'!$N$8:$N$12,MATCH(C165,'Usage Groups (&gt;120 MWh only)'!$B$8:$B$12,0),1))=TRUE,SqFt/COUNTIFS(Inventory!$C$10:$C$1009,"N",$Q$13:$Q$1012,"&gt;=0"),INDEX('Usage Groups (&gt;120 MWh only)'!$N$8:$N$12,MATCH(C165,'Usage Groups (&gt;120 MWh only)'!$B$8:$B$12,0),1)/COUNTIF($C$13:$C$1012,C165)),IF(AND(NC_Type="Building Area Method",Inventory!C162="Y"),INDEX(xyNCEx,MATCH(I165,yNCExArea,0),3)/COUNTIF($I$13:$I$1012,I165),VLOOKUP(J165,xyWattage_Table,10,FALSE))),"")</f>
        <v/>
      </c>
      <c r="L165" s="539" t="str">
        <f t="shared" si="69"/>
        <v/>
      </c>
      <c r="M165" s="540">
        <f>IF(Inventory!N162="","",Inventory!N162)</f>
        <v>0</v>
      </c>
      <c r="N165" s="533" t="str">
        <f t="shared" si="70"/>
        <v/>
      </c>
      <c r="O165" s="534"/>
      <c r="P165" s="533" t="str">
        <f t="shared" si="71"/>
        <v/>
      </c>
      <c r="Q165" s="534" t="str">
        <f>IF(Inventory!L162="","",Inventory!L162)</f>
        <v/>
      </c>
      <c r="R165" s="535" t="str">
        <f t="shared" si="72"/>
        <v/>
      </c>
      <c r="S165" s="536" t="str">
        <f>IF(Inventory!O162="","",Inventory!O162)</f>
        <v/>
      </c>
      <c r="T165" s="541" t="str">
        <f>IFERROR(IF(C165="","",IF(INDEX(xyWattage_Table,MATCH(M165,'Fixture Identities'!$B$9:$B$997,0),2)="Exit Sign",8760,IF(VLOOKUP(C165,xySpace_Type_Details,8,FALSE)="TRM",INDEX('General Information'!$AF$17:$AG$28,11,MATCH(N165,'General Information'!$AF$16:$AG$16,0)),HLOOKUP(VLOOKUP(C165,xySpace_Type_Details,8,FALSE),'General Information'!$P$15:$AG$28,13,FALSE)))),"")</f>
        <v/>
      </c>
      <c r="U165" s="542" t="str">
        <f>IFERROR(IF(C165="","",IF(INDEX(xyWattage_Table,MATCH(M165,'Fixture Identities'!$B$9:$B$997,0),2)="Exit Sign",1,IF(VLOOKUP(C165,xySpace_Type_Details,8,FALSE)="TRM",INDEX('General Information'!$AF$17:$AG$28,12,MATCH(N165,'General Information'!$AF$16:$AG$16,0)),HLOOKUP(VLOOKUP(C165,xySpace_Type_Details,8,FALSE),'General Information'!$P$15:$AG$28,14,FALSE)))),"")</f>
        <v/>
      </c>
      <c r="V165" s="542" t="str">
        <f>IFERROR(VLOOKUP(INDEX(xySpace_Type_Details,MATCH($C165,'General Information'!$C$40:$C$60,0),12),Lookups!$L$8:$N$12,2,FALSE),"")</f>
        <v/>
      </c>
      <c r="W165" s="542" t="str">
        <f>IFERROR(VLOOKUP(INDEX(xySpace_Type_Details,MATCH($C165,'General Information'!$C$40:$C$60,0),12),Lookups!$L$8:$N$12,3,FALSE),"")</f>
        <v/>
      </c>
      <c r="Y165" s="542" t="str">
        <f>IFERROR(IF(C165="","",IF(INDEX(xyWattage_Table,MATCH(M165,'Fixture Identities'!$B$9:$B$997,0),2)="Exit Sign",0,IF(PRJ_Type="Retrofit",VLOOKUP(I165,xySVG_Factors,2,FALSE),IF(AND(PRJ_Type="New Construction",Inventory!C162="N"),VLOOKUP(VLOOKUP(Building_Type,xyLPD_BuildingArea,5,FALSE),xySVG_Factors_NC,3,FALSE),0)))),"")</f>
        <v/>
      </c>
      <c r="Z165" s="544" t="str">
        <f>IFERROR(IF(C165="","",IF(INDEX(xyWattage_Table,MATCH(M165,'Fixture Identities'!$B$9:$B$997,0),2)="Exit Sign",0,VLOOKUP(S165,xySVG_Factors,2,FALSE))),"")</f>
        <v/>
      </c>
      <c r="AA165" s="545" t="str">
        <f t="shared" si="73"/>
        <v/>
      </c>
      <c r="AB165" s="542" t="str">
        <f t="shared" si="74"/>
        <v/>
      </c>
      <c r="AC165" s="539" t="str">
        <f t="shared" si="75"/>
        <v/>
      </c>
      <c r="AD165" s="546" t="str">
        <f t="shared" si="76"/>
        <v/>
      </c>
      <c r="AE165" s="539" t="str">
        <f t="shared" si="77"/>
        <v/>
      </c>
      <c r="AF165" s="546" t="str">
        <f t="shared" si="78"/>
        <v/>
      </c>
      <c r="AG165" s="539" t="str">
        <f t="shared" si="79"/>
        <v/>
      </c>
      <c r="AH165" s="32">
        <f t="shared" si="60"/>
        <v>0</v>
      </c>
      <c r="AI165" s="32">
        <f t="shared" si="61"/>
        <v>0</v>
      </c>
      <c r="AJ165" s="32">
        <f t="shared" si="62"/>
        <v>0</v>
      </c>
      <c r="AK165" t="str">
        <f t="shared" si="63"/>
        <v/>
      </c>
      <c r="AL165" t="str">
        <f t="shared" si="64"/>
        <v/>
      </c>
      <c r="AM165" t="str">
        <f t="shared" si="65"/>
        <v/>
      </c>
      <c r="AO165" t="str">
        <f>IFERROR(VLOOKUP(M165,'Fixture Identities'!$B$9:$O$1045,14,FALSE),"")</f>
        <v/>
      </c>
      <c r="AP165" t="str">
        <f t="shared" si="59"/>
        <v/>
      </c>
    </row>
    <row r="166" spans="1:42">
      <c r="A166" s="71">
        <f t="shared" si="80"/>
        <v>0</v>
      </c>
      <c r="B166" s="513">
        <f t="shared" si="66"/>
        <v>154</v>
      </c>
      <c r="C166" s="530" t="str">
        <f>IF(Inventory!E163="","",Inventory!E163)</f>
        <v/>
      </c>
      <c r="D166" s="531">
        <f>IF(Inventory!D163="",0,Inventory!D163)</f>
        <v>0</v>
      </c>
      <c r="E166" s="532" t="str">
        <f>IF(Inventory!I163=0,"",Inventory!I163)</f>
        <v/>
      </c>
      <c r="F166" s="533" t="str">
        <f t="shared" si="67"/>
        <v/>
      </c>
      <c r="G166" s="534" t="str">
        <f>IF(Inventory!G163="","",Inventory!G163)</f>
        <v/>
      </c>
      <c r="H166" s="535" t="str">
        <f t="shared" si="68"/>
        <v/>
      </c>
      <c r="I166" s="536" t="str">
        <f>IF(Inventory!J163="","",Inventory!J163)</f>
        <v/>
      </c>
      <c r="J166" s="537" t="str">
        <f>IFERROR(IF(PRJ_Type="New Construction",IF(Inventory!C163="N",INDEX(xyLPD_BuildingArea,MATCH(Building_Type,Lookups!$F$37:$F$75,0),4),INDEX(xyLPD_SpaceBySpace,MATCH(INDEX(xyNCEx,MATCH(I166,yNCExArea,0),2),ySpace_by_Space_Type,0),2)),VLOOKUP(E166,xyWattage_Table,11,FALSE)),"")</f>
        <v/>
      </c>
      <c r="K166" s="538" t="str">
        <f>IFERROR(IF(AND(NC_Type="Building Area Method",Inventory!C163="N"),IF(ISERROR(INDEX('Usage Groups (&gt;120 MWh only)'!$N$8:$N$12,MATCH(C166,'Usage Groups (&gt;120 MWh only)'!$B$8:$B$12,0),1))=TRUE,SqFt/COUNTIFS(Inventory!$C$10:$C$1009,"N",$Q$13:$Q$1012,"&gt;=0"),INDEX('Usage Groups (&gt;120 MWh only)'!$N$8:$N$12,MATCH(C166,'Usage Groups (&gt;120 MWh only)'!$B$8:$B$12,0),1)/COUNTIF($C$13:$C$1012,C166)),IF(AND(NC_Type="Building Area Method",Inventory!C163="Y"),INDEX(xyNCEx,MATCH(I166,yNCExArea,0),3)/COUNTIF($I$13:$I$1012,I166),VLOOKUP(J166,xyWattage_Table,10,FALSE))),"")</f>
        <v/>
      </c>
      <c r="L166" s="539" t="str">
        <f t="shared" si="69"/>
        <v/>
      </c>
      <c r="M166" s="540">
        <f>IF(Inventory!N163="","",Inventory!N163)</f>
        <v>0</v>
      </c>
      <c r="N166" s="533" t="str">
        <f t="shared" si="70"/>
        <v/>
      </c>
      <c r="O166" s="534"/>
      <c r="P166" s="533" t="str">
        <f t="shared" si="71"/>
        <v/>
      </c>
      <c r="Q166" s="534" t="str">
        <f>IF(Inventory!L163="","",Inventory!L163)</f>
        <v/>
      </c>
      <c r="R166" s="535" t="str">
        <f t="shared" si="72"/>
        <v/>
      </c>
      <c r="S166" s="536" t="str">
        <f>IF(Inventory!O163="","",Inventory!O163)</f>
        <v/>
      </c>
      <c r="T166" s="541" t="str">
        <f>IFERROR(IF(C166="","",IF(INDEX(xyWattage_Table,MATCH(M166,'Fixture Identities'!$B$9:$B$997,0),2)="Exit Sign",8760,IF(VLOOKUP(C166,xySpace_Type_Details,8,FALSE)="TRM",INDEX('General Information'!$AF$17:$AG$28,11,MATCH(N166,'General Information'!$AF$16:$AG$16,0)),HLOOKUP(VLOOKUP(C166,xySpace_Type_Details,8,FALSE),'General Information'!$P$15:$AG$28,13,FALSE)))),"")</f>
        <v/>
      </c>
      <c r="U166" s="542" t="str">
        <f>IFERROR(IF(C166="","",IF(INDEX(xyWattage_Table,MATCH(M166,'Fixture Identities'!$B$9:$B$997,0),2)="Exit Sign",1,IF(VLOOKUP(C166,xySpace_Type_Details,8,FALSE)="TRM",INDEX('General Information'!$AF$17:$AG$28,12,MATCH(N166,'General Information'!$AF$16:$AG$16,0)),HLOOKUP(VLOOKUP(C166,xySpace_Type_Details,8,FALSE),'General Information'!$P$15:$AG$28,14,FALSE)))),"")</f>
        <v/>
      </c>
      <c r="V166" s="542" t="str">
        <f>IFERROR(VLOOKUP(INDEX(xySpace_Type_Details,MATCH($C166,'General Information'!$C$40:$C$60,0),12),Lookups!$L$8:$N$12,2,FALSE),"")</f>
        <v/>
      </c>
      <c r="W166" s="542" t="str">
        <f>IFERROR(VLOOKUP(INDEX(xySpace_Type_Details,MATCH($C166,'General Information'!$C$40:$C$60,0),12),Lookups!$L$8:$N$12,3,FALSE),"")</f>
        <v/>
      </c>
      <c r="Y166" s="542" t="str">
        <f>IFERROR(IF(C166="","",IF(INDEX(xyWattage_Table,MATCH(M166,'Fixture Identities'!$B$9:$B$997,0),2)="Exit Sign",0,IF(PRJ_Type="Retrofit",VLOOKUP(I166,xySVG_Factors,2,FALSE),IF(AND(PRJ_Type="New Construction",Inventory!C163="N"),VLOOKUP(VLOOKUP(Building_Type,xyLPD_BuildingArea,5,FALSE),xySVG_Factors_NC,3,FALSE),0)))),"")</f>
        <v/>
      </c>
      <c r="Z166" s="544" t="str">
        <f>IFERROR(IF(C166="","",IF(INDEX(xyWattage_Table,MATCH(M166,'Fixture Identities'!$B$9:$B$997,0),2)="Exit Sign",0,VLOOKUP(S166,xySVG_Factors,2,FALSE))),"")</f>
        <v/>
      </c>
      <c r="AA166" s="545" t="str">
        <f t="shared" si="73"/>
        <v/>
      </c>
      <c r="AB166" s="542" t="str">
        <f t="shared" si="74"/>
        <v/>
      </c>
      <c r="AC166" s="539" t="str">
        <f t="shared" si="75"/>
        <v/>
      </c>
      <c r="AD166" s="546" t="str">
        <f t="shared" si="76"/>
        <v/>
      </c>
      <c r="AE166" s="539" t="str">
        <f t="shared" si="77"/>
        <v/>
      </c>
      <c r="AF166" s="546" t="str">
        <f t="shared" si="78"/>
        <v/>
      </c>
      <c r="AG166" s="539" t="str">
        <f t="shared" si="79"/>
        <v/>
      </c>
      <c r="AH166" s="32">
        <f t="shared" si="60"/>
        <v>0</v>
      </c>
      <c r="AI166" s="32">
        <f t="shared" si="61"/>
        <v>0</v>
      </c>
      <c r="AJ166" s="32">
        <f t="shared" si="62"/>
        <v>0</v>
      </c>
      <c r="AK166" t="str">
        <f t="shared" si="63"/>
        <v/>
      </c>
      <c r="AL166" t="str">
        <f t="shared" si="64"/>
        <v/>
      </c>
      <c r="AM166" t="str">
        <f t="shared" si="65"/>
        <v/>
      </c>
      <c r="AO166" t="str">
        <f>IFERROR(VLOOKUP(M166,'Fixture Identities'!$B$9:$O$1045,14,FALSE),"")</f>
        <v/>
      </c>
      <c r="AP166" t="str">
        <f t="shared" si="59"/>
        <v/>
      </c>
    </row>
    <row r="167" spans="1:42">
      <c r="A167" s="71">
        <f t="shared" si="80"/>
        <v>0</v>
      </c>
      <c r="B167" s="513">
        <f t="shared" si="66"/>
        <v>155</v>
      </c>
      <c r="C167" s="530" t="str">
        <f>IF(Inventory!E164="","",Inventory!E164)</f>
        <v/>
      </c>
      <c r="D167" s="531">
        <f>IF(Inventory!D164="",0,Inventory!D164)</f>
        <v>0</v>
      </c>
      <c r="E167" s="532" t="str">
        <f>IF(Inventory!I164=0,"",Inventory!I164)</f>
        <v/>
      </c>
      <c r="F167" s="533" t="str">
        <f t="shared" si="67"/>
        <v/>
      </c>
      <c r="G167" s="534" t="str">
        <f>IF(Inventory!G164="","",Inventory!G164)</f>
        <v/>
      </c>
      <c r="H167" s="535" t="str">
        <f t="shared" si="68"/>
        <v/>
      </c>
      <c r="I167" s="536" t="str">
        <f>IF(Inventory!J164="","",Inventory!J164)</f>
        <v/>
      </c>
      <c r="J167" s="537" t="str">
        <f>IFERROR(IF(PRJ_Type="New Construction",IF(Inventory!C164="N",INDEX(xyLPD_BuildingArea,MATCH(Building_Type,Lookups!$F$37:$F$75,0),4),INDEX(xyLPD_SpaceBySpace,MATCH(INDEX(xyNCEx,MATCH(I167,yNCExArea,0),2),ySpace_by_Space_Type,0),2)),VLOOKUP(E167,xyWattage_Table,11,FALSE)),"")</f>
        <v/>
      </c>
      <c r="K167" s="538" t="str">
        <f>IFERROR(IF(AND(NC_Type="Building Area Method",Inventory!C164="N"),IF(ISERROR(INDEX('Usage Groups (&gt;120 MWh only)'!$N$8:$N$12,MATCH(C167,'Usage Groups (&gt;120 MWh only)'!$B$8:$B$12,0),1))=TRUE,SqFt/COUNTIFS(Inventory!$C$10:$C$1009,"N",$Q$13:$Q$1012,"&gt;=0"),INDEX('Usage Groups (&gt;120 MWh only)'!$N$8:$N$12,MATCH(C167,'Usage Groups (&gt;120 MWh only)'!$B$8:$B$12,0),1)/COUNTIF($C$13:$C$1012,C167)),IF(AND(NC_Type="Building Area Method",Inventory!C164="Y"),INDEX(xyNCEx,MATCH(I167,yNCExArea,0),3)/COUNTIF($I$13:$I$1012,I167),VLOOKUP(J167,xyWattage_Table,10,FALSE))),"")</f>
        <v/>
      </c>
      <c r="L167" s="539" t="str">
        <f t="shared" si="69"/>
        <v/>
      </c>
      <c r="M167" s="540">
        <f>IF(Inventory!N164="","",Inventory!N164)</f>
        <v>0</v>
      </c>
      <c r="N167" s="533" t="str">
        <f t="shared" si="70"/>
        <v/>
      </c>
      <c r="O167" s="534"/>
      <c r="P167" s="533" t="str">
        <f t="shared" si="71"/>
        <v/>
      </c>
      <c r="Q167" s="534" t="str">
        <f>IF(Inventory!L164="","",Inventory!L164)</f>
        <v/>
      </c>
      <c r="R167" s="535" t="str">
        <f t="shared" si="72"/>
        <v/>
      </c>
      <c r="S167" s="536" t="str">
        <f>IF(Inventory!O164="","",Inventory!O164)</f>
        <v/>
      </c>
      <c r="T167" s="541" t="str">
        <f>IFERROR(IF(C167="","",IF(INDEX(xyWattage_Table,MATCH(M167,'Fixture Identities'!$B$9:$B$997,0),2)="Exit Sign",8760,IF(VLOOKUP(C167,xySpace_Type_Details,8,FALSE)="TRM",INDEX('General Information'!$AF$17:$AG$28,11,MATCH(N167,'General Information'!$AF$16:$AG$16,0)),HLOOKUP(VLOOKUP(C167,xySpace_Type_Details,8,FALSE),'General Information'!$P$15:$AG$28,13,FALSE)))),"")</f>
        <v/>
      </c>
      <c r="U167" s="542" t="str">
        <f>IFERROR(IF(C167="","",IF(INDEX(xyWattage_Table,MATCH(M167,'Fixture Identities'!$B$9:$B$997,0),2)="Exit Sign",1,IF(VLOOKUP(C167,xySpace_Type_Details,8,FALSE)="TRM",INDEX('General Information'!$AF$17:$AG$28,12,MATCH(N167,'General Information'!$AF$16:$AG$16,0)),HLOOKUP(VLOOKUP(C167,xySpace_Type_Details,8,FALSE),'General Information'!$P$15:$AG$28,14,FALSE)))),"")</f>
        <v/>
      </c>
      <c r="V167" s="542" t="str">
        <f>IFERROR(VLOOKUP(INDEX(xySpace_Type_Details,MATCH($C167,'General Information'!$C$40:$C$60,0),12),Lookups!$L$8:$N$12,2,FALSE),"")</f>
        <v/>
      </c>
      <c r="W167" s="542" t="str">
        <f>IFERROR(VLOOKUP(INDEX(xySpace_Type_Details,MATCH($C167,'General Information'!$C$40:$C$60,0),12),Lookups!$L$8:$N$12,3,FALSE),"")</f>
        <v/>
      </c>
      <c r="Y167" s="542" t="str">
        <f>IFERROR(IF(C167="","",IF(INDEX(xyWattage_Table,MATCH(M167,'Fixture Identities'!$B$9:$B$997,0),2)="Exit Sign",0,IF(PRJ_Type="Retrofit",VLOOKUP(I167,xySVG_Factors,2,FALSE),IF(AND(PRJ_Type="New Construction",Inventory!C164="N"),VLOOKUP(VLOOKUP(Building_Type,xyLPD_BuildingArea,5,FALSE),xySVG_Factors_NC,3,FALSE),0)))),"")</f>
        <v/>
      </c>
      <c r="Z167" s="544" t="str">
        <f>IFERROR(IF(C167="","",IF(INDEX(xyWattage_Table,MATCH(M167,'Fixture Identities'!$B$9:$B$997,0),2)="Exit Sign",0,VLOOKUP(S167,xySVG_Factors,2,FALSE))),"")</f>
        <v/>
      </c>
      <c r="AA167" s="545" t="str">
        <f t="shared" si="73"/>
        <v/>
      </c>
      <c r="AB167" s="542" t="str">
        <f t="shared" si="74"/>
        <v/>
      </c>
      <c r="AC167" s="539" t="str">
        <f t="shared" si="75"/>
        <v/>
      </c>
      <c r="AD167" s="546" t="str">
        <f t="shared" si="76"/>
        <v/>
      </c>
      <c r="AE167" s="539" t="str">
        <f t="shared" si="77"/>
        <v/>
      </c>
      <c r="AF167" s="546" t="str">
        <f t="shared" si="78"/>
        <v/>
      </c>
      <c r="AG167" s="539" t="str">
        <f t="shared" si="79"/>
        <v/>
      </c>
      <c r="AH167" s="32">
        <f t="shared" si="60"/>
        <v>0</v>
      </c>
      <c r="AI167" s="32">
        <f t="shared" si="61"/>
        <v>0</v>
      </c>
      <c r="AJ167" s="32">
        <f t="shared" si="62"/>
        <v>0</v>
      </c>
      <c r="AK167" t="str">
        <f t="shared" si="63"/>
        <v/>
      </c>
      <c r="AL167" t="str">
        <f t="shared" si="64"/>
        <v/>
      </c>
      <c r="AM167" t="str">
        <f t="shared" si="65"/>
        <v/>
      </c>
      <c r="AO167" t="str">
        <f>IFERROR(VLOOKUP(M167,'Fixture Identities'!$B$9:$O$1045,14,FALSE),"")</f>
        <v/>
      </c>
      <c r="AP167" t="str">
        <f t="shared" si="59"/>
        <v/>
      </c>
    </row>
    <row r="168" spans="1:42">
      <c r="A168" s="71">
        <f t="shared" si="80"/>
        <v>0</v>
      </c>
      <c r="B168" s="513">
        <f t="shared" si="66"/>
        <v>156</v>
      </c>
      <c r="C168" s="530" t="str">
        <f>IF(Inventory!E165="","",Inventory!E165)</f>
        <v/>
      </c>
      <c r="D168" s="531">
        <f>IF(Inventory!D165="",0,Inventory!D165)</f>
        <v>0</v>
      </c>
      <c r="E168" s="532" t="str">
        <f>IF(Inventory!I165=0,"",Inventory!I165)</f>
        <v/>
      </c>
      <c r="F168" s="533" t="str">
        <f t="shared" si="67"/>
        <v/>
      </c>
      <c r="G168" s="534" t="str">
        <f>IF(Inventory!G165="","",Inventory!G165)</f>
        <v/>
      </c>
      <c r="H168" s="535" t="str">
        <f t="shared" si="68"/>
        <v/>
      </c>
      <c r="I168" s="536" t="str">
        <f>IF(Inventory!J165="","",Inventory!J165)</f>
        <v/>
      </c>
      <c r="J168" s="537" t="str">
        <f>IFERROR(IF(PRJ_Type="New Construction",IF(Inventory!C165="N",INDEX(xyLPD_BuildingArea,MATCH(Building_Type,Lookups!$F$37:$F$75,0),4),INDEX(xyLPD_SpaceBySpace,MATCH(INDEX(xyNCEx,MATCH(I168,yNCExArea,0),2),ySpace_by_Space_Type,0),2)),VLOOKUP(E168,xyWattage_Table,11,FALSE)),"")</f>
        <v/>
      </c>
      <c r="K168" s="538" t="str">
        <f>IFERROR(IF(AND(NC_Type="Building Area Method",Inventory!C165="N"),IF(ISERROR(INDEX('Usage Groups (&gt;120 MWh only)'!$N$8:$N$12,MATCH(C168,'Usage Groups (&gt;120 MWh only)'!$B$8:$B$12,0),1))=TRUE,SqFt/COUNTIFS(Inventory!$C$10:$C$1009,"N",$Q$13:$Q$1012,"&gt;=0"),INDEX('Usage Groups (&gt;120 MWh only)'!$N$8:$N$12,MATCH(C168,'Usage Groups (&gt;120 MWh only)'!$B$8:$B$12,0),1)/COUNTIF($C$13:$C$1012,C168)),IF(AND(NC_Type="Building Area Method",Inventory!C165="Y"),INDEX(xyNCEx,MATCH(I168,yNCExArea,0),3)/COUNTIF($I$13:$I$1012,I168),VLOOKUP(J168,xyWattage_Table,10,FALSE))),"")</f>
        <v/>
      </c>
      <c r="L168" s="539" t="str">
        <f t="shared" si="69"/>
        <v/>
      </c>
      <c r="M168" s="540">
        <f>IF(Inventory!N165="","",Inventory!N165)</f>
        <v>0</v>
      </c>
      <c r="N168" s="533" t="str">
        <f t="shared" si="70"/>
        <v/>
      </c>
      <c r="O168" s="534"/>
      <c r="P168" s="533" t="str">
        <f t="shared" si="71"/>
        <v/>
      </c>
      <c r="Q168" s="534" t="str">
        <f>IF(Inventory!L165="","",Inventory!L165)</f>
        <v/>
      </c>
      <c r="R168" s="535" t="str">
        <f t="shared" si="72"/>
        <v/>
      </c>
      <c r="S168" s="536" t="str">
        <f>IF(Inventory!O165="","",Inventory!O165)</f>
        <v/>
      </c>
      <c r="T168" s="541" t="str">
        <f>IFERROR(IF(C168="","",IF(INDEX(xyWattage_Table,MATCH(M168,'Fixture Identities'!$B$9:$B$997,0),2)="Exit Sign",8760,IF(VLOOKUP(C168,xySpace_Type_Details,8,FALSE)="TRM",INDEX('General Information'!$AF$17:$AG$28,11,MATCH(N168,'General Information'!$AF$16:$AG$16,0)),HLOOKUP(VLOOKUP(C168,xySpace_Type_Details,8,FALSE),'General Information'!$P$15:$AG$28,13,FALSE)))),"")</f>
        <v/>
      </c>
      <c r="U168" s="542" t="str">
        <f>IFERROR(IF(C168="","",IF(INDEX(xyWattage_Table,MATCH(M168,'Fixture Identities'!$B$9:$B$997,0),2)="Exit Sign",1,IF(VLOOKUP(C168,xySpace_Type_Details,8,FALSE)="TRM",INDEX('General Information'!$AF$17:$AG$28,12,MATCH(N168,'General Information'!$AF$16:$AG$16,0)),HLOOKUP(VLOOKUP(C168,xySpace_Type_Details,8,FALSE),'General Information'!$P$15:$AG$28,14,FALSE)))),"")</f>
        <v/>
      </c>
      <c r="V168" s="542" t="str">
        <f>IFERROR(VLOOKUP(INDEX(xySpace_Type_Details,MATCH($C168,'General Information'!$C$40:$C$60,0),12),Lookups!$L$8:$N$12,2,FALSE),"")</f>
        <v/>
      </c>
      <c r="W168" s="542" t="str">
        <f>IFERROR(VLOOKUP(INDEX(xySpace_Type_Details,MATCH($C168,'General Information'!$C$40:$C$60,0),12),Lookups!$L$8:$N$12,3,FALSE),"")</f>
        <v/>
      </c>
      <c r="Y168" s="542" t="str">
        <f>IFERROR(IF(C168="","",IF(INDEX(xyWattage_Table,MATCH(M168,'Fixture Identities'!$B$9:$B$997,0),2)="Exit Sign",0,IF(PRJ_Type="Retrofit",VLOOKUP(I168,xySVG_Factors,2,FALSE),IF(AND(PRJ_Type="New Construction",Inventory!C165="N"),VLOOKUP(VLOOKUP(Building_Type,xyLPD_BuildingArea,5,FALSE),xySVG_Factors_NC,3,FALSE),0)))),"")</f>
        <v/>
      </c>
      <c r="Z168" s="544" t="str">
        <f>IFERROR(IF(C168="","",IF(INDEX(xyWattage_Table,MATCH(M168,'Fixture Identities'!$B$9:$B$997,0),2)="Exit Sign",0,VLOOKUP(S168,xySVG_Factors,2,FALSE))),"")</f>
        <v/>
      </c>
      <c r="AA168" s="545" t="str">
        <f t="shared" si="73"/>
        <v/>
      </c>
      <c r="AB168" s="542" t="str">
        <f t="shared" si="74"/>
        <v/>
      </c>
      <c r="AC168" s="539" t="str">
        <f t="shared" si="75"/>
        <v/>
      </c>
      <c r="AD168" s="546" t="str">
        <f t="shared" si="76"/>
        <v/>
      </c>
      <c r="AE168" s="539" t="str">
        <f t="shared" si="77"/>
        <v/>
      </c>
      <c r="AF168" s="546" t="str">
        <f t="shared" si="78"/>
        <v/>
      </c>
      <c r="AG168" s="539" t="str">
        <f t="shared" si="79"/>
        <v/>
      </c>
      <c r="AH168" s="32">
        <f t="shared" si="60"/>
        <v>0</v>
      </c>
      <c r="AI168" s="32">
        <f t="shared" si="61"/>
        <v>0</v>
      </c>
      <c r="AJ168" s="32">
        <f t="shared" si="62"/>
        <v>0</v>
      </c>
      <c r="AK168" t="str">
        <f t="shared" si="63"/>
        <v/>
      </c>
      <c r="AL168" t="str">
        <f t="shared" si="64"/>
        <v/>
      </c>
      <c r="AM168" t="str">
        <f t="shared" si="65"/>
        <v/>
      </c>
      <c r="AO168" t="str">
        <f>IFERROR(VLOOKUP(M168,'Fixture Identities'!$B$9:$O$1045,14,FALSE),"")</f>
        <v/>
      </c>
      <c r="AP168" t="str">
        <f t="shared" si="59"/>
        <v/>
      </c>
    </row>
    <row r="169" spans="1:42">
      <c r="A169" s="71">
        <f t="shared" si="80"/>
        <v>0</v>
      </c>
      <c r="B169" s="513">
        <f t="shared" si="66"/>
        <v>157</v>
      </c>
      <c r="C169" s="530" t="str">
        <f>IF(Inventory!E166="","",Inventory!E166)</f>
        <v/>
      </c>
      <c r="D169" s="531">
        <f>IF(Inventory!D166="",0,Inventory!D166)</f>
        <v>0</v>
      </c>
      <c r="E169" s="532" t="str">
        <f>IF(Inventory!I166=0,"",Inventory!I166)</f>
        <v/>
      </c>
      <c r="F169" s="533" t="str">
        <f t="shared" si="67"/>
        <v/>
      </c>
      <c r="G169" s="534" t="str">
        <f>IF(Inventory!G166="","",Inventory!G166)</f>
        <v/>
      </c>
      <c r="H169" s="535" t="str">
        <f t="shared" si="68"/>
        <v/>
      </c>
      <c r="I169" s="536" t="str">
        <f>IF(Inventory!J166="","",Inventory!J166)</f>
        <v/>
      </c>
      <c r="J169" s="537" t="str">
        <f>IFERROR(IF(PRJ_Type="New Construction",IF(Inventory!C166="N",INDEX(xyLPD_BuildingArea,MATCH(Building_Type,Lookups!$F$37:$F$75,0),4),INDEX(xyLPD_SpaceBySpace,MATCH(INDEX(xyNCEx,MATCH(I169,yNCExArea,0),2),ySpace_by_Space_Type,0),2)),VLOOKUP(E169,xyWattage_Table,11,FALSE)),"")</f>
        <v/>
      </c>
      <c r="K169" s="538" t="str">
        <f>IFERROR(IF(AND(NC_Type="Building Area Method",Inventory!C166="N"),IF(ISERROR(INDEX('Usage Groups (&gt;120 MWh only)'!$N$8:$N$12,MATCH(C169,'Usage Groups (&gt;120 MWh only)'!$B$8:$B$12,0),1))=TRUE,SqFt/COUNTIFS(Inventory!$C$10:$C$1009,"N",$Q$13:$Q$1012,"&gt;=0"),INDEX('Usage Groups (&gt;120 MWh only)'!$N$8:$N$12,MATCH(C169,'Usage Groups (&gt;120 MWh only)'!$B$8:$B$12,0),1)/COUNTIF($C$13:$C$1012,C169)),IF(AND(NC_Type="Building Area Method",Inventory!C166="Y"),INDEX(xyNCEx,MATCH(I169,yNCExArea,0),3)/COUNTIF($I$13:$I$1012,I169),VLOOKUP(J169,xyWattage_Table,10,FALSE))),"")</f>
        <v/>
      </c>
      <c r="L169" s="539" t="str">
        <f t="shared" si="69"/>
        <v/>
      </c>
      <c r="M169" s="540">
        <f>IF(Inventory!N166="","",Inventory!N166)</f>
        <v>0</v>
      </c>
      <c r="N169" s="533" t="str">
        <f t="shared" si="70"/>
        <v/>
      </c>
      <c r="O169" s="534"/>
      <c r="P169" s="533" t="str">
        <f t="shared" si="71"/>
        <v/>
      </c>
      <c r="Q169" s="534" t="str">
        <f>IF(Inventory!L166="","",Inventory!L166)</f>
        <v/>
      </c>
      <c r="R169" s="535" t="str">
        <f t="shared" si="72"/>
        <v/>
      </c>
      <c r="S169" s="536" t="str">
        <f>IF(Inventory!O166="","",Inventory!O166)</f>
        <v/>
      </c>
      <c r="T169" s="541" t="str">
        <f>IFERROR(IF(C169="","",IF(INDEX(xyWattage_Table,MATCH(M169,'Fixture Identities'!$B$9:$B$997,0),2)="Exit Sign",8760,IF(VLOOKUP(C169,xySpace_Type_Details,8,FALSE)="TRM",INDEX('General Information'!$AF$17:$AG$28,11,MATCH(N169,'General Information'!$AF$16:$AG$16,0)),HLOOKUP(VLOOKUP(C169,xySpace_Type_Details,8,FALSE),'General Information'!$P$15:$AG$28,13,FALSE)))),"")</f>
        <v/>
      </c>
      <c r="U169" s="542" t="str">
        <f>IFERROR(IF(C169="","",IF(INDEX(xyWattage_Table,MATCH(M169,'Fixture Identities'!$B$9:$B$997,0),2)="Exit Sign",1,IF(VLOOKUP(C169,xySpace_Type_Details,8,FALSE)="TRM",INDEX('General Information'!$AF$17:$AG$28,12,MATCH(N169,'General Information'!$AF$16:$AG$16,0)),HLOOKUP(VLOOKUP(C169,xySpace_Type_Details,8,FALSE),'General Information'!$P$15:$AG$28,14,FALSE)))),"")</f>
        <v/>
      </c>
      <c r="V169" s="542" t="str">
        <f>IFERROR(VLOOKUP(INDEX(xySpace_Type_Details,MATCH($C169,'General Information'!$C$40:$C$60,0),12),Lookups!$L$8:$N$12,2,FALSE),"")</f>
        <v/>
      </c>
      <c r="W169" s="542" t="str">
        <f>IFERROR(VLOOKUP(INDEX(xySpace_Type_Details,MATCH($C169,'General Information'!$C$40:$C$60,0),12),Lookups!$L$8:$N$12,3,FALSE),"")</f>
        <v/>
      </c>
      <c r="Y169" s="542" t="str">
        <f>IFERROR(IF(C169="","",IF(INDEX(xyWattage_Table,MATCH(M169,'Fixture Identities'!$B$9:$B$997,0),2)="Exit Sign",0,IF(PRJ_Type="Retrofit",VLOOKUP(I169,xySVG_Factors,2,FALSE),IF(AND(PRJ_Type="New Construction",Inventory!C166="N"),VLOOKUP(VLOOKUP(Building_Type,xyLPD_BuildingArea,5,FALSE),xySVG_Factors_NC,3,FALSE),0)))),"")</f>
        <v/>
      </c>
      <c r="Z169" s="544" t="str">
        <f>IFERROR(IF(C169="","",IF(INDEX(xyWattage_Table,MATCH(M169,'Fixture Identities'!$B$9:$B$997,0),2)="Exit Sign",0,VLOOKUP(S169,xySVG_Factors,2,FALSE))),"")</f>
        <v/>
      </c>
      <c r="AA169" s="545" t="str">
        <f t="shared" si="73"/>
        <v/>
      </c>
      <c r="AB169" s="542" t="str">
        <f t="shared" si="74"/>
        <v/>
      </c>
      <c r="AC169" s="539" t="str">
        <f t="shared" si="75"/>
        <v/>
      </c>
      <c r="AD169" s="546" t="str">
        <f t="shared" si="76"/>
        <v/>
      </c>
      <c r="AE169" s="539" t="str">
        <f t="shared" si="77"/>
        <v/>
      </c>
      <c r="AF169" s="546" t="str">
        <f t="shared" si="78"/>
        <v/>
      </c>
      <c r="AG169" s="539" t="str">
        <f t="shared" si="79"/>
        <v/>
      </c>
      <c r="AH169" s="32">
        <f t="shared" si="60"/>
        <v>0</v>
      </c>
      <c r="AI169" s="32">
        <f t="shared" si="61"/>
        <v>0</v>
      </c>
      <c r="AJ169" s="32">
        <f t="shared" si="62"/>
        <v>0</v>
      </c>
      <c r="AK169" t="str">
        <f t="shared" si="63"/>
        <v/>
      </c>
      <c r="AL169" t="str">
        <f t="shared" si="64"/>
        <v/>
      </c>
      <c r="AM169" t="str">
        <f t="shared" si="65"/>
        <v/>
      </c>
      <c r="AO169" t="str">
        <f>IFERROR(VLOOKUP(M169,'Fixture Identities'!$B$9:$O$1045,14,FALSE),"")</f>
        <v/>
      </c>
      <c r="AP169" t="str">
        <f t="shared" si="59"/>
        <v/>
      </c>
    </row>
    <row r="170" spans="1:42">
      <c r="A170" s="71">
        <f t="shared" si="80"/>
        <v>0</v>
      </c>
      <c r="B170" s="513">
        <f t="shared" si="66"/>
        <v>158</v>
      </c>
      <c r="C170" s="530" t="str">
        <f>IF(Inventory!E167="","",Inventory!E167)</f>
        <v/>
      </c>
      <c r="D170" s="531">
        <f>IF(Inventory!D167="",0,Inventory!D167)</f>
        <v>0</v>
      </c>
      <c r="E170" s="532" t="str">
        <f>IF(Inventory!I167=0,"",Inventory!I167)</f>
        <v/>
      </c>
      <c r="F170" s="533" t="str">
        <f t="shared" si="67"/>
        <v/>
      </c>
      <c r="G170" s="534" t="str">
        <f>IF(Inventory!G167="","",Inventory!G167)</f>
        <v/>
      </c>
      <c r="H170" s="535" t="str">
        <f t="shared" si="68"/>
        <v/>
      </c>
      <c r="I170" s="536" t="str">
        <f>IF(Inventory!J167="","",Inventory!J167)</f>
        <v/>
      </c>
      <c r="J170" s="537" t="str">
        <f>IFERROR(IF(PRJ_Type="New Construction",IF(Inventory!C167="N",INDEX(xyLPD_BuildingArea,MATCH(Building_Type,Lookups!$F$37:$F$75,0),4),INDEX(xyLPD_SpaceBySpace,MATCH(INDEX(xyNCEx,MATCH(I170,yNCExArea,0),2),ySpace_by_Space_Type,0),2)),VLOOKUP(E170,xyWattage_Table,11,FALSE)),"")</f>
        <v/>
      </c>
      <c r="K170" s="538" t="str">
        <f>IFERROR(IF(AND(NC_Type="Building Area Method",Inventory!C167="N"),IF(ISERROR(INDEX('Usage Groups (&gt;120 MWh only)'!$N$8:$N$12,MATCH(C170,'Usage Groups (&gt;120 MWh only)'!$B$8:$B$12,0),1))=TRUE,SqFt/COUNTIFS(Inventory!$C$10:$C$1009,"N",$Q$13:$Q$1012,"&gt;=0"),INDEX('Usage Groups (&gt;120 MWh only)'!$N$8:$N$12,MATCH(C170,'Usage Groups (&gt;120 MWh only)'!$B$8:$B$12,0),1)/COUNTIF($C$13:$C$1012,C170)),IF(AND(NC_Type="Building Area Method",Inventory!C167="Y"),INDEX(xyNCEx,MATCH(I170,yNCExArea,0),3)/COUNTIF($I$13:$I$1012,I170),VLOOKUP(J170,xyWattage_Table,10,FALSE))),"")</f>
        <v/>
      </c>
      <c r="L170" s="539" t="str">
        <f t="shared" si="69"/>
        <v/>
      </c>
      <c r="M170" s="540">
        <f>IF(Inventory!N167="","",Inventory!N167)</f>
        <v>0</v>
      </c>
      <c r="N170" s="533" t="str">
        <f t="shared" si="70"/>
        <v/>
      </c>
      <c r="O170" s="534"/>
      <c r="P170" s="533" t="str">
        <f t="shared" si="71"/>
        <v/>
      </c>
      <c r="Q170" s="534" t="str">
        <f>IF(Inventory!L167="","",Inventory!L167)</f>
        <v/>
      </c>
      <c r="R170" s="535" t="str">
        <f t="shared" si="72"/>
        <v/>
      </c>
      <c r="S170" s="536" t="str">
        <f>IF(Inventory!O167="","",Inventory!O167)</f>
        <v/>
      </c>
      <c r="T170" s="541" t="str">
        <f>IFERROR(IF(C170="","",IF(INDEX(xyWattage_Table,MATCH(M170,'Fixture Identities'!$B$9:$B$997,0),2)="Exit Sign",8760,IF(VLOOKUP(C170,xySpace_Type_Details,8,FALSE)="TRM",INDEX('General Information'!$AF$17:$AG$28,11,MATCH(N170,'General Information'!$AF$16:$AG$16,0)),HLOOKUP(VLOOKUP(C170,xySpace_Type_Details,8,FALSE),'General Information'!$P$15:$AG$28,13,FALSE)))),"")</f>
        <v/>
      </c>
      <c r="U170" s="542" t="str">
        <f>IFERROR(IF(C170="","",IF(INDEX(xyWattage_Table,MATCH(M170,'Fixture Identities'!$B$9:$B$997,0),2)="Exit Sign",1,IF(VLOOKUP(C170,xySpace_Type_Details,8,FALSE)="TRM",INDEX('General Information'!$AF$17:$AG$28,12,MATCH(N170,'General Information'!$AF$16:$AG$16,0)),HLOOKUP(VLOOKUP(C170,xySpace_Type_Details,8,FALSE),'General Information'!$P$15:$AG$28,14,FALSE)))),"")</f>
        <v/>
      </c>
      <c r="V170" s="542" t="str">
        <f>IFERROR(VLOOKUP(INDEX(xySpace_Type_Details,MATCH($C170,'General Information'!$C$40:$C$60,0),12),Lookups!$L$8:$N$12,2,FALSE),"")</f>
        <v/>
      </c>
      <c r="W170" s="542" t="str">
        <f>IFERROR(VLOOKUP(INDEX(xySpace_Type_Details,MATCH($C170,'General Information'!$C$40:$C$60,0),12),Lookups!$L$8:$N$12,3,FALSE),"")</f>
        <v/>
      </c>
      <c r="Y170" s="542" t="str">
        <f>IFERROR(IF(C170="","",IF(INDEX(xyWattage_Table,MATCH(M170,'Fixture Identities'!$B$9:$B$997,0),2)="Exit Sign",0,IF(PRJ_Type="Retrofit",VLOOKUP(I170,xySVG_Factors,2,FALSE),IF(AND(PRJ_Type="New Construction",Inventory!C167="N"),VLOOKUP(VLOOKUP(Building_Type,xyLPD_BuildingArea,5,FALSE),xySVG_Factors_NC,3,FALSE),0)))),"")</f>
        <v/>
      </c>
      <c r="Z170" s="544" t="str">
        <f>IFERROR(IF(C170="","",IF(INDEX(xyWattage_Table,MATCH(M170,'Fixture Identities'!$B$9:$B$997,0),2)="Exit Sign",0,VLOOKUP(S170,xySVG_Factors,2,FALSE))),"")</f>
        <v/>
      </c>
      <c r="AA170" s="545" t="str">
        <f t="shared" si="73"/>
        <v/>
      </c>
      <c r="AB170" s="542" t="str">
        <f t="shared" si="74"/>
        <v/>
      </c>
      <c r="AC170" s="539" t="str">
        <f t="shared" si="75"/>
        <v/>
      </c>
      <c r="AD170" s="546" t="str">
        <f t="shared" si="76"/>
        <v/>
      </c>
      <c r="AE170" s="539" t="str">
        <f t="shared" si="77"/>
        <v/>
      </c>
      <c r="AF170" s="546" t="str">
        <f t="shared" si="78"/>
        <v/>
      </c>
      <c r="AG170" s="539" t="str">
        <f t="shared" si="79"/>
        <v/>
      </c>
      <c r="AH170" s="32">
        <f t="shared" si="60"/>
        <v>0</v>
      </c>
      <c r="AI170" s="32">
        <f t="shared" si="61"/>
        <v>0</v>
      </c>
      <c r="AJ170" s="32">
        <f t="shared" si="62"/>
        <v>0</v>
      </c>
      <c r="AK170" t="str">
        <f t="shared" si="63"/>
        <v/>
      </c>
      <c r="AL170" t="str">
        <f t="shared" si="64"/>
        <v/>
      </c>
      <c r="AM170" t="str">
        <f t="shared" si="65"/>
        <v/>
      </c>
      <c r="AO170" t="str">
        <f>IFERROR(VLOOKUP(M170,'Fixture Identities'!$B$9:$O$1045,14,FALSE),"")</f>
        <v/>
      </c>
      <c r="AP170" t="str">
        <f t="shared" si="59"/>
        <v/>
      </c>
    </row>
    <row r="171" spans="1:42">
      <c r="A171" s="71">
        <f t="shared" si="80"/>
        <v>0</v>
      </c>
      <c r="B171" s="513">
        <f t="shared" si="66"/>
        <v>159</v>
      </c>
      <c r="C171" s="530" t="str">
        <f>IF(Inventory!E168="","",Inventory!E168)</f>
        <v/>
      </c>
      <c r="D171" s="531">
        <f>IF(Inventory!D168="",0,Inventory!D168)</f>
        <v>0</v>
      </c>
      <c r="E171" s="532" t="str">
        <f>IF(Inventory!I168=0,"",Inventory!I168)</f>
        <v/>
      </c>
      <c r="F171" s="533" t="str">
        <f t="shared" si="67"/>
        <v/>
      </c>
      <c r="G171" s="534" t="str">
        <f>IF(Inventory!G168="","",Inventory!G168)</f>
        <v/>
      </c>
      <c r="H171" s="535" t="str">
        <f t="shared" si="68"/>
        <v/>
      </c>
      <c r="I171" s="536" t="str">
        <f>IF(Inventory!J168="","",Inventory!J168)</f>
        <v/>
      </c>
      <c r="J171" s="537" t="str">
        <f>IFERROR(IF(PRJ_Type="New Construction",IF(Inventory!C168="N",INDEX(xyLPD_BuildingArea,MATCH(Building_Type,Lookups!$F$37:$F$75,0),4),INDEX(xyLPD_SpaceBySpace,MATCH(INDEX(xyNCEx,MATCH(I171,yNCExArea,0),2),ySpace_by_Space_Type,0),2)),VLOOKUP(E171,xyWattage_Table,11,FALSE)),"")</f>
        <v/>
      </c>
      <c r="K171" s="538" t="str">
        <f>IFERROR(IF(AND(NC_Type="Building Area Method",Inventory!C168="N"),IF(ISERROR(INDEX('Usage Groups (&gt;120 MWh only)'!$N$8:$N$12,MATCH(C171,'Usage Groups (&gt;120 MWh only)'!$B$8:$B$12,0),1))=TRUE,SqFt/COUNTIFS(Inventory!$C$10:$C$1009,"N",$Q$13:$Q$1012,"&gt;=0"),INDEX('Usage Groups (&gt;120 MWh only)'!$N$8:$N$12,MATCH(C171,'Usage Groups (&gt;120 MWh only)'!$B$8:$B$12,0),1)/COUNTIF($C$13:$C$1012,C171)),IF(AND(NC_Type="Building Area Method",Inventory!C168="Y"),INDEX(xyNCEx,MATCH(I171,yNCExArea,0),3)/COUNTIF($I$13:$I$1012,I171),VLOOKUP(J171,xyWattage_Table,10,FALSE))),"")</f>
        <v/>
      </c>
      <c r="L171" s="539" t="str">
        <f t="shared" si="69"/>
        <v/>
      </c>
      <c r="M171" s="540">
        <f>IF(Inventory!N168="","",Inventory!N168)</f>
        <v>0</v>
      </c>
      <c r="N171" s="533" t="str">
        <f t="shared" si="70"/>
        <v/>
      </c>
      <c r="O171" s="534"/>
      <c r="P171" s="533" t="str">
        <f t="shared" si="71"/>
        <v/>
      </c>
      <c r="Q171" s="534" t="str">
        <f>IF(Inventory!L168="","",Inventory!L168)</f>
        <v/>
      </c>
      <c r="R171" s="535" t="str">
        <f t="shared" si="72"/>
        <v/>
      </c>
      <c r="S171" s="536" t="str">
        <f>IF(Inventory!O168="","",Inventory!O168)</f>
        <v/>
      </c>
      <c r="T171" s="541" t="str">
        <f>IFERROR(IF(C171="","",IF(INDEX(xyWattage_Table,MATCH(M171,'Fixture Identities'!$B$9:$B$997,0),2)="Exit Sign",8760,IF(VLOOKUP(C171,xySpace_Type_Details,8,FALSE)="TRM",INDEX('General Information'!$AF$17:$AG$28,11,MATCH(N171,'General Information'!$AF$16:$AG$16,0)),HLOOKUP(VLOOKUP(C171,xySpace_Type_Details,8,FALSE),'General Information'!$P$15:$AG$28,13,FALSE)))),"")</f>
        <v/>
      </c>
      <c r="U171" s="542" t="str">
        <f>IFERROR(IF(C171="","",IF(INDEX(xyWattage_Table,MATCH(M171,'Fixture Identities'!$B$9:$B$997,0),2)="Exit Sign",1,IF(VLOOKUP(C171,xySpace_Type_Details,8,FALSE)="TRM",INDEX('General Information'!$AF$17:$AG$28,12,MATCH(N171,'General Information'!$AF$16:$AG$16,0)),HLOOKUP(VLOOKUP(C171,xySpace_Type_Details,8,FALSE),'General Information'!$P$15:$AG$28,14,FALSE)))),"")</f>
        <v/>
      </c>
      <c r="V171" s="542" t="str">
        <f>IFERROR(VLOOKUP(INDEX(xySpace_Type_Details,MATCH($C171,'General Information'!$C$40:$C$60,0),12),Lookups!$L$8:$N$12,2,FALSE),"")</f>
        <v/>
      </c>
      <c r="W171" s="542" t="str">
        <f>IFERROR(VLOOKUP(INDEX(xySpace_Type_Details,MATCH($C171,'General Information'!$C$40:$C$60,0),12),Lookups!$L$8:$N$12,3,FALSE),"")</f>
        <v/>
      </c>
      <c r="Y171" s="542" t="str">
        <f>IFERROR(IF(C171="","",IF(INDEX(xyWattage_Table,MATCH(M171,'Fixture Identities'!$B$9:$B$997,0),2)="Exit Sign",0,IF(PRJ_Type="Retrofit",VLOOKUP(I171,xySVG_Factors,2,FALSE),IF(AND(PRJ_Type="New Construction",Inventory!C168="N"),VLOOKUP(VLOOKUP(Building_Type,xyLPD_BuildingArea,5,FALSE),xySVG_Factors_NC,3,FALSE),0)))),"")</f>
        <v/>
      </c>
      <c r="Z171" s="544" t="str">
        <f>IFERROR(IF(C171="","",IF(INDEX(xyWattage_Table,MATCH(M171,'Fixture Identities'!$B$9:$B$997,0),2)="Exit Sign",0,VLOOKUP(S171,xySVG_Factors,2,FALSE))),"")</f>
        <v/>
      </c>
      <c r="AA171" s="545" t="str">
        <f t="shared" si="73"/>
        <v/>
      </c>
      <c r="AB171" s="542" t="str">
        <f t="shared" si="74"/>
        <v/>
      </c>
      <c r="AC171" s="539" t="str">
        <f t="shared" si="75"/>
        <v/>
      </c>
      <c r="AD171" s="546" t="str">
        <f t="shared" si="76"/>
        <v/>
      </c>
      <c r="AE171" s="539" t="str">
        <f t="shared" si="77"/>
        <v/>
      </c>
      <c r="AF171" s="546" t="str">
        <f t="shared" si="78"/>
        <v/>
      </c>
      <c r="AG171" s="539" t="str">
        <f t="shared" si="79"/>
        <v/>
      </c>
      <c r="AH171" s="32">
        <f t="shared" si="60"/>
        <v>0</v>
      </c>
      <c r="AI171" s="32">
        <f t="shared" si="61"/>
        <v>0</v>
      </c>
      <c r="AJ171" s="32">
        <f t="shared" si="62"/>
        <v>0</v>
      </c>
      <c r="AK171" t="str">
        <f t="shared" si="63"/>
        <v/>
      </c>
      <c r="AL171" t="str">
        <f t="shared" si="64"/>
        <v/>
      </c>
      <c r="AM171" t="str">
        <f t="shared" si="65"/>
        <v/>
      </c>
      <c r="AO171" t="str">
        <f>IFERROR(VLOOKUP(M171,'Fixture Identities'!$B$9:$O$1045,14,FALSE),"")</f>
        <v/>
      </c>
      <c r="AP171" t="str">
        <f t="shared" si="59"/>
        <v/>
      </c>
    </row>
    <row r="172" spans="1:42">
      <c r="A172" s="71">
        <f t="shared" si="80"/>
        <v>0</v>
      </c>
      <c r="B172" s="513">
        <f t="shared" si="66"/>
        <v>160</v>
      </c>
      <c r="C172" s="530" t="str">
        <f>IF(Inventory!E169="","",Inventory!E169)</f>
        <v/>
      </c>
      <c r="D172" s="531">
        <f>IF(Inventory!D169="",0,Inventory!D169)</f>
        <v>0</v>
      </c>
      <c r="E172" s="532" t="str">
        <f>IF(Inventory!I169=0,"",Inventory!I169)</f>
        <v/>
      </c>
      <c r="F172" s="533" t="str">
        <f t="shared" si="67"/>
        <v/>
      </c>
      <c r="G172" s="534" t="str">
        <f>IF(Inventory!G169="","",Inventory!G169)</f>
        <v/>
      </c>
      <c r="H172" s="535" t="str">
        <f t="shared" si="68"/>
        <v/>
      </c>
      <c r="I172" s="536" t="str">
        <f>IF(Inventory!J169="","",Inventory!J169)</f>
        <v/>
      </c>
      <c r="J172" s="537" t="str">
        <f>IFERROR(IF(PRJ_Type="New Construction",IF(Inventory!C169="N",INDEX(xyLPD_BuildingArea,MATCH(Building_Type,Lookups!$F$37:$F$75,0),4),INDEX(xyLPD_SpaceBySpace,MATCH(INDEX(xyNCEx,MATCH(I172,yNCExArea,0),2),ySpace_by_Space_Type,0),2)),VLOOKUP(E172,xyWattage_Table,11,FALSE)),"")</f>
        <v/>
      </c>
      <c r="K172" s="538" t="str">
        <f>IFERROR(IF(AND(NC_Type="Building Area Method",Inventory!C169="N"),IF(ISERROR(INDEX('Usage Groups (&gt;120 MWh only)'!$N$8:$N$12,MATCH(C172,'Usage Groups (&gt;120 MWh only)'!$B$8:$B$12,0),1))=TRUE,SqFt/COUNTIFS(Inventory!$C$10:$C$1009,"N",$Q$13:$Q$1012,"&gt;=0"),INDEX('Usage Groups (&gt;120 MWh only)'!$N$8:$N$12,MATCH(C172,'Usage Groups (&gt;120 MWh only)'!$B$8:$B$12,0),1)/COUNTIF($C$13:$C$1012,C172)),IF(AND(NC_Type="Building Area Method",Inventory!C169="Y"),INDEX(xyNCEx,MATCH(I172,yNCExArea,0),3)/COUNTIF($I$13:$I$1012,I172),VLOOKUP(J172,xyWattage_Table,10,FALSE))),"")</f>
        <v/>
      </c>
      <c r="L172" s="539" t="str">
        <f t="shared" si="69"/>
        <v/>
      </c>
      <c r="M172" s="540">
        <f>IF(Inventory!N169="","",Inventory!N169)</f>
        <v>0</v>
      </c>
      <c r="N172" s="533" t="str">
        <f t="shared" si="70"/>
        <v/>
      </c>
      <c r="O172" s="534"/>
      <c r="P172" s="533" t="str">
        <f t="shared" si="71"/>
        <v/>
      </c>
      <c r="Q172" s="534" t="str">
        <f>IF(Inventory!L169="","",Inventory!L169)</f>
        <v/>
      </c>
      <c r="R172" s="535" t="str">
        <f t="shared" si="72"/>
        <v/>
      </c>
      <c r="S172" s="536" t="str">
        <f>IF(Inventory!O169="","",Inventory!O169)</f>
        <v/>
      </c>
      <c r="T172" s="541" t="str">
        <f>IFERROR(IF(C172="","",IF(INDEX(xyWattage_Table,MATCH(M172,'Fixture Identities'!$B$9:$B$997,0),2)="Exit Sign",8760,IF(VLOOKUP(C172,xySpace_Type_Details,8,FALSE)="TRM",INDEX('General Information'!$AF$17:$AG$28,11,MATCH(N172,'General Information'!$AF$16:$AG$16,0)),HLOOKUP(VLOOKUP(C172,xySpace_Type_Details,8,FALSE),'General Information'!$P$15:$AG$28,13,FALSE)))),"")</f>
        <v/>
      </c>
      <c r="U172" s="542" t="str">
        <f>IFERROR(IF(C172="","",IF(INDEX(xyWattage_Table,MATCH(M172,'Fixture Identities'!$B$9:$B$997,0),2)="Exit Sign",1,IF(VLOOKUP(C172,xySpace_Type_Details,8,FALSE)="TRM",INDEX('General Information'!$AF$17:$AG$28,12,MATCH(N172,'General Information'!$AF$16:$AG$16,0)),HLOOKUP(VLOOKUP(C172,xySpace_Type_Details,8,FALSE),'General Information'!$P$15:$AG$28,14,FALSE)))),"")</f>
        <v/>
      </c>
      <c r="V172" s="542" t="str">
        <f>IFERROR(VLOOKUP(INDEX(xySpace_Type_Details,MATCH($C172,'General Information'!$C$40:$C$60,0),12),Lookups!$L$8:$N$12,2,FALSE),"")</f>
        <v/>
      </c>
      <c r="W172" s="542" t="str">
        <f>IFERROR(VLOOKUP(INDEX(xySpace_Type_Details,MATCH($C172,'General Information'!$C$40:$C$60,0),12),Lookups!$L$8:$N$12,3,FALSE),"")</f>
        <v/>
      </c>
      <c r="Y172" s="542" t="str">
        <f>IFERROR(IF(C172="","",IF(INDEX(xyWattage_Table,MATCH(M172,'Fixture Identities'!$B$9:$B$997,0),2)="Exit Sign",0,IF(PRJ_Type="Retrofit",VLOOKUP(I172,xySVG_Factors,2,FALSE),IF(AND(PRJ_Type="New Construction",Inventory!C169="N"),VLOOKUP(VLOOKUP(Building_Type,xyLPD_BuildingArea,5,FALSE),xySVG_Factors_NC,3,FALSE),0)))),"")</f>
        <v/>
      </c>
      <c r="Z172" s="544" t="str">
        <f>IFERROR(IF(C172="","",IF(INDEX(xyWattage_Table,MATCH(M172,'Fixture Identities'!$B$9:$B$997,0),2)="Exit Sign",0,VLOOKUP(S172,xySVG_Factors,2,FALSE))),"")</f>
        <v/>
      </c>
      <c r="AA172" s="545" t="str">
        <f t="shared" si="73"/>
        <v/>
      </c>
      <c r="AB172" s="542" t="str">
        <f t="shared" si="74"/>
        <v/>
      </c>
      <c r="AC172" s="539" t="str">
        <f t="shared" si="75"/>
        <v/>
      </c>
      <c r="AD172" s="546" t="str">
        <f t="shared" si="76"/>
        <v/>
      </c>
      <c r="AE172" s="539" t="str">
        <f t="shared" si="77"/>
        <v/>
      </c>
      <c r="AF172" s="546" t="str">
        <f t="shared" si="78"/>
        <v/>
      </c>
      <c r="AG172" s="539" t="str">
        <f t="shared" si="79"/>
        <v/>
      </c>
      <c r="AH172" s="32">
        <f t="shared" si="60"/>
        <v>0</v>
      </c>
      <c r="AI172" s="32">
        <f t="shared" si="61"/>
        <v>0</v>
      </c>
      <c r="AJ172" s="32">
        <f t="shared" si="62"/>
        <v>0</v>
      </c>
      <c r="AK172" t="str">
        <f t="shared" si="63"/>
        <v/>
      </c>
      <c r="AL172" t="str">
        <f t="shared" si="64"/>
        <v/>
      </c>
      <c r="AM172" t="str">
        <f t="shared" si="65"/>
        <v/>
      </c>
      <c r="AO172" t="str">
        <f>IFERROR(VLOOKUP(M172,'Fixture Identities'!$B$9:$O$1045,14,FALSE),"")</f>
        <v/>
      </c>
      <c r="AP172" t="str">
        <f t="shared" si="59"/>
        <v/>
      </c>
    </row>
    <row r="173" spans="1:42">
      <c r="A173" s="71">
        <f t="shared" si="80"/>
        <v>0</v>
      </c>
      <c r="B173" s="513">
        <f t="shared" si="66"/>
        <v>161</v>
      </c>
      <c r="C173" s="530" t="str">
        <f>IF(Inventory!E170="","",Inventory!E170)</f>
        <v/>
      </c>
      <c r="D173" s="531">
        <f>IF(Inventory!D170="",0,Inventory!D170)</f>
        <v>0</v>
      </c>
      <c r="E173" s="532" t="str">
        <f>IF(Inventory!I170=0,"",Inventory!I170)</f>
        <v/>
      </c>
      <c r="F173" s="533" t="str">
        <f t="shared" si="67"/>
        <v/>
      </c>
      <c r="G173" s="534" t="str">
        <f>IF(Inventory!G170="","",Inventory!G170)</f>
        <v/>
      </c>
      <c r="H173" s="535" t="str">
        <f t="shared" si="68"/>
        <v/>
      </c>
      <c r="I173" s="536" t="str">
        <f>IF(Inventory!J170="","",Inventory!J170)</f>
        <v/>
      </c>
      <c r="J173" s="537" t="str">
        <f>IFERROR(IF(PRJ_Type="New Construction",IF(Inventory!C170="N",INDEX(xyLPD_BuildingArea,MATCH(Building_Type,Lookups!$F$37:$F$75,0),4),INDEX(xyLPD_SpaceBySpace,MATCH(INDEX(xyNCEx,MATCH(I173,yNCExArea,0),2),ySpace_by_Space_Type,0),2)),VLOOKUP(E173,xyWattage_Table,11,FALSE)),"")</f>
        <v/>
      </c>
      <c r="K173" s="538" t="str">
        <f>IFERROR(IF(AND(NC_Type="Building Area Method",Inventory!C170="N"),IF(ISERROR(INDEX('Usage Groups (&gt;120 MWh only)'!$N$8:$N$12,MATCH(C173,'Usage Groups (&gt;120 MWh only)'!$B$8:$B$12,0),1))=TRUE,SqFt/COUNTIFS(Inventory!$C$10:$C$1009,"N",$Q$13:$Q$1012,"&gt;=0"),INDEX('Usage Groups (&gt;120 MWh only)'!$N$8:$N$12,MATCH(C173,'Usage Groups (&gt;120 MWh only)'!$B$8:$B$12,0),1)/COUNTIF($C$13:$C$1012,C173)),IF(AND(NC_Type="Building Area Method",Inventory!C170="Y"),INDEX(xyNCEx,MATCH(I173,yNCExArea,0),3)/COUNTIF($I$13:$I$1012,I173),VLOOKUP(J173,xyWattage_Table,10,FALSE))),"")</f>
        <v/>
      </c>
      <c r="L173" s="539" t="str">
        <f t="shared" si="69"/>
        <v/>
      </c>
      <c r="M173" s="540">
        <f>IF(Inventory!N170="","",Inventory!N170)</f>
        <v>0</v>
      </c>
      <c r="N173" s="533" t="str">
        <f t="shared" si="70"/>
        <v/>
      </c>
      <c r="O173" s="534"/>
      <c r="P173" s="533" t="str">
        <f t="shared" si="71"/>
        <v/>
      </c>
      <c r="Q173" s="534" t="str">
        <f>IF(Inventory!L170="","",Inventory!L170)</f>
        <v/>
      </c>
      <c r="R173" s="535" t="str">
        <f t="shared" si="72"/>
        <v/>
      </c>
      <c r="S173" s="536" t="str">
        <f>IF(Inventory!O170="","",Inventory!O170)</f>
        <v/>
      </c>
      <c r="T173" s="541" t="str">
        <f>IFERROR(IF(C173="","",IF(INDEX(xyWattage_Table,MATCH(M173,'Fixture Identities'!$B$9:$B$997,0),2)="Exit Sign",8760,IF(VLOOKUP(C173,xySpace_Type_Details,8,FALSE)="TRM",INDEX('General Information'!$AF$17:$AG$28,11,MATCH(N173,'General Information'!$AF$16:$AG$16,0)),HLOOKUP(VLOOKUP(C173,xySpace_Type_Details,8,FALSE),'General Information'!$P$15:$AG$28,13,FALSE)))),"")</f>
        <v/>
      </c>
      <c r="U173" s="542" t="str">
        <f>IFERROR(IF(C173="","",IF(INDEX(xyWattage_Table,MATCH(M173,'Fixture Identities'!$B$9:$B$997,0),2)="Exit Sign",1,IF(VLOOKUP(C173,xySpace_Type_Details,8,FALSE)="TRM",INDEX('General Information'!$AF$17:$AG$28,12,MATCH(N173,'General Information'!$AF$16:$AG$16,0)),HLOOKUP(VLOOKUP(C173,xySpace_Type_Details,8,FALSE),'General Information'!$P$15:$AG$28,14,FALSE)))),"")</f>
        <v/>
      </c>
      <c r="V173" s="542" t="str">
        <f>IFERROR(VLOOKUP(INDEX(xySpace_Type_Details,MATCH($C173,'General Information'!$C$40:$C$60,0),12),Lookups!$L$8:$N$12,2,FALSE),"")</f>
        <v/>
      </c>
      <c r="W173" s="542" t="str">
        <f>IFERROR(VLOOKUP(INDEX(xySpace_Type_Details,MATCH($C173,'General Information'!$C$40:$C$60,0),12),Lookups!$L$8:$N$12,3,FALSE),"")</f>
        <v/>
      </c>
      <c r="Y173" s="542" t="str">
        <f>IFERROR(IF(C173="","",IF(INDEX(xyWattage_Table,MATCH(M173,'Fixture Identities'!$B$9:$B$997,0),2)="Exit Sign",0,IF(PRJ_Type="Retrofit",VLOOKUP(I173,xySVG_Factors,2,FALSE),IF(AND(PRJ_Type="New Construction",Inventory!C170="N"),VLOOKUP(VLOOKUP(Building_Type,xyLPD_BuildingArea,5,FALSE),xySVG_Factors_NC,3,FALSE),0)))),"")</f>
        <v/>
      </c>
      <c r="Z173" s="544" t="str">
        <f>IFERROR(IF(C173="","",IF(INDEX(xyWattage_Table,MATCH(M173,'Fixture Identities'!$B$9:$B$997,0),2)="Exit Sign",0,VLOOKUP(S173,xySVG_Factors,2,FALSE))),"")</f>
        <v/>
      </c>
      <c r="AA173" s="545" t="str">
        <f t="shared" si="73"/>
        <v/>
      </c>
      <c r="AB173" s="542" t="str">
        <f t="shared" si="74"/>
        <v/>
      </c>
      <c r="AC173" s="539" t="str">
        <f t="shared" si="75"/>
        <v/>
      </c>
      <c r="AD173" s="546" t="str">
        <f t="shared" si="76"/>
        <v/>
      </c>
      <c r="AE173" s="539" t="str">
        <f t="shared" si="77"/>
        <v/>
      </c>
      <c r="AF173" s="546" t="str">
        <f t="shared" si="78"/>
        <v/>
      </c>
      <c r="AG173" s="539" t="str">
        <f t="shared" si="79"/>
        <v/>
      </c>
      <c r="AH173" s="32">
        <f t="shared" si="60"/>
        <v>0</v>
      </c>
      <c r="AI173" s="32">
        <f t="shared" si="61"/>
        <v>0</v>
      </c>
      <c r="AJ173" s="32">
        <f t="shared" si="62"/>
        <v>0</v>
      </c>
      <c r="AK173" t="str">
        <f t="shared" si="63"/>
        <v/>
      </c>
      <c r="AL173" t="str">
        <f t="shared" si="64"/>
        <v/>
      </c>
      <c r="AM173" t="str">
        <f t="shared" si="65"/>
        <v/>
      </c>
      <c r="AO173" t="str">
        <f>IFERROR(VLOOKUP(M173,'Fixture Identities'!$B$9:$O$1045,14,FALSE),"")</f>
        <v/>
      </c>
      <c r="AP173" t="str">
        <f t="shared" si="59"/>
        <v/>
      </c>
    </row>
    <row r="174" spans="1:42">
      <c r="A174" s="71">
        <f t="shared" si="80"/>
        <v>0</v>
      </c>
      <c r="B174" s="513">
        <f t="shared" si="66"/>
        <v>162</v>
      </c>
      <c r="C174" s="530" t="str">
        <f>IF(Inventory!E171="","",Inventory!E171)</f>
        <v/>
      </c>
      <c r="D174" s="531">
        <f>IF(Inventory!D171="",0,Inventory!D171)</f>
        <v>0</v>
      </c>
      <c r="E174" s="532" t="str">
        <f>IF(Inventory!I171=0,"",Inventory!I171)</f>
        <v/>
      </c>
      <c r="F174" s="533" t="str">
        <f t="shared" si="67"/>
        <v/>
      </c>
      <c r="G174" s="534" t="str">
        <f>IF(Inventory!G171="","",Inventory!G171)</f>
        <v/>
      </c>
      <c r="H174" s="535" t="str">
        <f t="shared" si="68"/>
        <v/>
      </c>
      <c r="I174" s="536" t="str">
        <f>IF(Inventory!J171="","",Inventory!J171)</f>
        <v/>
      </c>
      <c r="J174" s="537" t="str">
        <f>IFERROR(IF(PRJ_Type="New Construction",IF(Inventory!C171="N",INDEX(xyLPD_BuildingArea,MATCH(Building_Type,Lookups!$F$37:$F$75,0),4),INDEX(xyLPD_SpaceBySpace,MATCH(INDEX(xyNCEx,MATCH(I174,yNCExArea,0),2),ySpace_by_Space_Type,0),2)),VLOOKUP(E174,xyWattage_Table,11,FALSE)),"")</f>
        <v/>
      </c>
      <c r="K174" s="538" t="str">
        <f>IFERROR(IF(AND(NC_Type="Building Area Method",Inventory!C171="N"),IF(ISERROR(INDEX('Usage Groups (&gt;120 MWh only)'!$N$8:$N$12,MATCH(C174,'Usage Groups (&gt;120 MWh only)'!$B$8:$B$12,0),1))=TRUE,SqFt/COUNTIFS(Inventory!$C$10:$C$1009,"N",$Q$13:$Q$1012,"&gt;=0"),INDEX('Usage Groups (&gt;120 MWh only)'!$N$8:$N$12,MATCH(C174,'Usage Groups (&gt;120 MWh only)'!$B$8:$B$12,0),1)/COUNTIF($C$13:$C$1012,C174)),IF(AND(NC_Type="Building Area Method",Inventory!C171="Y"),INDEX(xyNCEx,MATCH(I174,yNCExArea,0),3)/COUNTIF($I$13:$I$1012,I174),VLOOKUP(J174,xyWattage_Table,10,FALSE))),"")</f>
        <v/>
      </c>
      <c r="L174" s="539" t="str">
        <f t="shared" si="69"/>
        <v/>
      </c>
      <c r="M174" s="540">
        <f>IF(Inventory!N171="","",Inventory!N171)</f>
        <v>0</v>
      </c>
      <c r="N174" s="533" t="str">
        <f t="shared" si="70"/>
        <v/>
      </c>
      <c r="O174" s="534"/>
      <c r="P174" s="533" t="str">
        <f t="shared" si="71"/>
        <v/>
      </c>
      <c r="Q174" s="534" t="str">
        <f>IF(Inventory!L171="","",Inventory!L171)</f>
        <v/>
      </c>
      <c r="R174" s="535" t="str">
        <f t="shared" si="72"/>
        <v/>
      </c>
      <c r="S174" s="536" t="str">
        <f>IF(Inventory!O171="","",Inventory!O171)</f>
        <v/>
      </c>
      <c r="T174" s="541" t="str">
        <f>IFERROR(IF(C174="","",IF(INDEX(xyWattage_Table,MATCH(M174,'Fixture Identities'!$B$9:$B$997,0),2)="Exit Sign",8760,IF(VLOOKUP(C174,xySpace_Type_Details,8,FALSE)="TRM",INDEX('General Information'!$AF$17:$AG$28,11,MATCH(N174,'General Information'!$AF$16:$AG$16,0)),HLOOKUP(VLOOKUP(C174,xySpace_Type_Details,8,FALSE),'General Information'!$P$15:$AG$28,13,FALSE)))),"")</f>
        <v/>
      </c>
      <c r="U174" s="542" t="str">
        <f>IFERROR(IF(C174="","",IF(INDEX(xyWattage_Table,MATCH(M174,'Fixture Identities'!$B$9:$B$997,0),2)="Exit Sign",1,IF(VLOOKUP(C174,xySpace_Type_Details,8,FALSE)="TRM",INDEX('General Information'!$AF$17:$AG$28,12,MATCH(N174,'General Information'!$AF$16:$AG$16,0)),HLOOKUP(VLOOKUP(C174,xySpace_Type_Details,8,FALSE),'General Information'!$P$15:$AG$28,14,FALSE)))),"")</f>
        <v/>
      </c>
      <c r="V174" s="542" t="str">
        <f>IFERROR(VLOOKUP(INDEX(xySpace_Type_Details,MATCH($C174,'General Information'!$C$40:$C$60,0),12),Lookups!$L$8:$N$12,2,FALSE),"")</f>
        <v/>
      </c>
      <c r="W174" s="542" t="str">
        <f>IFERROR(VLOOKUP(INDEX(xySpace_Type_Details,MATCH($C174,'General Information'!$C$40:$C$60,0),12),Lookups!$L$8:$N$12,3,FALSE),"")</f>
        <v/>
      </c>
      <c r="Y174" s="542" t="str">
        <f>IFERROR(IF(C174="","",IF(INDEX(xyWattage_Table,MATCH(M174,'Fixture Identities'!$B$9:$B$997,0),2)="Exit Sign",0,IF(PRJ_Type="Retrofit",VLOOKUP(I174,xySVG_Factors,2,FALSE),IF(AND(PRJ_Type="New Construction",Inventory!C171="N"),VLOOKUP(VLOOKUP(Building_Type,xyLPD_BuildingArea,5,FALSE),xySVG_Factors_NC,3,FALSE),0)))),"")</f>
        <v/>
      </c>
      <c r="Z174" s="544" t="str">
        <f>IFERROR(IF(C174="","",IF(INDEX(xyWattage_Table,MATCH(M174,'Fixture Identities'!$B$9:$B$997,0),2)="Exit Sign",0,VLOOKUP(S174,xySVG_Factors,2,FALSE))),"")</f>
        <v/>
      </c>
      <c r="AA174" s="545" t="str">
        <f t="shared" si="73"/>
        <v/>
      </c>
      <c r="AB174" s="542" t="str">
        <f t="shared" si="74"/>
        <v/>
      </c>
      <c r="AC174" s="539" t="str">
        <f t="shared" si="75"/>
        <v/>
      </c>
      <c r="AD174" s="546" t="str">
        <f t="shared" si="76"/>
        <v/>
      </c>
      <c r="AE174" s="539" t="str">
        <f t="shared" si="77"/>
        <v/>
      </c>
      <c r="AF174" s="546" t="str">
        <f t="shared" si="78"/>
        <v/>
      </c>
      <c r="AG174" s="539" t="str">
        <f t="shared" si="79"/>
        <v/>
      </c>
      <c r="AH174" s="32">
        <f t="shared" si="60"/>
        <v>0</v>
      </c>
      <c r="AI174" s="32">
        <f t="shared" si="61"/>
        <v>0</v>
      </c>
      <c r="AJ174" s="32">
        <f t="shared" si="62"/>
        <v>0</v>
      </c>
      <c r="AK174" t="str">
        <f t="shared" si="63"/>
        <v/>
      </c>
      <c r="AL174" t="str">
        <f t="shared" si="64"/>
        <v/>
      </c>
      <c r="AM174" t="str">
        <f t="shared" si="65"/>
        <v/>
      </c>
      <c r="AO174" t="str">
        <f>IFERROR(VLOOKUP(M174,'Fixture Identities'!$B$9:$O$1045,14,FALSE),"")</f>
        <v/>
      </c>
      <c r="AP174" t="str">
        <f t="shared" si="59"/>
        <v/>
      </c>
    </row>
    <row r="175" spans="1:42">
      <c r="A175" s="71">
        <f t="shared" si="80"/>
        <v>0</v>
      </c>
      <c r="B175" s="513">
        <f t="shared" si="66"/>
        <v>163</v>
      </c>
      <c r="C175" s="530" t="str">
        <f>IF(Inventory!E172="","",Inventory!E172)</f>
        <v/>
      </c>
      <c r="D175" s="531">
        <f>IF(Inventory!D172="",0,Inventory!D172)</f>
        <v>0</v>
      </c>
      <c r="E175" s="532" t="str">
        <f>IF(Inventory!I172=0,"",Inventory!I172)</f>
        <v/>
      </c>
      <c r="F175" s="533" t="str">
        <f t="shared" si="67"/>
        <v/>
      </c>
      <c r="G175" s="534" t="str">
        <f>IF(Inventory!G172="","",Inventory!G172)</f>
        <v/>
      </c>
      <c r="H175" s="535" t="str">
        <f t="shared" si="68"/>
        <v/>
      </c>
      <c r="I175" s="536" t="str">
        <f>IF(Inventory!J172="","",Inventory!J172)</f>
        <v/>
      </c>
      <c r="J175" s="537" t="str">
        <f>IFERROR(IF(PRJ_Type="New Construction",IF(Inventory!C172="N",INDEX(xyLPD_BuildingArea,MATCH(Building_Type,Lookups!$F$37:$F$75,0),4),INDEX(xyLPD_SpaceBySpace,MATCH(INDEX(xyNCEx,MATCH(I175,yNCExArea,0),2),ySpace_by_Space_Type,0),2)),VLOOKUP(E175,xyWattage_Table,11,FALSE)),"")</f>
        <v/>
      </c>
      <c r="K175" s="538" t="str">
        <f>IFERROR(IF(AND(NC_Type="Building Area Method",Inventory!C172="N"),IF(ISERROR(INDEX('Usage Groups (&gt;120 MWh only)'!$N$8:$N$12,MATCH(C175,'Usage Groups (&gt;120 MWh only)'!$B$8:$B$12,0),1))=TRUE,SqFt/COUNTIFS(Inventory!$C$10:$C$1009,"N",$Q$13:$Q$1012,"&gt;=0"),INDEX('Usage Groups (&gt;120 MWh only)'!$N$8:$N$12,MATCH(C175,'Usage Groups (&gt;120 MWh only)'!$B$8:$B$12,0),1)/COUNTIF($C$13:$C$1012,C175)),IF(AND(NC_Type="Building Area Method",Inventory!C172="Y"),INDEX(xyNCEx,MATCH(I175,yNCExArea,0),3)/COUNTIF($I$13:$I$1012,I175),VLOOKUP(J175,xyWattage_Table,10,FALSE))),"")</f>
        <v/>
      </c>
      <c r="L175" s="539" t="str">
        <f t="shared" si="69"/>
        <v/>
      </c>
      <c r="M175" s="540">
        <f>IF(Inventory!N172="","",Inventory!N172)</f>
        <v>0</v>
      </c>
      <c r="N175" s="533" t="str">
        <f t="shared" si="70"/>
        <v/>
      </c>
      <c r="O175" s="534"/>
      <c r="P175" s="533" t="str">
        <f t="shared" si="71"/>
        <v/>
      </c>
      <c r="Q175" s="534" t="str">
        <f>IF(Inventory!L172="","",Inventory!L172)</f>
        <v/>
      </c>
      <c r="R175" s="535" t="str">
        <f t="shared" si="72"/>
        <v/>
      </c>
      <c r="S175" s="536" t="str">
        <f>IF(Inventory!O172="","",Inventory!O172)</f>
        <v/>
      </c>
      <c r="T175" s="541" t="str">
        <f>IFERROR(IF(C175="","",IF(INDEX(xyWattage_Table,MATCH(M175,'Fixture Identities'!$B$9:$B$997,0),2)="Exit Sign",8760,IF(VLOOKUP(C175,xySpace_Type_Details,8,FALSE)="TRM",INDEX('General Information'!$AF$17:$AG$28,11,MATCH(N175,'General Information'!$AF$16:$AG$16,0)),HLOOKUP(VLOOKUP(C175,xySpace_Type_Details,8,FALSE),'General Information'!$P$15:$AG$28,13,FALSE)))),"")</f>
        <v/>
      </c>
      <c r="U175" s="542" t="str">
        <f>IFERROR(IF(C175="","",IF(INDEX(xyWattage_Table,MATCH(M175,'Fixture Identities'!$B$9:$B$997,0),2)="Exit Sign",1,IF(VLOOKUP(C175,xySpace_Type_Details,8,FALSE)="TRM",INDEX('General Information'!$AF$17:$AG$28,12,MATCH(N175,'General Information'!$AF$16:$AG$16,0)),HLOOKUP(VLOOKUP(C175,xySpace_Type_Details,8,FALSE),'General Information'!$P$15:$AG$28,14,FALSE)))),"")</f>
        <v/>
      </c>
      <c r="V175" s="542" t="str">
        <f>IFERROR(VLOOKUP(INDEX(xySpace_Type_Details,MATCH($C175,'General Information'!$C$40:$C$60,0),12),Lookups!$L$8:$N$12,2,FALSE),"")</f>
        <v/>
      </c>
      <c r="W175" s="542" t="str">
        <f>IFERROR(VLOOKUP(INDEX(xySpace_Type_Details,MATCH($C175,'General Information'!$C$40:$C$60,0),12),Lookups!$L$8:$N$12,3,FALSE),"")</f>
        <v/>
      </c>
      <c r="Y175" s="542" t="str">
        <f>IFERROR(IF(C175="","",IF(INDEX(xyWattage_Table,MATCH(M175,'Fixture Identities'!$B$9:$B$997,0),2)="Exit Sign",0,IF(PRJ_Type="Retrofit",VLOOKUP(I175,xySVG_Factors,2,FALSE),IF(AND(PRJ_Type="New Construction",Inventory!C172="N"),VLOOKUP(VLOOKUP(Building_Type,xyLPD_BuildingArea,5,FALSE),xySVG_Factors_NC,3,FALSE),0)))),"")</f>
        <v/>
      </c>
      <c r="Z175" s="544" t="str">
        <f>IFERROR(IF(C175="","",IF(INDEX(xyWattage_Table,MATCH(M175,'Fixture Identities'!$B$9:$B$997,0),2)="Exit Sign",0,VLOOKUP(S175,xySVG_Factors,2,FALSE))),"")</f>
        <v/>
      </c>
      <c r="AA175" s="545" t="str">
        <f t="shared" si="73"/>
        <v/>
      </c>
      <c r="AB175" s="542" t="str">
        <f t="shared" si="74"/>
        <v/>
      </c>
      <c r="AC175" s="539" t="str">
        <f t="shared" si="75"/>
        <v/>
      </c>
      <c r="AD175" s="546" t="str">
        <f t="shared" si="76"/>
        <v/>
      </c>
      <c r="AE175" s="539" t="str">
        <f t="shared" si="77"/>
        <v/>
      </c>
      <c r="AF175" s="546" t="str">
        <f t="shared" si="78"/>
        <v/>
      </c>
      <c r="AG175" s="539" t="str">
        <f t="shared" si="79"/>
        <v/>
      </c>
      <c r="AH175" s="32">
        <f t="shared" si="60"/>
        <v>0</v>
      </c>
      <c r="AI175" s="32">
        <f t="shared" si="61"/>
        <v>0</v>
      </c>
      <c r="AJ175" s="32">
        <f t="shared" si="62"/>
        <v>0</v>
      </c>
      <c r="AK175" t="str">
        <f t="shared" si="63"/>
        <v/>
      </c>
      <c r="AL175" t="str">
        <f t="shared" si="64"/>
        <v/>
      </c>
      <c r="AM175" t="str">
        <f t="shared" si="65"/>
        <v/>
      </c>
      <c r="AO175" t="str">
        <f>IFERROR(VLOOKUP(M175,'Fixture Identities'!$B$9:$O$1045,14,FALSE),"")</f>
        <v/>
      </c>
      <c r="AP175" t="str">
        <f t="shared" si="59"/>
        <v/>
      </c>
    </row>
    <row r="176" spans="1:42">
      <c r="A176" s="71">
        <f t="shared" si="80"/>
        <v>0</v>
      </c>
      <c r="B176" s="513">
        <f t="shared" si="66"/>
        <v>164</v>
      </c>
      <c r="C176" s="530" t="str">
        <f>IF(Inventory!E173="","",Inventory!E173)</f>
        <v/>
      </c>
      <c r="D176" s="531">
        <f>IF(Inventory!D173="",0,Inventory!D173)</f>
        <v>0</v>
      </c>
      <c r="E176" s="532" t="str">
        <f>IF(Inventory!I173=0,"",Inventory!I173)</f>
        <v/>
      </c>
      <c r="F176" s="533" t="str">
        <f t="shared" si="67"/>
        <v/>
      </c>
      <c r="G176" s="534" t="str">
        <f>IF(Inventory!G173="","",Inventory!G173)</f>
        <v/>
      </c>
      <c r="H176" s="535" t="str">
        <f t="shared" si="68"/>
        <v/>
      </c>
      <c r="I176" s="536" t="str">
        <f>IF(Inventory!J173="","",Inventory!J173)</f>
        <v/>
      </c>
      <c r="J176" s="537" t="str">
        <f>IFERROR(IF(PRJ_Type="New Construction",IF(Inventory!C173="N",INDEX(xyLPD_BuildingArea,MATCH(Building_Type,Lookups!$F$37:$F$75,0),4),INDEX(xyLPD_SpaceBySpace,MATCH(INDEX(xyNCEx,MATCH(I176,yNCExArea,0),2),ySpace_by_Space_Type,0),2)),VLOOKUP(E176,xyWattage_Table,11,FALSE)),"")</f>
        <v/>
      </c>
      <c r="K176" s="538" t="str">
        <f>IFERROR(IF(AND(NC_Type="Building Area Method",Inventory!C173="N"),IF(ISERROR(INDEX('Usage Groups (&gt;120 MWh only)'!$N$8:$N$12,MATCH(C176,'Usage Groups (&gt;120 MWh only)'!$B$8:$B$12,0),1))=TRUE,SqFt/COUNTIFS(Inventory!$C$10:$C$1009,"N",$Q$13:$Q$1012,"&gt;=0"),INDEX('Usage Groups (&gt;120 MWh only)'!$N$8:$N$12,MATCH(C176,'Usage Groups (&gt;120 MWh only)'!$B$8:$B$12,0),1)/COUNTIF($C$13:$C$1012,C176)),IF(AND(NC_Type="Building Area Method",Inventory!C173="Y"),INDEX(xyNCEx,MATCH(I176,yNCExArea,0),3)/COUNTIF($I$13:$I$1012,I176),VLOOKUP(J176,xyWattage_Table,10,FALSE))),"")</f>
        <v/>
      </c>
      <c r="L176" s="539" t="str">
        <f t="shared" si="69"/>
        <v/>
      </c>
      <c r="M176" s="540">
        <f>IF(Inventory!N173="","",Inventory!N173)</f>
        <v>0</v>
      </c>
      <c r="N176" s="533" t="str">
        <f t="shared" si="70"/>
        <v/>
      </c>
      <c r="O176" s="534"/>
      <c r="P176" s="533" t="str">
        <f t="shared" si="71"/>
        <v/>
      </c>
      <c r="Q176" s="534" t="str">
        <f>IF(Inventory!L173="","",Inventory!L173)</f>
        <v/>
      </c>
      <c r="R176" s="535" t="str">
        <f t="shared" si="72"/>
        <v/>
      </c>
      <c r="S176" s="536" t="str">
        <f>IF(Inventory!O173="","",Inventory!O173)</f>
        <v/>
      </c>
      <c r="T176" s="541" t="str">
        <f>IFERROR(IF(C176="","",IF(INDEX(xyWattage_Table,MATCH(M176,'Fixture Identities'!$B$9:$B$997,0),2)="Exit Sign",8760,IF(VLOOKUP(C176,xySpace_Type_Details,8,FALSE)="TRM",INDEX('General Information'!$AF$17:$AG$28,11,MATCH(N176,'General Information'!$AF$16:$AG$16,0)),HLOOKUP(VLOOKUP(C176,xySpace_Type_Details,8,FALSE),'General Information'!$P$15:$AG$28,13,FALSE)))),"")</f>
        <v/>
      </c>
      <c r="U176" s="542" t="str">
        <f>IFERROR(IF(C176="","",IF(INDEX(xyWattage_Table,MATCH(M176,'Fixture Identities'!$B$9:$B$997,0),2)="Exit Sign",1,IF(VLOOKUP(C176,xySpace_Type_Details,8,FALSE)="TRM",INDEX('General Information'!$AF$17:$AG$28,12,MATCH(N176,'General Information'!$AF$16:$AG$16,0)),HLOOKUP(VLOOKUP(C176,xySpace_Type_Details,8,FALSE),'General Information'!$P$15:$AG$28,14,FALSE)))),"")</f>
        <v/>
      </c>
      <c r="V176" s="542" t="str">
        <f>IFERROR(VLOOKUP(INDEX(xySpace_Type_Details,MATCH($C176,'General Information'!$C$40:$C$60,0),12),Lookups!$L$8:$N$12,2,FALSE),"")</f>
        <v/>
      </c>
      <c r="W176" s="542" t="str">
        <f>IFERROR(VLOOKUP(INDEX(xySpace_Type_Details,MATCH($C176,'General Information'!$C$40:$C$60,0),12),Lookups!$L$8:$N$12,3,FALSE),"")</f>
        <v/>
      </c>
      <c r="Y176" s="542" t="str">
        <f>IFERROR(IF(C176="","",IF(INDEX(xyWattage_Table,MATCH(M176,'Fixture Identities'!$B$9:$B$997,0),2)="Exit Sign",0,IF(PRJ_Type="Retrofit",VLOOKUP(I176,xySVG_Factors,2,FALSE),IF(AND(PRJ_Type="New Construction",Inventory!C173="N"),VLOOKUP(VLOOKUP(Building_Type,xyLPD_BuildingArea,5,FALSE),xySVG_Factors_NC,3,FALSE),0)))),"")</f>
        <v/>
      </c>
      <c r="Z176" s="544" t="str">
        <f>IFERROR(IF(C176="","",IF(INDEX(xyWattage_Table,MATCH(M176,'Fixture Identities'!$B$9:$B$997,0),2)="Exit Sign",0,VLOOKUP(S176,xySVG_Factors,2,FALSE))),"")</f>
        <v/>
      </c>
      <c r="AA176" s="545" t="str">
        <f t="shared" si="73"/>
        <v/>
      </c>
      <c r="AB176" s="542" t="str">
        <f t="shared" si="74"/>
        <v/>
      </c>
      <c r="AC176" s="539" t="str">
        <f t="shared" si="75"/>
        <v/>
      </c>
      <c r="AD176" s="546" t="str">
        <f t="shared" si="76"/>
        <v/>
      </c>
      <c r="AE176" s="539" t="str">
        <f t="shared" si="77"/>
        <v/>
      </c>
      <c r="AF176" s="546" t="str">
        <f t="shared" si="78"/>
        <v/>
      </c>
      <c r="AG176" s="539" t="str">
        <f t="shared" si="79"/>
        <v/>
      </c>
      <c r="AH176" s="32">
        <f t="shared" si="60"/>
        <v>0</v>
      </c>
      <c r="AI176" s="32">
        <f t="shared" si="61"/>
        <v>0</v>
      </c>
      <c r="AJ176" s="32">
        <f t="shared" si="62"/>
        <v>0</v>
      </c>
      <c r="AK176" t="str">
        <f t="shared" si="63"/>
        <v/>
      </c>
      <c r="AL176" t="str">
        <f t="shared" si="64"/>
        <v/>
      </c>
      <c r="AM176" t="str">
        <f t="shared" si="65"/>
        <v/>
      </c>
      <c r="AO176" t="str">
        <f>IFERROR(VLOOKUP(M176,'Fixture Identities'!$B$9:$O$1045,14,FALSE),"")</f>
        <v/>
      </c>
      <c r="AP176" t="str">
        <f t="shared" si="59"/>
        <v/>
      </c>
    </row>
    <row r="177" spans="1:42">
      <c r="A177" s="71">
        <f t="shared" si="80"/>
        <v>0</v>
      </c>
      <c r="B177" s="513">
        <f t="shared" si="66"/>
        <v>165</v>
      </c>
      <c r="C177" s="530" t="str">
        <f>IF(Inventory!E174="","",Inventory!E174)</f>
        <v/>
      </c>
      <c r="D177" s="531">
        <f>IF(Inventory!D174="",0,Inventory!D174)</f>
        <v>0</v>
      </c>
      <c r="E177" s="532" t="str">
        <f>IF(Inventory!I174=0,"",Inventory!I174)</f>
        <v/>
      </c>
      <c r="F177" s="533" t="str">
        <f t="shared" si="67"/>
        <v/>
      </c>
      <c r="G177" s="534" t="str">
        <f>IF(Inventory!G174="","",Inventory!G174)</f>
        <v/>
      </c>
      <c r="H177" s="535" t="str">
        <f t="shared" si="68"/>
        <v/>
      </c>
      <c r="I177" s="536" t="str">
        <f>IF(Inventory!J174="","",Inventory!J174)</f>
        <v/>
      </c>
      <c r="J177" s="537" t="str">
        <f>IFERROR(IF(PRJ_Type="New Construction",IF(Inventory!C174="N",INDEX(xyLPD_BuildingArea,MATCH(Building_Type,Lookups!$F$37:$F$75,0),4),INDEX(xyLPD_SpaceBySpace,MATCH(INDEX(xyNCEx,MATCH(I177,yNCExArea,0),2),ySpace_by_Space_Type,0),2)),VLOOKUP(E177,xyWattage_Table,11,FALSE)),"")</f>
        <v/>
      </c>
      <c r="K177" s="538" t="str">
        <f>IFERROR(IF(AND(NC_Type="Building Area Method",Inventory!C174="N"),IF(ISERROR(INDEX('Usage Groups (&gt;120 MWh only)'!$N$8:$N$12,MATCH(C177,'Usage Groups (&gt;120 MWh only)'!$B$8:$B$12,0),1))=TRUE,SqFt/COUNTIFS(Inventory!$C$10:$C$1009,"N",$Q$13:$Q$1012,"&gt;=0"),INDEX('Usage Groups (&gt;120 MWh only)'!$N$8:$N$12,MATCH(C177,'Usage Groups (&gt;120 MWh only)'!$B$8:$B$12,0),1)/COUNTIF($C$13:$C$1012,C177)),IF(AND(NC_Type="Building Area Method",Inventory!C174="Y"),INDEX(xyNCEx,MATCH(I177,yNCExArea,0),3)/COUNTIF($I$13:$I$1012,I177),VLOOKUP(J177,xyWattage_Table,10,FALSE))),"")</f>
        <v/>
      </c>
      <c r="L177" s="539" t="str">
        <f t="shared" si="69"/>
        <v/>
      </c>
      <c r="M177" s="540">
        <f>IF(Inventory!N174="","",Inventory!N174)</f>
        <v>0</v>
      </c>
      <c r="N177" s="533" t="str">
        <f t="shared" si="70"/>
        <v/>
      </c>
      <c r="O177" s="534"/>
      <c r="P177" s="533" t="str">
        <f t="shared" si="71"/>
        <v/>
      </c>
      <c r="Q177" s="534" t="str">
        <f>IF(Inventory!L174="","",Inventory!L174)</f>
        <v/>
      </c>
      <c r="R177" s="535" t="str">
        <f t="shared" si="72"/>
        <v/>
      </c>
      <c r="S177" s="536" t="str">
        <f>IF(Inventory!O174="","",Inventory!O174)</f>
        <v/>
      </c>
      <c r="T177" s="541" t="str">
        <f>IFERROR(IF(C177="","",IF(INDEX(xyWattage_Table,MATCH(M177,'Fixture Identities'!$B$9:$B$997,0),2)="Exit Sign",8760,IF(VLOOKUP(C177,xySpace_Type_Details,8,FALSE)="TRM",INDEX('General Information'!$AF$17:$AG$28,11,MATCH(N177,'General Information'!$AF$16:$AG$16,0)),HLOOKUP(VLOOKUP(C177,xySpace_Type_Details,8,FALSE),'General Information'!$P$15:$AG$28,13,FALSE)))),"")</f>
        <v/>
      </c>
      <c r="U177" s="542" t="str">
        <f>IFERROR(IF(C177="","",IF(INDEX(xyWattage_Table,MATCH(M177,'Fixture Identities'!$B$9:$B$997,0),2)="Exit Sign",1,IF(VLOOKUP(C177,xySpace_Type_Details,8,FALSE)="TRM",INDEX('General Information'!$AF$17:$AG$28,12,MATCH(N177,'General Information'!$AF$16:$AG$16,0)),HLOOKUP(VLOOKUP(C177,xySpace_Type_Details,8,FALSE),'General Information'!$P$15:$AG$28,14,FALSE)))),"")</f>
        <v/>
      </c>
      <c r="V177" s="542" t="str">
        <f>IFERROR(VLOOKUP(INDEX(xySpace_Type_Details,MATCH($C177,'General Information'!$C$40:$C$60,0),12),Lookups!$L$8:$N$12,2,FALSE),"")</f>
        <v/>
      </c>
      <c r="W177" s="542" t="str">
        <f>IFERROR(VLOOKUP(INDEX(xySpace_Type_Details,MATCH($C177,'General Information'!$C$40:$C$60,0),12),Lookups!$L$8:$N$12,3,FALSE),"")</f>
        <v/>
      </c>
      <c r="Y177" s="542" t="str">
        <f>IFERROR(IF(C177="","",IF(INDEX(xyWattage_Table,MATCH(M177,'Fixture Identities'!$B$9:$B$997,0),2)="Exit Sign",0,IF(PRJ_Type="Retrofit",VLOOKUP(I177,xySVG_Factors,2,FALSE),IF(AND(PRJ_Type="New Construction",Inventory!C174="N"),VLOOKUP(VLOOKUP(Building_Type,xyLPD_BuildingArea,5,FALSE),xySVG_Factors_NC,3,FALSE),0)))),"")</f>
        <v/>
      </c>
      <c r="Z177" s="544" t="str">
        <f>IFERROR(IF(C177="","",IF(INDEX(xyWattage_Table,MATCH(M177,'Fixture Identities'!$B$9:$B$997,0),2)="Exit Sign",0,VLOOKUP(S177,xySVG_Factors,2,FALSE))),"")</f>
        <v/>
      </c>
      <c r="AA177" s="545" t="str">
        <f t="shared" si="73"/>
        <v/>
      </c>
      <c r="AB177" s="542" t="str">
        <f t="shared" si="74"/>
        <v/>
      </c>
      <c r="AC177" s="539" t="str">
        <f t="shared" si="75"/>
        <v/>
      </c>
      <c r="AD177" s="546" t="str">
        <f t="shared" si="76"/>
        <v/>
      </c>
      <c r="AE177" s="539" t="str">
        <f t="shared" si="77"/>
        <v/>
      </c>
      <c r="AF177" s="546" t="str">
        <f t="shared" si="78"/>
        <v/>
      </c>
      <c r="AG177" s="539" t="str">
        <f t="shared" si="79"/>
        <v/>
      </c>
      <c r="AH177" s="32">
        <f t="shared" si="60"/>
        <v>0</v>
      </c>
      <c r="AI177" s="32">
        <f t="shared" si="61"/>
        <v>0</v>
      </c>
      <c r="AJ177" s="32">
        <f t="shared" si="62"/>
        <v>0</v>
      </c>
      <c r="AK177" t="str">
        <f t="shared" si="63"/>
        <v/>
      </c>
      <c r="AL177" t="str">
        <f t="shared" si="64"/>
        <v/>
      </c>
      <c r="AM177" t="str">
        <f t="shared" si="65"/>
        <v/>
      </c>
      <c r="AO177" t="str">
        <f>IFERROR(VLOOKUP(M177,'Fixture Identities'!$B$9:$O$1045,14,FALSE),"")</f>
        <v/>
      </c>
      <c r="AP177" t="str">
        <f t="shared" si="59"/>
        <v/>
      </c>
    </row>
    <row r="178" spans="1:42">
      <c r="A178" s="71">
        <f t="shared" si="80"/>
        <v>0</v>
      </c>
      <c r="B178" s="513">
        <f t="shared" si="66"/>
        <v>166</v>
      </c>
      <c r="C178" s="530" t="str">
        <f>IF(Inventory!E175="","",Inventory!E175)</f>
        <v/>
      </c>
      <c r="D178" s="531">
        <f>IF(Inventory!D175="",0,Inventory!D175)</f>
        <v>0</v>
      </c>
      <c r="E178" s="532" t="str">
        <f>IF(Inventory!I175=0,"",Inventory!I175)</f>
        <v/>
      </c>
      <c r="F178" s="533" t="str">
        <f t="shared" si="67"/>
        <v/>
      </c>
      <c r="G178" s="534" t="str">
        <f>IF(Inventory!G175="","",Inventory!G175)</f>
        <v/>
      </c>
      <c r="H178" s="535" t="str">
        <f t="shared" si="68"/>
        <v/>
      </c>
      <c r="I178" s="536" t="str">
        <f>IF(Inventory!J175="","",Inventory!J175)</f>
        <v/>
      </c>
      <c r="J178" s="537" t="str">
        <f>IFERROR(IF(PRJ_Type="New Construction",IF(Inventory!C175="N",INDEX(xyLPD_BuildingArea,MATCH(Building_Type,Lookups!$F$37:$F$75,0),4),INDEX(xyLPD_SpaceBySpace,MATCH(INDEX(xyNCEx,MATCH(I178,yNCExArea,0),2),ySpace_by_Space_Type,0),2)),VLOOKUP(E178,xyWattage_Table,11,FALSE)),"")</f>
        <v/>
      </c>
      <c r="K178" s="538" t="str">
        <f>IFERROR(IF(AND(NC_Type="Building Area Method",Inventory!C175="N"),IF(ISERROR(INDEX('Usage Groups (&gt;120 MWh only)'!$N$8:$N$12,MATCH(C178,'Usage Groups (&gt;120 MWh only)'!$B$8:$B$12,0),1))=TRUE,SqFt/COUNTIFS(Inventory!$C$10:$C$1009,"N",$Q$13:$Q$1012,"&gt;=0"),INDEX('Usage Groups (&gt;120 MWh only)'!$N$8:$N$12,MATCH(C178,'Usage Groups (&gt;120 MWh only)'!$B$8:$B$12,0),1)/COUNTIF($C$13:$C$1012,C178)),IF(AND(NC_Type="Building Area Method",Inventory!C175="Y"),INDEX(xyNCEx,MATCH(I178,yNCExArea,0),3)/COUNTIF($I$13:$I$1012,I178),VLOOKUP(J178,xyWattage_Table,10,FALSE))),"")</f>
        <v/>
      </c>
      <c r="L178" s="539" t="str">
        <f t="shared" si="69"/>
        <v/>
      </c>
      <c r="M178" s="540">
        <f>IF(Inventory!N175="","",Inventory!N175)</f>
        <v>0</v>
      </c>
      <c r="N178" s="533" t="str">
        <f t="shared" si="70"/>
        <v/>
      </c>
      <c r="O178" s="534"/>
      <c r="P178" s="533" t="str">
        <f t="shared" si="71"/>
        <v/>
      </c>
      <c r="Q178" s="534" t="str">
        <f>IF(Inventory!L175="","",Inventory!L175)</f>
        <v/>
      </c>
      <c r="R178" s="535" t="str">
        <f t="shared" si="72"/>
        <v/>
      </c>
      <c r="S178" s="536" t="str">
        <f>IF(Inventory!O175="","",Inventory!O175)</f>
        <v/>
      </c>
      <c r="T178" s="541" t="str">
        <f>IFERROR(IF(C178="","",IF(INDEX(xyWattage_Table,MATCH(M178,'Fixture Identities'!$B$9:$B$997,0),2)="Exit Sign",8760,IF(VLOOKUP(C178,xySpace_Type_Details,8,FALSE)="TRM",INDEX('General Information'!$AF$17:$AG$28,11,MATCH(N178,'General Information'!$AF$16:$AG$16,0)),HLOOKUP(VLOOKUP(C178,xySpace_Type_Details,8,FALSE),'General Information'!$P$15:$AG$28,13,FALSE)))),"")</f>
        <v/>
      </c>
      <c r="U178" s="542" t="str">
        <f>IFERROR(IF(C178="","",IF(INDEX(xyWattage_Table,MATCH(M178,'Fixture Identities'!$B$9:$B$997,0),2)="Exit Sign",1,IF(VLOOKUP(C178,xySpace_Type_Details,8,FALSE)="TRM",INDEX('General Information'!$AF$17:$AG$28,12,MATCH(N178,'General Information'!$AF$16:$AG$16,0)),HLOOKUP(VLOOKUP(C178,xySpace_Type_Details,8,FALSE),'General Information'!$P$15:$AG$28,14,FALSE)))),"")</f>
        <v/>
      </c>
      <c r="V178" s="542" t="str">
        <f>IFERROR(VLOOKUP(INDEX(xySpace_Type_Details,MATCH($C178,'General Information'!$C$40:$C$60,0),12),Lookups!$L$8:$N$12,2,FALSE),"")</f>
        <v/>
      </c>
      <c r="W178" s="542" t="str">
        <f>IFERROR(VLOOKUP(INDEX(xySpace_Type_Details,MATCH($C178,'General Information'!$C$40:$C$60,0),12),Lookups!$L$8:$N$12,3,FALSE),"")</f>
        <v/>
      </c>
      <c r="Y178" s="542" t="str">
        <f>IFERROR(IF(C178="","",IF(INDEX(xyWattage_Table,MATCH(M178,'Fixture Identities'!$B$9:$B$997,0),2)="Exit Sign",0,IF(PRJ_Type="Retrofit",VLOOKUP(I178,xySVG_Factors,2,FALSE),IF(AND(PRJ_Type="New Construction",Inventory!C175="N"),VLOOKUP(VLOOKUP(Building_Type,xyLPD_BuildingArea,5,FALSE),xySVG_Factors_NC,3,FALSE),0)))),"")</f>
        <v/>
      </c>
      <c r="Z178" s="544" t="str">
        <f>IFERROR(IF(C178="","",IF(INDEX(xyWattage_Table,MATCH(M178,'Fixture Identities'!$B$9:$B$997,0),2)="Exit Sign",0,VLOOKUP(S178,xySVG_Factors,2,FALSE))),"")</f>
        <v/>
      </c>
      <c r="AA178" s="545" t="str">
        <f t="shared" si="73"/>
        <v/>
      </c>
      <c r="AB178" s="542" t="str">
        <f t="shared" si="74"/>
        <v/>
      </c>
      <c r="AC178" s="539" t="str">
        <f t="shared" si="75"/>
        <v/>
      </c>
      <c r="AD178" s="546" t="str">
        <f t="shared" si="76"/>
        <v/>
      </c>
      <c r="AE178" s="539" t="str">
        <f t="shared" si="77"/>
        <v/>
      </c>
      <c r="AF178" s="546" t="str">
        <f t="shared" si="78"/>
        <v/>
      </c>
      <c r="AG178" s="539" t="str">
        <f t="shared" si="79"/>
        <v/>
      </c>
      <c r="AH178" s="32">
        <f t="shared" si="60"/>
        <v>0</v>
      </c>
      <c r="AI178" s="32">
        <f t="shared" si="61"/>
        <v>0</v>
      </c>
      <c r="AJ178" s="32">
        <f t="shared" si="62"/>
        <v>0</v>
      </c>
      <c r="AK178" t="str">
        <f t="shared" si="63"/>
        <v/>
      </c>
      <c r="AL178" t="str">
        <f t="shared" si="64"/>
        <v/>
      </c>
      <c r="AM178" t="str">
        <f t="shared" si="65"/>
        <v/>
      </c>
      <c r="AO178" t="str">
        <f>IFERROR(VLOOKUP(M178,'Fixture Identities'!$B$9:$O$1045,14,FALSE),"")</f>
        <v/>
      </c>
      <c r="AP178" t="str">
        <f t="shared" si="59"/>
        <v/>
      </c>
    </row>
    <row r="179" spans="1:42">
      <c r="A179" s="71">
        <f t="shared" si="80"/>
        <v>0</v>
      </c>
      <c r="B179" s="513">
        <f t="shared" si="66"/>
        <v>167</v>
      </c>
      <c r="C179" s="530" t="str">
        <f>IF(Inventory!E176="","",Inventory!E176)</f>
        <v/>
      </c>
      <c r="D179" s="531">
        <f>IF(Inventory!D176="",0,Inventory!D176)</f>
        <v>0</v>
      </c>
      <c r="E179" s="532" t="str">
        <f>IF(Inventory!I176=0,"",Inventory!I176)</f>
        <v/>
      </c>
      <c r="F179" s="533" t="str">
        <f t="shared" si="67"/>
        <v/>
      </c>
      <c r="G179" s="534" t="str">
        <f>IF(Inventory!G176="","",Inventory!G176)</f>
        <v/>
      </c>
      <c r="H179" s="535" t="str">
        <f t="shared" si="68"/>
        <v/>
      </c>
      <c r="I179" s="536" t="str">
        <f>IF(Inventory!J176="","",Inventory!J176)</f>
        <v/>
      </c>
      <c r="J179" s="537" t="str">
        <f>IFERROR(IF(PRJ_Type="New Construction",IF(Inventory!C176="N",INDEX(xyLPD_BuildingArea,MATCH(Building_Type,Lookups!$F$37:$F$75,0),4),INDEX(xyLPD_SpaceBySpace,MATCH(INDEX(xyNCEx,MATCH(I179,yNCExArea,0),2),ySpace_by_Space_Type,0),2)),VLOOKUP(E179,xyWattage_Table,11,FALSE)),"")</f>
        <v/>
      </c>
      <c r="K179" s="538" t="str">
        <f>IFERROR(IF(AND(NC_Type="Building Area Method",Inventory!C176="N"),IF(ISERROR(INDEX('Usage Groups (&gt;120 MWh only)'!$N$8:$N$12,MATCH(C179,'Usage Groups (&gt;120 MWh only)'!$B$8:$B$12,0),1))=TRUE,SqFt/COUNTIFS(Inventory!$C$10:$C$1009,"N",$Q$13:$Q$1012,"&gt;=0"),INDEX('Usage Groups (&gt;120 MWh only)'!$N$8:$N$12,MATCH(C179,'Usage Groups (&gt;120 MWh only)'!$B$8:$B$12,0),1)/COUNTIF($C$13:$C$1012,C179)),IF(AND(NC_Type="Building Area Method",Inventory!C176="Y"),INDEX(xyNCEx,MATCH(I179,yNCExArea,0),3)/COUNTIF($I$13:$I$1012,I179),VLOOKUP(J179,xyWattage_Table,10,FALSE))),"")</f>
        <v/>
      </c>
      <c r="L179" s="539" t="str">
        <f t="shared" si="69"/>
        <v/>
      </c>
      <c r="M179" s="540">
        <f>IF(Inventory!N176="","",Inventory!N176)</f>
        <v>0</v>
      </c>
      <c r="N179" s="533" t="str">
        <f t="shared" si="70"/>
        <v/>
      </c>
      <c r="O179" s="534"/>
      <c r="P179" s="533" t="str">
        <f t="shared" si="71"/>
        <v/>
      </c>
      <c r="Q179" s="534" t="str">
        <f>IF(Inventory!L176="","",Inventory!L176)</f>
        <v/>
      </c>
      <c r="R179" s="535" t="str">
        <f t="shared" si="72"/>
        <v/>
      </c>
      <c r="S179" s="536" t="str">
        <f>IF(Inventory!O176="","",Inventory!O176)</f>
        <v/>
      </c>
      <c r="T179" s="541" t="str">
        <f>IFERROR(IF(C179="","",IF(INDEX(xyWattage_Table,MATCH(M179,'Fixture Identities'!$B$9:$B$997,0),2)="Exit Sign",8760,IF(VLOOKUP(C179,xySpace_Type_Details,8,FALSE)="TRM",INDEX('General Information'!$AF$17:$AG$28,11,MATCH(N179,'General Information'!$AF$16:$AG$16,0)),HLOOKUP(VLOOKUP(C179,xySpace_Type_Details,8,FALSE),'General Information'!$P$15:$AG$28,13,FALSE)))),"")</f>
        <v/>
      </c>
      <c r="U179" s="542" t="str">
        <f>IFERROR(IF(C179="","",IF(INDEX(xyWattage_Table,MATCH(M179,'Fixture Identities'!$B$9:$B$997,0),2)="Exit Sign",1,IF(VLOOKUP(C179,xySpace_Type_Details,8,FALSE)="TRM",INDEX('General Information'!$AF$17:$AG$28,12,MATCH(N179,'General Information'!$AF$16:$AG$16,0)),HLOOKUP(VLOOKUP(C179,xySpace_Type_Details,8,FALSE),'General Information'!$P$15:$AG$28,14,FALSE)))),"")</f>
        <v/>
      </c>
      <c r="V179" s="542" t="str">
        <f>IFERROR(VLOOKUP(INDEX(xySpace_Type_Details,MATCH($C179,'General Information'!$C$40:$C$60,0),12),Lookups!$L$8:$N$12,2,FALSE),"")</f>
        <v/>
      </c>
      <c r="W179" s="542" t="str">
        <f>IFERROR(VLOOKUP(INDEX(xySpace_Type_Details,MATCH($C179,'General Information'!$C$40:$C$60,0),12),Lookups!$L$8:$N$12,3,FALSE),"")</f>
        <v/>
      </c>
      <c r="Y179" s="542" t="str">
        <f>IFERROR(IF(C179="","",IF(INDEX(xyWattage_Table,MATCH(M179,'Fixture Identities'!$B$9:$B$997,0),2)="Exit Sign",0,IF(PRJ_Type="Retrofit",VLOOKUP(I179,xySVG_Factors,2,FALSE),IF(AND(PRJ_Type="New Construction",Inventory!C176="N"),VLOOKUP(VLOOKUP(Building_Type,xyLPD_BuildingArea,5,FALSE),xySVG_Factors_NC,3,FALSE),0)))),"")</f>
        <v/>
      </c>
      <c r="Z179" s="544" t="str">
        <f>IFERROR(IF(C179="","",IF(INDEX(xyWattage_Table,MATCH(M179,'Fixture Identities'!$B$9:$B$997,0),2)="Exit Sign",0,VLOOKUP(S179,xySVG_Factors,2,FALSE))),"")</f>
        <v/>
      </c>
      <c r="AA179" s="545" t="str">
        <f t="shared" si="73"/>
        <v/>
      </c>
      <c r="AB179" s="542" t="str">
        <f t="shared" si="74"/>
        <v/>
      </c>
      <c r="AC179" s="539" t="str">
        <f t="shared" si="75"/>
        <v/>
      </c>
      <c r="AD179" s="546" t="str">
        <f t="shared" si="76"/>
        <v/>
      </c>
      <c r="AE179" s="539" t="str">
        <f t="shared" si="77"/>
        <v/>
      </c>
      <c r="AF179" s="546" t="str">
        <f t="shared" si="78"/>
        <v/>
      </c>
      <c r="AG179" s="539" t="str">
        <f t="shared" si="79"/>
        <v/>
      </c>
      <c r="AH179" s="32">
        <f t="shared" si="60"/>
        <v>0</v>
      </c>
      <c r="AI179" s="32">
        <f t="shared" si="61"/>
        <v>0</v>
      </c>
      <c r="AJ179" s="32">
        <f t="shared" si="62"/>
        <v>0</v>
      </c>
      <c r="AK179" t="str">
        <f t="shared" si="63"/>
        <v/>
      </c>
      <c r="AL179" t="str">
        <f t="shared" si="64"/>
        <v/>
      </c>
      <c r="AM179" t="str">
        <f t="shared" si="65"/>
        <v/>
      </c>
      <c r="AO179" t="str">
        <f>IFERROR(VLOOKUP(M179,'Fixture Identities'!$B$9:$O$1045,14,FALSE),"")</f>
        <v/>
      </c>
      <c r="AP179" t="str">
        <f t="shared" si="59"/>
        <v/>
      </c>
    </row>
    <row r="180" spans="1:42">
      <c r="A180" s="71">
        <f t="shared" si="80"/>
        <v>0</v>
      </c>
      <c r="B180" s="513">
        <f t="shared" si="66"/>
        <v>168</v>
      </c>
      <c r="C180" s="530" t="str">
        <f>IF(Inventory!E177="","",Inventory!E177)</f>
        <v/>
      </c>
      <c r="D180" s="531">
        <f>IF(Inventory!D177="",0,Inventory!D177)</f>
        <v>0</v>
      </c>
      <c r="E180" s="532" t="str">
        <f>IF(Inventory!I177=0,"",Inventory!I177)</f>
        <v/>
      </c>
      <c r="F180" s="533" t="str">
        <f t="shared" si="67"/>
        <v/>
      </c>
      <c r="G180" s="534" t="str">
        <f>IF(Inventory!G177="","",Inventory!G177)</f>
        <v/>
      </c>
      <c r="H180" s="535" t="str">
        <f t="shared" si="68"/>
        <v/>
      </c>
      <c r="I180" s="536" t="str">
        <f>IF(Inventory!J177="","",Inventory!J177)</f>
        <v/>
      </c>
      <c r="J180" s="537" t="str">
        <f>IFERROR(IF(PRJ_Type="New Construction",IF(Inventory!C177="N",INDEX(xyLPD_BuildingArea,MATCH(Building_Type,Lookups!$F$37:$F$75,0),4),INDEX(xyLPD_SpaceBySpace,MATCH(INDEX(xyNCEx,MATCH(I180,yNCExArea,0),2),ySpace_by_Space_Type,0),2)),VLOOKUP(E180,xyWattage_Table,11,FALSE)),"")</f>
        <v/>
      </c>
      <c r="K180" s="538" t="str">
        <f>IFERROR(IF(AND(NC_Type="Building Area Method",Inventory!C177="N"),IF(ISERROR(INDEX('Usage Groups (&gt;120 MWh only)'!$N$8:$N$12,MATCH(C180,'Usage Groups (&gt;120 MWh only)'!$B$8:$B$12,0),1))=TRUE,SqFt/COUNTIFS(Inventory!$C$10:$C$1009,"N",$Q$13:$Q$1012,"&gt;=0"),INDEX('Usage Groups (&gt;120 MWh only)'!$N$8:$N$12,MATCH(C180,'Usage Groups (&gt;120 MWh only)'!$B$8:$B$12,0),1)/COUNTIF($C$13:$C$1012,C180)),IF(AND(NC_Type="Building Area Method",Inventory!C177="Y"),INDEX(xyNCEx,MATCH(I180,yNCExArea,0),3)/COUNTIF($I$13:$I$1012,I180),VLOOKUP(J180,xyWattage_Table,10,FALSE))),"")</f>
        <v/>
      </c>
      <c r="L180" s="539" t="str">
        <f t="shared" si="69"/>
        <v/>
      </c>
      <c r="M180" s="540">
        <f>IF(Inventory!N177="","",Inventory!N177)</f>
        <v>0</v>
      </c>
      <c r="N180" s="533" t="str">
        <f t="shared" si="70"/>
        <v/>
      </c>
      <c r="O180" s="534"/>
      <c r="P180" s="533" t="str">
        <f t="shared" si="71"/>
        <v/>
      </c>
      <c r="Q180" s="534" t="str">
        <f>IF(Inventory!L177="","",Inventory!L177)</f>
        <v/>
      </c>
      <c r="R180" s="535" t="str">
        <f t="shared" si="72"/>
        <v/>
      </c>
      <c r="S180" s="536" t="str">
        <f>IF(Inventory!O177="","",Inventory!O177)</f>
        <v/>
      </c>
      <c r="T180" s="541" t="str">
        <f>IFERROR(IF(C180="","",IF(INDEX(xyWattage_Table,MATCH(M180,'Fixture Identities'!$B$9:$B$997,0),2)="Exit Sign",8760,IF(VLOOKUP(C180,xySpace_Type_Details,8,FALSE)="TRM",INDEX('General Information'!$AF$17:$AG$28,11,MATCH(N180,'General Information'!$AF$16:$AG$16,0)),HLOOKUP(VLOOKUP(C180,xySpace_Type_Details,8,FALSE),'General Information'!$P$15:$AG$28,13,FALSE)))),"")</f>
        <v/>
      </c>
      <c r="U180" s="542" t="str">
        <f>IFERROR(IF(C180="","",IF(INDEX(xyWattage_Table,MATCH(M180,'Fixture Identities'!$B$9:$B$997,0),2)="Exit Sign",1,IF(VLOOKUP(C180,xySpace_Type_Details,8,FALSE)="TRM",INDEX('General Information'!$AF$17:$AG$28,12,MATCH(N180,'General Information'!$AF$16:$AG$16,0)),HLOOKUP(VLOOKUP(C180,xySpace_Type_Details,8,FALSE),'General Information'!$P$15:$AG$28,14,FALSE)))),"")</f>
        <v/>
      </c>
      <c r="V180" s="542" t="str">
        <f>IFERROR(VLOOKUP(INDEX(xySpace_Type_Details,MATCH($C180,'General Information'!$C$40:$C$60,0),12),Lookups!$L$8:$N$12,2,FALSE),"")</f>
        <v/>
      </c>
      <c r="W180" s="542" t="str">
        <f>IFERROR(VLOOKUP(INDEX(xySpace_Type_Details,MATCH($C180,'General Information'!$C$40:$C$60,0),12),Lookups!$L$8:$N$12,3,FALSE),"")</f>
        <v/>
      </c>
      <c r="Y180" s="542" t="str">
        <f>IFERROR(IF(C180="","",IF(INDEX(xyWattage_Table,MATCH(M180,'Fixture Identities'!$B$9:$B$997,0),2)="Exit Sign",0,IF(PRJ_Type="Retrofit",VLOOKUP(I180,xySVG_Factors,2,FALSE),IF(AND(PRJ_Type="New Construction",Inventory!C177="N"),VLOOKUP(VLOOKUP(Building_Type,xyLPD_BuildingArea,5,FALSE),xySVG_Factors_NC,3,FALSE),0)))),"")</f>
        <v/>
      </c>
      <c r="Z180" s="544" t="str">
        <f>IFERROR(IF(C180="","",IF(INDEX(xyWattage_Table,MATCH(M180,'Fixture Identities'!$B$9:$B$997,0),2)="Exit Sign",0,VLOOKUP(S180,xySVG_Factors,2,FALSE))),"")</f>
        <v/>
      </c>
      <c r="AA180" s="545" t="str">
        <f t="shared" si="73"/>
        <v/>
      </c>
      <c r="AB180" s="542" t="str">
        <f t="shared" si="74"/>
        <v/>
      </c>
      <c r="AC180" s="539" t="str">
        <f t="shared" si="75"/>
        <v/>
      </c>
      <c r="AD180" s="546" t="str">
        <f t="shared" si="76"/>
        <v/>
      </c>
      <c r="AE180" s="539" t="str">
        <f t="shared" si="77"/>
        <v/>
      </c>
      <c r="AF180" s="546" t="str">
        <f t="shared" si="78"/>
        <v/>
      </c>
      <c r="AG180" s="539" t="str">
        <f t="shared" si="79"/>
        <v/>
      </c>
      <c r="AH180" s="32">
        <f t="shared" si="60"/>
        <v>0</v>
      </c>
      <c r="AI180" s="32">
        <f t="shared" si="61"/>
        <v>0</v>
      </c>
      <c r="AJ180" s="32">
        <f t="shared" si="62"/>
        <v>0</v>
      </c>
      <c r="AK180" t="str">
        <f t="shared" si="63"/>
        <v/>
      </c>
      <c r="AL180" t="str">
        <f t="shared" si="64"/>
        <v/>
      </c>
      <c r="AM180" t="str">
        <f t="shared" si="65"/>
        <v/>
      </c>
      <c r="AO180" t="str">
        <f>IFERROR(VLOOKUP(M180,'Fixture Identities'!$B$9:$O$1045,14,FALSE),"")</f>
        <v/>
      </c>
      <c r="AP180" t="str">
        <f t="shared" si="59"/>
        <v/>
      </c>
    </row>
    <row r="181" spans="1:42">
      <c r="A181" s="71">
        <f t="shared" si="80"/>
        <v>0</v>
      </c>
      <c r="B181" s="513">
        <f t="shared" si="66"/>
        <v>169</v>
      </c>
      <c r="C181" s="530" t="str">
        <f>IF(Inventory!E178="","",Inventory!E178)</f>
        <v/>
      </c>
      <c r="D181" s="531">
        <f>IF(Inventory!D178="",0,Inventory!D178)</f>
        <v>0</v>
      </c>
      <c r="E181" s="532" t="str">
        <f>IF(Inventory!I178=0,"",Inventory!I178)</f>
        <v/>
      </c>
      <c r="F181" s="533" t="str">
        <f t="shared" si="67"/>
        <v/>
      </c>
      <c r="G181" s="534" t="str">
        <f>IF(Inventory!G178="","",Inventory!G178)</f>
        <v/>
      </c>
      <c r="H181" s="535" t="str">
        <f t="shared" si="68"/>
        <v/>
      </c>
      <c r="I181" s="536" t="str">
        <f>IF(Inventory!J178="","",Inventory!J178)</f>
        <v/>
      </c>
      <c r="J181" s="537" t="str">
        <f>IFERROR(IF(PRJ_Type="New Construction",IF(Inventory!C178="N",INDEX(xyLPD_BuildingArea,MATCH(Building_Type,Lookups!$F$37:$F$75,0),4),INDEX(xyLPD_SpaceBySpace,MATCH(INDEX(xyNCEx,MATCH(I181,yNCExArea,0),2),ySpace_by_Space_Type,0),2)),VLOOKUP(E181,xyWattage_Table,11,FALSE)),"")</f>
        <v/>
      </c>
      <c r="K181" s="538" t="str">
        <f>IFERROR(IF(AND(NC_Type="Building Area Method",Inventory!C178="N"),IF(ISERROR(INDEX('Usage Groups (&gt;120 MWh only)'!$N$8:$N$12,MATCH(C181,'Usage Groups (&gt;120 MWh only)'!$B$8:$B$12,0),1))=TRUE,SqFt/COUNTIFS(Inventory!$C$10:$C$1009,"N",$Q$13:$Q$1012,"&gt;=0"),INDEX('Usage Groups (&gt;120 MWh only)'!$N$8:$N$12,MATCH(C181,'Usage Groups (&gt;120 MWh only)'!$B$8:$B$12,0),1)/COUNTIF($C$13:$C$1012,C181)),IF(AND(NC_Type="Building Area Method",Inventory!C178="Y"),INDEX(xyNCEx,MATCH(I181,yNCExArea,0),3)/COUNTIF($I$13:$I$1012,I181),VLOOKUP(J181,xyWattage_Table,10,FALSE))),"")</f>
        <v/>
      </c>
      <c r="L181" s="539" t="str">
        <f t="shared" si="69"/>
        <v/>
      </c>
      <c r="M181" s="540">
        <f>IF(Inventory!N178="","",Inventory!N178)</f>
        <v>0</v>
      </c>
      <c r="N181" s="533" t="str">
        <f t="shared" si="70"/>
        <v/>
      </c>
      <c r="O181" s="534"/>
      <c r="P181" s="533" t="str">
        <f t="shared" si="71"/>
        <v/>
      </c>
      <c r="Q181" s="534" t="str">
        <f>IF(Inventory!L178="","",Inventory!L178)</f>
        <v/>
      </c>
      <c r="R181" s="535" t="str">
        <f t="shared" si="72"/>
        <v/>
      </c>
      <c r="S181" s="536" t="str">
        <f>IF(Inventory!O178="","",Inventory!O178)</f>
        <v/>
      </c>
      <c r="T181" s="541" t="str">
        <f>IFERROR(IF(C181="","",IF(INDEX(xyWattage_Table,MATCH(M181,'Fixture Identities'!$B$9:$B$997,0),2)="Exit Sign",8760,IF(VLOOKUP(C181,xySpace_Type_Details,8,FALSE)="TRM",INDEX('General Information'!$AF$17:$AG$28,11,MATCH(N181,'General Information'!$AF$16:$AG$16,0)),HLOOKUP(VLOOKUP(C181,xySpace_Type_Details,8,FALSE),'General Information'!$P$15:$AG$28,13,FALSE)))),"")</f>
        <v/>
      </c>
      <c r="U181" s="542" t="str">
        <f>IFERROR(IF(C181="","",IF(INDEX(xyWattage_Table,MATCH(M181,'Fixture Identities'!$B$9:$B$997,0),2)="Exit Sign",1,IF(VLOOKUP(C181,xySpace_Type_Details,8,FALSE)="TRM",INDEX('General Information'!$AF$17:$AG$28,12,MATCH(N181,'General Information'!$AF$16:$AG$16,0)),HLOOKUP(VLOOKUP(C181,xySpace_Type_Details,8,FALSE),'General Information'!$P$15:$AG$28,14,FALSE)))),"")</f>
        <v/>
      </c>
      <c r="V181" s="542" t="str">
        <f>IFERROR(VLOOKUP(INDEX(xySpace_Type_Details,MATCH($C181,'General Information'!$C$40:$C$60,0),12),Lookups!$L$8:$N$12,2,FALSE),"")</f>
        <v/>
      </c>
      <c r="W181" s="542" t="str">
        <f>IFERROR(VLOOKUP(INDEX(xySpace_Type_Details,MATCH($C181,'General Information'!$C$40:$C$60,0),12),Lookups!$L$8:$N$12,3,FALSE),"")</f>
        <v/>
      </c>
      <c r="Y181" s="542" t="str">
        <f>IFERROR(IF(C181="","",IF(INDEX(xyWattage_Table,MATCH(M181,'Fixture Identities'!$B$9:$B$997,0),2)="Exit Sign",0,IF(PRJ_Type="Retrofit",VLOOKUP(I181,xySVG_Factors,2,FALSE),IF(AND(PRJ_Type="New Construction",Inventory!C178="N"),VLOOKUP(VLOOKUP(Building_Type,xyLPD_BuildingArea,5,FALSE),xySVG_Factors_NC,3,FALSE),0)))),"")</f>
        <v/>
      </c>
      <c r="Z181" s="544" t="str">
        <f>IFERROR(IF(C181="","",IF(INDEX(xyWattage_Table,MATCH(M181,'Fixture Identities'!$B$9:$B$997,0),2)="Exit Sign",0,VLOOKUP(S181,xySVG_Factors,2,FALSE))),"")</f>
        <v/>
      </c>
      <c r="AA181" s="545" t="str">
        <f t="shared" si="73"/>
        <v/>
      </c>
      <c r="AB181" s="542" t="str">
        <f t="shared" si="74"/>
        <v/>
      </c>
      <c r="AC181" s="539" t="str">
        <f t="shared" si="75"/>
        <v/>
      </c>
      <c r="AD181" s="546" t="str">
        <f t="shared" si="76"/>
        <v/>
      </c>
      <c r="AE181" s="539" t="str">
        <f t="shared" si="77"/>
        <v/>
      </c>
      <c r="AF181" s="546" t="str">
        <f t="shared" si="78"/>
        <v/>
      </c>
      <c r="AG181" s="539" t="str">
        <f t="shared" si="79"/>
        <v/>
      </c>
      <c r="AH181" s="32">
        <f t="shared" si="60"/>
        <v>0</v>
      </c>
      <c r="AI181" s="32">
        <f t="shared" si="61"/>
        <v>0</v>
      </c>
      <c r="AJ181" s="32">
        <f t="shared" si="62"/>
        <v>0</v>
      </c>
      <c r="AK181" t="str">
        <f t="shared" si="63"/>
        <v/>
      </c>
      <c r="AL181" t="str">
        <f t="shared" si="64"/>
        <v/>
      </c>
      <c r="AM181" t="str">
        <f t="shared" si="65"/>
        <v/>
      </c>
      <c r="AO181" t="str">
        <f>IFERROR(VLOOKUP(M181,'Fixture Identities'!$B$9:$O$1045,14,FALSE),"")</f>
        <v/>
      </c>
      <c r="AP181" t="str">
        <f t="shared" si="59"/>
        <v/>
      </c>
    </row>
    <row r="182" spans="1:42">
      <c r="A182" s="71">
        <f t="shared" si="80"/>
        <v>0</v>
      </c>
      <c r="B182" s="513">
        <f t="shared" si="66"/>
        <v>170</v>
      </c>
      <c r="C182" s="530" t="str">
        <f>IF(Inventory!E179="","",Inventory!E179)</f>
        <v/>
      </c>
      <c r="D182" s="531">
        <f>IF(Inventory!D179="",0,Inventory!D179)</f>
        <v>0</v>
      </c>
      <c r="E182" s="532" t="str">
        <f>IF(Inventory!I179=0,"",Inventory!I179)</f>
        <v/>
      </c>
      <c r="F182" s="533" t="str">
        <f t="shared" si="67"/>
        <v/>
      </c>
      <c r="G182" s="534" t="str">
        <f>IF(Inventory!G179="","",Inventory!G179)</f>
        <v/>
      </c>
      <c r="H182" s="535" t="str">
        <f t="shared" si="68"/>
        <v/>
      </c>
      <c r="I182" s="536" t="str">
        <f>IF(Inventory!J179="","",Inventory!J179)</f>
        <v/>
      </c>
      <c r="J182" s="537" t="str">
        <f>IFERROR(IF(PRJ_Type="New Construction",IF(Inventory!C179="N",INDEX(xyLPD_BuildingArea,MATCH(Building_Type,Lookups!$F$37:$F$75,0),4),INDEX(xyLPD_SpaceBySpace,MATCH(INDEX(xyNCEx,MATCH(I182,yNCExArea,0),2),ySpace_by_Space_Type,0),2)),VLOOKUP(E182,xyWattage_Table,11,FALSE)),"")</f>
        <v/>
      </c>
      <c r="K182" s="538" t="str">
        <f>IFERROR(IF(AND(NC_Type="Building Area Method",Inventory!C179="N"),IF(ISERROR(INDEX('Usage Groups (&gt;120 MWh only)'!$N$8:$N$12,MATCH(C182,'Usage Groups (&gt;120 MWh only)'!$B$8:$B$12,0),1))=TRUE,SqFt/COUNTIFS(Inventory!$C$10:$C$1009,"N",$Q$13:$Q$1012,"&gt;=0"),INDEX('Usage Groups (&gt;120 MWh only)'!$N$8:$N$12,MATCH(C182,'Usage Groups (&gt;120 MWh only)'!$B$8:$B$12,0),1)/COUNTIF($C$13:$C$1012,C182)),IF(AND(NC_Type="Building Area Method",Inventory!C179="Y"),INDEX(xyNCEx,MATCH(I182,yNCExArea,0),3)/COUNTIF($I$13:$I$1012,I182),VLOOKUP(J182,xyWattage_Table,10,FALSE))),"")</f>
        <v/>
      </c>
      <c r="L182" s="539" t="str">
        <f t="shared" si="69"/>
        <v/>
      </c>
      <c r="M182" s="540">
        <f>IF(Inventory!N179="","",Inventory!N179)</f>
        <v>0</v>
      </c>
      <c r="N182" s="533" t="str">
        <f t="shared" si="70"/>
        <v/>
      </c>
      <c r="O182" s="534"/>
      <c r="P182" s="533" t="str">
        <f t="shared" si="71"/>
        <v/>
      </c>
      <c r="Q182" s="534" t="str">
        <f>IF(Inventory!L179="","",Inventory!L179)</f>
        <v/>
      </c>
      <c r="R182" s="535" t="str">
        <f t="shared" si="72"/>
        <v/>
      </c>
      <c r="S182" s="536" t="str">
        <f>IF(Inventory!O179="","",Inventory!O179)</f>
        <v/>
      </c>
      <c r="T182" s="541" t="str">
        <f>IFERROR(IF(C182="","",IF(INDEX(xyWattage_Table,MATCH(M182,'Fixture Identities'!$B$9:$B$997,0),2)="Exit Sign",8760,IF(VLOOKUP(C182,xySpace_Type_Details,8,FALSE)="TRM",INDEX('General Information'!$AF$17:$AG$28,11,MATCH(N182,'General Information'!$AF$16:$AG$16,0)),HLOOKUP(VLOOKUP(C182,xySpace_Type_Details,8,FALSE),'General Information'!$P$15:$AG$28,13,FALSE)))),"")</f>
        <v/>
      </c>
      <c r="U182" s="542" t="str">
        <f>IFERROR(IF(C182="","",IF(INDEX(xyWattage_Table,MATCH(M182,'Fixture Identities'!$B$9:$B$997,0),2)="Exit Sign",1,IF(VLOOKUP(C182,xySpace_Type_Details,8,FALSE)="TRM",INDEX('General Information'!$AF$17:$AG$28,12,MATCH(N182,'General Information'!$AF$16:$AG$16,0)),HLOOKUP(VLOOKUP(C182,xySpace_Type_Details,8,FALSE),'General Information'!$P$15:$AG$28,14,FALSE)))),"")</f>
        <v/>
      </c>
      <c r="V182" s="542" t="str">
        <f>IFERROR(VLOOKUP(INDEX(xySpace_Type_Details,MATCH($C182,'General Information'!$C$40:$C$60,0),12),Lookups!$L$8:$N$12,2,FALSE),"")</f>
        <v/>
      </c>
      <c r="W182" s="542" t="str">
        <f>IFERROR(VLOOKUP(INDEX(xySpace_Type_Details,MATCH($C182,'General Information'!$C$40:$C$60,0),12),Lookups!$L$8:$N$12,3,FALSE),"")</f>
        <v/>
      </c>
      <c r="Y182" s="542" t="str">
        <f>IFERROR(IF(C182="","",IF(INDEX(xyWattage_Table,MATCH(M182,'Fixture Identities'!$B$9:$B$997,0),2)="Exit Sign",0,IF(PRJ_Type="Retrofit",VLOOKUP(I182,xySVG_Factors,2,FALSE),IF(AND(PRJ_Type="New Construction",Inventory!C179="N"),VLOOKUP(VLOOKUP(Building_Type,xyLPD_BuildingArea,5,FALSE),xySVG_Factors_NC,3,FALSE),0)))),"")</f>
        <v/>
      </c>
      <c r="Z182" s="544" t="str">
        <f>IFERROR(IF(C182="","",IF(INDEX(xyWattage_Table,MATCH(M182,'Fixture Identities'!$B$9:$B$997,0),2)="Exit Sign",0,VLOOKUP(S182,xySVG_Factors,2,FALSE))),"")</f>
        <v/>
      </c>
      <c r="AA182" s="545" t="str">
        <f t="shared" si="73"/>
        <v/>
      </c>
      <c r="AB182" s="542" t="str">
        <f t="shared" si="74"/>
        <v/>
      </c>
      <c r="AC182" s="539" t="str">
        <f t="shared" si="75"/>
        <v/>
      </c>
      <c r="AD182" s="546" t="str">
        <f t="shared" si="76"/>
        <v/>
      </c>
      <c r="AE182" s="539" t="str">
        <f t="shared" si="77"/>
        <v/>
      </c>
      <c r="AF182" s="546" t="str">
        <f t="shared" si="78"/>
        <v/>
      </c>
      <c r="AG182" s="539" t="str">
        <f t="shared" si="79"/>
        <v/>
      </c>
      <c r="AH182" s="32">
        <f t="shared" si="60"/>
        <v>0</v>
      </c>
      <c r="AI182" s="32">
        <f t="shared" si="61"/>
        <v>0</v>
      </c>
      <c r="AJ182" s="32">
        <f t="shared" si="62"/>
        <v>0</v>
      </c>
      <c r="AK182" t="str">
        <f t="shared" si="63"/>
        <v/>
      </c>
      <c r="AL182" t="str">
        <f t="shared" si="64"/>
        <v/>
      </c>
      <c r="AM182" t="str">
        <f t="shared" si="65"/>
        <v/>
      </c>
      <c r="AO182" t="str">
        <f>IFERROR(VLOOKUP(M182,'Fixture Identities'!$B$9:$O$1045,14,FALSE),"")</f>
        <v/>
      </c>
      <c r="AP182" t="str">
        <f t="shared" si="59"/>
        <v/>
      </c>
    </row>
    <row r="183" spans="1:42">
      <c r="A183" s="71">
        <f t="shared" si="80"/>
        <v>0</v>
      </c>
      <c r="B183" s="513">
        <f t="shared" si="66"/>
        <v>171</v>
      </c>
      <c r="C183" s="530" t="str">
        <f>IF(Inventory!E180="","",Inventory!E180)</f>
        <v/>
      </c>
      <c r="D183" s="531">
        <f>IF(Inventory!D180="",0,Inventory!D180)</f>
        <v>0</v>
      </c>
      <c r="E183" s="532" t="str">
        <f>IF(Inventory!I180=0,"",Inventory!I180)</f>
        <v/>
      </c>
      <c r="F183" s="533" t="str">
        <f t="shared" si="67"/>
        <v/>
      </c>
      <c r="G183" s="534" t="str">
        <f>IF(Inventory!G180="","",Inventory!G180)</f>
        <v/>
      </c>
      <c r="H183" s="535" t="str">
        <f t="shared" si="68"/>
        <v/>
      </c>
      <c r="I183" s="536" t="str">
        <f>IF(Inventory!J180="","",Inventory!J180)</f>
        <v/>
      </c>
      <c r="J183" s="537" t="str">
        <f>IFERROR(IF(PRJ_Type="New Construction",IF(Inventory!C180="N",INDEX(xyLPD_BuildingArea,MATCH(Building_Type,Lookups!$F$37:$F$75,0),4),INDEX(xyLPD_SpaceBySpace,MATCH(INDEX(xyNCEx,MATCH(I183,yNCExArea,0),2),ySpace_by_Space_Type,0),2)),VLOOKUP(E183,xyWattage_Table,11,FALSE)),"")</f>
        <v/>
      </c>
      <c r="K183" s="538" t="str">
        <f>IFERROR(IF(AND(NC_Type="Building Area Method",Inventory!C180="N"),IF(ISERROR(INDEX('Usage Groups (&gt;120 MWh only)'!$N$8:$N$12,MATCH(C183,'Usage Groups (&gt;120 MWh only)'!$B$8:$B$12,0),1))=TRUE,SqFt/COUNTIFS(Inventory!$C$10:$C$1009,"N",$Q$13:$Q$1012,"&gt;=0"),INDEX('Usage Groups (&gt;120 MWh only)'!$N$8:$N$12,MATCH(C183,'Usage Groups (&gt;120 MWh only)'!$B$8:$B$12,0),1)/COUNTIF($C$13:$C$1012,C183)),IF(AND(NC_Type="Building Area Method",Inventory!C180="Y"),INDEX(xyNCEx,MATCH(I183,yNCExArea,0),3)/COUNTIF($I$13:$I$1012,I183),VLOOKUP(J183,xyWattage_Table,10,FALSE))),"")</f>
        <v/>
      </c>
      <c r="L183" s="539" t="str">
        <f t="shared" si="69"/>
        <v/>
      </c>
      <c r="M183" s="540">
        <f>IF(Inventory!N180="","",Inventory!N180)</f>
        <v>0</v>
      </c>
      <c r="N183" s="533" t="str">
        <f t="shared" si="70"/>
        <v/>
      </c>
      <c r="O183" s="534"/>
      <c r="P183" s="533" t="str">
        <f t="shared" si="71"/>
        <v/>
      </c>
      <c r="Q183" s="534" t="str">
        <f>IF(Inventory!L180="","",Inventory!L180)</f>
        <v/>
      </c>
      <c r="R183" s="535" t="str">
        <f t="shared" si="72"/>
        <v/>
      </c>
      <c r="S183" s="536" t="str">
        <f>IF(Inventory!O180="","",Inventory!O180)</f>
        <v/>
      </c>
      <c r="T183" s="541" t="str">
        <f>IFERROR(IF(C183="","",IF(INDEX(xyWattage_Table,MATCH(M183,'Fixture Identities'!$B$9:$B$997,0),2)="Exit Sign",8760,IF(VLOOKUP(C183,xySpace_Type_Details,8,FALSE)="TRM",INDEX('General Information'!$AF$17:$AG$28,11,MATCH(N183,'General Information'!$AF$16:$AG$16,0)),HLOOKUP(VLOOKUP(C183,xySpace_Type_Details,8,FALSE),'General Information'!$P$15:$AG$28,13,FALSE)))),"")</f>
        <v/>
      </c>
      <c r="U183" s="542" t="str">
        <f>IFERROR(IF(C183="","",IF(INDEX(xyWattage_Table,MATCH(M183,'Fixture Identities'!$B$9:$B$997,0),2)="Exit Sign",1,IF(VLOOKUP(C183,xySpace_Type_Details,8,FALSE)="TRM",INDEX('General Information'!$AF$17:$AG$28,12,MATCH(N183,'General Information'!$AF$16:$AG$16,0)),HLOOKUP(VLOOKUP(C183,xySpace_Type_Details,8,FALSE),'General Information'!$P$15:$AG$28,14,FALSE)))),"")</f>
        <v/>
      </c>
      <c r="V183" s="542" t="str">
        <f>IFERROR(VLOOKUP(INDEX(xySpace_Type_Details,MATCH($C183,'General Information'!$C$40:$C$60,0),12),Lookups!$L$8:$N$12,2,FALSE),"")</f>
        <v/>
      </c>
      <c r="W183" s="542" t="str">
        <f>IFERROR(VLOOKUP(INDEX(xySpace_Type_Details,MATCH($C183,'General Information'!$C$40:$C$60,0),12),Lookups!$L$8:$N$12,3,FALSE),"")</f>
        <v/>
      </c>
      <c r="Y183" s="542" t="str">
        <f>IFERROR(IF(C183="","",IF(INDEX(xyWattage_Table,MATCH(M183,'Fixture Identities'!$B$9:$B$997,0),2)="Exit Sign",0,IF(PRJ_Type="Retrofit",VLOOKUP(I183,xySVG_Factors,2,FALSE),IF(AND(PRJ_Type="New Construction",Inventory!C180="N"),VLOOKUP(VLOOKUP(Building_Type,xyLPD_BuildingArea,5,FALSE),xySVG_Factors_NC,3,FALSE),0)))),"")</f>
        <v/>
      </c>
      <c r="Z183" s="544" t="str">
        <f>IFERROR(IF(C183="","",IF(INDEX(xyWattage_Table,MATCH(M183,'Fixture Identities'!$B$9:$B$997,0),2)="Exit Sign",0,VLOOKUP(S183,xySVG_Factors,2,FALSE))),"")</f>
        <v/>
      </c>
      <c r="AA183" s="545" t="str">
        <f t="shared" si="73"/>
        <v/>
      </c>
      <c r="AB183" s="542" t="str">
        <f t="shared" si="74"/>
        <v/>
      </c>
      <c r="AC183" s="539" t="str">
        <f t="shared" si="75"/>
        <v/>
      </c>
      <c r="AD183" s="546" t="str">
        <f t="shared" si="76"/>
        <v/>
      </c>
      <c r="AE183" s="539" t="str">
        <f t="shared" si="77"/>
        <v/>
      </c>
      <c r="AF183" s="546" t="str">
        <f t="shared" si="78"/>
        <v/>
      </c>
      <c r="AG183" s="539" t="str">
        <f t="shared" si="79"/>
        <v/>
      </c>
      <c r="AH183" s="32">
        <f t="shared" si="60"/>
        <v>0</v>
      </c>
      <c r="AI183" s="32">
        <f t="shared" si="61"/>
        <v>0</v>
      </c>
      <c r="AJ183" s="32">
        <f t="shared" si="62"/>
        <v>0</v>
      </c>
      <c r="AK183" t="str">
        <f t="shared" si="63"/>
        <v/>
      </c>
      <c r="AL183" t="str">
        <f t="shared" si="64"/>
        <v/>
      </c>
      <c r="AM183" t="str">
        <f t="shared" si="65"/>
        <v/>
      </c>
      <c r="AO183" t="str">
        <f>IFERROR(VLOOKUP(M183,'Fixture Identities'!$B$9:$O$1045,14,FALSE),"")</f>
        <v/>
      </c>
      <c r="AP183" t="str">
        <f t="shared" si="59"/>
        <v/>
      </c>
    </row>
    <row r="184" spans="1:42">
      <c r="A184" s="71">
        <f t="shared" si="80"/>
        <v>0</v>
      </c>
      <c r="B184" s="513">
        <f t="shared" si="66"/>
        <v>172</v>
      </c>
      <c r="C184" s="530" t="str">
        <f>IF(Inventory!E181="","",Inventory!E181)</f>
        <v/>
      </c>
      <c r="D184" s="531">
        <f>IF(Inventory!D181="",0,Inventory!D181)</f>
        <v>0</v>
      </c>
      <c r="E184" s="532" t="str">
        <f>IF(Inventory!I181=0,"",Inventory!I181)</f>
        <v/>
      </c>
      <c r="F184" s="533" t="str">
        <f t="shared" si="67"/>
        <v/>
      </c>
      <c r="G184" s="534" t="str">
        <f>IF(Inventory!G181="","",Inventory!G181)</f>
        <v/>
      </c>
      <c r="H184" s="535" t="str">
        <f t="shared" si="68"/>
        <v/>
      </c>
      <c r="I184" s="536" t="str">
        <f>IF(Inventory!J181="","",Inventory!J181)</f>
        <v/>
      </c>
      <c r="J184" s="537" t="str">
        <f>IFERROR(IF(PRJ_Type="New Construction",IF(Inventory!C181="N",INDEX(xyLPD_BuildingArea,MATCH(Building_Type,Lookups!$F$37:$F$75,0),4),INDEX(xyLPD_SpaceBySpace,MATCH(INDEX(xyNCEx,MATCH(I184,yNCExArea,0),2),ySpace_by_Space_Type,0),2)),VLOOKUP(E184,xyWattage_Table,11,FALSE)),"")</f>
        <v/>
      </c>
      <c r="K184" s="538" t="str">
        <f>IFERROR(IF(AND(NC_Type="Building Area Method",Inventory!C181="N"),IF(ISERROR(INDEX('Usage Groups (&gt;120 MWh only)'!$N$8:$N$12,MATCH(C184,'Usage Groups (&gt;120 MWh only)'!$B$8:$B$12,0),1))=TRUE,SqFt/COUNTIFS(Inventory!$C$10:$C$1009,"N",$Q$13:$Q$1012,"&gt;=0"),INDEX('Usage Groups (&gt;120 MWh only)'!$N$8:$N$12,MATCH(C184,'Usage Groups (&gt;120 MWh only)'!$B$8:$B$12,0),1)/COUNTIF($C$13:$C$1012,C184)),IF(AND(NC_Type="Building Area Method",Inventory!C181="Y"),INDEX(xyNCEx,MATCH(I184,yNCExArea,0),3)/COUNTIF($I$13:$I$1012,I184),VLOOKUP(J184,xyWattage_Table,10,FALSE))),"")</f>
        <v/>
      </c>
      <c r="L184" s="539" t="str">
        <f t="shared" si="69"/>
        <v/>
      </c>
      <c r="M184" s="540">
        <f>IF(Inventory!N181="","",Inventory!N181)</f>
        <v>0</v>
      </c>
      <c r="N184" s="533" t="str">
        <f t="shared" si="70"/>
        <v/>
      </c>
      <c r="O184" s="534"/>
      <c r="P184" s="533" t="str">
        <f t="shared" si="71"/>
        <v/>
      </c>
      <c r="Q184" s="534" t="str">
        <f>IF(Inventory!L181="","",Inventory!L181)</f>
        <v/>
      </c>
      <c r="R184" s="535" t="str">
        <f t="shared" si="72"/>
        <v/>
      </c>
      <c r="S184" s="536" t="str">
        <f>IF(Inventory!O181="","",Inventory!O181)</f>
        <v/>
      </c>
      <c r="T184" s="541" t="str">
        <f>IFERROR(IF(C184="","",IF(INDEX(xyWattage_Table,MATCH(M184,'Fixture Identities'!$B$9:$B$997,0),2)="Exit Sign",8760,IF(VLOOKUP(C184,xySpace_Type_Details,8,FALSE)="TRM",INDEX('General Information'!$AF$17:$AG$28,11,MATCH(N184,'General Information'!$AF$16:$AG$16,0)),HLOOKUP(VLOOKUP(C184,xySpace_Type_Details,8,FALSE),'General Information'!$P$15:$AG$28,13,FALSE)))),"")</f>
        <v/>
      </c>
      <c r="U184" s="542" t="str">
        <f>IFERROR(IF(C184="","",IF(INDEX(xyWattage_Table,MATCH(M184,'Fixture Identities'!$B$9:$B$997,0),2)="Exit Sign",1,IF(VLOOKUP(C184,xySpace_Type_Details,8,FALSE)="TRM",INDEX('General Information'!$AF$17:$AG$28,12,MATCH(N184,'General Information'!$AF$16:$AG$16,0)),HLOOKUP(VLOOKUP(C184,xySpace_Type_Details,8,FALSE),'General Information'!$P$15:$AG$28,14,FALSE)))),"")</f>
        <v/>
      </c>
      <c r="V184" s="542" t="str">
        <f>IFERROR(VLOOKUP(INDEX(xySpace_Type_Details,MATCH($C184,'General Information'!$C$40:$C$60,0),12),Lookups!$L$8:$N$12,2,FALSE),"")</f>
        <v/>
      </c>
      <c r="W184" s="542" t="str">
        <f>IFERROR(VLOOKUP(INDEX(xySpace_Type_Details,MATCH($C184,'General Information'!$C$40:$C$60,0),12),Lookups!$L$8:$N$12,3,FALSE),"")</f>
        <v/>
      </c>
      <c r="Y184" s="542" t="str">
        <f>IFERROR(IF(C184="","",IF(INDEX(xyWattage_Table,MATCH(M184,'Fixture Identities'!$B$9:$B$997,0),2)="Exit Sign",0,IF(PRJ_Type="Retrofit",VLOOKUP(I184,xySVG_Factors,2,FALSE),IF(AND(PRJ_Type="New Construction",Inventory!C181="N"),VLOOKUP(VLOOKUP(Building_Type,xyLPD_BuildingArea,5,FALSE),xySVG_Factors_NC,3,FALSE),0)))),"")</f>
        <v/>
      </c>
      <c r="Z184" s="544" t="str">
        <f>IFERROR(IF(C184="","",IF(INDEX(xyWattage_Table,MATCH(M184,'Fixture Identities'!$B$9:$B$997,0),2)="Exit Sign",0,VLOOKUP(S184,xySVG_Factors,2,FALSE))),"")</f>
        <v/>
      </c>
      <c r="AA184" s="545" t="str">
        <f t="shared" si="73"/>
        <v/>
      </c>
      <c r="AB184" s="542" t="str">
        <f t="shared" si="74"/>
        <v/>
      </c>
      <c r="AC184" s="539" t="str">
        <f t="shared" si="75"/>
        <v/>
      </c>
      <c r="AD184" s="546" t="str">
        <f t="shared" si="76"/>
        <v/>
      </c>
      <c r="AE184" s="539" t="str">
        <f t="shared" si="77"/>
        <v/>
      </c>
      <c r="AF184" s="546" t="str">
        <f t="shared" si="78"/>
        <v/>
      </c>
      <c r="AG184" s="539" t="str">
        <f t="shared" si="79"/>
        <v/>
      </c>
      <c r="AH184" s="32">
        <f t="shared" si="60"/>
        <v>0</v>
      </c>
      <c r="AI184" s="32">
        <f t="shared" si="61"/>
        <v>0</v>
      </c>
      <c r="AJ184" s="32">
        <f t="shared" si="62"/>
        <v>0</v>
      </c>
      <c r="AK184" t="str">
        <f t="shared" si="63"/>
        <v/>
      </c>
      <c r="AL184" t="str">
        <f t="shared" si="64"/>
        <v/>
      </c>
      <c r="AM184" t="str">
        <f t="shared" si="65"/>
        <v/>
      </c>
      <c r="AO184" t="str">
        <f>IFERROR(VLOOKUP(M184,'Fixture Identities'!$B$9:$O$1045,14,FALSE),"")</f>
        <v/>
      </c>
      <c r="AP184" t="str">
        <f t="shared" si="59"/>
        <v/>
      </c>
    </row>
    <row r="185" spans="1:42">
      <c r="A185" s="71">
        <f t="shared" si="80"/>
        <v>0</v>
      </c>
      <c r="B185" s="513">
        <f t="shared" si="66"/>
        <v>173</v>
      </c>
      <c r="C185" s="530" t="str">
        <f>IF(Inventory!E182="","",Inventory!E182)</f>
        <v/>
      </c>
      <c r="D185" s="531">
        <f>IF(Inventory!D182="",0,Inventory!D182)</f>
        <v>0</v>
      </c>
      <c r="E185" s="532" t="str">
        <f>IF(Inventory!I182=0,"",Inventory!I182)</f>
        <v/>
      </c>
      <c r="F185" s="533" t="str">
        <f t="shared" si="67"/>
        <v/>
      </c>
      <c r="G185" s="534" t="str">
        <f>IF(Inventory!G182="","",Inventory!G182)</f>
        <v/>
      </c>
      <c r="H185" s="535" t="str">
        <f t="shared" si="68"/>
        <v/>
      </c>
      <c r="I185" s="536" t="str">
        <f>IF(Inventory!J182="","",Inventory!J182)</f>
        <v/>
      </c>
      <c r="J185" s="537" t="str">
        <f>IFERROR(IF(PRJ_Type="New Construction",IF(Inventory!C182="N",INDEX(xyLPD_BuildingArea,MATCH(Building_Type,Lookups!$F$37:$F$75,0),4),INDEX(xyLPD_SpaceBySpace,MATCH(INDEX(xyNCEx,MATCH(I185,yNCExArea,0),2),ySpace_by_Space_Type,0),2)),VLOOKUP(E185,xyWattage_Table,11,FALSE)),"")</f>
        <v/>
      </c>
      <c r="K185" s="538" t="str">
        <f>IFERROR(IF(AND(NC_Type="Building Area Method",Inventory!C182="N"),IF(ISERROR(INDEX('Usage Groups (&gt;120 MWh only)'!$N$8:$N$12,MATCH(C185,'Usage Groups (&gt;120 MWh only)'!$B$8:$B$12,0),1))=TRUE,SqFt/COUNTIFS(Inventory!$C$10:$C$1009,"N",$Q$13:$Q$1012,"&gt;=0"),INDEX('Usage Groups (&gt;120 MWh only)'!$N$8:$N$12,MATCH(C185,'Usage Groups (&gt;120 MWh only)'!$B$8:$B$12,0),1)/COUNTIF($C$13:$C$1012,C185)),IF(AND(NC_Type="Building Area Method",Inventory!C182="Y"),INDEX(xyNCEx,MATCH(I185,yNCExArea,0),3)/COUNTIF($I$13:$I$1012,I185),VLOOKUP(J185,xyWattage_Table,10,FALSE))),"")</f>
        <v/>
      </c>
      <c r="L185" s="539" t="str">
        <f t="shared" si="69"/>
        <v/>
      </c>
      <c r="M185" s="540">
        <f>IF(Inventory!N182="","",Inventory!N182)</f>
        <v>0</v>
      </c>
      <c r="N185" s="533" t="str">
        <f t="shared" si="70"/>
        <v/>
      </c>
      <c r="O185" s="534"/>
      <c r="P185" s="533" t="str">
        <f t="shared" si="71"/>
        <v/>
      </c>
      <c r="Q185" s="534" t="str">
        <f>IF(Inventory!L182="","",Inventory!L182)</f>
        <v/>
      </c>
      <c r="R185" s="535" t="str">
        <f t="shared" si="72"/>
        <v/>
      </c>
      <c r="S185" s="536" t="str">
        <f>IF(Inventory!O182="","",Inventory!O182)</f>
        <v/>
      </c>
      <c r="T185" s="541" t="str">
        <f>IFERROR(IF(C185="","",IF(INDEX(xyWattage_Table,MATCH(M185,'Fixture Identities'!$B$9:$B$997,0),2)="Exit Sign",8760,IF(VLOOKUP(C185,xySpace_Type_Details,8,FALSE)="TRM",INDEX('General Information'!$AF$17:$AG$28,11,MATCH(N185,'General Information'!$AF$16:$AG$16,0)),HLOOKUP(VLOOKUP(C185,xySpace_Type_Details,8,FALSE),'General Information'!$P$15:$AG$28,13,FALSE)))),"")</f>
        <v/>
      </c>
      <c r="U185" s="542" t="str">
        <f>IFERROR(IF(C185="","",IF(INDEX(xyWattage_Table,MATCH(M185,'Fixture Identities'!$B$9:$B$997,0),2)="Exit Sign",1,IF(VLOOKUP(C185,xySpace_Type_Details,8,FALSE)="TRM",INDEX('General Information'!$AF$17:$AG$28,12,MATCH(N185,'General Information'!$AF$16:$AG$16,0)),HLOOKUP(VLOOKUP(C185,xySpace_Type_Details,8,FALSE),'General Information'!$P$15:$AG$28,14,FALSE)))),"")</f>
        <v/>
      </c>
      <c r="V185" s="542" t="str">
        <f>IFERROR(VLOOKUP(INDEX(xySpace_Type_Details,MATCH($C185,'General Information'!$C$40:$C$60,0),12),Lookups!$L$8:$N$12,2,FALSE),"")</f>
        <v/>
      </c>
      <c r="W185" s="542" t="str">
        <f>IFERROR(VLOOKUP(INDEX(xySpace_Type_Details,MATCH($C185,'General Information'!$C$40:$C$60,0),12),Lookups!$L$8:$N$12,3,FALSE),"")</f>
        <v/>
      </c>
      <c r="Y185" s="542" t="str">
        <f>IFERROR(IF(C185="","",IF(INDEX(xyWattage_Table,MATCH(M185,'Fixture Identities'!$B$9:$B$997,0),2)="Exit Sign",0,IF(PRJ_Type="Retrofit",VLOOKUP(I185,xySVG_Factors,2,FALSE),IF(AND(PRJ_Type="New Construction",Inventory!C182="N"),VLOOKUP(VLOOKUP(Building_Type,xyLPD_BuildingArea,5,FALSE),xySVG_Factors_NC,3,FALSE),0)))),"")</f>
        <v/>
      </c>
      <c r="Z185" s="544" t="str">
        <f>IFERROR(IF(C185="","",IF(INDEX(xyWattage_Table,MATCH(M185,'Fixture Identities'!$B$9:$B$997,0),2)="Exit Sign",0,VLOOKUP(S185,xySVG_Factors,2,FALSE))),"")</f>
        <v/>
      </c>
      <c r="AA185" s="545" t="str">
        <f t="shared" si="73"/>
        <v/>
      </c>
      <c r="AB185" s="542" t="str">
        <f t="shared" si="74"/>
        <v/>
      </c>
      <c r="AC185" s="539" t="str">
        <f t="shared" si="75"/>
        <v/>
      </c>
      <c r="AD185" s="546" t="str">
        <f t="shared" si="76"/>
        <v/>
      </c>
      <c r="AE185" s="539" t="str">
        <f t="shared" si="77"/>
        <v/>
      </c>
      <c r="AF185" s="546" t="str">
        <f t="shared" si="78"/>
        <v/>
      </c>
      <c r="AG185" s="539" t="str">
        <f t="shared" si="79"/>
        <v/>
      </c>
      <c r="AH185" s="32">
        <f t="shared" si="60"/>
        <v>0</v>
      </c>
      <c r="AI185" s="32">
        <f t="shared" si="61"/>
        <v>0</v>
      </c>
      <c r="AJ185" s="32">
        <f t="shared" si="62"/>
        <v>0</v>
      </c>
      <c r="AK185" t="str">
        <f t="shared" si="63"/>
        <v/>
      </c>
      <c r="AL185" t="str">
        <f t="shared" si="64"/>
        <v/>
      </c>
      <c r="AM185" t="str">
        <f t="shared" si="65"/>
        <v/>
      </c>
      <c r="AO185" t="str">
        <f>IFERROR(VLOOKUP(M185,'Fixture Identities'!$B$9:$O$1045,14,FALSE),"")</f>
        <v/>
      </c>
      <c r="AP185" t="str">
        <f t="shared" si="59"/>
        <v/>
      </c>
    </row>
    <row r="186" spans="1:42">
      <c r="A186" s="71">
        <f t="shared" si="80"/>
        <v>0</v>
      </c>
      <c r="B186" s="513">
        <f t="shared" si="66"/>
        <v>174</v>
      </c>
      <c r="C186" s="530" t="str">
        <f>IF(Inventory!E183="","",Inventory!E183)</f>
        <v/>
      </c>
      <c r="D186" s="531">
        <f>IF(Inventory!D183="",0,Inventory!D183)</f>
        <v>0</v>
      </c>
      <c r="E186" s="532" t="str">
        <f>IF(Inventory!I183=0,"",Inventory!I183)</f>
        <v/>
      </c>
      <c r="F186" s="533" t="str">
        <f t="shared" si="67"/>
        <v/>
      </c>
      <c r="G186" s="534" t="str">
        <f>IF(Inventory!G183="","",Inventory!G183)</f>
        <v/>
      </c>
      <c r="H186" s="535" t="str">
        <f t="shared" si="68"/>
        <v/>
      </c>
      <c r="I186" s="536" t="str">
        <f>IF(Inventory!J183="","",Inventory!J183)</f>
        <v/>
      </c>
      <c r="J186" s="537" t="str">
        <f>IFERROR(IF(PRJ_Type="New Construction",IF(Inventory!C183="N",INDEX(xyLPD_BuildingArea,MATCH(Building_Type,Lookups!$F$37:$F$75,0),4),INDEX(xyLPD_SpaceBySpace,MATCH(INDEX(xyNCEx,MATCH(I186,yNCExArea,0),2),ySpace_by_Space_Type,0),2)),VLOOKUP(E186,xyWattage_Table,11,FALSE)),"")</f>
        <v/>
      </c>
      <c r="K186" s="538" t="str">
        <f>IFERROR(IF(AND(NC_Type="Building Area Method",Inventory!C183="N"),IF(ISERROR(INDEX('Usage Groups (&gt;120 MWh only)'!$N$8:$N$12,MATCH(C186,'Usage Groups (&gt;120 MWh only)'!$B$8:$B$12,0),1))=TRUE,SqFt/COUNTIFS(Inventory!$C$10:$C$1009,"N",$Q$13:$Q$1012,"&gt;=0"),INDEX('Usage Groups (&gt;120 MWh only)'!$N$8:$N$12,MATCH(C186,'Usage Groups (&gt;120 MWh only)'!$B$8:$B$12,0),1)/COUNTIF($C$13:$C$1012,C186)),IF(AND(NC_Type="Building Area Method",Inventory!C183="Y"),INDEX(xyNCEx,MATCH(I186,yNCExArea,0),3)/COUNTIF($I$13:$I$1012,I186),VLOOKUP(J186,xyWattage_Table,10,FALSE))),"")</f>
        <v/>
      </c>
      <c r="L186" s="539" t="str">
        <f t="shared" si="69"/>
        <v/>
      </c>
      <c r="M186" s="540">
        <f>IF(Inventory!N183="","",Inventory!N183)</f>
        <v>0</v>
      </c>
      <c r="N186" s="533" t="str">
        <f t="shared" si="70"/>
        <v/>
      </c>
      <c r="O186" s="534"/>
      <c r="P186" s="533" t="str">
        <f t="shared" si="71"/>
        <v/>
      </c>
      <c r="Q186" s="534" t="str">
        <f>IF(Inventory!L183="","",Inventory!L183)</f>
        <v/>
      </c>
      <c r="R186" s="535" t="str">
        <f t="shared" si="72"/>
        <v/>
      </c>
      <c r="S186" s="536" t="str">
        <f>IF(Inventory!O183="","",Inventory!O183)</f>
        <v/>
      </c>
      <c r="T186" s="541" t="str">
        <f>IFERROR(IF(C186="","",IF(INDEX(xyWattage_Table,MATCH(M186,'Fixture Identities'!$B$9:$B$997,0),2)="Exit Sign",8760,IF(VLOOKUP(C186,xySpace_Type_Details,8,FALSE)="TRM",INDEX('General Information'!$AF$17:$AG$28,11,MATCH(N186,'General Information'!$AF$16:$AG$16,0)),HLOOKUP(VLOOKUP(C186,xySpace_Type_Details,8,FALSE),'General Information'!$P$15:$AG$28,13,FALSE)))),"")</f>
        <v/>
      </c>
      <c r="U186" s="542" t="str">
        <f>IFERROR(IF(C186="","",IF(INDEX(xyWattage_Table,MATCH(M186,'Fixture Identities'!$B$9:$B$997,0),2)="Exit Sign",1,IF(VLOOKUP(C186,xySpace_Type_Details,8,FALSE)="TRM",INDEX('General Information'!$AF$17:$AG$28,12,MATCH(N186,'General Information'!$AF$16:$AG$16,0)),HLOOKUP(VLOOKUP(C186,xySpace_Type_Details,8,FALSE),'General Information'!$P$15:$AG$28,14,FALSE)))),"")</f>
        <v/>
      </c>
      <c r="V186" s="542" t="str">
        <f>IFERROR(VLOOKUP(INDEX(xySpace_Type_Details,MATCH($C186,'General Information'!$C$40:$C$60,0),12),Lookups!$L$8:$N$12,2,FALSE),"")</f>
        <v/>
      </c>
      <c r="W186" s="542" t="str">
        <f>IFERROR(VLOOKUP(INDEX(xySpace_Type_Details,MATCH($C186,'General Information'!$C$40:$C$60,0),12),Lookups!$L$8:$N$12,3,FALSE),"")</f>
        <v/>
      </c>
      <c r="Y186" s="542" t="str">
        <f>IFERROR(IF(C186="","",IF(INDEX(xyWattage_Table,MATCH(M186,'Fixture Identities'!$B$9:$B$997,0),2)="Exit Sign",0,IF(PRJ_Type="Retrofit",VLOOKUP(I186,xySVG_Factors,2,FALSE),IF(AND(PRJ_Type="New Construction",Inventory!C183="N"),VLOOKUP(VLOOKUP(Building_Type,xyLPD_BuildingArea,5,FALSE),xySVG_Factors_NC,3,FALSE),0)))),"")</f>
        <v/>
      </c>
      <c r="Z186" s="544" t="str">
        <f>IFERROR(IF(C186="","",IF(INDEX(xyWattage_Table,MATCH(M186,'Fixture Identities'!$B$9:$B$997,0),2)="Exit Sign",0,VLOOKUP(S186,xySVG_Factors,2,FALSE))),"")</f>
        <v/>
      </c>
      <c r="AA186" s="545" t="str">
        <f t="shared" si="73"/>
        <v/>
      </c>
      <c r="AB186" s="542" t="str">
        <f t="shared" si="74"/>
        <v/>
      </c>
      <c r="AC186" s="539" t="str">
        <f t="shared" si="75"/>
        <v/>
      </c>
      <c r="AD186" s="546" t="str">
        <f t="shared" si="76"/>
        <v/>
      </c>
      <c r="AE186" s="539" t="str">
        <f t="shared" si="77"/>
        <v/>
      </c>
      <c r="AF186" s="546" t="str">
        <f t="shared" si="78"/>
        <v/>
      </c>
      <c r="AG186" s="539" t="str">
        <f t="shared" si="79"/>
        <v/>
      </c>
      <c r="AH186" s="32">
        <f t="shared" si="60"/>
        <v>0</v>
      </c>
      <c r="AI186" s="32">
        <f t="shared" si="61"/>
        <v>0</v>
      </c>
      <c r="AJ186" s="32">
        <f t="shared" si="62"/>
        <v>0</v>
      </c>
      <c r="AK186" t="str">
        <f t="shared" si="63"/>
        <v/>
      </c>
      <c r="AL186" t="str">
        <f t="shared" si="64"/>
        <v/>
      </c>
      <c r="AM186" t="str">
        <f t="shared" si="65"/>
        <v/>
      </c>
      <c r="AO186" t="str">
        <f>IFERROR(VLOOKUP(M186,'Fixture Identities'!$B$9:$O$1045,14,FALSE),"")</f>
        <v/>
      </c>
      <c r="AP186" t="str">
        <f t="shared" si="59"/>
        <v/>
      </c>
    </row>
    <row r="187" spans="1:42">
      <c r="A187" s="71">
        <f t="shared" si="80"/>
        <v>0</v>
      </c>
      <c r="B187" s="513">
        <f t="shared" si="66"/>
        <v>175</v>
      </c>
      <c r="C187" s="530" t="str">
        <f>IF(Inventory!E184="","",Inventory!E184)</f>
        <v/>
      </c>
      <c r="D187" s="531">
        <f>IF(Inventory!D184="",0,Inventory!D184)</f>
        <v>0</v>
      </c>
      <c r="E187" s="532" t="str">
        <f>IF(Inventory!I184=0,"",Inventory!I184)</f>
        <v/>
      </c>
      <c r="F187" s="533" t="str">
        <f t="shared" si="67"/>
        <v/>
      </c>
      <c r="G187" s="534" t="str">
        <f>IF(Inventory!G184="","",Inventory!G184)</f>
        <v/>
      </c>
      <c r="H187" s="535" t="str">
        <f t="shared" si="68"/>
        <v/>
      </c>
      <c r="I187" s="536" t="str">
        <f>IF(Inventory!J184="","",Inventory!J184)</f>
        <v/>
      </c>
      <c r="J187" s="537" t="str">
        <f>IFERROR(IF(PRJ_Type="New Construction",IF(Inventory!C184="N",INDEX(xyLPD_BuildingArea,MATCH(Building_Type,Lookups!$F$37:$F$75,0),4),INDEX(xyLPD_SpaceBySpace,MATCH(INDEX(xyNCEx,MATCH(I187,yNCExArea,0),2),ySpace_by_Space_Type,0),2)),VLOOKUP(E187,xyWattage_Table,11,FALSE)),"")</f>
        <v/>
      </c>
      <c r="K187" s="538" t="str">
        <f>IFERROR(IF(AND(NC_Type="Building Area Method",Inventory!C184="N"),IF(ISERROR(INDEX('Usage Groups (&gt;120 MWh only)'!$N$8:$N$12,MATCH(C187,'Usage Groups (&gt;120 MWh only)'!$B$8:$B$12,0),1))=TRUE,SqFt/COUNTIFS(Inventory!$C$10:$C$1009,"N",$Q$13:$Q$1012,"&gt;=0"),INDEX('Usage Groups (&gt;120 MWh only)'!$N$8:$N$12,MATCH(C187,'Usage Groups (&gt;120 MWh only)'!$B$8:$B$12,0),1)/COUNTIF($C$13:$C$1012,C187)),IF(AND(NC_Type="Building Area Method",Inventory!C184="Y"),INDEX(xyNCEx,MATCH(I187,yNCExArea,0),3)/COUNTIF($I$13:$I$1012,I187),VLOOKUP(J187,xyWattage_Table,10,FALSE))),"")</f>
        <v/>
      </c>
      <c r="L187" s="539" t="str">
        <f t="shared" si="69"/>
        <v/>
      </c>
      <c r="M187" s="540">
        <f>IF(Inventory!N184="","",Inventory!N184)</f>
        <v>0</v>
      </c>
      <c r="N187" s="533" t="str">
        <f t="shared" si="70"/>
        <v/>
      </c>
      <c r="O187" s="534"/>
      <c r="P187" s="533" t="str">
        <f t="shared" si="71"/>
        <v/>
      </c>
      <c r="Q187" s="534" t="str">
        <f>IF(Inventory!L184="","",Inventory!L184)</f>
        <v/>
      </c>
      <c r="R187" s="535" t="str">
        <f t="shared" si="72"/>
        <v/>
      </c>
      <c r="S187" s="536" t="str">
        <f>IF(Inventory!O184="","",Inventory!O184)</f>
        <v/>
      </c>
      <c r="T187" s="541" t="str">
        <f>IFERROR(IF(C187="","",IF(INDEX(xyWattage_Table,MATCH(M187,'Fixture Identities'!$B$9:$B$997,0),2)="Exit Sign",8760,IF(VLOOKUP(C187,xySpace_Type_Details,8,FALSE)="TRM",INDEX('General Information'!$AF$17:$AG$28,11,MATCH(N187,'General Information'!$AF$16:$AG$16,0)),HLOOKUP(VLOOKUP(C187,xySpace_Type_Details,8,FALSE),'General Information'!$P$15:$AG$28,13,FALSE)))),"")</f>
        <v/>
      </c>
      <c r="U187" s="542" t="str">
        <f>IFERROR(IF(C187="","",IF(INDEX(xyWattage_Table,MATCH(M187,'Fixture Identities'!$B$9:$B$997,0),2)="Exit Sign",1,IF(VLOOKUP(C187,xySpace_Type_Details,8,FALSE)="TRM",INDEX('General Information'!$AF$17:$AG$28,12,MATCH(N187,'General Information'!$AF$16:$AG$16,0)),HLOOKUP(VLOOKUP(C187,xySpace_Type_Details,8,FALSE),'General Information'!$P$15:$AG$28,14,FALSE)))),"")</f>
        <v/>
      </c>
      <c r="V187" s="542" t="str">
        <f>IFERROR(VLOOKUP(INDEX(xySpace_Type_Details,MATCH($C187,'General Information'!$C$40:$C$60,0),12),Lookups!$L$8:$N$12,2,FALSE),"")</f>
        <v/>
      </c>
      <c r="W187" s="542" t="str">
        <f>IFERROR(VLOOKUP(INDEX(xySpace_Type_Details,MATCH($C187,'General Information'!$C$40:$C$60,0),12),Lookups!$L$8:$N$12,3,FALSE),"")</f>
        <v/>
      </c>
      <c r="Y187" s="542" t="str">
        <f>IFERROR(IF(C187="","",IF(INDEX(xyWattage_Table,MATCH(M187,'Fixture Identities'!$B$9:$B$997,0),2)="Exit Sign",0,IF(PRJ_Type="Retrofit",VLOOKUP(I187,xySVG_Factors,2,FALSE),IF(AND(PRJ_Type="New Construction",Inventory!C184="N"),VLOOKUP(VLOOKUP(Building_Type,xyLPD_BuildingArea,5,FALSE),xySVG_Factors_NC,3,FALSE),0)))),"")</f>
        <v/>
      </c>
      <c r="Z187" s="544" t="str">
        <f>IFERROR(IF(C187="","",IF(INDEX(xyWattage_Table,MATCH(M187,'Fixture Identities'!$B$9:$B$997,0),2)="Exit Sign",0,VLOOKUP(S187,xySVG_Factors,2,FALSE))),"")</f>
        <v/>
      </c>
      <c r="AA187" s="545" t="str">
        <f t="shared" si="73"/>
        <v/>
      </c>
      <c r="AB187" s="542" t="str">
        <f t="shared" si="74"/>
        <v/>
      </c>
      <c r="AC187" s="539" t="str">
        <f t="shared" si="75"/>
        <v/>
      </c>
      <c r="AD187" s="546" t="str">
        <f t="shared" si="76"/>
        <v/>
      </c>
      <c r="AE187" s="539" t="str">
        <f t="shared" si="77"/>
        <v/>
      </c>
      <c r="AF187" s="546" t="str">
        <f t="shared" si="78"/>
        <v/>
      </c>
      <c r="AG187" s="539" t="str">
        <f t="shared" si="79"/>
        <v/>
      </c>
      <c r="AH187" s="32">
        <f t="shared" si="60"/>
        <v>0</v>
      </c>
      <c r="AI187" s="32">
        <f t="shared" si="61"/>
        <v>0</v>
      </c>
      <c r="AJ187" s="32">
        <f t="shared" si="62"/>
        <v>0</v>
      </c>
      <c r="AK187" t="str">
        <f t="shared" si="63"/>
        <v/>
      </c>
      <c r="AL187" t="str">
        <f t="shared" si="64"/>
        <v/>
      </c>
      <c r="AM187" t="str">
        <f t="shared" si="65"/>
        <v/>
      </c>
      <c r="AO187" t="str">
        <f>IFERROR(VLOOKUP(M187,'Fixture Identities'!$B$9:$O$1045,14,FALSE),"")</f>
        <v/>
      </c>
      <c r="AP187" t="str">
        <f t="shared" si="59"/>
        <v/>
      </c>
    </row>
    <row r="188" spans="1:42">
      <c r="A188" s="71">
        <f t="shared" si="80"/>
        <v>0</v>
      </c>
      <c r="B188" s="513">
        <f t="shared" si="66"/>
        <v>176</v>
      </c>
      <c r="C188" s="530" t="str">
        <f>IF(Inventory!E185="","",Inventory!E185)</f>
        <v/>
      </c>
      <c r="D188" s="531">
        <f>IF(Inventory!D185="",0,Inventory!D185)</f>
        <v>0</v>
      </c>
      <c r="E188" s="532" t="str">
        <f>IF(Inventory!I185=0,"",Inventory!I185)</f>
        <v/>
      </c>
      <c r="F188" s="533" t="str">
        <f t="shared" si="67"/>
        <v/>
      </c>
      <c r="G188" s="534" t="str">
        <f>IF(Inventory!G185="","",Inventory!G185)</f>
        <v/>
      </c>
      <c r="H188" s="535" t="str">
        <f t="shared" si="68"/>
        <v/>
      </c>
      <c r="I188" s="536" t="str">
        <f>IF(Inventory!J185="","",Inventory!J185)</f>
        <v/>
      </c>
      <c r="J188" s="537" t="str">
        <f>IFERROR(IF(PRJ_Type="New Construction",IF(Inventory!C185="N",INDEX(xyLPD_BuildingArea,MATCH(Building_Type,Lookups!$F$37:$F$75,0),4),INDEX(xyLPD_SpaceBySpace,MATCH(INDEX(xyNCEx,MATCH(I188,yNCExArea,0),2),ySpace_by_Space_Type,0),2)),VLOOKUP(E188,xyWattage_Table,11,FALSE)),"")</f>
        <v/>
      </c>
      <c r="K188" s="538" t="str">
        <f>IFERROR(IF(AND(NC_Type="Building Area Method",Inventory!C185="N"),IF(ISERROR(INDEX('Usage Groups (&gt;120 MWh only)'!$N$8:$N$12,MATCH(C188,'Usage Groups (&gt;120 MWh only)'!$B$8:$B$12,0),1))=TRUE,SqFt/COUNTIFS(Inventory!$C$10:$C$1009,"N",$Q$13:$Q$1012,"&gt;=0"),INDEX('Usage Groups (&gt;120 MWh only)'!$N$8:$N$12,MATCH(C188,'Usage Groups (&gt;120 MWh only)'!$B$8:$B$12,0),1)/COUNTIF($C$13:$C$1012,C188)),IF(AND(NC_Type="Building Area Method",Inventory!C185="Y"),INDEX(xyNCEx,MATCH(I188,yNCExArea,0),3)/COUNTIF($I$13:$I$1012,I188),VLOOKUP(J188,xyWattage_Table,10,FALSE))),"")</f>
        <v/>
      </c>
      <c r="L188" s="539" t="str">
        <f t="shared" si="69"/>
        <v/>
      </c>
      <c r="M188" s="540">
        <f>IF(Inventory!N185="","",Inventory!N185)</f>
        <v>0</v>
      </c>
      <c r="N188" s="533" t="str">
        <f t="shared" si="70"/>
        <v/>
      </c>
      <c r="O188" s="534"/>
      <c r="P188" s="533" t="str">
        <f t="shared" si="71"/>
        <v/>
      </c>
      <c r="Q188" s="534" t="str">
        <f>IF(Inventory!L185="","",Inventory!L185)</f>
        <v/>
      </c>
      <c r="R188" s="535" t="str">
        <f t="shared" si="72"/>
        <v/>
      </c>
      <c r="S188" s="536" t="str">
        <f>IF(Inventory!O185="","",Inventory!O185)</f>
        <v/>
      </c>
      <c r="T188" s="541" t="str">
        <f>IFERROR(IF(C188="","",IF(INDEX(xyWattage_Table,MATCH(M188,'Fixture Identities'!$B$9:$B$997,0),2)="Exit Sign",8760,IF(VLOOKUP(C188,xySpace_Type_Details,8,FALSE)="TRM",INDEX('General Information'!$AF$17:$AG$28,11,MATCH(N188,'General Information'!$AF$16:$AG$16,0)),HLOOKUP(VLOOKUP(C188,xySpace_Type_Details,8,FALSE),'General Information'!$P$15:$AG$28,13,FALSE)))),"")</f>
        <v/>
      </c>
      <c r="U188" s="542" t="str">
        <f>IFERROR(IF(C188="","",IF(INDEX(xyWattage_Table,MATCH(M188,'Fixture Identities'!$B$9:$B$997,0),2)="Exit Sign",1,IF(VLOOKUP(C188,xySpace_Type_Details,8,FALSE)="TRM",INDEX('General Information'!$AF$17:$AG$28,12,MATCH(N188,'General Information'!$AF$16:$AG$16,0)),HLOOKUP(VLOOKUP(C188,xySpace_Type_Details,8,FALSE),'General Information'!$P$15:$AG$28,14,FALSE)))),"")</f>
        <v/>
      </c>
      <c r="V188" s="542" t="str">
        <f>IFERROR(VLOOKUP(INDEX(xySpace_Type_Details,MATCH($C188,'General Information'!$C$40:$C$60,0),12),Lookups!$L$8:$N$12,2,FALSE),"")</f>
        <v/>
      </c>
      <c r="W188" s="542" t="str">
        <f>IFERROR(VLOOKUP(INDEX(xySpace_Type_Details,MATCH($C188,'General Information'!$C$40:$C$60,0),12),Lookups!$L$8:$N$12,3,FALSE),"")</f>
        <v/>
      </c>
      <c r="Y188" s="542" t="str">
        <f>IFERROR(IF(C188="","",IF(INDEX(xyWattage_Table,MATCH(M188,'Fixture Identities'!$B$9:$B$997,0),2)="Exit Sign",0,IF(PRJ_Type="Retrofit",VLOOKUP(I188,xySVG_Factors,2,FALSE),IF(AND(PRJ_Type="New Construction",Inventory!C185="N"),VLOOKUP(VLOOKUP(Building_Type,xyLPD_BuildingArea,5,FALSE),xySVG_Factors_NC,3,FALSE),0)))),"")</f>
        <v/>
      </c>
      <c r="Z188" s="544" t="str">
        <f>IFERROR(IF(C188="","",IF(INDEX(xyWattage_Table,MATCH(M188,'Fixture Identities'!$B$9:$B$997,0),2)="Exit Sign",0,VLOOKUP(S188,xySVG_Factors,2,FALSE))),"")</f>
        <v/>
      </c>
      <c r="AA188" s="545" t="str">
        <f t="shared" si="73"/>
        <v/>
      </c>
      <c r="AB188" s="542" t="str">
        <f t="shared" si="74"/>
        <v/>
      </c>
      <c r="AC188" s="539" t="str">
        <f t="shared" si="75"/>
        <v/>
      </c>
      <c r="AD188" s="546" t="str">
        <f t="shared" si="76"/>
        <v/>
      </c>
      <c r="AE188" s="539" t="str">
        <f t="shared" si="77"/>
        <v/>
      </c>
      <c r="AF188" s="546" t="str">
        <f t="shared" si="78"/>
        <v/>
      </c>
      <c r="AG188" s="539" t="str">
        <f t="shared" si="79"/>
        <v/>
      </c>
      <c r="AH188" s="32">
        <f t="shared" si="60"/>
        <v>0</v>
      </c>
      <c r="AI188" s="32">
        <f t="shared" si="61"/>
        <v>0</v>
      </c>
      <c r="AJ188" s="32">
        <f t="shared" si="62"/>
        <v>0</v>
      </c>
      <c r="AK188" t="str">
        <f t="shared" si="63"/>
        <v/>
      </c>
      <c r="AL188" t="str">
        <f t="shared" si="64"/>
        <v/>
      </c>
      <c r="AM188" t="str">
        <f t="shared" si="65"/>
        <v/>
      </c>
      <c r="AO188" t="str">
        <f>IFERROR(VLOOKUP(M188,'Fixture Identities'!$B$9:$O$1045,14,FALSE),"")</f>
        <v/>
      </c>
      <c r="AP188" t="str">
        <f t="shared" si="59"/>
        <v/>
      </c>
    </row>
    <row r="189" spans="1:42">
      <c r="A189" s="71">
        <f t="shared" si="80"/>
        <v>0</v>
      </c>
      <c r="B189" s="513">
        <f t="shared" si="66"/>
        <v>177</v>
      </c>
      <c r="C189" s="530" t="str">
        <f>IF(Inventory!E186="","",Inventory!E186)</f>
        <v/>
      </c>
      <c r="D189" s="531">
        <f>IF(Inventory!D186="",0,Inventory!D186)</f>
        <v>0</v>
      </c>
      <c r="E189" s="532" t="str">
        <f>IF(Inventory!I186=0,"",Inventory!I186)</f>
        <v/>
      </c>
      <c r="F189" s="533" t="str">
        <f t="shared" si="67"/>
        <v/>
      </c>
      <c r="G189" s="534" t="str">
        <f>IF(Inventory!G186="","",Inventory!G186)</f>
        <v/>
      </c>
      <c r="H189" s="535" t="str">
        <f t="shared" si="68"/>
        <v/>
      </c>
      <c r="I189" s="536" t="str">
        <f>IF(Inventory!J186="","",Inventory!J186)</f>
        <v/>
      </c>
      <c r="J189" s="537" t="str">
        <f>IFERROR(IF(PRJ_Type="New Construction",IF(Inventory!C186="N",INDEX(xyLPD_BuildingArea,MATCH(Building_Type,Lookups!$F$37:$F$75,0),4),INDEX(xyLPD_SpaceBySpace,MATCH(INDEX(xyNCEx,MATCH(I189,yNCExArea,0),2),ySpace_by_Space_Type,0),2)),VLOOKUP(E189,xyWattage_Table,11,FALSE)),"")</f>
        <v/>
      </c>
      <c r="K189" s="538" t="str">
        <f>IFERROR(IF(AND(NC_Type="Building Area Method",Inventory!C186="N"),IF(ISERROR(INDEX('Usage Groups (&gt;120 MWh only)'!$N$8:$N$12,MATCH(C189,'Usage Groups (&gt;120 MWh only)'!$B$8:$B$12,0),1))=TRUE,SqFt/COUNTIFS(Inventory!$C$10:$C$1009,"N",$Q$13:$Q$1012,"&gt;=0"),INDEX('Usage Groups (&gt;120 MWh only)'!$N$8:$N$12,MATCH(C189,'Usage Groups (&gt;120 MWh only)'!$B$8:$B$12,0),1)/COUNTIF($C$13:$C$1012,C189)),IF(AND(NC_Type="Building Area Method",Inventory!C186="Y"),INDEX(xyNCEx,MATCH(I189,yNCExArea,0),3)/COUNTIF($I$13:$I$1012,I189),VLOOKUP(J189,xyWattage_Table,10,FALSE))),"")</f>
        <v/>
      </c>
      <c r="L189" s="539" t="str">
        <f t="shared" si="69"/>
        <v/>
      </c>
      <c r="M189" s="540">
        <f>IF(Inventory!N186="","",Inventory!N186)</f>
        <v>0</v>
      </c>
      <c r="N189" s="533" t="str">
        <f t="shared" si="70"/>
        <v/>
      </c>
      <c r="O189" s="534"/>
      <c r="P189" s="533" t="str">
        <f t="shared" si="71"/>
        <v/>
      </c>
      <c r="Q189" s="534" t="str">
        <f>IF(Inventory!L186="","",Inventory!L186)</f>
        <v/>
      </c>
      <c r="R189" s="535" t="str">
        <f t="shared" si="72"/>
        <v/>
      </c>
      <c r="S189" s="536" t="str">
        <f>IF(Inventory!O186="","",Inventory!O186)</f>
        <v/>
      </c>
      <c r="T189" s="541" t="str">
        <f>IFERROR(IF(C189="","",IF(INDEX(xyWattage_Table,MATCH(M189,'Fixture Identities'!$B$9:$B$997,0),2)="Exit Sign",8760,IF(VLOOKUP(C189,xySpace_Type_Details,8,FALSE)="TRM",INDEX('General Information'!$AF$17:$AG$28,11,MATCH(N189,'General Information'!$AF$16:$AG$16,0)),HLOOKUP(VLOOKUP(C189,xySpace_Type_Details,8,FALSE),'General Information'!$P$15:$AG$28,13,FALSE)))),"")</f>
        <v/>
      </c>
      <c r="U189" s="542" t="str">
        <f>IFERROR(IF(C189="","",IF(INDEX(xyWattage_Table,MATCH(M189,'Fixture Identities'!$B$9:$B$997,0),2)="Exit Sign",1,IF(VLOOKUP(C189,xySpace_Type_Details,8,FALSE)="TRM",INDEX('General Information'!$AF$17:$AG$28,12,MATCH(N189,'General Information'!$AF$16:$AG$16,0)),HLOOKUP(VLOOKUP(C189,xySpace_Type_Details,8,FALSE),'General Information'!$P$15:$AG$28,14,FALSE)))),"")</f>
        <v/>
      </c>
      <c r="V189" s="542" t="str">
        <f>IFERROR(VLOOKUP(INDEX(xySpace_Type_Details,MATCH($C189,'General Information'!$C$40:$C$60,0),12),Lookups!$L$8:$N$12,2,FALSE),"")</f>
        <v/>
      </c>
      <c r="W189" s="542" t="str">
        <f>IFERROR(VLOOKUP(INDEX(xySpace_Type_Details,MATCH($C189,'General Information'!$C$40:$C$60,0),12),Lookups!$L$8:$N$12,3,FALSE),"")</f>
        <v/>
      </c>
      <c r="Y189" s="542" t="str">
        <f>IFERROR(IF(C189="","",IF(INDEX(xyWattage_Table,MATCH(M189,'Fixture Identities'!$B$9:$B$997,0),2)="Exit Sign",0,IF(PRJ_Type="Retrofit",VLOOKUP(I189,xySVG_Factors,2,FALSE),IF(AND(PRJ_Type="New Construction",Inventory!C186="N"),VLOOKUP(VLOOKUP(Building_Type,xyLPD_BuildingArea,5,FALSE),xySVG_Factors_NC,3,FALSE),0)))),"")</f>
        <v/>
      </c>
      <c r="Z189" s="544" t="str">
        <f>IFERROR(IF(C189="","",IF(INDEX(xyWattage_Table,MATCH(M189,'Fixture Identities'!$B$9:$B$997,0),2)="Exit Sign",0,VLOOKUP(S189,xySVG_Factors,2,FALSE))),"")</f>
        <v/>
      </c>
      <c r="AA189" s="545" t="str">
        <f t="shared" si="73"/>
        <v/>
      </c>
      <c r="AB189" s="542" t="str">
        <f t="shared" si="74"/>
        <v/>
      </c>
      <c r="AC189" s="539" t="str">
        <f t="shared" si="75"/>
        <v/>
      </c>
      <c r="AD189" s="546" t="str">
        <f t="shared" si="76"/>
        <v/>
      </c>
      <c r="AE189" s="539" t="str">
        <f t="shared" si="77"/>
        <v/>
      </c>
      <c r="AF189" s="546" t="str">
        <f t="shared" si="78"/>
        <v/>
      </c>
      <c r="AG189" s="539" t="str">
        <f t="shared" si="79"/>
        <v/>
      </c>
      <c r="AH189" s="32">
        <f t="shared" si="60"/>
        <v>0</v>
      </c>
      <c r="AI189" s="32">
        <f t="shared" si="61"/>
        <v>0</v>
      </c>
      <c r="AJ189" s="32">
        <f t="shared" si="62"/>
        <v>0</v>
      </c>
      <c r="AK189" t="str">
        <f t="shared" si="63"/>
        <v/>
      </c>
      <c r="AL189" t="str">
        <f t="shared" si="64"/>
        <v/>
      </c>
      <c r="AM189" t="str">
        <f t="shared" si="65"/>
        <v/>
      </c>
      <c r="AO189" t="str">
        <f>IFERROR(VLOOKUP(M189,'Fixture Identities'!$B$9:$O$1045,14,FALSE),"")</f>
        <v/>
      </c>
      <c r="AP189" t="str">
        <f t="shared" si="59"/>
        <v/>
      </c>
    </row>
    <row r="190" spans="1:42">
      <c r="A190" s="71">
        <f t="shared" si="80"/>
        <v>0</v>
      </c>
      <c r="B190" s="513">
        <f t="shared" si="66"/>
        <v>178</v>
      </c>
      <c r="C190" s="530" t="str">
        <f>IF(Inventory!E187="","",Inventory!E187)</f>
        <v/>
      </c>
      <c r="D190" s="531">
        <f>IF(Inventory!D187="",0,Inventory!D187)</f>
        <v>0</v>
      </c>
      <c r="E190" s="532" t="str">
        <f>IF(Inventory!I187=0,"",Inventory!I187)</f>
        <v/>
      </c>
      <c r="F190" s="533" t="str">
        <f t="shared" si="67"/>
        <v/>
      </c>
      <c r="G190" s="534" t="str">
        <f>IF(Inventory!G187="","",Inventory!G187)</f>
        <v/>
      </c>
      <c r="H190" s="535" t="str">
        <f t="shared" si="68"/>
        <v/>
      </c>
      <c r="I190" s="536" t="str">
        <f>IF(Inventory!J187="","",Inventory!J187)</f>
        <v/>
      </c>
      <c r="J190" s="537" t="str">
        <f>IFERROR(IF(PRJ_Type="New Construction",IF(Inventory!C187="N",INDEX(xyLPD_BuildingArea,MATCH(Building_Type,Lookups!$F$37:$F$75,0),4),INDEX(xyLPD_SpaceBySpace,MATCH(INDEX(xyNCEx,MATCH(I190,yNCExArea,0),2),ySpace_by_Space_Type,0),2)),VLOOKUP(E190,xyWattage_Table,11,FALSE)),"")</f>
        <v/>
      </c>
      <c r="K190" s="538" t="str">
        <f>IFERROR(IF(AND(NC_Type="Building Area Method",Inventory!C187="N"),IF(ISERROR(INDEX('Usage Groups (&gt;120 MWh only)'!$N$8:$N$12,MATCH(C190,'Usage Groups (&gt;120 MWh only)'!$B$8:$B$12,0),1))=TRUE,SqFt/COUNTIFS(Inventory!$C$10:$C$1009,"N",$Q$13:$Q$1012,"&gt;=0"),INDEX('Usage Groups (&gt;120 MWh only)'!$N$8:$N$12,MATCH(C190,'Usage Groups (&gt;120 MWh only)'!$B$8:$B$12,0),1)/COUNTIF($C$13:$C$1012,C190)),IF(AND(NC_Type="Building Area Method",Inventory!C187="Y"),INDEX(xyNCEx,MATCH(I190,yNCExArea,0),3)/COUNTIF($I$13:$I$1012,I190),VLOOKUP(J190,xyWattage_Table,10,FALSE))),"")</f>
        <v/>
      </c>
      <c r="L190" s="539" t="str">
        <f t="shared" si="69"/>
        <v/>
      </c>
      <c r="M190" s="540">
        <f>IF(Inventory!N187="","",Inventory!N187)</f>
        <v>0</v>
      </c>
      <c r="N190" s="533" t="str">
        <f t="shared" si="70"/>
        <v/>
      </c>
      <c r="O190" s="534"/>
      <c r="P190" s="533" t="str">
        <f t="shared" si="71"/>
        <v/>
      </c>
      <c r="Q190" s="534" t="str">
        <f>IF(Inventory!L187="","",Inventory!L187)</f>
        <v/>
      </c>
      <c r="R190" s="535" t="str">
        <f t="shared" si="72"/>
        <v/>
      </c>
      <c r="S190" s="536" t="str">
        <f>IF(Inventory!O187="","",Inventory!O187)</f>
        <v/>
      </c>
      <c r="T190" s="541" t="str">
        <f>IFERROR(IF(C190="","",IF(INDEX(xyWattage_Table,MATCH(M190,'Fixture Identities'!$B$9:$B$997,0),2)="Exit Sign",8760,IF(VLOOKUP(C190,xySpace_Type_Details,8,FALSE)="TRM",INDEX('General Information'!$AF$17:$AG$28,11,MATCH(N190,'General Information'!$AF$16:$AG$16,0)),HLOOKUP(VLOOKUP(C190,xySpace_Type_Details,8,FALSE),'General Information'!$P$15:$AG$28,13,FALSE)))),"")</f>
        <v/>
      </c>
      <c r="U190" s="542" t="str">
        <f>IFERROR(IF(C190="","",IF(INDEX(xyWattage_Table,MATCH(M190,'Fixture Identities'!$B$9:$B$997,0),2)="Exit Sign",1,IF(VLOOKUP(C190,xySpace_Type_Details,8,FALSE)="TRM",INDEX('General Information'!$AF$17:$AG$28,12,MATCH(N190,'General Information'!$AF$16:$AG$16,0)),HLOOKUP(VLOOKUP(C190,xySpace_Type_Details,8,FALSE),'General Information'!$P$15:$AG$28,14,FALSE)))),"")</f>
        <v/>
      </c>
      <c r="V190" s="542" t="str">
        <f>IFERROR(VLOOKUP(INDEX(xySpace_Type_Details,MATCH($C190,'General Information'!$C$40:$C$60,0),12),Lookups!$L$8:$N$12,2,FALSE),"")</f>
        <v/>
      </c>
      <c r="W190" s="542" t="str">
        <f>IFERROR(VLOOKUP(INDEX(xySpace_Type_Details,MATCH($C190,'General Information'!$C$40:$C$60,0),12),Lookups!$L$8:$N$12,3,FALSE),"")</f>
        <v/>
      </c>
      <c r="Y190" s="542" t="str">
        <f>IFERROR(IF(C190="","",IF(INDEX(xyWattage_Table,MATCH(M190,'Fixture Identities'!$B$9:$B$997,0),2)="Exit Sign",0,IF(PRJ_Type="Retrofit",VLOOKUP(I190,xySVG_Factors,2,FALSE),IF(AND(PRJ_Type="New Construction",Inventory!C187="N"),VLOOKUP(VLOOKUP(Building_Type,xyLPD_BuildingArea,5,FALSE),xySVG_Factors_NC,3,FALSE),0)))),"")</f>
        <v/>
      </c>
      <c r="Z190" s="544" t="str">
        <f>IFERROR(IF(C190="","",IF(INDEX(xyWattage_Table,MATCH(M190,'Fixture Identities'!$B$9:$B$997,0),2)="Exit Sign",0,VLOOKUP(S190,xySVG_Factors,2,FALSE))),"")</f>
        <v/>
      </c>
      <c r="AA190" s="545" t="str">
        <f t="shared" si="73"/>
        <v/>
      </c>
      <c r="AB190" s="542" t="str">
        <f t="shared" si="74"/>
        <v/>
      </c>
      <c r="AC190" s="539" t="str">
        <f t="shared" si="75"/>
        <v/>
      </c>
      <c r="AD190" s="546" t="str">
        <f t="shared" si="76"/>
        <v/>
      </c>
      <c r="AE190" s="539" t="str">
        <f t="shared" si="77"/>
        <v/>
      </c>
      <c r="AF190" s="546" t="str">
        <f t="shared" si="78"/>
        <v/>
      </c>
      <c r="AG190" s="539" t="str">
        <f t="shared" si="79"/>
        <v/>
      </c>
      <c r="AH190" s="32">
        <f t="shared" si="60"/>
        <v>0</v>
      </c>
      <c r="AI190" s="32">
        <f t="shared" si="61"/>
        <v>0</v>
      </c>
      <c r="AJ190" s="32">
        <f t="shared" si="62"/>
        <v>0</v>
      </c>
      <c r="AK190" t="str">
        <f t="shared" si="63"/>
        <v/>
      </c>
      <c r="AL190" t="str">
        <f t="shared" si="64"/>
        <v/>
      </c>
      <c r="AM190" t="str">
        <f t="shared" si="65"/>
        <v/>
      </c>
      <c r="AO190" t="str">
        <f>IFERROR(VLOOKUP(M190,'Fixture Identities'!$B$9:$O$1045,14,FALSE),"")</f>
        <v/>
      </c>
      <c r="AP190" t="str">
        <f t="shared" si="59"/>
        <v/>
      </c>
    </row>
    <row r="191" spans="1:42">
      <c r="A191" s="71">
        <f t="shared" si="80"/>
        <v>0</v>
      </c>
      <c r="B191" s="513">
        <f t="shared" si="66"/>
        <v>179</v>
      </c>
      <c r="C191" s="530" t="str">
        <f>IF(Inventory!E188="","",Inventory!E188)</f>
        <v/>
      </c>
      <c r="D191" s="531">
        <f>IF(Inventory!D188="",0,Inventory!D188)</f>
        <v>0</v>
      </c>
      <c r="E191" s="532" t="str">
        <f>IF(Inventory!I188=0,"",Inventory!I188)</f>
        <v/>
      </c>
      <c r="F191" s="533" t="str">
        <f t="shared" si="67"/>
        <v/>
      </c>
      <c r="G191" s="534" t="str">
        <f>IF(Inventory!G188="","",Inventory!G188)</f>
        <v/>
      </c>
      <c r="H191" s="535" t="str">
        <f t="shared" si="68"/>
        <v/>
      </c>
      <c r="I191" s="536" t="str">
        <f>IF(Inventory!J188="","",Inventory!J188)</f>
        <v/>
      </c>
      <c r="J191" s="537" t="str">
        <f>IFERROR(IF(PRJ_Type="New Construction",IF(Inventory!C188="N",INDEX(xyLPD_BuildingArea,MATCH(Building_Type,Lookups!$F$37:$F$75,0),4),INDEX(xyLPD_SpaceBySpace,MATCH(INDEX(xyNCEx,MATCH(I191,yNCExArea,0),2),ySpace_by_Space_Type,0),2)),VLOOKUP(E191,xyWattage_Table,11,FALSE)),"")</f>
        <v/>
      </c>
      <c r="K191" s="538" t="str">
        <f>IFERROR(IF(AND(NC_Type="Building Area Method",Inventory!C188="N"),IF(ISERROR(INDEX('Usage Groups (&gt;120 MWh only)'!$N$8:$N$12,MATCH(C191,'Usage Groups (&gt;120 MWh only)'!$B$8:$B$12,0),1))=TRUE,SqFt/COUNTIFS(Inventory!$C$10:$C$1009,"N",$Q$13:$Q$1012,"&gt;=0"),INDEX('Usage Groups (&gt;120 MWh only)'!$N$8:$N$12,MATCH(C191,'Usage Groups (&gt;120 MWh only)'!$B$8:$B$12,0),1)/COUNTIF($C$13:$C$1012,C191)),IF(AND(NC_Type="Building Area Method",Inventory!C188="Y"),INDEX(xyNCEx,MATCH(I191,yNCExArea,0),3)/COUNTIF($I$13:$I$1012,I191),VLOOKUP(J191,xyWattage_Table,10,FALSE))),"")</f>
        <v/>
      </c>
      <c r="L191" s="539" t="str">
        <f t="shared" si="69"/>
        <v/>
      </c>
      <c r="M191" s="540">
        <f>IF(Inventory!N188="","",Inventory!N188)</f>
        <v>0</v>
      </c>
      <c r="N191" s="533" t="str">
        <f t="shared" si="70"/>
        <v/>
      </c>
      <c r="O191" s="534"/>
      <c r="P191" s="533" t="str">
        <f t="shared" si="71"/>
        <v/>
      </c>
      <c r="Q191" s="534" t="str">
        <f>IF(Inventory!L188="","",Inventory!L188)</f>
        <v/>
      </c>
      <c r="R191" s="535" t="str">
        <f t="shared" si="72"/>
        <v/>
      </c>
      <c r="S191" s="536" t="str">
        <f>IF(Inventory!O188="","",Inventory!O188)</f>
        <v/>
      </c>
      <c r="T191" s="541" t="str">
        <f>IFERROR(IF(C191="","",IF(INDEX(xyWattage_Table,MATCH(M191,'Fixture Identities'!$B$9:$B$997,0),2)="Exit Sign",8760,IF(VLOOKUP(C191,xySpace_Type_Details,8,FALSE)="TRM",INDEX('General Information'!$AF$17:$AG$28,11,MATCH(N191,'General Information'!$AF$16:$AG$16,0)),HLOOKUP(VLOOKUP(C191,xySpace_Type_Details,8,FALSE),'General Information'!$P$15:$AG$28,13,FALSE)))),"")</f>
        <v/>
      </c>
      <c r="U191" s="542" t="str">
        <f>IFERROR(IF(C191="","",IF(INDEX(xyWattage_Table,MATCH(M191,'Fixture Identities'!$B$9:$B$997,0),2)="Exit Sign",1,IF(VLOOKUP(C191,xySpace_Type_Details,8,FALSE)="TRM",INDEX('General Information'!$AF$17:$AG$28,12,MATCH(N191,'General Information'!$AF$16:$AG$16,0)),HLOOKUP(VLOOKUP(C191,xySpace_Type_Details,8,FALSE),'General Information'!$P$15:$AG$28,14,FALSE)))),"")</f>
        <v/>
      </c>
      <c r="V191" s="542" t="str">
        <f>IFERROR(VLOOKUP(INDEX(xySpace_Type_Details,MATCH($C191,'General Information'!$C$40:$C$60,0),12),Lookups!$L$8:$N$12,2,FALSE),"")</f>
        <v/>
      </c>
      <c r="W191" s="542" t="str">
        <f>IFERROR(VLOOKUP(INDEX(xySpace_Type_Details,MATCH($C191,'General Information'!$C$40:$C$60,0),12),Lookups!$L$8:$N$12,3,FALSE),"")</f>
        <v/>
      </c>
      <c r="Y191" s="542" t="str">
        <f>IFERROR(IF(C191="","",IF(INDEX(xyWattage_Table,MATCH(M191,'Fixture Identities'!$B$9:$B$997,0),2)="Exit Sign",0,IF(PRJ_Type="Retrofit",VLOOKUP(I191,xySVG_Factors,2,FALSE),IF(AND(PRJ_Type="New Construction",Inventory!C188="N"),VLOOKUP(VLOOKUP(Building_Type,xyLPD_BuildingArea,5,FALSE),xySVG_Factors_NC,3,FALSE),0)))),"")</f>
        <v/>
      </c>
      <c r="Z191" s="544" t="str">
        <f>IFERROR(IF(C191="","",IF(INDEX(xyWattage_Table,MATCH(M191,'Fixture Identities'!$B$9:$B$997,0),2)="Exit Sign",0,VLOOKUP(S191,xySVG_Factors,2,FALSE))),"")</f>
        <v/>
      </c>
      <c r="AA191" s="545" t="str">
        <f t="shared" si="73"/>
        <v/>
      </c>
      <c r="AB191" s="542" t="str">
        <f t="shared" si="74"/>
        <v/>
      </c>
      <c r="AC191" s="539" t="str">
        <f t="shared" si="75"/>
        <v/>
      </c>
      <c r="AD191" s="546" t="str">
        <f t="shared" si="76"/>
        <v/>
      </c>
      <c r="AE191" s="539" t="str">
        <f t="shared" si="77"/>
        <v/>
      </c>
      <c r="AF191" s="546" t="str">
        <f t="shared" si="78"/>
        <v/>
      </c>
      <c r="AG191" s="539" t="str">
        <f t="shared" si="79"/>
        <v/>
      </c>
      <c r="AH191" s="32">
        <f t="shared" si="60"/>
        <v>0</v>
      </c>
      <c r="AI191" s="32">
        <f t="shared" si="61"/>
        <v>0</v>
      </c>
      <c r="AJ191" s="32">
        <f t="shared" si="62"/>
        <v>0</v>
      </c>
      <c r="AK191" t="str">
        <f t="shared" si="63"/>
        <v/>
      </c>
      <c r="AL191" t="str">
        <f t="shared" si="64"/>
        <v/>
      </c>
      <c r="AM191" t="str">
        <f t="shared" si="65"/>
        <v/>
      </c>
      <c r="AO191" t="str">
        <f>IFERROR(VLOOKUP(M191,'Fixture Identities'!$B$9:$O$1045,14,FALSE),"")</f>
        <v/>
      </c>
      <c r="AP191" t="str">
        <f t="shared" si="59"/>
        <v/>
      </c>
    </row>
    <row r="192" spans="1:42">
      <c r="A192" s="71">
        <f t="shared" si="80"/>
        <v>0</v>
      </c>
      <c r="B192" s="513">
        <f t="shared" si="66"/>
        <v>180</v>
      </c>
      <c r="C192" s="530" t="str">
        <f>IF(Inventory!E189="","",Inventory!E189)</f>
        <v/>
      </c>
      <c r="D192" s="531">
        <f>IF(Inventory!D189="",0,Inventory!D189)</f>
        <v>0</v>
      </c>
      <c r="E192" s="532" t="str">
        <f>IF(Inventory!I189=0,"",Inventory!I189)</f>
        <v/>
      </c>
      <c r="F192" s="533" t="str">
        <f t="shared" si="67"/>
        <v/>
      </c>
      <c r="G192" s="534" t="str">
        <f>IF(Inventory!G189="","",Inventory!G189)</f>
        <v/>
      </c>
      <c r="H192" s="535" t="str">
        <f t="shared" si="68"/>
        <v/>
      </c>
      <c r="I192" s="536" t="str">
        <f>IF(Inventory!J189="","",Inventory!J189)</f>
        <v/>
      </c>
      <c r="J192" s="537" t="str">
        <f>IFERROR(IF(PRJ_Type="New Construction",IF(Inventory!C189="N",INDEX(xyLPD_BuildingArea,MATCH(Building_Type,Lookups!$F$37:$F$75,0),4),INDEX(xyLPD_SpaceBySpace,MATCH(INDEX(xyNCEx,MATCH(I192,yNCExArea,0),2),ySpace_by_Space_Type,0),2)),VLOOKUP(E192,xyWattage_Table,11,FALSE)),"")</f>
        <v/>
      </c>
      <c r="K192" s="538" t="str">
        <f>IFERROR(IF(AND(NC_Type="Building Area Method",Inventory!C189="N"),IF(ISERROR(INDEX('Usage Groups (&gt;120 MWh only)'!$N$8:$N$12,MATCH(C192,'Usage Groups (&gt;120 MWh only)'!$B$8:$B$12,0),1))=TRUE,SqFt/COUNTIFS(Inventory!$C$10:$C$1009,"N",$Q$13:$Q$1012,"&gt;=0"),INDEX('Usage Groups (&gt;120 MWh only)'!$N$8:$N$12,MATCH(C192,'Usage Groups (&gt;120 MWh only)'!$B$8:$B$12,0),1)/COUNTIF($C$13:$C$1012,C192)),IF(AND(NC_Type="Building Area Method",Inventory!C189="Y"),INDEX(xyNCEx,MATCH(I192,yNCExArea,0),3)/COUNTIF($I$13:$I$1012,I192),VLOOKUP(J192,xyWattage_Table,10,FALSE))),"")</f>
        <v/>
      </c>
      <c r="L192" s="539" t="str">
        <f t="shared" si="69"/>
        <v/>
      </c>
      <c r="M192" s="540">
        <f>IF(Inventory!N189="","",Inventory!N189)</f>
        <v>0</v>
      </c>
      <c r="N192" s="533" t="str">
        <f t="shared" si="70"/>
        <v/>
      </c>
      <c r="O192" s="534"/>
      <c r="P192" s="533" t="str">
        <f t="shared" si="71"/>
        <v/>
      </c>
      <c r="Q192" s="534" t="str">
        <f>IF(Inventory!L189="","",Inventory!L189)</f>
        <v/>
      </c>
      <c r="R192" s="535" t="str">
        <f t="shared" si="72"/>
        <v/>
      </c>
      <c r="S192" s="536" t="str">
        <f>IF(Inventory!O189="","",Inventory!O189)</f>
        <v/>
      </c>
      <c r="T192" s="541" t="str">
        <f>IFERROR(IF(C192="","",IF(INDEX(xyWattage_Table,MATCH(M192,'Fixture Identities'!$B$9:$B$997,0),2)="Exit Sign",8760,IF(VLOOKUP(C192,xySpace_Type_Details,8,FALSE)="TRM",INDEX('General Information'!$AF$17:$AG$28,11,MATCH(N192,'General Information'!$AF$16:$AG$16,0)),HLOOKUP(VLOOKUP(C192,xySpace_Type_Details,8,FALSE),'General Information'!$P$15:$AG$28,13,FALSE)))),"")</f>
        <v/>
      </c>
      <c r="U192" s="542" t="str">
        <f>IFERROR(IF(C192="","",IF(INDEX(xyWattage_Table,MATCH(M192,'Fixture Identities'!$B$9:$B$997,0),2)="Exit Sign",1,IF(VLOOKUP(C192,xySpace_Type_Details,8,FALSE)="TRM",INDEX('General Information'!$AF$17:$AG$28,12,MATCH(N192,'General Information'!$AF$16:$AG$16,0)),HLOOKUP(VLOOKUP(C192,xySpace_Type_Details,8,FALSE),'General Information'!$P$15:$AG$28,14,FALSE)))),"")</f>
        <v/>
      </c>
      <c r="V192" s="542" t="str">
        <f>IFERROR(VLOOKUP(INDEX(xySpace_Type_Details,MATCH($C192,'General Information'!$C$40:$C$60,0),12),Lookups!$L$8:$N$12,2,FALSE),"")</f>
        <v/>
      </c>
      <c r="W192" s="542" t="str">
        <f>IFERROR(VLOOKUP(INDEX(xySpace_Type_Details,MATCH($C192,'General Information'!$C$40:$C$60,0),12),Lookups!$L$8:$N$12,3,FALSE),"")</f>
        <v/>
      </c>
      <c r="Y192" s="542" t="str">
        <f>IFERROR(IF(C192="","",IF(INDEX(xyWattage_Table,MATCH(M192,'Fixture Identities'!$B$9:$B$997,0),2)="Exit Sign",0,IF(PRJ_Type="Retrofit",VLOOKUP(I192,xySVG_Factors,2,FALSE),IF(AND(PRJ_Type="New Construction",Inventory!C189="N"),VLOOKUP(VLOOKUP(Building_Type,xyLPD_BuildingArea,5,FALSE),xySVG_Factors_NC,3,FALSE),0)))),"")</f>
        <v/>
      </c>
      <c r="Z192" s="544" t="str">
        <f>IFERROR(IF(C192="","",IF(INDEX(xyWattage_Table,MATCH(M192,'Fixture Identities'!$B$9:$B$997,0),2)="Exit Sign",0,VLOOKUP(S192,xySVG_Factors,2,FALSE))),"")</f>
        <v/>
      </c>
      <c r="AA192" s="545" t="str">
        <f t="shared" si="73"/>
        <v/>
      </c>
      <c r="AB192" s="542" t="str">
        <f t="shared" si="74"/>
        <v/>
      </c>
      <c r="AC192" s="539" t="str">
        <f t="shared" si="75"/>
        <v/>
      </c>
      <c r="AD192" s="546" t="str">
        <f t="shared" si="76"/>
        <v/>
      </c>
      <c r="AE192" s="539" t="str">
        <f t="shared" si="77"/>
        <v/>
      </c>
      <c r="AF192" s="546" t="str">
        <f t="shared" si="78"/>
        <v/>
      </c>
      <c r="AG192" s="539" t="str">
        <f t="shared" si="79"/>
        <v/>
      </c>
      <c r="AH192" s="32">
        <f t="shared" si="60"/>
        <v>0</v>
      </c>
      <c r="AI192" s="32">
        <f t="shared" si="61"/>
        <v>0</v>
      </c>
      <c r="AJ192" s="32">
        <f t="shared" si="62"/>
        <v>0</v>
      </c>
      <c r="AK192" t="str">
        <f t="shared" si="63"/>
        <v/>
      </c>
      <c r="AL192" t="str">
        <f t="shared" si="64"/>
        <v/>
      </c>
      <c r="AM192" t="str">
        <f t="shared" si="65"/>
        <v/>
      </c>
      <c r="AO192" t="str">
        <f>IFERROR(VLOOKUP(M192,'Fixture Identities'!$B$9:$O$1045,14,FALSE),"")</f>
        <v/>
      </c>
      <c r="AP192" t="str">
        <f t="shared" si="59"/>
        <v/>
      </c>
    </row>
    <row r="193" spans="1:42">
      <c r="A193" s="71">
        <f t="shared" si="80"/>
        <v>0</v>
      </c>
      <c r="B193" s="513">
        <f t="shared" si="66"/>
        <v>181</v>
      </c>
      <c r="C193" s="530" t="str">
        <f>IF(Inventory!E190="","",Inventory!E190)</f>
        <v/>
      </c>
      <c r="D193" s="531">
        <f>IF(Inventory!D190="",0,Inventory!D190)</f>
        <v>0</v>
      </c>
      <c r="E193" s="532" t="str">
        <f>IF(Inventory!I190=0,"",Inventory!I190)</f>
        <v/>
      </c>
      <c r="F193" s="533" t="str">
        <f t="shared" si="67"/>
        <v/>
      </c>
      <c r="G193" s="534" t="str">
        <f>IF(Inventory!G190="","",Inventory!G190)</f>
        <v/>
      </c>
      <c r="H193" s="535" t="str">
        <f t="shared" si="68"/>
        <v/>
      </c>
      <c r="I193" s="536" t="str">
        <f>IF(Inventory!J190="","",Inventory!J190)</f>
        <v/>
      </c>
      <c r="J193" s="537" t="str">
        <f>IFERROR(IF(PRJ_Type="New Construction",IF(Inventory!C190="N",INDEX(xyLPD_BuildingArea,MATCH(Building_Type,Lookups!$F$37:$F$75,0),4),INDEX(xyLPD_SpaceBySpace,MATCH(INDEX(xyNCEx,MATCH(I193,yNCExArea,0),2),ySpace_by_Space_Type,0),2)),VLOOKUP(E193,xyWattage_Table,11,FALSE)),"")</f>
        <v/>
      </c>
      <c r="K193" s="538" t="str">
        <f>IFERROR(IF(AND(NC_Type="Building Area Method",Inventory!C190="N"),IF(ISERROR(INDEX('Usage Groups (&gt;120 MWh only)'!$N$8:$N$12,MATCH(C193,'Usage Groups (&gt;120 MWh only)'!$B$8:$B$12,0),1))=TRUE,SqFt/COUNTIFS(Inventory!$C$10:$C$1009,"N",$Q$13:$Q$1012,"&gt;=0"),INDEX('Usage Groups (&gt;120 MWh only)'!$N$8:$N$12,MATCH(C193,'Usage Groups (&gt;120 MWh only)'!$B$8:$B$12,0),1)/COUNTIF($C$13:$C$1012,C193)),IF(AND(NC_Type="Building Area Method",Inventory!C190="Y"),INDEX(xyNCEx,MATCH(I193,yNCExArea,0),3)/COUNTIF($I$13:$I$1012,I193),VLOOKUP(J193,xyWattage_Table,10,FALSE))),"")</f>
        <v/>
      </c>
      <c r="L193" s="539" t="str">
        <f t="shared" si="69"/>
        <v/>
      </c>
      <c r="M193" s="540">
        <f>IF(Inventory!N190="","",Inventory!N190)</f>
        <v>0</v>
      </c>
      <c r="N193" s="533" t="str">
        <f t="shared" si="70"/>
        <v/>
      </c>
      <c r="O193" s="534"/>
      <c r="P193" s="533" t="str">
        <f t="shared" si="71"/>
        <v/>
      </c>
      <c r="Q193" s="534" t="str">
        <f>IF(Inventory!L190="","",Inventory!L190)</f>
        <v/>
      </c>
      <c r="R193" s="535" t="str">
        <f t="shared" si="72"/>
        <v/>
      </c>
      <c r="S193" s="536" t="str">
        <f>IF(Inventory!O190="","",Inventory!O190)</f>
        <v/>
      </c>
      <c r="T193" s="541" t="str">
        <f>IFERROR(IF(C193="","",IF(INDEX(xyWattage_Table,MATCH(M193,'Fixture Identities'!$B$9:$B$997,0),2)="Exit Sign",8760,IF(VLOOKUP(C193,xySpace_Type_Details,8,FALSE)="TRM",INDEX('General Information'!$AF$17:$AG$28,11,MATCH(N193,'General Information'!$AF$16:$AG$16,0)),HLOOKUP(VLOOKUP(C193,xySpace_Type_Details,8,FALSE),'General Information'!$P$15:$AG$28,13,FALSE)))),"")</f>
        <v/>
      </c>
      <c r="U193" s="542" t="str">
        <f>IFERROR(IF(C193="","",IF(INDEX(xyWattage_Table,MATCH(M193,'Fixture Identities'!$B$9:$B$997,0),2)="Exit Sign",1,IF(VLOOKUP(C193,xySpace_Type_Details,8,FALSE)="TRM",INDEX('General Information'!$AF$17:$AG$28,12,MATCH(N193,'General Information'!$AF$16:$AG$16,0)),HLOOKUP(VLOOKUP(C193,xySpace_Type_Details,8,FALSE),'General Information'!$P$15:$AG$28,14,FALSE)))),"")</f>
        <v/>
      </c>
      <c r="V193" s="542" t="str">
        <f>IFERROR(VLOOKUP(INDEX(xySpace_Type_Details,MATCH($C193,'General Information'!$C$40:$C$60,0),12),Lookups!$L$8:$N$12,2,FALSE),"")</f>
        <v/>
      </c>
      <c r="W193" s="542" t="str">
        <f>IFERROR(VLOOKUP(INDEX(xySpace_Type_Details,MATCH($C193,'General Information'!$C$40:$C$60,0),12),Lookups!$L$8:$N$12,3,FALSE),"")</f>
        <v/>
      </c>
      <c r="Y193" s="542" t="str">
        <f>IFERROR(IF(C193="","",IF(INDEX(xyWattage_Table,MATCH(M193,'Fixture Identities'!$B$9:$B$997,0),2)="Exit Sign",0,IF(PRJ_Type="Retrofit",VLOOKUP(I193,xySVG_Factors,2,FALSE),IF(AND(PRJ_Type="New Construction",Inventory!C190="N"),VLOOKUP(VLOOKUP(Building_Type,xyLPD_BuildingArea,5,FALSE),xySVG_Factors_NC,3,FALSE),0)))),"")</f>
        <v/>
      </c>
      <c r="Z193" s="544" t="str">
        <f>IFERROR(IF(C193="","",IF(INDEX(xyWattage_Table,MATCH(M193,'Fixture Identities'!$B$9:$B$997,0),2)="Exit Sign",0,VLOOKUP(S193,xySVG_Factors,2,FALSE))),"")</f>
        <v/>
      </c>
      <c r="AA193" s="545" t="str">
        <f t="shared" si="73"/>
        <v/>
      </c>
      <c r="AB193" s="542" t="str">
        <f t="shared" si="74"/>
        <v/>
      </c>
      <c r="AC193" s="539" t="str">
        <f t="shared" si="75"/>
        <v/>
      </c>
      <c r="AD193" s="546" t="str">
        <f t="shared" si="76"/>
        <v/>
      </c>
      <c r="AE193" s="539" t="str">
        <f t="shared" si="77"/>
        <v/>
      </c>
      <c r="AF193" s="546" t="str">
        <f t="shared" si="78"/>
        <v/>
      </c>
      <c r="AG193" s="539" t="str">
        <f t="shared" si="79"/>
        <v/>
      </c>
      <c r="AH193" s="32">
        <f t="shared" si="60"/>
        <v>0</v>
      </c>
      <c r="AI193" s="32">
        <f t="shared" si="61"/>
        <v>0</v>
      </c>
      <c r="AJ193" s="32">
        <f t="shared" si="62"/>
        <v>0</v>
      </c>
      <c r="AK193" t="str">
        <f t="shared" si="63"/>
        <v/>
      </c>
      <c r="AL193" t="str">
        <f t="shared" si="64"/>
        <v/>
      </c>
      <c r="AM193" t="str">
        <f t="shared" si="65"/>
        <v/>
      </c>
      <c r="AO193" t="str">
        <f>IFERROR(VLOOKUP(M193,'Fixture Identities'!$B$9:$O$1045,14,FALSE),"")</f>
        <v/>
      </c>
      <c r="AP193" t="str">
        <f t="shared" si="59"/>
        <v/>
      </c>
    </row>
    <row r="194" spans="1:42">
      <c r="A194" s="71">
        <f t="shared" si="80"/>
        <v>0</v>
      </c>
      <c r="B194" s="513">
        <f t="shared" si="66"/>
        <v>182</v>
      </c>
      <c r="C194" s="530" t="str">
        <f>IF(Inventory!E191="","",Inventory!E191)</f>
        <v/>
      </c>
      <c r="D194" s="531">
        <f>IF(Inventory!D191="",0,Inventory!D191)</f>
        <v>0</v>
      </c>
      <c r="E194" s="532" t="str">
        <f>IF(Inventory!I191=0,"",Inventory!I191)</f>
        <v/>
      </c>
      <c r="F194" s="533" t="str">
        <f t="shared" si="67"/>
        <v/>
      </c>
      <c r="G194" s="534" t="str">
        <f>IF(Inventory!G191="","",Inventory!G191)</f>
        <v/>
      </c>
      <c r="H194" s="535" t="str">
        <f t="shared" si="68"/>
        <v/>
      </c>
      <c r="I194" s="536" t="str">
        <f>IF(Inventory!J191="","",Inventory!J191)</f>
        <v/>
      </c>
      <c r="J194" s="537" t="str">
        <f>IFERROR(IF(PRJ_Type="New Construction",IF(Inventory!C191="N",INDEX(xyLPD_BuildingArea,MATCH(Building_Type,Lookups!$F$37:$F$75,0),4),INDEX(xyLPD_SpaceBySpace,MATCH(INDEX(xyNCEx,MATCH(I194,yNCExArea,0),2),ySpace_by_Space_Type,0),2)),VLOOKUP(E194,xyWattage_Table,11,FALSE)),"")</f>
        <v/>
      </c>
      <c r="K194" s="538" t="str">
        <f>IFERROR(IF(AND(NC_Type="Building Area Method",Inventory!C191="N"),IF(ISERROR(INDEX('Usage Groups (&gt;120 MWh only)'!$N$8:$N$12,MATCH(C194,'Usage Groups (&gt;120 MWh only)'!$B$8:$B$12,0),1))=TRUE,SqFt/COUNTIFS(Inventory!$C$10:$C$1009,"N",$Q$13:$Q$1012,"&gt;=0"),INDEX('Usage Groups (&gt;120 MWh only)'!$N$8:$N$12,MATCH(C194,'Usage Groups (&gt;120 MWh only)'!$B$8:$B$12,0),1)/COUNTIF($C$13:$C$1012,C194)),IF(AND(NC_Type="Building Area Method",Inventory!C191="Y"),INDEX(xyNCEx,MATCH(I194,yNCExArea,0),3)/COUNTIF($I$13:$I$1012,I194),VLOOKUP(J194,xyWattage_Table,10,FALSE))),"")</f>
        <v/>
      </c>
      <c r="L194" s="539" t="str">
        <f t="shared" si="69"/>
        <v/>
      </c>
      <c r="M194" s="540">
        <f>IF(Inventory!N191="","",Inventory!N191)</f>
        <v>0</v>
      </c>
      <c r="N194" s="533" t="str">
        <f t="shared" si="70"/>
        <v/>
      </c>
      <c r="O194" s="534"/>
      <c r="P194" s="533" t="str">
        <f t="shared" si="71"/>
        <v/>
      </c>
      <c r="Q194" s="534" t="str">
        <f>IF(Inventory!L191="","",Inventory!L191)</f>
        <v/>
      </c>
      <c r="R194" s="535" t="str">
        <f t="shared" si="72"/>
        <v/>
      </c>
      <c r="S194" s="536" t="str">
        <f>IF(Inventory!O191="","",Inventory!O191)</f>
        <v/>
      </c>
      <c r="T194" s="541" t="str">
        <f>IFERROR(IF(C194="","",IF(INDEX(xyWattage_Table,MATCH(M194,'Fixture Identities'!$B$9:$B$997,0),2)="Exit Sign",8760,IF(VLOOKUP(C194,xySpace_Type_Details,8,FALSE)="TRM",INDEX('General Information'!$AF$17:$AG$28,11,MATCH(N194,'General Information'!$AF$16:$AG$16,0)),HLOOKUP(VLOOKUP(C194,xySpace_Type_Details,8,FALSE),'General Information'!$P$15:$AG$28,13,FALSE)))),"")</f>
        <v/>
      </c>
      <c r="U194" s="542" t="str">
        <f>IFERROR(IF(C194="","",IF(INDEX(xyWattage_Table,MATCH(M194,'Fixture Identities'!$B$9:$B$997,0),2)="Exit Sign",1,IF(VLOOKUP(C194,xySpace_Type_Details,8,FALSE)="TRM",INDEX('General Information'!$AF$17:$AG$28,12,MATCH(N194,'General Information'!$AF$16:$AG$16,0)),HLOOKUP(VLOOKUP(C194,xySpace_Type_Details,8,FALSE),'General Information'!$P$15:$AG$28,14,FALSE)))),"")</f>
        <v/>
      </c>
      <c r="V194" s="542" t="str">
        <f>IFERROR(VLOOKUP(INDEX(xySpace_Type_Details,MATCH($C194,'General Information'!$C$40:$C$60,0),12),Lookups!$L$8:$N$12,2,FALSE),"")</f>
        <v/>
      </c>
      <c r="W194" s="542" t="str">
        <f>IFERROR(VLOOKUP(INDEX(xySpace_Type_Details,MATCH($C194,'General Information'!$C$40:$C$60,0),12),Lookups!$L$8:$N$12,3,FALSE),"")</f>
        <v/>
      </c>
      <c r="Y194" s="542" t="str">
        <f>IFERROR(IF(C194="","",IF(INDEX(xyWattage_Table,MATCH(M194,'Fixture Identities'!$B$9:$B$997,0),2)="Exit Sign",0,IF(PRJ_Type="Retrofit",VLOOKUP(I194,xySVG_Factors,2,FALSE),IF(AND(PRJ_Type="New Construction",Inventory!C191="N"),VLOOKUP(VLOOKUP(Building_Type,xyLPD_BuildingArea,5,FALSE),xySVG_Factors_NC,3,FALSE),0)))),"")</f>
        <v/>
      </c>
      <c r="Z194" s="544" t="str">
        <f>IFERROR(IF(C194="","",IF(INDEX(xyWattage_Table,MATCH(M194,'Fixture Identities'!$B$9:$B$997,0),2)="Exit Sign",0,VLOOKUP(S194,xySVG_Factors,2,FALSE))),"")</f>
        <v/>
      </c>
      <c r="AA194" s="545" t="str">
        <f t="shared" si="73"/>
        <v/>
      </c>
      <c r="AB194" s="542" t="str">
        <f t="shared" si="74"/>
        <v/>
      </c>
      <c r="AC194" s="539" t="str">
        <f t="shared" si="75"/>
        <v/>
      </c>
      <c r="AD194" s="546" t="str">
        <f t="shared" si="76"/>
        <v/>
      </c>
      <c r="AE194" s="539" t="str">
        <f t="shared" si="77"/>
        <v/>
      </c>
      <c r="AF194" s="546" t="str">
        <f t="shared" si="78"/>
        <v/>
      </c>
      <c r="AG194" s="539" t="str">
        <f t="shared" si="79"/>
        <v/>
      </c>
      <c r="AH194" s="32">
        <f t="shared" si="60"/>
        <v>0</v>
      </c>
      <c r="AI194" s="32">
        <f t="shared" si="61"/>
        <v>0</v>
      </c>
      <c r="AJ194" s="32">
        <f t="shared" si="62"/>
        <v>0</v>
      </c>
      <c r="AK194" t="str">
        <f t="shared" si="63"/>
        <v/>
      </c>
      <c r="AL194" t="str">
        <f t="shared" si="64"/>
        <v/>
      </c>
      <c r="AM194" t="str">
        <f t="shared" si="65"/>
        <v/>
      </c>
      <c r="AO194" t="str">
        <f>IFERROR(VLOOKUP(M194,'Fixture Identities'!$B$9:$O$1045,14,FALSE),"")</f>
        <v/>
      </c>
      <c r="AP194" t="str">
        <f t="shared" si="59"/>
        <v/>
      </c>
    </row>
    <row r="195" spans="1:42">
      <c r="A195" s="71">
        <f t="shared" si="80"/>
        <v>0</v>
      </c>
      <c r="B195" s="513">
        <f t="shared" si="66"/>
        <v>183</v>
      </c>
      <c r="C195" s="530" t="str">
        <f>IF(Inventory!E192="","",Inventory!E192)</f>
        <v/>
      </c>
      <c r="D195" s="531">
        <f>IF(Inventory!D192="",0,Inventory!D192)</f>
        <v>0</v>
      </c>
      <c r="E195" s="532" t="str">
        <f>IF(Inventory!I192=0,"",Inventory!I192)</f>
        <v/>
      </c>
      <c r="F195" s="533" t="str">
        <f t="shared" si="67"/>
        <v/>
      </c>
      <c r="G195" s="534" t="str">
        <f>IF(Inventory!G192="","",Inventory!G192)</f>
        <v/>
      </c>
      <c r="H195" s="535" t="str">
        <f t="shared" si="68"/>
        <v/>
      </c>
      <c r="I195" s="536" t="str">
        <f>IF(Inventory!J192="","",Inventory!J192)</f>
        <v/>
      </c>
      <c r="J195" s="537" t="str">
        <f>IFERROR(IF(PRJ_Type="New Construction",IF(Inventory!C192="N",INDEX(xyLPD_BuildingArea,MATCH(Building_Type,Lookups!$F$37:$F$75,0),4),INDEX(xyLPD_SpaceBySpace,MATCH(INDEX(xyNCEx,MATCH(I195,yNCExArea,0),2),ySpace_by_Space_Type,0),2)),VLOOKUP(E195,xyWattage_Table,11,FALSE)),"")</f>
        <v/>
      </c>
      <c r="K195" s="538" t="str">
        <f>IFERROR(IF(AND(NC_Type="Building Area Method",Inventory!C192="N"),IF(ISERROR(INDEX('Usage Groups (&gt;120 MWh only)'!$N$8:$N$12,MATCH(C195,'Usage Groups (&gt;120 MWh only)'!$B$8:$B$12,0),1))=TRUE,SqFt/COUNTIFS(Inventory!$C$10:$C$1009,"N",$Q$13:$Q$1012,"&gt;=0"),INDEX('Usage Groups (&gt;120 MWh only)'!$N$8:$N$12,MATCH(C195,'Usage Groups (&gt;120 MWh only)'!$B$8:$B$12,0),1)/COUNTIF($C$13:$C$1012,C195)),IF(AND(NC_Type="Building Area Method",Inventory!C192="Y"),INDEX(xyNCEx,MATCH(I195,yNCExArea,0),3)/COUNTIF($I$13:$I$1012,I195),VLOOKUP(J195,xyWattage_Table,10,FALSE))),"")</f>
        <v/>
      </c>
      <c r="L195" s="539" t="str">
        <f t="shared" si="69"/>
        <v/>
      </c>
      <c r="M195" s="540">
        <f>IF(Inventory!N192="","",Inventory!N192)</f>
        <v>0</v>
      </c>
      <c r="N195" s="533" t="str">
        <f t="shared" si="70"/>
        <v/>
      </c>
      <c r="O195" s="534"/>
      <c r="P195" s="533" t="str">
        <f t="shared" si="71"/>
        <v/>
      </c>
      <c r="Q195" s="534" t="str">
        <f>IF(Inventory!L192="","",Inventory!L192)</f>
        <v/>
      </c>
      <c r="R195" s="535" t="str">
        <f t="shared" si="72"/>
        <v/>
      </c>
      <c r="S195" s="536" t="str">
        <f>IF(Inventory!O192="","",Inventory!O192)</f>
        <v/>
      </c>
      <c r="T195" s="541" t="str">
        <f>IFERROR(IF(C195="","",IF(INDEX(xyWattage_Table,MATCH(M195,'Fixture Identities'!$B$9:$B$997,0),2)="Exit Sign",8760,IF(VLOOKUP(C195,xySpace_Type_Details,8,FALSE)="TRM",INDEX('General Information'!$AF$17:$AG$28,11,MATCH(N195,'General Information'!$AF$16:$AG$16,0)),HLOOKUP(VLOOKUP(C195,xySpace_Type_Details,8,FALSE),'General Information'!$P$15:$AG$28,13,FALSE)))),"")</f>
        <v/>
      </c>
      <c r="U195" s="542" t="str">
        <f>IFERROR(IF(C195="","",IF(INDEX(xyWattage_Table,MATCH(M195,'Fixture Identities'!$B$9:$B$997,0),2)="Exit Sign",1,IF(VLOOKUP(C195,xySpace_Type_Details,8,FALSE)="TRM",INDEX('General Information'!$AF$17:$AG$28,12,MATCH(N195,'General Information'!$AF$16:$AG$16,0)),HLOOKUP(VLOOKUP(C195,xySpace_Type_Details,8,FALSE),'General Information'!$P$15:$AG$28,14,FALSE)))),"")</f>
        <v/>
      </c>
      <c r="V195" s="542" t="str">
        <f>IFERROR(VLOOKUP(INDEX(xySpace_Type_Details,MATCH($C195,'General Information'!$C$40:$C$60,0),12),Lookups!$L$8:$N$12,2,FALSE),"")</f>
        <v/>
      </c>
      <c r="W195" s="542" t="str">
        <f>IFERROR(VLOOKUP(INDEX(xySpace_Type_Details,MATCH($C195,'General Information'!$C$40:$C$60,0),12),Lookups!$L$8:$N$12,3,FALSE),"")</f>
        <v/>
      </c>
      <c r="Y195" s="542" t="str">
        <f>IFERROR(IF(C195="","",IF(INDEX(xyWattage_Table,MATCH(M195,'Fixture Identities'!$B$9:$B$997,0),2)="Exit Sign",0,IF(PRJ_Type="Retrofit",VLOOKUP(I195,xySVG_Factors,2,FALSE),IF(AND(PRJ_Type="New Construction",Inventory!C192="N"),VLOOKUP(VLOOKUP(Building_Type,xyLPD_BuildingArea,5,FALSE),xySVG_Factors_NC,3,FALSE),0)))),"")</f>
        <v/>
      </c>
      <c r="Z195" s="544" t="str">
        <f>IFERROR(IF(C195="","",IF(INDEX(xyWattage_Table,MATCH(M195,'Fixture Identities'!$B$9:$B$997,0),2)="Exit Sign",0,VLOOKUP(S195,xySVG_Factors,2,FALSE))),"")</f>
        <v/>
      </c>
      <c r="AA195" s="545" t="str">
        <f t="shared" si="73"/>
        <v/>
      </c>
      <c r="AB195" s="542" t="str">
        <f t="shared" si="74"/>
        <v/>
      </c>
      <c r="AC195" s="539" t="str">
        <f t="shared" si="75"/>
        <v/>
      </c>
      <c r="AD195" s="546" t="str">
        <f t="shared" si="76"/>
        <v/>
      </c>
      <c r="AE195" s="539" t="str">
        <f t="shared" si="77"/>
        <v/>
      </c>
      <c r="AF195" s="546" t="str">
        <f t="shared" si="78"/>
        <v/>
      </c>
      <c r="AG195" s="539" t="str">
        <f t="shared" si="79"/>
        <v/>
      </c>
      <c r="AH195" s="32">
        <f t="shared" si="60"/>
        <v>0</v>
      </c>
      <c r="AI195" s="32">
        <f t="shared" si="61"/>
        <v>0</v>
      </c>
      <c r="AJ195" s="32">
        <f t="shared" si="62"/>
        <v>0</v>
      </c>
      <c r="AK195" t="str">
        <f t="shared" si="63"/>
        <v/>
      </c>
      <c r="AL195" t="str">
        <f t="shared" si="64"/>
        <v/>
      </c>
      <c r="AM195" t="str">
        <f t="shared" si="65"/>
        <v/>
      </c>
      <c r="AO195" t="str">
        <f>IFERROR(VLOOKUP(M195,'Fixture Identities'!$B$9:$O$1045,14,FALSE),"")</f>
        <v/>
      </c>
      <c r="AP195" t="str">
        <f t="shared" si="59"/>
        <v/>
      </c>
    </row>
    <row r="196" spans="1:42">
      <c r="A196" s="71">
        <f t="shared" si="80"/>
        <v>0</v>
      </c>
      <c r="B196" s="513">
        <f t="shared" si="66"/>
        <v>184</v>
      </c>
      <c r="C196" s="530" t="str">
        <f>IF(Inventory!E193="","",Inventory!E193)</f>
        <v/>
      </c>
      <c r="D196" s="531">
        <f>IF(Inventory!D193="",0,Inventory!D193)</f>
        <v>0</v>
      </c>
      <c r="E196" s="532" t="str">
        <f>IF(Inventory!I193=0,"",Inventory!I193)</f>
        <v/>
      </c>
      <c r="F196" s="533" t="str">
        <f t="shared" si="67"/>
        <v/>
      </c>
      <c r="G196" s="534" t="str">
        <f>IF(Inventory!G193="","",Inventory!G193)</f>
        <v/>
      </c>
      <c r="H196" s="535" t="str">
        <f t="shared" si="68"/>
        <v/>
      </c>
      <c r="I196" s="536" t="str">
        <f>IF(Inventory!J193="","",Inventory!J193)</f>
        <v/>
      </c>
      <c r="J196" s="537" t="str">
        <f>IFERROR(IF(PRJ_Type="New Construction",IF(Inventory!C193="N",INDEX(xyLPD_BuildingArea,MATCH(Building_Type,Lookups!$F$37:$F$75,0),4),INDEX(xyLPD_SpaceBySpace,MATCH(INDEX(xyNCEx,MATCH(I196,yNCExArea,0),2),ySpace_by_Space_Type,0),2)),VLOOKUP(E196,xyWattage_Table,11,FALSE)),"")</f>
        <v/>
      </c>
      <c r="K196" s="538" t="str">
        <f>IFERROR(IF(AND(NC_Type="Building Area Method",Inventory!C193="N"),IF(ISERROR(INDEX('Usage Groups (&gt;120 MWh only)'!$N$8:$N$12,MATCH(C196,'Usage Groups (&gt;120 MWh only)'!$B$8:$B$12,0),1))=TRUE,SqFt/COUNTIFS(Inventory!$C$10:$C$1009,"N",$Q$13:$Q$1012,"&gt;=0"),INDEX('Usage Groups (&gt;120 MWh only)'!$N$8:$N$12,MATCH(C196,'Usage Groups (&gt;120 MWh only)'!$B$8:$B$12,0),1)/COUNTIF($C$13:$C$1012,C196)),IF(AND(NC_Type="Building Area Method",Inventory!C193="Y"),INDEX(xyNCEx,MATCH(I196,yNCExArea,0),3)/COUNTIF($I$13:$I$1012,I196),VLOOKUP(J196,xyWattage_Table,10,FALSE))),"")</f>
        <v/>
      </c>
      <c r="L196" s="539" t="str">
        <f t="shared" si="69"/>
        <v/>
      </c>
      <c r="M196" s="540">
        <f>IF(Inventory!N193="","",Inventory!N193)</f>
        <v>0</v>
      </c>
      <c r="N196" s="533" t="str">
        <f t="shared" si="70"/>
        <v/>
      </c>
      <c r="O196" s="534"/>
      <c r="P196" s="533" t="str">
        <f t="shared" si="71"/>
        <v/>
      </c>
      <c r="Q196" s="534" t="str">
        <f>IF(Inventory!L193="","",Inventory!L193)</f>
        <v/>
      </c>
      <c r="R196" s="535" t="str">
        <f t="shared" si="72"/>
        <v/>
      </c>
      <c r="S196" s="536" t="str">
        <f>IF(Inventory!O193="","",Inventory!O193)</f>
        <v/>
      </c>
      <c r="T196" s="541" t="str">
        <f>IFERROR(IF(C196="","",IF(INDEX(xyWattage_Table,MATCH(M196,'Fixture Identities'!$B$9:$B$997,0),2)="Exit Sign",8760,IF(VLOOKUP(C196,xySpace_Type_Details,8,FALSE)="TRM",INDEX('General Information'!$AF$17:$AG$28,11,MATCH(N196,'General Information'!$AF$16:$AG$16,0)),HLOOKUP(VLOOKUP(C196,xySpace_Type_Details,8,FALSE),'General Information'!$P$15:$AG$28,13,FALSE)))),"")</f>
        <v/>
      </c>
      <c r="U196" s="542" t="str">
        <f>IFERROR(IF(C196="","",IF(INDEX(xyWattage_Table,MATCH(M196,'Fixture Identities'!$B$9:$B$997,0),2)="Exit Sign",1,IF(VLOOKUP(C196,xySpace_Type_Details,8,FALSE)="TRM",INDEX('General Information'!$AF$17:$AG$28,12,MATCH(N196,'General Information'!$AF$16:$AG$16,0)),HLOOKUP(VLOOKUP(C196,xySpace_Type_Details,8,FALSE),'General Information'!$P$15:$AG$28,14,FALSE)))),"")</f>
        <v/>
      </c>
      <c r="V196" s="542" t="str">
        <f>IFERROR(VLOOKUP(INDEX(xySpace_Type_Details,MATCH($C196,'General Information'!$C$40:$C$60,0),12),Lookups!$L$8:$N$12,2,FALSE),"")</f>
        <v/>
      </c>
      <c r="W196" s="542" t="str">
        <f>IFERROR(VLOOKUP(INDEX(xySpace_Type_Details,MATCH($C196,'General Information'!$C$40:$C$60,0),12),Lookups!$L$8:$N$12,3,FALSE),"")</f>
        <v/>
      </c>
      <c r="Y196" s="542" t="str">
        <f>IFERROR(IF(C196="","",IF(INDEX(xyWattage_Table,MATCH(M196,'Fixture Identities'!$B$9:$B$997,0),2)="Exit Sign",0,IF(PRJ_Type="Retrofit",VLOOKUP(I196,xySVG_Factors,2,FALSE),IF(AND(PRJ_Type="New Construction",Inventory!C193="N"),VLOOKUP(VLOOKUP(Building_Type,xyLPD_BuildingArea,5,FALSE),xySVG_Factors_NC,3,FALSE),0)))),"")</f>
        <v/>
      </c>
      <c r="Z196" s="544" t="str">
        <f>IFERROR(IF(C196="","",IF(INDEX(xyWattage_Table,MATCH(M196,'Fixture Identities'!$B$9:$B$997,0),2)="Exit Sign",0,VLOOKUP(S196,xySVG_Factors,2,FALSE))),"")</f>
        <v/>
      </c>
      <c r="AA196" s="545" t="str">
        <f t="shared" si="73"/>
        <v/>
      </c>
      <c r="AB196" s="542" t="str">
        <f t="shared" si="74"/>
        <v/>
      </c>
      <c r="AC196" s="539" t="str">
        <f t="shared" si="75"/>
        <v/>
      </c>
      <c r="AD196" s="546" t="str">
        <f t="shared" si="76"/>
        <v/>
      </c>
      <c r="AE196" s="539" t="str">
        <f t="shared" si="77"/>
        <v/>
      </c>
      <c r="AF196" s="546" t="str">
        <f t="shared" si="78"/>
        <v/>
      </c>
      <c r="AG196" s="539" t="str">
        <f t="shared" si="79"/>
        <v/>
      </c>
      <c r="AH196" s="32">
        <f t="shared" si="60"/>
        <v>0</v>
      </c>
      <c r="AI196" s="32">
        <f t="shared" si="61"/>
        <v>0</v>
      </c>
      <c r="AJ196" s="32">
        <f t="shared" si="62"/>
        <v>0</v>
      </c>
      <c r="AK196" t="str">
        <f t="shared" si="63"/>
        <v/>
      </c>
      <c r="AL196" t="str">
        <f t="shared" si="64"/>
        <v/>
      </c>
      <c r="AM196" t="str">
        <f t="shared" si="65"/>
        <v/>
      </c>
      <c r="AO196" t="str">
        <f>IFERROR(VLOOKUP(M196,'Fixture Identities'!$B$9:$O$1045,14,FALSE),"")</f>
        <v/>
      </c>
      <c r="AP196" t="str">
        <f t="shared" si="59"/>
        <v/>
      </c>
    </row>
    <row r="197" spans="1:42">
      <c r="A197" s="71">
        <f t="shared" si="80"/>
        <v>0</v>
      </c>
      <c r="B197" s="513">
        <f t="shared" si="66"/>
        <v>185</v>
      </c>
      <c r="C197" s="530" t="str">
        <f>IF(Inventory!E194="","",Inventory!E194)</f>
        <v/>
      </c>
      <c r="D197" s="531">
        <f>IF(Inventory!D194="",0,Inventory!D194)</f>
        <v>0</v>
      </c>
      <c r="E197" s="532" t="str">
        <f>IF(Inventory!I194=0,"",Inventory!I194)</f>
        <v/>
      </c>
      <c r="F197" s="533" t="str">
        <f t="shared" si="67"/>
        <v/>
      </c>
      <c r="G197" s="534" t="str">
        <f>IF(Inventory!G194="","",Inventory!G194)</f>
        <v/>
      </c>
      <c r="H197" s="535" t="str">
        <f t="shared" si="68"/>
        <v/>
      </c>
      <c r="I197" s="536" t="str">
        <f>IF(Inventory!J194="","",Inventory!J194)</f>
        <v/>
      </c>
      <c r="J197" s="537" t="str">
        <f>IFERROR(IF(PRJ_Type="New Construction",IF(Inventory!C194="N",INDEX(xyLPD_BuildingArea,MATCH(Building_Type,Lookups!$F$37:$F$75,0),4),INDEX(xyLPD_SpaceBySpace,MATCH(INDEX(xyNCEx,MATCH(I197,yNCExArea,0),2),ySpace_by_Space_Type,0),2)),VLOOKUP(E197,xyWattage_Table,11,FALSE)),"")</f>
        <v/>
      </c>
      <c r="K197" s="538" t="str">
        <f>IFERROR(IF(AND(NC_Type="Building Area Method",Inventory!C194="N"),IF(ISERROR(INDEX('Usage Groups (&gt;120 MWh only)'!$N$8:$N$12,MATCH(C197,'Usage Groups (&gt;120 MWh only)'!$B$8:$B$12,0),1))=TRUE,SqFt/COUNTIFS(Inventory!$C$10:$C$1009,"N",$Q$13:$Q$1012,"&gt;=0"),INDEX('Usage Groups (&gt;120 MWh only)'!$N$8:$N$12,MATCH(C197,'Usage Groups (&gt;120 MWh only)'!$B$8:$B$12,0),1)/COUNTIF($C$13:$C$1012,C197)),IF(AND(NC_Type="Building Area Method",Inventory!C194="Y"),INDEX(xyNCEx,MATCH(I197,yNCExArea,0),3)/COUNTIF($I$13:$I$1012,I197),VLOOKUP(J197,xyWattage_Table,10,FALSE))),"")</f>
        <v/>
      </c>
      <c r="L197" s="539" t="str">
        <f t="shared" si="69"/>
        <v/>
      </c>
      <c r="M197" s="540">
        <f>IF(Inventory!N194="","",Inventory!N194)</f>
        <v>0</v>
      </c>
      <c r="N197" s="533" t="str">
        <f t="shared" si="70"/>
        <v/>
      </c>
      <c r="O197" s="534"/>
      <c r="P197" s="533" t="str">
        <f t="shared" si="71"/>
        <v/>
      </c>
      <c r="Q197" s="534" t="str">
        <f>IF(Inventory!L194="","",Inventory!L194)</f>
        <v/>
      </c>
      <c r="R197" s="535" t="str">
        <f t="shared" si="72"/>
        <v/>
      </c>
      <c r="S197" s="536" t="str">
        <f>IF(Inventory!O194="","",Inventory!O194)</f>
        <v/>
      </c>
      <c r="T197" s="541" t="str">
        <f>IFERROR(IF(C197="","",IF(INDEX(xyWattage_Table,MATCH(M197,'Fixture Identities'!$B$9:$B$997,0),2)="Exit Sign",8760,IF(VLOOKUP(C197,xySpace_Type_Details,8,FALSE)="TRM",INDEX('General Information'!$AF$17:$AG$28,11,MATCH(N197,'General Information'!$AF$16:$AG$16,0)),HLOOKUP(VLOOKUP(C197,xySpace_Type_Details,8,FALSE),'General Information'!$P$15:$AG$28,13,FALSE)))),"")</f>
        <v/>
      </c>
      <c r="U197" s="542" t="str">
        <f>IFERROR(IF(C197="","",IF(INDEX(xyWattage_Table,MATCH(M197,'Fixture Identities'!$B$9:$B$997,0),2)="Exit Sign",1,IF(VLOOKUP(C197,xySpace_Type_Details,8,FALSE)="TRM",INDEX('General Information'!$AF$17:$AG$28,12,MATCH(N197,'General Information'!$AF$16:$AG$16,0)),HLOOKUP(VLOOKUP(C197,xySpace_Type_Details,8,FALSE),'General Information'!$P$15:$AG$28,14,FALSE)))),"")</f>
        <v/>
      </c>
      <c r="V197" s="542" t="str">
        <f>IFERROR(VLOOKUP(INDEX(xySpace_Type_Details,MATCH($C197,'General Information'!$C$40:$C$60,0),12),Lookups!$L$8:$N$12,2,FALSE),"")</f>
        <v/>
      </c>
      <c r="W197" s="542" t="str">
        <f>IFERROR(VLOOKUP(INDEX(xySpace_Type_Details,MATCH($C197,'General Information'!$C$40:$C$60,0),12),Lookups!$L$8:$N$12,3,FALSE),"")</f>
        <v/>
      </c>
      <c r="Y197" s="542" t="str">
        <f>IFERROR(IF(C197="","",IF(INDEX(xyWattage_Table,MATCH(M197,'Fixture Identities'!$B$9:$B$997,0),2)="Exit Sign",0,IF(PRJ_Type="Retrofit",VLOOKUP(I197,xySVG_Factors,2,FALSE),IF(AND(PRJ_Type="New Construction",Inventory!C194="N"),VLOOKUP(VLOOKUP(Building_Type,xyLPD_BuildingArea,5,FALSE),xySVG_Factors_NC,3,FALSE),0)))),"")</f>
        <v/>
      </c>
      <c r="Z197" s="544" t="str">
        <f>IFERROR(IF(C197="","",IF(INDEX(xyWattage_Table,MATCH(M197,'Fixture Identities'!$B$9:$B$997,0),2)="Exit Sign",0,VLOOKUP(S197,xySVG_Factors,2,FALSE))),"")</f>
        <v/>
      </c>
      <c r="AA197" s="545" t="str">
        <f t="shared" si="73"/>
        <v/>
      </c>
      <c r="AB197" s="542" t="str">
        <f t="shared" si="74"/>
        <v/>
      </c>
      <c r="AC197" s="539" t="str">
        <f t="shared" si="75"/>
        <v/>
      </c>
      <c r="AD197" s="546" t="str">
        <f t="shared" si="76"/>
        <v/>
      </c>
      <c r="AE197" s="539" t="str">
        <f t="shared" si="77"/>
        <v/>
      </c>
      <c r="AF197" s="546" t="str">
        <f t="shared" si="78"/>
        <v/>
      </c>
      <c r="AG197" s="539" t="str">
        <f t="shared" si="79"/>
        <v/>
      </c>
      <c r="AH197" s="32">
        <f t="shared" si="60"/>
        <v>0</v>
      </c>
      <c r="AI197" s="32">
        <f t="shared" si="61"/>
        <v>0</v>
      </c>
      <c r="AJ197" s="32">
        <f t="shared" si="62"/>
        <v>0</v>
      </c>
      <c r="AK197" t="str">
        <f t="shared" si="63"/>
        <v/>
      </c>
      <c r="AL197" t="str">
        <f t="shared" si="64"/>
        <v/>
      </c>
      <c r="AM197" t="str">
        <f t="shared" si="65"/>
        <v/>
      </c>
      <c r="AO197" t="str">
        <f>IFERROR(VLOOKUP(M197,'Fixture Identities'!$B$9:$O$1045,14,FALSE),"")</f>
        <v/>
      </c>
      <c r="AP197" t="str">
        <f t="shared" si="59"/>
        <v/>
      </c>
    </row>
    <row r="198" spans="1:42">
      <c r="A198" s="71">
        <f t="shared" si="80"/>
        <v>0</v>
      </c>
      <c r="B198" s="513">
        <f t="shared" si="66"/>
        <v>186</v>
      </c>
      <c r="C198" s="530" t="str">
        <f>IF(Inventory!E195="","",Inventory!E195)</f>
        <v/>
      </c>
      <c r="D198" s="531">
        <f>IF(Inventory!D195="",0,Inventory!D195)</f>
        <v>0</v>
      </c>
      <c r="E198" s="532" t="str">
        <f>IF(Inventory!I195=0,"",Inventory!I195)</f>
        <v/>
      </c>
      <c r="F198" s="533" t="str">
        <f t="shared" si="67"/>
        <v/>
      </c>
      <c r="G198" s="534" t="str">
        <f>IF(Inventory!G195="","",Inventory!G195)</f>
        <v/>
      </c>
      <c r="H198" s="535" t="str">
        <f t="shared" si="68"/>
        <v/>
      </c>
      <c r="I198" s="536" t="str">
        <f>IF(Inventory!J195="","",Inventory!J195)</f>
        <v/>
      </c>
      <c r="J198" s="537" t="str">
        <f>IFERROR(IF(PRJ_Type="New Construction",IF(Inventory!C195="N",INDEX(xyLPD_BuildingArea,MATCH(Building_Type,Lookups!$F$37:$F$75,0),4),INDEX(xyLPD_SpaceBySpace,MATCH(INDEX(xyNCEx,MATCH(I198,yNCExArea,0),2),ySpace_by_Space_Type,0),2)),VLOOKUP(E198,xyWattage_Table,11,FALSE)),"")</f>
        <v/>
      </c>
      <c r="K198" s="538" t="str">
        <f>IFERROR(IF(AND(NC_Type="Building Area Method",Inventory!C195="N"),IF(ISERROR(INDEX('Usage Groups (&gt;120 MWh only)'!$N$8:$N$12,MATCH(C198,'Usage Groups (&gt;120 MWh only)'!$B$8:$B$12,0),1))=TRUE,SqFt/COUNTIFS(Inventory!$C$10:$C$1009,"N",$Q$13:$Q$1012,"&gt;=0"),INDEX('Usage Groups (&gt;120 MWh only)'!$N$8:$N$12,MATCH(C198,'Usage Groups (&gt;120 MWh only)'!$B$8:$B$12,0),1)/COUNTIF($C$13:$C$1012,C198)),IF(AND(NC_Type="Building Area Method",Inventory!C195="Y"),INDEX(xyNCEx,MATCH(I198,yNCExArea,0),3)/COUNTIF($I$13:$I$1012,I198),VLOOKUP(J198,xyWattage_Table,10,FALSE))),"")</f>
        <v/>
      </c>
      <c r="L198" s="539" t="str">
        <f t="shared" si="69"/>
        <v/>
      </c>
      <c r="M198" s="540">
        <f>IF(Inventory!N195="","",Inventory!N195)</f>
        <v>0</v>
      </c>
      <c r="N198" s="533" t="str">
        <f t="shared" si="70"/>
        <v/>
      </c>
      <c r="O198" s="534"/>
      <c r="P198" s="533" t="str">
        <f t="shared" si="71"/>
        <v/>
      </c>
      <c r="Q198" s="534" t="str">
        <f>IF(Inventory!L195="","",Inventory!L195)</f>
        <v/>
      </c>
      <c r="R198" s="535" t="str">
        <f t="shared" si="72"/>
        <v/>
      </c>
      <c r="S198" s="536" t="str">
        <f>IF(Inventory!O195="","",Inventory!O195)</f>
        <v/>
      </c>
      <c r="T198" s="541" t="str">
        <f>IFERROR(IF(C198="","",IF(INDEX(xyWattage_Table,MATCH(M198,'Fixture Identities'!$B$9:$B$997,0),2)="Exit Sign",8760,IF(VLOOKUP(C198,xySpace_Type_Details,8,FALSE)="TRM",INDEX('General Information'!$AF$17:$AG$28,11,MATCH(N198,'General Information'!$AF$16:$AG$16,0)),HLOOKUP(VLOOKUP(C198,xySpace_Type_Details,8,FALSE),'General Information'!$P$15:$AG$28,13,FALSE)))),"")</f>
        <v/>
      </c>
      <c r="U198" s="542" t="str">
        <f>IFERROR(IF(C198="","",IF(INDEX(xyWattage_Table,MATCH(M198,'Fixture Identities'!$B$9:$B$997,0),2)="Exit Sign",1,IF(VLOOKUP(C198,xySpace_Type_Details,8,FALSE)="TRM",INDEX('General Information'!$AF$17:$AG$28,12,MATCH(N198,'General Information'!$AF$16:$AG$16,0)),HLOOKUP(VLOOKUP(C198,xySpace_Type_Details,8,FALSE),'General Information'!$P$15:$AG$28,14,FALSE)))),"")</f>
        <v/>
      </c>
      <c r="V198" s="542" t="str">
        <f>IFERROR(VLOOKUP(INDEX(xySpace_Type_Details,MATCH($C198,'General Information'!$C$40:$C$60,0),12),Lookups!$L$8:$N$12,2,FALSE),"")</f>
        <v/>
      </c>
      <c r="W198" s="542" t="str">
        <f>IFERROR(VLOOKUP(INDEX(xySpace_Type_Details,MATCH($C198,'General Information'!$C$40:$C$60,0),12),Lookups!$L$8:$N$12,3,FALSE),"")</f>
        <v/>
      </c>
      <c r="Y198" s="542" t="str">
        <f>IFERROR(IF(C198="","",IF(INDEX(xyWattage_Table,MATCH(M198,'Fixture Identities'!$B$9:$B$997,0),2)="Exit Sign",0,IF(PRJ_Type="Retrofit",VLOOKUP(I198,xySVG_Factors,2,FALSE),IF(AND(PRJ_Type="New Construction",Inventory!C195="N"),VLOOKUP(VLOOKUP(Building_Type,xyLPD_BuildingArea,5,FALSE),xySVG_Factors_NC,3,FALSE),0)))),"")</f>
        <v/>
      </c>
      <c r="Z198" s="544" t="str">
        <f>IFERROR(IF(C198="","",IF(INDEX(xyWattage_Table,MATCH(M198,'Fixture Identities'!$B$9:$B$997,0),2)="Exit Sign",0,VLOOKUP(S198,xySVG_Factors,2,FALSE))),"")</f>
        <v/>
      </c>
      <c r="AA198" s="545" t="str">
        <f t="shared" si="73"/>
        <v/>
      </c>
      <c r="AB198" s="542" t="str">
        <f t="shared" si="74"/>
        <v/>
      </c>
      <c r="AC198" s="539" t="str">
        <f t="shared" si="75"/>
        <v/>
      </c>
      <c r="AD198" s="546" t="str">
        <f t="shared" si="76"/>
        <v/>
      </c>
      <c r="AE198" s="539" t="str">
        <f t="shared" si="77"/>
        <v/>
      </c>
      <c r="AF198" s="546" t="str">
        <f t="shared" si="78"/>
        <v/>
      </c>
      <c r="AG198" s="539" t="str">
        <f t="shared" si="79"/>
        <v/>
      </c>
      <c r="AH198" s="32">
        <f t="shared" si="60"/>
        <v>0</v>
      </c>
      <c r="AI198" s="32">
        <f t="shared" si="61"/>
        <v>0</v>
      </c>
      <c r="AJ198" s="32">
        <f t="shared" si="62"/>
        <v>0</v>
      </c>
      <c r="AK198" t="str">
        <f t="shared" si="63"/>
        <v/>
      </c>
      <c r="AL198" t="str">
        <f t="shared" si="64"/>
        <v/>
      </c>
      <c r="AM198" t="str">
        <f t="shared" si="65"/>
        <v/>
      </c>
      <c r="AO198" t="str">
        <f>IFERROR(VLOOKUP(M198,'Fixture Identities'!$B$9:$O$1045,14,FALSE),"")</f>
        <v/>
      </c>
      <c r="AP198" t="str">
        <f t="shared" si="59"/>
        <v/>
      </c>
    </row>
    <row r="199" spans="1:42">
      <c r="A199" s="71">
        <f t="shared" si="80"/>
        <v>0</v>
      </c>
      <c r="B199" s="513">
        <f t="shared" si="66"/>
        <v>187</v>
      </c>
      <c r="C199" s="530" t="str">
        <f>IF(Inventory!E196="","",Inventory!E196)</f>
        <v/>
      </c>
      <c r="D199" s="531">
        <f>IF(Inventory!D196="",0,Inventory!D196)</f>
        <v>0</v>
      </c>
      <c r="E199" s="532" t="str">
        <f>IF(Inventory!I196=0,"",Inventory!I196)</f>
        <v/>
      </c>
      <c r="F199" s="533" t="str">
        <f t="shared" si="67"/>
        <v/>
      </c>
      <c r="G199" s="534" t="str">
        <f>IF(Inventory!G196="","",Inventory!G196)</f>
        <v/>
      </c>
      <c r="H199" s="535" t="str">
        <f t="shared" si="68"/>
        <v/>
      </c>
      <c r="I199" s="536" t="str">
        <f>IF(Inventory!J196="","",Inventory!J196)</f>
        <v/>
      </c>
      <c r="J199" s="537" t="str">
        <f>IFERROR(IF(PRJ_Type="New Construction",IF(Inventory!C196="N",INDEX(xyLPD_BuildingArea,MATCH(Building_Type,Lookups!$F$37:$F$75,0),4),INDEX(xyLPD_SpaceBySpace,MATCH(INDEX(xyNCEx,MATCH(I199,yNCExArea,0),2),ySpace_by_Space_Type,0),2)),VLOOKUP(E199,xyWattage_Table,11,FALSE)),"")</f>
        <v/>
      </c>
      <c r="K199" s="538" t="str">
        <f>IFERROR(IF(AND(NC_Type="Building Area Method",Inventory!C196="N"),IF(ISERROR(INDEX('Usage Groups (&gt;120 MWh only)'!$N$8:$N$12,MATCH(C199,'Usage Groups (&gt;120 MWh only)'!$B$8:$B$12,0),1))=TRUE,SqFt/COUNTIFS(Inventory!$C$10:$C$1009,"N",$Q$13:$Q$1012,"&gt;=0"),INDEX('Usage Groups (&gt;120 MWh only)'!$N$8:$N$12,MATCH(C199,'Usage Groups (&gt;120 MWh only)'!$B$8:$B$12,0),1)/COUNTIF($C$13:$C$1012,C199)),IF(AND(NC_Type="Building Area Method",Inventory!C196="Y"),INDEX(xyNCEx,MATCH(I199,yNCExArea,0),3)/COUNTIF($I$13:$I$1012,I199),VLOOKUP(J199,xyWattage_Table,10,FALSE))),"")</f>
        <v/>
      </c>
      <c r="L199" s="539" t="str">
        <f t="shared" si="69"/>
        <v/>
      </c>
      <c r="M199" s="540">
        <f>IF(Inventory!N196="","",Inventory!N196)</f>
        <v>0</v>
      </c>
      <c r="N199" s="533" t="str">
        <f t="shared" si="70"/>
        <v/>
      </c>
      <c r="O199" s="534"/>
      <c r="P199" s="533" t="str">
        <f t="shared" si="71"/>
        <v/>
      </c>
      <c r="Q199" s="534" t="str">
        <f>IF(Inventory!L196="","",Inventory!L196)</f>
        <v/>
      </c>
      <c r="R199" s="535" t="str">
        <f t="shared" si="72"/>
        <v/>
      </c>
      <c r="S199" s="536" t="str">
        <f>IF(Inventory!O196="","",Inventory!O196)</f>
        <v/>
      </c>
      <c r="T199" s="541" t="str">
        <f>IFERROR(IF(C199="","",IF(INDEX(xyWattage_Table,MATCH(M199,'Fixture Identities'!$B$9:$B$997,0),2)="Exit Sign",8760,IF(VLOOKUP(C199,xySpace_Type_Details,8,FALSE)="TRM",INDEX('General Information'!$AF$17:$AG$28,11,MATCH(N199,'General Information'!$AF$16:$AG$16,0)),HLOOKUP(VLOOKUP(C199,xySpace_Type_Details,8,FALSE),'General Information'!$P$15:$AG$28,13,FALSE)))),"")</f>
        <v/>
      </c>
      <c r="U199" s="542" t="str">
        <f>IFERROR(IF(C199="","",IF(INDEX(xyWattage_Table,MATCH(M199,'Fixture Identities'!$B$9:$B$997,0),2)="Exit Sign",1,IF(VLOOKUP(C199,xySpace_Type_Details,8,FALSE)="TRM",INDEX('General Information'!$AF$17:$AG$28,12,MATCH(N199,'General Information'!$AF$16:$AG$16,0)),HLOOKUP(VLOOKUP(C199,xySpace_Type_Details,8,FALSE),'General Information'!$P$15:$AG$28,14,FALSE)))),"")</f>
        <v/>
      </c>
      <c r="V199" s="542" t="str">
        <f>IFERROR(VLOOKUP(INDEX(xySpace_Type_Details,MATCH($C199,'General Information'!$C$40:$C$60,0),12),Lookups!$L$8:$N$12,2,FALSE),"")</f>
        <v/>
      </c>
      <c r="W199" s="542" t="str">
        <f>IFERROR(VLOOKUP(INDEX(xySpace_Type_Details,MATCH($C199,'General Information'!$C$40:$C$60,0),12),Lookups!$L$8:$N$12,3,FALSE),"")</f>
        <v/>
      </c>
      <c r="Y199" s="542" t="str">
        <f>IFERROR(IF(C199="","",IF(INDEX(xyWattage_Table,MATCH(M199,'Fixture Identities'!$B$9:$B$997,0),2)="Exit Sign",0,IF(PRJ_Type="Retrofit",VLOOKUP(I199,xySVG_Factors,2,FALSE),IF(AND(PRJ_Type="New Construction",Inventory!C196="N"),VLOOKUP(VLOOKUP(Building_Type,xyLPD_BuildingArea,5,FALSE),xySVG_Factors_NC,3,FALSE),0)))),"")</f>
        <v/>
      </c>
      <c r="Z199" s="544" t="str">
        <f>IFERROR(IF(C199="","",IF(INDEX(xyWattage_Table,MATCH(M199,'Fixture Identities'!$B$9:$B$997,0),2)="Exit Sign",0,VLOOKUP(S199,xySVG_Factors,2,FALSE))),"")</f>
        <v/>
      </c>
      <c r="AA199" s="545" t="str">
        <f t="shared" si="73"/>
        <v/>
      </c>
      <c r="AB199" s="542" t="str">
        <f t="shared" si="74"/>
        <v/>
      </c>
      <c r="AC199" s="539" t="str">
        <f t="shared" si="75"/>
        <v/>
      </c>
      <c r="AD199" s="546" t="str">
        <f t="shared" si="76"/>
        <v/>
      </c>
      <c r="AE199" s="539" t="str">
        <f t="shared" si="77"/>
        <v/>
      </c>
      <c r="AF199" s="546" t="str">
        <f t="shared" si="78"/>
        <v/>
      </c>
      <c r="AG199" s="539" t="str">
        <f t="shared" si="79"/>
        <v/>
      </c>
      <c r="AH199" s="32">
        <f t="shared" si="60"/>
        <v>0</v>
      </c>
      <c r="AI199" s="32">
        <f t="shared" si="61"/>
        <v>0</v>
      </c>
      <c r="AJ199" s="32">
        <f t="shared" si="62"/>
        <v>0</v>
      </c>
      <c r="AK199" t="str">
        <f t="shared" si="63"/>
        <v/>
      </c>
      <c r="AL199" t="str">
        <f t="shared" si="64"/>
        <v/>
      </c>
      <c r="AM199" t="str">
        <f t="shared" si="65"/>
        <v/>
      </c>
      <c r="AO199" t="str">
        <f>IFERROR(VLOOKUP(M199,'Fixture Identities'!$B$9:$O$1045,14,FALSE),"")</f>
        <v/>
      </c>
      <c r="AP199" t="str">
        <f t="shared" si="59"/>
        <v/>
      </c>
    </row>
    <row r="200" spans="1:42">
      <c r="A200" s="71">
        <f t="shared" si="80"/>
        <v>0</v>
      </c>
      <c r="B200" s="513">
        <f t="shared" si="66"/>
        <v>188</v>
      </c>
      <c r="C200" s="530" t="str">
        <f>IF(Inventory!E197="","",Inventory!E197)</f>
        <v/>
      </c>
      <c r="D200" s="531">
        <f>IF(Inventory!D197="",0,Inventory!D197)</f>
        <v>0</v>
      </c>
      <c r="E200" s="532" t="str">
        <f>IF(Inventory!I197=0,"",Inventory!I197)</f>
        <v/>
      </c>
      <c r="F200" s="533" t="str">
        <f t="shared" si="67"/>
        <v/>
      </c>
      <c r="G200" s="534" t="str">
        <f>IF(Inventory!G197="","",Inventory!G197)</f>
        <v/>
      </c>
      <c r="H200" s="535" t="str">
        <f t="shared" si="68"/>
        <v/>
      </c>
      <c r="I200" s="536" t="str">
        <f>IF(Inventory!J197="","",Inventory!J197)</f>
        <v/>
      </c>
      <c r="J200" s="537" t="str">
        <f>IFERROR(IF(PRJ_Type="New Construction",IF(Inventory!C197="N",INDEX(xyLPD_BuildingArea,MATCH(Building_Type,Lookups!$F$37:$F$75,0),4),INDEX(xyLPD_SpaceBySpace,MATCH(INDEX(xyNCEx,MATCH(I200,yNCExArea,0),2),ySpace_by_Space_Type,0),2)),VLOOKUP(E200,xyWattage_Table,11,FALSE)),"")</f>
        <v/>
      </c>
      <c r="K200" s="538" t="str">
        <f>IFERROR(IF(AND(NC_Type="Building Area Method",Inventory!C197="N"),IF(ISERROR(INDEX('Usage Groups (&gt;120 MWh only)'!$N$8:$N$12,MATCH(C200,'Usage Groups (&gt;120 MWh only)'!$B$8:$B$12,0),1))=TRUE,SqFt/COUNTIFS(Inventory!$C$10:$C$1009,"N",$Q$13:$Q$1012,"&gt;=0"),INDEX('Usage Groups (&gt;120 MWh only)'!$N$8:$N$12,MATCH(C200,'Usage Groups (&gt;120 MWh only)'!$B$8:$B$12,0),1)/COUNTIF($C$13:$C$1012,C200)),IF(AND(NC_Type="Building Area Method",Inventory!C197="Y"),INDEX(xyNCEx,MATCH(I200,yNCExArea,0),3)/COUNTIF($I$13:$I$1012,I200),VLOOKUP(J200,xyWattage_Table,10,FALSE))),"")</f>
        <v/>
      </c>
      <c r="L200" s="539" t="str">
        <f t="shared" si="69"/>
        <v/>
      </c>
      <c r="M200" s="540">
        <f>IF(Inventory!N197="","",Inventory!N197)</f>
        <v>0</v>
      </c>
      <c r="N200" s="533" t="str">
        <f t="shared" si="70"/>
        <v/>
      </c>
      <c r="O200" s="534"/>
      <c r="P200" s="533" t="str">
        <f t="shared" si="71"/>
        <v/>
      </c>
      <c r="Q200" s="534" t="str">
        <f>IF(Inventory!L197="","",Inventory!L197)</f>
        <v/>
      </c>
      <c r="R200" s="535" t="str">
        <f t="shared" si="72"/>
        <v/>
      </c>
      <c r="S200" s="536" t="str">
        <f>IF(Inventory!O197="","",Inventory!O197)</f>
        <v/>
      </c>
      <c r="T200" s="541" t="str">
        <f>IFERROR(IF(C200="","",IF(INDEX(xyWattage_Table,MATCH(M200,'Fixture Identities'!$B$9:$B$997,0),2)="Exit Sign",8760,IF(VLOOKUP(C200,xySpace_Type_Details,8,FALSE)="TRM",INDEX('General Information'!$AF$17:$AG$28,11,MATCH(N200,'General Information'!$AF$16:$AG$16,0)),HLOOKUP(VLOOKUP(C200,xySpace_Type_Details,8,FALSE),'General Information'!$P$15:$AG$28,13,FALSE)))),"")</f>
        <v/>
      </c>
      <c r="U200" s="542" t="str">
        <f>IFERROR(IF(C200="","",IF(INDEX(xyWattage_Table,MATCH(M200,'Fixture Identities'!$B$9:$B$997,0),2)="Exit Sign",1,IF(VLOOKUP(C200,xySpace_Type_Details,8,FALSE)="TRM",INDEX('General Information'!$AF$17:$AG$28,12,MATCH(N200,'General Information'!$AF$16:$AG$16,0)),HLOOKUP(VLOOKUP(C200,xySpace_Type_Details,8,FALSE),'General Information'!$P$15:$AG$28,14,FALSE)))),"")</f>
        <v/>
      </c>
      <c r="V200" s="542" t="str">
        <f>IFERROR(VLOOKUP(INDEX(xySpace_Type_Details,MATCH($C200,'General Information'!$C$40:$C$60,0),12),Lookups!$L$8:$N$12,2,FALSE),"")</f>
        <v/>
      </c>
      <c r="W200" s="542" t="str">
        <f>IFERROR(VLOOKUP(INDEX(xySpace_Type_Details,MATCH($C200,'General Information'!$C$40:$C$60,0),12),Lookups!$L$8:$N$12,3,FALSE),"")</f>
        <v/>
      </c>
      <c r="Y200" s="542" t="str">
        <f>IFERROR(IF(C200="","",IF(INDEX(xyWattage_Table,MATCH(M200,'Fixture Identities'!$B$9:$B$997,0),2)="Exit Sign",0,IF(PRJ_Type="Retrofit",VLOOKUP(I200,xySVG_Factors,2,FALSE),IF(AND(PRJ_Type="New Construction",Inventory!C197="N"),VLOOKUP(VLOOKUP(Building_Type,xyLPD_BuildingArea,5,FALSE),xySVG_Factors_NC,3,FALSE),0)))),"")</f>
        <v/>
      </c>
      <c r="Z200" s="544" t="str">
        <f>IFERROR(IF(C200="","",IF(INDEX(xyWattage_Table,MATCH(M200,'Fixture Identities'!$B$9:$B$997,0),2)="Exit Sign",0,VLOOKUP(S200,xySVG_Factors,2,FALSE))),"")</f>
        <v/>
      </c>
      <c r="AA200" s="545" t="str">
        <f t="shared" si="73"/>
        <v/>
      </c>
      <c r="AB200" s="542" t="str">
        <f t="shared" si="74"/>
        <v/>
      </c>
      <c r="AC200" s="539" t="str">
        <f t="shared" si="75"/>
        <v/>
      </c>
      <c r="AD200" s="546" t="str">
        <f t="shared" si="76"/>
        <v/>
      </c>
      <c r="AE200" s="539" t="str">
        <f t="shared" si="77"/>
        <v/>
      </c>
      <c r="AF200" s="546" t="str">
        <f t="shared" si="78"/>
        <v/>
      </c>
      <c r="AG200" s="539" t="str">
        <f t="shared" si="79"/>
        <v/>
      </c>
      <c r="AH200" s="32">
        <f t="shared" si="60"/>
        <v>0</v>
      </c>
      <c r="AI200" s="32">
        <f t="shared" si="61"/>
        <v>0</v>
      </c>
      <c r="AJ200" s="32">
        <f t="shared" si="62"/>
        <v>0</v>
      </c>
      <c r="AK200" t="str">
        <f t="shared" si="63"/>
        <v/>
      </c>
      <c r="AL200" t="str">
        <f t="shared" si="64"/>
        <v/>
      </c>
      <c r="AM200" t="str">
        <f t="shared" si="65"/>
        <v/>
      </c>
      <c r="AO200" t="str">
        <f>IFERROR(VLOOKUP(M200,'Fixture Identities'!$B$9:$O$1045,14,FALSE),"")</f>
        <v/>
      </c>
      <c r="AP200" t="str">
        <f t="shared" si="59"/>
        <v/>
      </c>
    </row>
    <row r="201" spans="1:42">
      <c r="A201" s="71">
        <f t="shared" si="80"/>
        <v>0</v>
      </c>
      <c r="B201" s="513">
        <f t="shared" si="66"/>
        <v>189</v>
      </c>
      <c r="C201" s="530" t="str">
        <f>IF(Inventory!E198="","",Inventory!E198)</f>
        <v/>
      </c>
      <c r="D201" s="531">
        <f>IF(Inventory!D198="",0,Inventory!D198)</f>
        <v>0</v>
      </c>
      <c r="E201" s="532" t="str">
        <f>IF(Inventory!I198=0,"",Inventory!I198)</f>
        <v/>
      </c>
      <c r="F201" s="533" t="str">
        <f t="shared" si="67"/>
        <v/>
      </c>
      <c r="G201" s="534" t="str">
        <f>IF(Inventory!G198="","",Inventory!G198)</f>
        <v/>
      </c>
      <c r="H201" s="535" t="str">
        <f t="shared" si="68"/>
        <v/>
      </c>
      <c r="I201" s="536" t="str">
        <f>IF(Inventory!J198="","",Inventory!J198)</f>
        <v/>
      </c>
      <c r="J201" s="537" t="str">
        <f>IFERROR(IF(PRJ_Type="New Construction",IF(Inventory!C198="N",INDEX(xyLPD_BuildingArea,MATCH(Building_Type,Lookups!$F$37:$F$75,0),4),INDEX(xyLPD_SpaceBySpace,MATCH(INDEX(xyNCEx,MATCH(I201,yNCExArea,0),2),ySpace_by_Space_Type,0),2)),VLOOKUP(E201,xyWattage_Table,11,FALSE)),"")</f>
        <v/>
      </c>
      <c r="K201" s="538" t="str">
        <f>IFERROR(IF(AND(NC_Type="Building Area Method",Inventory!C198="N"),IF(ISERROR(INDEX('Usage Groups (&gt;120 MWh only)'!$N$8:$N$12,MATCH(C201,'Usage Groups (&gt;120 MWh only)'!$B$8:$B$12,0),1))=TRUE,SqFt/COUNTIFS(Inventory!$C$10:$C$1009,"N",$Q$13:$Q$1012,"&gt;=0"),INDEX('Usage Groups (&gt;120 MWh only)'!$N$8:$N$12,MATCH(C201,'Usage Groups (&gt;120 MWh only)'!$B$8:$B$12,0),1)/COUNTIF($C$13:$C$1012,C201)),IF(AND(NC_Type="Building Area Method",Inventory!C198="Y"),INDEX(xyNCEx,MATCH(I201,yNCExArea,0),3)/COUNTIF($I$13:$I$1012,I201),VLOOKUP(J201,xyWattage_Table,10,FALSE))),"")</f>
        <v/>
      </c>
      <c r="L201" s="539" t="str">
        <f t="shared" si="69"/>
        <v/>
      </c>
      <c r="M201" s="540">
        <f>IF(Inventory!N198="","",Inventory!N198)</f>
        <v>0</v>
      </c>
      <c r="N201" s="533" t="str">
        <f t="shared" si="70"/>
        <v/>
      </c>
      <c r="O201" s="534"/>
      <c r="P201" s="533" t="str">
        <f t="shared" si="71"/>
        <v/>
      </c>
      <c r="Q201" s="534" t="str">
        <f>IF(Inventory!L198="","",Inventory!L198)</f>
        <v/>
      </c>
      <c r="R201" s="535" t="str">
        <f t="shared" si="72"/>
        <v/>
      </c>
      <c r="S201" s="536" t="str">
        <f>IF(Inventory!O198="","",Inventory!O198)</f>
        <v/>
      </c>
      <c r="T201" s="541" t="str">
        <f>IFERROR(IF(C201="","",IF(INDEX(xyWattage_Table,MATCH(M201,'Fixture Identities'!$B$9:$B$997,0),2)="Exit Sign",8760,IF(VLOOKUP(C201,xySpace_Type_Details,8,FALSE)="TRM",INDEX('General Information'!$AF$17:$AG$28,11,MATCH(N201,'General Information'!$AF$16:$AG$16,0)),HLOOKUP(VLOOKUP(C201,xySpace_Type_Details,8,FALSE),'General Information'!$P$15:$AG$28,13,FALSE)))),"")</f>
        <v/>
      </c>
      <c r="U201" s="542" t="str">
        <f>IFERROR(IF(C201="","",IF(INDEX(xyWattage_Table,MATCH(M201,'Fixture Identities'!$B$9:$B$997,0),2)="Exit Sign",1,IF(VLOOKUP(C201,xySpace_Type_Details,8,FALSE)="TRM",INDEX('General Information'!$AF$17:$AG$28,12,MATCH(N201,'General Information'!$AF$16:$AG$16,0)),HLOOKUP(VLOOKUP(C201,xySpace_Type_Details,8,FALSE),'General Information'!$P$15:$AG$28,14,FALSE)))),"")</f>
        <v/>
      </c>
      <c r="V201" s="542" t="str">
        <f>IFERROR(VLOOKUP(INDEX(xySpace_Type_Details,MATCH($C201,'General Information'!$C$40:$C$60,0),12),Lookups!$L$8:$N$12,2,FALSE),"")</f>
        <v/>
      </c>
      <c r="W201" s="542" t="str">
        <f>IFERROR(VLOOKUP(INDEX(xySpace_Type_Details,MATCH($C201,'General Information'!$C$40:$C$60,0),12),Lookups!$L$8:$N$12,3,FALSE),"")</f>
        <v/>
      </c>
      <c r="Y201" s="542" t="str">
        <f>IFERROR(IF(C201="","",IF(INDEX(xyWattage_Table,MATCH(M201,'Fixture Identities'!$B$9:$B$997,0),2)="Exit Sign",0,IF(PRJ_Type="Retrofit",VLOOKUP(I201,xySVG_Factors,2,FALSE),IF(AND(PRJ_Type="New Construction",Inventory!C198="N"),VLOOKUP(VLOOKUP(Building_Type,xyLPD_BuildingArea,5,FALSE),xySVG_Factors_NC,3,FALSE),0)))),"")</f>
        <v/>
      </c>
      <c r="Z201" s="544" t="str">
        <f>IFERROR(IF(C201="","",IF(INDEX(xyWattage_Table,MATCH(M201,'Fixture Identities'!$B$9:$B$997,0),2)="Exit Sign",0,VLOOKUP(S201,xySVG_Factors,2,FALSE))),"")</f>
        <v/>
      </c>
      <c r="AA201" s="545" t="str">
        <f t="shared" si="73"/>
        <v/>
      </c>
      <c r="AB201" s="542" t="str">
        <f t="shared" si="74"/>
        <v/>
      </c>
      <c r="AC201" s="539" t="str">
        <f t="shared" si="75"/>
        <v/>
      </c>
      <c r="AD201" s="546" t="str">
        <f t="shared" si="76"/>
        <v/>
      </c>
      <c r="AE201" s="539" t="str">
        <f t="shared" si="77"/>
        <v/>
      </c>
      <c r="AF201" s="546" t="str">
        <f t="shared" si="78"/>
        <v/>
      </c>
      <c r="AG201" s="539" t="str">
        <f t="shared" si="79"/>
        <v/>
      </c>
      <c r="AH201" s="32">
        <f t="shared" si="60"/>
        <v>0</v>
      </c>
      <c r="AI201" s="32">
        <f t="shared" si="61"/>
        <v>0</v>
      </c>
      <c r="AJ201" s="32">
        <f t="shared" si="62"/>
        <v>0</v>
      </c>
      <c r="AK201" t="str">
        <f t="shared" si="63"/>
        <v/>
      </c>
      <c r="AL201" t="str">
        <f t="shared" si="64"/>
        <v/>
      </c>
      <c r="AM201" t="str">
        <f t="shared" si="65"/>
        <v/>
      </c>
      <c r="AO201" t="str">
        <f>IFERROR(VLOOKUP(M201,'Fixture Identities'!$B$9:$O$1045,14,FALSE),"")</f>
        <v/>
      </c>
      <c r="AP201" t="str">
        <f t="shared" si="59"/>
        <v/>
      </c>
    </row>
    <row r="202" spans="1:42">
      <c r="A202" s="71">
        <f t="shared" si="80"/>
        <v>0</v>
      </c>
      <c r="B202" s="513">
        <f t="shared" si="66"/>
        <v>190</v>
      </c>
      <c r="C202" s="530" t="str">
        <f>IF(Inventory!E199="","",Inventory!E199)</f>
        <v/>
      </c>
      <c r="D202" s="531">
        <f>IF(Inventory!D199="",0,Inventory!D199)</f>
        <v>0</v>
      </c>
      <c r="E202" s="532" t="str">
        <f>IF(Inventory!I199=0,"",Inventory!I199)</f>
        <v/>
      </c>
      <c r="F202" s="533" t="str">
        <f t="shared" si="67"/>
        <v/>
      </c>
      <c r="G202" s="534" t="str">
        <f>IF(Inventory!G199="","",Inventory!G199)</f>
        <v/>
      </c>
      <c r="H202" s="535" t="str">
        <f t="shared" si="68"/>
        <v/>
      </c>
      <c r="I202" s="536" t="str">
        <f>IF(Inventory!J199="","",Inventory!J199)</f>
        <v/>
      </c>
      <c r="J202" s="537" t="str">
        <f>IFERROR(IF(PRJ_Type="New Construction",IF(Inventory!C199="N",INDEX(xyLPD_BuildingArea,MATCH(Building_Type,Lookups!$F$37:$F$75,0),4),INDEX(xyLPD_SpaceBySpace,MATCH(INDEX(xyNCEx,MATCH(I202,yNCExArea,0),2),ySpace_by_Space_Type,0),2)),VLOOKUP(E202,xyWattage_Table,11,FALSE)),"")</f>
        <v/>
      </c>
      <c r="K202" s="538" t="str">
        <f>IFERROR(IF(AND(NC_Type="Building Area Method",Inventory!C199="N"),IF(ISERROR(INDEX('Usage Groups (&gt;120 MWh only)'!$N$8:$N$12,MATCH(C202,'Usage Groups (&gt;120 MWh only)'!$B$8:$B$12,0),1))=TRUE,SqFt/COUNTIFS(Inventory!$C$10:$C$1009,"N",$Q$13:$Q$1012,"&gt;=0"),INDEX('Usage Groups (&gt;120 MWh only)'!$N$8:$N$12,MATCH(C202,'Usage Groups (&gt;120 MWh only)'!$B$8:$B$12,0),1)/COUNTIF($C$13:$C$1012,C202)),IF(AND(NC_Type="Building Area Method",Inventory!C199="Y"),INDEX(xyNCEx,MATCH(I202,yNCExArea,0),3)/COUNTIF($I$13:$I$1012,I202),VLOOKUP(J202,xyWattage_Table,10,FALSE))),"")</f>
        <v/>
      </c>
      <c r="L202" s="539" t="str">
        <f t="shared" si="69"/>
        <v/>
      </c>
      <c r="M202" s="540">
        <f>IF(Inventory!N199="","",Inventory!N199)</f>
        <v>0</v>
      </c>
      <c r="N202" s="533" t="str">
        <f t="shared" si="70"/>
        <v/>
      </c>
      <c r="O202" s="534"/>
      <c r="P202" s="533" t="str">
        <f t="shared" si="71"/>
        <v/>
      </c>
      <c r="Q202" s="534" t="str">
        <f>IF(Inventory!L199="","",Inventory!L199)</f>
        <v/>
      </c>
      <c r="R202" s="535" t="str">
        <f t="shared" si="72"/>
        <v/>
      </c>
      <c r="S202" s="536" t="str">
        <f>IF(Inventory!O199="","",Inventory!O199)</f>
        <v/>
      </c>
      <c r="T202" s="541" t="str">
        <f>IFERROR(IF(C202="","",IF(INDEX(xyWattage_Table,MATCH(M202,'Fixture Identities'!$B$9:$B$997,0),2)="Exit Sign",8760,IF(VLOOKUP(C202,xySpace_Type_Details,8,FALSE)="TRM",INDEX('General Information'!$AF$17:$AG$28,11,MATCH(N202,'General Information'!$AF$16:$AG$16,0)),HLOOKUP(VLOOKUP(C202,xySpace_Type_Details,8,FALSE),'General Information'!$P$15:$AG$28,13,FALSE)))),"")</f>
        <v/>
      </c>
      <c r="U202" s="542" t="str">
        <f>IFERROR(IF(C202="","",IF(INDEX(xyWattage_Table,MATCH(M202,'Fixture Identities'!$B$9:$B$997,0),2)="Exit Sign",1,IF(VLOOKUP(C202,xySpace_Type_Details,8,FALSE)="TRM",INDEX('General Information'!$AF$17:$AG$28,12,MATCH(N202,'General Information'!$AF$16:$AG$16,0)),HLOOKUP(VLOOKUP(C202,xySpace_Type_Details,8,FALSE),'General Information'!$P$15:$AG$28,14,FALSE)))),"")</f>
        <v/>
      </c>
      <c r="V202" s="542" t="str">
        <f>IFERROR(VLOOKUP(INDEX(xySpace_Type_Details,MATCH($C202,'General Information'!$C$40:$C$60,0),12),Lookups!$L$8:$N$12,2,FALSE),"")</f>
        <v/>
      </c>
      <c r="W202" s="542" t="str">
        <f>IFERROR(VLOOKUP(INDEX(xySpace_Type_Details,MATCH($C202,'General Information'!$C$40:$C$60,0),12),Lookups!$L$8:$N$12,3,FALSE),"")</f>
        <v/>
      </c>
      <c r="Y202" s="542" t="str">
        <f>IFERROR(IF(C202="","",IF(INDEX(xyWattage_Table,MATCH(M202,'Fixture Identities'!$B$9:$B$997,0),2)="Exit Sign",0,IF(PRJ_Type="Retrofit",VLOOKUP(I202,xySVG_Factors,2,FALSE),IF(AND(PRJ_Type="New Construction",Inventory!C199="N"),VLOOKUP(VLOOKUP(Building_Type,xyLPD_BuildingArea,5,FALSE),xySVG_Factors_NC,3,FALSE),0)))),"")</f>
        <v/>
      </c>
      <c r="Z202" s="544" t="str">
        <f>IFERROR(IF(C202="","",IF(INDEX(xyWattage_Table,MATCH(M202,'Fixture Identities'!$B$9:$B$997,0),2)="Exit Sign",0,VLOOKUP(S202,xySVG_Factors,2,FALSE))),"")</f>
        <v/>
      </c>
      <c r="AA202" s="545" t="str">
        <f t="shared" si="73"/>
        <v/>
      </c>
      <c r="AB202" s="542" t="str">
        <f t="shared" si="74"/>
        <v/>
      </c>
      <c r="AC202" s="539" t="str">
        <f t="shared" si="75"/>
        <v/>
      </c>
      <c r="AD202" s="546" t="str">
        <f t="shared" si="76"/>
        <v/>
      </c>
      <c r="AE202" s="539" t="str">
        <f t="shared" si="77"/>
        <v/>
      </c>
      <c r="AF202" s="546" t="str">
        <f t="shared" si="78"/>
        <v/>
      </c>
      <c r="AG202" s="539" t="str">
        <f t="shared" si="79"/>
        <v/>
      </c>
      <c r="AH202" s="32">
        <f t="shared" si="60"/>
        <v>0</v>
      </c>
      <c r="AI202" s="32">
        <f t="shared" si="61"/>
        <v>0</v>
      </c>
      <c r="AJ202" s="32">
        <f t="shared" si="62"/>
        <v>0</v>
      </c>
      <c r="AK202" t="str">
        <f t="shared" si="63"/>
        <v/>
      </c>
      <c r="AL202" t="str">
        <f t="shared" si="64"/>
        <v/>
      </c>
      <c r="AM202" t="str">
        <f t="shared" si="65"/>
        <v/>
      </c>
      <c r="AO202" t="str">
        <f>IFERROR(VLOOKUP(M202,'Fixture Identities'!$B$9:$O$1045,14,FALSE),"")</f>
        <v/>
      </c>
      <c r="AP202" t="str">
        <f t="shared" si="59"/>
        <v/>
      </c>
    </row>
    <row r="203" spans="1:42">
      <c r="A203" s="71">
        <f t="shared" si="80"/>
        <v>0</v>
      </c>
      <c r="B203" s="513">
        <f t="shared" si="66"/>
        <v>191</v>
      </c>
      <c r="C203" s="530" t="str">
        <f>IF(Inventory!E200="","",Inventory!E200)</f>
        <v/>
      </c>
      <c r="D203" s="531">
        <f>IF(Inventory!D200="",0,Inventory!D200)</f>
        <v>0</v>
      </c>
      <c r="E203" s="532" t="str">
        <f>IF(Inventory!I200=0,"",Inventory!I200)</f>
        <v/>
      </c>
      <c r="F203" s="533" t="str">
        <f t="shared" si="67"/>
        <v/>
      </c>
      <c r="G203" s="534" t="str">
        <f>IF(Inventory!G200="","",Inventory!G200)</f>
        <v/>
      </c>
      <c r="H203" s="535" t="str">
        <f t="shared" si="68"/>
        <v/>
      </c>
      <c r="I203" s="536" t="str">
        <f>IF(Inventory!J200="","",Inventory!J200)</f>
        <v/>
      </c>
      <c r="J203" s="537" t="str">
        <f>IFERROR(IF(PRJ_Type="New Construction",IF(Inventory!C200="N",INDEX(xyLPD_BuildingArea,MATCH(Building_Type,Lookups!$F$37:$F$75,0),4),INDEX(xyLPD_SpaceBySpace,MATCH(INDEX(xyNCEx,MATCH(I203,yNCExArea,0),2),ySpace_by_Space_Type,0),2)),VLOOKUP(E203,xyWattage_Table,11,FALSE)),"")</f>
        <v/>
      </c>
      <c r="K203" s="538" t="str">
        <f>IFERROR(IF(AND(NC_Type="Building Area Method",Inventory!C200="N"),IF(ISERROR(INDEX('Usage Groups (&gt;120 MWh only)'!$N$8:$N$12,MATCH(C203,'Usage Groups (&gt;120 MWh only)'!$B$8:$B$12,0),1))=TRUE,SqFt/COUNTIFS(Inventory!$C$10:$C$1009,"N",$Q$13:$Q$1012,"&gt;=0"),INDEX('Usage Groups (&gt;120 MWh only)'!$N$8:$N$12,MATCH(C203,'Usage Groups (&gt;120 MWh only)'!$B$8:$B$12,0),1)/COUNTIF($C$13:$C$1012,C203)),IF(AND(NC_Type="Building Area Method",Inventory!C200="Y"),INDEX(xyNCEx,MATCH(I203,yNCExArea,0),3)/COUNTIF($I$13:$I$1012,I203),VLOOKUP(J203,xyWattage_Table,10,FALSE))),"")</f>
        <v/>
      </c>
      <c r="L203" s="539" t="str">
        <f t="shared" si="69"/>
        <v/>
      </c>
      <c r="M203" s="540">
        <f>IF(Inventory!N200="","",Inventory!N200)</f>
        <v>0</v>
      </c>
      <c r="N203" s="533" t="str">
        <f t="shared" si="70"/>
        <v/>
      </c>
      <c r="O203" s="534"/>
      <c r="P203" s="533" t="str">
        <f t="shared" si="71"/>
        <v/>
      </c>
      <c r="Q203" s="534" t="str">
        <f>IF(Inventory!L200="","",Inventory!L200)</f>
        <v/>
      </c>
      <c r="R203" s="535" t="str">
        <f t="shared" si="72"/>
        <v/>
      </c>
      <c r="S203" s="536" t="str">
        <f>IF(Inventory!O200="","",Inventory!O200)</f>
        <v/>
      </c>
      <c r="T203" s="541" t="str">
        <f>IFERROR(IF(C203="","",IF(INDEX(xyWattage_Table,MATCH(M203,'Fixture Identities'!$B$9:$B$997,0),2)="Exit Sign",8760,IF(VLOOKUP(C203,xySpace_Type_Details,8,FALSE)="TRM",INDEX('General Information'!$AF$17:$AG$28,11,MATCH(N203,'General Information'!$AF$16:$AG$16,0)),HLOOKUP(VLOOKUP(C203,xySpace_Type_Details,8,FALSE),'General Information'!$P$15:$AG$28,13,FALSE)))),"")</f>
        <v/>
      </c>
      <c r="U203" s="542" t="str">
        <f>IFERROR(IF(C203="","",IF(INDEX(xyWattage_Table,MATCH(M203,'Fixture Identities'!$B$9:$B$997,0),2)="Exit Sign",1,IF(VLOOKUP(C203,xySpace_Type_Details,8,FALSE)="TRM",INDEX('General Information'!$AF$17:$AG$28,12,MATCH(N203,'General Information'!$AF$16:$AG$16,0)),HLOOKUP(VLOOKUP(C203,xySpace_Type_Details,8,FALSE),'General Information'!$P$15:$AG$28,14,FALSE)))),"")</f>
        <v/>
      </c>
      <c r="V203" s="542" t="str">
        <f>IFERROR(VLOOKUP(INDEX(xySpace_Type_Details,MATCH($C203,'General Information'!$C$40:$C$60,0),12),Lookups!$L$8:$N$12,2,FALSE),"")</f>
        <v/>
      </c>
      <c r="W203" s="542" t="str">
        <f>IFERROR(VLOOKUP(INDEX(xySpace_Type_Details,MATCH($C203,'General Information'!$C$40:$C$60,0),12),Lookups!$L$8:$N$12,3,FALSE),"")</f>
        <v/>
      </c>
      <c r="Y203" s="542" t="str">
        <f>IFERROR(IF(C203="","",IF(INDEX(xyWattage_Table,MATCH(M203,'Fixture Identities'!$B$9:$B$997,0),2)="Exit Sign",0,IF(PRJ_Type="Retrofit",VLOOKUP(I203,xySVG_Factors,2,FALSE),IF(AND(PRJ_Type="New Construction",Inventory!C200="N"),VLOOKUP(VLOOKUP(Building_Type,xyLPD_BuildingArea,5,FALSE),xySVG_Factors_NC,3,FALSE),0)))),"")</f>
        <v/>
      </c>
      <c r="Z203" s="544" t="str">
        <f>IFERROR(IF(C203="","",IF(INDEX(xyWattage_Table,MATCH(M203,'Fixture Identities'!$B$9:$B$997,0),2)="Exit Sign",0,VLOOKUP(S203,xySVG_Factors,2,FALSE))),"")</f>
        <v/>
      </c>
      <c r="AA203" s="545" t="str">
        <f t="shared" si="73"/>
        <v/>
      </c>
      <c r="AB203" s="542" t="str">
        <f t="shared" si="74"/>
        <v/>
      </c>
      <c r="AC203" s="539" t="str">
        <f t="shared" si="75"/>
        <v/>
      </c>
      <c r="AD203" s="546" t="str">
        <f t="shared" si="76"/>
        <v/>
      </c>
      <c r="AE203" s="539" t="str">
        <f t="shared" si="77"/>
        <v/>
      </c>
      <c r="AF203" s="546" t="str">
        <f t="shared" si="78"/>
        <v/>
      </c>
      <c r="AG203" s="539" t="str">
        <f t="shared" si="79"/>
        <v/>
      </c>
      <c r="AH203" s="32">
        <f t="shared" si="60"/>
        <v>0</v>
      </c>
      <c r="AI203" s="32">
        <f t="shared" si="61"/>
        <v>0</v>
      </c>
      <c r="AJ203" s="32">
        <f t="shared" si="62"/>
        <v>0</v>
      </c>
      <c r="AK203" t="str">
        <f t="shared" si="63"/>
        <v/>
      </c>
      <c r="AL203" t="str">
        <f t="shared" si="64"/>
        <v/>
      </c>
      <c r="AM203" t="str">
        <f t="shared" si="65"/>
        <v/>
      </c>
      <c r="AO203" t="str">
        <f>IFERROR(VLOOKUP(M203,'Fixture Identities'!$B$9:$O$1045,14,FALSE),"")</f>
        <v/>
      </c>
      <c r="AP203" t="str">
        <f t="shared" si="59"/>
        <v/>
      </c>
    </row>
    <row r="204" spans="1:42">
      <c r="A204" s="71">
        <f t="shared" si="80"/>
        <v>0</v>
      </c>
      <c r="B204" s="513">
        <f t="shared" si="66"/>
        <v>192</v>
      </c>
      <c r="C204" s="530" t="str">
        <f>IF(Inventory!E201="","",Inventory!E201)</f>
        <v/>
      </c>
      <c r="D204" s="531">
        <f>IF(Inventory!D201="",0,Inventory!D201)</f>
        <v>0</v>
      </c>
      <c r="E204" s="532" t="str">
        <f>IF(Inventory!I201=0,"",Inventory!I201)</f>
        <v/>
      </c>
      <c r="F204" s="533" t="str">
        <f t="shared" si="67"/>
        <v/>
      </c>
      <c r="G204" s="534" t="str">
        <f>IF(Inventory!G201="","",Inventory!G201)</f>
        <v/>
      </c>
      <c r="H204" s="535" t="str">
        <f t="shared" si="68"/>
        <v/>
      </c>
      <c r="I204" s="536" t="str">
        <f>IF(Inventory!J201="","",Inventory!J201)</f>
        <v/>
      </c>
      <c r="J204" s="537" t="str">
        <f>IFERROR(IF(PRJ_Type="New Construction",IF(Inventory!C201="N",INDEX(xyLPD_BuildingArea,MATCH(Building_Type,Lookups!$F$37:$F$75,0),4),INDEX(xyLPD_SpaceBySpace,MATCH(INDEX(xyNCEx,MATCH(I204,yNCExArea,0),2),ySpace_by_Space_Type,0),2)),VLOOKUP(E204,xyWattage_Table,11,FALSE)),"")</f>
        <v/>
      </c>
      <c r="K204" s="538" t="str">
        <f>IFERROR(IF(AND(NC_Type="Building Area Method",Inventory!C201="N"),IF(ISERROR(INDEX('Usage Groups (&gt;120 MWh only)'!$N$8:$N$12,MATCH(C204,'Usage Groups (&gt;120 MWh only)'!$B$8:$B$12,0),1))=TRUE,SqFt/COUNTIFS(Inventory!$C$10:$C$1009,"N",$Q$13:$Q$1012,"&gt;=0"),INDEX('Usage Groups (&gt;120 MWh only)'!$N$8:$N$12,MATCH(C204,'Usage Groups (&gt;120 MWh only)'!$B$8:$B$12,0),1)/COUNTIF($C$13:$C$1012,C204)),IF(AND(NC_Type="Building Area Method",Inventory!C201="Y"),INDEX(xyNCEx,MATCH(I204,yNCExArea,0),3)/COUNTIF($I$13:$I$1012,I204),VLOOKUP(J204,xyWattage_Table,10,FALSE))),"")</f>
        <v/>
      </c>
      <c r="L204" s="539" t="str">
        <f t="shared" si="69"/>
        <v/>
      </c>
      <c r="M204" s="540">
        <f>IF(Inventory!N201="","",Inventory!N201)</f>
        <v>0</v>
      </c>
      <c r="N204" s="533" t="str">
        <f t="shared" si="70"/>
        <v/>
      </c>
      <c r="O204" s="534"/>
      <c r="P204" s="533" t="str">
        <f t="shared" si="71"/>
        <v/>
      </c>
      <c r="Q204" s="534" t="str">
        <f>IF(Inventory!L201="","",Inventory!L201)</f>
        <v/>
      </c>
      <c r="R204" s="535" t="str">
        <f t="shared" si="72"/>
        <v/>
      </c>
      <c r="S204" s="536" t="str">
        <f>IF(Inventory!O201="","",Inventory!O201)</f>
        <v/>
      </c>
      <c r="T204" s="541" t="str">
        <f>IFERROR(IF(C204="","",IF(INDEX(xyWattage_Table,MATCH(M204,'Fixture Identities'!$B$9:$B$997,0),2)="Exit Sign",8760,IF(VLOOKUP(C204,xySpace_Type_Details,8,FALSE)="TRM",INDEX('General Information'!$AF$17:$AG$28,11,MATCH(N204,'General Information'!$AF$16:$AG$16,0)),HLOOKUP(VLOOKUP(C204,xySpace_Type_Details,8,FALSE),'General Information'!$P$15:$AG$28,13,FALSE)))),"")</f>
        <v/>
      </c>
      <c r="U204" s="542" t="str">
        <f>IFERROR(IF(C204="","",IF(INDEX(xyWattage_Table,MATCH(M204,'Fixture Identities'!$B$9:$B$997,0),2)="Exit Sign",1,IF(VLOOKUP(C204,xySpace_Type_Details,8,FALSE)="TRM",INDEX('General Information'!$AF$17:$AG$28,12,MATCH(N204,'General Information'!$AF$16:$AG$16,0)),HLOOKUP(VLOOKUP(C204,xySpace_Type_Details,8,FALSE),'General Information'!$P$15:$AG$28,14,FALSE)))),"")</f>
        <v/>
      </c>
      <c r="V204" s="542" t="str">
        <f>IFERROR(VLOOKUP(INDEX(xySpace_Type_Details,MATCH($C204,'General Information'!$C$40:$C$60,0),12),Lookups!$L$8:$N$12,2,FALSE),"")</f>
        <v/>
      </c>
      <c r="W204" s="542" t="str">
        <f>IFERROR(VLOOKUP(INDEX(xySpace_Type_Details,MATCH($C204,'General Information'!$C$40:$C$60,0),12),Lookups!$L$8:$N$12,3,FALSE),"")</f>
        <v/>
      </c>
      <c r="Y204" s="542" t="str">
        <f>IFERROR(IF(C204="","",IF(INDEX(xyWattage_Table,MATCH(M204,'Fixture Identities'!$B$9:$B$997,0),2)="Exit Sign",0,IF(PRJ_Type="Retrofit",VLOOKUP(I204,xySVG_Factors,2,FALSE),IF(AND(PRJ_Type="New Construction",Inventory!C201="N"),VLOOKUP(VLOOKUP(Building_Type,xyLPD_BuildingArea,5,FALSE),xySVG_Factors_NC,3,FALSE),0)))),"")</f>
        <v/>
      </c>
      <c r="Z204" s="544" t="str">
        <f>IFERROR(IF(C204="","",IF(INDEX(xyWattage_Table,MATCH(M204,'Fixture Identities'!$B$9:$B$997,0),2)="Exit Sign",0,VLOOKUP(S204,xySVG_Factors,2,FALSE))),"")</f>
        <v/>
      </c>
      <c r="AA204" s="545" t="str">
        <f t="shared" si="73"/>
        <v/>
      </c>
      <c r="AB204" s="542" t="str">
        <f t="shared" si="74"/>
        <v/>
      </c>
      <c r="AC204" s="539" t="str">
        <f t="shared" si="75"/>
        <v/>
      </c>
      <c r="AD204" s="546" t="str">
        <f t="shared" si="76"/>
        <v/>
      </c>
      <c r="AE204" s="539" t="str">
        <f t="shared" si="77"/>
        <v/>
      </c>
      <c r="AF204" s="546" t="str">
        <f t="shared" si="78"/>
        <v/>
      </c>
      <c r="AG204" s="539" t="str">
        <f t="shared" si="79"/>
        <v/>
      </c>
      <c r="AH204" s="32">
        <f t="shared" si="60"/>
        <v>0</v>
      </c>
      <c r="AI204" s="32">
        <f t="shared" si="61"/>
        <v>0</v>
      </c>
      <c r="AJ204" s="32">
        <f t="shared" si="62"/>
        <v>0</v>
      </c>
      <c r="AK204" t="str">
        <f t="shared" si="63"/>
        <v/>
      </c>
      <c r="AL204" t="str">
        <f t="shared" si="64"/>
        <v/>
      </c>
      <c r="AM204" t="str">
        <f t="shared" si="65"/>
        <v/>
      </c>
      <c r="AO204" t="str">
        <f>IFERROR(VLOOKUP(M204,'Fixture Identities'!$B$9:$O$1045,14,FALSE),"")</f>
        <v/>
      </c>
      <c r="AP204" t="str">
        <f t="shared" si="59"/>
        <v/>
      </c>
    </row>
    <row r="205" spans="1:42">
      <c r="A205" s="71">
        <f t="shared" si="80"/>
        <v>0</v>
      </c>
      <c r="B205" s="513">
        <f t="shared" si="66"/>
        <v>193</v>
      </c>
      <c r="C205" s="530" t="str">
        <f>IF(Inventory!E202="","",Inventory!E202)</f>
        <v/>
      </c>
      <c r="D205" s="531">
        <f>IF(Inventory!D202="",0,Inventory!D202)</f>
        <v>0</v>
      </c>
      <c r="E205" s="532" t="str">
        <f>IF(Inventory!I202=0,"",Inventory!I202)</f>
        <v/>
      </c>
      <c r="F205" s="533" t="str">
        <f t="shared" si="67"/>
        <v/>
      </c>
      <c r="G205" s="534" t="str">
        <f>IF(Inventory!G202="","",Inventory!G202)</f>
        <v/>
      </c>
      <c r="H205" s="535" t="str">
        <f t="shared" si="68"/>
        <v/>
      </c>
      <c r="I205" s="536" t="str">
        <f>IF(Inventory!J202="","",Inventory!J202)</f>
        <v/>
      </c>
      <c r="J205" s="537" t="str">
        <f>IFERROR(IF(PRJ_Type="New Construction",IF(Inventory!C202="N",INDEX(xyLPD_BuildingArea,MATCH(Building_Type,Lookups!$F$37:$F$75,0),4),INDEX(xyLPD_SpaceBySpace,MATCH(INDEX(xyNCEx,MATCH(I205,yNCExArea,0),2),ySpace_by_Space_Type,0),2)),VLOOKUP(E205,xyWattage_Table,11,FALSE)),"")</f>
        <v/>
      </c>
      <c r="K205" s="538" t="str">
        <f>IFERROR(IF(AND(NC_Type="Building Area Method",Inventory!C202="N"),IF(ISERROR(INDEX('Usage Groups (&gt;120 MWh only)'!$N$8:$N$12,MATCH(C205,'Usage Groups (&gt;120 MWh only)'!$B$8:$B$12,0),1))=TRUE,SqFt/COUNTIFS(Inventory!$C$10:$C$1009,"N",$Q$13:$Q$1012,"&gt;=0"),INDEX('Usage Groups (&gt;120 MWh only)'!$N$8:$N$12,MATCH(C205,'Usage Groups (&gt;120 MWh only)'!$B$8:$B$12,0),1)/COUNTIF($C$13:$C$1012,C205)),IF(AND(NC_Type="Building Area Method",Inventory!C202="Y"),INDEX(xyNCEx,MATCH(I205,yNCExArea,0),3)/COUNTIF($I$13:$I$1012,I205),VLOOKUP(J205,xyWattage_Table,10,FALSE))),"")</f>
        <v/>
      </c>
      <c r="L205" s="539" t="str">
        <f t="shared" si="69"/>
        <v/>
      </c>
      <c r="M205" s="540">
        <f>IF(Inventory!N202="","",Inventory!N202)</f>
        <v>0</v>
      </c>
      <c r="N205" s="533" t="str">
        <f t="shared" si="70"/>
        <v/>
      </c>
      <c r="O205" s="534"/>
      <c r="P205" s="533" t="str">
        <f t="shared" si="71"/>
        <v/>
      </c>
      <c r="Q205" s="534" t="str">
        <f>IF(Inventory!L202="","",Inventory!L202)</f>
        <v/>
      </c>
      <c r="R205" s="535" t="str">
        <f t="shared" si="72"/>
        <v/>
      </c>
      <c r="S205" s="536" t="str">
        <f>IF(Inventory!O202="","",Inventory!O202)</f>
        <v/>
      </c>
      <c r="T205" s="541" t="str">
        <f>IFERROR(IF(C205="","",IF(INDEX(xyWattage_Table,MATCH(M205,'Fixture Identities'!$B$9:$B$997,0),2)="Exit Sign",8760,IF(VLOOKUP(C205,xySpace_Type_Details,8,FALSE)="TRM",INDEX('General Information'!$AF$17:$AG$28,11,MATCH(N205,'General Information'!$AF$16:$AG$16,0)),HLOOKUP(VLOOKUP(C205,xySpace_Type_Details,8,FALSE),'General Information'!$P$15:$AG$28,13,FALSE)))),"")</f>
        <v/>
      </c>
      <c r="U205" s="542" t="str">
        <f>IFERROR(IF(C205="","",IF(INDEX(xyWattage_Table,MATCH(M205,'Fixture Identities'!$B$9:$B$997,0),2)="Exit Sign",1,IF(VLOOKUP(C205,xySpace_Type_Details,8,FALSE)="TRM",INDEX('General Information'!$AF$17:$AG$28,12,MATCH(N205,'General Information'!$AF$16:$AG$16,0)),HLOOKUP(VLOOKUP(C205,xySpace_Type_Details,8,FALSE),'General Information'!$P$15:$AG$28,14,FALSE)))),"")</f>
        <v/>
      </c>
      <c r="V205" s="542" t="str">
        <f>IFERROR(VLOOKUP(INDEX(xySpace_Type_Details,MATCH($C205,'General Information'!$C$40:$C$60,0),12),Lookups!$L$8:$N$12,2,FALSE),"")</f>
        <v/>
      </c>
      <c r="W205" s="542" t="str">
        <f>IFERROR(VLOOKUP(INDEX(xySpace_Type_Details,MATCH($C205,'General Information'!$C$40:$C$60,0),12),Lookups!$L$8:$N$12,3,FALSE),"")</f>
        <v/>
      </c>
      <c r="Y205" s="542" t="str">
        <f>IFERROR(IF(C205="","",IF(INDEX(xyWattage_Table,MATCH(M205,'Fixture Identities'!$B$9:$B$997,0),2)="Exit Sign",0,IF(PRJ_Type="Retrofit",VLOOKUP(I205,xySVG_Factors,2,FALSE),IF(AND(PRJ_Type="New Construction",Inventory!C202="N"),VLOOKUP(VLOOKUP(Building_Type,xyLPD_BuildingArea,5,FALSE),xySVG_Factors_NC,3,FALSE),0)))),"")</f>
        <v/>
      </c>
      <c r="Z205" s="544" t="str">
        <f>IFERROR(IF(C205="","",IF(INDEX(xyWattage_Table,MATCH(M205,'Fixture Identities'!$B$9:$B$997,0),2)="Exit Sign",0,VLOOKUP(S205,xySVG_Factors,2,FALSE))),"")</f>
        <v/>
      </c>
      <c r="AA205" s="545" t="str">
        <f t="shared" si="73"/>
        <v/>
      </c>
      <c r="AB205" s="542" t="str">
        <f t="shared" si="74"/>
        <v/>
      </c>
      <c r="AC205" s="539" t="str">
        <f t="shared" si="75"/>
        <v/>
      </c>
      <c r="AD205" s="546" t="str">
        <f t="shared" si="76"/>
        <v/>
      </c>
      <c r="AE205" s="539" t="str">
        <f t="shared" si="77"/>
        <v/>
      </c>
      <c r="AF205" s="546" t="str">
        <f t="shared" si="78"/>
        <v/>
      </c>
      <c r="AG205" s="539" t="str">
        <f t="shared" si="79"/>
        <v/>
      </c>
      <c r="AH205" s="32">
        <f t="shared" si="60"/>
        <v>0</v>
      </c>
      <c r="AI205" s="32">
        <f t="shared" si="61"/>
        <v>0</v>
      </c>
      <c r="AJ205" s="32">
        <f t="shared" si="62"/>
        <v>0</v>
      </c>
      <c r="AK205" t="str">
        <f t="shared" si="63"/>
        <v/>
      </c>
      <c r="AL205" t="str">
        <f t="shared" si="64"/>
        <v/>
      </c>
      <c r="AM205" t="str">
        <f t="shared" si="65"/>
        <v/>
      </c>
      <c r="AO205" t="str">
        <f>IFERROR(VLOOKUP(M205,'Fixture Identities'!$B$9:$O$1045,14,FALSE),"")</f>
        <v/>
      </c>
      <c r="AP205" t="str">
        <f t="shared" ref="AP205:AP268" si="81">IF(M206="Signage",G206,"")</f>
        <v/>
      </c>
    </row>
    <row r="206" spans="1:42">
      <c r="A206" s="71">
        <f t="shared" si="80"/>
        <v>0</v>
      </c>
      <c r="B206" s="513">
        <f t="shared" si="66"/>
        <v>194</v>
      </c>
      <c r="C206" s="530" t="str">
        <f>IF(Inventory!E203="","",Inventory!E203)</f>
        <v/>
      </c>
      <c r="D206" s="531">
        <f>IF(Inventory!D203="",0,Inventory!D203)</f>
        <v>0</v>
      </c>
      <c r="E206" s="532" t="str">
        <f>IF(Inventory!I203=0,"",Inventory!I203)</f>
        <v/>
      </c>
      <c r="F206" s="533" t="str">
        <f t="shared" si="67"/>
        <v/>
      </c>
      <c r="G206" s="534" t="str">
        <f>IF(Inventory!G203="","",Inventory!G203)</f>
        <v/>
      </c>
      <c r="H206" s="535" t="str">
        <f t="shared" si="68"/>
        <v/>
      </c>
      <c r="I206" s="536" t="str">
        <f>IF(Inventory!J203="","",Inventory!J203)</f>
        <v/>
      </c>
      <c r="J206" s="537" t="str">
        <f>IFERROR(IF(PRJ_Type="New Construction",IF(Inventory!C203="N",INDEX(xyLPD_BuildingArea,MATCH(Building_Type,Lookups!$F$37:$F$75,0),4),INDEX(xyLPD_SpaceBySpace,MATCH(INDEX(xyNCEx,MATCH(I206,yNCExArea,0),2),ySpace_by_Space_Type,0),2)),VLOOKUP(E206,xyWattage_Table,11,FALSE)),"")</f>
        <v/>
      </c>
      <c r="K206" s="538" t="str">
        <f>IFERROR(IF(AND(NC_Type="Building Area Method",Inventory!C203="N"),IF(ISERROR(INDEX('Usage Groups (&gt;120 MWh only)'!$N$8:$N$12,MATCH(C206,'Usage Groups (&gt;120 MWh only)'!$B$8:$B$12,0),1))=TRUE,SqFt/COUNTIFS(Inventory!$C$10:$C$1009,"N",$Q$13:$Q$1012,"&gt;=0"),INDEX('Usage Groups (&gt;120 MWh only)'!$N$8:$N$12,MATCH(C206,'Usage Groups (&gt;120 MWh only)'!$B$8:$B$12,0),1)/COUNTIF($C$13:$C$1012,C206)),IF(AND(NC_Type="Building Area Method",Inventory!C203="Y"),INDEX(xyNCEx,MATCH(I206,yNCExArea,0),3)/COUNTIF($I$13:$I$1012,I206),VLOOKUP(J206,xyWattage_Table,10,FALSE))),"")</f>
        <v/>
      </c>
      <c r="L206" s="539" t="str">
        <f t="shared" si="69"/>
        <v/>
      </c>
      <c r="M206" s="540">
        <f>IF(Inventory!N203="","",Inventory!N203)</f>
        <v>0</v>
      </c>
      <c r="N206" s="533" t="str">
        <f t="shared" si="70"/>
        <v/>
      </c>
      <c r="O206" s="534"/>
      <c r="P206" s="533" t="str">
        <f t="shared" si="71"/>
        <v/>
      </c>
      <c r="Q206" s="534" t="str">
        <f>IF(Inventory!L203="","",Inventory!L203)</f>
        <v/>
      </c>
      <c r="R206" s="535" t="str">
        <f t="shared" si="72"/>
        <v/>
      </c>
      <c r="S206" s="536" t="str">
        <f>IF(Inventory!O203="","",Inventory!O203)</f>
        <v/>
      </c>
      <c r="T206" s="541" t="str">
        <f>IFERROR(IF(C206="","",IF(INDEX(xyWattage_Table,MATCH(M206,'Fixture Identities'!$B$9:$B$997,0),2)="Exit Sign",8760,IF(VLOOKUP(C206,xySpace_Type_Details,8,FALSE)="TRM",INDEX('General Information'!$AF$17:$AG$28,11,MATCH(N206,'General Information'!$AF$16:$AG$16,0)),HLOOKUP(VLOOKUP(C206,xySpace_Type_Details,8,FALSE),'General Information'!$P$15:$AG$28,13,FALSE)))),"")</f>
        <v/>
      </c>
      <c r="U206" s="542" t="str">
        <f>IFERROR(IF(C206="","",IF(INDEX(xyWattage_Table,MATCH(M206,'Fixture Identities'!$B$9:$B$997,0),2)="Exit Sign",1,IF(VLOOKUP(C206,xySpace_Type_Details,8,FALSE)="TRM",INDEX('General Information'!$AF$17:$AG$28,12,MATCH(N206,'General Information'!$AF$16:$AG$16,0)),HLOOKUP(VLOOKUP(C206,xySpace_Type_Details,8,FALSE),'General Information'!$P$15:$AG$28,14,FALSE)))),"")</f>
        <v/>
      </c>
      <c r="V206" s="542" t="str">
        <f>IFERROR(VLOOKUP(INDEX(xySpace_Type_Details,MATCH($C206,'General Information'!$C$40:$C$60,0),12),Lookups!$L$8:$N$12,2,FALSE),"")</f>
        <v/>
      </c>
      <c r="W206" s="542" t="str">
        <f>IFERROR(VLOOKUP(INDEX(xySpace_Type_Details,MATCH($C206,'General Information'!$C$40:$C$60,0),12),Lookups!$L$8:$N$12,3,FALSE),"")</f>
        <v/>
      </c>
      <c r="Y206" s="542" t="str">
        <f>IFERROR(IF(C206="","",IF(INDEX(xyWattage_Table,MATCH(M206,'Fixture Identities'!$B$9:$B$997,0),2)="Exit Sign",0,IF(PRJ_Type="Retrofit",VLOOKUP(I206,xySVG_Factors,2,FALSE),IF(AND(PRJ_Type="New Construction",Inventory!C203="N"),VLOOKUP(VLOOKUP(Building_Type,xyLPD_BuildingArea,5,FALSE),xySVG_Factors_NC,3,FALSE),0)))),"")</f>
        <v/>
      </c>
      <c r="Z206" s="544" t="str">
        <f>IFERROR(IF(C206="","",IF(INDEX(xyWattage_Table,MATCH(M206,'Fixture Identities'!$B$9:$B$997,0),2)="Exit Sign",0,VLOOKUP(S206,xySVG_Factors,2,FALSE))),"")</f>
        <v/>
      </c>
      <c r="AA206" s="545" t="str">
        <f t="shared" si="73"/>
        <v/>
      </c>
      <c r="AB206" s="542" t="str">
        <f t="shared" si="74"/>
        <v/>
      </c>
      <c r="AC206" s="539" t="str">
        <f t="shared" si="75"/>
        <v/>
      </c>
      <c r="AD206" s="546" t="str">
        <f t="shared" si="76"/>
        <v/>
      </c>
      <c r="AE206" s="539" t="str">
        <f t="shared" si="77"/>
        <v/>
      </c>
      <c r="AF206" s="546" t="str">
        <f t="shared" si="78"/>
        <v/>
      </c>
      <c r="AG206" s="539" t="str">
        <f t="shared" si="79"/>
        <v/>
      </c>
      <c r="AH206" s="32">
        <f t="shared" ref="AH206:AH269" si="82">IF(I206&lt;&gt;S206,R206,0)</f>
        <v>0</v>
      </c>
      <c r="AI206" s="32">
        <f t="shared" ref="AI206:AI269" si="83">IFERROR(VLOOKUP(E206,xyWattage_Table,8,FALSE)*G206,0)</f>
        <v>0</v>
      </c>
      <c r="AJ206" s="32">
        <f t="shared" ref="AJ206:AJ269" si="84">IFERROR(VLOOKUP(M206,xyWattage_Table,8,FALSE)*Q206,0)</f>
        <v>0</v>
      </c>
      <c r="AK206" t="str">
        <f t="shared" ref="AK206:AK269" si="85">IFERROR((L206)/1000,"")</f>
        <v/>
      </c>
      <c r="AL206" t="str">
        <f t="shared" ref="AL206:AL269" si="86">IFERROR(AK206*U206*(1+W206)*(1-Y206),"")</f>
        <v/>
      </c>
      <c r="AM206" t="str">
        <f t="shared" ref="AM206:AM269" si="87">IFERROR(AK206*T206*(1+V206)*(1-Y206),"")</f>
        <v/>
      </c>
      <c r="AO206" t="str">
        <f>IFERROR(VLOOKUP(M206,'Fixture Identities'!$B$9:$O$1045,14,FALSE),"")</f>
        <v/>
      </c>
      <c r="AP206" t="str">
        <f t="shared" si="81"/>
        <v/>
      </c>
    </row>
    <row r="207" spans="1:42">
      <c r="A207" s="71">
        <f t="shared" si="80"/>
        <v>0</v>
      </c>
      <c r="B207" s="513">
        <f t="shared" ref="B207:B270" si="88">B206+1</f>
        <v>195</v>
      </c>
      <c r="C207" s="530" t="str">
        <f>IF(Inventory!E204="","",Inventory!E204)</f>
        <v/>
      </c>
      <c r="D207" s="531">
        <f>IF(Inventory!D204="",0,Inventory!D204)</f>
        <v>0</v>
      </c>
      <c r="E207" s="532" t="str">
        <f>IF(Inventory!I204=0,"",Inventory!I204)</f>
        <v/>
      </c>
      <c r="F207" s="533" t="str">
        <f t="shared" ref="F207:F262" si="89">IFERROR(VLOOKUP(E207,xyWattage_Table,10,FALSE),"")</f>
        <v/>
      </c>
      <c r="G207" s="534" t="str">
        <f>IF(Inventory!G204="","",Inventory!G204)</f>
        <v/>
      </c>
      <c r="H207" s="535" t="str">
        <f t="shared" ref="H207:H262" si="90">IF(G207="","",G207*F207)</f>
        <v/>
      </c>
      <c r="I207" s="536" t="str">
        <f>IF(Inventory!J204="","",Inventory!J204)</f>
        <v/>
      </c>
      <c r="J207" s="537" t="str">
        <f>IFERROR(IF(PRJ_Type="New Construction",IF(Inventory!C204="N",INDEX(xyLPD_BuildingArea,MATCH(Building_Type,Lookups!$F$37:$F$75,0),4),INDEX(xyLPD_SpaceBySpace,MATCH(INDEX(xyNCEx,MATCH(I207,yNCExArea,0),2),ySpace_by_Space_Type,0),2)),VLOOKUP(E207,xyWattage_Table,11,FALSE)),"")</f>
        <v/>
      </c>
      <c r="K207" s="538" t="str">
        <f>IFERROR(IF(AND(NC_Type="Building Area Method",Inventory!C204="N"),IF(ISERROR(INDEX('Usage Groups (&gt;120 MWh only)'!$N$8:$N$12,MATCH(C207,'Usage Groups (&gt;120 MWh only)'!$B$8:$B$12,0),1))=TRUE,SqFt/COUNTIFS(Inventory!$C$10:$C$1009,"N",$Q$13:$Q$1012,"&gt;=0"),INDEX('Usage Groups (&gt;120 MWh only)'!$N$8:$N$12,MATCH(C207,'Usage Groups (&gt;120 MWh only)'!$B$8:$B$12,0),1)/COUNTIF($C$13:$C$1012,C207)),IF(AND(NC_Type="Building Area Method",Inventory!C204="Y"),INDEX(xyNCEx,MATCH(I207,yNCExArea,0),3)/COUNTIF($I$13:$I$1012,I207),VLOOKUP(J207,xyWattage_Table,10,FALSE))),"")</f>
        <v/>
      </c>
      <c r="L207" s="539" t="str">
        <f t="shared" ref="L207:L262" si="91">IFERROR(IF(PRJ_Type="New Construction",J207*K207,IF(G207="","",K207*G207)),"")</f>
        <v/>
      </c>
      <c r="M207" s="540">
        <f>IF(Inventory!N204="","",Inventory!N204)</f>
        <v>0</v>
      </c>
      <c r="N207" s="533" t="str">
        <f t="shared" ref="N207:N262" si="92">IFERROR(VLOOKUP(M207,xyWattage_Table,12,FALSE),"")</f>
        <v/>
      </c>
      <c r="O207" s="534"/>
      <c r="P207" s="533" t="str">
        <f t="shared" ref="P207:P262" si="93">IFERROR(VLOOKUP(M207,xyWattage_Table,10,FALSE),"")</f>
        <v/>
      </c>
      <c r="Q207" s="534" t="str">
        <f>IF(Inventory!L204="","",Inventory!L204)</f>
        <v/>
      </c>
      <c r="R207" s="535" t="str">
        <f t="shared" ref="R207:R262" si="94">IF(P207="","",Q207*P207)</f>
        <v/>
      </c>
      <c r="S207" s="536" t="str">
        <f>IF(Inventory!O204="","",Inventory!O204)</f>
        <v/>
      </c>
      <c r="T207" s="541" t="str">
        <f>IFERROR(IF(C207="","",IF(INDEX(xyWattage_Table,MATCH(M207,'Fixture Identities'!$B$9:$B$997,0),2)="Exit Sign",8760,IF(VLOOKUP(C207,xySpace_Type_Details,8,FALSE)="TRM",INDEX('General Information'!$AF$17:$AG$28,11,MATCH(N207,'General Information'!$AF$16:$AG$16,0)),HLOOKUP(VLOOKUP(C207,xySpace_Type_Details,8,FALSE),'General Information'!$P$15:$AG$28,13,FALSE)))),"")</f>
        <v/>
      </c>
      <c r="U207" s="542" t="str">
        <f>IFERROR(IF(C207="","",IF(INDEX(xyWattage_Table,MATCH(M207,'Fixture Identities'!$B$9:$B$997,0),2)="Exit Sign",1,IF(VLOOKUP(C207,xySpace_Type_Details,8,FALSE)="TRM",INDEX('General Information'!$AF$17:$AG$28,12,MATCH(N207,'General Information'!$AF$16:$AG$16,0)),HLOOKUP(VLOOKUP(C207,xySpace_Type_Details,8,FALSE),'General Information'!$P$15:$AG$28,14,FALSE)))),"")</f>
        <v/>
      </c>
      <c r="V207" s="542" t="str">
        <f>IFERROR(VLOOKUP(INDEX(xySpace_Type_Details,MATCH($C207,'General Information'!$C$40:$C$60,0),12),Lookups!$L$8:$N$12,2,FALSE),"")</f>
        <v/>
      </c>
      <c r="W207" s="542" t="str">
        <f>IFERROR(VLOOKUP(INDEX(xySpace_Type_Details,MATCH($C207,'General Information'!$C$40:$C$60,0),12),Lookups!$L$8:$N$12,3,FALSE),"")</f>
        <v/>
      </c>
      <c r="Y207" s="542" t="str">
        <f>IFERROR(IF(C207="","",IF(INDEX(xyWattage_Table,MATCH(M207,'Fixture Identities'!$B$9:$B$997,0),2)="Exit Sign",0,IF(PRJ_Type="Retrofit",VLOOKUP(I207,xySVG_Factors,2,FALSE),IF(AND(PRJ_Type="New Construction",Inventory!C204="N"),VLOOKUP(VLOOKUP(Building_Type,xyLPD_BuildingArea,5,FALSE),xySVG_Factors_NC,3,FALSE),0)))),"")</f>
        <v/>
      </c>
      <c r="Z207" s="544" t="str">
        <f>IFERROR(IF(C207="","",IF(INDEX(xyWattage_Table,MATCH(M207,'Fixture Identities'!$B$9:$B$997,0),2)="Exit Sign",0,VLOOKUP(S207,xySVG_Factors,2,FALSE))),"")</f>
        <v/>
      </c>
      <c r="AA207" s="545" t="str">
        <f t="shared" ref="AA207:AA262" si="95">IFERROR((L207-R207)/1000,"")</f>
        <v/>
      </c>
      <c r="AB207" s="542" t="str">
        <f t="shared" ref="AB207:AB262" si="96">IFERROR(AA207*U207*(1+W207)*(1-Y207),"")</f>
        <v/>
      </c>
      <c r="AC207" s="539" t="str">
        <f t="shared" ref="AC207:AC262" si="97">IFERROR(AA207*T207*(1+V207)*(1-Y207),"")</f>
        <v/>
      </c>
      <c r="AD207" s="546" t="str">
        <f t="shared" ref="AD207:AD262" si="98">IFERROR(R207/1000*(Z207-Y207)*(1+W207)*U207,"")</f>
        <v/>
      </c>
      <c r="AE207" s="539" t="str">
        <f t="shared" ref="AE207:AE262" si="99">IFERROR(R207/1000*T207*(Z207-Y207)*(1+V207),"")</f>
        <v/>
      </c>
      <c r="AF207" s="546" t="str">
        <f t="shared" ref="AF207:AF262" si="100">IFERROR(AB207+AD207,"")</f>
        <v/>
      </c>
      <c r="AG207" s="539" t="str">
        <f t="shared" ref="AG207:AG262" si="101">IFERROR(AC207+AE207,"")</f>
        <v/>
      </c>
      <c r="AH207" s="32">
        <f t="shared" si="82"/>
        <v>0</v>
      </c>
      <c r="AI207" s="32">
        <f t="shared" si="83"/>
        <v>0</v>
      </c>
      <c r="AJ207" s="32">
        <f t="shared" si="84"/>
        <v>0</v>
      </c>
      <c r="AK207" t="str">
        <f t="shared" si="85"/>
        <v/>
      </c>
      <c r="AL207" t="str">
        <f t="shared" si="86"/>
        <v/>
      </c>
      <c r="AM207" t="str">
        <f t="shared" si="87"/>
        <v/>
      </c>
      <c r="AO207" t="str">
        <f>IFERROR(VLOOKUP(M207,'Fixture Identities'!$B$9:$O$1045,14,FALSE),"")</f>
        <v/>
      </c>
      <c r="AP207" t="str">
        <f t="shared" si="81"/>
        <v/>
      </c>
    </row>
    <row r="208" spans="1:42">
      <c r="A208" s="71">
        <f t="shared" si="80"/>
        <v>0</v>
      </c>
      <c r="B208" s="513">
        <f t="shared" si="88"/>
        <v>196</v>
      </c>
      <c r="C208" s="530" t="str">
        <f>IF(Inventory!E205="","",Inventory!E205)</f>
        <v/>
      </c>
      <c r="D208" s="531">
        <f>IF(Inventory!D205="",0,Inventory!D205)</f>
        <v>0</v>
      </c>
      <c r="E208" s="532" t="str">
        <f>IF(Inventory!I205=0,"",Inventory!I205)</f>
        <v/>
      </c>
      <c r="F208" s="533" t="str">
        <f t="shared" si="89"/>
        <v/>
      </c>
      <c r="G208" s="534" t="str">
        <f>IF(Inventory!G205="","",Inventory!G205)</f>
        <v/>
      </c>
      <c r="H208" s="535" t="str">
        <f t="shared" si="90"/>
        <v/>
      </c>
      <c r="I208" s="536" t="str">
        <f>IF(Inventory!J205="","",Inventory!J205)</f>
        <v/>
      </c>
      <c r="J208" s="537" t="str">
        <f>IFERROR(IF(PRJ_Type="New Construction",IF(Inventory!C205="N",INDEX(xyLPD_BuildingArea,MATCH(Building_Type,Lookups!$F$37:$F$75,0),4),INDEX(xyLPD_SpaceBySpace,MATCH(INDEX(xyNCEx,MATCH(I208,yNCExArea,0),2),ySpace_by_Space_Type,0),2)),VLOOKUP(E208,xyWattage_Table,11,FALSE)),"")</f>
        <v/>
      </c>
      <c r="K208" s="538" t="str">
        <f>IFERROR(IF(AND(NC_Type="Building Area Method",Inventory!C205="N"),IF(ISERROR(INDEX('Usage Groups (&gt;120 MWh only)'!$N$8:$N$12,MATCH(C208,'Usage Groups (&gt;120 MWh only)'!$B$8:$B$12,0),1))=TRUE,SqFt/COUNTIFS(Inventory!$C$10:$C$1009,"N",$Q$13:$Q$1012,"&gt;=0"),INDEX('Usage Groups (&gt;120 MWh only)'!$N$8:$N$12,MATCH(C208,'Usage Groups (&gt;120 MWh only)'!$B$8:$B$12,0),1)/COUNTIF($C$13:$C$1012,C208)),IF(AND(NC_Type="Building Area Method",Inventory!C205="Y"),INDEX(xyNCEx,MATCH(I208,yNCExArea,0),3)/COUNTIF($I$13:$I$1012,I208),VLOOKUP(J208,xyWattage_Table,10,FALSE))),"")</f>
        <v/>
      </c>
      <c r="L208" s="539" t="str">
        <f t="shared" si="91"/>
        <v/>
      </c>
      <c r="M208" s="540">
        <f>IF(Inventory!N205="","",Inventory!N205)</f>
        <v>0</v>
      </c>
      <c r="N208" s="533" t="str">
        <f t="shared" si="92"/>
        <v/>
      </c>
      <c r="O208" s="534"/>
      <c r="P208" s="533" t="str">
        <f t="shared" si="93"/>
        <v/>
      </c>
      <c r="Q208" s="534" t="str">
        <f>IF(Inventory!L205="","",Inventory!L205)</f>
        <v/>
      </c>
      <c r="R208" s="535" t="str">
        <f t="shared" si="94"/>
        <v/>
      </c>
      <c r="S208" s="536" t="str">
        <f>IF(Inventory!O205="","",Inventory!O205)</f>
        <v/>
      </c>
      <c r="T208" s="541" t="str">
        <f>IFERROR(IF(C208="","",IF(INDEX(xyWattage_Table,MATCH(M208,'Fixture Identities'!$B$9:$B$997,0),2)="Exit Sign",8760,IF(VLOOKUP(C208,xySpace_Type_Details,8,FALSE)="TRM",INDEX('General Information'!$AF$17:$AG$28,11,MATCH(N208,'General Information'!$AF$16:$AG$16,0)),HLOOKUP(VLOOKUP(C208,xySpace_Type_Details,8,FALSE),'General Information'!$P$15:$AG$28,13,FALSE)))),"")</f>
        <v/>
      </c>
      <c r="U208" s="542" t="str">
        <f>IFERROR(IF(C208="","",IF(INDEX(xyWattage_Table,MATCH(M208,'Fixture Identities'!$B$9:$B$997,0),2)="Exit Sign",1,IF(VLOOKUP(C208,xySpace_Type_Details,8,FALSE)="TRM",INDEX('General Information'!$AF$17:$AG$28,12,MATCH(N208,'General Information'!$AF$16:$AG$16,0)),HLOOKUP(VLOOKUP(C208,xySpace_Type_Details,8,FALSE),'General Information'!$P$15:$AG$28,14,FALSE)))),"")</f>
        <v/>
      </c>
      <c r="V208" s="542" t="str">
        <f>IFERROR(VLOOKUP(INDEX(xySpace_Type_Details,MATCH($C208,'General Information'!$C$40:$C$60,0),12),Lookups!$L$8:$N$12,2,FALSE),"")</f>
        <v/>
      </c>
      <c r="W208" s="542" t="str">
        <f>IFERROR(VLOOKUP(INDEX(xySpace_Type_Details,MATCH($C208,'General Information'!$C$40:$C$60,0),12),Lookups!$L$8:$N$12,3,FALSE),"")</f>
        <v/>
      </c>
      <c r="Y208" s="542" t="str">
        <f>IFERROR(IF(C208="","",IF(INDEX(xyWattage_Table,MATCH(M208,'Fixture Identities'!$B$9:$B$997,0),2)="Exit Sign",0,IF(PRJ_Type="Retrofit",VLOOKUP(I208,xySVG_Factors,2,FALSE),IF(AND(PRJ_Type="New Construction",Inventory!C205="N"),VLOOKUP(VLOOKUP(Building_Type,xyLPD_BuildingArea,5,FALSE),xySVG_Factors_NC,3,FALSE),0)))),"")</f>
        <v/>
      </c>
      <c r="Z208" s="544" t="str">
        <f>IFERROR(IF(C208="","",IF(INDEX(xyWattage_Table,MATCH(M208,'Fixture Identities'!$B$9:$B$997,0),2)="Exit Sign",0,VLOOKUP(S208,xySVG_Factors,2,FALSE))),"")</f>
        <v/>
      </c>
      <c r="AA208" s="545" t="str">
        <f t="shared" si="95"/>
        <v/>
      </c>
      <c r="AB208" s="542" t="str">
        <f t="shared" si="96"/>
        <v/>
      </c>
      <c r="AC208" s="539" t="str">
        <f t="shared" si="97"/>
        <v/>
      </c>
      <c r="AD208" s="546" t="str">
        <f t="shared" si="98"/>
        <v/>
      </c>
      <c r="AE208" s="539" t="str">
        <f t="shared" si="99"/>
        <v/>
      </c>
      <c r="AF208" s="546" t="str">
        <f t="shared" si="100"/>
        <v/>
      </c>
      <c r="AG208" s="539" t="str">
        <f t="shared" si="101"/>
        <v/>
      </c>
      <c r="AH208" s="32">
        <f t="shared" si="82"/>
        <v>0</v>
      </c>
      <c r="AI208" s="32">
        <f t="shared" si="83"/>
        <v>0</v>
      </c>
      <c r="AJ208" s="32">
        <f t="shared" si="84"/>
        <v>0</v>
      </c>
      <c r="AK208" t="str">
        <f t="shared" si="85"/>
        <v/>
      </c>
      <c r="AL208" t="str">
        <f t="shared" si="86"/>
        <v/>
      </c>
      <c r="AM208" t="str">
        <f t="shared" si="87"/>
        <v/>
      </c>
      <c r="AO208" t="str">
        <f>IFERROR(VLOOKUP(M208,'Fixture Identities'!$B$9:$O$1045,14,FALSE),"")</f>
        <v/>
      </c>
      <c r="AP208" t="str">
        <f t="shared" si="81"/>
        <v/>
      </c>
    </row>
    <row r="209" spans="1:42">
      <c r="A209" s="71">
        <f t="shared" si="80"/>
        <v>0</v>
      </c>
      <c r="B209" s="513">
        <f t="shared" si="88"/>
        <v>197</v>
      </c>
      <c r="C209" s="530" t="str">
        <f>IF(Inventory!E206="","",Inventory!E206)</f>
        <v/>
      </c>
      <c r="D209" s="531">
        <f>IF(Inventory!D206="",0,Inventory!D206)</f>
        <v>0</v>
      </c>
      <c r="E209" s="532" t="str">
        <f>IF(Inventory!I206=0,"",Inventory!I206)</f>
        <v/>
      </c>
      <c r="F209" s="533" t="str">
        <f t="shared" si="89"/>
        <v/>
      </c>
      <c r="G209" s="534" t="str">
        <f>IF(Inventory!G206="","",Inventory!G206)</f>
        <v/>
      </c>
      <c r="H209" s="535" t="str">
        <f t="shared" si="90"/>
        <v/>
      </c>
      <c r="I209" s="536" t="str">
        <f>IF(Inventory!J206="","",Inventory!J206)</f>
        <v/>
      </c>
      <c r="J209" s="537" t="str">
        <f>IFERROR(IF(PRJ_Type="New Construction",IF(Inventory!C206="N",INDEX(xyLPD_BuildingArea,MATCH(Building_Type,Lookups!$F$37:$F$75,0),4),INDEX(xyLPD_SpaceBySpace,MATCH(INDEX(xyNCEx,MATCH(I209,yNCExArea,0),2),ySpace_by_Space_Type,0),2)),VLOOKUP(E209,xyWattage_Table,11,FALSE)),"")</f>
        <v/>
      </c>
      <c r="K209" s="538" t="str">
        <f>IFERROR(IF(AND(NC_Type="Building Area Method",Inventory!C206="N"),IF(ISERROR(INDEX('Usage Groups (&gt;120 MWh only)'!$N$8:$N$12,MATCH(C209,'Usage Groups (&gt;120 MWh only)'!$B$8:$B$12,0),1))=TRUE,SqFt/COUNTIFS(Inventory!$C$10:$C$1009,"N",$Q$13:$Q$1012,"&gt;=0"),INDEX('Usage Groups (&gt;120 MWh only)'!$N$8:$N$12,MATCH(C209,'Usage Groups (&gt;120 MWh only)'!$B$8:$B$12,0),1)/COUNTIF($C$13:$C$1012,C209)),IF(AND(NC_Type="Building Area Method",Inventory!C206="Y"),INDEX(xyNCEx,MATCH(I209,yNCExArea,0),3)/COUNTIF($I$13:$I$1012,I209),VLOOKUP(J209,xyWattage_Table,10,FALSE))),"")</f>
        <v/>
      </c>
      <c r="L209" s="539" t="str">
        <f t="shared" si="91"/>
        <v/>
      </c>
      <c r="M209" s="540">
        <f>IF(Inventory!N206="","",Inventory!N206)</f>
        <v>0</v>
      </c>
      <c r="N209" s="533" t="str">
        <f t="shared" si="92"/>
        <v/>
      </c>
      <c r="O209" s="534"/>
      <c r="P209" s="533" t="str">
        <f t="shared" si="93"/>
        <v/>
      </c>
      <c r="Q209" s="534" t="str">
        <f>IF(Inventory!L206="","",Inventory!L206)</f>
        <v/>
      </c>
      <c r="R209" s="535" t="str">
        <f t="shared" si="94"/>
        <v/>
      </c>
      <c r="S209" s="536" t="str">
        <f>IF(Inventory!O206="","",Inventory!O206)</f>
        <v/>
      </c>
      <c r="T209" s="541" t="str">
        <f>IFERROR(IF(C209="","",IF(INDEX(xyWattage_Table,MATCH(M209,'Fixture Identities'!$B$9:$B$997,0),2)="Exit Sign",8760,IF(VLOOKUP(C209,xySpace_Type_Details,8,FALSE)="TRM",INDEX('General Information'!$AF$17:$AG$28,11,MATCH(N209,'General Information'!$AF$16:$AG$16,0)),HLOOKUP(VLOOKUP(C209,xySpace_Type_Details,8,FALSE),'General Information'!$P$15:$AG$28,13,FALSE)))),"")</f>
        <v/>
      </c>
      <c r="U209" s="542" t="str">
        <f>IFERROR(IF(C209="","",IF(INDEX(xyWattage_Table,MATCH(M209,'Fixture Identities'!$B$9:$B$997,0),2)="Exit Sign",1,IF(VLOOKUP(C209,xySpace_Type_Details,8,FALSE)="TRM",INDEX('General Information'!$AF$17:$AG$28,12,MATCH(N209,'General Information'!$AF$16:$AG$16,0)),HLOOKUP(VLOOKUP(C209,xySpace_Type_Details,8,FALSE),'General Information'!$P$15:$AG$28,14,FALSE)))),"")</f>
        <v/>
      </c>
      <c r="V209" s="542" t="str">
        <f>IFERROR(VLOOKUP(INDEX(xySpace_Type_Details,MATCH($C209,'General Information'!$C$40:$C$60,0),12),Lookups!$L$8:$N$12,2,FALSE),"")</f>
        <v/>
      </c>
      <c r="W209" s="542" t="str">
        <f>IFERROR(VLOOKUP(INDEX(xySpace_Type_Details,MATCH($C209,'General Information'!$C$40:$C$60,0),12),Lookups!$L$8:$N$12,3,FALSE),"")</f>
        <v/>
      </c>
      <c r="Y209" s="542" t="str">
        <f>IFERROR(IF(C209="","",IF(INDEX(xyWattage_Table,MATCH(M209,'Fixture Identities'!$B$9:$B$997,0),2)="Exit Sign",0,IF(PRJ_Type="Retrofit",VLOOKUP(I209,xySVG_Factors,2,FALSE),IF(AND(PRJ_Type="New Construction",Inventory!C206="N"),VLOOKUP(VLOOKUP(Building_Type,xyLPD_BuildingArea,5,FALSE),xySVG_Factors_NC,3,FALSE),0)))),"")</f>
        <v/>
      </c>
      <c r="Z209" s="544" t="str">
        <f>IFERROR(IF(C209="","",IF(INDEX(xyWattage_Table,MATCH(M209,'Fixture Identities'!$B$9:$B$997,0),2)="Exit Sign",0,VLOOKUP(S209,xySVG_Factors,2,FALSE))),"")</f>
        <v/>
      </c>
      <c r="AA209" s="545" t="str">
        <f t="shared" si="95"/>
        <v/>
      </c>
      <c r="AB209" s="542" t="str">
        <f t="shared" si="96"/>
        <v/>
      </c>
      <c r="AC209" s="539" t="str">
        <f t="shared" si="97"/>
        <v/>
      </c>
      <c r="AD209" s="546" t="str">
        <f t="shared" si="98"/>
        <v/>
      </c>
      <c r="AE209" s="539" t="str">
        <f t="shared" si="99"/>
        <v/>
      </c>
      <c r="AF209" s="546" t="str">
        <f t="shared" si="100"/>
        <v/>
      </c>
      <c r="AG209" s="539" t="str">
        <f t="shared" si="101"/>
        <v/>
      </c>
      <c r="AH209" s="32">
        <f t="shared" si="82"/>
        <v>0</v>
      </c>
      <c r="AI209" s="32">
        <f t="shared" si="83"/>
        <v>0</v>
      </c>
      <c r="AJ209" s="32">
        <f t="shared" si="84"/>
        <v>0</v>
      </c>
      <c r="AK209" t="str">
        <f t="shared" si="85"/>
        <v/>
      </c>
      <c r="AL209" t="str">
        <f t="shared" si="86"/>
        <v/>
      </c>
      <c r="AM209" t="str">
        <f t="shared" si="87"/>
        <v/>
      </c>
      <c r="AO209" t="str">
        <f>IFERROR(VLOOKUP(M209,'Fixture Identities'!$B$9:$O$1045,14,FALSE),"")</f>
        <v/>
      </c>
      <c r="AP209" t="str">
        <f t="shared" si="81"/>
        <v/>
      </c>
    </row>
    <row r="210" spans="1:42">
      <c r="A210" s="71">
        <f t="shared" ref="A210:A273" si="102">IF(E210&lt;&gt;J210,1,0)</f>
        <v>0</v>
      </c>
      <c r="B210" s="513">
        <f t="shared" si="88"/>
        <v>198</v>
      </c>
      <c r="C210" s="530" t="str">
        <f>IF(Inventory!E207="","",Inventory!E207)</f>
        <v/>
      </c>
      <c r="D210" s="531">
        <f>IF(Inventory!D207="",0,Inventory!D207)</f>
        <v>0</v>
      </c>
      <c r="E210" s="532" t="str">
        <f>IF(Inventory!I207=0,"",Inventory!I207)</f>
        <v/>
      </c>
      <c r="F210" s="533" t="str">
        <f t="shared" si="89"/>
        <v/>
      </c>
      <c r="G210" s="534" t="str">
        <f>IF(Inventory!G207="","",Inventory!G207)</f>
        <v/>
      </c>
      <c r="H210" s="535" t="str">
        <f t="shared" si="90"/>
        <v/>
      </c>
      <c r="I210" s="536" t="str">
        <f>IF(Inventory!J207="","",Inventory!J207)</f>
        <v/>
      </c>
      <c r="J210" s="537" t="str">
        <f>IFERROR(IF(PRJ_Type="New Construction",IF(Inventory!C207="N",INDEX(xyLPD_BuildingArea,MATCH(Building_Type,Lookups!$F$37:$F$75,0),4),INDEX(xyLPD_SpaceBySpace,MATCH(INDEX(xyNCEx,MATCH(I210,yNCExArea,0),2),ySpace_by_Space_Type,0),2)),VLOOKUP(E210,xyWattage_Table,11,FALSE)),"")</f>
        <v/>
      </c>
      <c r="K210" s="538" t="str">
        <f>IFERROR(IF(AND(NC_Type="Building Area Method",Inventory!C207="N"),IF(ISERROR(INDEX('Usage Groups (&gt;120 MWh only)'!$N$8:$N$12,MATCH(C210,'Usage Groups (&gt;120 MWh only)'!$B$8:$B$12,0),1))=TRUE,SqFt/COUNTIFS(Inventory!$C$10:$C$1009,"N",$Q$13:$Q$1012,"&gt;=0"),INDEX('Usage Groups (&gt;120 MWh only)'!$N$8:$N$12,MATCH(C210,'Usage Groups (&gt;120 MWh only)'!$B$8:$B$12,0),1)/COUNTIF($C$13:$C$1012,C210)),IF(AND(NC_Type="Building Area Method",Inventory!C207="Y"),INDEX(xyNCEx,MATCH(I210,yNCExArea,0),3)/COUNTIF($I$13:$I$1012,I210),VLOOKUP(J210,xyWattage_Table,10,FALSE))),"")</f>
        <v/>
      </c>
      <c r="L210" s="539" t="str">
        <f t="shared" si="91"/>
        <v/>
      </c>
      <c r="M210" s="540">
        <f>IF(Inventory!N207="","",Inventory!N207)</f>
        <v>0</v>
      </c>
      <c r="N210" s="533" t="str">
        <f t="shared" si="92"/>
        <v/>
      </c>
      <c r="O210" s="534"/>
      <c r="P210" s="533" t="str">
        <f t="shared" si="93"/>
        <v/>
      </c>
      <c r="Q210" s="534" t="str">
        <f>IF(Inventory!L207="","",Inventory!L207)</f>
        <v/>
      </c>
      <c r="R210" s="535" t="str">
        <f t="shared" si="94"/>
        <v/>
      </c>
      <c r="S210" s="536" t="str">
        <f>IF(Inventory!O207="","",Inventory!O207)</f>
        <v/>
      </c>
      <c r="T210" s="541" t="str">
        <f>IFERROR(IF(C210="","",IF(INDEX(xyWattage_Table,MATCH(M210,'Fixture Identities'!$B$9:$B$997,0),2)="Exit Sign",8760,IF(VLOOKUP(C210,xySpace_Type_Details,8,FALSE)="TRM",INDEX('General Information'!$AF$17:$AG$28,11,MATCH(N210,'General Information'!$AF$16:$AG$16,0)),HLOOKUP(VLOOKUP(C210,xySpace_Type_Details,8,FALSE),'General Information'!$P$15:$AG$28,13,FALSE)))),"")</f>
        <v/>
      </c>
      <c r="U210" s="542" t="str">
        <f>IFERROR(IF(C210="","",IF(INDEX(xyWattage_Table,MATCH(M210,'Fixture Identities'!$B$9:$B$997,0),2)="Exit Sign",1,IF(VLOOKUP(C210,xySpace_Type_Details,8,FALSE)="TRM",INDEX('General Information'!$AF$17:$AG$28,12,MATCH(N210,'General Information'!$AF$16:$AG$16,0)),HLOOKUP(VLOOKUP(C210,xySpace_Type_Details,8,FALSE),'General Information'!$P$15:$AG$28,14,FALSE)))),"")</f>
        <v/>
      </c>
      <c r="V210" s="542" t="str">
        <f>IFERROR(VLOOKUP(INDEX(xySpace_Type_Details,MATCH($C210,'General Information'!$C$40:$C$60,0),12),Lookups!$L$8:$N$12,2,FALSE),"")</f>
        <v/>
      </c>
      <c r="W210" s="542" t="str">
        <f>IFERROR(VLOOKUP(INDEX(xySpace_Type_Details,MATCH($C210,'General Information'!$C$40:$C$60,0),12),Lookups!$L$8:$N$12,3,FALSE),"")</f>
        <v/>
      </c>
      <c r="Y210" s="542" t="str">
        <f>IFERROR(IF(C210="","",IF(INDEX(xyWattage_Table,MATCH(M210,'Fixture Identities'!$B$9:$B$997,0),2)="Exit Sign",0,IF(PRJ_Type="Retrofit",VLOOKUP(I210,xySVG_Factors,2,FALSE),IF(AND(PRJ_Type="New Construction",Inventory!C207="N"),VLOOKUP(VLOOKUP(Building_Type,xyLPD_BuildingArea,5,FALSE),xySVG_Factors_NC,3,FALSE),0)))),"")</f>
        <v/>
      </c>
      <c r="Z210" s="544" t="str">
        <f>IFERROR(IF(C210="","",IF(INDEX(xyWattage_Table,MATCH(M210,'Fixture Identities'!$B$9:$B$997,0),2)="Exit Sign",0,VLOOKUP(S210,xySVG_Factors,2,FALSE))),"")</f>
        <v/>
      </c>
      <c r="AA210" s="545" t="str">
        <f t="shared" si="95"/>
        <v/>
      </c>
      <c r="AB210" s="542" t="str">
        <f t="shared" si="96"/>
        <v/>
      </c>
      <c r="AC210" s="539" t="str">
        <f t="shared" si="97"/>
        <v/>
      </c>
      <c r="AD210" s="546" t="str">
        <f t="shared" si="98"/>
        <v/>
      </c>
      <c r="AE210" s="539" t="str">
        <f t="shared" si="99"/>
        <v/>
      </c>
      <c r="AF210" s="546" t="str">
        <f t="shared" si="100"/>
        <v/>
      </c>
      <c r="AG210" s="539" t="str">
        <f t="shared" si="101"/>
        <v/>
      </c>
      <c r="AH210" s="32">
        <f t="shared" si="82"/>
        <v>0</v>
      </c>
      <c r="AI210" s="32">
        <f t="shared" si="83"/>
        <v>0</v>
      </c>
      <c r="AJ210" s="32">
        <f t="shared" si="84"/>
        <v>0</v>
      </c>
      <c r="AK210" t="str">
        <f t="shared" si="85"/>
        <v/>
      </c>
      <c r="AL210" t="str">
        <f t="shared" si="86"/>
        <v/>
      </c>
      <c r="AM210" t="str">
        <f t="shared" si="87"/>
        <v/>
      </c>
      <c r="AO210" t="str">
        <f>IFERROR(VLOOKUP(M210,'Fixture Identities'!$B$9:$O$1045,14,FALSE),"")</f>
        <v/>
      </c>
      <c r="AP210" t="str">
        <f t="shared" si="81"/>
        <v/>
      </c>
    </row>
    <row r="211" spans="1:42">
      <c r="A211" s="71">
        <f t="shared" si="102"/>
        <v>0</v>
      </c>
      <c r="B211" s="513">
        <f t="shared" si="88"/>
        <v>199</v>
      </c>
      <c r="C211" s="530" t="str">
        <f>IF(Inventory!E208="","",Inventory!E208)</f>
        <v/>
      </c>
      <c r="D211" s="531">
        <f>IF(Inventory!D208="",0,Inventory!D208)</f>
        <v>0</v>
      </c>
      <c r="E211" s="532" t="str">
        <f>IF(Inventory!I208=0,"",Inventory!I208)</f>
        <v/>
      </c>
      <c r="F211" s="533" t="str">
        <f t="shared" si="89"/>
        <v/>
      </c>
      <c r="G211" s="534" t="str">
        <f>IF(Inventory!G208="","",Inventory!G208)</f>
        <v/>
      </c>
      <c r="H211" s="535" t="str">
        <f t="shared" si="90"/>
        <v/>
      </c>
      <c r="I211" s="536" t="str">
        <f>IF(Inventory!J208="","",Inventory!J208)</f>
        <v/>
      </c>
      <c r="J211" s="537" t="str">
        <f>IFERROR(IF(PRJ_Type="New Construction",IF(Inventory!C208="N",INDEX(xyLPD_BuildingArea,MATCH(Building_Type,Lookups!$F$37:$F$75,0),4),INDEX(xyLPD_SpaceBySpace,MATCH(INDEX(xyNCEx,MATCH(I211,yNCExArea,0),2),ySpace_by_Space_Type,0),2)),VLOOKUP(E211,xyWattage_Table,11,FALSE)),"")</f>
        <v/>
      </c>
      <c r="K211" s="538" t="str">
        <f>IFERROR(IF(AND(NC_Type="Building Area Method",Inventory!C208="N"),IF(ISERROR(INDEX('Usage Groups (&gt;120 MWh only)'!$N$8:$N$12,MATCH(C211,'Usage Groups (&gt;120 MWh only)'!$B$8:$B$12,0),1))=TRUE,SqFt/COUNTIFS(Inventory!$C$10:$C$1009,"N",$Q$13:$Q$1012,"&gt;=0"),INDEX('Usage Groups (&gt;120 MWh only)'!$N$8:$N$12,MATCH(C211,'Usage Groups (&gt;120 MWh only)'!$B$8:$B$12,0),1)/COUNTIF($C$13:$C$1012,C211)),IF(AND(NC_Type="Building Area Method",Inventory!C208="Y"),INDEX(xyNCEx,MATCH(I211,yNCExArea,0),3)/COUNTIF($I$13:$I$1012,I211),VLOOKUP(J211,xyWattage_Table,10,FALSE))),"")</f>
        <v/>
      </c>
      <c r="L211" s="539" t="str">
        <f t="shared" si="91"/>
        <v/>
      </c>
      <c r="M211" s="540">
        <f>IF(Inventory!N208="","",Inventory!N208)</f>
        <v>0</v>
      </c>
      <c r="N211" s="533" t="str">
        <f t="shared" si="92"/>
        <v/>
      </c>
      <c r="O211" s="534"/>
      <c r="P211" s="533" t="str">
        <f t="shared" si="93"/>
        <v/>
      </c>
      <c r="Q211" s="534" t="str">
        <f>IF(Inventory!L208="","",Inventory!L208)</f>
        <v/>
      </c>
      <c r="R211" s="535" t="str">
        <f t="shared" si="94"/>
        <v/>
      </c>
      <c r="S211" s="536" t="str">
        <f>IF(Inventory!O208="","",Inventory!O208)</f>
        <v/>
      </c>
      <c r="T211" s="541" t="str">
        <f>IFERROR(IF(C211="","",IF(INDEX(xyWattage_Table,MATCH(M211,'Fixture Identities'!$B$9:$B$997,0),2)="Exit Sign",8760,IF(VLOOKUP(C211,xySpace_Type_Details,8,FALSE)="TRM",INDEX('General Information'!$AF$17:$AG$28,11,MATCH(N211,'General Information'!$AF$16:$AG$16,0)),HLOOKUP(VLOOKUP(C211,xySpace_Type_Details,8,FALSE),'General Information'!$P$15:$AG$28,13,FALSE)))),"")</f>
        <v/>
      </c>
      <c r="U211" s="542" t="str">
        <f>IFERROR(IF(C211="","",IF(INDEX(xyWattage_Table,MATCH(M211,'Fixture Identities'!$B$9:$B$997,0),2)="Exit Sign",1,IF(VLOOKUP(C211,xySpace_Type_Details,8,FALSE)="TRM",INDEX('General Information'!$AF$17:$AG$28,12,MATCH(N211,'General Information'!$AF$16:$AG$16,0)),HLOOKUP(VLOOKUP(C211,xySpace_Type_Details,8,FALSE),'General Information'!$P$15:$AG$28,14,FALSE)))),"")</f>
        <v/>
      </c>
      <c r="V211" s="542" t="str">
        <f>IFERROR(VLOOKUP(INDEX(xySpace_Type_Details,MATCH($C211,'General Information'!$C$40:$C$60,0),12),Lookups!$L$8:$N$12,2,FALSE),"")</f>
        <v/>
      </c>
      <c r="W211" s="542" t="str">
        <f>IFERROR(VLOOKUP(INDEX(xySpace_Type_Details,MATCH($C211,'General Information'!$C$40:$C$60,0),12),Lookups!$L$8:$N$12,3,FALSE),"")</f>
        <v/>
      </c>
      <c r="Y211" s="542" t="str">
        <f>IFERROR(IF(C211="","",IF(INDEX(xyWattage_Table,MATCH(M211,'Fixture Identities'!$B$9:$B$997,0),2)="Exit Sign",0,IF(PRJ_Type="Retrofit",VLOOKUP(I211,xySVG_Factors,2,FALSE),IF(AND(PRJ_Type="New Construction",Inventory!C208="N"),VLOOKUP(VLOOKUP(Building_Type,xyLPD_BuildingArea,5,FALSE),xySVG_Factors_NC,3,FALSE),0)))),"")</f>
        <v/>
      </c>
      <c r="Z211" s="544" t="str">
        <f>IFERROR(IF(C211="","",IF(INDEX(xyWattage_Table,MATCH(M211,'Fixture Identities'!$B$9:$B$997,0),2)="Exit Sign",0,VLOOKUP(S211,xySVG_Factors,2,FALSE))),"")</f>
        <v/>
      </c>
      <c r="AA211" s="545" t="str">
        <f t="shared" si="95"/>
        <v/>
      </c>
      <c r="AB211" s="542" t="str">
        <f t="shared" si="96"/>
        <v/>
      </c>
      <c r="AC211" s="539" t="str">
        <f t="shared" si="97"/>
        <v/>
      </c>
      <c r="AD211" s="546" t="str">
        <f t="shared" si="98"/>
        <v/>
      </c>
      <c r="AE211" s="539" t="str">
        <f t="shared" si="99"/>
        <v/>
      </c>
      <c r="AF211" s="546" t="str">
        <f t="shared" si="100"/>
        <v/>
      </c>
      <c r="AG211" s="539" t="str">
        <f t="shared" si="101"/>
        <v/>
      </c>
      <c r="AH211" s="32">
        <f t="shared" si="82"/>
        <v>0</v>
      </c>
      <c r="AI211" s="32">
        <f t="shared" si="83"/>
        <v>0</v>
      </c>
      <c r="AJ211" s="32">
        <f t="shared" si="84"/>
        <v>0</v>
      </c>
      <c r="AK211" t="str">
        <f t="shared" si="85"/>
        <v/>
      </c>
      <c r="AL211" t="str">
        <f t="shared" si="86"/>
        <v/>
      </c>
      <c r="AM211" t="str">
        <f t="shared" si="87"/>
        <v/>
      </c>
      <c r="AO211" t="str">
        <f>IFERROR(VLOOKUP(M211,'Fixture Identities'!$B$9:$O$1045,14,FALSE),"")</f>
        <v/>
      </c>
      <c r="AP211" t="str">
        <f t="shared" si="81"/>
        <v/>
      </c>
    </row>
    <row r="212" spans="1:42">
      <c r="A212" s="71">
        <f t="shared" si="102"/>
        <v>0</v>
      </c>
      <c r="B212" s="513">
        <f t="shared" si="88"/>
        <v>200</v>
      </c>
      <c r="C212" s="530" t="str">
        <f>IF(Inventory!E209="","",Inventory!E209)</f>
        <v/>
      </c>
      <c r="D212" s="531">
        <f>IF(Inventory!D209="",0,Inventory!D209)</f>
        <v>0</v>
      </c>
      <c r="E212" s="532" t="str">
        <f>IF(Inventory!I209=0,"",Inventory!I209)</f>
        <v/>
      </c>
      <c r="F212" s="533" t="str">
        <f t="shared" si="89"/>
        <v/>
      </c>
      <c r="G212" s="534" t="str">
        <f>IF(Inventory!G209="","",Inventory!G209)</f>
        <v/>
      </c>
      <c r="H212" s="535" t="str">
        <f t="shared" si="90"/>
        <v/>
      </c>
      <c r="I212" s="536" t="str">
        <f>IF(Inventory!J209="","",Inventory!J209)</f>
        <v/>
      </c>
      <c r="J212" s="537" t="str">
        <f>IFERROR(IF(PRJ_Type="New Construction",IF(Inventory!C209="N",INDEX(xyLPD_BuildingArea,MATCH(Building_Type,Lookups!$F$37:$F$75,0),4),INDEX(xyLPD_SpaceBySpace,MATCH(INDEX(xyNCEx,MATCH(I212,yNCExArea,0),2),ySpace_by_Space_Type,0),2)),VLOOKUP(E212,xyWattage_Table,11,FALSE)),"")</f>
        <v/>
      </c>
      <c r="K212" s="538" t="str">
        <f>IFERROR(IF(AND(NC_Type="Building Area Method",Inventory!C209="N"),IF(ISERROR(INDEX('Usage Groups (&gt;120 MWh only)'!$N$8:$N$12,MATCH(C212,'Usage Groups (&gt;120 MWh only)'!$B$8:$B$12,0),1))=TRUE,SqFt/COUNTIFS(Inventory!$C$10:$C$1009,"N",$Q$13:$Q$1012,"&gt;=0"),INDEX('Usage Groups (&gt;120 MWh only)'!$N$8:$N$12,MATCH(C212,'Usage Groups (&gt;120 MWh only)'!$B$8:$B$12,0),1)/COUNTIF($C$13:$C$1012,C212)),IF(AND(NC_Type="Building Area Method",Inventory!C209="Y"),INDEX(xyNCEx,MATCH(I212,yNCExArea,0),3)/COUNTIF($I$13:$I$1012,I212),VLOOKUP(J212,xyWattage_Table,10,FALSE))),"")</f>
        <v/>
      </c>
      <c r="L212" s="539" t="str">
        <f t="shared" si="91"/>
        <v/>
      </c>
      <c r="M212" s="540">
        <f>IF(Inventory!N209="","",Inventory!N209)</f>
        <v>0</v>
      </c>
      <c r="N212" s="533" t="str">
        <f t="shared" si="92"/>
        <v/>
      </c>
      <c r="O212" s="534"/>
      <c r="P212" s="533" t="str">
        <f t="shared" si="93"/>
        <v/>
      </c>
      <c r="Q212" s="534" t="str">
        <f>IF(Inventory!L209="","",Inventory!L209)</f>
        <v/>
      </c>
      <c r="R212" s="535" t="str">
        <f t="shared" si="94"/>
        <v/>
      </c>
      <c r="S212" s="536" t="str">
        <f>IF(Inventory!O209="","",Inventory!O209)</f>
        <v/>
      </c>
      <c r="T212" s="541" t="str">
        <f>IFERROR(IF(C212="","",IF(INDEX(xyWattage_Table,MATCH(M212,'Fixture Identities'!$B$9:$B$997,0),2)="Exit Sign",8760,IF(VLOOKUP(C212,xySpace_Type_Details,8,FALSE)="TRM",INDEX('General Information'!$AF$17:$AG$28,11,MATCH(N212,'General Information'!$AF$16:$AG$16,0)),HLOOKUP(VLOOKUP(C212,xySpace_Type_Details,8,FALSE),'General Information'!$P$15:$AG$28,13,FALSE)))),"")</f>
        <v/>
      </c>
      <c r="U212" s="542" t="str">
        <f>IFERROR(IF(C212="","",IF(INDEX(xyWattage_Table,MATCH(M212,'Fixture Identities'!$B$9:$B$997,0),2)="Exit Sign",1,IF(VLOOKUP(C212,xySpace_Type_Details,8,FALSE)="TRM",INDEX('General Information'!$AF$17:$AG$28,12,MATCH(N212,'General Information'!$AF$16:$AG$16,0)),HLOOKUP(VLOOKUP(C212,xySpace_Type_Details,8,FALSE),'General Information'!$P$15:$AG$28,14,FALSE)))),"")</f>
        <v/>
      </c>
      <c r="V212" s="542" t="str">
        <f>IFERROR(VLOOKUP(INDEX(xySpace_Type_Details,MATCH($C212,'General Information'!$C$40:$C$60,0),12),Lookups!$L$8:$N$12,2,FALSE),"")</f>
        <v/>
      </c>
      <c r="W212" s="542" t="str">
        <f>IFERROR(VLOOKUP(INDEX(xySpace_Type_Details,MATCH($C212,'General Information'!$C$40:$C$60,0),12),Lookups!$L$8:$N$12,3,FALSE),"")</f>
        <v/>
      </c>
      <c r="Y212" s="542" t="str">
        <f>IFERROR(IF(C212="","",IF(INDEX(xyWattage_Table,MATCH(M212,'Fixture Identities'!$B$9:$B$997,0),2)="Exit Sign",0,IF(PRJ_Type="Retrofit",VLOOKUP(I212,xySVG_Factors,2,FALSE),IF(AND(PRJ_Type="New Construction",Inventory!C209="N"),VLOOKUP(VLOOKUP(Building_Type,xyLPD_BuildingArea,5,FALSE),xySVG_Factors_NC,3,FALSE),0)))),"")</f>
        <v/>
      </c>
      <c r="Z212" s="544" t="str">
        <f>IFERROR(IF(C212="","",IF(INDEX(xyWattage_Table,MATCH(M212,'Fixture Identities'!$B$9:$B$997,0),2)="Exit Sign",0,VLOOKUP(S212,xySVG_Factors,2,FALSE))),"")</f>
        <v/>
      </c>
      <c r="AA212" s="545" t="str">
        <f t="shared" si="95"/>
        <v/>
      </c>
      <c r="AB212" s="542" t="str">
        <f t="shared" si="96"/>
        <v/>
      </c>
      <c r="AC212" s="539" t="str">
        <f t="shared" si="97"/>
        <v/>
      </c>
      <c r="AD212" s="546" t="str">
        <f t="shared" si="98"/>
        <v/>
      </c>
      <c r="AE212" s="539" t="str">
        <f t="shared" si="99"/>
        <v/>
      </c>
      <c r="AF212" s="546" t="str">
        <f t="shared" si="100"/>
        <v/>
      </c>
      <c r="AG212" s="539" t="str">
        <f t="shared" si="101"/>
        <v/>
      </c>
      <c r="AH212" s="32">
        <f t="shared" si="82"/>
        <v>0</v>
      </c>
      <c r="AI212" s="32">
        <f t="shared" si="83"/>
        <v>0</v>
      </c>
      <c r="AJ212" s="32">
        <f t="shared" si="84"/>
        <v>0</v>
      </c>
      <c r="AK212" t="str">
        <f t="shared" si="85"/>
        <v/>
      </c>
      <c r="AL212" t="str">
        <f t="shared" si="86"/>
        <v/>
      </c>
      <c r="AM212" t="str">
        <f t="shared" si="87"/>
        <v/>
      </c>
      <c r="AO212" t="str">
        <f>IFERROR(VLOOKUP(M212,'Fixture Identities'!$B$9:$O$1045,14,FALSE),"")</f>
        <v/>
      </c>
      <c r="AP212" t="str">
        <f t="shared" si="81"/>
        <v/>
      </c>
    </row>
    <row r="213" spans="1:42">
      <c r="A213" s="71">
        <f t="shared" si="102"/>
        <v>0</v>
      </c>
      <c r="B213" s="513">
        <f t="shared" si="88"/>
        <v>201</v>
      </c>
      <c r="C213" s="530" t="str">
        <f>IF(Inventory!E210="","",Inventory!E210)</f>
        <v/>
      </c>
      <c r="D213" s="531">
        <f>IF(Inventory!D210="",0,Inventory!D210)</f>
        <v>0</v>
      </c>
      <c r="E213" s="532" t="str">
        <f>IF(Inventory!I210=0,"",Inventory!I210)</f>
        <v/>
      </c>
      <c r="F213" s="533" t="str">
        <f t="shared" si="89"/>
        <v/>
      </c>
      <c r="G213" s="534" t="str">
        <f>IF(Inventory!G210="","",Inventory!G210)</f>
        <v/>
      </c>
      <c r="H213" s="535" t="str">
        <f t="shared" si="90"/>
        <v/>
      </c>
      <c r="I213" s="536" t="str">
        <f>IF(Inventory!J210="","",Inventory!J210)</f>
        <v/>
      </c>
      <c r="J213" s="537" t="str">
        <f>IFERROR(IF(PRJ_Type="New Construction",IF(Inventory!C210="N",INDEX(xyLPD_BuildingArea,MATCH(Building_Type,Lookups!$F$37:$F$75,0),4),INDEX(xyLPD_SpaceBySpace,MATCH(INDEX(xyNCEx,MATCH(I213,yNCExArea,0),2),ySpace_by_Space_Type,0),2)),VLOOKUP(E213,xyWattage_Table,11,FALSE)),"")</f>
        <v/>
      </c>
      <c r="K213" s="538" t="str">
        <f>IFERROR(IF(AND(NC_Type="Building Area Method",Inventory!C210="N"),IF(ISERROR(INDEX('Usage Groups (&gt;120 MWh only)'!$N$8:$N$12,MATCH(C213,'Usage Groups (&gt;120 MWh only)'!$B$8:$B$12,0),1))=TRUE,SqFt/COUNTIFS(Inventory!$C$10:$C$1009,"N",$Q$13:$Q$1012,"&gt;=0"),INDEX('Usage Groups (&gt;120 MWh only)'!$N$8:$N$12,MATCH(C213,'Usage Groups (&gt;120 MWh only)'!$B$8:$B$12,0),1)/COUNTIF($C$13:$C$1012,C213)),IF(AND(NC_Type="Building Area Method",Inventory!C210="Y"),INDEX(xyNCEx,MATCH(I213,yNCExArea,0),3)/COUNTIF($I$13:$I$1012,I213),VLOOKUP(J213,xyWattage_Table,10,FALSE))),"")</f>
        <v/>
      </c>
      <c r="L213" s="539" t="str">
        <f t="shared" si="91"/>
        <v/>
      </c>
      <c r="M213" s="540">
        <f>IF(Inventory!N210="","",Inventory!N210)</f>
        <v>0</v>
      </c>
      <c r="N213" s="533" t="str">
        <f t="shared" si="92"/>
        <v/>
      </c>
      <c r="O213" s="534"/>
      <c r="P213" s="533" t="str">
        <f t="shared" si="93"/>
        <v/>
      </c>
      <c r="Q213" s="534" t="str">
        <f>IF(Inventory!L210="","",Inventory!L210)</f>
        <v/>
      </c>
      <c r="R213" s="535" t="str">
        <f t="shared" si="94"/>
        <v/>
      </c>
      <c r="S213" s="536" t="str">
        <f>IF(Inventory!O210="","",Inventory!O210)</f>
        <v/>
      </c>
      <c r="T213" s="541" t="str">
        <f>IFERROR(IF(C213="","",IF(INDEX(xyWattage_Table,MATCH(M213,'Fixture Identities'!$B$9:$B$997,0),2)="Exit Sign",8760,IF(VLOOKUP(C213,xySpace_Type_Details,8,FALSE)="TRM",INDEX('General Information'!$AF$17:$AG$28,11,MATCH(N213,'General Information'!$AF$16:$AG$16,0)),HLOOKUP(VLOOKUP(C213,xySpace_Type_Details,8,FALSE),'General Information'!$P$15:$AG$28,13,FALSE)))),"")</f>
        <v/>
      </c>
      <c r="U213" s="542" t="str">
        <f>IFERROR(IF(C213="","",IF(INDEX(xyWattage_Table,MATCH(M213,'Fixture Identities'!$B$9:$B$997,0),2)="Exit Sign",1,IF(VLOOKUP(C213,xySpace_Type_Details,8,FALSE)="TRM",INDEX('General Information'!$AF$17:$AG$28,12,MATCH(N213,'General Information'!$AF$16:$AG$16,0)),HLOOKUP(VLOOKUP(C213,xySpace_Type_Details,8,FALSE),'General Information'!$P$15:$AG$28,14,FALSE)))),"")</f>
        <v/>
      </c>
      <c r="V213" s="542" t="str">
        <f>IFERROR(VLOOKUP(INDEX(xySpace_Type_Details,MATCH($C213,'General Information'!$C$40:$C$60,0),12),Lookups!$L$8:$N$12,2,FALSE),"")</f>
        <v/>
      </c>
      <c r="W213" s="542" t="str">
        <f>IFERROR(VLOOKUP(INDEX(xySpace_Type_Details,MATCH($C213,'General Information'!$C$40:$C$60,0),12),Lookups!$L$8:$N$12,3,FALSE),"")</f>
        <v/>
      </c>
      <c r="Y213" s="542" t="str">
        <f>IFERROR(IF(C213="","",IF(INDEX(xyWattage_Table,MATCH(M213,'Fixture Identities'!$B$9:$B$997,0),2)="Exit Sign",0,IF(PRJ_Type="Retrofit",VLOOKUP(I213,xySVG_Factors,2,FALSE),IF(AND(PRJ_Type="New Construction",Inventory!C210="N"),VLOOKUP(VLOOKUP(Building_Type,xyLPD_BuildingArea,5,FALSE),xySVG_Factors_NC,3,FALSE),0)))),"")</f>
        <v/>
      </c>
      <c r="Z213" s="544" t="str">
        <f>IFERROR(IF(C213="","",IF(INDEX(xyWattage_Table,MATCH(M213,'Fixture Identities'!$B$9:$B$997,0),2)="Exit Sign",0,VLOOKUP(S213,xySVG_Factors,2,FALSE))),"")</f>
        <v/>
      </c>
      <c r="AA213" s="545" t="str">
        <f t="shared" si="95"/>
        <v/>
      </c>
      <c r="AB213" s="542" t="str">
        <f t="shared" si="96"/>
        <v/>
      </c>
      <c r="AC213" s="539" t="str">
        <f t="shared" si="97"/>
        <v/>
      </c>
      <c r="AD213" s="546" t="str">
        <f t="shared" si="98"/>
        <v/>
      </c>
      <c r="AE213" s="539" t="str">
        <f t="shared" si="99"/>
        <v/>
      </c>
      <c r="AF213" s="546" t="str">
        <f t="shared" si="100"/>
        <v/>
      </c>
      <c r="AG213" s="539" t="str">
        <f t="shared" si="101"/>
        <v/>
      </c>
      <c r="AH213" s="32">
        <f t="shared" si="82"/>
        <v>0</v>
      </c>
      <c r="AI213" s="32">
        <f t="shared" si="83"/>
        <v>0</v>
      </c>
      <c r="AJ213" s="32">
        <f t="shared" si="84"/>
        <v>0</v>
      </c>
      <c r="AK213" t="str">
        <f t="shared" si="85"/>
        <v/>
      </c>
      <c r="AL213" t="str">
        <f t="shared" si="86"/>
        <v/>
      </c>
      <c r="AM213" t="str">
        <f t="shared" si="87"/>
        <v/>
      </c>
      <c r="AO213" t="str">
        <f>IFERROR(VLOOKUP(M213,'Fixture Identities'!$B$9:$O$1045,14,FALSE),"")</f>
        <v/>
      </c>
      <c r="AP213" t="str">
        <f t="shared" si="81"/>
        <v/>
      </c>
    </row>
    <row r="214" spans="1:42">
      <c r="A214" s="71">
        <f t="shared" si="102"/>
        <v>0</v>
      </c>
      <c r="B214" s="513">
        <f t="shared" si="88"/>
        <v>202</v>
      </c>
      <c r="C214" s="530" t="str">
        <f>IF(Inventory!E211="","",Inventory!E211)</f>
        <v/>
      </c>
      <c r="D214" s="531">
        <f>IF(Inventory!D211="",0,Inventory!D211)</f>
        <v>0</v>
      </c>
      <c r="E214" s="532" t="str">
        <f>IF(Inventory!I211=0,"",Inventory!I211)</f>
        <v/>
      </c>
      <c r="F214" s="533" t="str">
        <f t="shared" si="89"/>
        <v/>
      </c>
      <c r="G214" s="534" t="str">
        <f>IF(Inventory!G211="","",Inventory!G211)</f>
        <v/>
      </c>
      <c r="H214" s="535" t="str">
        <f t="shared" si="90"/>
        <v/>
      </c>
      <c r="I214" s="536" t="str">
        <f>IF(Inventory!J211="","",Inventory!J211)</f>
        <v/>
      </c>
      <c r="J214" s="537" t="str">
        <f>IFERROR(IF(PRJ_Type="New Construction",IF(Inventory!C211="N",INDEX(xyLPD_BuildingArea,MATCH(Building_Type,Lookups!$F$37:$F$75,0),4),INDEX(xyLPD_SpaceBySpace,MATCH(INDEX(xyNCEx,MATCH(I214,yNCExArea,0),2),ySpace_by_Space_Type,0),2)),VLOOKUP(E214,xyWattage_Table,11,FALSE)),"")</f>
        <v/>
      </c>
      <c r="K214" s="538" t="str">
        <f>IFERROR(IF(AND(NC_Type="Building Area Method",Inventory!C211="N"),IF(ISERROR(INDEX('Usage Groups (&gt;120 MWh only)'!$N$8:$N$12,MATCH(C214,'Usage Groups (&gt;120 MWh only)'!$B$8:$B$12,0),1))=TRUE,SqFt/COUNTIFS(Inventory!$C$10:$C$1009,"N",$Q$13:$Q$1012,"&gt;=0"),INDEX('Usage Groups (&gt;120 MWh only)'!$N$8:$N$12,MATCH(C214,'Usage Groups (&gt;120 MWh only)'!$B$8:$B$12,0),1)/COUNTIF($C$13:$C$1012,C214)),IF(AND(NC_Type="Building Area Method",Inventory!C211="Y"),INDEX(xyNCEx,MATCH(I214,yNCExArea,0),3)/COUNTIF($I$13:$I$1012,I214),VLOOKUP(J214,xyWattage_Table,10,FALSE))),"")</f>
        <v/>
      </c>
      <c r="L214" s="539" t="str">
        <f t="shared" si="91"/>
        <v/>
      </c>
      <c r="M214" s="540">
        <f>IF(Inventory!N211="","",Inventory!N211)</f>
        <v>0</v>
      </c>
      <c r="N214" s="533" t="str">
        <f t="shared" si="92"/>
        <v/>
      </c>
      <c r="O214" s="534"/>
      <c r="P214" s="533" t="str">
        <f t="shared" si="93"/>
        <v/>
      </c>
      <c r="Q214" s="534" t="str">
        <f>IF(Inventory!L211="","",Inventory!L211)</f>
        <v/>
      </c>
      <c r="R214" s="535" t="str">
        <f t="shared" si="94"/>
        <v/>
      </c>
      <c r="S214" s="536" t="str">
        <f>IF(Inventory!O211="","",Inventory!O211)</f>
        <v/>
      </c>
      <c r="T214" s="541" t="str">
        <f>IFERROR(IF(C214="","",IF(INDEX(xyWattage_Table,MATCH(M214,'Fixture Identities'!$B$9:$B$997,0),2)="Exit Sign",8760,IF(VLOOKUP(C214,xySpace_Type_Details,8,FALSE)="TRM",INDEX('General Information'!$AF$17:$AG$28,11,MATCH(N214,'General Information'!$AF$16:$AG$16,0)),HLOOKUP(VLOOKUP(C214,xySpace_Type_Details,8,FALSE),'General Information'!$P$15:$AG$28,13,FALSE)))),"")</f>
        <v/>
      </c>
      <c r="U214" s="542" t="str">
        <f>IFERROR(IF(C214="","",IF(INDEX(xyWattage_Table,MATCH(M214,'Fixture Identities'!$B$9:$B$997,0),2)="Exit Sign",1,IF(VLOOKUP(C214,xySpace_Type_Details,8,FALSE)="TRM",INDEX('General Information'!$AF$17:$AG$28,12,MATCH(N214,'General Information'!$AF$16:$AG$16,0)),HLOOKUP(VLOOKUP(C214,xySpace_Type_Details,8,FALSE),'General Information'!$P$15:$AG$28,14,FALSE)))),"")</f>
        <v/>
      </c>
      <c r="V214" s="542" t="str">
        <f>IFERROR(VLOOKUP(INDEX(xySpace_Type_Details,MATCH($C214,'General Information'!$C$40:$C$60,0),12),Lookups!$L$8:$N$12,2,FALSE),"")</f>
        <v/>
      </c>
      <c r="W214" s="542" t="str">
        <f>IFERROR(VLOOKUP(INDEX(xySpace_Type_Details,MATCH($C214,'General Information'!$C$40:$C$60,0),12),Lookups!$L$8:$N$12,3,FALSE),"")</f>
        <v/>
      </c>
      <c r="Y214" s="542" t="str">
        <f>IFERROR(IF(C214="","",IF(INDEX(xyWattage_Table,MATCH(M214,'Fixture Identities'!$B$9:$B$997,0),2)="Exit Sign",0,IF(PRJ_Type="Retrofit",VLOOKUP(I214,xySVG_Factors,2,FALSE),IF(AND(PRJ_Type="New Construction",Inventory!C211="N"),VLOOKUP(VLOOKUP(Building_Type,xyLPD_BuildingArea,5,FALSE),xySVG_Factors_NC,3,FALSE),0)))),"")</f>
        <v/>
      </c>
      <c r="Z214" s="544" t="str">
        <f>IFERROR(IF(C214="","",IF(INDEX(xyWattage_Table,MATCH(M214,'Fixture Identities'!$B$9:$B$997,0),2)="Exit Sign",0,VLOOKUP(S214,xySVG_Factors,2,FALSE))),"")</f>
        <v/>
      </c>
      <c r="AA214" s="545" t="str">
        <f t="shared" si="95"/>
        <v/>
      </c>
      <c r="AB214" s="542" t="str">
        <f t="shared" si="96"/>
        <v/>
      </c>
      <c r="AC214" s="539" t="str">
        <f t="shared" si="97"/>
        <v/>
      </c>
      <c r="AD214" s="546" t="str">
        <f t="shared" si="98"/>
        <v/>
      </c>
      <c r="AE214" s="539" t="str">
        <f t="shared" si="99"/>
        <v/>
      </c>
      <c r="AF214" s="546" t="str">
        <f t="shared" si="100"/>
        <v/>
      </c>
      <c r="AG214" s="539" t="str">
        <f t="shared" si="101"/>
        <v/>
      </c>
      <c r="AH214" s="32">
        <f t="shared" si="82"/>
        <v>0</v>
      </c>
      <c r="AI214" s="32">
        <f t="shared" si="83"/>
        <v>0</v>
      </c>
      <c r="AJ214" s="32">
        <f t="shared" si="84"/>
        <v>0</v>
      </c>
      <c r="AK214" t="str">
        <f t="shared" si="85"/>
        <v/>
      </c>
      <c r="AL214" t="str">
        <f t="shared" si="86"/>
        <v/>
      </c>
      <c r="AM214" t="str">
        <f t="shared" si="87"/>
        <v/>
      </c>
      <c r="AO214" t="str">
        <f>IFERROR(VLOOKUP(M214,'Fixture Identities'!$B$9:$O$1045,14,FALSE),"")</f>
        <v/>
      </c>
      <c r="AP214" t="str">
        <f t="shared" si="81"/>
        <v/>
      </c>
    </row>
    <row r="215" spans="1:42">
      <c r="A215" s="71">
        <f t="shared" si="102"/>
        <v>0</v>
      </c>
      <c r="B215" s="513">
        <f t="shared" si="88"/>
        <v>203</v>
      </c>
      <c r="C215" s="530" t="str">
        <f>IF(Inventory!E212="","",Inventory!E212)</f>
        <v/>
      </c>
      <c r="D215" s="531">
        <f>IF(Inventory!D212="",0,Inventory!D212)</f>
        <v>0</v>
      </c>
      <c r="E215" s="532" t="str">
        <f>IF(Inventory!I212=0,"",Inventory!I212)</f>
        <v/>
      </c>
      <c r="F215" s="533" t="str">
        <f t="shared" si="89"/>
        <v/>
      </c>
      <c r="G215" s="534" t="str">
        <f>IF(Inventory!G212="","",Inventory!G212)</f>
        <v/>
      </c>
      <c r="H215" s="535" t="str">
        <f t="shared" si="90"/>
        <v/>
      </c>
      <c r="I215" s="536" t="str">
        <f>IF(Inventory!J212="","",Inventory!J212)</f>
        <v/>
      </c>
      <c r="J215" s="537" t="str">
        <f>IFERROR(IF(PRJ_Type="New Construction",IF(Inventory!C212="N",INDEX(xyLPD_BuildingArea,MATCH(Building_Type,Lookups!$F$37:$F$75,0),4),INDEX(xyLPD_SpaceBySpace,MATCH(INDEX(xyNCEx,MATCH(I215,yNCExArea,0),2),ySpace_by_Space_Type,0),2)),VLOOKUP(E215,xyWattage_Table,11,FALSE)),"")</f>
        <v/>
      </c>
      <c r="K215" s="538" t="str">
        <f>IFERROR(IF(AND(NC_Type="Building Area Method",Inventory!C212="N"),IF(ISERROR(INDEX('Usage Groups (&gt;120 MWh only)'!$N$8:$N$12,MATCH(C215,'Usage Groups (&gt;120 MWh only)'!$B$8:$B$12,0),1))=TRUE,SqFt/COUNTIFS(Inventory!$C$10:$C$1009,"N",$Q$13:$Q$1012,"&gt;=0"),INDEX('Usage Groups (&gt;120 MWh only)'!$N$8:$N$12,MATCH(C215,'Usage Groups (&gt;120 MWh only)'!$B$8:$B$12,0),1)/COUNTIF($C$13:$C$1012,C215)),IF(AND(NC_Type="Building Area Method",Inventory!C212="Y"),INDEX(xyNCEx,MATCH(I215,yNCExArea,0),3)/COUNTIF($I$13:$I$1012,I215),VLOOKUP(J215,xyWattage_Table,10,FALSE))),"")</f>
        <v/>
      </c>
      <c r="L215" s="539" t="str">
        <f t="shared" si="91"/>
        <v/>
      </c>
      <c r="M215" s="540">
        <f>IF(Inventory!N212="","",Inventory!N212)</f>
        <v>0</v>
      </c>
      <c r="N215" s="533" t="str">
        <f t="shared" si="92"/>
        <v/>
      </c>
      <c r="O215" s="534"/>
      <c r="P215" s="533" t="str">
        <f t="shared" si="93"/>
        <v/>
      </c>
      <c r="Q215" s="534" t="str">
        <f>IF(Inventory!L212="","",Inventory!L212)</f>
        <v/>
      </c>
      <c r="R215" s="535" t="str">
        <f t="shared" si="94"/>
        <v/>
      </c>
      <c r="S215" s="536" t="str">
        <f>IF(Inventory!O212="","",Inventory!O212)</f>
        <v/>
      </c>
      <c r="T215" s="541" t="str">
        <f>IFERROR(IF(C215="","",IF(INDEX(xyWattage_Table,MATCH(M215,'Fixture Identities'!$B$9:$B$997,0),2)="Exit Sign",8760,IF(VLOOKUP(C215,xySpace_Type_Details,8,FALSE)="TRM",INDEX('General Information'!$AF$17:$AG$28,11,MATCH(N215,'General Information'!$AF$16:$AG$16,0)),HLOOKUP(VLOOKUP(C215,xySpace_Type_Details,8,FALSE),'General Information'!$P$15:$AG$28,13,FALSE)))),"")</f>
        <v/>
      </c>
      <c r="U215" s="542" t="str">
        <f>IFERROR(IF(C215="","",IF(INDEX(xyWattage_Table,MATCH(M215,'Fixture Identities'!$B$9:$B$997,0),2)="Exit Sign",1,IF(VLOOKUP(C215,xySpace_Type_Details,8,FALSE)="TRM",INDEX('General Information'!$AF$17:$AG$28,12,MATCH(N215,'General Information'!$AF$16:$AG$16,0)),HLOOKUP(VLOOKUP(C215,xySpace_Type_Details,8,FALSE),'General Information'!$P$15:$AG$28,14,FALSE)))),"")</f>
        <v/>
      </c>
      <c r="V215" s="542" t="str">
        <f>IFERROR(VLOOKUP(INDEX(xySpace_Type_Details,MATCH($C215,'General Information'!$C$40:$C$60,0),12),Lookups!$L$8:$N$12,2,FALSE),"")</f>
        <v/>
      </c>
      <c r="W215" s="542" t="str">
        <f>IFERROR(VLOOKUP(INDEX(xySpace_Type_Details,MATCH($C215,'General Information'!$C$40:$C$60,0),12),Lookups!$L$8:$N$12,3,FALSE),"")</f>
        <v/>
      </c>
      <c r="Y215" s="542" t="str">
        <f>IFERROR(IF(C215="","",IF(INDEX(xyWattage_Table,MATCH(M215,'Fixture Identities'!$B$9:$B$997,0),2)="Exit Sign",0,IF(PRJ_Type="Retrofit",VLOOKUP(I215,xySVG_Factors,2,FALSE),IF(AND(PRJ_Type="New Construction",Inventory!C212="N"),VLOOKUP(VLOOKUP(Building_Type,xyLPD_BuildingArea,5,FALSE),xySVG_Factors_NC,3,FALSE),0)))),"")</f>
        <v/>
      </c>
      <c r="Z215" s="544" t="str">
        <f>IFERROR(IF(C215="","",IF(INDEX(xyWattage_Table,MATCH(M215,'Fixture Identities'!$B$9:$B$997,0),2)="Exit Sign",0,VLOOKUP(S215,xySVG_Factors,2,FALSE))),"")</f>
        <v/>
      </c>
      <c r="AA215" s="545" t="str">
        <f t="shared" si="95"/>
        <v/>
      </c>
      <c r="AB215" s="542" t="str">
        <f t="shared" si="96"/>
        <v/>
      </c>
      <c r="AC215" s="539" t="str">
        <f t="shared" si="97"/>
        <v/>
      </c>
      <c r="AD215" s="546" t="str">
        <f t="shared" si="98"/>
        <v/>
      </c>
      <c r="AE215" s="539" t="str">
        <f t="shared" si="99"/>
        <v/>
      </c>
      <c r="AF215" s="546" t="str">
        <f t="shared" si="100"/>
        <v/>
      </c>
      <c r="AG215" s="539" t="str">
        <f t="shared" si="101"/>
        <v/>
      </c>
      <c r="AH215" s="32">
        <f t="shared" si="82"/>
        <v>0</v>
      </c>
      <c r="AI215" s="32">
        <f t="shared" si="83"/>
        <v>0</v>
      </c>
      <c r="AJ215" s="32">
        <f t="shared" si="84"/>
        <v>0</v>
      </c>
      <c r="AK215" t="str">
        <f t="shared" si="85"/>
        <v/>
      </c>
      <c r="AL215" t="str">
        <f t="shared" si="86"/>
        <v/>
      </c>
      <c r="AM215" t="str">
        <f t="shared" si="87"/>
        <v/>
      </c>
      <c r="AO215" t="str">
        <f>IFERROR(VLOOKUP(M215,'Fixture Identities'!$B$9:$O$1045,14,FALSE),"")</f>
        <v/>
      </c>
      <c r="AP215" t="str">
        <f t="shared" si="81"/>
        <v/>
      </c>
    </row>
    <row r="216" spans="1:42">
      <c r="A216" s="71">
        <f t="shared" si="102"/>
        <v>0</v>
      </c>
      <c r="B216" s="513">
        <f t="shared" si="88"/>
        <v>204</v>
      </c>
      <c r="C216" s="530" t="str">
        <f>IF(Inventory!E213="","",Inventory!E213)</f>
        <v/>
      </c>
      <c r="D216" s="531">
        <f>IF(Inventory!D213="",0,Inventory!D213)</f>
        <v>0</v>
      </c>
      <c r="E216" s="532" t="str">
        <f>IF(Inventory!I213=0,"",Inventory!I213)</f>
        <v/>
      </c>
      <c r="F216" s="533" t="str">
        <f t="shared" si="89"/>
        <v/>
      </c>
      <c r="G216" s="534" t="str">
        <f>IF(Inventory!G213="","",Inventory!G213)</f>
        <v/>
      </c>
      <c r="H216" s="535" t="str">
        <f t="shared" si="90"/>
        <v/>
      </c>
      <c r="I216" s="536" t="str">
        <f>IF(Inventory!J213="","",Inventory!J213)</f>
        <v/>
      </c>
      <c r="J216" s="537" t="str">
        <f>IFERROR(IF(PRJ_Type="New Construction",IF(Inventory!C213="N",INDEX(xyLPD_BuildingArea,MATCH(Building_Type,Lookups!$F$37:$F$75,0),4),INDEX(xyLPD_SpaceBySpace,MATCH(INDEX(xyNCEx,MATCH(I216,yNCExArea,0),2),ySpace_by_Space_Type,0),2)),VLOOKUP(E216,xyWattage_Table,11,FALSE)),"")</f>
        <v/>
      </c>
      <c r="K216" s="538" t="str">
        <f>IFERROR(IF(AND(NC_Type="Building Area Method",Inventory!C213="N"),IF(ISERROR(INDEX('Usage Groups (&gt;120 MWh only)'!$N$8:$N$12,MATCH(C216,'Usage Groups (&gt;120 MWh only)'!$B$8:$B$12,0),1))=TRUE,SqFt/COUNTIFS(Inventory!$C$10:$C$1009,"N",$Q$13:$Q$1012,"&gt;=0"),INDEX('Usage Groups (&gt;120 MWh only)'!$N$8:$N$12,MATCH(C216,'Usage Groups (&gt;120 MWh only)'!$B$8:$B$12,0),1)/COUNTIF($C$13:$C$1012,C216)),IF(AND(NC_Type="Building Area Method",Inventory!C213="Y"),INDEX(xyNCEx,MATCH(I216,yNCExArea,0),3)/COUNTIF($I$13:$I$1012,I216),VLOOKUP(J216,xyWattage_Table,10,FALSE))),"")</f>
        <v/>
      </c>
      <c r="L216" s="539" t="str">
        <f t="shared" si="91"/>
        <v/>
      </c>
      <c r="M216" s="540">
        <f>IF(Inventory!N213="","",Inventory!N213)</f>
        <v>0</v>
      </c>
      <c r="N216" s="533" t="str">
        <f t="shared" si="92"/>
        <v/>
      </c>
      <c r="O216" s="534"/>
      <c r="P216" s="533" t="str">
        <f t="shared" si="93"/>
        <v/>
      </c>
      <c r="Q216" s="534" t="str">
        <f>IF(Inventory!L213="","",Inventory!L213)</f>
        <v/>
      </c>
      <c r="R216" s="535" t="str">
        <f t="shared" si="94"/>
        <v/>
      </c>
      <c r="S216" s="536" t="str">
        <f>IF(Inventory!O213="","",Inventory!O213)</f>
        <v/>
      </c>
      <c r="T216" s="541" t="str">
        <f>IFERROR(IF(C216="","",IF(INDEX(xyWattage_Table,MATCH(M216,'Fixture Identities'!$B$9:$B$997,0),2)="Exit Sign",8760,IF(VLOOKUP(C216,xySpace_Type_Details,8,FALSE)="TRM",INDEX('General Information'!$AF$17:$AG$28,11,MATCH(N216,'General Information'!$AF$16:$AG$16,0)),HLOOKUP(VLOOKUP(C216,xySpace_Type_Details,8,FALSE),'General Information'!$P$15:$AG$28,13,FALSE)))),"")</f>
        <v/>
      </c>
      <c r="U216" s="542" t="str">
        <f>IFERROR(IF(C216="","",IF(INDEX(xyWattage_Table,MATCH(M216,'Fixture Identities'!$B$9:$B$997,0),2)="Exit Sign",1,IF(VLOOKUP(C216,xySpace_Type_Details,8,FALSE)="TRM",INDEX('General Information'!$AF$17:$AG$28,12,MATCH(N216,'General Information'!$AF$16:$AG$16,0)),HLOOKUP(VLOOKUP(C216,xySpace_Type_Details,8,FALSE),'General Information'!$P$15:$AG$28,14,FALSE)))),"")</f>
        <v/>
      </c>
      <c r="V216" s="542" t="str">
        <f>IFERROR(VLOOKUP(INDEX(xySpace_Type_Details,MATCH($C216,'General Information'!$C$40:$C$60,0),12),Lookups!$L$8:$N$12,2,FALSE),"")</f>
        <v/>
      </c>
      <c r="W216" s="542" t="str">
        <f>IFERROR(VLOOKUP(INDEX(xySpace_Type_Details,MATCH($C216,'General Information'!$C$40:$C$60,0),12),Lookups!$L$8:$N$12,3,FALSE),"")</f>
        <v/>
      </c>
      <c r="Y216" s="542" t="str">
        <f>IFERROR(IF(C216="","",IF(INDEX(xyWattage_Table,MATCH(M216,'Fixture Identities'!$B$9:$B$997,0),2)="Exit Sign",0,IF(PRJ_Type="Retrofit",VLOOKUP(I216,xySVG_Factors,2,FALSE),IF(AND(PRJ_Type="New Construction",Inventory!C213="N"),VLOOKUP(VLOOKUP(Building_Type,xyLPD_BuildingArea,5,FALSE),xySVG_Factors_NC,3,FALSE),0)))),"")</f>
        <v/>
      </c>
      <c r="Z216" s="544" t="str">
        <f>IFERROR(IF(C216="","",IF(INDEX(xyWattage_Table,MATCH(M216,'Fixture Identities'!$B$9:$B$997,0),2)="Exit Sign",0,VLOOKUP(S216,xySVG_Factors,2,FALSE))),"")</f>
        <v/>
      </c>
      <c r="AA216" s="545" t="str">
        <f t="shared" si="95"/>
        <v/>
      </c>
      <c r="AB216" s="542" t="str">
        <f t="shared" si="96"/>
        <v/>
      </c>
      <c r="AC216" s="539" t="str">
        <f t="shared" si="97"/>
        <v/>
      </c>
      <c r="AD216" s="546" t="str">
        <f t="shared" si="98"/>
        <v/>
      </c>
      <c r="AE216" s="539" t="str">
        <f t="shared" si="99"/>
        <v/>
      </c>
      <c r="AF216" s="546" t="str">
        <f t="shared" si="100"/>
        <v/>
      </c>
      <c r="AG216" s="539" t="str">
        <f t="shared" si="101"/>
        <v/>
      </c>
      <c r="AH216" s="32">
        <f t="shared" si="82"/>
        <v>0</v>
      </c>
      <c r="AI216" s="32">
        <f t="shared" si="83"/>
        <v>0</v>
      </c>
      <c r="AJ216" s="32">
        <f t="shared" si="84"/>
        <v>0</v>
      </c>
      <c r="AK216" t="str">
        <f t="shared" si="85"/>
        <v/>
      </c>
      <c r="AL216" t="str">
        <f t="shared" si="86"/>
        <v/>
      </c>
      <c r="AM216" t="str">
        <f t="shared" si="87"/>
        <v/>
      </c>
      <c r="AO216" t="str">
        <f>IFERROR(VLOOKUP(M216,'Fixture Identities'!$B$9:$O$1045,14,FALSE),"")</f>
        <v/>
      </c>
      <c r="AP216" t="str">
        <f t="shared" si="81"/>
        <v/>
      </c>
    </row>
    <row r="217" spans="1:42">
      <c r="A217" s="71">
        <f t="shared" si="102"/>
        <v>0</v>
      </c>
      <c r="B217" s="513">
        <f t="shared" si="88"/>
        <v>205</v>
      </c>
      <c r="C217" s="530" t="str">
        <f>IF(Inventory!E214="","",Inventory!E214)</f>
        <v/>
      </c>
      <c r="D217" s="531">
        <f>IF(Inventory!D214="",0,Inventory!D214)</f>
        <v>0</v>
      </c>
      <c r="E217" s="532" t="str">
        <f>IF(Inventory!I214=0,"",Inventory!I214)</f>
        <v/>
      </c>
      <c r="F217" s="533" t="str">
        <f t="shared" si="89"/>
        <v/>
      </c>
      <c r="G217" s="534" t="str">
        <f>IF(Inventory!G214="","",Inventory!G214)</f>
        <v/>
      </c>
      <c r="H217" s="535" t="str">
        <f t="shared" si="90"/>
        <v/>
      </c>
      <c r="I217" s="536" t="str">
        <f>IF(Inventory!J214="","",Inventory!J214)</f>
        <v/>
      </c>
      <c r="J217" s="537" t="str">
        <f>IFERROR(IF(PRJ_Type="New Construction",IF(Inventory!C214="N",INDEX(xyLPD_BuildingArea,MATCH(Building_Type,Lookups!$F$37:$F$75,0),4),INDEX(xyLPD_SpaceBySpace,MATCH(INDEX(xyNCEx,MATCH(I217,yNCExArea,0),2),ySpace_by_Space_Type,0),2)),VLOOKUP(E217,xyWattage_Table,11,FALSE)),"")</f>
        <v/>
      </c>
      <c r="K217" s="538" t="str">
        <f>IFERROR(IF(AND(NC_Type="Building Area Method",Inventory!C214="N"),IF(ISERROR(INDEX('Usage Groups (&gt;120 MWh only)'!$N$8:$N$12,MATCH(C217,'Usage Groups (&gt;120 MWh only)'!$B$8:$B$12,0),1))=TRUE,SqFt/COUNTIFS(Inventory!$C$10:$C$1009,"N",$Q$13:$Q$1012,"&gt;=0"),INDEX('Usage Groups (&gt;120 MWh only)'!$N$8:$N$12,MATCH(C217,'Usage Groups (&gt;120 MWh only)'!$B$8:$B$12,0),1)/COUNTIF($C$13:$C$1012,C217)),IF(AND(NC_Type="Building Area Method",Inventory!C214="Y"),INDEX(xyNCEx,MATCH(I217,yNCExArea,0),3)/COUNTIF($I$13:$I$1012,I217),VLOOKUP(J217,xyWattage_Table,10,FALSE))),"")</f>
        <v/>
      </c>
      <c r="L217" s="539" t="str">
        <f t="shared" si="91"/>
        <v/>
      </c>
      <c r="M217" s="540">
        <f>IF(Inventory!N214="","",Inventory!N214)</f>
        <v>0</v>
      </c>
      <c r="N217" s="533" t="str">
        <f t="shared" si="92"/>
        <v/>
      </c>
      <c r="O217" s="534"/>
      <c r="P217" s="533" t="str">
        <f t="shared" si="93"/>
        <v/>
      </c>
      <c r="Q217" s="534" t="str">
        <f>IF(Inventory!L214="","",Inventory!L214)</f>
        <v/>
      </c>
      <c r="R217" s="535" t="str">
        <f t="shared" si="94"/>
        <v/>
      </c>
      <c r="S217" s="536" t="str">
        <f>IF(Inventory!O214="","",Inventory!O214)</f>
        <v/>
      </c>
      <c r="T217" s="541" t="str">
        <f>IFERROR(IF(C217="","",IF(INDEX(xyWattage_Table,MATCH(M217,'Fixture Identities'!$B$9:$B$997,0),2)="Exit Sign",8760,IF(VLOOKUP(C217,xySpace_Type_Details,8,FALSE)="TRM",INDEX('General Information'!$AF$17:$AG$28,11,MATCH(N217,'General Information'!$AF$16:$AG$16,0)),HLOOKUP(VLOOKUP(C217,xySpace_Type_Details,8,FALSE),'General Information'!$P$15:$AG$28,13,FALSE)))),"")</f>
        <v/>
      </c>
      <c r="U217" s="542" t="str">
        <f>IFERROR(IF(C217="","",IF(INDEX(xyWattage_Table,MATCH(M217,'Fixture Identities'!$B$9:$B$997,0),2)="Exit Sign",1,IF(VLOOKUP(C217,xySpace_Type_Details,8,FALSE)="TRM",INDEX('General Information'!$AF$17:$AG$28,12,MATCH(N217,'General Information'!$AF$16:$AG$16,0)),HLOOKUP(VLOOKUP(C217,xySpace_Type_Details,8,FALSE),'General Information'!$P$15:$AG$28,14,FALSE)))),"")</f>
        <v/>
      </c>
      <c r="V217" s="542" t="str">
        <f>IFERROR(VLOOKUP(INDEX(xySpace_Type_Details,MATCH($C217,'General Information'!$C$40:$C$60,0),12),Lookups!$L$8:$N$12,2,FALSE),"")</f>
        <v/>
      </c>
      <c r="W217" s="542" t="str">
        <f>IFERROR(VLOOKUP(INDEX(xySpace_Type_Details,MATCH($C217,'General Information'!$C$40:$C$60,0),12),Lookups!$L$8:$N$12,3,FALSE),"")</f>
        <v/>
      </c>
      <c r="Y217" s="542" t="str">
        <f>IFERROR(IF(C217="","",IF(INDEX(xyWattage_Table,MATCH(M217,'Fixture Identities'!$B$9:$B$997,0),2)="Exit Sign",0,IF(PRJ_Type="Retrofit",VLOOKUP(I217,xySVG_Factors,2,FALSE),IF(AND(PRJ_Type="New Construction",Inventory!C214="N"),VLOOKUP(VLOOKUP(Building_Type,xyLPD_BuildingArea,5,FALSE),xySVG_Factors_NC,3,FALSE),0)))),"")</f>
        <v/>
      </c>
      <c r="Z217" s="544" t="str">
        <f>IFERROR(IF(C217="","",IF(INDEX(xyWattage_Table,MATCH(M217,'Fixture Identities'!$B$9:$B$997,0),2)="Exit Sign",0,VLOOKUP(S217,xySVG_Factors,2,FALSE))),"")</f>
        <v/>
      </c>
      <c r="AA217" s="545" t="str">
        <f t="shared" si="95"/>
        <v/>
      </c>
      <c r="AB217" s="542" t="str">
        <f t="shared" si="96"/>
        <v/>
      </c>
      <c r="AC217" s="539" t="str">
        <f t="shared" si="97"/>
        <v/>
      </c>
      <c r="AD217" s="546" t="str">
        <f t="shared" si="98"/>
        <v/>
      </c>
      <c r="AE217" s="539" t="str">
        <f t="shared" si="99"/>
        <v/>
      </c>
      <c r="AF217" s="546" t="str">
        <f t="shared" si="100"/>
        <v/>
      </c>
      <c r="AG217" s="539" t="str">
        <f t="shared" si="101"/>
        <v/>
      </c>
      <c r="AH217" s="32">
        <f t="shared" si="82"/>
        <v>0</v>
      </c>
      <c r="AI217" s="32">
        <f t="shared" si="83"/>
        <v>0</v>
      </c>
      <c r="AJ217" s="32">
        <f t="shared" si="84"/>
        <v>0</v>
      </c>
      <c r="AK217" t="str">
        <f t="shared" si="85"/>
        <v/>
      </c>
      <c r="AL217" t="str">
        <f t="shared" si="86"/>
        <v/>
      </c>
      <c r="AM217" t="str">
        <f t="shared" si="87"/>
        <v/>
      </c>
      <c r="AO217" t="str">
        <f>IFERROR(VLOOKUP(M217,'Fixture Identities'!$B$9:$O$1045,14,FALSE),"")</f>
        <v/>
      </c>
      <c r="AP217" t="str">
        <f t="shared" si="81"/>
        <v/>
      </c>
    </row>
    <row r="218" spans="1:42">
      <c r="A218" s="71">
        <f t="shared" si="102"/>
        <v>0</v>
      </c>
      <c r="B218" s="513">
        <f t="shared" si="88"/>
        <v>206</v>
      </c>
      <c r="C218" s="530" t="str">
        <f>IF(Inventory!E215="","",Inventory!E215)</f>
        <v/>
      </c>
      <c r="D218" s="531">
        <f>IF(Inventory!D215="",0,Inventory!D215)</f>
        <v>0</v>
      </c>
      <c r="E218" s="532" t="str">
        <f>IF(Inventory!I215=0,"",Inventory!I215)</f>
        <v/>
      </c>
      <c r="F218" s="533" t="str">
        <f t="shared" si="89"/>
        <v/>
      </c>
      <c r="G218" s="534" t="str">
        <f>IF(Inventory!G215="","",Inventory!G215)</f>
        <v/>
      </c>
      <c r="H218" s="535" t="str">
        <f t="shared" si="90"/>
        <v/>
      </c>
      <c r="I218" s="536" t="str">
        <f>IF(Inventory!J215="","",Inventory!J215)</f>
        <v/>
      </c>
      <c r="J218" s="537" t="str">
        <f>IFERROR(IF(PRJ_Type="New Construction",IF(Inventory!C215="N",INDEX(xyLPD_BuildingArea,MATCH(Building_Type,Lookups!$F$37:$F$75,0),4),INDEX(xyLPD_SpaceBySpace,MATCH(INDEX(xyNCEx,MATCH(I218,yNCExArea,0),2),ySpace_by_Space_Type,0),2)),VLOOKUP(E218,xyWattage_Table,11,FALSE)),"")</f>
        <v/>
      </c>
      <c r="K218" s="538" t="str">
        <f>IFERROR(IF(AND(NC_Type="Building Area Method",Inventory!C215="N"),IF(ISERROR(INDEX('Usage Groups (&gt;120 MWh only)'!$N$8:$N$12,MATCH(C218,'Usage Groups (&gt;120 MWh only)'!$B$8:$B$12,0),1))=TRUE,SqFt/COUNTIFS(Inventory!$C$10:$C$1009,"N",$Q$13:$Q$1012,"&gt;=0"),INDEX('Usage Groups (&gt;120 MWh only)'!$N$8:$N$12,MATCH(C218,'Usage Groups (&gt;120 MWh only)'!$B$8:$B$12,0),1)/COUNTIF($C$13:$C$1012,C218)),IF(AND(NC_Type="Building Area Method",Inventory!C215="Y"),INDEX(xyNCEx,MATCH(I218,yNCExArea,0),3)/COUNTIF($I$13:$I$1012,I218),VLOOKUP(J218,xyWattage_Table,10,FALSE))),"")</f>
        <v/>
      </c>
      <c r="L218" s="539" t="str">
        <f t="shared" si="91"/>
        <v/>
      </c>
      <c r="M218" s="540">
        <f>IF(Inventory!N215="","",Inventory!N215)</f>
        <v>0</v>
      </c>
      <c r="N218" s="533" t="str">
        <f t="shared" si="92"/>
        <v/>
      </c>
      <c r="O218" s="534"/>
      <c r="P218" s="533" t="str">
        <f t="shared" si="93"/>
        <v/>
      </c>
      <c r="Q218" s="534" t="str">
        <f>IF(Inventory!L215="","",Inventory!L215)</f>
        <v/>
      </c>
      <c r="R218" s="535" t="str">
        <f t="shared" si="94"/>
        <v/>
      </c>
      <c r="S218" s="536" t="str">
        <f>IF(Inventory!O215="","",Inventory!O215)</f>
        <v/>
      </c>
      <c r="T218" s="541" t="str">
        <f>IFERROR(IF(C218="","",IF(INDEX(xyWattage_Table,MATCH(M218,'Fixture Identities'!$B$9:$B$997,0),2)="Exit Sign",8760,IF(VLOOKUP(C218,xySpace_Type_Details,8,FALSE)="TRM",INDEX('General Information'!$AF$17:$AG$28,11,MATCH(N218,'General Information'!$AF$16:$AG$16,0)),HLOOKUP(VLOOKUP(C218,xySpace_Type_Details,8,FALSE),'General Information'!$P$15:$AG$28,13,FALSE)))),"")</f>
        <v/>
      </c>
      <c r="U218" s="542" t="str">
        <f>IFERROR(IF(C218="","",IF(INDEX(xyWattage_Table,MATCH(M218,'Fixture Identities'!$B$9:$B$997,0),2)="Exit Sign",1,IF(VLOOKUP(C218,xySpace_Type_Details,8,FALSE)="TRM",INDEX('General Information'!$AF$17:$AG$28,12,MATCH(N218,'General Information'!$AF$16:$AG$16,0)),HLOOKUP(VLOOKUP(C218,xySpace_Type_Details,8,FALSE),'General Information'!$P$15:$AG$28,14,FALSE)))),"")</f>
        <v/>
      </c>
      <c r="V218" s="542" t="str">
        <f>IFERROR(VLOOKUP(INDEX(xySpace_Type_Details,MATCH($C218,'General Information'!$C$40:$C$60,0),12),Lookups!$L$8:$N$12,2,FALSE),"")</f>
        <v/>
      </c>
      <c r="W218" s="542" t="str">
        <f>IFERROR(VLOOKUP(INDEX(xySpace_Type_Details,MATCH($C218,'General Information'!$C$40:$C$60,0),12),Lookups!$L$8:$N$12,3,FALSE),"")</f>
        <v/>
      </c>
      <c r="Y218" s="542" t="str">
        <f>IFERROR(IF(C218="","",IF(INDEX(xyWattage_Table,MATCH(M218,'Fixture Identities'!$B$9:$B$997,0),2)="Exit Sign",0,IF(PRJ_Type="Retrofit",VLOOKUP(I218,xySVG_Factors,2,FALSE),IF(AND(PRJ_Type="New Construction",Inventory!C215="N"),VLOOKUP(VLOOKUP(Building_Type,xyLPD_BuildingArea,5,FALSE),xySVG_Factors_NC,3,FALSE),0)))),"")</f>
        <v/>
      </c>
      <c r="Z218" s="544" t="str">
        <f>IFERROR(IF(C218="","",IF(INDEX(xyWattage_Table,MATCH(M218,'Fixture Identities'!$B$9:$B$997,0),2)="Exit Sign",0,VLOOKUP(S218,xySVG_Factors,2,FALSE))),"")</f>
        <v/>
      </c>
      <c r="AA218" s="545" t="str">
        <f t="shared" si="95"/>
        <v/>
      </c>
      <c r="AB218" s="542" t="str">
        <f t="shared" si="96"/>
        <v/>
      </c>
      <c r="AC218" s="539" t="str">
        <f t="shared" si="97"/>
        <v/>
      </c>
      <c r="AD218" s="546" t="str">
        <f t="shared" si="98"/>
        <v/>
      </c>
      <c r="AE218" s="539" t="str">
        <f t="shared" si="99"/>
        <v/>
      </c>
      <c r="AF218" s="546" t="str">
        <f t="shared" si="100"/>
        <v/>
      </c>
      <c r="AG218" s="539" t="str">
        <f t="shared" si="101"/>
        <v/>
      </c>
      <c r="AH218" s="32">
        <f t="shared" si="82"/>
        <v>0</v>
      </c>
      <c r="AI218" s="32">
        <f t="shared" si="83"/>
        <v>0</v>
      </c>
      <c r="AJ218" s="32">
        <f t="shared" si="84"/>
        <v>0</v>
      </c>
      <c r="AK218" t="str">
        <f t="shared" si="85"/>
        <v/>
      </c>
      <c r="AL218" t="str">
        <f t="shared" si="86"/>
        <v/>
      </c>
      <c r="AM218" t="str">
        <f t="shared" si="87"/>
        <v/>
      </c>
      <c r="AO218" t="str">
        <f>IFERROR(VLOOKUP(M218,'Fixture Identities'!$B$9:$O$1045,14,FALSE),"")</f>
        <v/>
      </c>
      <c r="AP218" t="str">
        <f t="shared" si="81"/>
        <v/>
      </c>
    </row>
    <row r="219" spans="1:42">
      <c r="A219" s="71">
        <f t="shared" si="102"/>
        <v>0</v>
      </c>
      <c r="B219" s="513">
        <f t="shared" si="88"/>
        <v>207</v>
      </c>
      <c r="C219" s="530" t="str">
        <f>IF(Inventory!E216="","",Inventory!E216)</f>
        <v/>
      </c>
      <c r="D219" s="531">
        <f>IF(Inventory!D216="",0,Inventory!D216)</f>
        <v>0</v>
      </c>
      <c r="E219" s="532" t="str">
        <f>IF(Inventory!I216=0,"",Inventory!I216)</f>
        <v/>
      </c>
      <c r="F219" s="533" t="str">
        <f t="shared" si="89"/>
        <v/>
      </c>
      <c r="G219" s="534" t="str">
        <f>IF(Inventory!G216="","",Inventory!G216)</f>
        <v/>
      </c>
      <c r="H219" s="535" t="str">
        <f t="shared" si="90"/>
        <v/>
      </c>
      <c r="I219" s="536" t="str">
        <f>IF(Inventory!J216="","",Inventory!J216)</f>
        <v/>
      </c>
      <c r="J219" s="537" t="str">
        <f>IFERROR(IF(PRJ_Type="New Construction",IF(Inventory!C216="N",INDEX(xyLPD_BuildingArea,MATCH(Building_Type,Lookups!$F$37:$F$75,0),4),INDEX(xyLPD_SpaceBySpace,MATCH(INDEX(xyNCEx,MATCH(I219,yNCExArea,0),2),ySpace_by_Space_Type,0),2)),VLOOKUP(E219,xyWattage_Table,11,FALSE)),"")</f>
        <v/>
      </c>
      <c r="K219" s="538" t="str">
        <f>IFERROR(IF(AND(NC_Type="Building Area Method",Inventory!C216="N"),IF(ISERROR(INDEX('Usage Groups (&gt;120 MWh only)'!$N$8:$N$12,MATCH(C219,'Usage Groups (&gt;120 MWh only)'!$B$8:$B$12,0),1))=TRUE,SqFt/COUNTIFS(Inventory!$C$10:$C$1009,"N",$Q$13:$Q$1012,"&gt;=0"),INDEX('Usage Groups (&gt;120 MWh only)'!$N$8:$N$12,MATCH(C219,'Usage Groups (&gt;120 MWh only)'!$B$8:$B$12,0),1)/COUNTIF($C$13:$C$1012,C219)),IF(AND(NC_Type="Building Area Method",Inventory!C216="Y"),INDEX(xyNCEx,MATCH(I219,yNCExArea,0),3)/COUNTIF($I$13:$I$1012,I219),VLOOKUP(J219,xyWattage_Table,10,FALSE))),"")</f>
        <v/>
      </c>
      <c r="L219" s="539" t="str">
        <f t="shared" si="91"/>
        <v/>
      </c>
      <c r="M219" s="540">
        <f>IF(Inventory!N216="","",Inventory!N216)</f>
        <v>0</v>
      </c>
      <c r="N219" s="533" t="str">
        <f t="shared" si="92"/>
        <v/>
      </c>
      <c r="O219" s="534"/>
      <c r="P219" s="533" t="str">
        <f t="shared" si="93"/>
        <v/>
      </c>
      <c r="Q219" s="534" t="str">
        <f>IF(Inventory!L216="","",Inventory!L216)</f>
        <v/>
      </c>
      <c r="R219" s="535" t="str">
        <f t="shared" si="94"/>
        <v/>
      </c>
      <c r="S219" s="536" t="str">
        <f>IF(Inventory!O216="","",Inventory!O216)</f>
        <v/>
      </c>
      <c r="T219" s="541" t="str">
        <f>IFERROR(IF(C219="","",IF(INDEX(xyWattage_Table,MATCH(M219,'Fixture Identities'!$B$9:$B$997,0),2)="Exit Sign",8760,IF(VLOOKUP(C219,xySpace_Type_Details,8,FALSE)="TRM",INDEX('General Information'!$AF$17:$AG$28,11,MATCH(N219,'General Information'!$AF$16:$AG$16,0)),HLOOKUP(VLOOKUP(C219,xySpace_Type_Details,8,FALSE),'General Information'!$P$15:$AG$28,13,FALSE)))),"")</f>
        <v/>
      </c>
      <c r="U219" s="542" t="str">
        <f>IFERROR(IF(C219="","",IF(INDEX(xyWattage_Table,MATCH(M219,'Fixture Identities'!$B$9:$B$997,0),2)="Exit Sign",1,IF(VLOOKUP(C219,xySpace_Type_Details,8,FALSE)="TRM",INDEX('General Information'!$AF$17:$AG$28,12,MATCH(N219,'General Information'!$AF$16:$AG$16,0)),HLOOKUP(VLOOKUP(C219,xySpace_Type_Details,8,FALSE),'General Information'!$P$15:$AG$28,14,FALSE)))),"")</f>
        <v/>
      </c>
      <c r="V219" s="542" t="str">
        <f>IFERROR(VLOOKUP(INDEX(xySpace_Type_Details,MATCH($C219,'General Information'!$C$40:$C$60,0),12),Lookups!$L$8:$N$12,2,FALSE),"")</f>
        <v/>
      </c>
      <c r="W219" s="542" t="str">
        <f>IFERROR(VLOOKUP(INDEX(xySpace_Type_Details,MATCH($C219,'General Information'!$C$40:$C$60,0),12),Lookups!$L$8:$N$12,3,FALSE),"")</f>
        <v/>
      </c>
      <c r="Y219" s="542" t="str">
        <f>IFERROR(IF(C219="","",IF(INDEX(xyWattage_Table,MATCH(M219,'Fixture Identities'!$B$9:$B$997,0),2)="Exit Sign",0,IF(PRJ_Type="Retrofit",VLOOKUP(I219,xySVG_Factors,2,FALSE),IF(AND(PRJ_Type="New Construction",Inventory!C216="N"),VLOOKUP(VLOOKUP(Building_Type,xyLPD_BuildingArea,5,FALSE),xySVG_Factors_NC,3,FALSE),0)))),"")</f>
        <v/>
      </c>
      <c r="Z219" s="544" t="str">
        <f>IFERROR(IF(C219="","",IF(INDEX(xyWattage_Table,MATCH(M219,'Fixture Identities'!$B$9:$B$997,0),2)="Exit Sign",0,VLOOKUP(S219,xySVG_Factors,2,FALSE))),"")</f>
        <v/>
      </c>
      <c r="AA219" s="545" t="str">
        <f t="shared" si="95"/>
        <v/>
      </c>
      <c r="AB219" s="542" t="str">
        <f t="shared" si="96"/>
        <v/>
      </c>
      <c r="AC219" s="539" t="str">
        <f t="shared" si="97"/>
        <v/>
      </c>
      <c r="AD219" s="546" t="str">
        <f t="shared" si="98"/>
        <v/>
      </c>
      <c r="AE219" s="539" t="str">
        <f t="shared" si="99"/>
        <v/>
      </c>
      <c r="AF219" s="546" t="str">
        <f t="shared" si="100"/>
        <v/>
      </c>
      <c r="AG219" s="539" t="str">
        <f t="shared" si="101"/>
        <v/>
      </c>
      <c r="AH219" s="32">
        <f t="shared" si="82"/>
        <v>0</v>
      </c>
      <c r="AI219" s="32">
        <f t="shared" si="83"/>
        <v>0</v>
      </c>
      <c r="AJ219" s="32">
        <f t="shared" si="84"/>
        <v>0</v>
      </c>
      <c r="AK219" t="str">
        <f t="shared" si="85"/>
        <v/>
      </c>
      <c r="AL219" t="str">
        <f t="shared" si="86"/>
        <v/>
      </c>
      <c r="AM219" t="str">
        <f t="shared" si="87"/>
        <v/>
      </c>
      <c r="AO219" t="str">
        <f>IFERROR(VLOOKUP(M219,'Fixture Identities'!$B$9:$O$1045,14,FALSE),"")</f>
        <v/>
      </c>
      <c r="AP219" t="str">
        <f t="shared" si="81"/>
        <v/>
      </c>
    </row>
    <row r="220" spans="1:42">
      <c r="A220" s="71">
        <f t="shared" si="102"/>
        <v>0</v>
      </c>
      <c r="B220" s="513">
        <f t="shared" si="88"/>
        <v>208</v>
      </c>
      <c r="C220" s="530" t="str">
        <f>IF(Inventory!E217="","",Inventory!E217)</f>
        <v/>
      </c>
      <c r="D220" s="531">
        <f>IF(Inventory!D217="",0,Inventory!D217)</f>
        <v>0</v>
      </c>
      <c r="E220" s="532" t="str">
        <f>IF(Inventory!I217=0,"",Inventory!I217)</f>
        <v/>
      </c>
      <c r="F220" s="533" t="str">
        <f t="shared" si="89"/>
        <v/>
      </c>
      <c r="G220" s="534" t="str">
        <f>IF(Inventory!G217="","",Inventory!G217)</f>
        <v/>
      </c>
      <c r="H220" s="535" t="str">
        <f t="shared" si="90"/>
        <v/>
      </c>
      <c r="I220" s="536" t="str">
        <f>IF(Inventory!J217="","",Inventory!J217)</f>
        <v/>
      </c>
      <c r="J220" s="537" t="str">
        <f>IFERROR(IF(PRJ_Type="New Construction",IF(Inventory!C217="N",INDEX(xyLPD_BuildingArea,MATCH(Building_Type,Lookups!$F$37:$F$75,0),4),INDEX(xyLPD_SpaceBySpace,MATCH(INDEX(xyNCEx,MATCH(I220,yNCExArea,0),2),ySpace_by_Space_Type,0),2)),VLOOKUP(E220,xyWattage_Table,11,FALSE)),"")</f>
        <v/>
      </c>
      <c r="K220" s="538" t="str">
        <f>IFERROR(IF(AND(NC_Type="Building Area Method",Inventory!C217="N"),IF(ISERROR(INDEX('Usage Groups (&gt;120 MWh only)'!$N$8:$N$12,MATCH(C220,'Usage Groups (&gt;120 MWh only)'!$B$8:$B$12,0),1))=TRUE,SqFt/COUNTIFS(Inventory!$C$10:$C$1009,"N",$Q$13:$Q$1012,"&gt;=0"),INDEX('Usage Groups (&gt;120 MWh only)'!$N$8:$N$12,MATCH(C220,'Usage Groups (&gt;120 MWh only)'!$B$8:$B$12,0),1)/COUNTIF($C$13:$C$1012,C220)),IF(AND(NC_Type="Building Area Method",Inventory!C217="Y"),INDEX(xyNCEx,MATCH(I220,yNCExArea,0),3)/COUNTIF($I$13:$I$1012,I220),VLOOKUP(J220,xyWattage_Table,10,FALSE))),"")</f>
        <v/>
      </c>
      <c r="L220" s="539" t="str">
        <f t="shared" si="91"/>
        <v/>
      </c>
      <c r="M220" s="540">
        <f>IF(Inventory!N217="","",Inventory!N217)</f>
        <v>0</v>
      </c>
      <c r="N220" s="533" t="str">
        <f t="shared" si="92"/>
        <v/>
      </c>
      <c r="O220" s="534"/>
      <c r="P220" s="533" t="str">
        <f t="shared" si="93"/>
        <v/>
      </c>
      <c r="Q220" s="534" t="str">
        <f>IF(Inventory!L217="","",Inventory!L217)</f>
        <v/>
      </c>
      <c r="R220" s="535" t="str">
        <f t="shared" si="94"/>
        <v/>
      </c>
      <c r="S220" s="536" t="str">
        <f>IF(Inventory!O217="","",Inventory!O217)</f>
        <v/>
      </c>
      <c r="T220" s="541" t="str">
        <f>IFERROR(IF(C220="","",IF(INDEX(xyWattage_Table,MATCH(M220,'Fixture Identities'!$B$9:$B$997,0),2)="Exit Sign",8760,IF(VLOOKUP(C220,xySpace_Type_Details,8,FALSE)="TRM",INDEX('General Information'!$AF$17:$AG$28,11,MATCH(N220,'General Information'!$AF$16:$AG$16,0)),HLOOKUP(VLOOKUP(C220,xySpace_Type_Details,8,FALSE),'General Information'!$P$15:$AG$28,13,FALSE)))),"")</f>
        <v/>
      </c>
      <c r="U220" s="542" t="str">
        <f>IFERROR(IF(C220="","",IF(INDEX(xyWattage_Table,MATCH(M220,'Fixture Identities'!$B$9:$B$997,0),2)="Exit Sign",1,IF(VLOOKUP(C220,xySpace_Type_Details,8,FALSE)="TRM",INDEX('General Information'!$AF$17:$AG$28,12,MATCH(N220,'General Information'!$AF$16:$AG$16,0)),HLOOKUP(VLOOKUP(C220,xySpace_Type_Details,8,FALSE),'General Information'!$P$15:$AG$28,14,FALSE)))),"")</f>
        <v/>
      </c>
      <c r="V220" s="542" t="str">
        <f>IFERROR(VLOOKUP(INDEX(xySpace_Type_Details,MATCH($C220,'General Information'!$C$40:$C$60,0),12),Lookups!$L$8:$N$12,2,FALSE),"")</f>
        <v/>
      </c>
      <c r="W220" s="542" t="str">
        <f>IFERROR(VLOOKUP(INDEX(xySpace_Type_Details,MATCH($C220,'General Information'!$C$40:$C$60,0),12),Lookups!$L$8:$N$12,3,FALSE),"")</f>
        <v/>
      </c>
      <c r="Y220" s="542" t="str">
        <f>IFERROR(IF(C220="","",IF(INDEX(xyWattage_Table,MATCH(M220,'Fixture Identities'!$B$9:$B$997,0),2)="Exit Sign",0,IF(PRJ_Type="Retrofit",VLOOKUP(I220,xySVG_Factors,2,FALSE),IF(AND(PRJ_Type="New Construction",Inventory!C217="N"),VLOOKUP(VLOOKUP(Building_Type,xyLPD_BuildingArea,5,FALSE),xySVG_Factors_NC,3,FALSE),0)))),"")</f>
        <v/>
      </c>
      <c r="Z220" s="544" t="str">
        <f>IFERROR(IF(C220="","",IF(INDEX(xyWattage_Table,MATCH(M220,'Fixture Identities'!$B$9:$B$997,0),2)="Exit Sign",0,VLOOKUP(S220,xySVG_Factors,2,FALSE))),"")</f>
        <v/>
      </c>
      <c r="AA220" s="545" t="str">
        <f t="shared" si="95"/>
        <v/>
      </c>
      <c r="AB220" s="542" t="str">
        <f t="shared" si="96"/>
        <v/>
      </c>
      <c r="AC220" s="539" t="str">
        <f t="shared" si="97"/>
        <v/>
      </c>
      <c r="AD220" s="546" t="str">
        <f t="shared" si="98"/>
        <v/>
      </c>
      <c r="AE220" s="539" t="str">
        <f t="shared" si="99"/>
        <v/>
      </c>
      <c r="AF220" s="546" t="str">
        <f t="shared" si="100"/>
        <v/>
      </c>
      <c r="AG220" s="539" t="str">
        <f t="shared" si="101"/>
        <v/>
      </c>
      <c r="AH220" s="32">
        <f t="shared" si="82"/>
        <v>0</v>
      </c>
      <c r="AI220" s="32">
        <f t="shared" si="83"/>
        <v>0</v>
      </c>
      <c r="AJ220" s="32">
        <f t="shared" si="84"/>
        <v>0</v>
      </c>
      <c r="AK220" t="str">
        <f t="shared" si="85"/>
        <v/>
      </c>
      <c r="AL220" t="str">
        <f t="shared" si="86"/>
        <v/>
      </c>
      <c r="AM220" t="str">
        <f t="shared" si="87"/>
        <v/>
      </c>
      <c r="AO220" t="str">
        <f>IFERROR(VLOOKUP(M220,'Fixture Identities'!$B$9:$O$1045,14,FALSE),"")</f>
        <v/>
      </c>
      <c r="AP220" t="str">
        <f t="shared" si="81"/>
        <v/>
      </c>
    </row>
    <row r="221" spans="1:42">
      <c r="A221" s="71">
        <f t="shared" si="102"/>
        <v>0</v>
      </c>
      <c r="B221" s="513">
        <f t="shared" si="88"/>
        <v>209</v>
      </c>
      <c r="C221" s="530" t="str">
        <f>IF(Inventory!E218="","",Inventory!E218)</f>
        <v/>
      </c>
      <c r="D221" s="531">
        <f>IF(Inventory!D218="",0,Inventory!D218)</f>
        <v>0</v>
      </c>
      <c r="E221" s="532" t="str">
        <f>IF(Inventory!I218=0,"",Inventory!I218)</f>
        <v/>
      </c>
      <c r="F221" s="533" t="str">
        <f t="shared" si="89"/>
        <v/>
      </c>
      <c r="G221" s="534" t="str">
        <f>IF(Inventory!G218="","",Inventory!G218)</f>
        <v/>
      </c>
      <c r="H221" s="535" t="str">
        <f t="shared" si="90"/>
        <v/>
      </c>
      <c r="I221" s="536" t="str">
        <f>IF(Inventory!J218="","",Inventory!J218)</f>
        <v/>
      </c>
      <c r="J221" s="537" t="str">
        <f>IFERROR(IF(PRJ_Type="New Construction",IF(Inventory!C218="N",INDEX(xyLPD_BuildingArea,MATCH(Building_Type,Lookups!$F$37:$F$75,0),4),INDEX(xyLPD_SpaceBySpace,MATCH(INDEX(xyNCEx,MATCH(I221,yNCExArea,0),2),ySpace_by_Space_Type,0),2)),VLOOKUP(E221,xyWattage_Table,11,FALSE)),"")</f>
        <v/>
      </c>
      <c r="K221" s="538" t="str">
        <f>IFERROR(IF(AND(NC_Type="Building Area Method",Inventory!C218="N"),IF(ISERROR(INDEX('Usage Groups (&gt;120 MWh only)'!$N$8:$N$12,MATCH(C221,'Usage Groups (&gt;120 MWh only)'!$B$8:$B$12,0),1))=TRUE,SqFt/COUNTIFS(Inventory!$C$10:$C$1009,"N",$Q$13:$Q$1012,"&gt;=0"),INDEX('Usage Groups (&gt;120 MWh only)'!$N$8:$N$12,MATCH(C221,'Usage Groups (&gt;120 MWh only)'!$B$8:$B$12,0),1)/COUNTIF($C$13:$C$1012,C221)),IF(AND(NC_Type="Building Area Method",Inventory!C218="Y"),INDEX(xyNCEx,MATCH(I221,yNCExArea,0),3)/COUNTIF($I$13:$I$1012,I221),VLOOKUP(J221,xyWattage_Table,10,FALSE))),"")</f>
        <v/>
      </c>
      <c r="L221" s="539" t="str">
        <f t="shared" si="91"/>
        <v/>
      </c>
      <c r="M221" s="540">
        <f>IF(Inventory!N218="","",Inventory!N218)</f>
        <v>0</v>
      </c>
      <c r="N221" s="533" t="str">
        <f t="shared" si="92"/>
        <v/>
      </c>
      <c r="O221" s="534"/>
      <c r="P221" s="533" t="str">
        <f t="shared" si="93"/>
        <v/>
      </c>
      <c r="Q221" s="534" t="str">
        <f>IF(Inventory!L218="","",Inventory!L218)</f>
        <v/>
      </c>
      <c r="R221" s="535" t="str">
        <f t="shared" si="94"/>
        <v/>
      </c>
      <c r="S221" s="536" t="str">
        <f>IF(Inventory!O218="","",Inventory!O218)</f>
        <v/>
      </c>
      <c r="T221" s="541" t="str">
        <f>IFERROR(IF(C221="","",IF(INDEX(xyWattage_Table,MATCH(M221,'Fixture Identities'!$B$9:$B$997,0),2)="Exit Sign",8760,IF(VLOOKUP(C221,xySpace_Type_Details,8,FALSE)="TRM",INDEX('General Information'!$AF$17:$AG$28,11,MATCH(N221,'General Information'!$AF$16:$AG$16,0)),HLOOKUP(VLOOKUP(C221,xySpace_Type_Details,8,FALSE),'General Information'!$P$15:$AG$28,13,FALSE)))),"")</f>
        <v/>
      </c>
      <c r="U221" s="542" t="str">
        <f>IFERROR(IF(C221="","",IF(INDEX(xyWattage_Table,MATCH(M221,'Fixture Identities'!$B$9:$B$997,0),2)="Exit Sign",1,IF(VLOOKUP(C221,xySpace_Type_Details,8,FALSE)="TRM",INDEX('General Information'!$AF$17:$AG$28,12,MATCH(N221,'General Information'!$AF$16:$AG$16,0)),HLOOKUP(VLOOKUP(C221,xySpace_Type_Details,8,FALSE),'General Information'!$P$15:$AG$28,14,FALSE)))),"")</f>
        <v/>
      </c>
      <c r="V221" s="542" t="str">
        <f>IFERROR(VLOOKUP(INDEX(xySpace_Type_Details,MATCH($C221,'General Information'!$C$40:$C$60,0),12),Lookups!$L$8:$N$12,2,FALSE),"")</f>
        <v/>
      </c>
      <c r="W221" s="542" t="str">
        <f>IFERROR(VLOOKUP(INDEX(xySpace_Type_Details,MATCH($C221,'General Information'!$C$40:$C$60,0),12),Lookups!$L$8:$N$12,3,FALSE),"")</f>
        <v/>
      </c>
      <c r="Y221" s="542" t="str">
        <f>IFERROR(IF(C221="","",IF(INDEX(xyWattage_Table,MATCH(M221,'Fixture Identities'!$B$9:$B$997,0),2)="Exit Sign",0,IF(PRJ_Type="Retrofit",VLOOKUP(I221,xySVG_Factors,2,FALSE),IF(AND(PRJ_Type="New Construction",Inventory!C218="N"),VLOOKUP(VLOOKUP(Building_Type,xyLPD_BuildingArea,5,FALSE),xySVG_Factors_NC,3,FALSE),0)))),"")</f>
        <v/>
      </c>
      <c r="Z221" s="544" t="str">
        <f>IFERROR(IF(C221="","",IF(INDEX(xyWattage_Table,MATCH(M221,'Fixture Identities'!$B$9:$B$997,0),2)="Exit Sign",0,VLOOKUP(S221,xySVG_Factors,2,FALSE))),"")</f>
        <v/>
      </c>
      <c r="AA221" s="545" t="str">
        <f t="shared" si="95"/>
        <v/>
      </c>
      <c r="AB221" s="542" t="str">
        <f t="shared" si="96"/>
        <v/>
      </c>
      <c r="AC221" s="539" t="str">
        <f t="shared" si="97"/>
        <v/>
      </c>
      <c r="AD221" s="546" t="str">
        <f t="shared" si="98"/>
        <v/>
      </c>
      <c r="AE221" s="539" t="str">
        <f t="shared" si="99"/>
        <v/>
      </c>
      <c r="AF221" s="546" t="str">
        <f t="shared" si="100"/>
        <v/>
      </c>
      <c r="AG221" s="539" t="str">
        <f t="shared" si="101"/>
        <v/>
      </c>
      <c r="AH221" s="32">
        <f t="shared" si="82"/>
        <v>0</v>
      </c>
      <c r="AI221" s="32">
        <f t="shared" si="83"/>
        <v>0</v>
      </c>
      <c r="AJ221" s="32">
        <f t="shared" si="84"/>
        <v>0</v>
      </c>
      <c r="AK221" t="str">
        <f t="shared" si="85"/>
        <v/>
      </c>
      <c r="AL221" t="str">
        <f t="shared" si="86"/>
        <v/>
      </c>
      <c r="AM221" t="str">
        <f t="shared" si="87"/>
        <v/>
      </c>
      <c r="AO221" t="str">
        <f>IFERROR(VLOOKUP(M221,'Fixture Identities'!$B$9:$O$1045,14,FALSE),"")</f>
        <v/>
      </c>
      <c r="AP221" t="str">
        <f t="shared" si="81"/>
        <v/>
      </c>
    </row>
    <row r="222" spans="1:42">
      <c r="A222" s="71">
        <f t="shared" si="102"/>
        <v>0</v>
      </c>
      <c r="B222" s="513">
        <f t="shared" si="88"/>
        <v>210</v>
      </c>
      <c r="C222" s="530" t="str">
        <f>IF(Inventory!E219="","",Inventory!E219)</f>
        <v/>
      </c>
      <c r="D222" s="531">
        <f>IF(Inventory!D219="",0,Inventory!D219)</f>
        <v>0</v>
      </c>
      <c r="E222" s="532" t="str">
        <f>IF(Inventory!I219=0,"",Inventory!I219)</f>
        <v/>
      </c>
      <c r="F222" s="533" t="str">
        <f t="shared" si="89"/>
        <v/>
      </c>
      <c r="G222" s="534" t="str">
        <f>IF(Inventory!G219="","",Inventory!G219)</f>
        <v/>
      </c>
      <c r="H222" s="535" t="str">
        <f t="shared" si="90"/>
        <v/>
      </c>
      <c r="I222" s="536" t="str">
        <f>IF(Inventory!J219="","",Inventory!J219)</f>
        <v/>
      </c>
      <c r="J222" s="537" t="str">
        <f>IFERROR(IF(PRJ_Type="New Construction",IF(Inventory!C219="N",INDEX(xyLPD_BuildingArea,MATCH(Building_Type,Lookups!$F$37:$F$75,0),4),INDEX(xyLPD_SpaceBySpace,MATCH(INDEX(xyNCEx,MATCH(I222,yNCExArea,0),2),ySpace_by_Space_Type,0),2)),VLOOKUP(E222,xyWattage_Table,11,FALSE)),"")</f>
        <v/>
      </c>
      <c r="K222" s="538" t="str">
        <f>IFERROR(IF(AND(NC_Type="Building Area Method",Inventory!C219="N"),IF(ISERROR(INDEX('Usage Groups (&gt;120 MWh only)'!$N$8:$N$12,MATCH(C222,'Usage Groups (&gt;120 MWh only)'!$B$8:$B$12,0),1))=TRUE,SqFt/COUNTIFS(Inventory!$C$10:$C$1009,"N",$Q$13:$Q$1012,"&gt;=0"),INDEX('Usage Groups (&gt;120 MWh only)'!$N$8:$N$12,MATCH(C222,'Usage Groups (&gt;120 MWh only)'!$B$8:$B$12,0),1)/COUNTIF($C$13:$C$1012,C222)),IF(AND(NC_Type="Building Area Method",Inventory!C219="Y"),INDEX(xyNCEx,MATCH(I222,yNCExArea,0),3)/COUNTIF($I$13:$I$1012,I222),VLOOKUP(J222,xyWattage_Table,10,FALSE))),"")</f>
        <v/>
      </c>
      <c r="L222" s="539" t="str">
        <f t="shared" si="91"/>
        <v/>
      </c>
      <c r="M222" s="540">
        <f>IF(Inventory!N219="","",Inventory!N219)</f>
        <v>0</v>
      </c>
      <c r="N222" s="533" t="str">
        <f t="shared" si="92"/>
        <v/>
      </c>
      <c r="O222" s="534"/>
      <c r="P222" s="533" t="str">
        <f t="shared" si="93"/>
        <v/>
      </c>
      <c r="Q222" s="534" t="str">
        <f>IF(Inventory!L219="","",Inventory!L219)</f>
        <v/>
      </c>
      <c r="R222" s="535" t="str">
        <f t="shared" si="94"/>
        <v/>
      </c>
      <c r="S222" s="536" t="str">
        <f>IF(Inventory!O219="","",Inventory!O219)</f>
        <v/>
      </c>
      <c r="T222" s="541" t="str">
        <f>IFERROR(IF(C222="","",IF(INDEX(xyWattage_Table,MATCH(M222,'Fixture Identities'!$B$9:$B$997,0),2)="Exit Sign",8760,IF(VLOOKUP(C222,xySpace_Type_Details,8,FALSE)="TRM",INDEX('General Information'!$AF$17:$AG$28,11,MATCH(N222,'General Information'!$AF$16:$AG$16,0)),HLOOKUP(VLOOKUP(C222,xySpace_Type_Details,8,FALSE),'General Information'!$P$15:$AG$28,13,FALSE)))),"")</f>
        <v/>
      </c>
      <c r="U222" s="542" t="str">
        <f>IFERROR(IF(C222="","",IF(INDEX(xyWattage_Table,MATCH(M222,'Fixture Identities'!$B$9:$B$997,0),2)="Exit Sign",1,IF(VLOOKUP(C222,xySpace_Type_Details,8,FALSE)="TRM",INDEX('General Information'!$AF$17:$AG$28,12,MATCH(N222,'General Information'!$AF$16:$AG$16,0)),HLOOKUP(VLOOKUP(C222,xySpace_Type_Details,8,FALSE),'General Information'!$P$15:$AG$28,14,FALSE)))),"")</f>
        <v/>
      </c>
      <c r="V222" s="542" t="str">
        <f>IFERROR(VLOOKUP(INDEX(xySpace_Type_Details,MATCH($C222,'General Information'!$C$40:$C$60,0),12),Lookups!$L$8:$N$12,2,FALSE),"")</f>
        <v/>
      </c>
      <c r="W222" s="542" t="str">
        <f>IFERROR(VLOOKUP(INDEX(xySpace_Type_Details,MATCH($C222,'General Information'!$C$40:$C$60,0),12),Lookups!$L$8:$N$12,3,FALSE),"")</f>
        <v/>
      </c>
      <c r="Y222" s="542" t="str">
        <f>IFERROR(IF(C222="","",IF(INDEX(xyWattage_Table,MATCH(M222,'Fixture Identities'!$B$9:$B$997,0),2)="Exit Sign",0,IF(PRJ_Type="Retrofit",VLOOKUP(I222,xySVG_Factors,2,FALSE),IF(AND(PRJ_Type="New Construction",Inventory!C219="N"),VLOOKUP(VLOOKUP(Building_Type,xyLPD_BuildingArea,5,FALSE),xySVG_Factors_NC,3,FALSE),0)))),"")</f>
        <v/>
      </c>
      <c r="Z222" s="544" t="str">
        <f>IFERROR(IF(C222="","",IF(INDEX(xyWattage_Table,MATCH(M222,'Fixture Identities'!$B$9:$B$997,0),2)="Exit Sign",0,VLOOKUP(S222,xySVG_Factors,2,FALSE))),"")</f>
        <v/>
      </c>
      <c r="AA222" s="545" t="str">
        <f t="shared" si="95"/>
        <v/>
      </c>
      <c r="AB222" s="542" t="str">
        <f t="shared" si="96"/>
        <v/>
      </c>
      <c r="AC222" s="539" t="str">
        <f t="shared" si="97"/>
        <v/>
      </c>
      <c r="AD222" s="546" t="str">
        <f t="shared" si="98"/>
        <v/>
      </c>
      <c r="AE222" s="539" t="str">
        <f t="shared" si="99"/>
        <v/>
      </c>
      <c r="AF222" s="546" t="str">
        <f t="shared" si="100"/>
        <v/>
      </c>
      <c r="AG222" s="539" t="str">
        <f t="shared" si="101"/>
        <v/>
      </c>
      <c r="AH222" s="32">
        <f t="shared" si="82"/>
        <v>0</v>
      </c>
      <c r="AI222" s="32">
        <f t="shared" si="83"/>
        <v>0</v>
      </c>
      <c r="AJ222" s="32">
        <f t="shared" si="84"/>
        <v>0</v>
      </c>
      <c r="AK222" t="str">
        <f t="shared" si="85"/>
        <v/>
      </c>
      <c r="AL222" t="str">
        <f t="shared" si="86"/>
        <v/>
      </c>
      <c r="AM222" t="str">
        <f t="shared" si="87"/>
        <v/>
      </c>
      <c r="AO222" t="str">
        <f>IFERROR(VLOOKUP(M222,'Fixture Identities'!$B$9:$O$1045,14,FALSE),"")</f>
        <v/>
      </c>
      <c r="AP222" t="str">
        <f t="shared" si="81"/>
        <v/>
      </c>
    </row>
    <row r="223" spans="1:42">
      <c r="A223" s="71">
        <f t="shared" si="102"/>
        <v>0</v>
      </c>
      <c r="B223" s="513">
        <f t="shared" si="88"/>
        <v>211</v>
      </c>
      <c r="C223" s="530" t="str">
        <f>IF(Inventory!E220="","",Inventory!E220)</f>
        <v/>
      </c>
      <c r="D223" s="531">
        <f>IF(Inventory!D220="",0,Inventory!D220)</f>
        <v>0</v>
      </c>
      <c r="E223" s="532" t="str">
        <f>IF(Inventory!I220=0,"",Inventory!I220)</f>
        <v/>
      </c>
      <c r="F223" s="533" t="str">
        <f t="shared" si="89"/>
        <v/>
      </c>
      <c r="G223" s="534" t="str">
        <f>IF(Inventory!G220="","",Inventory!G220)</f>
        <v/>
      </c>
      <c r="H223" s="535" t="str">
        <f t="shared" si="90"/>
        <v/>
      </c>
      <c r="I223" s="536" t="str">
        <f>IF(Inventory!J220="","",Inventory!J220)</f>
        <v/>
      </c>
      <c r="J223" s="537" t="str">
        <f>IFERROR(IF(PRJ_Type="New Construction",IF(Inventory!C220="N",INDEX(xyLPD_BuildingArea,MATCH(Building_Type,Lookups!$F$37:$F$75,0),4),INDEX(xyLPD_SpaceBySpace,MATCH(INDEX(xyNCEx,MATCH(I223,yNCExArea,0),2),ySpace_by_Space_Type,0),2)),VLOOKUP(E223,xyWattage_Table,11,FALSE)),"")</f>
        <v/>
      </c>
      <c r="K223" s="538" t="str">
        <f>IFERROR(IF(AND(NC_Type="Building Area Method",Inventory!C220="N"),IF(ISERROR(INDEX('Usage Groups (&gt;120 MWh only)'!$N$8:$N$12,MATCH(C223,'Usage Groups (&gt;120 MWh only)'!$B$8:$B$12,0),1))=TRUE,SqFt/COUNTIFS(Inventory!$C$10:$C$1009,"N",$Q$13:$Q$1012,"&gt;=0"),INDEX('Usage Groups (&gt;120 MWh only)'!$N$8:$N$12,MATCH(C223,'Usage Groups (&gt;120 MWh only)'!$B$8:$B$12,0),1)/COUNTIF($C$13:$C$1012,C223)),IF(AND(NC_Type="Building Area Method",Inventory!C220="Y"),INDEX(xyNCEx,MATCH(I223,yNCExArea,0),3)/COUNTIF($I$13:$I$1012,I223),VLOOKUP(J223,xyWattage_Table,10,FALSE))),"")</f>
        <v/>
      </c>
      <c r="L223" s="539" t="str">
        <f t="shared" si="91"/>
        <v/>
      </c>
      <c r="M223" s="540">
        <f>IF(Inventory!N220="","",Inventory!N220)</f>
        <v>0</v>
      </c>
      <c r="N223" s="533" t="str">
        <f t="shared" si="92"/>
        <v/>
      </c>
      <c r="O223" s="534"/>
      <c r="P223" s="533" t="str">
        <f t="shared" si="93"/>
        <v/>
      </c>
      <c r="Q223" s="534" t="str">
        <f>IF(Inventory!L220="","",Inventory!L220)</f>
        <v/>
      </c>
      <c r="R223" s="535" t="str">
        <f t="shared" si="94"/>
        <v/>
      </c>
      <c r="S223" s="536" t="str">
        <f>IF(Inventory!O220="","",Inventory!O220)</f>
        <v/>
      </c>
      <c r="T223" s="541" t="str">
        <f>IFERROR(IF(C223="","",IF(INDEX(xyWattage_Table,MATCH(M223,'Fixture Identities'!$B$9:$B$997,0),2)="Exit Sign",8760,IF(VLOOKUP(C223,xySpace_Type_Details,8,FALSE)="TRM",INDEX('General Information'!$AF$17:$AG$28,11,MATCH(N223,'General Information'!$AF$16:$AG$16,0)),HLOOKUP(VLOOKUP(C223,xySpace_Type_Details,8,FALSE),'General Information'!$P$15:$AG$28,13,FALSE)))),"")</f>
        <v/>
      </c>
      <c r="U223" s="542" t="str">
        <f>IFERROR(IF(C223="","",IF(INDEX(xyWattage_Table,MATCH(M223,'Fixture Identities'!$B$9:$B$997,0),2)="Exit Sign",1,IF(VLOOKUP(C223,xySpace_Type_Details,8,FALSE)="TRM",INDEX('General Information'!$AF$17:$AG$28,12,MATCH(N223,'General Information'!$AF$16:$AG$16,0)),HLOOKUP(VLOOKUP(C223,xySpace_Type_Details,8,FALSE),'General Information'!$P$15:$AG$28,14,FALSE)))),"")</f>
        <v/>
      </c>
      <c r="V223" s="542" t="str">
        <f>IFERROR(VLOOKUP(INDEX(xySpace_Type_Details,MATCH($C223,'General Information'!$C$40:$C$60,0),12),Lookups!$L$8:$N$12,2,FALSE),"")</f>
        <v/>
      </c>
      <c r="W223" s="542" t="str">
        <f>IFERROR(VLOOKUP(INDEX(xySpace_Type_Details,MATCH($C223,'General Information'!$C$40:$C$60,0),12),Lookups!$L$8:$N$12,3,FALSE),"")</f>
        <v/>
      </c>
      <c r="Y223" s="542" t="str">
        <f>IFERROR(IF(C223="","",IF(INDEX(xyWattage_Table,MATCH(M223,'Fixture Identities'!$B$9:$B$997,0),2)="Exit Sign",0,IF(PRJ_Type="Retrofit",VLOOKUP(I223,xySVG_Factors,2,FALSE),IF(AND(PRJ_Type="New Construction",Inventory!C220="N"),VLOOKUP(VLOOKUP(Building_Type,xyLPD_BuildingArea,5,FALSE),xySVG_Factors_NC,3,FALSE),0)))),"")</f>
        <v/>
      </c>
      <c r="Z223" s="544" t="str">
        <f>IFERROR(IF(C223="","",IF(INDEX(xyWattage_Table,MATCH(M223,'Fixture Identities'!$B$9:$B$997,0),2)="Exit Sign",0,VLOOKUP(S223,xySVG_Factors,2,FALSE))),"")</f>
        <v/>
      </c>
      <c r="AA223" s="545" t="str">
        <f t="shared" si="95"/>
        <v/>
      </c>
      <c r="AB223" s="542" t="str">
        <f t="shared" si="96"/>
        <v/>
      </c>
      <c r="AC223" s="539" t="str">
        <f t="shared" si="97"/>
        <v/>
      </c>
      <c r="AD223" s="546" t="str">
        <f t="shared" si="98"/>
        <v/>
      </c>
      <c r="AE223" s="539" t="str">
        <f t="shared" si="99"/>
        <v/>
      </c>
      <c r="AF223" s="546" t="str">
        <f t="shared" si="100"/>
        <v/>
      </c>
      <c r="AG223" s="539" t="str">
        <f t="shared" si="101"/>
        <v/>
      </c>
      <c r="AH223" s="32">
        <f t="shared" si="82"/>
        <v>0</v>
      </c>
      <c r="AI223" s="32">
        <f t="shared" si="83"/>
        <v>0</v>
      </c>
      <c r="AJ223" s="32">
        <f t="shared" si="84"/>
        <v>0</v>
      </c>
      <c r="AK223" t="str">
        <f t="shared" si="85"/>
        <v/>
      </c>
      <c r="AL223" t="str">
        <f t="shared" si="86"/>
        <v/>
      </c>
      <c r="AM223" t="str">
        <f t="shared" si="87"/>
        <v/>
      </c>
      <c r="AO223" t="str">
        <f>IFERROR(VLOOKUP(M223,'Fixture Identities'!$B$9:$O$1045,14,FALSE),"")</f>
        <v/>
      </c>
      <c r="AP223" t="str">
        <f t="shared" si="81"/>
        <v/>
      </c>
    </row>
    <row r="224" spans="1:42">
      <c r="A224" s="71">
        <f t="shared" si="102"/>
        <v>0</v>
      </c>
      <c r="B224" s="513">
        <f t="shared" si="88"/>
        <v>212</v>
      </c>
      <c r="C224" s="530" t="str">
        <f>IF(Inventory!E221="","",Inventory!E221)</f>
        <v/>
      </c>
      <c r="D224" s="531">
        <f>IF(Inventory!D221="",0,Inventory!D221)</f>
        <v>0</v>
      </c>
      <c r="E224" s="532" t="str">
        <f>IF(Inventory!I221=0,"",Inventory!I221)</f>
        <v/>
      </c>
      <c r="F224" s="533" t="str">
        <f t="shared" si="89"/>
        <v/>
      </c>
      <c r="G224" s="534" t="str">
        <f>IF(Inventory!G221="","",Inventory!G221)</f>
        <v/>
      </c>
      <c r="H224" s="535" t="str">
        <f t="shared" si="90"/>
        <v/>
      </c>
      <c r="I224" s="536" t="str">
        <f>IF(Inventory!J221="","",Inventory!J221)</f>
        <v/>
      </c>
      <c r="J224" s="537" t="str">
        <f>IFERROR(IF(PRJ_Type="New Construction",IF(Inventory!C221="N",INDEX(xyLPD_BuildingArea,MATCH(Building_Type,Lookups!$F$37:$F$75,0),4),INDEX(xyLPD_SpaceBySpace,MATCH(INDEX(xyNCEx,MATCH(I224,yNCExArea,0),2),ySpace_by_Space_Type,0),2)),VLOOKUP(E224,xyWattage_Table,11,FALSE)),"")</f>
        <v/>
      </c>
      <c r="K224" s="538" t="str">
        <f>IFERROR(IF(AND(NC_Type="Building Area Method",Inventory!C221="N"),IF(ISERROR(INDEX('Usage Groups (&gt;120 MWh only)'!$N$8:$N$12,MATCH(C224,'Usage Groups (&gt;120 MWh only)'!$B$8:$B$12,0),1))=TRUE,SqFt/COUNTIFS(Inventory!$C$10:$C$1009,"N",$Q$13:$Q$1012,"&gt;=0"),INDEX('Usage Groups (&gt;120 MWh only)'!$N$8:$N$12,MATCH(C224,'Usage Groups (&gt;120 MWh only)'!$B$8:$B$12,0),1)/COUNTIF($C$13:$C$1012,C224)),IF(AND(NC_Type="Building Area Method",Inventory!C221="Y"),INDEX(xyNCEx,MATCH(I224,yNCExArea,0),3)/COUNTIF($I$13:$I$1012,I224),VLOOKUP(J224,xyWattage_Table,10,FALSE))),"")</f>
        <v/>
      </c>
      <c r="L224" s="539" t="str">
        <f t="shared" si="91"/>
        <v/>
      </c>
      <c r="M224" s="540">
        <f>IF(Inventory!N221="","",Inventory!N221)</f>
        <v>0</v>
      </c>
      <c r="N224" s="533" t="str">
        <f t="shared" si="92"/>
        <v/>
      </c>
      <c r="O224" s="534"/>
      <c r="P224" s="533" t="str">
        <f t="shared" si="93"/>
        <v/>
      </c>
      <c r="Q224" s="534" t="str">
        <f>IF(Inventory!L221="","",Inventory!L221)</f>
        <v/>
      </c>
      <c r="R224" s="535" t="str">
        <f t="shared" si="94"/>
        <v/>
      </c>
      <c r="S224" s="536" t="str">
        <f>IF(Inventory!O221="","",Inventory!O221)</f>
        <v/>
      </c>
      <c r="T224" s="541" t="str">
        <f>IFERROR(IF(C224="","",IF(INDEX(xyWattage_Table,MATCH(M224,'Fixture Identities'!$B$9:$B$997,0),2)="Exit Sign",8760,IF(VLOOKUP(C224,xySpace_Type_Details,8,FALSE)="TRM",INDEX('General Information'!$AF$17:$AG$28,11,MATCH(N224,'General Information'!$AF$16:$AG$16,0)),HLOOKUP(VLOOKUP(C224,xySpace_Type_Details,8,FALSE),'General Information'!$P$15:$AG$28,13,FALSE)))),"")</f>
        <v/>
      </c>
      <c r="U224" s="542" t="str">
        <f>IFERROR(IF(C224="","",IF(INDEX(xyWattage_Table,MATCH(M224,'Fixture Identities'!$B$9:$B$997,0),2)="Exit Sign",1,IF(VLOOKUP(C224,xySpace_Type_Details,8,FALSE)="TRM",INDEX('General Information'!$AF$17:$AG$28,12,MATCH(N224,'General Information'!$AF$16:$AG$16,0)),HLOOKUP(VLOOKUP(C224,xySpace_Type_Details,8,FALSE),'General Information'!$P$15:$AG$28,14,FALSE)))),"")</f>
        <v/>
      </c>
      <c r="V224" s="542" t="str">
        <f>IFERROR(VLOOKUP(INDEX(xySpace_Type_Details,MATCH($C224,'General Information'!$C$40:$C$60,0),12),Lookups!$L$8:$N$12,2,FALSE),"")</f>
        <v/>
      </c>
      <c r="W224" s="542" t="str">
        <f>IFERROR(VLOOKUP(INDEX(xySpace_Type_Details,MATCH($C224,'General Information'!$C$40:$C$60,0),12),Lookups!$L$8:$N$12,3,FALSE),"")</f>
        <v/>
      </c>
      <c r="Y224" s="542" t="str">
        <f>IFERROR(IF(C224="","",IF(INDEX(xyWattage_Table,MATCH(M224,'Fixture Identities'!$B$9:$B$997,0),2)="Exit Sign",0,IF(PRJ_Type="Retrofit",VLOOKUP(I224,xySVG_Factors,2,FALSE),IF(AND(PRJ_Type="New Construction",Inventory!C221="N"),VLOOKUP(VLOOKUP(Building_Type,xyLPD_BuildingArea,5,FALSE),xySVG_Factors_NC,3,FALSE),0)))),"")</f>
        <v/>
      </c>
      <c r="Z224" s="544" t="str">
        <f>IFERROR(IF(C224="","",IF(INDEX(xyWattage_Table,MATCH(M224,'Fixture Identities'!$B$9:$B$997,0),2)="Exit Sign",0,VLOOKUP(S224,xySVG_Factors,2,FALSE))),"")</f>
        <v/>
      </c>
      <c r="AA224" s="545" t="str">
        <f t="shared" si="95"/>
        <v/>
      </c>
      <c r="AB224" s="542" t="str">
        <f t="shared" si="96"/>
        <v/>
      </c>
      <c r="AC224" s="539" t="str">
        <f t="shared" si="97"/>
        <v/>
      </c>
      <c r="AD224" s="546" t="str">
        <f t="shared" si="98"/>
        <v/>
      </c>
      <c r="AE224" s="539" t="str">
        <f t="shared" si="99"/>
        <v/>
      </c>
      <c r="AF224" s="546" t="str">
        <f t="shared" si="100"/>
        <v/>
      </c>
      <c r="AG224" s="539" t="str">
        <f t="shared" si="101"/>
        <v/>
      </c>
      <c r="AH224" s="32">
        <f t="shared" si="82"/>
        <v>0</v>
      </c>
      <c r="AI224" s="32">
        <f t="shared" si="83"/>
        <v>0</v>
      </c>
      <c r="AJ224" s="32">
        <f t="shared" si="84"/>
        <v>0</v>
      </c>
      <c r="AK224" t="str">
        <f t="shared" si="85"/>
        <v/>
      </c>
      <c r="AL224" t="str">
        <f t="shared" si="86"/>
        <v/>
      </c>
      <c r="AM224" t="str">
        <f t="shared" si="87"/>
        <v/>
      </c>
      <c r="AO224" t="str">
        <f>IFERROR(VLOOKUP(M224,'Fixture Identities'!$B$9:$O$1045,14,FALSE),"")</f>
        <v/>
      </c>
      <c r="AP224" t="str">
        <f t="shared" si="81"/>
        <v/>
      </c>
    </row>
    <row r="225" spans="1:42">
      <c r="A225" s="71">
        <f t="shared" si="102"/>
        <v>0</v>
      </c>
      <c r="B225" s="513">
        <f t="shared" si="88"/>
        <v>213</v>
      </c>
      <c r="C225" s="530" t="str">
        <f>IF(Inventory!E222="","",Inventory!E222)</f>
        <v/>
      </c>
      <c r="D225" s="531">
        <f>IF(Inventory!D222="",0,Inventory!D222)</f>
        <v>0</v>
      </c>
      <c r="E225" s="532" t="str">
        <f>IF(Inventory!I222=0,"",Inventory!I222)</f>
        <v/>
      </c>
      <c r="F225" s="533" t="str">
        <f t="shared" si="89"/>
        <v/>
      </c>
      <c r="G225" s="534" t="str">
        <f>IF(Inventory!G222="","",Inventory!G222)</f>
        <v/>
      </c>
      <c r="H225" s="535" t="str">
        <f t="shared" si="90"/>
        <v/>
      </c>
      <c r="I225" s="536" t="str">
        <f>IF(Inventory!J222="","",Inventory!J222)</f>
        <v/>
      </c>
      <c r="J225" s="537" t="str">
        <f>IFERROR(IF(PRJ_Type="New Construction",IF(Inventory!C222="N",INDEX(xyLPD_BuildingArea,MATCH(Building_Type,Lookups!$F$37:$F$75,0),4),INDEX(xyLPD_SpaceBySpace,MATCH(INDEX(xyNCEx,MATCH(I225,yNCExArea,0),2),ySpace_by_Space_Type,0),2)),VLOOKUP(E225,xyWattage_Table,11,FALSE)),"")</f>
        <v/>
      </c>
      <c r="K225" s="538" t="str">
        <f>IFERROR(IF(AND(NC_Type="Building Area Method",Inventory!C222="N"),IF(ISERROR(INDEX('Usage Groups (&gt;120 MWh only)'!$N$8:$N$12,MATCH(C225,'Usage Groups (&gt;120 MWh only)'!$B$8:$B$12,0),1))=TRUE,SqFt/COUNTIFS(Inventory!$C$10:$C$1009,"N",$Q$13:$Q$1012,"&gt;=0"),INDEX('Usage Groups (&gt;120 MWh only)'!$N$8:$N$12,MATCH(C225,'Usage Groups (&gt;120 MWh only)'!$B$8:$B$12,0),1)/COUNTIF($C$13:$C$1012,C225)),IF(AND(NC_Type="Building Area Method",Inventory!C222="Y"),INDEX(xyNCEx,MATCH(I225,yNCExArea,0),3)/COUNTIF($I$13:$I$1012,I225),VLOOKUP(J225,xyWattage_Table,10,FALSE))),"")</f>
        <v/>
      </c>
      <c r="L225" s="539" t="str">
        <f t="shared" si="91"/>
        <v/>
      </c>
      <c r="M225" s="540">
        <f>IF(Inventory!N222="","",Inventory!N222)</f>
        <v>0</v>
      </c>
      <c r="N225" s="533" t="str">
        <f t="shared" si="92"/>
        <v/>
      </c>
      <c r="O225" s="534"/>
      <c r="P225" s="533" t="str">
        <f t="shared" si="93"/>
        <v/>
      </c>
      <c r="Q225" s="534" t="str">
        <f>IF(Inventory!L222="","",Inventory!L222)</f>
        <v/>
      </c>
      <c r="R225" s="535" t="str">
        <f t="shared" si="94"/>
        <v/>
      </c>
      <c r="S225" s="536" t="str">
        <f>IF(Inventory!O222="","",Inventory!O222)</f>
        <v/>
      </c>
      <c r="T225" s="541" t="str">
        <f>IFERROR(IF(C225="","",IF(INDEX(xyWattage_Table,MATCH(M225,'Fixture Identities'!$B$9:$B$997,0),2)="Exit Sign",8760,IF(VLOOKUP(C225,xySpace_Type_Details,8,FALSE)="TRM",INDEX('General Information'!$AF$17:$AG$28,11,MATCH(N225,'General Information'!$AF$16:$AG$16,0)),HLOOKUP(VLOOKUP(C225,xySpace_Type_Details,8,FALSE),'General Information'!$P$15:$AG$28,13,FALSE)))),"")</f>
        <v/>
      </c>
      <c r="U225" s="542" t="str">
        <f>IFERROR(IF(C225="","",IF(INDEX(xyWattage_Table,MATCH(M225,'Fixture Identities'!$B$9:$B$997,0),2)="Exit Sign",1,IF(VLOOKUP(C225,xySpace_Type_Details,8,FALSE)="TRM",INDEX('General Information'!$AF$17:$AG$28,12,MATCH(N225,'General Information'!$AF$16:$AG$16,0)),HLOOKUP(VLOOKUP(C225,xySpace_Type_Details,8,FALSE),'General Information'!$P$15:$AG$28,14,FALSE)))),"")</f>
        <v/>
      </c>
      <c r="V225" s="542" t="str">
        <f>IFERROR(VLOOKUP(INDEX(xySpace_Type_Details,MATCH($C225,'General Information'!$C$40:$C$60,0),12),Lookups!$L$8:$N$12,2,FALSE),"")</f>
        <v/>
      </c>
      <c r="W225" s="542" t="str">
        <f>IFERROR(VLOOKUP(INDEX(xySpace_Type_Details,MATCH($C225,'General Information'!$C$40:$C$60,0),12),Lookups!$L$8:$N$12,3,FALSE),"")</f>
        <v/>
      </c>
      <c r="Y225" s="542" t="str">
        <f>IFERROR(IF(C225="","",IF(INDEX(xyWattage_Table,MATCH(M225,'Fixture Identities'!$B$9:$B$997,0),2)="Exit Sign",0,IF(PRJ_Type="Retrofit",VLOOKUP(I225,xySVG_Factors,2,FALSE),IF(AND(PRJ_Type="New Construction",Inventory!C222="N"),VLOOKUP(VLOOKUP(Building_Type,xyLPD_BuildingArea,5,FALSE),xySVG_Factors_NC,3,FALSE),0)))),"")</f>
        <v/>
      </c>
      <c r="Z225" s="544" t="str">
        <f>IFERROR(IF(C225="","",IF(INDEX(xyWattage_Table,MATCH(M225,'Fixture Identities'!$B$9:$B$997,0),2)="Exit Sign",0,VLOOKUP(S225,xySVG_Factors,2,FALSE))),"")</f>
        <v/>
      </c>
      <c r="AA225" s="545" t="str">
        <f t="shared" si="95"/>
        <v/>
      </c>
      <c r="AB225" s="542" t="str">
        <f t="shared" si="96"/>
        <v/>
      </c>
      <c r="AC225" s="539" t="str">
        <f t="shared" si="97"/>
        <v/>
      </c>
      <c r="AD225" s="546" t="str">
        <f t="shared" si="98"/>
        <v/>
      </c>
      <c r="AE225" s="539" t="str">
        <f t="shared" si="99"/>
        <v/>
      </c>
      <c r="AF225" s="546" t="str">
        <f t="shared" si="100"/>
        <v/>
      </c>
      <c r="AG225" s="539" t="str">
        <f t="shared" si="101"/>
        <v/>
      </c>
      <c r="AH225" s="32">
        <f t="shared" si="82"/>
        <v>0</v>
      </c>
      <c r="AI225" s="32">
        <f t="shared" si="83"/>
        <v>0</v>
      </c>
      <c r="AJ225" s="32">
        <f t="shared" si="84"/>
        <v>0</v>
      </c>
      <c r="AK225" t="str">
        <f t="shared" si="85"/>
        <v/>
      </c>
      <c r="AL225" t="str">
        <f t="shared" si="86"/>
        <v/>
      </c>
      <c r="AM225" t="str">
        <f t="shared" si="87"/>
        <v/>
      </c>
      <c r="AO225" t="str">
        <f>IFERROR(VLOOKUP(M225,'Fixture Identities'!$B$9:$O$1045,14,FALSE),"")</f>
        <v/>
      </c>
      <c r="AP225" t="str">
        <f t="shared" si="81"/>
        <v/>
      </c>
    </row>
    <row r="226" spans="1:42">
      <c r="A226" s="71">
        <f t="shared" si="102"/>
        <v>0</v>
      </c>
      <c r="B226" s="513">
        <f t="shared" si="88"/>
        <v>214</v>
      </c>
      <c r="C226" s="530" t="str">
        <f>IF(Inventory!E223="","",Inventory!E223)</f>
        <v/>
      </c>
      <c r="D226" s="531">
        <f>IF(Inventory!D223="",0,Inventory!D223)</f>
        <v>0</v>
      </c>
      <c r="E226" s="532" t="str">
        <f>IF(Inventory!I223=0,"",Inventory!I223)</f>
        <v/>
      </c>
      <c r="F226" s="533" t="str">
        <f t="shared" si="89"/>
        <v/>
      </c>
      <c r="G226" s="534" t="str">
        <f>IF(Inventory!G223="","",Inventory!G223)</f>
        <v/>
      </c>
      <c r="H226" s="535" t="str">
        <f t="shared" si="90"/>
        <v/>
      </c>
      <c r="I226" s="536" t="str">
        <f>IF(Inventory!J223="","",Inventory!J223)</f>
        <v/>
      </c>
      <c r="J226" s="537" t="str">
        <f>IFERROR(IF(PRJ_Type="New Construction",IF(Inventory!C223="N",INDEX(xyLPD_BuildingArea,MATCH(Building_Type,Lookups!$F$37:$F$75,0),4),INDEX(xyLPD_SpaceBySpace,MATCH(INDEX(xyNCEx,MATCH(I226,yNCExArea,0),2),ySpace_by_Space_Type,0),2)),VLOOKUP(E226,xyWattage_Table,11,FALSE)),"")</f>
        <v/>
      </c>
      <c r="K226" s="538" t="str">
        <f>IFERROR(IF(AND(NC_Type="Building Area Method",Inventory!C223="N"),IF(ISERROR(INDEX('Usage Groups (&gt;120 MWh only)'!$N$8:$N$12,MATCH(C226,'Usage Groups (&gt;120 MWh only)'!$B$8:$B$12,0),1))=TRUE,SqFt/COUNTIFS(Inventory!$C$10:$C$1009,"N",$Q$13:$Q$1012,"&gt;=0"),INDEX('Usage Groups (&gt;120 MWh only)'!$N$8:$N$12,MATCH(C226,'Usage Groups (&gt;120 MWh only)'!$B$8:$B$12,0),1)/COUNTIF($C$13:$C$1012,C226)),IF(AND(NC_Type="Building Area Method",Inventory!C223="Y"),INDEX(xyNCEx,MATCH(I226,yNCExArea,0),3)/COUNTIF($I$13:$I$1012,I226),VLOOKUP(J226,xyWattage_Table,10,FALSE))),"")</f>
        <v/>
      </c>
      <c r="L226" s="539" t="str">
        <f t="shared" si="91"/>
        <v/>
      </c>
      <c r="M226" s="540">
        <f>IF(Inventory!N223="","",Inventory!N223)</f>
        <v>0</v>
      </c>
      <c r="N226" s="533" t="str">
        <f t="shared" si="92"/>
        <v/>
      </c>
      <c r="O226" s="534"/>
      <c r="P226" s="533" t="str">
        <f t="shared" si="93"/>
        <v/>
      </c>
      <c r="Q226" s="534" t="str">
        <f>IF(Inventory!L223="","",Inventory!L223)</f>
        <v/>
      </c>
      <c r="R226" s="535" t="str">
        <f t="shared" si="94"/>
        <v/>
      </c>
      <c r="S226" s="536" t="str">
        <f>IF(Inventory!O223="","",Inventory!O223)</f>
        <v/>
      </c>
      <c r="T226" s="541" t="str">
        <f>IFERROR(IF(C226="","",IF(INDEX(xyWattage_Table,MATCH(M226,'Fixture Identities'!$B$9:$B$997,0),2)="Exit Sign",8760,IF(VLOOKUP(C226,xySpace_Type_Details,8,FALSE)="TRM",INDEX('General Information'!$AF$17:$AG$28,11,MATCH(N226,'General Information'!$AF$16:$AG$16,0)),HLOOKUP(VLOOKUP(C226,xySpace_Type_Details,8,FALSE),'General Information'!$P$15:$AG$28,13,FALSE)))),"")</f>
        <v/>
      </c>
      <c r="U226" s="542" t="str">
        <f>IFERROR(IF(C226="","",IF(INDEX(xyWattage_Table,MATCH(M226,'Fixture Identities'!$B$9:$B$997,0),2)="Exit Sign",1,IF(VLOOKUP(C226,xySpace_Type_Details,8,FALSE)="TRM",INDEX('General Information'!$AF$17:$AG$28,12,MATCH(N226,'General Information'!$AF$16:$AG$16,0)),HLOOKUP(VLOOKUP(C226,xySpace_Type_Details,8,FALSE),'General Information'!$P$15:$AG$28,14,FALSE)))),"")</f>
        <v/>
      </c>
      <c r="V226" s="542" t="str">
        <f>IFERROR(VLOOKUP(INDEX(xySpace_Type_Details,MATCH($C226,'General Information'!$C$40:$C$60,0),12),Lookups!$L$8:$N$12,2,FALSE),"")</f>
        <v/>
      </c>
      <c r="W226" s="542" t="str">
        <f>IFERROR(VLOOKUP(INDEX(xySpace_Type_Details,MATCH($C226,'General Information'!$C$40:$C$60,0),12),Lookups!$L$8:$N$12,3,FALSE),"")</f>
        <v/>
      </c>
      <c r="Y226" s="542" t="str">
        <f>IFERROR(IF(C226="","",IF(INDEX(xyWattage_Table,MATCH(M226,'Fixture Identities'!$B$9:$B$997,0),2)="Exit Sign",0,IF(PRJ_Type="Retrofit",VLOOKUP(I226,xySVG_Factors,2,FALSE),IF(AND(PRJ_Type="New Construction",Inventory!C223="N"),VLOOKUP(VLOOKUP(Building_Type,xyLPD_BuildingArea,5,FALSE),xySVG_Factors_NC,3,FALSE),0)))),"")</f>
        <v/>
      </c>
      <c r="Z226" s="544" t="str">
        <f>IFERROR(IF(C226="","",IF(INDEX(xyWattage_Table,MATCH(M226,'Fixture Identities'!$B$9:$B$997,0),2)="Exit Sign",0,VLOOKUP(S226,xySVG_Factors,2,FALSE))),"")</f>
        <v/>
      </c>
      <c r="AA226" s="545" t="str">
        <f t="shared" si="95"/>
        <v/>
      </c>
      <c r="AB226" s="542" t="str">
        <f t="shared" si="96"/>
        <v/>
      </c>
      <c r="AC226" s="539" t="str">
        <f t="shared" si="97"/>
        <v/>
      </c>
      <c r="AD226" s="546" t="str">
        <f t="shared" si="98"/>
        <v/>
      </c>
      <c r="AE226" s="539" t="str">
        <f t="shared" si="99"/>
        <v/>
      </c>
      <c r="AF226" s="546" t="str">
        <f t="shared" si="100"/>
        <v/>
      </c>
      <c r="AG226" s="539" t="str">
        <f t="shared" si="101"/>
        <v/>
      </c>
      <c r="AH226" s="32">
        <f t="shared" si="82"/>
        <v>0</v>
      </c>
      <c r="AI226" s="32">
        <f t="shared" si="83"/>
        <v>0</v>
      </c>
      <c r="AJ226" s="32">
        <f t="shared" si="84"/>
        <v>0</v>
      </c>
      <c r="AK226" t="str">
        <f t="shared" si="85"/>
        <v/>
      </c>
      <c r="AL226" t="str">
        <f t="shared" si="86"/>
        <v/>
      </c>
      <c r="AM226" t="str">
        <f t="shared" si="87"/>
        <v/>
      </c>
      <c r="AO226" t="str">
        <f>IFERROR(VLOOKUP(M226,'Fixture Identities'!$B$9:$O$1045,14,FALSE),"")</f>
        <v/>
      </c>
      <c r="AP226" t="str">
        <f t="shared" si="81"/>
        <v/>
      </c>
    </row>
    <row r="227" spans="1:42">
      <c r="A227" s="71">
        <f t="shared" si="102"/>
        <v>0</v>
      </c>
      <c r="B227" s="513">
        <f t="shared" si="88"/>
        <v>215</v>
      </c>
      <c r="C227" s="530" t="str">
        <f>IF(Inventory!E224="","",Inventory!E224)</f>
        <v/>
      </c>
      <c r="D227" s="531">
        <f>IF(Inventory!D224="",0,Inventory!D224)</f>
        <v>0</v>
      </c>
      <c r="E227" s="532" t="str">
        <f>IF(Inventory!I224=0,"",Inventory!I224)</f>
        <v/>
      </c>
      <c r="F227" s="533" t="str">
        <f t="shared" si="89"/>
        <v/>
      </c>
      <c r="G227" s="534" t="str">
        <f>IF(Inventory!G224="","",Inventory!G224)</f>
        <v/>
      </c>
      <c r="H227" s="535" t="str">
        <f t="shared" si="90"/>
        <v/>
      </c>
      <c r="I227" s="536" t="str">
        <f>IF(Inventory!J224="","",Inventory!J224)</f>
        <v/>
      </c>
      <c r="J227" s="537" t="str">
        <f>IFERROR(IF(PRJ_Type="New Construction",IF(Inventory!C224="N",INDEX(xyLPD_BuildingArea,MATCH(Building_Type,Lookups!$F$37:$F$75,0),4),INDEX(xyLPD_SpaceBySpace,MATCH(INDEX(xyNCEx,MATCH(I227,yNCExArea,0),2),ySpace_by_Space_Type,0),2)),VLOOKUP(E227,xyWattage_Table,11,FALSE)),"")</f>
        <v/>
      </c>
      <c r="K227" s="538" t="str">
        <f>IFERROR(IF(AND(NC_Type="Building Area Method",Inventory!C224="N"),IF(ISERROR(INDEX('Usage Groups (&gt;120 MWh only)'!$N$8:$N$12,MATCH(C227,'Usage Groups (&gt;120 MWh only)'!$B$8:$B$12,0),1))=TRUE,SqFt/COUNTIFS(Inventory!$C$10:$C$1009,"N",$Q$13:$Q$1012,"&gt;=0"),INDEX('Usage Groups (&gt;120 MWh only)'!$N$8:$N$12,MATCH(C227,'Usage Groups (&gt;120 MWh only)'!$B$8:$B$12,0),1)/COUNTIF($C$13:$C$1012,C227)),IF(AND(NC_Type="Building Area Method",Inventory!C224="Y"),INDEX(xyNCEx,MATCH(I227,yNCExArea,0),3)/COUNTIF($I$13:$I$1012,I227),VLOOKUP(J227,xyWattage_Table,10,FALSE))),"")</f>
        <v/>
      </c>
      <c r="L227" s="539" t="str">
        <f t="shared" si="91"/>
        <v/>
      </c>
      <c r="M227" s="540">
        <f>IF(Inventory!N224="","",Inventory!N224)</f>
        <v>0</v>
      </c>
      <c r="N227" s="533" t="str">
        <f t="shared" si="92"/>
        <v/>
      </c>
      <c r="O227" s="534"/>
      <c r="P227" s="533" t="str">
        <f t="shared" si="93"/>
        <v/>
      </c>
      <c r="Q227" s="534" t="str">
        <f>IF(Inventory!L224="","",Inventory!L224)</f>
        <v/>
      </c>
      <c r="R227" s="535" t="str">
        <f t="shared" si="94"/>
        <v/>
      </c>
      <c r="S227" s="536" t="str">
        <f>IF(Inventory!O224="","",Inventory!O224)</f>
        <v/>
      </c>
      <c r="T227" s="541" t="str">
        <f>IFERROR(IF(C227="","",IF(INDEX(xyWattage_Table,MATCH(M227,'Fixture Identities'!$B$9:$B$997,0),2)="Exit Sign",8760,IF(VLOOKUP(C227,xySpace_Type_Details,8,FALSE)="TRM",INDEX('General Information'!$AF$17:$AG$28,11,MATCH(N227,'General Information'!$AF$16:$AG$16,0)),HLOOKUP(VLOOKUP(C227,xySpace_Type_Details,8,FALSE),'General Information'!$P$15:$AG$28,13,FALSE)))),"")</f>
        <v/>
      </c>
      <c r="U227" s="542" t="str">
        <f>IFERROR(IF(C227="","",IF(INDEX(xyWattage_Table,MATCH(M227,'Fixture Identities'!$B$9:$B$997,0),2)="Exit Sign",1,IF(VLOOKUP(C227,xySpace_Type_Details,8,FALSE)="TRM",INDEX('General Information'!$AF$17:$AG$28,12,MATCH(N227,'General Information'!$AF$16:$AG$16,0)),HLOOKUP(VLOOKUP(C227,xySpace_Type_Details,8,FALSE),'General Information'!$P$15:$AG$28,14,FALSE)))),"")</f>
        <v/>
      </c>
      <c r="V227" s="542" t="str">
        <f>IFERROR(VLOOKUP(INDEX(xySpace_Type_Details,MATCH($C227,'General Information'!$C$40:$C$60,0),12),Lookups!$L$8:$N$12,2,FALSE),"")</f>
        <v/>
      </c>
      <c r="W227" s="542" t="str">
        <f>IFERROR(VLOOKUP(INDEX(xySpace_Type_Details,MATCH($C227,'General Information'!$C$40:$C$60,0),12),Lookups!$L$8:$N$12,3,FALSE),"")</f>
        <v/>
      </c>
      <c r="Y227" s="542" t="str">
        <f>IFERROR(IF(C227="","",IF(INDEX(xyWattage_Table,MATCH(M227,'Fixture Identities'!$B$9:$B$997,0),2)="Exit Sign",0,IF(PRJ_Type="Retrofit",VLOOKUP(I227,xySVG_Factors,2,FALSE),IF(AND(PRJ_Type="New Construction",Inventory!C224="N"),VLOOKUP(VLOOKUP(Building_Type,xyLPD_BuildingArea,5,FALSE),xySVG_Factors_NC,3,FALSE),0)))),"")</f>
        <v/>
      </c>
      <c r="Z227" s="544" t="str">
        <f>IFERROR(IF(C227="","",IF(INDEX(xyWattage_Table,MATCH(M227,'Fixture Identities'!$B$9:$B$997,0),2)="Exit Sign",0,VLOOKUP(S227,xySVG_Factors,2,FALSE))),"")</f>
        <v/>
      </c>
      <c r="AA227" s="545" t="str">
        <f t="shared" si="95"/>
        <v/>
      </c>
      <c r="AB227" s="542" t="str">
        <f t="shared" si="96"/>
        <v/>
      </c>
      <c r="AC227" s="539" t="str">
        <f t="shared" si="97"/>
        <v/>
      </c>
      <c r="AD227" s="546" t="str">
        <f t="shared" si="98"/>
        <v/>
      </c>
      <c r="AE227" s="539" t="str">
        <f t="shared" si="99"/>
        <v/>
      </c>
      <c r="AF227" s="546" t="str">
        <f t="shared" si="100"/>
        <v/>
      </c>
      <c r="AG227" s="539" t="str">
        <f t="shared" si="101"/>
        <v/>
      </c>
      <c r="AH227" s="32">
        <f t="shared" si="82"/>
        <v>0</v>
      </c>
      <c r="AI227" s="32">
        <f t="shared" si="83"/>
        <v>0</v>
      </c>
      <c r="AJ227" s="32">
        <f t="shared" si="84"/>
        <v>0</v>
      </c>
      <c r="AK227" t="str">
        <f t="shared" si="85"/>
        <v/>
      </c>
      <c r="AL227" t="str">
        <f t="shared" si="86"/>
        <v/>
      </c>
      <c r="AM227" t="str">
        <f t="shared" si="87"/>
        <v/>
      </c>
      <c r="AO227" t="str">
        <f>IFERROR(VLOOKUP(M227,'Fixture Identities'!$B$9:$O$1045,14,FALSE),"")</f>
        <v/>
      </c>
      <c r="AP227" t="str">
        <f t="shared" si="81"/>
        <v/>
      </c>
    </row>
    <row r="228" spans="1:42">
      <c r="A228" s="71">
        <f t="shared" si="102"/>
        <v>0</v>
      </c>
      <c r="B228" s="513">
        <f t="shared" si="88"/>
        <v>216</v>
      </c>
      <c r="C228" s="530" t="str">
        <f>IF(Inventory!E225="","",Inventory!E225)</f>
        <v/>
      </c>
      <c r="D228" s="531">
        <f>IF(Inventory!D225="",0,Inventory!D225)</f>
        <v>0</v>
      </c>
      <c r="E228" s="532" t="str">
        <f>IF(Inventory!I225=0,"",Inventory!I225)</f>
        <v/>
      </c>
      <c r="F228" s="533" t="str">
        <f t="shared" si="89"/>
        <v/>
      </c>
      <c r="G228" s="534" t="str">
        <f>IF(Inventory!G225="","",Inventory!G225)</f>
        <v/>
      </c>
      <c r="H228" s="535" t="str">
        <f t="shared" si="90"/>
        <v/>
      </c>
      <c r="I228" s="536" t="str">
        <f>IF(Inventory!J225="","",Inventory!J225)</f>
        <v/>
      </c>
      <c r="J228" s="537" t="str">
        <f>IFERROR(IF(PRJ_Type="New Construction",IF(Inventory!C225="N",INDEX(xyLPD_BuildingArea,MATCH(Building_Type,Lookups!$F$37:$F$75,0),4),INDEX(xyLPD_SpaceBySpace,MATCH(INDEX(xyNCEx,MATCH(I228,yNCExArea,0),2),ySpace_by_Space_Type,0),2)),VLOOKUP(E228,xyWattage_Table,11,FALSE)),"")</f>
        <v/>
      </c>
      <c r="K228" s="538" t="str">
        <f>IFERROR(IF(AND(NC_Type="Building Area Method",Inventory!C225="N"),IF(ISERROR(INDEX('Usage Groups (&gt;120 MWh only)'!$N$8:$N$12,MATCH(C228,'Usage Groups (&gt;120 MWh only)'!$B$8:$B$12,0),1))=TRUE,SqFt/COUNTIFS(Inventory!$C$10:$C$1009,"N",$Q$13:$Q$1012,"&gt;=0"),INDEX('Usage Groups (&gt;120 MWh only)'!$N$8:$N$12,MATCH(C228,'Usage Groups (&gt;120 MWh only)'!$B$8:$B$12,0),1)/COUNTIF($C$13:$C$1012,C228)),IF(AND(NC_Type="Building Area Method",Inventory!C225="Y"),INDEX(xyNCEx,MATCH(I228,yNCExArea,0),3)/COUNTIF($I$13:$I$1012,I228),VLOOKUP(J228,xyWattage_Table,10,FALSE))),"")</f>
        <v/>
      </c>
      <c r="L228" s="539" t="str">
        <f t="shared" si="91"/>
        <v/>
      </c>
      <c r="M228" s="540">
        <f>IF(Inventory!N225="","",Inventory!N225)</f>
        <v>0</v>
      </c>
      <c r="N228" s="533" t="str">
        <f t="shared" si="92"/>
        <v/>
      </c>
      <c r="O228" s="534"/>
      <c r="P228" s="533" t="str">
        <f t="shared" si="93"/>
        <v/>
      </c>
      <c r="Q228" s="534" t="str">
        <f>IF(Inventory!L225="","",Inventory!L225)</f>
        <v/>
      </c>
      <c r="R228" s="535" t="str">
        <f t="shared" si="94"/>
        <v/>
      </c>
      <c r="S228" s="536" t="str">
        <f>IF(Inventory!O225="","",Inventory!O225)</f>
        <v/>
      </c>
      <c r="T228" s="541" t="str">
        <f>IFERROR(IF(C228="","",IF(INDEX(xyWattage_Table,MATCH(M228,'Fixture Identities'!$B$9:$B$997,0),2)="Exit Sign",8760,IF(VLOOKUP(C228,xySpace_Type_Details,8,FALSE)="TRM",INDEX('General Information'!$AF$17:$AG$28,11,MATCH(N228,'General Information'!$AF$16:$AG$16,0)),HLOOKUP(VLOOKUP(C228,xySpace_Type_Details,8,FALSE),'General Information'!$P$15:$AG$28,13,FALSE)))),"")</f>
        <v/>
      </c>
      <c r="U228" s="542" t="str">
        <f>IFERROR(IF(C228="","",IF(INDEX(xyWattage_Table,MATCH(M228,'Fixture Identities'!$B$9:$B$997,0),2)="Exit Sign",1,IF(VLOOKUP(C228,xySpace_Type_Details,8,FALSE)="TRM",INDEX('General Information'!$AF$17:$AG$28,12,MATCH(N228,'General Information'!$AF$16:$AG$16,0)),HLOOKUP(VLOOKUP(C228,xySpace_Type_Details,8,FALSE),'General Information'!$P$15:$AG$28,14,FALSE)))),"")</f>
        <v/>
      </c>
      <c r="V228" s="542" t="str">
        <f>IFERROR(VLOOKUP(INDEX(xySpace_Type_Details,MATCH($C228,'General Information'!$C$40:$C$60,0),12),Lookups!$L$8:$N$12,2,FALSE),"")</f>
        <v/>
      </c>
      <c r="W228" s="542" t="str">
        <f>IFERROR(VLOOKUP(INDEX(xySpace_Type_Details,MATCH($C228,'General Information'!$C$40:$C$60,0),12),Lookups!$L$8:$N$12,3,FALSE),"")</f>
        <v/>
      </c>
      <c r="Y228" s="542" t="str">
        <f>IFERROR(IF(C228="","",IF(INDEX(xyWattage_Table,MATCH(M228,'Fixture Identities'!$B$9:$B$997,0),2)="Exit Sign",0,IF(PRJ_Type="Retrofit",VLOOKUP(I228,xySVG_Factors,2,FALSE),IF(AND(PRJ_Type="New Construction",Inventory!C225="N"),VLOOKUP(VLOOKUP(Building_Type,xyLPD_BuildingArea,5,FALSE),xySVG_Factors_NC,3,FALSE),0)))),"")</f>
        <v/>
      </c>
      <c r="Z228" s="544" t="str">
        <f>IFERROR(IF(C228="","",IF(INDEX(xyWattage_Table,MATCH(M228,'Fixture Identities'!$B$9:$B$997,0),2)="Exit Sign",0,VLOOKUP(S228,xySVG_Factors,2,FALSE))),"")</f>
        <v/>
      </c>
      <c r="AA228" s="545" t="str">
        <f t="shared" si="95"/>
        <v/>
      </c>
      <c r="AB228" s="542" t="str">
        <f t="shared" si="96"/>
        <v/>
      </c>
      <c r="AC228" s="539" t="str">
        <f t="shared" si="97"/>
        <v/>
      </c>
      <c r="AD228" s="546" t="str">
        <f t="shared" si="98"/>
        <v/>
      </c>
      <c r="AE228" s="539" t="str">
        <f t="shared" si="99"/>
        <v/>
      </c>
      <c r="AF228" s="546" t="str">
        <f t="shared" si="100"/>
        <v/>
      </c>
      <c r="AG228" s="539" t="str">
        <f t="shared" si="101"/>
        <v/>
      </c>
      <c r="AH228" s="32">
        <f t="shared" si="82"/>
        <v>0</v>
      </c>
      <c r="AI228" s="32">
        <f t="shared" si="83"/>
        <v>0</v>
      </c>
      <c r="AJ228" s="32">
        <f t="shared" si="84"/>
        <v>0</v>
      </c>
      <c r="AK228" t="str">
        <f t="shared" si="85"/>
        <v/>
      </c>
      <c r="AL228" t="str">
        <f t="shared" si="86"/>
        <v/>
      </c>
      <c r="AM228" t="str">
        <f t="shared" si="87"/>
        <v/>
      </c>
      <c r="AO228" t="str">
        <f>IFERROR(VLOOKUP(M228,'Fixture Identities'!$B$9:$O$1045,14,FALSE),"")</f>
        <v/>
      </c>
      <c r="AP228" t="str">
        <f t="shared" si="81"/>
        <v/>
      </c>
    </row>
    <row r="229" spans="1:42">
      <c r="A229" s="71">
        <f t="shared" si="102"/>
        <v>0</v>
      </c>
      <c r="B229" s="513">
        <f t="shared" si="88"/>
        <v>217</v>
      </c>
      <c r="C229" s="530" t="str">
        <f>IF(Inventory!E226="","",Inventory!E226)</f>
        <v/>
      </c>
      <c r="D229" s="531">
        <f>IF(Inventory!D226="",0,Inventory!D226)</f>
        <v>0</v>
      </c>
      <c r="E229" s="532" t="str">
        <f>IF(Inventory!I226=0,"",Inventory!I226)</f>
        <v/>
      </c>
      <c r="F229" s="533" t="str">
        <f t="shared" si="89"/>
        <v/>
      </c>
      <c r="G229" s="534" t="str">
        <f>IF(Inventory!G226="","",Inventory!G226)</f>
        <v/>
      </c>
      <c r="H229" s="535" t="str">
        <f t="shared" si="90"/>
        <v/>
      </c>
      <c r="I229" s="536" t="str">
        <f>IF(Inventory!J226="","",Inventory!J226)</f>
        <v/>
      </c>
      <c r="J229" s="537" t="str">
        <f>IFERROR(IF(PRJ_Type="New Construction",IF(Inventory!C226="N",INDEX(xyLPD_BuildingArea,MATCH(Building_Type,Lookups!$F$37:$F$75,0),4),INDEX(xyLPD_SpaceBySpace,MATCH(INDEX(xyNCEx,MATCH(I229,yNCExArea,0),2),ySpace_by_Space_Type,0),2)),VLOOKUP(E229,xyWattage_Table,11,FALSE)),"")</f>
        <v/>
      </c>
      <c r="K229" s="538" t="str">
        <f>IFERROR(IF(AND(NC_Type="Building Area Method",Inventory!C226="N"),IF(ISERROR(INDEX('Usage Groups (&gt;120 MWh only)'!$N$8:$N$12,MATCH(C229,'Usage Groups (&gt;120 MWh only)'!$B$8:$B$12,0),1))=TRUE,SqFt/COUNTIFS(Inventory!$C$10:$C$1009,"N",$Q$13:$Q$1012,"&gt;=0"),INDEX('Usage Groups (&gt;120 MWh only)'!$N$8:$N$12,MATCH(C229,'Usage Groups (&gt;120 MWh only)'!$B$8:$B$12,0),1)/COUNTIF($C$13:$C$1012,C229)),IF(AND(NC_Type="Building Area Method",Inventory!C226="Y"),INDEX(xyNCEx,MATCH(I229,yNCExArea,0),3)/COUNTIF($I$13:$I$1012,I229),VLOOKUP(J229,xyWattage_Table,10,FALSE))),"")</f>
        <v/>
      </c>
      <c r="L229" s="539" t="str">
        <f t="shared" si="91"/>
        <v/>
      </c>
      <c r="M229" s="540">
        <f>IF(Inventory!N226="","",Inventory!N226)</f>
        <v>0</v>
      </c>
      <c r="N229" s="533" t="str">
        <f t="shared" si="92"/>
        <v/>
      </c>
      <c r="O229" s="534"/>
      <c r="P229" s="533" t="str">
        <f t="shared" si="93"/>
        <v/>
      </c>
      <c r="Q229" s="534" t="str">
        <f>IF(Inventory!L226="","",Inventory!L226)</f>
        <v/>
      </c>
      <c r="R229" s="535" t="str">
        <f t="shared" si="94"/>
        <v/>
      </c>
      <c r="S229" s="536" t="str">
        <f>IF(Inventory!O226="","",Inventory!O226)</f>
        <v/>
      </c>
      <c r="T229" s="541" t="str">
        <f>IFERROR(IF(C229="","",IF(INDEX(xyWattage_Table,MATCH(M229,'Fixture Identities'!$B$9:$B$997,0),2)="Exit Sign",8760,IF(VLOOKUP(C229,xySpace_Type_Details,8,FALSE)="TRM",INDEX('General Information'!$AF$17:$AG$28,11,MATCH(N229,'General Information'!$AF$16:$AG$16,0)),HLOOKUP(VLOOKUP(C229,xySpace_Type_Details,8,FALSE),'General Information'!$P$15:$AG$28,13,FALSE)))),"")</f>
        <v/>
      </c>
      <c r="U229" s="542" t="str">
        <f>IFERROR(IF(C229="","",IF(INDEX(xyWattage_Table,MATCH(M229,'Fixture Identities'!$B$9:$B$997,0),2)="Exit Sign",1,IF(VLOOKUP(C229,xySpace_Type_Details,8,FALSE)="TRM",INDEX('General Information'!$AF$17:$AG$28,12,MATCH(N229,'General Information'!$AF$16:$AG$16,0)),HLOOKUP(VLOOKUP(C229,xySpace_Type_Details,8,FALSE),'General Information'!$P$15:$AG$28,14,FALSE)))),"")</f>
        <v/>
      </c>
      <c r="V229" s="542" t="str">
        <f>IFERROR(VLOOKUP(INDEX(xySpace_Type_Details,MATCH($C229,'General Information'!$C$40:$C$60,0),12),Lookups!$L$8:$N$12,2,FALSE),"")</f>
        <v/>
      </c>
      <c r="W229" s="542" t="str">
        <f>IFERROR(VLOOKUP(INDEX(xySpace_Type_Details,MATCH($C229,'General Information'!$C$40:$C$60,0),12),Lookups!$L$8:$N$12,3,FALSE),"")</f>
        <v/>
      </c>
      <c r="Y229" s="542" t="str">
        <f>IFERROR(IF(C229="","",IF(INDEX(xyWattage_Table,MATCH(M229,'Fixture Identities'!$B$9:$B$997,0),2)="Exit Sign",0,IF(PRJ_Type="Retrofit",VLOOKUP(I229,xySVG_Factors,2,FALSE),IF(AND(PRJ_Type="New Construction",Inventory!C226="N"),VLOOKUP(VLOOKUP(Building_Type,xyLPD_BuildingArea,5,FALSE),xySVG_Factors_NC,3,FALSE),0)))),"")</f>
        <v/>
      </c>
      <c r="Z229" s="544" t="str">
        <f>IFERROR(IF(C229="","",IF(INDEX(xyWattage_Table,MATCH(M229,'Fixture Identities'!$B$9:$B$997,0),2)="Exit Sign",0,VLOOKUP(S229,xySVG_Factors,2,FALSE))),"")</f>
        <v/>
      </c>
      <c r="AA229" s="545" t="str">
        <f t="shared" si="95"/>
        <v/>
      </c>
      <c r="AB229" s="542" t="str">
        <f t="shared" si="96"/>
        <v/>
      </c>
      <c r="AC229" s="539" t="str">
        <f t="shared" si="97"/>
        <v/>
      </c>
      <c r="AD229" s="546" t="str">
        <f t="shared" si="98"/>
        <v/>
      </c>
      <c r="AE229" s="539" t="str">
        <f t="shared" si="99"/>
        <v/>
      </c>
      <c r="AF229" s="546" t="str">
        <f t="shared" si="100"/>
        <v/>
      </c>
      <c r="AG229" s="539" t="str">
        <f t="shared" si="101"/>
        <v/>
      </c>
      <c r="AH229" s="32">
        <f t="shared" si="82"/>
        <v>0</v>
      </c>
      <c r="AI229" s="32">
        <f t="shared" si="83"/>
        <v>0</v>
      </c>
      <c r="AJ229" s="32">
        <f t="shared" si="84"/>
        <v>0</v>
      </c>
      <c r="AK229" t="str">
        <f t="shared" si="85"/>
        <v/>
      </c>
      <c r="AL229" t="str">
        <f t="shared" si="86"/>
        <v/>
      </c>
      <c r="AM229" t="str">
        <f t="shared" si="87"/>
        <v/>
      </c>
      <c r="AO229" t="str">
        <f>IFERROR(VLOOKUP(M229,'Fixture Identities'!$B$9:$O$1045,14,FALSE),"")</f>
        <v/>
      </c>
      <c r="AP229" t="str">
        <f t="shared" si="81"/>
        <v/>
      </c>
    </row>
    <row r="230" spans="1:42">
      <c r="A230" s="71">
        <f t="shared" si="102"/>
        <v>0</v>
      </c>
      <c r="B230" s="513">
        <f t="shared" si="88"/>
        <v>218</v>
      </c>
      <c r="C230" s="530" t="str">
        <f>IF(Inventory!E227="","",Inventory!E227)</f>
        <v/>
      </c>
      <c r="D230" s="531">
        <f>IF(Inventory!D227="",0,Inventory!D227)</f>
        <v>0</v>
      </c>
      <c r="E230" s="532" t="str">
        <f>IF(Inventory!I227=0,"",Inventory!I227)</f>
        <v/>
      </c>
      <c r="F230" s="533" t="str">
        <f t="shared" si="89"/>
        <v/>
      </c>
      <c r="G230" s="534" t="str">
        <f>IF(Inventory!G227="","",Inventory!G227)</f>
        <v/>
      </c>
      <c r="H230" s="535" t="str">
        <f t="shared" si="90"/>
        <v/>
      </c>
      <c r="I230" s="536" t="str">
        <f>IF(Inventory!J227="","",Inventory!J227)</f>
        <v/>
      </c>
      <c r="J230" s="537" t="str">
        <f>IFERROR(IF(PRJ_Type="New Construction",IF(Inventory!C227="N",INDEX(xyLPD_BuildingArea,MATCH(Building_Type,Lookups!$F$37:$F$75,0),4),INDEX(xyLPD_SpaceBySpace,MATCH(INDEX(xyNCEx,MATCH(I230,yNCExArea,0),2),ySpace_by_Space_Type,0),2)),VLOOKUP(E230,xyWattage_Table,11,FALSE)),"")</f>
        <v/>
      </c>
      <c r="K230" s="538" t="str">
        <f>IFERROR(IF(AND(NC_Type="Building Area Method",Inventory!C227="N"),IF(ISERROR(INDEX('Usage Groups (&gt;120 MWh only)'!$N$8:$N$12,MATCH(C230,'Usage Groups (&gt;120 MWh only)'!$B$8:$B$12,0),1))=TRUE,SqFt/COUNTIFS(Inventory!$C$10:$C$1009,"N",$Q$13:$Q$1012,"&gt;=0"),INDEX('Usage Groups (&gt;120 MWh only)'!$N$8:$N$12,MATCH(C230,'Usage Groups (&gt;120 MWh only)'!$B$8:$B$12,0),1)/COUNTIF($C$13:$C$1012,C230)),IF(AND(NC_Type="Building Area Method",Inventory!C227="Y"),INDEX(xyNCEx,MATCH(I230,yNCExArea,0),3)/COUNTIF($I$13:$I$1012,I230),VLOOKUP(J230,xyWattage_Table,10,FALSE))),"")</f>
        <v/>
      </c>
      <c r="L230" s="539" t="str">
        <f t="shared" si="91"/>
        <v/>
      </c>
      <c r="M230" s="540">
        <f>IF(Inventory!N227="","",Inventory!N227)</f>
        <v>0</v>
      </c>
      <c r="N230" s="533" t="str">
        <f t="shared" si="92"/>
        <v/>
      </c>
      <c r="O230" s="534"/>
      <c r="P230" s="533" t="str">
        <f t="shared" si="93"/>
        <v/>
      </c>
      <c r="Q230" s="534" t="str">
        <f>IF(Inventory!L227="","",Inventory!L227)</f>
        <v/>
      </c>
      <c r="R230" s="535" t="str">
        <f t="shared" si="94"/>
        <v/>
      </c>
      <c r="S230" s="536" t="str">
        <f>IF(Inventory!O227="","",Inventory!O227)</f>
        <v/>
      </c>
      <c r="T230" s="541" t="str">
        <f>IFERROR(IF(C230="","",IF(INDEX(xyWattage_Table,MATCH(M230,'Fixture Identities'!$B$9:$B$997,0),2)="Exit Sign",8760,IF(VLOOKUP(C230,xySpace_Type_Details,8,FALSE)="TRM",INDEX('General Information'!$AF$17:$AG$28,11,MATCH(N230,'General Information'!$AF$16:$AG$16,0)),HLOOKUP(VLOOKUP(C230,xySpace_Type_Details,8,FALSE),'General Information'!$P$15:$AG$28,13,FALSE)))),"")</f>
        <v/>
      </c>
      <c r="U230" s="542" t="str">
        <f>IFERROR(IF(C230="","",IF(INDEX(xyWattage_Table,MATCH(M230,'Fixture Identities'!$B$9:$B$997,0),2)="Exit Sign",1,IF(VLOOKUP(C230,xySpace_Type_Details,8,FALSE)="TRM",INDEX('General Information'!$AF$17:$AG$28,12,MATCH(N230,'General Information'!$AF$16:$AG$16,0)),HLOOKUP(VLOOKUP(C230,xySpace_Type_Details,8,FALSE),'General Information'!$P$15:$AG$28,14,FALSE)))),"")</f>
        <v/>
      </c>
      <c r="V230" s="542" t="str">
        <f>IFERROR(VLOOKUP(INDEX(xySpace_Type_Details,MATCH($C230,'General Information'!$C$40:$C$60,0),12),Lookups!$L$8:$N$12,2,FALSE),"")</f>
        <v/>
      </c>
      <c r="W230" s="542" t="str">
        <f>IFERROR(VLOOKUP(INDEX(xySpace_Type_Details,MATCH($C230,'General Information'!$C$40:$C$60,0),12),Lookups!$L$8:$N$12,3,FALSE),"")</f>
        <v/>
      </c>
      <c r="Y230" s="542" t="str">
        <f>IFERROR(IF(C230="","",IF(INDEX(xyWattage_Table,MATCH(M230,'Fixture Identities'!$B$9:$B$997,0),2)="Exit Sign",0,IF(PRJ_Type="Retrofit",VLOOKUP(I230,xySVG_Factors,2,FALSE),IF(AND(PRJ_Type="New Construction",Inventory!C227="N"),VLOOKUP(VLOOKUP(Building_Type,xyLPD_BuildingArea,5,FALSE),xySVG_Factors_NC,3,FALSE),0)))),"")</f>
        <v/>
      </c>
      <c r="Z230" s="544" t="str">
        <f>IFERROR(IF(C230="","",IF(INDEX(xyWattage_Table,MATCH(M230,'Fixture Identities'!$B$9:$B$997,0),2)="Exit Sign",0,VLOOKUP(S230,xySVG_Factors,2,FALSE))),"")</f>
        <v/>
      </c>
      <c r="AA230" s="545" t="str">
        <f t="shared" si="95"/>
        <v/>
      </c>
      <c r="AB230" s="542" t="str">
        <f t="shared" si="96"/>
        <v/>
      </c>
      <c r="AC230" s="539" t="str">
        <f t="shared" si="97"/>
        <v/>
      </c>
      <c r="AD230" s="546" t="str">
        <f t="shared" si="98"/>
        <v/>
      </c>
      <c r="AE230" s="539" t="str">
        <f t="shared" si="99"/>
        <v/>
      </c>
      <c r="AF230" s="546" t="str">
        <f t="shared" si="100"/>
        <v/>
      </c>
      <c r="AG230" s="539" t="str">
        <f t="shared" si="101"/>
        <v/>
      </c>
      <c r="AH230" s="32">
        <f t="shared" si="82"/>
        <v>0</v>
      </c>
      <c r="AI230" s="32">
        <f t="shared" si="83"/>
        <v>0</v>
      </c>
      <c r="AJ230" s="32">
        <f t="shared" si="84"/>
        <v>0</v>
      </c>
      <c r="AK230" t="str">
        <f t="shared" si="85"/>
        <v/>
      </c>
      <c r="AL230" t="str">
        <f t="shared" si="86"/>
        <v/>
      </c>
      <c r="AM230" t="str">
        <f t="shared" si="87"/>
        <v/>
      </c>
      <c r="AO230" t="str">
        <f>IFERROR(VLOOKUP(M230,'Fixture Identities'!$B$9:$O$1045,14,FALSE),"")</f>
        <v/>
      </c>
      <c r="AP230" t="str">
        <f t="shared" si="81"/>
        <v/>
      </c>
    </row>
    <row r="231" spans="1:42">
      <c r="A231" s="71">
        <f t="shared" si="102"/>
        <v>0</v>
      </c>
      <c r="B231" s="513">
        <f t="shared" si="88"/>
        <v>219</v>
      </c>
      <c r="C231" s="530" t="str">
        <f>IF(Inventory!E228="","",Inventory!E228)</f>
        <v/>
      </c>
      <c r="D231" s="531">
        <f>IF(Inventory!D228="",0,Inventory!D228)</f>
        <v>0</v>
      </c>
      <c r="E231" s="532" t="str">
        <f>IF(Inventory!I228=0,"",Inventory!I228)</f>
        <v/>
      </c>
      <c r="F231" s="533" t="str">
        <f t="shared" si="89"/>
        <v/>
      </c>
      <c r="G231" s="534" t="str">
        <f>IF(Inventory!G228="","",Inventory!G228)</f>
        <v/>
      </c>
      <c r="H231" s="535" t="str">
        <f t="shared" si="90"/>
        <v/>
      </c>
      <c r="I231" s="536" t="str">
        <f>IF(Inventory!J228="","",Inventory!J228)</f>
        <v/>
      </c>
      <c r="J231" s="537" t="str">
        <f>IFERROR(IF(PRJ_Type="New Construction",IF(Inventory!C228="N",INDEX(xyLPD_BuildingArea,MATCH(Building_Type,Lookups!$F$37:$F$75,0),4),INDEX(xyLPD_SpaceBySpace,MATCH(INDEX(xyNCEx,MATCH(I231,yNCExArea,0),2),ySpace_by_Space_Type,0),2)),VLOOKUP(E231,xyWattage_Table,11,FALSE)),"")</f>
        <v/>
      </c>
      <c r="K231" s="538" t="str">
        <f>IFERROR(IF(AND(NC_Type="Building Area Method",Inventory!C228="N"),IF(ISERROR(INDEX('Usage Groups (&gt;120 MWh only)'!$N$8:$N$12,MATCH(C231,'Usage Groups (&gt;120 MWh only)'!$B$8:$B$12,0),1))=TRUE,SqFt/COUNTIFS(Inventory!$C$10:$C$1009,"N",$Q$13:$Q$1012,"&gt;=0"),INDEX('Usage Groups (&gt;120 MWh only)'!$N$8:$N$12,MATCH(C231,'Usage Groups (&gt;120 MWh only)'!$B$8:$B$12,0),1)/COUNTIF($C$13:$C$1012,C231)),IF(AND(NC_Type="Building Area Method",Inventory!C228="Y"),INDEX(xyNCEx,MATCH(I231,yNCExArea,0),3)/COUNTIF($I$13:$I$1012,I231),VLOOKUP(J231,xyWattage_Table,10,FALSE))),"")</f>
        <v/>
      </c>
      <c r="L231" s="539" t="str">
        <f t="shared" si="91"/>
        <v/>
      </c>
      <c r="M231" s="540">
        <f>IF(Inventory!N228="","",Inventory!N228)</f>
        <v>0</v>
      </c>
      <c r="N231" s="533" t="str">
        <f t="shared" si="92"/>
        <v/>
      </c>
      <c r="O231" s="534"/>
      <c r="P231" s="533" t="str">
        <f t="shared" si="93"/>
        <v/>
      </c>
      <c r="Q231" s="534" t="str">
        <f>IF(Inventory!L228="","",Inventory!L228)</f>
        <v/>
      </c>
      <c r="R231" s="535" t="str">
        <f t="shared" si="94"/>
        <v/>
      </c>
      <c r="S231" s="536" t="str">
        <f>IF(Inventory!O228="","",Inventory!O228)</f>
        <v/>
      </c>
      <c r="T231" s="541" t="str">
        <f>IFERROR(IF(C231="","",IF(INDEX(xyWattage_Table,MATCH(M231,'Fixture Identities'!$B$9:$B$997,0),2)="Exit Sign",8760,IF(VLOOKUP(C231,xySpace_Type_Details,8,FALSE)="TRM",INDEX('General Information'!$AF$17:$AG$28,11,MATCH(N231,'General Information'!$AF$16:$AG$16,0)),HLOOKUP(VLOOKUP(C231,xySpace_Type_Details,8,FALSE),'General Information'!$P$15:$AG$28,13,FALSE)))),"")</f>
        <v/>
      </c>
      <c r="U231" s="542" t="str">
        <f>IFERROR(IF(C231="","",IF(INDEX(xyWattage_Table,MATCH(M231,'Fixture Identities'!$B$9:$B$997,0),2)="Exit Sign",1,IF(VLOOKUP(C231,xySpace_Type_Details,8,FALSE)="TRM",INDEX('General Information'!$AF$17:$AG$28,12,MATCH(N231,'General Information'!$AF$16:$AG$16,0)),HLOOKUP(VLOOKUP(C231,xySpace_Type_Details,8,FALSE),'General Information'!$P$15:$AG$28,14,FALSE)))),"")</f>
        <v/>
      </c>
      <c r="V231" s="542" t="str">
        <f>IFERROR(VLOOKUP(INDEX(xySpace_Type_Details,MATCH($C231,'General Information'!$C$40:$C$60,0),12),Lookups!$L$8:$N$12,2,FALSE),"")</f>
        <v/>
      </c>
      <c r="W231" s="542" t="str">
        <f>IFERROR(VLOOKUP(INDEX(xySpace_Type_Details,MATCH($C231,'General Information'!$C$40:$C$60,0),12),Lookups!$L$8:$N$12,3,FALSE),"")</f>
        <v/>
      </c>
      <c r="Y231" s="542" t="str">
        <f>IFERROR(IF(C231="","",IF(INDEX(xyWattage_Table,MATCH(M231,'Fixture Identities'!$B$9:$B$997,0),2)="Exit Sign",0,IF(PRJ_Type="Retrofit",VLOOKUP(I231,xySVG_Factors,2,FALSE),IF(AND(PRJ_Type="New Construction",Inventory!C228="N"),VLOOKUP(VLOOKUP(Building_Type,xyLPD_BuildingArea,5,FALSE),xySVG_Factors_NC,3,FALSE),0)))),"")</f>
        <v/>
      </c>
      <c r="Z231" s="544" t="str">
        <f>IFERROR(IF(C231="","",IF(INDEX(xyWattage_Table,MATCH(M231,'Fixture Identities'!$B$9:$B$997,0),2)="Exit Sign",0,VLOOKUP(S231,xySVG_Factors,2,FALSE))),"")</f>
        <v/>
      </c>
      <c r="AA231" s="545" t="str">
        <f t="shared" si="95"/>
        <v/>
      </c>
      <c r="AB231" s="542" t="str">
        <f t="shared" si="96"/>
        <v/>
      </c>
      <c r="AC231" s="539" t="str">
        <f t="shared" si="97"/>
        <v/>
      </c>
      <c r="AD231" s="546" t="str">
        <f t="shared" si="98"/>
        <v/>
      </c>
      <c r="AE231" s="539" t="str">
        <f t="shared" si="99"/>
        <v/>
      </c>
      <c r="AF231" s="546" t="str">
        <f t="shared" si="100"/>
        <v/>
      </c>
      <c r="AG231" s="539" t="str">
        <f t="shared" si="101"/>
        <v/>
      </c>
      <c r="AH231" s="32">
        <f t="shared" si="82"/>
        <v>0</v>
      </c>
      <c r="AI231" s="32">
        <f t="shared" si="83"/>
        <v>0</v>
      </c>
      <c r="AJ231" s="32">
        <f t="shared" si="84"/>
        <v>0</v>
      </c>
      <c r="AK231" t="str">
        <f t="shared" si="85"/>
        <v/>
      </c>
      <c r="AL231" t="str">
        <f t="shared" si="86"/>
        <v/>
      </c>
      <c r="AM231" t="str">
        <f t="shared" si="87"/>
        <v/>
      </c>
      <c r="AO231" t="str">
        <f>IFERROR(VLOOKUP(M231,'Fixture Identities'!$B$9:$O$1045,14,FALSE),"")</f>
        <v/>
      </c>
      <c r="AP231" t="str">
        <f t="shared" si="81"/>
        <v/>
      </c>
    </row>
    <row r="232" spans="1:42">
      <c r="A232" s="71">
        <f t="shared" si="102"/>
        <v>0</v>
      </c>
      <c r="B232" s="513">
        <f t="shared" si="88"/>
        <v>220</v>
      </c>
      <c r="C232" s="530" t="str">
        <f>IF(Inventory!E229="","",Inventory!E229)</f>
        <v/>
      </c>
      <c r="D232" s="531">
        <f>IF(Inventory!D229="",0,Inventory!D229)</f>
        <v>0</v>
      </c>
      <c r="E232" s="532" t="str">
        <f>IF(Inventory!I229=0,"",Inventory!I229)</f>
        <v/>
      </c>
      <c r="F232" s="533" t="str">
        <f t="shared" si="89"/>
        <v/>
      </c>
      <c r="G232" s="534" t="str">
        <f>IF(Inventory!G229="","",Inventory!G229)</f>
        <v/>
      </c>
      <c r="H232" s="535" t="str">
        <f t="shared" si="90"/>
        <v/>
      </c>
      <c r="I232" s="536" t="str">
        <f>IF(Inventory!J229="","",Inventory!J229)</f>
        <v/>
      </c>
      <c r="J232" s="537" t="str">
        <f>IFERROR(IF(PRJ_Type="New Construction",IF(Inventory!C229="N",INDEX(xyLPD_BuildingArea,MATCH(Building_Type,Lookups!$F$37:$F$75,0),4),INDEX(xyLPD_SpaceBySpace,MATCH(INDEX(xyNCEx,MATCH(I232,yNCExArea,0),2),ySpace_by_Space_Type,0),2)),VLOOKUP(E232,xyWattage_Table,11,FALSE)),"")</f>
        <v/>
      </c>
      <c r="K232" s="538" t="str">
        <f>IFERROR(IF(AND(NC_Type="Building Area Method",Inventory!C229="N"),IF(ISERROR(INDEX('Usage Groups (&gt;120 MWh only)'!$N$8:$N$12,MATCH(C232,'Usage Groups (&gt;120 MWh only)'!$B$8:$B$12,0),1))=TRUE,SqFt/COUNTIFS(Inventory!$C$10:$C$1009,"N",$Q$13:$Q$1012,"&gt;=0"),INDEX('Usage Groups (&gt;120 MWh only)'!$N$8:$N$12,MATCH(C232,'Usage Groups (&gt;120 MWh only)'!$B$8:$B$12,0),1)/COUNTIF($C$13:$C$1012,C232)),IF(AND(NC_Type="Building Area Method",Inventory!C229="Y"),INDEX(xyNCEx,MATCH(I232,yNCExArea,0),3)/COUNTIF($I$13:$I$1012,I232),VLOOKUP(J232,xyWattage_Table,10,FALSE))),"")</f>
        <v/>
      </c>
      <c r="L232" s="539" t="str">
        <f t="shared" si="91"/>
        <v/>
      </c>
      <c r="M232" s="540">
        <f>IF(Inventory!N229="","",Inventory!N229)</f>
        <v>0</v>
      </c>
      <c r="N232" s="533" t="str">
        <f t="shared" si="92"/>
        <v/>
      </c>
      <c r="O232" s="534"/>
      <c r="P232" s="533" t="str">
        <f t="shared" si="93"/>
        <v/>
      </c>
      <c r="Q232" s="534" t="str">
        <f>IF(Inventory!L229="","",Inventory!L229)</f>
        <v/>
      </c>
      <c r="R232" s="535" t="str">
        <f t="shared" si="94"/>
        <v/>
      </c>
      <c r="S232" s="536" t="str">
        <f>IF(Inventory!O229="","",Inventory!O229)</f>
        <v/>
      </c>
      <c r="T232" s="541" t="str">
        <f>IFERROR(IF(C232="","",IF(INDEX(xyWattage_Table,MATCH(M232,'Fixture Identities'!$B$9:$B$997,0),2)="Exit Sign",8760,IF(VLOOKUP(C232,xySpace_Type_Details,8,FALSE)="TRM",INDEX('General Information'!$AF$17:$AG$28,11,MATCH(N232,'General Information'!$AF$16:$AG$16,0)),HLOOKUP(VLOOKUP(C232,xySpace_Type_Details,8,FALSE),'General Information'!$P$15:$AG$28,13,FALSE)))),"")</f>
        <v/>
      </c>
      <c r="U232" s="542" t="str">
        <f>IFERROR(IF(C232="","",IF(INDEX(xyWattage_Table,MATCH(M232,'Fixture Identities'!$B$9:$B$997,0),2)="Exit Sign",1,IF(VLOOKUP(C232,xySpace_Type_Details,8,FALSE)="TRM",INDEX('General Information'!$AF$17:$AG$28,12,MATCH(N232,'General Information'!$AF$16:$AG$16,0)),HLOOKUP(VLOOKUP(C232,xySpace_Type_Details,8,FALSE),'General Information'!$P$15:$AG$28,14,FALSE)))),"")</f>
        <v/>
      </c>
      <c r="V232" s="542" t="str">
        <f>IFERROR(VLOOKUP(INDEX(xySpace_Type_Details,MATCH($C232,'General Information'!$C$40:$C$60,0),12),Lookups!$L$8:$N$12,2,FALSE),"")</f>
        <v/>
      </c>
      <c r="W232" s="542" t="str">
        <f>IFERROR(VLOOKUP(INDEX(xySpace_Type_Details,MATCH($C232,'General Information'!$C$40:$C$60,0),12),Lookups!$L$8:$N$12,3,FALSE),"")</f>
        <v/>
      </c>
      <c r="Y232" s="542" t="str">
        <f>IFERROR(IF(C232="","",IF(INDEX(xyWattage_Table,MATCH(M232,'Fixture Identities'!$B$9:$B$997,0),2)="Exit Sign",0,IF(PRJ_Type="Retrofit",VLOOKUP(I232,xySVG_Factors,2,FALSE),IF(AND(PRJ_Type="New Construction",Inventory!C229="N"),VLOOKUP(VLOOKUP(Building_Type,xyLPD_BuildingArea,5,FALSE),xySVG_Factors_NC,3,FALSE),0)))),"")</f>
        <v/>
      </c>
      <c r="Z232" s="544" t="str">
        <f>IFERROR(IF(C232="","",IF(INDEX(xyWattage_Table,MATCH(M232,'Fixture Identities'!$B$9:$B$997,0),2)="Exit Sign",0,VLOOKUP(S232,xySVG_Factors,2,FALSE))),"")</f>
        <v/>
      </c>
      <c r="AA232" s="545" t="str">
        <f t="shared" si="95"/>
        <v/>
      </c>
      <c r="AB232" s="542" t="str">
        <f t="shared" si="96"/>
        <v/>
      </c>
      <c r="AC232" s="539" t="str">
        <f t="shared" si="97"/>
        <v/>
      </c>
      <c r="AD232" s="546" t="str">
        <f t="shared" si="98"/>
        <v/>
      </c>
      <c r="AE232" s="539" t="str">
        <f t="shared" si="99"/>
        <v/>
      </c>
      <c r="AF232" s="546" t="str">
        <f t="shared" si="100"/>
        <v/>
      </c>
      <c r="AG232" s="539" t="str">
        <f t="shared" si="101"/>
        <v/>
      </c>
      <c r="AH232" s="32">
        <f t="shared" si="82"/>
        <v>0</v>
      </c>
      <c r="AI232" s="32">
        <f t="shared" si="83"/>
        <v>0</v>
      </c>
      <c r="AJ232" s="32">
        <f t="shared" si="84"/>
        <v>0</v>
      </c>
      <c r="AK232" t="str">
        <f t="shared" si="85"/>
        <v/>
      </c>
      <c r="AL232" t="str">
        <f t="shared" si="86"/>
        <v/>
      </c>
      <c r="AM232" t="str">
        <f t="shared" si="87"/>
        <v/>
      </c>
      <c r="AO232" t="str">
        <f>IFERROR(VLOOKUP(M232,'Fixture Identities'!$B$9:$O$1045,14,FALSE),"")</f>
        <v/>
      </c>
      <c r="AP232" t="str">
        <f t="shared" si="81"/>
        <v/>
      </c>
    </row>
    <row r="233" spans="1:42">
      <c r="A233" s="71">
        <f t="shared" si="102"/>
        <v>0</v>
      </c>
      <c r="B233" s="513">
        <f t="shared" si="88"/>
        <v>221</v>
      </c>
      <c r="C233" s="530" t="str">
        <f>IF(Inventory!E230="","",Inventory!E230)</f>
        <v/>
      </c>
      <c r="D233" s="531">
        <f>IF(Inventory!D230="",0,Inventory!D230)</f>
        <v>0</v>
      </c>
      <c r="E233" s="532" t="str">
        <f>IF(Inventory!I230=0,"",Inventory!I230)</f>
        <v/>
      </c>
      <c r="F233" s="533" t="str">
        <f t="shared" si="89"/>
        <v/>
      </c>
      <c r="G233" s="534" t="str">
        <f>IF(Inventory!G230="","",Inventory!G230)</f>
        <v/>
      </c>
      <c r="H233" s="535" t="str">
        <f t="shared" si="90"/>
        <v/>
      </c>
      <c r="I233" s="536" t="str">
        <f>IF(Inventory!J230="","",Inventory!J230)</f>
        <v/>
      </c>
      <c r="J233" s="537" t="str">
        <f>IFERROR(IF(PRJ_Type="New Construction",IF(Inventory!C230="N",INDEX(xyLPD_BuildingArea,MATCH(Building_Type,Lookups!$F$37:$F$75,0),4),INDEX(xyLPD_SpaceBySpace,MATCH(INDEX(xyNCEx,MATCH(I233,yNCExArea,0),2),ySpace_by_Space_Type,0),2)),VLOOKUP(E233,xyWattage_Table,11,FALSE)),"")</f>
        <v/>
      </c>
      <c r="K233" s="538" t="str">
        <f>IFERROR(IF(AND(NC_Type="Building Area Method",Inventory!C230="N"),IF(ISERROR(INDEX('Usage Groups (&gt;120 MWh only)'!$N$8:$N$12,MATCH(C233,'Usage Groups (&gt;120 MWh only)'!$B$8:$B$12,0),1))=TRUE,SqFt/COUNTIFS(Inventory!$C$10:$C$1009,"N",$Q$13:$Q$1012,"&gt;=0"),INDEX('Usage Groups (&gt;120 MWh only)'!$N$8:$N$12,MATCH(C233,'Usage Groups (&gt;120 MWh only)'!$B$8:$B$12,0),1)/COUNTIF($C$13:$C$1012,C233)),IF(AND(NC_Type="Building Area Method",Inventory!C230="Y"),INDEX(xyNCEx,MATCH(I233,yNCExArea,0),3)/COUNTIF($I$13:$I$1012,I233),VLOOKUP(J233,xyWattage_Table,10,FALSE))),"")</f>
        <v/>
      </c>
      <c r="L233" s="539" t="str">
        <f t="shared" si="91"/>
        <v/>
      </c>
      <c r="M233" s="540">
        <f>IF(Inventory!N230="","",Inventory!N230)</f>
        <v>0</v>
      </c>
      <c r="N233" s="533" t="str">
        <f t="shared" si="92"/>
        <v/>
      </c>
      <c r="O233" s="534"/>
      <c r="P233" s="533" t="str">
        <f t="shared" si="93"/>
        <v/>
      </c>
      <c r="Q233" s="534" t="str">
        <f>IF(Inventory!L230="","",Inventory!L230)</f>
        <v/>
      </c>
      <c r="R233" s="535" t="str">
        <f t="shared" si="94"/>
        <v/>
      </c>
      <c r="S233" s="536" t="str">
        <f>IF(Inventory!O230="","",Inventory!O230)</f>
        <v/>
      </c>
      <c r="T233" s="541" t="str">
        <f>IFERROR(IF(C233="","",IF(INDEX(xyWattage_Table,MATCH(M233,'Fixture Identities'!$B$9:$B$997,0),2)="Exit Sign",8760,IF(VLOOKUP(C233,xySpace_Type_Details,8,FALSE)="TRM",INDEX('General Information'!$AF$17:$AG$28,11,MATCH(N233,'General Information'!$AF$16:$AG$16,0)),HLOOKUP(VLOOKUP(C233,xySpace_Type_Details,8,FALSE),'General Information'!$P$15:$AG$28,13,FALSE)))),"")</f>
        <v/>
      </c>
      <c r="U233" s="542" t="str">
        <f>IFERROR(IF(C233="","",IF(INDEX(xyWattage_Table,MATCH(M233,'Fixture Identities'!$B$9:$B$997,0),2)="Exit Sign",1,IF(VLOOKUP(C233,xySpace_Type_Details,8,FALSE)="TRM",INDEX('General Information'!$AF$17:$AG$28,12,MATCH(N233,'General Information'!$AF$16:$AG$16,0)),HLOOKUP(VLOOKUP(C233,xySpace_Type_Details,8,FALSE),'General Information'!$P$15:$AG$28,14,FALSE)))),"")</f>
        <v/>
      </c>
      <c r="V233" s="542" t="str">
        <f>IFERROR(VLOOKUP(INDEX(xySpace_Type_Details,MATCH($C233,'General Information'!$C$40:$C$60,0),12),Lookups!$L$8:$N$12,2,FALSE),"")</f>
        <v/>
      </c>
      <c r="W233" s="542" t="str">
        <f>IFERROR(VLOOKUP(INDEX(xySpace_Type_Details,MATCH($C233,'General Information'!$C$40:$C$60,0),12),Lookups!$L$8:$N$12,3,FALSE),"")</f>
        <v/>
      </c>
      <c r="Y233" s="542" t="str">
        <f>IFERROR(IF(C233="","",IF(INDEX(xyWattage_Table,MATCH(M233,'Fixture Identities'!$B$9:$B$997,0),2)="Exit Sign",0,IF(PRJ_Type="Retrofit",VLOOKUP(I233,xySVG_Factors,2,FALSE),IF(AND(PRJ_Type="New Construction",Inventory!C230="N"),VLOOKUP(VLOOKUP(Building_Type,xyLPD_BuildingArea,5,FALSE),xySVG_Factors_NC,3,FALSE),0)))),"")</f>
        <v/>
      </c>
      <c r="Z233" s="544" t="str">
        <f>IFERROR(IF(C233="","",IF(INDEX(xyWattage_Table,MATCH(M233,'Fixture Identities'!$B$9:$B$997,0),2)="Exit Sign",0,VLOOKUP(S233,xySVG_Factors,2,FALSE))),"")</f>
        <v/>
      </c>
      <c r="AA233" s="545" t="str">
        <f t="shared" si="95"/>
        <v/>
      </c>
      <c r="AB233" s="542" t="str">
        <f t="shared" si="96"/>
        <v/>
      </c>
      <c r="AC233" s="539" t="str">
        <f t="shared" si="97"/>
        <v/>
      </c>
      <c r="AD233" s="546" t="str">
        <f t="shared" si="98"/>
        <v/>
      </c>
      <c r="AE233" s="539" t="str">
        <f t="shared" si="99"/>
        <v/>
      </c>
      <c r="AF233" s="546" t="str">
        <f t="shared" si="100"/>
        <v/>
      </c>
      <c r="AG233" s="539" t="str">
        <f t="shared" si="101"/>
        <v/>
      </c>
      <c r="AH233" s="32">
        <f t="shared" si="82"/>
        <v>0</v>
      </c>
      <c r="AI233" s="32">
        <f t="shared" si="83"/>
        <v>0</v>
      </c>
      <c r="AJ233" s="32">
        <f t="shared" si="84"/>
        <v>0</v>
      </c>
      <c r="AK233" t="str">
        <f t="shared" si="85"/>
        <v/>
      </c>
      <c r="AL233" t="str">
        <f t="shared" si="86"/>
        <v/>
      </c>
      <c r="AM233" t="str">
        <f t="shared" si="87"/>
        <v/>
      </c>
      <c r="AO233" t="str">
        <f>IFERROR(VLOOKUP(M233,'Fixture Identities'!$B$9:$O$1045,14,FALSE),"")</f>
        <v/>
      </c>
      <c r="AP233" t="str">
        <f t="shared" si="81"/>
        <v/>
      </c>
    </row>
    <row r="234" spans="1:42">
      <c r="A234" s="71">
        <f t="shared" si="102"/>
        <v>0</v>
      </c>
      <c r="B234" s="513">
        <f t="shared" si="88"/>
        <v>222</v>
      </c>
      <c r="C234" s="530" t="str">
        <f>IF(Inventory!E231="","",Inventory!E231)</f>
        <v/>
      </c>
      <c r="D234" s="531">
        <f>IF(Inventory!D231="",0,Inventory!D231)</f>
        <v>0</v>
      </c>
      <c r="E234" s="532" t="str">
        <f>IF(Inventory!I231=0,"",Inventory!I231)</f>
        <v/>
      </c>
      <c r="F234" s="533" t="str">
        <f t="shared" si="89"/>
        <v/>
      </c>
      <c r="G234" s="534" t="str">
        <f>IF(Inventory!G231="","",Inventory!G231)</f>
        <v/>
      </c>
      <c r="H234" s="535" t="str">
        <f t="shared" si="90"/>
        <v/>
      </c>
      <c r="I234" s="536" t="str">
        <f>IF(Inventory!J231="","",Inventory!J231)</f>
        <v/>
      </c>
      <c r="J234" s="537" t="str">
        <f>IFERROR(IF(PRJ_Type="New Construction",IF(Inventory!C231="N",INDEX(xyLPD_BuildingArea,MATCH(Building_Type,Lookups!$F$37:$F$75,0),4),INDEX(xyLPD_SpaceBySpace,MATCH(INDEX(xyNCEx,MATCH(I234,yNCExArea,0),2),ySpace_by_Space_Type,0),2)),VLOOKUP(E234,xyWattage_Table,11,FALSE)),"")</f>
        <v/>
      </c>
      <c r="K234" s="538" t="str">
        <f>IFERROR(IF(AND(NC_Type="Building Area Method",Inventory!C231="N"),IF(ISERROR(INDEX('Usage Groups (&gt;120 MWh only)'!$N$8:$N$12,MATCH(C234,'Usage Groups (&gt;120 MWh only)'!$B$8:$B$12,0),1))=TRUE,SqFt/COUNTIFS(Inventory!$C$10:$C$1009,"N",$Q$13:$Q$1012,"&gt;=0"),INDEX('Usage Groups (&gt;120 MWh only)'!$N$8:$N$12,MATCH(C234,'Usage Groups (&gt;120 MWh only)'!$B$8:$B$12,0),1)/COUNTIF($C$13:$C$1012,C234)),IF(AND(NC_Type="Building Area Method",Inventory!C231="Y"),INDEX(xyNCEx,MATCH(I234,yNCExArea,0),3)/COUNTIF($I$13:$I$1012,I234),VLOOKUP(J234,xyWattage_Table,10,FALSE))),"")</f>
        <v/>
      </c>
      <c r="L234" s="539" t="str">
        <f t="shared" si="91"/>
        <v/>
      </c>
      <c r="M234" s="540">
        <f>IF(Inventory!N231="","",Inventory!N231)</f>
        <v>0</v>
      </c>
      <c r="N234" s="533" t="str">
        <f t="shared" si="92"/>
        <v/>
      </c>
      <c r="O234" s="534"/>
      <c r="P234" s="533" t="str">
        <f t="shared" si="93"/>
        <v/>
      </c>
      <c r="Q234" s="534" t="str">
        <f>IF(Inventory!L231="","",Inventory!L231)</f>
        <v/>
      </c>
      <c r="R234" s="535" t="str">
        <f t="shared" si="94"/>
        <v/>
      </c>
      <c r="S234" s="536" t="str">
        <f>IF(Inventory!O231="","",Inventory!O231)</f>
        <v/>
      </c>
      <c r="T234" s="541" t="str">
        <f>IFERROR(IF(C234="","",IF(INDEX(xyWattage_Table,MATCH(M234,'Fixture Identities'!$B$9:$B$997,0),2)="Exit Sign",8760,IF(VLOOKUP(C234,xySpace_Type_Details,8,FALSE)="TRM",INDEX('General Information'!$AF$17:$AG$28,11,MATCH(N234,'General Information'!$AF$16:$AG$16,0)),HLOOKUP(VLOOKUP(C234,xySpace_Type_Details,8,FALSE),'General Information'!$P$15:$AG$28,13,FALSE)))),"")</f>
        <v/>
      </c>
      <c r="U234" s="542" t="str">
        <f>IFERROR(IF(C234="","",IF(INDEX(xyWattage_Table,MATCH(M234,'Fixture Identities'!$B$9:$B$997,0),2)="Exit Sign",1,IF(VLOOKUP(C234,xySpace_Type_Details,8,FALSE)="TRM",INDEX('General Information'!$AF$17:$AG$28,12,MATCH(N234,'General Information'!$AF$16:$AG$16,0)),HLOOKUP(VLOOKUP(C234,xySpace_Type_Details,8,FALSE),'General Information'!$P$15:$AG$28,14,FALSE)))),"")</f>
        <v/>
      </c>
      <c r="V234" s="542" t="str">
        <f>IFERROR(VLOOKUP(INDEX(xySpace_Type_Details,MATCH($C234,'General Information'!$C$40:$C$60,0),12),Lookups!$L$8:$N$12,2,FALSE),"")</f>
        <v/>
      </c>
      <c r="W234" s="542" t="str">
        <f>IFERROR(VLOOKUP(INDEX(xySpace_Type_Details,MATCH($C234,'General Information'!$C$40:$C$60,0),12),Lookups!$L$8:$N$12,3,FALSE),"")</f>
        <v/>
      </c>
      <c r="Y234" s="542" t="str">
        <f>IFERROR(IF(C234="","",IF(INDEX(xyWattage_Table,MATCH(M234,'Fixture Identities'!$B$9:$B$997,0),2)="Exit Sign",0,IF(PRJ_Type="Retrofit",VLOOKUP(I234,xySVG_Factors,2,FALSE),IF(AND(PRJ_Type="New Construction",Inventory!C231="N"),VLOOKUP(VLOOKUP(Building_Type,xyLPD_BuildingArea,5,FALSE),xySVG_Factors_NC,3,FALSE),0)))),"")</f>
        <v/>
      </c>
      <c r="Z234" s="544" t="str">
        <f>IFERROR(IF(C234="","",IF(INDEX(xyWattage_Table,MATCH(M234,'Fixture Identities'!$B$9:$B$997,0),2)="Exit Sign",0,VLOOKUP(S234,xySVG_Factors,2,FALSE))),"")</f>
        <v/>
      </c>
      <c r="AA234" s="545" t="str">
        <f t="shared" si="95"/>
        <v/>
      </c>
      <c r="AB234" s="542" t="str">
        <f t="shared" si="96"/>
        <v/>
      </c>
      <c r="AC234" s="539" t="str">
        <f t="shared" si="97"/>
        <v/>
      </c>
      <c r="AD234" s="546" t="str">
        <f t="shared" si="98"/>
        <v/>
      </c>
      <c r="AE234" s="539" t="str">
        <f t="shared" si="99"/>
        <v/>
      </c>
      <c r="AF234" s="546" t="str">
        <f t="shared" si="100"/>
        <v/>
      </c>
      <c r="AG234" s="539" t="str">
        <f t="shared" si="101"/>
        <v/>
      </c>
      <c r="AH234" s="32">
        <f t="shared" si="82"/>
        <v>0</v>
      </c>
      <c r="AI234" s="32">
        <f t="shared" si="83"/>
        <v>0</v>
      </c>
      <c r="AJ234" s="32">
        <f t="shared" si="84"/>
        <v>0</v>
      </c>
      <c r="AK234" t="str">
        <f t="shared" si="85"/>
        <v/>
      </c>
      <c r="AL234" t="str">
        <f t="shared" si="86"/>
        <v/>
      </c>
      <c r="AM234" t="str">
        <f t="shared" si="87"/>
        <v/>
      </c>
      <c r="AO234" t="str">
        <f>IFERROR(VLOOKUP(M234,'Fixture Identities'!$B$9:$O$1045,14,FALSE),"")</f>
        <v/>
      </c>
      <c r="AP234" t="str">
        <f t="shared" si="81"/>
        <v/>
      </c>
    </row>
    <row r="235" spans="1:42">
      <c r="A235" s="71">
        <f t="shared" si="102"/>
        <v>0</v>
      </c>
      <c r="B235" s="513">
        <f t="shared" si="88"/>
        <v>223</v>
      </c>
      <c r="C235" s="530" t="str">
        <f>IF(Inventory!E232="","",Inventory!E232)</f>
        <v/>
      </c>
      <c r="D235" s="531">
        <f>IF(Inventory!D232="",0,Inventory!D232)</f>
        <v>0</v>
      </c>
      <c r="E235" s="532" t="str">
        <f>IF(Inventory!I232=0,"",Inventory!I232)</f>
        <v/>
      </c>
      <c r="F235" s="533" t="str">
        <f t="shared" si="89"/>
        <v/>
      </c>
      <c r="G235" s="534" t="str">
        <f>IF(Inventory!G232="","",Inventory!G232)</f>
        <v/>
      </c>
      <c r="H235" s="535" t="str">
        <f t="shared" si="90"/>
        <v/>
      </c>
      <c r="I235" s="536" t="str">
        <f>IF(Inventory!J232="","",Inventory!J232)</f>
        <v/>
      </c>
      <c r="J235" s="537" t="str">
        <f>IFERROR(IF(PRJ_Type="New Construction",IF(Inventory!C232="N",INDEX(xyLPD_BuildingArea,MATCH(Building_Type,Lookups!$F$37:$F$75,0),4),INDEX(xyLPD_SpaceBySpace,MATCH(INDEX(xyNCEx,MATCH(I235,yNCExArea,0),2),ySpace_by_Space_Type,0),2)),VLOOKUP(E235,xyWattage_Table,11,FALSE)),"")</f>
        <v/>
      </c>
      <c r="K235" s="538" t="str">
        <f>IFERROR(IF(AND(NC_Type="Building Area Method",Inventory!C232="N"),IF(ISERROR(INDEX('Usage Groups (&gt;120 MWh only)'!$N$8:$N$12,MATCH(C235,'Usage Groups (&gt;120 MWh only)'!$B$8:$B$12,0),1))=TRUE,SqFt/COUNTIFS(Inventory!$C$10:$C$1009,"N",$Q$13:$Q$1012,"&gt;=0"),INDEX('Usage Groups (&gt;120 MWh only)'!$N$8:$N$12,MATCH(C235,'Usage Groups (&gt;120 MWh only)'!$B$8:$B$12,0),1)/COUNTIF($C$13:$C$1012,C235)),IF(AND(NC_Type="Building Area Method",Inventory!C232="Y"),INDEX(xyNCEx,MATCH(I235,yNCExArea,0),3)/COUNTIF($I$13:$I$1012,I235),VLOOKUP(J235,xyWattage_Table,10,FALSE))),"")</f>
        <v/>
      </c>
      <c r="L235" s="539" t="str">
        <f t="shared" si="91"/>
        <v/>
      </c>
      <c r="M235" s="540">
        <f>IF(Inventory!N232="","",Inventory!N232)</f>
        <v>0</v>
      </c>
      <c r="N235" s="533" t="str">
        <f t="shared" si="92"/>
        <v/>
      </c>
      <c r="O235" s="534"/>
      <c r="P235" s="533" t="str">
        <f t="shared" si="93"/>
        <v/>
      </c>
      <c r="Q235" s="534" t="str">
        <f>IF(Inventory!L232="","",Inventory!L232)</f>
        <v/>
      </c>
      <c r="R235" s="535" t="str">
        <f t="shared" si="94"/>
        <v/>
      </c>
      <c r="S235" s="536" t="str">
        <f>IF(Inventory!O232="","",Inventory!O232)</f>
        <v/>
      </c>
      <c r="T235" s="541" t="str">
        <f>IFERROR(IF(C235="","",IF(INDEX(xyWattage_Table,MATCH(M235,'Fixture Identities'!$B$9:$B$997,0),2)="Exit Sign",8760,IF(VLOOKUP(C235,xySpace_Type_Details,8,FALSE)="TRM",INDEX('General Information'!$AF$17:$AG$28,11,MATCH(N235,'General Information'!$AF$16:$AG$16,0)),HLOOKUP(VLOOKUP(C235,xySpace_Type_Details,8,FALSE),'General Information'!$P$15:$AG$28,13,FALSE)))),"")</f>
        <v/>
      </c>
      <c r="U235" s="542" t="str">
        <f>IFERROR(IF(C235="","",IF(INDEX(xyWattage_Table,MATCH(M235,'Fixture Identities'!$B$9:$B$997,0),2)="Exit Sign",1,IF(VLOOKUP(C235,xySpace_Type_Details,8,FALSE)="TRM",INDEX('General Information'!$AF$17:$AG$28,12,MATCH(N235,'General Information'!$AF$16:$AG$16,0)),HLOOKUP(VLOOKUP(C235,xySpace_Type_Details,8,FALSE),'General Information'!$P$15:$AG$28,14,FALSE)))),"")</f>
        <v/>
      </c>
      <c r="V235" s="542" t="str">
        <f>IFERROR(VLOOKUP(INDEX(xySpace_Type_Details,MATCH($C235,'General Information'!$C$40:$C$60,0),12),Lookups!$L$8:$N$12,2,FALSE),"")</f>
        <v/>
      </c>
      <c r="W235" s="542" t="str">
        <f>IFERROR(VLOOKUP(INDEX(xySpace_Type_Details,MATCH($C235,'General Information'!$C$40:$C$60,0),12),Lookups!$L$8:$N$12,3,FALSE),"")</f>
        <v/>
      </c>
      <c r="Y235" s="542" t="str">
        <f>IFERROR(IF(C235="","",IF(INDEX(xyWattage_Table,MATCH(M235,'Fixture Identities'!$B$9:$B$997,0),2)="Exit Sign",0,IF(PRJ_Type="Retrofit",VLOOKUP(I235,xySVG_Factors,2,FALSE),IF(AND(PRJ_Type="New Construction",Inventory!C232="N"),VLOOKUP(VLOOKUP(Building_Type,xyLPD_BuildingArea,5,FALSE),xySVG_Factors_NC,3,FALSE),0)))),"")</f>
        <v/>
      </c>
      <c r="Z235" s="544" t="str">
        <f>IFERROR(IF(C235="","",IF(INDEX(xyWattage_Table,MATCH(M235,'Fixture Identities'!$B$9:$B$997,0),2)="Exit Sign",0,VLOOKUP(S235,xySVG_Factors,2,FALSE))),"")</f>
        <v/>
      </c>
      <c r="AA235" s="545" t="str">
        <f t="shared" si="95"/>
        <v/>
      </c>
      <c r="AB235" s="542" t="str">
        <f t="shared" si="96"/>
        <v/>
      </c>
      <c r="AC235" s="539" t="str">
        <f t="shared" si="97"/>
        <v/>
      </c>
      <c r="AD235" s="546" t="str">
        <f t="shared" si="98"/>
        <v/>
      </c>
      <c r="AE235" s="539" t="str">
        <f t="shared" si="99"/>
        <v/>
      </c>
      <c r="AF235" s="546" t="str">
        <f t="shared" si="100"/>
        <v/>
      </c>
      <c r="AG235" s="539" t="str">
        <f t="shared" si="101"/>
        <v/>
      </c>
      <c r="AH235" s="32">
        <f t="shared" si="82"/>
        <v>0</v>
      </c>
      <c r="AI235" s="32">
        <f t="shared" si="83"/>
        <v>0</v>
      </c>
      <c r="AJ235" s="32">
        <f t="shared" si="84"/>
        <v>0</v>
      </c>
      <c r="AK235" t="str">
        <f t="shared" si="85"/>
        <v/>
      </c>
      <c r="AL235" t="str">
        <f t="shared" si="86"/>
        <v/>
      </c>
      <c r="AM235" t="str">
        <f t="shared" si="87"/>
        <v/>
      </c>
      <c r="AO235" t="str">
        <f>IFERROR(VLOOKUP(M235,'Fixture Identities'!$B$9:$O$1045,14,FALSE),"")</f>
        <v/>
      </c>
      <c r="AP235" t="str">
        <f t="shared" si="81"/>
        <v/>
      </c>
    </row>
    <row r="236" spans="1:42">
      <c r="A236" s="71">
        <f t="shared" si="102"/>
        <v>0</v>
      </c>
      <c r="B236" s="513">
        <f t="shared" si="88"/>
        <v>224</v>
      </c>
      <c r="C236" s="530" t="str">
        <f>IF(Inventory!E233="","",Inventory!E233)</f>
        <v/>
      </c>
      <c r="D236" s="531">
        <f>IF(Inventory!D233="",0,Inventory!D233)</f>
        <v>0</v>
      </c>
      <c r="E236" s="532" t="str">
        <f>IF(Inventory!I233=0,"",Inventory!I233)</f>
        <v/>
      </c>
      <c r="F236" s="533" t="str">
        <f t="shared" si="89"/>
        <v/>
      </c>
      <c r="G236" s="534" t="str">
        <f>IF(Inventory!G233="","",Inventory!G233)</f>
        <v/>
      </c>
      <c r="H236" s="535" t="str">
        <f t="shared" si="90"/>
        <v/>
      </c>
      <c r="I236" s="536" t="str">
        <f>IF(Inventory!J233="","",Inventory!J233)</f>
        <v/>
      </c>
      <c r="J236" s="537" t="str">
        <f>IFERROR(IF(PRJ_Type="New Construction",IF(Inventory!C233="N",INDEX(xyLPD_BuildingArea,MATCH(Building_Type,Lookups!$F$37:$F$75,0),4),INDEX(xyLPD_SpaceBySpace,MATCH(INDEX(xyNCEx,MATCH(I236,yNCExArea,0),2),ySpace_by_Space_Type,0),2)),VLOOKUP(E236,xyWattage_Table,11,FALSE)),"")</f>
        <v/>
      </c>
      <c r="K236" s="538" t="str">
        <f>IFERROR(IF(AND(NC_Type="Building Area Method",Inventory!C233="N"),IF(ISERROR(INDEX('Usage Groups (&gt;120 MWh only)'!$N$8:$N$12,MATCH(C236,'Usage Groups (&gt;120 MWh only)'!$B$8:$B$12,0),1))=TRUE,SqFt/COUNTIFS(Inventory!$C$10:$C$1009,"N",$Q$13:$Q$1012,"&gt;=0"),INDEX('Usage Groups (&gt;120 MWh only)'!$N$8:$N$12,MATCH(C236,'Usage Groups (&gt;120 MWh only)'!$B$8:$B$12,0),1)/COUNTIF($C$13:$C$1012,C236)),IF(AND(NC_Type="Building Area Method",Inventory!C233="Y"),INDEX(xyNCEx,MATCH(I236,yNCExArea,0),3)/COUNTIF($I$13:$I$1012,I236),VLOOKUP(J236,xyWattage_Table,10,FALSE))),"")</f>
        <v/>
      </c>
      <c r="L236" s="539" t="str">
        <f t="shared" si="91"/>
        <v/>
      </c>
      <c r="M236" s="540">
        <f>IF(Inventory!N233="","",Inventory!N233)</f>
        <v>0</v>
      </c>
      <c r="N236" s="533" t="str">
        <f t="shared" si="92"/>
        <v/>
      </c>
      <c r="O236" s="534"/>
      <c r="P236" s="533" t="str">
        <f t="shared" si="93"/>
        <v/>
      </c>
      <c r="Q236" s="534" t="str">
        <f>IF(Inventory!L233="","",Inventory!L233)</f>
        <v/>
      </c>
      <c r="R236" s="535" t="str">
        <f t="shared" si="94"/>
        <v/>
      </c>
      <c r="S236" s="536" t="str">
        <f>IF(Inventory!O233="","",Inventory!O233)</f>
        <v/>
      </c>
      <c r="T236" s="541" t="str">
        <f>IFERROR(IF(C236="","",IF(INDEX(xyWattage_Table,MATCH(M236,'Fixture Identities'!$B$9:$B$997,0),2)="Exit Sign",8760,IF(VLOOKUP(C236,xySpace_Type_Details,8,FALSE)="TRM",INDEX('General Information'!$AF$17:$AG$28,11,MATCH(N236,'General Information'!$AF$16:$AG$16,0)),HLOOKUP(VLOOKUP(C236,xySpace_Type_Details,8,FALSE),'General Information'!$P$15:$AG$28,13,FALSE)))),"")</f>
        <v/>
      </c>
      <c r="U236" s="542" t="str">
        <f>IFERROR(IF(C236="","",IF(INDEX(xyWattage_Table,MATCH(M236,'Fixture Identities'!$B$9:$B$997,0),2)="Exit Sign",1,IF(VLOOKUP(C236,xySpace_Type_Details,8,FALSE)="TRM",INDEX('General Information'!$AF$17:$AG$28,12,MATCH(N236,'General Information'!$AF$16:$AG$16,0)),HLOOKUP(VLOOKUP(C236,xySpace_Type_Details,8,FALSE),'General Information'!$P$15:$AG$28,14,FALSE)))),"")</f>
        <v/>
      </c>
      <c r="V236" s="542" t="str">
        <f>IFERROR(VLOOKUP(INDEX(xySpace_Type_Details,MATCH($C236,'General Information'!$C$40:$C$60,0),12),Lookups!$L$8:$N$12,2,FALSE),"")</f>
        <v/>
      </c>
      <c r="W236" s="542" t="str">
        <f>IFERROR(VLOOKUP(INDEX(xySpace_Type_Details,MATCH($C236,'General Information'!$C$40:$C$60,0),12),Lookups!$L$8:$N$12,3,FALSE),"")</f>
        <v/>
      </c>
      <c r="Y236" s="542" t="str">
        <f>IFERROR(IF(C236="","",IF(INDEX(xyWattage_Table,MATCH(M236,'Fixture Identities'!$B$9:$B$997,0),2)="Exit Sign",0,IF(PRJ_Type="Retrofit",VLOOKUP(I236,xySVG_Factors,2,FALSE),IF(AND(PRJ_Type="New Construction",Inventory!C233="N"),VLOOKUP(VLOOKUP(Building_Type,xyLPD_BuildingArea,5,FALSE),xySVG_Factors_NC,3,FALSE),0)))),"")</f>
        <v/>
      </c>
      <c r="Z236" s="544" t="str">
        <f>IFERROR(IF(C236="","",IF(INDEX(xyWattage_Table,MATCH(M236,'Fixture Identities'!$B$9:$B$997,0),2)="Exit Sign",0,VLOOKUP(S236,xySVG_Factors,2,FALSE))),"")</f>
        <v/>
      </c>
      <c r="AA236" s="545" t="str">
        <f t="shared" si="95"/>
        <v/>
      </c>
      <c r="AB236" s="542" t="str">
        <f t="shared" si="96"/>
        <v/>
      </c>
      <c r="AC236" s="539" t="str">
        <f t="shared" si="97"/>
        <v/>
      </c>
      <c r="AD236" s="546" t="str">
        <f t="shared" si="98"/>
        <v/>
      </c>
      <c r="AE236" s="539" t="str">
        <f t="shared" si="99"/>
        <v/>
      </c>
      <c r="AF236" s="546" t="str">
        <f t="shared" si="100"/>
        <v/>
      </c>
      <c r="AG236" s="539" t="str">
        <f t="shared" si="101"/>
        <v/>
      </c>
      <c r="AH236" s="32">
        <f t="shared" si="82"/>
        <v>0</v>
      </c>
      <c r="AI236" s="32">
        <f t="shared" si="83"/>
        <v>0</v>
      </c>
      <c r="AJ236" s="32">
        <f t="shared" si="84"/>
        <v>0</v>
      </c>
      <c r="AK236" t="str">
        <f t="shared" si="85"/>
        <v/>
      </c>
      <c r="AL236" t="str">
        <f t="shared" si="86"/>
        <v/>
      </c>
      <c r="AM236" t="str">
        <f t="shared" si="87"/>
        <v/>
      </c>
      <c r="AO236" t="str">
        <f>IFERROR(VLOOKUP(M236,'Fixture Identities'!$B$9:$O$1045,14,FALSE),"")</f>
        <v/>
      </c>
      <c r="AP236" t="str">
        <f t="shared" si="81"/>
        <v/>
      </c>
    </row>
    <row r="237" spans="1:42">
      <c r="A237" s="71">
        <f t="shared" si="102"/>
        <v>0</v>
      </c>
      <c r="B237" s="513">
        <f t="shared" si="88"/>
        <v>225</v>
      </c>
      <c r="C237" s="530" t="str">
        <f>IF(Inventory!E234="","",Inventory!E234)</f>
        <v/>
      </c>
      <c r="D237" s="531">
        <f>IF(Inventory!D234="",0,Inventory!D234)</f>
        <v>0</v>
      </c>
      <c r="E237" s="532" t="str">
        <f>IF(Inventory!I234=0,"",Inventory!I234)</f>
        <v/>
      </c>
      <c r="F237" s="533" t="str">
        <f t="shared" si="89"/>
        <v/>
      </c>
      <c r="G237" s="534" t="str">
        <f>IF(Inventory!G234="","",Inventory!G234)</f>
        <v/>
      </c>
      <c r="H237" s="535" t="str">
        <f t="shared" si="90"/>
        <v/>
      </c>
      <c r="I237" s="536" t="str">
        <f>IF(Inventory!J234="","",Inventory!J234)</f>
        <v/>
      </c>
      <c r="J237" s="537" t="str">
        <f>IFERROR(IF(PRJ_Type="New Construction",IF(Inventory!C234="N",INDEX(xyLPD_BuildingArea,MATCH(Building_Type,Lookups!$F$37:$F$75,0),4),INDEX(xyLPD_SpaceBySpace,MATCH(INDEX(xyNCEx,MATCH(I237,yNCExArea,0),2),ySpace_by_Space_Type,0),2)),VLOOKUP(E237,xyWattage_Table,11,FALSE)),"")</f>
        <v/>
      </c>
      <c r="K237" s="538" t="str">
        <f>IFERROR(IF(AND(NC_Type="Building Area Method",Inventory!C234="N"),IF(ISERROR(INDEX('Usage Groups (&gt;120 MWh only)'!$N$8:$N$12,MATCH(C237,'Usage Groups (&gt;120 MWh only)'!$B$8:$B$12,0),1))=TRUE,SqFt/COUNTIFS(Inventory!$C$10:$C$1009,"N",$Q$13:$Q$1012,"&gt;=0"),INDEX('Usage Groups (&gt;120 MWh only)'!$N$8:$N$12,MATCH(C237,'Usage Groups (&gt;120 MWh only)'!$B$8:$B$12,0),1)/COUNTIF($C$13:$C$1012,C237)),IF(AND(NC_Type="Building Area Method",Inventory!C234="Y"),INDEX(xyNCEx,MATCH(I237,yNCExArea,0),3)/COUNTIF($I$13:$I$1012,I237),VLOOKUP(J237,xyWattage_Table,10,FALSE))),"")</f>
        <v/>
      </c>
      <c r="L237" s="539" t="str">
        <f t="shared" si="91"/>
        <v/>
      </c>
      <c r="M237" s="540">
        <f>IF(Inventory!N234="","",Inventory!N234)</f>
        <v>0</v>
      </c>
      <c r="N237" s="533" t="str">
        <f t="shared" si="92"/>
        <v/>
      </c>
      <c r="O237" s="534"/>
      <c r="P237" s="533" t="str">
        <f t="shared" si="93"/>
        <v/>
      </c>
      <c r="Q237" s="534" t="str">
        <f>IF(Inventory!L234="","",Inventory!L234)</f>
        <v/>
      </c>
      <c r="R237" s="535" t="str">
        <f t="shared" si="94"/>
        <v/>
      </c>
      <c r="S237" s="536" t="str">
        <f>IF(Inventory!O234="","",Inventory!O234)</f>
        <v/>
      </c>
      <c r="T237" s="541" t="str">
        <f>IFERROR(IF(C237="","",IF(INDEX(xyWattage_Table,MATCH(M237,'Fixture Identities'!$B$9:$B$997,0),2)="Exit Sign",8760,IF(VLOOKUP(C237,xySpace_Type_Details,8,FALSE)="TRM",INDEX('General Information'!$AF$17:$AG$28,11,MATCH(N237,'General Information'!$AF$16:$AG$16,0)),HLOOKUP(VLOOKUP(C237,xySpace_Type_Details,8,FALSE),'General Information'!$P$15:$AG$28,13,FALSE)))),"")</f>
        <v/>
      </c>
      <c r="U237" s="542" t="str">
        <f>IFERROR(IF(C237="","",IF(INDEX(xyWattage_Table,MATCH(M237,'Fixture Identities'!$B$9:$B$997,0),2)="Exit Sign",1,IF(VLOOKUP(C237,xySpace_Type_Details,8,FALSE)="TRM",INDEX('General Information'!$AF$17:$AG$28,12,MATCH(N237,'General Information'!$AF$16:$AG$16,0)),HLOOKUP(VLOOKUP(C237,xySpace_Type_Details,8,FALSE),'General Information'!$P$15:$AG$28,14,FALSE)))),"")</f>
        <v/>
      </c>
      <c r="V237" s="542" t="str">
        <f>IFERROR(VLOOKUP(INDEX(xySpace_Type_Details,MATCH($C237,'General Information'!$C$40:$C$60,0),12),Lookups!$L$8:$N$12,2,FALSE),"")</f>
        <v/>
      </c>
      <c r="W237" s="542" t="str">
        <f>IFERROR(VLOOKUP(INDEX(xySpace_Type_Details,MATCH($C237,'General Information'!$C$40:$C$60,0),12),Lookups!$L$8:$N$12,3,FALSE),"")</f>
        <v/>
      </c>
      <c r="Y237" s="542" t="str">
        <f>IFERROR(IF(C237="","",IF(INDEX(xyWattage_Table,MATCH(M237,'Fixture Identities'!$B$9:$B$997,0),2)="Exit Sign",0,IF(PRJ_Type="Retrofit",VLOOKUP(I237,xySVG_Factors,2,FALSE),IF(AND(PRJ_Type="New Construction",Inventory!C234="N"),VLOOKUP(VLOOKUP(Building_Type,xyLPD_BuildingArea,5,FALSE),xySVG_Factors_NC,3,FALSE),0)))),"")</f>
        <v/>
      </c>
      <c r="Z237" s="544" t="str">
        <f>IFERROR(IF(C237="","",IF(INDEX(xyWattage_Table,MATCH(M237,'Fixture Identities'!$B$9:$B$997,0),2)="Exit Sign",0,VLOOKUP(S237,xySVG_Factors,2,FALSE))),"")</f>
        <v/>
      </c>
      <c r="AA237" s="545" t="str">
        <f t="shared" si="95"/>
        <v/>
      </c>
      <c r="AB237" s="542" t="str">
        <f t="shared" si="96"/>
        <v/>
      </c>
      <c r="AC237" s="539" t="str">
        <f t="shared" si="97"/>
        <v/>
      </c>
      <c r="AD237" s="546" t="str">
        <f t="shared" si="98"/>
        <v/>
      </c>
      <c r="AE237" s="539" t="str">
        <f t="shared" si="99"/>
        <v/>
      </c>
      <c r="AF237" s="546" t="str">
        <f t="shared" si="100"/>
        <v/>
      </c>
      <c r="AG237" s="539" t="str">
        <f t="shared" si="101"/>
        <v/>
      </c>
      <c r="AH237" s="32">
        <f t="shared" si="82"/>
        <v>0</v>
      </c>
      <c r="AI237" s="32">
        <f t="shared" si="83"/>
        <v>0</v>
      </c>
      <c r="AJ237" s="32">
        <f t="shared" si="84"/>
        <v>0</v>
      </c>
      <c r="AK237" t="str">
        <f t="shared" si="85"/>
        <v/>
      </c>
      <c r="AL237" t="str">
        <f t="shared" si="86"/>
        <v/>
      </c>
      <c r="AM237" t="str">
        <f t="shared" si="87"/>
        <v/>
      </c>
      <c r="AO237" t="str">
        <f>IFERROR(VLOOKUP(M237,'Fixture Identities'!$B$9:$O$1045,14,FALSE),"")</f>
        <v/>
      </c>
      <c r="AP237" t="str">
        <f t="shared" si="81"/>
        <v/>
      </c>
    </row>
    <row r="238" spans="1:42">
      <c r="A238" s="71">
        <f t="shared" si="102"/>
        <v>0</v>
      </c>
      <c r="B238" s="513">
        <f t="shared" si="88"/>
        <v>226</v>
      </c>
      <c r="C238" s="530" t="str">
        <f>IF(Inventory!E235="","",Inventory!E235)</f>
        <v/>
      </c>
      <c r="D238" s="531">
        <f>IF(Inventory!D235="",0,Inventory!D235)</f>
        <v>0</v>
      </c>
      <c r="E238" s="532" t="str">
        <f>IF(Inventory!I235=0,"",Inventory!I235)</f>
        <v/>
      </c>
      <c r="F238" s="533" t="str">
        <f t="shared" si="89"/>
        <v/>
      </c>
      <c r="G238" s="534" t="str">
        <f>IF(Inventory!G235="","",Inventory!G235)</f>
        <v/>
      </c>
      <c r="H238" s="535" t="str">
        <f t="shared" si="90"/>
        <v/>
      </c>
      <c r="I238" s="536" t="str">
        <f>IF(Inventory!J235="","",Inventory!J235)</f>
        <v/>
      </c>
      <c r="J238" s="537" t="str">
        <f>IFERROR(IF(PRJ_Type="New Construction",IF(Inventory!C235="N",INDEX(xyLPD_BuildingArea,MATCH(Building_Type,Lookups!$F$37:$F$75,0),4),INDEX(xyLPD_SpaceBySpace,MATCH(INDEX(xyNCEx,MATCH(I238,yNCExArea,0),2),ySpace_by_Space_Type,0),2)),VLOOKUP(E238,xyWattage_Table,11,FALSE)),"")</f>
        <v/>
      </c>
      <c r="K238" s="538" t="str">
        <f>IFERROR(IF(AND(NC_Type="Building Area Method",Inventory!C235="N"),IF(ISERROR(INDEX('Usage Groups (&gt;120 MWh only)'!$N$8:$N$12,MATCH(C238,'Usage Groups (&gt;120 MWh only)'!$B$8:$B$12,0),1))=TRUE,SqFt/COUNTIFS(Inventory!$C$10:$C$1009,"N",$Q$13:$Q$1012,"&gt;=0"),INDEX('Usage Groups (&gt;120 MWh only)'!$N$8:$N$12,MATCH(C238,'Usage Groups (&gt;120 MWh only)'!$B$8:$B$12,0),1)/COUNTIF($C$13:$C$1012,C238)),IF(AND(NC_Type="Building Area Method",Inventory!C235="Y"),INDEX(xyNCEx,MATCH(I238,yNCExArea,0),3)/COUNTIF($I$13:$I$1012,I238),VLOOKUP(J238,xyWattage_Table,10,FALSE))),"")</f>
        <v/>
      </c>
      <c r="L238" s="539" t="str">
        <f t="shared" si="91"/>
        <v/>
      </c>
      <c r="M238" s="540">
        <f>IF(Inventory!N235="","",Inventory!N235)</f>
        <v>0</v>
      </c>
      <c r="N238" s="533" t="str">
        <f t="shared" si="92"/>
        <v/>
      </c>
      <c r="O238" s="534"/>
      <c r="P238" s="533" t="str">
        <f t="shared" si="93"/>
        <v/>
      </c>
      <c r="Q238" s="534" t="str">
        <f>IF(Inventory!L235="","",Inventory!L235)</f>
        <v/>
      </c>
      <c r="R238" s="535" t="str">
        <f t="shared" si="94"/>
        <v/>
      </c>
      <c r="S238" s="536" t="str">
        <f>IF(Inventory!O235="","",Inventory!O235)</f>
        <v/>
      </c>
      <c r="T238" s="541" t="str">
        <f>IFERROR(IF(C238="","",IF(INDEX(xyWattage_Table,MATCH(M238,'Fixture Identities'!$B$9:$B$997,0),2)="Exit Sign",8760,IF(VLOOKUP(C238,xySpace_Type_Details,8,FALSE)="TRM",INDEX('General Information'!$AF$17:$AG$28,11,MATCH(N238,'General Information'!$AF$16:$AG$16,0)),HLOOKUP(VLOOKUP(C238,xySpace_Type_Details,8,FALSE),'General Information'!$P$15:$AG$28,13,FALSE)))),"")</f>
        <v/>
      </c>
      <c r="U238" s="542" t="str">
        <f>IFERROR(IF(C238="","",IF(INDEX(xyWattage_Table,MATCH(M238,'Fixture Identities'!$B$9:$B$997,0),2)="Exit Sign",1,IF(VLOOKUP(C238,xySpace_Type_Details,8,FALSE)="TRM",INDEX('General Information'!$AF$17:$AG$28,12,MATCH(N238,'General Information'!$AF$16:$AG$16,0)),HLOOKUP(VLOOKUP(C238,xySpace_Type_Details,8,FALSE),'General Information'!$P$15:$AG$28,14,FALSE)))),"")</f>
        <v/>
      </c>
      <c r="V238" s="542" t="str">
        <f>IFERROR(VLOOKUP(INDEX(xySpace_Type_Details,MATCH($C238,'General Information'!$C$40:$C$60,0),12),Lookups!$L$8:$N$12,2,FALSE),"")</f>
        <v/>
      </c>
      <c r="W238" s="542" t="str">
        <f>IFERROR(VLOOKUP(INDEX(xySpace_Type_Details,MATCH($C238,'General Information'!$C$40:$C$60,0),12),Lookups!$L$8:$N$12,3,FALSE),"")</f>
        <v/>
      </c>
      <c r="Y238" s="542" t="str">
        <f>IFERROR(IF(C238="","",IF(INDEX(xyWattage_Table,MATCH(M238,'Fixture Identities'!$B$9:$B$997,0),2)="Exit Sign",0,IF(PRJ_Type="Retrofit",VLOOKUP(I238,xySVG_Factors,2,FALSE),IF(AND(PRJ_Type="New Construction",Inventory!C235="N"),VLOOKUP(VLOOKUP(Building_Type,xyLPD_BuildingArea,5,FALSE),xySVG_Factors_NC,3,FALSE),0)))),"")</f>
        <v/>
      </c>
      <c r="Z238" s="544" t="str">
        <f>IFERROR(IF(C238="","",IF(INDEX(xyWattage_Table,MATCH(M238,'Fixture Identities'!$B$9:$B$997,0),2)="Exit Sign",0,VLOOKUP(S238,xySVG_Factors,2,FALSE))),"")</f>
        <v/>
      </c>
      <c r="AA238" s="545" t="str">
        <f t="shared" si="95"/>
        <v/>
      </c>
      <c r="AB238" s="542" t="str">
        <f t="shared" si="96"/>
        <v/>
      </c>
      <c r="AC238" s="539" t="str">
        <f t="shared" si="97"/>
        <v/>
      </c>
      <c r="AD238" s="546" t="str">
        <f t="shared" si="98"/>
        <v/>
      </c>
      <c r="AE238" s="539" t="str">
        <f t="shared" si="99"/>
        <v/>
      </c>
      <c r="AF238" s="546" t="str">
        <f t="shared" si="100"/>
        <v/>
      </c>
      <c r="AG238" s="539" t="str">
        <f t="shared" si="101"/>
        <v/>
      </c>
      <c r="AH238" s="32">
        <f t="shared" si="82"/>
        <v>0</v>
      </c>
      <c r="AI238" s="32">
        <f t="shared" si="83"/>
        <v>0</v>
      </c>
      <c r="AJ238" s="32">
        <f t="shared" si="84"/>
        <v>0</v>
      </c>
      <c r="AK238" t="str">
        <f t="shared" si="85"/>
        <v/>
      </c>
      <c r="AL238" t="str">
        <f t="shared" si="86"/>
        <v/>
      </c>
      <c r="AM238" t="str">
        <f t="shared" si="87"/>
        <v/>
      </c>
      <c r="AO238" t="str">
        <f>IFERROR(VLOOKUP(M238,'Fixture Identities'!$B$9:$O$1045,14,FALSE),"")</f>
        <v/>
      </c>
      <c r="AP238" t="str">
        <f t="shared" si="81"/>
        <v/>
      </c>
    </row>
    <row r="239" spans="1:42">
      <c r="A239" s="71">
        <f t="shared" si="102"/>
        <v>0</v>
      </c>
      <c r="B239" s="513">
        <f t="shared" si="88"/>
        <v>227</v>
      </c>
      <c r="C239" s="530" t="str">
        <f>IF(Inventory!E236="","",Inventory!E236)</f>
        <v/>
      </c>
      <c r="D239" s="531">
        <f>IF(Inventory!D236="",0,Inventory!D236)</f>
        <v>0</v>
      </c>
      <c r="E239" s="532" t="str">
        <f>IF(Inventory!I236=0,"",Inventory!I236)</f>
        <v/>
      </c>
      <c r="F239" s="533" t="str">
        <f t="shared" si="89"/>
        <v/>
      </c>
      <c r="G239" s="534" t="str">
        <f>IF(Inventory!G236="","",Inventory!G236)</f>
        <v/>
      </c>
      <c r="H239" s="535" t="str">
        <f t="shared" si="90"/>
        <v/>
      </c>
      <c r="I239" s="536" t="str">
        <f>IF(Inventory!J236="","",Inventory!J236)</f>
        <v/>
      </c>
      <c r="J239" s="537" t="str">
        <f>IFERROR(IF(PRJ_Type="New Construction",IF(Inventory!C236="N",INDEX(xyLPD_BuildingArea,MATCH(Building_Type,Lookups!$F$37:$F$75,0),4),INDEX(xyLPD_SpaceBySpace,MATCH(INDEX(xyNCEx,MATCH(I239,yNCExArea,0),2),ySpace_by_Space_Type,0),2)),VLOOKUP(E239,xyWattage_Table,11,FALSE)),"")</f>
        <v/>
      </c>
      <c r="K239" s="538" t="str">
        <f>IFERROR(IF(AND(NC_Type="Building Area Method",Inventory!C236="N"),IF(ISERROR(INDEX('Usage Groups (&gt;120 MWh only)'!$N$8:$N$12,MATCH(C239,'Usage Groups (&gt;120 MWh only)'!$B$8:$B$12,0),1))=TRUE,SqFt/COUNTIFS(Inventory!$C$10:$C$1009,"N",$Q$13:$Q$1012,"&gt;=0"),INDEX('Usage Groups (&gt;120 MWh only)'!$N$8:$N$12,MATCH(C239,'Usage Groups (&gt;120 MWh only)'!$B$8:$B$12,0),1)/COUNTIF($C$13:$C$1012,C239)),IF(AND(NC_Type="Building Area Method",Inventory!C236="Y"),INDEX(xyNCEx,MATCH(I239,yNCExArea,0),3)/COUNTIF($I$13:$I$1012,I239),VLOOKUP(J239,xyWattage_Table,10,FALSE))),"")</f>
        <v/>
      </c>
      <c r="L239" s="539" t="str">
        <f t="shared" si="91"/>
        <v/>
      </c>
      <c r="M239" s="540">
        <f>IF(Inventory!N236="","",Inventory!N236)</f>
        <v>0</v>
      </c>
      <c r="N239" s="533" t="str">
        <f t="shared" si="92"/>
        <v/>
      </c>
      <c r="O239" s="534"/>
      <c r="P239" s="533" t="str">
        <f t="shared" si="93"/>
        <v/>
      </c>
      <c r="Q239" s="534" t="str">
        <f>IF(Inventory!L236="","",Inventory!L236)</f>
        <v/>
      </c>
      <c r="R239" s="535" t="str">
        <f t="shared" si="94"/>
        <v/>
      </c>
      <c r="S239" s="536" t="str">
        <f>IF(Inventory!O236="","",Inventory!O236)</f>
        <v/>
      </c>
      <c r="T239" s="541" t="str">
        <f>IFERROR(IF(C239="","",IF(INDEX(xyWattage_Table,MATCH(M239,'Fixture Identities'!$B$9:$B$997,0),2)="Exit Sign",8760,IF(VLOOKUP(C239,xySpace_Type_Details,8,FALSE)="TRM",INDEX('General Information'!$AF$17:$AG$28,11,MATCH(N239,'General Information'!$AF$16:$AG$16,0)),HLOOKUP(VLOOKUP(C239,xySpace_Type_Details,8,FALSE),'General Information'!$P$15:$AG$28,13,FALSE)))),"")</f>
        <v/>
      </c>
      <c r="U239" s="542" t="str">
        <f>IFERROR(IF(C239="","",IF(INDEX(xyWattage_Table,MATCH(M239,'Fixture Identities'!$B$9:$B$997,0),2)="Exit Sign",1,IF(VLOOKUP(C239,xySpace_Type_Details,8,FALSE)="TRM",INDEX('General Information'!$AF$17:$AG$28,12,MATCH(N239,'General Information'!$AF$16:$AG$16,0)),HLOOKUP(VLOOKUP(C239,xySpace_Type_Details,8,FALSE),'General Information'!$P$15:$AG$28,14,FALSE)))),"")</f>
        <v/>
      </c>
      <c r="V239" s="542" t="str">
        <f>IFERROR(VLOOKUP(INDEX(xySpace_Type_Details,MATCH($C239,'General Information'!$C$40:$C$60,0),12),Lookups!$L$8:$N$12,2,FALSE),"")</f>
        <v/>
      </c>
      <c r="W239" s="542" t="str">
        <f>IFERROR(VLOOKUP(INDEX(xySpace_Type_Details,MATCH($C239,'General Information'!$C$40:$C$60,0),12),Lookups!$L$8:$N$12,3,FALSE),"")</f>
        <v/>
      </c>
      <c r="Y239" s="542" t="str">
        <f>IFERROR(IF(C239="","",IF(INDEX(xyWattage_Table,MATCH(M239,'Fixture Identities'!$B$9:$B$997,0),2)="Exit Sign",0,IF(PRJ_Type="Retrofit",VLOOKUP(I239,xySVG_Factors,2,FALSE),IF(AND(PRJ_Type="New Construction",Inventory!C236="N"),VLOOKUP(VLOOKUP(Building_Type,xyLPD_BuildingArea,5,FALSE),xySVG_Factors_NC,3,FALSE),0)))),"")</f>
        <v/>
      </c>
      <c r="Z239" s="544" t="str">
        <f>IFERROR(IF(C239="","",IF(INDEX(xyWattage_Table,MATCH(M239,'Fixture Identities'!$B$9:$B$997,0),2)="Exit Sign",0,VLOOKUP(S239,xySVG_Factors,2,FALSE))),"")</f>
        <v/>
      </c>
      <c r="AA239" s="545" t="str">
        <f t="shared" si="95"/>
        <v/>
      </c>
      <c r="AB239" s="542" t="str">
        <f t="shared" si="96"/>
        <v/>
      </c>
      <c r="AC239" s="539" t="str">
        <f t="shared" si="97"/>
        <v/>
      </c>
      <c r="AD239" s="546" t="str">
        <f t="shared" si="98"/>
        <v/>
      </c>
      <c r="AE239" s="539" t="str">
        <f t="shared" si="99"/>
        <v/>
      </c>
      <c r="AF239" s="546" t="str">
        <f t="shared" si="100"/>
        <v/>
      </c>
      <c r="AG239" s="539" t="str">
        <f t="shared" si="101"/>
        <v/>
      </c>
      <c r="AH239" s="32">
        <f t="shared" si="82"/>
        <v>0</v>
      </c>
      <c r="AI239" s="32">
        <f t="shared" si="83"/>
        <v>0</v>
      </c>
      <c r="AJ239" s="32">
        <f t="shared" si="84"/>
        <v>0</v>
      </c>
      <c r="AK239" t="str">
        <f t="shared" si="85"/>
        <v/>
      </c>
      <c r="AL239" t="str">
        <f t="shared" si="86"/>
        <v/>
      </c>
      <c r="AM239" t="str">
        <f t="shared" si="87"/>
        <v/>
      </c>
      <c r="AO239" t="str">
        <f>IFERROR(VLOOKUP(M239,'Fixture Identities'!$B$9:$O$1045,14,FALSE),"")</f>
        <v/>
      </c>
      <c r="AP239" t="str">
        <f t="shared" si="81"/>
        <v/>
      </c>
    </row>
    <row r="240" spans="1:42">
      <c r="A240" s="71">
        <f t="shared" si="102"/>
        <v>0</v>
      </c>
      <c r="B240" s="513">
        <f t="shared" si="88"/>
        <v>228</v>
      </c>
      <c r="C240" s="530" t="str">
        <f>IF(Inventory!E237="","",Inventory!E237)</f>
        <v/>
      </c>
      <c r="D240" s="531">
        <f>IF(Inventory!D237="",0,Inventory!D237)</f>
        <v>0</v>
      </c>
      <c r="E240" s="532" t="str">
        <f>IF(Inventory!I237=0,"",Inventory!I237)</f>
        <v/>
      </c>
      <c r="F240" s="533" t="str">
        <f t="shared" si="89"/>
        <v/>
      </c>
      <c r="G240" s="534" t="str">
        <f>IF(Inventory!G237="","",Inventory!G237)</f>
        <v/>
      </c>
      <c r="H240" s="535" t="str">
        <f t="shared" si="90"/>
        <v/>
      </c>
      <c r="I240" s="536" t="str">
        <f>IF(Inventory!J237="","",Inventory!J237)</f>
        <v/>
      </c>
      <c r="J240" s="537" t="str">
        <f>IFERROR(IF(PRJ_Type="New Construction",IF(Inventory!C237="N",INDEX(xyLPD_BuildingArea,MATCH(Building_Type,Lookups!$F$37:$F$75,0),4),INDEX(xyLPD_SpaceBySpace,MATCH(INDEX(xyNCEx,MATCH(I240,yNCExArea,0),2),ySpace_by_Space_Type,0),2)),VLOOKUP(E240,xyWattage_Table,11,FALSE)),"")</f>
        <v/>
      </c>
      <c r="K240" s="538" t="str">
        <f>IFERROR(IF(AND(NC_Type="Building Area Method",Inventory!C237="N"),IF(ISERROR(INDEX('Usage Groups (&gt;120 MWh only)'!$N$8:$N$12,MATCH(C240,'Usage Groups (&gt;120 MWh only)'!$B$8:$B$12,0),1))=TRUE,SqFt/COUNTIFS(Inventory!$C$10:$C$1009,"N",$Q$13:$Q$1012,"&gt;=0"),INDEX('Usage Groups (&gt;120 MWh only)'!$N$8:$N$12,MATCH(C240,'Usage Groups (&gt;120 MWh only)'!$B$8:$B$12,0),1)/COUNTIF($C$13:$C$1012,C240)),IF(AND(NC_Type="Building Area Method",Inventory!C237="Y"),INDEX(xyNCEx,MATCH(I240,yNCExArea,0),3)/COUNTIF($I$13:$I$1012,I240),VLOOKUP(J240,xyWattage_Table,10,FALSE))),"")</f>
        <v/>
      </c>
      <c r="L240" s="539" t="str">
        <f t="shared" si="91"/>
        <v/>
      </c>
      <c r="M240" s="540">
        <f>IF(Inventory!N237="","",Inventory!N237)</f>
        <v>0</v>
      </c>
      <c r="N240" s="533" t="str">
        <f t="shared" si="92"/>
        <v/>
      </c>
      <c r="O240" s="534"/>
      <c r="P240" s="533" t="str">
        <f t="shared" si="93"/>
        <v/>
      </c>
      <c r="Q240" s="534" t="str">
        <f>IF(Inventory!L237="","",Inventory!L237)</f>
        <v/>
      </c>
      <c r="R240" s="535" t="str">
        <f t="shared" si="94"/>
        <v/>
      </c>
      <c r="S240" s="536" t="str">
        <f>IF(Inventory!O237="","",Inventory!O237)</f>
        <v/>
      </c>
      <c r="T240" s="541" t="str">
        <f>IFERROR(IF(C240="","",IF(INDEX(xyWattage_Table,MATCH(M240,'Fixture Identities'!$B$9:$B$997,0),2)="Exit Sign",8760,IF(VLOOKUP(C240,xySpace_Type_Details,8,FALSE)="TRM",INDEX('General Information'!$AF$17:$AG$28,11,MATCH(N240,'General Information'!$AF$16:$AG$16,0)),HLOOKUP(VLOOKUP(C240,xySpace_Type_Details,8,FALSE),'General Information'!$P$15:$AG$28,13,FALSE)))),"")</f>
        <v/>
      </c>
      <c r="U240" s="542" t="str">
        <f>IFERROR(IF(C240="","",IF(INDEX(xyWattage_Table,MATCH(M240,'Fixture Identities'!$B$9:$B$997,0),2)="Exit Sign",1,IF(VLOOKUP(C240,xySpace_Type_Details,8,FALSE)="TRM",INDEX('General Information'!$AF$17:$AG$28,12,MATCH(N240,'General Information'!$AF$16:$AG$16,0)),HLOOKUP(VLOOKUP(C240,xySpace_Type_Details,8,FALSE),'General Information'!$P$15:$AG$28,14,FALSE)))),"")</f>
        <v/>
      </c>
      <c r="V240" s="542" t="str">
        <f>IFERROR(VLOOKUP(INDEX(xySpace_Type_Details,MATCH($C240,'General Information'!$C$40:$C$60,0),12),Lookups!$L$8:$N$12,2,FALSE),"")</f>
        <v/>
      </c>
      <c r="W240" s="542" t="str">
        <f>IFERROR(VLOOKUP(INDEX(xySpace_Type_Details,MATCH($C240,'General Information'!$C$40:$C$60,0),12),Lookups!$L$8:$N$12,3,FALSE),"")</f>
        <v/>
      </c>
      <c r="Y240" s="542" t="str">
        <f>IFERROR(IF(C240="","",IF(INDEX(xyWattage_Table,MATCH(M240,'Fixture Identities'!$B$9:$B$997,0),2)="Exit Sign",0,IF(PRJ_Type="Retrofit",VLOOKUP(I240,xySVG_Factors,2,FALSE),IF(AND(PRJ_Type="New Construction",Inventory!C237="N"),VLOOKUP(VLOOKUP(Building_Type,xyLPD_BuildingArea,5,FALSE),xySVG_Factors_NC,3,FALSE),0)))),"")</f>
        <v/>
      </c>
      <c r="Z240" s="544" t="str">
        <f>IFERROR(IF(C240="","",IF(INDEX(xyWattage_Table,MATCH(M240,'Fixture Identities'!$B$9:$B$997,0),2)="Exit Sign",0,VLOOKUP(S240,xySVG_Factors,2,FALSE))),"")</f>
        <v/>
      </c>
      <c r="AA240" s="545" t="str">
        <f t="shared" si="95"/>
        <v/>
      </c>
      <c r="AB240" s="542" t="str">
        <f t="shared" si="96"/>
        <v/>
      </c>
      <c r="AC240" s="539" t="str">
        <f t="shared" si="97"/>
        <v/>
      </c>
      <c r="AD240" s="546" t="str">
        <f t="shared" si="98"/>
        <v/>
      </c>
      <c r="AE240" s="539" t="str">
        <f t="shared" si="99"/>
        <v/>
      </c>
      <c r="AF240" s="546" t="str">
        <f t="shared" si="100"/>
        <v/>
      </c>
      <c r="AG240" s="539" t="str">
        <f t="shared" si="101"/>
        <v/>
      </c>
      <c r="AH240" s="32">
        <f t="shared" si="82"/>
        <v>0</v>
      </c>
      <c r="AI240" s="32">
        <f t="shared" si="83"/>
        <v>0</v>
      </c>
      <c r="AJ240" s="32">
        <f t="shared" si="84"/>
        <v>0</v>
      </c>
      <c r="AK240" t="str">
        <f t="shared" si="85"/>
        <v/>
      </c>
      <c r="AL240" t="str">
        <f t="shared" si="86"/>
        <v/>
      </c>
      <c r="AM240" t="str">
        <f t="shared" si="87"/>
        <v/>
      </c>
      <c r="AO240" t="str">
        <f>IFERROR(VLOOKUP(M240,'Fixture Identities'!$B$9:$O$1045,14,FALSE),"")</f>
        <v/>
      </c>
      <c r="AP240" t="str">
        <f t="shared" si="81"/>
        <v/>
      </c>
    </row>
    <row r="241" spans="1:42">
      <c r="A241" s="71">
        <f t="shared" si="102"/>
        <v>0</v>
      </c>
      <c r="B241" s="513">
        <f t="shared" si="88"/>
        <v>229</v>
      </c>
      <c r="C241" s="530" t="str">
        <f>IF(Inventory!E238="","",Inventory!E238)</f>
        <v/>
      </c>
      <c r="D241" s="531">
        <f>IF(Inventory!D238="",0,Inventory!D238)</f>
        <v>0</v>
      </c>
      <c r="E241" s="532" t="str">
        <f>IF(Inventory!I238=0,"",Inventory!I238)</f>
        <v/>
      </c>
      <c r="F241" s="533" t="str">
        <f t="shared" si="89"/>
        <v/>
      </c>
      <c r="G241" s="534" t="str">
        <f>IF(Inventory!G238="","",Inventory!G238)</f>
        <v/>
      </c>
      <c r="H241" s="535" t="str">
        <f t="shared" si="90"/>
        <v/>
      </c>
      <c r="I241" s="536" t="str">
        <f>IF(Inventory!J238="","",Inventory!J238)</f>
        <v/>
      </c>
      <c r="J241" s="537" t="str">
        <f>IFERROR(IF(PRJ_Type="New Construction",IF(Inventory!C238="N",INDEX(xyLPD_BuildingArea,MATCH(Building_Type,Lookups!$F$37:$F$75,0),4),INDEX(xyLPD_SpaceBySpace,MATCH(INDEX(xyNCEx,MATCH(I241,yNCExArea,0),2),ySpace_by_Space_Type,0),2)),VLOOKUP(E241,xyWattage_Table,11,FALSE)),"")</f>
        <v/>
      </c>
      <c r="K241" s="538" t="str">
        <f>IFERROR(IF(AND(NC_Type="Building Area Method",Inventory!C238="N"),IF(ISERROR(INDEX('Usage Groups (&gt;120 MWh only)'!$N$8:$N$12,MATCH(C241,'Usage Groups (&gt;120 MWh only)'!$B$8:$B$12,0),1))=TRUE,SqFt/COUNTIFS(Inventory!$C$10:$C$1009,"N",$Q$13:$Q$1012,"&gt;=0"),INDEX('Usage Groups (&gt;120 MWh only)'!$N$8:$N$12,MATCH(C241,'Usage Groups (&gt;120 MWh only)'!$B$8:$B$12,0),1)/COUNTIF($C$13:$C$1012,C241)),IF(AND(NC_Type="Building Area Method",Inventory!C238="Y"),INDEX(xyNCEx,MATCH(I241,yNCExArea,0),3)/COUNTIF($I$13:$I$1012,I241),VLOOKUP(J241,xyWattage_Table,10,FALSE))),"")</f>
        <v/>
      </c>
      <c r="L241" s="539" t="str">
        <f t="shared" si="91"/>
        <v/>
      </c>
      <c r="M241" s="540">
        <f>IF(Inventory!N238="","",Inventory!N238)</f>
        <v>0</v>
      </c>
      <c r="N241" s="533" t="str">
        <f t="shared" si="92"/>
        <v/>
      </c>
      <c r="O241" s="534"/>
      <c r="P241" s="533" t="str">
        <f t="shared" si="93"/>
        <v/>
      </c>
      <c r="Q241" s="534" t="str">
        <f>IF(Inventory!L238="","",Inventory!L238)</f>
        <v/>
      </c>
      <c r="R241" s="535" t="str">
        <f t="shared" si="94"/>
        <v/>
      </c>
      <c r="S241" s="536" t="str">
        <f>IF(Inventory!O238="","",Inventory!O238)</f>
        <v/>
      </c>
      <c r="T241" s="541" t="str">
        <f>IFERROR(IF(C241="","",IF(INDEX(xyWattage_Table,MATCH(M241,'Fixture Identities'!$B$9:$B$997,0),2)="Exit Sign",8760,IF(VLOOKUP(C241,xySpace_Type_Details,8,FALSE)="TRM",INDEX('General Information'!$AF$17:$AG$28,11,MATCH(N241,'General Information'!$AF$16:$AG$16,0)),HLOOKUP(VLOOKUP(C241,xySpace_Type_Details,8,FALSE),'General Information'!$P$15:$AG$28,13,FALSE)))),"")</f>
        <v/>
      </c>
      <c r="U241" s="542" t="str">
        <f>IFERROR(IF(C241="","",IF(INDEX(xyWattage_Table,MATCH(M241,'Fixture Identities'!$B$9:$B$997,0),2)="Exit Sign",1,IF(VLOOKUP(C241,xySpace_Type_Details,8,FALSE)="TRM",INDEX('General Information'!$AF$17:$AG$28,12,MATCH(N241,'General Information'!$AF$16:$AG$16,0)),HLOOKUP(VLOOKUP(C241,xySpace_Type_Details,8,FALSE),'General Information'!$P$15:$AG$28,14,FALSE)))),"")</f>
        <v/>
      </c>
      <c r="V241" s="542" t="str">
        <f>IFERROR(VLOOKUP(INDEX(xySpace_Type_Details,MATCH($C241,'General Information'!$C$40:$C$60,0),12),Lookups!$L$8:$N$12,2,FALSE),"")</f>
        <v/>
      </c>
      <c r="W241" s="542" t="str">
        <f>IFERROR(VLOOKUP(INDEX(xySpace_Type_Details,MATCH($C241,'General Information'!$C$40:$C$60,0),12),Lookups!$L$8:$N$12,3,FALSE),"")</f>
        <v/>
      </c>
      <c r="Y241" s="542" t="str">
        <f>IFERROR(IF(C241="","",IF(INDEX(xyWattage_Table,MATCH(M241,'Fixture Identities'!$B$9:$B$997,0),2)="Exit Sign",0,IF(PRJ_Type="Retrofit",VLOOKUP(I241,xySVG_Factors,2,FALSE),IF(AND(PRJ_Type="New Construction",Inventory!C238="N"),VLOOKUP(VLOOKUP(Building_Type,xyLPD_BuildingArea,5,FALSE),xySVG_Factors_NC,3,FALSE),0)))),"")</f>
        <v/>
      </c>
      <c r="Z241" s="544" t="str">
        <f>IFERROR(IF(C241="","",IF(INDEX(xyWattage_Table,MATCH(M241,'Fixture Identities'!$B$9:$B$997,0),2)="Exit Sign",0,VLOOKUP(S241,xySVG_Factors,2,FALSE))),"")</f>
        <v/>
      </c>
      <c r="AA241" s="545" t="str">
        <f t="shared" si="95"/>
        <v/>
      </c>
      <c r="AB241" s="542" t="str">
        <f t="shared" si="96"/>
        <v/>
      </c>
      <c r="AC241" s="539" t="str">
        <f t="shared" si="97"/>
        <v/>
      </c>
      <c r="AD241" s="546" t="str">
        <f t="shared" si="98"/>
        <v/>
      </c>
      <c r="AE241" s="539" t="str">
        <f t="shared" si="99"/>
        <v/>
      </c>
      <c r="AF241" s="546" t="str">
        <f t="shared" si="100"/>
        <v/>
      </c>
      <c r="AG241" s="539" t="str">
        <f t="shared" si="101"/>
        <v/>
      </c>
      <c r="AH241" s="32">
        <f t="shared" si="82"/>
        <v>0</v>
      </c>
      <c r="AI241" s="32">
        <f t="shared" si="83"/>
        <v>0</v>
      </c>
      <c r="AJ241" s="32">
        <f t="shared" si="84"/>
        <v>0</v>
      </c>
      <c r="AK241" t="str">
        <f t="shared" si="85"/>
        <v/>
      </c>
      <c r="AL241" t="str">
        <f t="shared" si="86"/>
        <v/>
      </c>
      <c r="AM241" t="str">
        <f t="shared" si="87"/>
        <v/>
      </c>
      <c r="AO241" t="str">
        <f>IFERROR(VLOOKUP(M241,'Fixture Identities'!$B$9:$O$1045,14,FALSE),"")</f>
        <v/>
      </c>
      <c r="AP241" t="str">
        <f t="shared" si="81"/>
        <v/>
      </c>
    </row>
    <row r="242" spans="1:42">
      <c r="A242" s="71">
        <f t="shared" si="102"/>
        <v>0</v>
      </c>
      <c r="B242" s="513">
        <f t="shared" si="88"/>
        <v>230</v>
      </c>
      <c r="C242" s="530" t="str">
        <f>IF(Inventory!E239="","",Inventory!E239)</f>
        <v/>
      </c>
      <c r="D242" s="531">
        <f>IF(Inventory!D239="",0,Inventory!D239)</f>
        <v>0</v>
      </c>
      <c r="E242" s="532" t="str">
        <f>IF(Inventory!I239=0,"",Inventory!I239)</f>
        <v/>
      </c>
      <c r="F242" s="533" t="str">
        <f t="shared" si="89"/>
        <v/>
      </c>
      <c r="G242" s="534" t="str">
        <f>IF(Inventory!G239="","",Inventory!G239)</f>
        <v/>
      </c>
      <c r="H242" s="535" t="str">
        <f t="shared" si="90"/>
        <v/>
      </c>
      <c r="I242" s="536" t="str">
        <f>IF(Inventory!J239="","",Inventory!J239)</f>
        <v/>
      </c>
      <c r="J242" s="537" t="str">
        <f>IFERROR(IF(PRJ_Type="New Construction",IF(Inventory!C239="N",INDEX(xyLPD_BuildingArea,MATCH(Building_Type,Lookups!$F$37:$F$75,0),4),INDEX(xyLPD_SpaceBySpace,MATCH(INDEX(xyNCEx,MATCH(I242,yNCExArea,0),2),ySpace_by_Space_Type,0),2)),VLOOKUP(E242,xyWattage_Table,11,FALSE)),"")</f>
        <v/>
      </c>
      <c r="K242" s="538" t="str">
        <f>IFERROR(IF(AND(NC_Type="Building Area Method",Inventory!C239="N"),IF(ISERROR(INDEX('Usage Groups (&gt;120 MWh only)'!$N$8:$N$12,MATCH(C242,'Usage Groups (&gt;120 MWh only)'!$B$8:$B$12,0),1))=TRUE,SqFt/COUNTIFS(Inventory!$C$10:$C$1009,"N",$Q$13:$Q$1012,"&gt;=0"),INDEX('Usage Groups (&gt;120 MWh only)'!$N$8:$N$12,MATCH(C242,'Usage Groups (&gt;120 MWh only)'!$B$8:$B$12,0),1)/COUNTIF($C$13:$C$1012,C242)),IF(AND(NC_Type="Building Area Method",Inventory!C239="Y"),INDEX(xyNCEx,MATCH(I242,yNCExArea,0),3)/COUNTIF($I$13:$I$1012,I242),VLOOKUP(J242,xyWattage_Table,10,FALSE))),"")</f>
        <v/>
      </c>
      <c r="L242" s="539" t="str">
        <f t="shared" si="91"/>
        <v/>
      </c>
      <c r="M242" s="540">
        <f>IF(Inventory!N239="","",Inventory!N239)</f>
        <v>0</v>
      </c>
      <c r="N242" s="533" t="str">
        <f t="shared" si="92"/>
        <v/>
      </c>
      <c r="O242" s="534"/>
      <c r="P242" s="533" t="str">
        <f t="shared" si="93"/>
        <v/>
      </c>
      <c r="Q242" s="534" t="str">
        <f>IF(Inventory!L239="","",Inventory!L239)</f>
        <v/>
      </c>
      <c r="R242" s="535" t="str">
        <f t="shared" si="94"/>
        <v/>
      </c>
      <c r="S242" s="536" t="str">
        <f>IF(Inventory!O239="","",Inventory!O239)</f>
        <v/>
      </c>
      <c r="T242" s="541" t="str">
        <f>IFERROR(IF(C242="","",IF(INDEX(xyWattage_Table,MATCH(M242,'Fixture Identities'!$B$9:$B$997,0),2)="Exit Sign",8760,IF(VLOOKUP(C242,xySpace_Type_Details,8,FALSE)="TRM",INDEX('General Information'!$AF$17:$AG$28,11,MATCH(N242,'General Information'!$AF$16:$AG$16,0)),HLOOKUP(VLOOKUP(C242,xySpace_Type_Details,8,FALSE),'General Information'!$P$15:$AG$28,13,FALSE)))),"")</f>
        <v/>
      </c>
      <c r="U242" s="542" t="str">
        <f>IFERROR(IF(C242="","",IF(INDEX(xyWattage_Table,MATCH(M242,'Fixture Identities'!$B$9:$B$997,0),2)="Exit Sign",1,IF(VLOOKUP(C242,xySpace_Type_Details,8,FALSE)="TRM",INDEX('General Information'!$AF$17:$AG$28,12,MATCH(N242,'General Information'!$AF$16:$AG$16,0)),HLOOKUP(VLOOKUP(C242,xySpace_Type_Details,8,FALSE),'General Information'!$P$15:$AG$28,14,FALSE)))),"")</f>
        <v/>
      </c>
      <c r="V242" s="542" t="str">
        <f>IFERROR(VLOOKUP(INDEX(xySpace_Type_Details,MATCH($C242,'General Information'!$C$40:$C$60,0),12),Lookups!$L$8:$N$12,2,FALSE),"")</f>
        <v/>
      </c>
      <c r="W242" s="542" t="str">
        <f>IFERROR(VLOOKUP(INDEX(xySpace_Type_Details,MATCH($C242,'General Information'!$C$40:$C$60,0),12),Lookups!$L$8:$N$12,3,FALSE),"")</f>
        <v/>
      </c>
      <c r="Y242" s="542" t="str">
        <f>IFERROR(IF(C242="","",IF(INDEX(xyWattage_Table,MATCH(M242,'Fixture Identities'!$B$9:$B$997,0),2)="Exit Sign",0,IF(PRJ_Type="Retrofit",VLOOKUP(I242,xySVG_Factors,2,FALSE),IF(AND(PRJ_Type="New Construction",Inventory!C239="N"),VLOOKUP(VLOOKUP(Building_Type,xyLPD_BuildingArea,5,FALSE),xySVG_Factors_NC,3,FALSE),0)))),"")</f>
        <v/>
      </c>
      <c r="Z242" s="544" t="str">
        <f>IFERROR(IF(C242="","",IF(INDEX(xyWattage_Table,MATCH(M242,'Fixture Identities'!$B$9:$B$997,0),2)="Exit Sign",0,VLOOKUP(S242,xySVG_Factors,2,FALSE))),"")</f>
        <v/>
      </c>
      <c r="AA242" s="545" t="str">
        <f t="shared" si="95"/>
        <v/>
      </c>
      <c r="AB242" s="542" t="str">
        <f t="shared" si="96"/>
        <v/>
      </c>
      <c r="AC242" s="539" t="str">
        <f t="shared" si="97"/>
        <v/>
      </c>
      <c r="AD242" s="546" t="str">
        <f t="shared" si="98"/>
        <v/>
      </c>
      <c r="AE242" s="539" t="str">
        <f t="shared" si="99"/>
        <v/>
      </c>
      <c r="AF242" s="546" t="str">
        <f t="shared" si="100"/>
        <v/>
      </c>
      <c r="AG242" s="539" t="str">
        <f t="shared" si="101"/>
        <v/>
      </c>
      <c r="AH242" s="32">
        <f t="shared" si="82"/>
        <v>0</v>
      </c>
      <c r="AI242" s="32">
        <f t="shared" si="83"/>
        <v>0</v>
      </c>
      <c r="AJ242" s="32">
        <f t="shared" si="84"/>
        <v>0</v>
      </c>
      <c r="AK242" t="str">
        <f t="shared" si="85"/>
        <v/>
      </c>
      <c r="AL242" t="str">
        <f t="shared" si="86"/>
        <v/>
      </c>
      <c r="AM242" t="str">
        <f t="shared" si="87"/>
        <v/>
      </c>
      <c r="AO242" t="str">
        <f>IFERROR(VLOOKUP(M242,'Fixture Identities'!$B$9:$O$1045,14,FALSE),"")</f>
        <v/>
      </c>
      <c r="AP242" t="str">
        <f t="shared" si="81"/>
        <v/>
      </c>
    </row>
    <row r="243" spans="1:42">
      <c r="A243" s="71">
        <f t="shared" si="102"/>
        <v>0</v>
      </c>
      <c r="B243" s="513">
        <f t="shared" si="88"/>
        <v>231</v>
      </c>
      <c r="C243" s="530" t="str">
        <f>IF(Inventory!E240="","",Inventory!E240)</f>
        <v/>
      </c>
      <c r="D243" s="531">
        <f>IF(Inventory!D240="",0,Inventory!D240)</f>
        <v>0</v>
      </c>
      <c r="E243" s="532" t="str">
        <f>IF(Inventory!I240=0,"",Inventory!I240)</f>
        <v/>
      </c>
      <c r="F243" s="533" t="str">
        <f t="shared" si="89"/>
        <v/>
      </c>
      <c r="G243" s="534" t="str">
        <f>IF(Inventory!G240="","",Inventory!G240)</f>
        <v/>
      </c>
      <c r="H243" s="535" t="str">
        <f t="shared" si="90"/>
        <v/>
      </c>
      <c r="I243" s="536" t="str">
        <f>IF(Inventory!J240="","",Inventory!J240)</f>
        <v/>
      </c>
      <c r="J243" s="537" t="str">
        <f>IFERROR(IF(PRJ_Type="New Construction",IF(Inventory!C240="N",INDEX(xyLPD_BuildingArea,MATCH(Building_Type,Lookups!$F$37:$F$75,0),4),INDEX(xyLPD_SpaceBySpace,MATCH(INDEX(xyNCEx,MATCH(I243,yNCExArea,0),2),ySpace_by_Space_Type,0),2)),VLOOKUP(E243,xyWattage_Table,11,FALSE)),"")</f>
        <v/>
      </c>
      <c r="K243" s="538" t="str">
        <f>IFERROR(IF(AND(NC_Type="Building Area Method",Inventory!C240="N"),IF(ISERROR(INDEX('Usage Groups (&gt;120 MWh only)'!$N$8:$N$12,MATCH(C243,'Usage Groups (&gt;120 MWh only)'!$B$8:$B$12,0),1))=TRUE,SqFt/COUNTIFS(Inventory!$C$10:$C$1009,"N",$Q$13:$Q$1012,"&gt;=0"),INDEX('Usage Groups (&gt;120 MWh only)'!$N$8:$N$12,MATCH(C243,'Usage Groups (&gt;120 MWh only)'!$B$8:$B$12,0),1)/COUNTIF($C$13:$C$1012,C243)),IF(AND(NC_Type="Building Area Method",Inventory!C240="Y"),INDEX(xyNCEx,MATCH(I243,yNCExArea,0),3)/COUNTIF($I$13:$I$1012,I243),VLOOKUP(J243,xyWattage_Table,10,FALSE))),"")</f>
        <v/>
      </c>
      <c r="L243" s="539" t="str">
        <f t="shared" si="91"/>
        <v/>
      </c>
      <c r="M243" s="540">
        <f>IF(Inventory!N240="","",Inventory!N240)</f>
        <v>0</v>
      </c>
      <c r="N243" s="533" t="str">
        <f t="shared" si="92"/>
        <v/>
      </c>
      <c r="O243" s="534"/>
      <c r="P243" s="533" t="str">
        <f t="shared" si="93"/>
        <v/>
      </c>
      <c r="Q243" s="534" t="str">
        <f>IF(Inventory!L240="","",Inventory!L240)</f>
        <v/>
      </c>
      <c r="R243" s="535" t="str">
        <f t="shared" si="94"/>
        <v/>
      </c>
      <c r="S243" s="536" t="str">
        <f>IF(Inventory!O240="","",Inventory!O240)</f>
        <v/>
      </c>
      <c r="T243" s="541" t="str">
        <f>IFERROR(IF(C243="","",IF(INDEX(xyWattage_Table,MATCH(M243,'Fixture Identities'!$B$9:$B$997,0),2)="Exit Sign",8760,IF(VLOOKUP(C243,xySpace_Type_Details,8,FALSE)="TRM",INDEX('General Information'!$AF$17:$AG$28,11,MATCH(N243,'General Information'!$AF$16:$AG$16,0)),HLOOKUP(VLOOKUP(C243,xySpace_Type_Details,8,FALSE),'General Information'!$P$15:$AG$28,13,FALSE)))),"")</f>
        <v/>
      </c>
      <c r="U243" s="542" t="str">
        <f>IFERROR(IF(C243="","",IF(INDEX(xyWattage_Table,MATCH(M243,'Fixture Identities'!$B$9:$B$997,0),2)="Exit Sign",1,IF(VLOOKUP(C243,xySpace_Type_Details,8,FALSE)="TRM",INDEX('General Information'!$AF$17:$AG$28,12,MATCH(N243,'General Information'!$AF$16:$AG$16,0)),HLOOKUP(VLOOKUP(C243,xySpace_Type_Details,8,FALSE),'General Information'!$P$15:$AG$28,14,FALSE)))),"")</f>
        <v/>
      </c>
      <c r="V243" s="542" t="str">
        <f>IFERROR(VLOOKUP(INDEX(xySpace_Type_Details,MATCH($C243,'General Information'!$C$40:$C$60,0),12),Lookups!$L$8:$N$12,2,FALSE),"")</f>
        <v/>
      </c>
      <c r="W243" s="542" t="str">
        <f>IFERROR(VLOOKUP(INDEX(xySpace_Type_Details,MATCH($C243,'General Information'!$C$40:$C$60,0),12),Lookups!$L$8:$N$12,3,FALSE),"")</f>
        <v/>
      </c>
      <c r="Y243" s="542" t="str">
        <f>IFERROR(IF(C243="","",IF(INDEX(xyWattage_Table,MATCH(M243,'Fixture Identities'!$B$9:$B$997,0),2)="Exit Sign",0,IF(PRJ_Type="Retrofit",VLOOKUP(I243,xySVG_Factors,2,FALSE),IF(AND(PRJ_Type="New Construction",Inventory!C240="N"),VLOOKUP(VLOOKUP(Building_Type,xyLPD_BuildingArea,5,FALSE),xySVG_Factors_NC,3,FALSE),0)))),"")</f>
        <v/>
      </c>
      <c r="Z243" s="544" t="str">
        <f>IFERROR(IF(C243="","",IF(INDEX(xyWattage_Table,MATCH(M243,'Fixture Identities'!$B$9:$B$997,0),2)="Exit Sign",0,VLOOKUP(S243,xySVG_Factors,2,FALSE))),"")</f>
        <v/>
      </c>
      <c r="AA243" s="545" t="str">
        <f t="shared" si="95"/>
        <v/>
      </c>
      <c r="AB243" s="542" t="str">
        <f t="shared" si="96"/>
        <v/>
      </c>
      <c r="AC243" s="539" t="str">
        <f t="shared" si="97"/>
        <v/>
      </c>
      <c r="AD243" s="546" t="str">
        <f t="shared" si="98"/>
        <v/>
      </c>
      <c r="AE243" s="539" t="str">
        <f t="shared" si="99"/>
        <v/>
      </c>
      <c r="AF243" s="546" t="str">
        <f t="shared" si="100"/>
        <v/>
      </c>
      <c r="AG243" s="539" t="str">
        <f t="shared" si="101"/>
        <v/>
      </c>
      <c r="AH243" s="32">
        <f t="shared" si="82"/>
        <v>0</v>
      </c>
      <c r="AI243" s="32">
        <f t="shared" si="83"/>
        <v>0</v>
      </c>
      <c r="AJ243" s="32">
        <f t="shared" si="84"/>
        <v>0</v>
      </c>
      <c r="AK243" t="str">
        <f t="shared" si="85"/>
        <v/>
      </c>
      <c r="AL243" t="str">
        <f t="shared" si="86"/>
        <v/>
      </c>
      <c r="AM243" t="str">
        <f t="shared" si="87"/>
        <v/>
      </c>
      <c r="AO243" t="str">
        <f>IFERROR(VLOOKUP(M243,'Fixture Identities'!$B$9:$O$1045,14,FALSE),"")</f>
        <v/>
      </c>
      <c r="AP243" t="str">
        <f t="shared" si="81"/>
        <v/>
      </c>
    </row>
    <row r="244" spans="1:42">
      <c r="A244" s="71">
        <f t="shared" si="102"/>
        <v>0</v>
      </c>
      <c r="B244" s="513">
        <f t="shared" si="88"/>
        <v>232</v>
      </c>
      <c r="C244" s="530" t="str">
        <f>IF(Inventory!E241="","",Inventory!E241)</f>
        <v/>
      </c>
      <c r="D244" s="531">
        <f>IF(Inventory!D241="",0,Inventory!D241)</f>
        <v>0</v>
      </c>
      <c r="E244" s="532" t="str">
        <f>IF(Inventory!I241=0,"",Inventory!I241)</f>
        <v/>
      </c>
      <c r="F244" s="533" t="str">
        <f t="shared" si="89"/>
        <v/>
      </c>
      <c r="G244" s="534" t="str">
        <f>IF(Inventory!G241="","",Inventory!G241)</f>
        <v/>
      </c>
      <c r="H244" s="535" t="str">
        <f t="shared" si="90"/>
        <v/>
      </c>
      <c r="I244" s="536" t="str">
        <f>IF(Inventory!J241="","",Inventory!J241)</f>
        <v/>
      </c>
      <c r="J244" s="537" t="str">
        <f>IFERROR(IF(PRJ_Type="New Construction",IF(Inventory!C241="N",INDEX(xyLPD_BuildingArea,MATCH(Building_Type,Lookups!$F$37:$F$75,0),4),INDEX(xyLPD_SpaceBySpace,MATCH(INDEX(xyNCEx,MATCH(I244,yNCExArea,0),2),ySpace_by_Space_Type,0),2)),VLOOKUP(E244,xyWattage_Table,11,FALSE)),"")</f>
        <v/>
      </c>
      <c r="K244" s="538" t="str">
        <f>IFERROR(IF(AND(NC_Type="Building Area Method",Inventory!C241="N"),IF(ISERROR(INDEX('Usage Groups (&gt;120 MWh only)'!$N$8:$N$12,MATCH(C244,'Usage Groups (&gt;120 MWh only)'!$B$8:$B$12,0),1))=TRUE,SqFt/COUNTIFS(Inventory!$C$10:$C$1009,"N",$Q$13:$Q$1012,"&gt;=0"),INDEX('Usage Groups (&gt;120 MWh only)'!$N$8:$N$12,MATCH(C244,'Usage Groups (&gt;120 MWh only)'!$B$8:$B$12,0),1)/COUNTIF($C$13:$C$1012,C244)),IF(AND(NC_Type="Building Area Method",Inventory!C241="Y"),INDEX(xyNCEx,MATCH(I244,yNCExArea,0),3)/COUNTIF($I$13:$I$1012,I244),VLOOKUP(J244,xyWattage_Table,10,FALSE))),"")</f>
        <v/>
      </c>
      <c r="L244" s="539" t="str">
        <f t="shared" si="91"/>
        <v/>
      </c>
      <c r="M244" s="540">
        <f>IF(Inventory!N241="","",Inventory!N241)</f>
        <v>0</v>
      </c>
      <c r="N244" s="533" t="str">
        <f t="shared" si="92"/>
        <v/>
      </c>
      <c r="O244" s="534"/>
      <c r="P244" s="533" t="str">
        <f t="shared" si="93"/>
        <v/>
      </c>
      <c r="Q244" s="534" t="str">
        <f>IF(Inventory!L241="","",Inventory!L241)</f>
        <v/>
      </c>
      <c r="R244" s="535" t="str">
        <f t="shared" si="94"/>
        <v/>
      </c>
      <c r="S244" s="536" t="str">
        <f>IF(Inventory!O241="","",Inventory!O241)</f>
        <v/>
      </c>
      <c r="T244" s="541" t="str">
        <f>IFERROR(IF(C244="","",IF(INDEX(xyWattage_Table,MATCH(M244,'Fixture Identities'!$B$9:$B$997,0),2)="Exit Sign",8760,IF(VLOOKUP(C244,xySpace_Type_Details,8,FALSE)="TRM",INDEX('General Information'!$AF$17:$AG$28,11,MATCH(N244,'General Information'!$AF$16:$AG$16,0)),HLOOKUP(VLOOKUP(C244,xySpace_Type_Details,8,FALSE),'General Information'!$P$15:$AG$28,13,FALSE)))),"")</f>
        <v/>
      </c>
      <c r="U244" s="542" t="str">
        <f>IFERROR(IF(C244="","",IF(INDEX(xyWattage_Table,MATCH(M244,'Fixture Identities'!$B$9:$B$997,0),2)="Exit Sign",1,IF(VLOOKUP(C244,xySpace_Type_Details,8,FALSE)="TRM",INDEX('General Information'!$AF$17:$AG$28,12,MATCH(N244,'General Information'!$AF$16:$AG$16,0)),HLOOKUP(VLOOKUP(C244,xySpace_Type_Details,8,FALSE),'General Information'!$P$15:$AG$28,14,FALSE)))),"")</f>
        <v/>
      </c>
      <c r="V244" s="542" t="str">
        <f>IFERROR(VLOOKUP(INDEX(xySpace_Type_Details,MATCH($C244,'General Information'!$C$40:$C$60,0),12),Lookups!$L$8:$N$12,2,FALSE),"")</f>
        <v/>
      </c>
      <c r="W244" s="542" t="str">
        <f>IFERROR(VLOOKUP(INDEX(xySpace_Type_Details,MATCH($C244,'General Information'!$C$40:$C$60,0),12),Lookups!$L$8:$N$12,3,FALSE),"")</f>
        <v/>
      </c>
      <c r="Y244" s="542" t="str">
        <f>IFERROR(IF(C244="","",IF(INDEX(xyWattage_Table,MATCH(M244,'Fixture Identities'!$B$9:$B$997,0),2)="Exit Sign",0,IF(PRJ_Type="Retrofit",VLOOKUP(I244,xySVG_Factors,2,FALSE),IF(AND(PRJ_Type="New Construction",Inventory!C241="N"),VLOOKUP(VLOOKUP(Building_Type,xyLPD_BuildingArea,5,FALSE),xySVG_Factors_NC,3,FALSE),0)))),"")</f>
        <v/>
      </c>
      <c r="Z244" s="544" t="str">
        <f>IFERROR(IF(C244="","",IF(INDEX(xyWattage_Table,MATCH(M244,'Fixture Identities'!$B$9:$B$997,0),2)="Exit Sign",0,VLOOKUP(S244,xySVG_Factors,2,FALSE))),"")</f>
        <v/>
      </c>
      <c r="AA244" s="545" t="str">
        <f t="shared" si="95"/>
        <v/>
      </c>
      <c r="AB244" s="542" t="str">
        <f t="shared" si="96"/>
        <v/>
      </c>
      <c r="AC244" s="539" t="str">
        <f t="shared" si="97"/>
        <v/>
      </c>
      <c r="AD244" s="546" t="str">
        <f t="shared" si="98"/>
        <v/>
      </c>
      <c r="AE244" s="539" t="str">
        <f t="shared" si="99"/>
        <v/>
      </c>
      <c r="AF244" s="546" t="str">
        <f t="shared" si="100"/>
        <v/>
      </c>
      <c r="AG244" s="539" t="str">
        <f t="shared" si="101"/>
        <v/>
      </c>
      <c r="AH244" s="32">
        <f t="shared" si="82"/>
        <v>0</v>
      </c>
      <c r="AI244" s="32">
        <f t="shared" si="83"/>
        <v>0</v>
      </c>
      <c r="AJ244" s="32">
        <f t="shared" si="84"/>
        <v>0</v>
      </c>
      <c r="AK244" t="str">
        <f t="shared" si="85"/>
        <v/>
      </c>
      <c r="AL244" t="str">
        <f t="shared" si="86"/>
        <v/>
      </c>
      <c r="AM244" t="str">
        <f t="shared" si="87"/>
        <v/>
      </c>
      <c r="AO244" t="str">
        <f>IFERROR(VLOOKUP(M244,'Fixture Identities'!$B$9:$O$1045,14,FALSE),"")</f>
        <v/>
      </c>
      <c r="AP244" t="str">
        <f t="shared" si="81"/>
        <v/>
      </c>
    </row>
    <row r="245" spans="1:42">
      <c r="A245" s="71">
        <f t="shared" si="102"/>
        <v>0</v>
      </c>
      <c r="B245" s="513">
        <f t="shared" si="88"/>
        <v>233</v>
      </c>
      <c r="C245" s="530" t="str">
        <f>IF(Inventory!E242="","",Inventory!E242)</f>
        <v/>
      </c>
      <c r="D245" s="531">
        <f>IF(Inventory!D242="",0,Inventory!D242)</f>
        <v>0</v>
      </c>
      <c r="E245" s="532" t="str">
        <f>IF(Inventory!I242=0,"",Inventory!I242)</f>
        <v/>
      </c>
      <c r="F245" s="533" t="str">
        <f t="shared" si="89"/>
        <v/>
      </c>
      <c r="G245" s="534" t="str">
        <f>IF(Inventory!G242="","",Inventory!G242)</f>
        <v/>
      </c>
      <c r="H245" s="535" t="str">
        <f t="shared" si="90"/>
        <v/>
      </c>
      <c r="I245" s="536" t="str">
        <f>IF(Inventory!J242="","",Inventory!J242)</f>
        <v/>
      </c>
      <c r="J245" s="537" t="str">
        <f>IFERROR(IF(PRJ_Type="New Construction",IF(Inventory!C242="N",INDEX(xyLPD_BuildingArea,MATCH(Building_Type,Lookups!$F$37:$F$75,0),4),INDEX(xyLPD_SpaceBySpace,MATCH(INDEX(xyNCEx,MATCH(I245,yNCExArea,0),2),ySpace_by_Space_Type,0),2)),VLOOKUP(E245,xyWattage_Table,11,FALSE)),"")</f>
        <v/>
      </c>
      <c r="K245" s="538" t="str">
        <f>IFERROR(IF(AND(NC_Type="Building Area Method",Inventory!C242="N"),IF(ISERROR(INDEX('Usage Groups (&gt;120 MWh only)'!$N$8:$N$12,MATCH(C245,'Usage Groups (&gt;120 MWh only)'!$B$8:$B$12,0),1))=TRUE,SqFt/COUNTIFS(Inventory!$C$10:$C$1009,"N",$Q$13:$Q$1012,"&gt;=0"),INDEX('Usage Groups (&gt;120 MWh only)'!$N$8:$N$12,MATCH(C245,'Usage Groups (&gt;120 MWh only)'!$B$8:$B$12,0),1)/COUNTIF($C$13:$C$1012,C245)),IF(AND(NC_Type="Building Area Method",Inventory!C242="Y"),INDEX(xyNCEx,MATCH(I245,yNCExArea,0),3)/COUNTIF($I$13:$I$1012,I245),VLOOKUP(J245,xyWattage_Table,10,FALSE))),"")</f>
        <v/>
      </c>
      <c r="L245" s="539" t="str">
        <f t="shared" si="91"/>
        <v/>
      </c>
      <c r="M245" s="540">
        <f>IF(Inventory!N242="","",Inventory!N242)</f>
        <v>0</v>
      </c>
      <c r="N245" s="533" t="str">
        <f t="shared" si="92"/>
        <v/>
      </c>
      <c r="O245" s="534"/>
      <c r="P245" s="533" t="str">
        <f t="shared" si="93"/>
        <v/>
      </c>
      <c r="Q245" s="534" t="str">
        <f>IF(Inventory!L242="","",Inventory!L242)</f>
        <v/>
      </c>
      <c r="R245" s="535" t="str">
        <f t="shared" si="94"/>
        <v/>
      </c>
      <c r="S245" s="536" t="str">
        <f>IF(Inventory!O242="","",Inventory!O242)</f>
        <v/>
      </c>
      <c r="T245" s="541" t="str">
        <f>IFERROR(IF(C245="","",IF(INDEX(xyWattage_Table,MATCH(M245,'Fixture Identities'!$B$9:$B$997,0),2)="Exit Sign",8760,IF(VLOOKUP(C245,xySpace_Type_Details,8,FALSE)="TRM",INDEX('General Information'!$AF$17:$AG$28,11,MATCH(N245,'General Information'!$AF$16:$AG$16,0)),HLOOKUP(VLOOKUP(C245,xySpace_Type_Details,8,FALSE),'General Information'!$P$15:$AG$28,13,FALSE)))),"")</f>
        <v/>
      </c>
      <c r="U245" s="542" t="str">
        <f>IFERROR(IF(C245="","",IF(INDEX(xyWattage_Table,MATCH(M245,'Fixture Identities'!$B$9:$B$997,0),2)="Exit Sign",1,IF(VLOOKUP(C245,xySpace_Type_Details,8,FALSE)="TRM",INDEX('General Information'!$AF$17:$AG$28,12,MATCH(N245,'General Information'!$AF$16:$AG$16,0)),HLOOKUP(VLOOKUP(C245,xySpace_Type_Details,8,FALSE),'General Information'!$P$15:$AG$28,14,FALSE)))),"")</f>
        <v/>
      </c>
      <c r="V245" s="542" t="str">
        <f>IFERROR(VLOOKUP(INDEX(xySpace_Type_Details,MATCH($C245,'General Information'!$C$40:$C$60,0),12),Lookups!$L$8:$N$12,2,FALSE),"")</f>
        <v/>
      </c>
      <c r="W245" s="542" t="str">
        <f>IFERROR(VLOOKUP(INDEX(xySpace_Type_Details,MATCH($C245,'General Information'!$C$40:$C$60,0),12),Lookups!$L$8:$N$12,3,FALSE),"")</f>
        <v/>
      </c>
      <c r="Y245" s="542" t="str">
        <f>IFERROR(IF(C245="","",IF(INDEX(xyWattage_Table,MATCH(M245,'Fixture Identities'!$B$9:$B$997,0),2)="Exit Sign",0,IF(PRJ_Type="Retrofit",VLOOKUP(I245,xySVG_Factors,2,FALSE),IF(AND(PRJ_Type="New Construction",Inventory!C242="N"),VLOOKUP(VLOOKUP(Building_Type,xyLPD_BuildingArea,5,FALSE),xySVG_Factors_NC,3,FALSE),0)))),"")</f>
        <v/>
      </c>
      <c r="Z245" s="544" t="str">
        <f>IFERROR(IF(C245="","",IF(INDEX(xyWattage_Table,MATCH(M245,'Fixture Identities'!$B$9:$B$997,0),2)="Exit Sign",0,VLOOKUP(S245,xySVG_Factors,2,FALSE))),"")</f>
        <v/>
      </c>
      <c r="AA245" s="545" t="str">
        <f t="shared" si="95"/>
        <v/>
      </c>
      <c r="AB245" s="542" t="str">
        <f t="shared" si="96"/>
        <v/>
      </c>
      <c r="AC245" s="539" t="str">
        <f t="shared" si="97"/>
        <v/>
      </c>
      <c r="AD245" s="546" t="str">
        <f t="shared" si="98"/>
        <v/>
      </c>
      <c r="AE245" s="539" t="str">
        <f t="shared" si="99"/>
        <v/>
      </c>
      <c r="AF245" s="546" t="str">
        <f t="shared" si="100"/>
        <v/>
      </c>
      <c r="AG245" s="539" t="str">
        <f t="shared" si="101"/>
        <v/>
      </c>
      <c r="AH245" s="32">
        <f t="shared" si="82"/>
        <v>0</v>
      </c>
      <c r="AI245" s="32">
        <f t="shared" si="83"/>
        <v>0</v>
      </c>
      <c r="AJ245" s="32">
        <f t="shared" si="84"/>
        <v>0</v>
      </c>
      <c r="AK245" t="str">
        <f t="shared" si="85"/>
        <v/>
      </c>
      <c r="AL245" t="str">
        <f t="shared" si="86"/>
        <v/>
      </c>
      <c r="AM245" t="str">
        <f t="shared" si="87"/>
        <v/>
      </c>
      <c r="AO245" t="str">
        <f>IFERROR(VLOOKUP(M245,'Fixture Identities'!$B$9:$O$1045,14,FALSE),"")</f>
        <v/>
      </c>
      <c r="AP245" t="str">
        <f t="shared" si="81"/>
        <v/>
      </c>
    </row>
    <row r="246" spans="1:42">
      <c r="A246" s="71">
        <f t="shared" si="102"/>
        <v>0</v>
      </c>
      <c r="B246" s="513">
        <f t="shared" si="88"/>
        <v>234</v>
      </c>
      <c r="C246" s="530" t="str">
        <f>IF(Inventory!E243="","",Inventory!E243)</f>
        <v/>
      </c>
      <c r="D246" s="531">
        <f>IF(Inventory!D243="",0,Inventory!D243)</f>
        <v>0</v>
      </c>
      <c r="E246" s="532" t="str">
        <f>IF(Inventory!I243=0,"",Inventory!I243)</f>
        <v/>
      </c>
      <c r="F246" s="533" t="str">
        <f t="shared" si="89"/>
        <v/>
      </c>
      <c r="G246" s="534" t="str">
        <f>IF(Inventory!G243="","",Inventory!G243)</f>
        <v/>
      </c>
      <c r="H246" s="535" t="str">
        <f t="shared" si="90"/>
        <v/>
      </c>
      <c r="I246" s="536" t="str">
        <f>IF(Inventory!J243="","",Inventory!J243)</f>
        <v/>
      </c>
      <c r="J246" s="537" t="str">
        <f>IFERROR(IF(PRJ_Type="New Construction",IF(Inventory!C243="N",INDEX(xyLPD_BuildingArea,MATCH(Building_Type,Lookups!$F$37:$F$75,0),4),INDEX(xyLPD_SpaceBySpace,MATCH(INDEX(xyNCEx,MATCH(I246,yNCExArea,0),2),ySpace_by_Space_Type,0),2)),VLOOKUP(E246,xyWattage_Table,11,FALSE)),"")</f>
        <v/>
      </c>
      <c r="K246" s="538" t="str">
        <f>IFERROR(IF(AND(NC_Type="Building Area Method",Inventory!C243="N"),IF(ISERROR(INDEX('Usage Groups (&gt;120 MWh only)'!$N$8:$N$12,MATCH(C246,'Usage Groups (&gt;120 MWh only)'!$B$8:$B$12,0),1))=TRUE,SqFt/COUNTIFS(Inventory!$C$10:$C$1009,"N",$Q$13:$Q$1012,"&gt;=0"),INDEX('Usage Groups (&gt;120 MWh only)'!$N$8:$N$12,MATCH(C246,'Usage Groups (&gt;120 MWh only)'!$B$8:$B$12,0),1)/COUNTIF($C$13:$C$1012,C246)),IF(AND(NC_Type="Building Area Method",Inventory!C243="Y"),INDEX(xyNCEx,MATCH(I246,yNCExArea,0),3)/COUNTIF($I$13:$I$1012,I246),VLOOKUP(J246,xyWattage_Table,10,FALSE))),"")</f>
        <v/>
      </c>
      <c r="L246" s="539" t="str">
        <f t="shared" si="91"/>
        <v/>
      </c>
      <c r="M246" s="540">
        <f>IF(Inventory!N243="","",Inventory!N243)</f>
        <v>0</v>
      </c>
      <c r="N246" s="533" t="str">
        <f t="shared" si="92"/>
        <v/>
      </c>
      <c r="O246" s="534"/>
      <c r="P246" s="533" t="str">
        <f t="shared" si="93"/>
        <v/>
      </c>
      <c r="Q246" s="534" t="str">
        <f>IF(Inventory!L243="","",Inventory!L243)</f>
        <v/>
      </c>
      <c r="R246" s="535" t="str">
        <f t="shared" si="94"/>
        <v/>
      </c>
      <c r="S246" s="536" t="str">
        <f>IF(Inventory!O243="","",Inventory!O243)</f>
        <v/>
      </c>
      <c r="T246" s="541" t="str">
        <f>IFERROR(IF(C246="","",IF(INDEX(xyWattage_Table,MATCH(M246,'Fixture Identities'!$B$9:$B$997,0),2)="Exit Sign",8760,IF(VLOOKUP(C246,xySpace_Type_Details,8,FALSE)="TRM",INDEX('General Information'!$AF$17:$AG$28,11,MATCH(N246,'General Information'!$AF$16:$AG$16,0)),HLOOKUP(VLOOKUP(C246,xySpace_Type_Details,8,FALSE),'General Information'!$P$15:$AG$28,13,FALSE)))),"")</f>
        <v/>
      </c>
      <c r="U246" s="542" t="str">
        <f>IFERROR(IF(C246="","",IF(INDEX(xyWattage_Table,MATCH(M246,'Fixture Identities'!$B$9:$B$997,0),2)="Exit Sign",1,IF(VLOOKUP(C246,xySpace_Type_Details,8,FALSE)="TRM",INDEX('General Information'!$AF$17:$AG$28,12,MATCH(N246,'General Information'!$AF$16:$AG$16,0)),HLOOKUP(VLOOKUP(C246,xySpace_Type_Details,8,FALSE),'General Information'!$P$15:$AG$28,14,FALSE)))),"")</f>
        <v/>
      </c>
      <c r="V246" s="542" t="str">
        <f>IFERROR(VLOOKUP(INDEX(xySpace_Type_Details,MATCH($C246,'General Information'!$C$40:$C$60,0),12),Lookups!$L$8:$N$12,2,FALSE),"")</f>
        <v/>
      </c>
      <c r="W246" s="542" t="str">
        <f>IFERROR(VLOOKUP(INDEX(xySpace_Type_Details,MATCH($C246,'General Information'!$C$40:$C$60,0),12),Lookups!$L$8:$N$12,3,FALSE),"")</f>
        <v/>
      </c>
      <c r="Y246" s="542" t="str">
        <f>IFERROR(IF(C246="","",IF(INDEX(xyWattage_Table,MATCH(M246,'Fixture Identities'!$B$9:$B$997,0),2)="Exit Sign",0,IF(PRJ_Type="Retrofit",VLOOKUP(I246,xySVG_Factors,2,FALSE),IF(AND(PRJ_Type="New Construction",Inventory!C243="N"),VLOOKUP(VLOOKUP(Building_Type,xyLPD_BuildingArea,5,FALSE),xySVG_Factors_NC,3,FALSE),0)))),"")</f>
        <v/>
      </c>
      <c r="Z246" s="544" t="str">
        <f>IFERROR(IF(C246="","",IF(INDEX(xyWattage_Table,MATCH(M246,'Fixture Identities'!$B$9:$B$997,0),2)="Exit Sign",0,VLOOKUP(S246,xySVG_Factors,2,FALSE))),"")</f>
        <v/>
      </c>
      <c r="AA246" s="545" t="str">
        <f t="shared" si="95"/>
        <v/>
      </c>
      <c r="AB246" s="542" t="str">
        <f t="shared" si="96"/>
        <v/>
      </c>
      <c r="AC246" s="539" t="str">
        <f t="shared" si="97"/>
        <v/>
      </c>
      <c r="AD246" s="546" t="str">
        <f t="shared" si="98"/>
        <v/>
      </c>
      <c r="AE246" s="539" t="str">
        <f t="shared" si="99"/>
        <v/>
      </c>
      <c r="AF246" s="546" t="str">
        <f t="shared" si="100"/>
        <v/>
      </c>
      <c r="AG246" s="539" t="str">
        <f t="shared" si="101"/>
        <v/>
      </c>
      <c r="AH246" s="32">
        <f t="shared" si="82"/>
        <v>0</v>
      </c>
      <c r="AI246" s="32">
        <f t="shared" si="83"/>
        <v>0</v>
      </c>
      <c r="AJ246" s="32">
        <f t="shared" si="84"/>
        <v>0</v>
      </c>
      <c r="AK246" t="str">
        <f t="shared" si="85"/>
        <v/>
      </c>
      <c r="AL246" t="str">
        <f t="shared" si="86"/>
        <v/>
      </c>
      <c r="AM246" t="str">
        <f t="shared" si="87"/>
        <v/>
      </c>
      <c r="AO246" t="str">
        <f>IFERROR(VLOOKUP(M246,'Fixture Identities'!$B$9:$O$1045,14,FALSE),"")</f>
        <v/>
      </c>
      <c r="AP246" t="str">
        <f t="shared" si="81"/>
        <v/>
      </c>
    </row>
    <row r="247" spans="1:42">
      <c r="A247" s="71">
        <f t="shared" si="102"/>
        <v>0</v>
      </c>
      <c r="B247" s="513">
        <f t="shared" si="88"/>
        <v>235</v>
      </c>
      <c r="C247" s="530" t="str">
        <f>IF(Inventory!E244="","",Inventory!E244)</f>
        <v/>
      </c>
      <c r="D247" s="531">
        <f>IF(Inventory!D244="",0,Inventory!D244)</f>
        <v>0</v>
      </c>
      <c r="E247" s="532" t="str">
        <f>IF(Inventory!I244=0,"",Inventory!I244)</f>
        <v/>
      </c>
      <c r="F247" s="533" t="str">
        <f t="shared" si="89"/>
        <v/>
      </c>
      <c r="G247" s="534" t="str">
        <f>IF(Inventory!G244="","",Inventory!G244)</f>
        <v/>
      </c>
      <c r="H247" s="535" t="str">
        <f t="shared" si="90"/>
        <v/>
      </c>
      <c r="I247" s="536" t="str">
        <f>IF(Inventory!J244="","",Inventory!J244)</f>
        <v/>
      </c>
      <c r="J247" s="537" t="str">
        <f>IFERROR(IF(PRJ_Type="New Construction",IF(Inventory!C244="N",INDEX(xyLPD_BuildingArea,MATCH(Building_Type,Lookups!$F$37:$F$75,0),4),INDEX(xyLPD_SpaceBySpace,MATCH(INDEX(xyNCEx,MATCH(I247,yNCExArea,0),2),ySpace_by_Space_Type,0),2)),VLOOKUP(E247,xyWattage_Table,11,FALSE)),"")</f>
        <v/>
      </c>
      <c r="K247" s="538" t="str">
        <f>IFERROR(IF(AND(NC_Type="Building Area Method",Inventory!C244="N"),IF(ISERROR(INDEX('Usage Groups (&gt;120 MWh only)'!$N$8:$N$12,MATCH(C247,'Usage Groups (&gt;120 MWh only)'!$B$8:$B$12,0),1))=TRUE,SqFt/COUNTIFS(Inventory!$C$10:$C$1009,"N",$Q$13:$Q$1012,"&gt;=0"),INDEX('Usage Groups (&gt;120 MWh only)'!$N$8:$N$12,MATCH(C247,'Usage Groups (&gt;120 MWh only)'!$B$8:$B$12,0),1)/COUNTIF($C$13:$C$1012,C247)),IF(AND(NC_Type="Building Area Method",Inventory!C244="Y"),INDEX(xyNCEx,MATCH(I247,yNCExArea,0),3)/COUNTIF($I$13:$I$1012,I247),VLOOKUP(J247,xyWattage_Table,10,FALSE))),"")</f>
        <v/>
      </c>
      <c r="L247" s="539" t="str">
        <f t="shared" si="91"/>
        <v/>
      </c>
      <c r="M247" s="540">
        <f>IF(Inventory!N244="","",Inventory!N244)</f>
        <v>0</v>
      </c>
      <c r="N247" s="533" t="str">
        <f t="shared" si="92"/>
        <v/>
      </c>
      <c r="O247" s="534"/>
      <c r="P247" s="533" t="str">
        <f t="shared" si="93"/>
        <v/>
      </c>
      <c r="Q247" s="534" t="str">
        <f>IF(Inventory!L244="","",Inventory!L244)</f>
        <v/>
      </c>
      <c r="R247" s="535" t="str">
        <f t="shared" si="94"/>
        <v/>
      </c>
      <c r="S247" s="536" t="str">
        <f>IF(Inventory!O244="","",Inventory!O244)</f>
        <v/>
      </c>
      <c r="T247" s="541" t="str">
        <f>IFERROR(IF(C247="","",IF(INDEX(xyWattage_Table,MATCH(M247,'Fixture Identities'!$B$9:$B$997,0),2)="Exit Sign",8760,IF(VLOOKUP(C247,xySpace_Type_Details,8,FALSE)="TRM",INDEX('General Information'!$AF$17:$AG$28,11,MATCH(N247,'General Information'!$AF$16:$AG$16,0)),HLOOKUP(VLOOKUP(C247,xySpace_Type_Details,8,FALSE),'General Information'!$P$15:$AG$28,13,FALSE)))),"")</f>
        <v/>
      </c>
      <c r="U247" s="542" t="str">
        <f>IFERROR(IF(C247="","",IF(INDEX(xyWattage_Table,MATCH(M247,'Fixture Identities'!$B$9:$B$997,0),2)="Exit Sign",1,IF(VLOOKUP(C247,xySpace_Type_Details,8,FALSE)="TRM",INDEX('General Information'!$AF$17:$AG$28,12,MATCH(N247,'General Information'!$AF$16:$AG$16,0)),HLOOKUP(VLOOKUP(C247,xySpace_Type_Details,8,FALSE),'General Information'!$P$15:$AG$28,14,FALSE)))),"")</f>
        <v/>
      </c>
      <c r="V247" s="542" t="str">
        <f>IFERROR(VLOOKUP(INDEX(xySpace_Type_Details,MATCH($C247,'General Information'!$C$40:$C$60,0),12),Lookups!$L$8:$N$12,2,FALSE),"")</f>
        <v/>
      </c>
      <c r="W247" s="542" t="str">
        <f>IFERROR(VLOOKUP(INDEX(xySpace_Type_Details,MATCH($C247,'General Information'!$C$40:$C$60,0),12),Lookups!$L$8:$N$12,3,FALSE),"")</f>
        <v/>
      </c>
      <c r="Y247" s="542" t="str">
        <f>IFERROR(IF(C247="","",IF(INDEX(xyWattage_Table,MATCH(M247,'Fixture Identities'!$B$9:$B$997,0),2)="Exit Sign",0,IF(PRJ_Type="Retrofit",VLOOKUP(I247,xySVG_Factors,2,FALSE),IF(AND(PRJ_Type="New Construction",Inventory!C244="N"),VLOOKUP(VLOOKUP(Building_Type,xyLPD_BuildingArea,5,FALSE),xySVG_Factors_NC,3,FALSE),0)))),"")</f>
        <v/>
      </c>
      <c r="Z247" s="544" t="str">
        <f>IFERROR(IF(C247="","",IF(INDEX(xyWattage_Table,MATCH(M247,'Fixture Identities'!$B$9:$B$997,0),2)="Exit Sign",0,VLOOKUP(S247,xySVG_Factors,2,FALSE))),"")</f>
        <v/>
      </c>
      <c r="AA247" s="545" t="str">
        <f t="shared" si="95"/>
        <v/>
      </c>
      <c r="AB247" s="542" t="str">
        <f t="shared" si="96"/>
        <v/>
      </c>
      <c r="AC247" s="539" t="str">
        <f t="shared" si="97"/>
        <v/>
      </c>
      <c r="AD247" s="546" t="str">
        <f t="shared" si="98"/>
        <v/>
      </c>
      <c r="AE247" s="539" t="str">
        <f t="shared" si="99"/>
        <v/>
      </c>
      <c r="AF247" s="546" t="str">
        <f t="shared" si="100"/>
        <v/>
      </c>
      <c r="AG247" s="539" t="str">
        <f t="shared" si="101"/>
        <v/>
      </c>
      <c r="AH247" s="32">
        <f t="shared" si="82"/>
        <v>0</v>
      </c>
      <c r="AI247" s="32">
        <f t="shared" si="83"/>
        <v>0</v>
      </c>
      <c r="AJ247" s="32">
        <f t="shared" si="84"/>
        <v>0</v>
      </c>
      <c r="AK247" t="str">
        <f t="shared" si="85"/>
        <v/>
      </c>
      <c r="AL247" t="str">
        <f t="shared" si="86"/>
        <v/>
      </c>
      <c r="AM247" t="str">
        <f t="shared" si="87"/>
        <v/>
      </c>
      <c r="AO247" t="str">
        <f>IFERROR(VLOOKUP(M247,'Fixture Identities'!$B$9:$O$1045,14,FALSE),"")</f>
        <v/>
      </c>
      <c r="AP247" t="str">
        <f t="shared" si="81"/>
        <v/>
      </c>
    </row>
    <row r="248" spans="1:42">
      <c r="A248" s="71">
        <f t="shared" si="102"/>
        <v>0</v>
      </c>
      <c r="B248" s="513">
        <f t="shared" si="88"/>
        <v>236</v>
      </c>
      <c r="C248" s="530" t="str">
        <f>IF(Inventory!E245="","",Inventory!E245)</f>
        <v/>
      </c>
      <c r="D248" s="531">
        <f>IF(Inventory!D245="",0,Inventory!D245)</f>
        <v>0</v>
      </c>
      <c r="E248" s="532" t="str">
        <f>IF(Inventory!I245=0,"",Inventory!I245)</f>
        <v/>
      </c>
      <c r="F248" s="533" t="str">
        <f t="shared" si="89"/>
        <v/>
      </c>
      <c r="G248" s="534" t="str">
        <f>IF(Inventory!G245="","",Inventory!G245)</f>
        <v/>
      </c>
      <c r="H248" s="535" t="str">
        <f t="shared" si="90"/>
        <v/>
      </c>
      <c r="I248" s="536" t="str">
        <f>IF(Inventory!J245="","",Inventory!J245)</f>
        <v/>
      </c>
      <c r="J248" s="537" t="str">
        <f>IFERROR(IF(PRJ_Type="New Construction",IF(Inventory!C245="N",INDEX(xyLPD_BuildingArea,MATCH(Building_Type,Lookups!$F$37:$F$75,0),4),INDEX(xyLPD_SpaceBySpace,MATCH(INDEX(xyNCEx,MATCH(I248,yNCExArea,0),2),ySpace_by_Space_Type,0),2)),VLOOKUP(E248,xyWattage_Table,11,FALSE)),"")</f>
        <v/>
      </c>
      <c r="K248" s="538" t="str">
        <f>IFERROR(IF(AND(NC_Type="Building Area Method",Inventory!C245="N"),IF(ISERROR(INDEX('Usage Groups (&gt;120 MWh only)'!$N$8:$N$12,MATCH(C248,'Usage Groups (&gt;120 MWh only)'!$B$8:$B$12,0),1))=TRUE,SqFt/COUNTIFS(Inventory!$C$10:$C$1009,"N",$Q$13:$Q$1012,"&gt;=0"),INDEX('Usage Groups (&gt;120 MWh only)'!$N$8:$N$12,MATCH(C248,'Usage Groups (&gt;120 MWh only)'!$B$8:$B$12,0),1)/COUNTIF($C$13:$C$1012,C248)),IF(AND(NC_Type="Building Area Method",Inventory!C245="Y"),INDEX(xyNCEx,MATCH(I248,yNCExArea,0),3)/COUNTIF($I$13:$I$1012,I248),VLOOKUP(J248,xyWattage_Table,10,FALSE))),"")</f>
        <v/>
      </c>
      <c r="L248" s="539" t="str">
        <f t="shared" si="91"/>
        <v/>
      </c>
      <c r="M248" s="540">
        <f>IF(Inventory!N245="","",Inventory!N245)</f>
        <v>0</v>
      </c>
      <c r="N248" s="533" t="str">
        <f t="shared" si="92"/>
        <v/>
      </c>
      <c r="O248" s="534"/>
      <c r="P248" s="533" t="str">
        <f t="shared" si="93"/>
        <v/>
      </c>
      <c r="Q248" s="534" t="str">
        <f>IF(Inventory!L245="","",Inventory!L245)</f>
        <v/>
      </c>
      <c r="R248" s="535" t="str">
        <f t="shared" si="94"/>
        <v/>
      </c>
      <c r="S248" s="536" t="str">
        <f>IF(Inventory!O245="","",Inventory!O245)</f>
        <v/>
      </c>
      <c r="T248" s="541" t="str">
        <f>IFERROR(IF(C248="","",IF(INDEX(xyWattage_Table,MATCH(M248,'Fixture Identities'!$B$9:$B$997,0),2)="Exit Sign",8760,IF(VLOOKUP(C248,xySpace_Type_Details,8,FALSE)="TRM",INDEX('General Information'!$AF$17:$AG$28,11,MATCH(N248,'General Information'!$AF$16:$AG$16,0)),HLOOKUP(VLOOKUP(C248,xySpace_Type_Details,8,FALSE),'General Information'!$P$15:$AG$28,13,FALSE)))),"")</f>
        <v/>
      </c>
      <c r="U248" s="542" t="str">
        <f>IFERROR(IF(C248="","",IF(INDEX(xyWattage_Table,MATCH(M248,'Fixture Identities'!$B$9:$B$997,0),2)="Exit Sign",1,IF(VLOOKUP(C248,xySpace_Type_Details,8,FALSE)="TRM",INDEX('General Information'!$AF$17:$AG$28,12,MATCH(N248,'General Information'!$AF$16:$AG$16,0)),HLOOKUP(VLOOKUP(C248,xySpace_Type_Details,8,FALSE),'General Information'!$P$15:$AG$28,14,FALSE)))),"")</f>
        <v/>
      </c>
      <c r="V248" s="542" t="str">
        <f>IFERROR(VLOOKUP(INDEX(xySpace_Type_Details,MATCH($C248,'General Information'!$C$40:$C$60,0),12),Lookups!$L$8:$N$12,2,FALSE),"")</f>
        <v/>
      </c>
      <c r="W248" s="542" t="str">
        <f>IFERROR(VLOOKUP(INDEX(xySpace_Type_Details,MATCH($C248,'General Information'!$C$40:$C$60,0),12),Lookups!$L$8:$N$12,3,FALSE),"")</f>
        <v/>
      </c>
      <c r="Y248" s="542" t="str">
        <f>IFERROR(IF(C248="","",IF(INDEX(xyWattage_Table,MATCH(M248,'Fixture Identities'!$B$9:$B$997,0),2)="Exit Sign",0,IF(PRJ_Type="Retrofit",VLOOKUP(I248,xySVG_Factors,2,FALSE),IF(AND(PRJ_Type="New Construction",Inventory!C245="N"),VLOOKUP(VLOOKUP(Building_Type,xyLPD_BuildingArea,5,FALSE),xySVG_Factors_NC,3,FALSE),0)))),"")</f>
        <v/>
      </c>
      <c r="Z248" s="544" t="str">
        <f>IFERROR(IF(C248="","",IF(INDEX(xyWattage_Table,MATCH(M248,'Fixture Identities'!$B$9:$B$997,0),2)="Exit Sign",0,VLOOKUP(S248,xySVG_Factors,2,FALSE))),"")</f>
        <v/>
      </c>
      <c r="AA248" s="545" t="str">
        <f t="shared" si="95"/>
        <v/>
      </c>
      <c r="AB248" s="542" t="str">
        <f t="shared" si="96"/>
        <v/>
      </c>
      <c r="AC248" s="539" t="str">
        <f t="shared" si="97"/>
        <v/>
      </c>
      <c r="AD248" s="546" t="str">
        <f t="shared" si="98"/>
        <v/>
      </c>
      <c r="AE248" s="539" t="str">
        <f t="shared" si="99"/>
        <v/>
      </c>
      <c r="AF248" s="546" t="str">
        <f t="shared" si="100"/>
        <v/>
      </c>
      <c r="AG248" s="539" t="str">
        <f t="shared" si="101"/>
        <v/>
      </c>
      <c r="AH248" s="32">
        <f t="shared" si="82"/>
        <v>0</v>
      </c>
      <c r="AI248" s="32">
        <f t="shared" si="83"/>
        <v>0</v>
      </c>
      <c r="AJ248" s="32">
        <f t="shared" si="84"/>
        <v>0</v>
      </c>
      <c r="AK248" t="str">
        <f t="shared" si="85"/>
        <v/>
      </c>
      <c r="AL248" t="str">
        <f t="shared" si="86"/>
        <v/>
      </c>
      <c r="AM248" t="str">
        <f t="shared" si="87"/>
        <v/>
      </c>
      <c r="AO248" t="str">
        <f>IFERROR(VLOOKUP(M248,'Fixture Identities'!$B$9:$O$1045,14,FALSE),"")</f>
        <v/>
      </c>
      <c r="AP248" t="str">
        <f t="shared" si="81"/>
        <v/>
      </c>
    </row>
    <row r="249" spans="1:42">
      <c r="A249" s="71">
        <f t="shared" si="102"/>
        <v>0</v>
      </c>
      <c r="B249" s="513">
        <f t="shared" si="88"/>
        <v>237</v>
      </c>
      <c r="C249" s="530" t="str">
        <f>IF(Inventory!E246="","",Inventory!E246)</f>
        <v/>
      </c>
      <c r="D249" s="531">
        <f>IF(Inventory!D246="",0,Inventory!D246)</f>
        <v>0</v>
      </c>
      <c r="E249" s="532" t="str">
        <f>IF(Inventory!I246=0,"",Inventory!I246)</f>
        <v/>
      </c>
      <c r="F249" s="533" t="str">
        <f t="shared" si="89"/>
        <v/>
      </c>
      <c r="G249" s="534" t="str">
        <f>IF(Inventory!G246="","",Inventory!G246)</f>
        <v/>
      </c>
      <c r="H249" s="535" t="str">
        <f t="shared" si="90"/>
        <v/>
      </c>
      <c r="I249" s="536" t="str">
        <f>IF(Inventory!J246="","",Inventory!J246)</f>
        <v/>
      </c>
      <c r="J249" s="537" t="str">
        <f>IFERROR(IF(PRJ_Type="New Construction",IF(Inventory!C246="N",INDEX(xyLPD_BuildingArea,MATCH(Building_Type,Lookups!$F$37:$F$75,0),4),INDEX(xyLPD_SpaceBySpace,MATCH(INDEX(xyNCEx,MATCH(I249,yNCExArea,0),2),ySpace_by_Space_Type,0),2)),VLOOKUP(E249,xyWattage_Table,11,FALSE)),"")</f>
        <v/>
      </c>
      <c r="K249" s="538" t="str">
        <f>IFERROR(IF(AND(NC_Type="Building Area Method",Inventory!C246="N"),IF(ISERROR(INDEX('Usage Groups (&gt;120 MWh only)'!$N$8:$N$12,MATCH(C249,'Usage Groups (&gt;120 MWh only)'!$B$8:$B$12,0),1))=TRUE,SqFt/COUNTIFS(Inventory!$C$10:$C$1009,"N",$Q$13:$Q$1012,"&gt;=0"),INDEX('Usage Groups (&gt;120 MWh only)'!$N$8:$N$12,MATCH(C249,'Usage Groups (&gt;120 MWh only)'!$B$8:$B$12,0),1)/COUNTIF($C$13:$C$1012,C249)),IF(AND(NC_Type="Building Area Method",Inventory!C246="Y"),INDEX(xyNCEx,MATCH(I249,yNCExArea,0),3)/COUNTIF($I$13:$I$1012,I249),VLOOKUP(J249,xyWattage_Table,10,FALSE))),"")</f>
        <v/>
      </c>
      <c r="L249" s="539" t="str">
        <f t="shared" si="91"/>
        <v/>
      </c>
      <c r="M249" s="540">
        <f>IF(Inventory!N246="","",Inventory!N246)</f>
        <v>0</v>
      </c>
      <c r="N249" s="533" t="str">
        <f t="shared" si="92"/>
        <v/>
      </c>
      <c r="O249" s="534"/>
      <c r="P249" s="533" t="str">
        <f t="shared" si="93"/>
        <v/>
      </c>
      <c r="Q249" s="534" t="str">
        <f>IF(Inventory!L246="","",Inventory!L246)</f>
        <v/>
      </c>
      <c r="R249" s="535" t="str">
        <f t="shared" si="94"/>
        <v/>
      </c>
      <c r="S249" s="536" t="str">
        <f>IF(Inventory!O246="","",Inventory!O246)</f>
        <v/>
      </c>
      <c r="T249" s="541" t="str">
        <f>IFERROR(IF(C249="","",IF(INDEX(xyWattage_Table,MATCH(M249,'Fixture Identities'!$B$9:$B$997,0),2)="Exit Sign",8760,IF(VLOOKUP(C249,xySpace_Type_Details,8,FALSE)="TRM",INDEX('General Information'!$AF$17:$AG$28,11,MATCH(N249,'General Information'!$AF$16:$AG$16,0)),HLOOKUP(VLOOKUP(C249,xySpace_Type_Details,8,FALSE),'General Information'!$P$15:$AG$28,13,FALSE)))),"")</f>
        <v/>
      </c>
      <c r="U249" s="542" t="str">
        <f>IFERROR(IF(C249="","",IF(INDEX(xyWattage_Table,MATCH(M249,'Fixture Identities'!$B$9:$B$997,0),2)="Exit Sign",1,IF(VLOOKUP(C249,xySpace_Type_Details,8,FALSE)="TRM",INDEX('General Information'!$AF$17:$AG$28,12,MATCH(N249,'General Information'!$AF$16:$AG$16,0)),HLOOKUP(VLOOKUP(C249,xySpace_Type_Details,8,FALSE),'General Information'!$P$15:$AG$28,14,FALSE)))),"")</f>
        <v/>
      </c>
      <c r="V249" s="542" t="str">
        <f>IFERROR(VLOOKUP(INDEX(xySpace_Type_Details,MATCH($C249,'General Information'!$C$40:$C$60,0),12),Lookups!$L$8:$N$12,2,FALSE),"")</f>
        <v/>
      </c>
      <c r="W249" s="542" t="str">
        <f>IFERROR(VLOOKUP(INDEX(xySpace_Type_Details,MATCH($C249,'General Information'!$C$40:$C$60,0),12),Lookups!$L$8:$N$12,3,FALSE),"")</f>
        <v/>
      </c>
      <c r="Y249" s="542" t="str">
        <f>IFERROR(IF(C249="","",IF(INDEX(xyWattage_Table,MATCH(M249,'Fixture Identities'!$B$9:$B$997,0),2)="Exit Sign",0,IF(PRJ_Type="Retrofit",VLOOKUP(I249,xySVG_Factors,2,FALSE),IF(AND(PRJ_Type="New Construction",Inventory!C246="N"),VLOOKUP(VLOOKUP(Building_Type,xyLPD_BuildingArea,5,FALSE),xySVG_Factors_NC,3,FALSE),0)))),"")</f>
        <v/>
      </c>
      <c r="Z249" s="544" t="str">
        <f>IFERROR(IF(C249="","",IF(INDEX(xyWattage_Table,MATCH(M249,'Fixture Identities'!$B$9:$B$997,0),2)="Exit Sign",0,VLOOKUP(S249,xySVG_Factors,2,FALSE))),"")</f>
        <v/>
      </c>
      <c r="AA249" s="545" t="str">
        <f t="shared" si="95"/>
        <v/>
      </c>
      <c r="AB249" s="542" t="str">
        <f t="shared" si="96"/>
        <v/>
      </c>
      <c r="AC249" s="539" t="str">
        <f t="shared" si="97"/>
        <v/>
      </c>
      <c r="AD249" s="546" t="str">
        <f t="shared" si="98"/>
        <v/>
      </c>
      <c r="AE249" s="539" t="str">
        <f t="shared" si="99"/>
        <v/>
      </c>
      <c r="AF249" s="546" t="str">
        <f t="shared" si="100"/>
        <v/>
      </c>
      <c r="AG249" s="539" t="str">
        <f t="shared" si="101"/>
        <v/>
      </c>
      <c r="AH249" s="32">
        <f t="shared" si="82"/>
        <v>0</v>
      </c>
      <c r="AI249" s="32">
        <f t="shared" si="83"/>
        <v>0</v>
      </c>
      <c r="AJ249" s="32">
        <f t="shared" si="84"/>
        <v>0</v>
      </c>
      <c r="AK249" t="str">
        <f t="shared" si="85"/>
        <v/>
      </c>
      <c r="AL249" t="str">
        <f t="shared" si="86"/>
        <v/>
      </c>
      <c r="AM249" t="str">
        <f t="shared" si="87"/>
        <v/>
      </c>
      <c r="AO249" t="str">
        <f>IFERROR(VLOOKUP(M249,'Fixture Identities'!$B$9:$O$1045,14,FALSE),"")</f>
        <v/>
      </c>
      <c r="AP249" t="str">
        <f t="shared" si="81"/>
        <v/>
      </c>
    </row>
    <row r="250" spans="1:42">
      <c r="A250" s="71">
        <f t="shared" si="102"/>
        <v>0</v>
      </c>
      <c r="B250" s="513">
        <f t="shared" si="88"/>
        <v>238</v>
      </c>
      <c r="C250" s="530" t="str">
        <f>IF(Inventory!E247="","",Inventory!E247)</f>
        <v/>
      </c>
      <c r="D250" s="531">
        <f>IF(Inventory!D247="",0,Inventory!D247)</f>
        <v>0</v>
      </c>
      <c r="E250" s="532" t="str">
        <f>IF(Inventory!I247=0,"",Inventory!I247)</f>
        <v/>
      </c>
      <c r="F250" s="533" t="str">
        <f t="shared" si="89"/>
        <v/>
      </c>
      <c r="G250" s="534" t="str">
        <f>IF(Inventory!G247="","",Inventory!G247)</f>
        <v/>
      </c>
      <c r="H250" s="535" t="str">
        <f t="shared" si="90"/>
        <v/>
      </c>
      <c r="I250" s="536" t="str">
        <f>IF(Inventory!J247="","",Inventory!J247)</f>
        <v/>
      </c>
      <c r="J250" s="537" t="str">
        <f>IFERROR(IF(PRJ_Type="New Construction",IF(Inventory!C247="N",INDEX(xyLPD_BuildingArea,MATCH(Building_Type,Lookups!$F$37:$F$75,0),4),INDEX(xyLPD_SpaceBySpace,MATCH(INDEX(xyNCEx,MATCH(I250,yNCExArea,0),2),ySpace_by_Space_Type,0),2)),VLOOKUP(E250,xyWattage_Table,11,FALSE)),"")</f>
        <v/>
      </c>
      <c r="K250" s="538" t="str">
        <f>IFERROR(IF(AND(NC_Type="Building Area Method",Inventory!C247="N"),IF(ISERROR(INDEX('Usage Groups (&gt;120 MWh only)'!$N$8:$N$12,MATCH(C250,'Usage Groups (&gt;120 MWh only)'!$B$8:$B$12,0),1))=TRUE,SqFt/COUNTIFS(Inventory!$C$10:$C$1009,"N",$Q$13:$Q$1012,"&gt;=0"),INDEX('Usage Groups (&gt;120 MWh only)'!$N$8:$N$12,MATCH(C250,'Usage Groups (&gt;120 MWh only)'!$B$8:$B$12,0),1)/COUNTIF($C$13:$C$1012,C250)),IF(AND(NC_Type="Building Area Method",Inventory!C247="Y"),INDEX(xyNCEx,MATCH(I250,yNCExArea,0),3)/COUNTIF($I$13:$I$1012,I250),VLOOKUP(J250,xyWattage_Table,10,FALSE))),"")</f>
        <v/>
      </c>
      <c r="L250" s="539" t="str">
        <f t="shared" si="91"/>
        <v/>
      </c>
      <c r="M250" s="540">
        <f>IF(Inventory!N247="","",Inventory!N247)</f>
        <v>0</v>
      </c>
      <c r="N250" s="533" t="str">
        <f t="shared" si="92"/>
        <v/>
      </c>
      <c r="O250" s="534"/>
      <c r="P250" s="533" t="str">
        <f t="shared" si="93"/>
        <v/>
      </c>
      <c r="Q250" s="534" t="str">
        <f>IF(Inventory!L247="","",Inventory!L247)</f>
        <v/>
      </c>
      <c r="R250" s="535" t="str">
        <f t="shared" si="94"/>
        <v/>
      </c>
      <c r="S250" s="536" t="str">
        <f>IF(Inventory!O247="","",Inventory!O247)</f>
        <v/>
      </c>
      <c r="T250" s="541" t="str">
        <f>IFERROR(IF(C250="","",IF(INDEX(xyWattage_Table,MATCH(M250,'Fixture Identities'!$B$9:$B$997,0),2)="Exit Sign",8760,IF(VLOOKUP(C250,xySpace_Type_Details,8,FALSE)="TRM",INDEX('General Information'!$AF$17:$AG$28,11,MATCH(N250,'General Information'!$AF$16:$AG$16,0)),HLOOKUP(VLOOKUP(C250,xySpace_Type_Details,8,FALSE),'General Information'!$P$15:$AG$28,13,FALSE)))),"")</f>
        <v/>
      </c>
      <c r="U250" s="542" t="str">
        <f>IFERROR(IF(C250="","",IF(INDEX(xyWattage_Table,MATCH(M250,'Fixture Identities'!$B$9:$B$997,0),2)="Exit Sign",1,IF(VLOOKUP(C250,xySpace_Type_Details,8,FALSE)="TRM",INDEX('General Information'!$AF$17:$AG$28,12,MATCH(N250,'General Information'!$AF$16:$AG$16,0)),HLOOKUP(VLOOKUP(C250,xySpace_Type_Details,8,FALSE),'General Information'!$P$15:$AG$28,14,FALSE)))),"")</f>
        <v/>
      </c>
      <c r="V250" s="542" t="str">
        <f>IFERROR(VLOOKUP(INDEX(xySpace_Type_Details,MATCH($C250,'General Information'!$C$40:$C$60,0),12),Lookups!$L$8:$N$12,2,FALSE),"")</f>
        <v/>
      </c>
      <c r="W250" s="542" t="str">
        <f>IFERROR(VLOOKUP(INDEX(xySpace_Type_Details,MATCH($C250,'General Information'!$C$40:$C$60,0),12),Lookups!$L$8:$N$12,3,FALSE),"")</f>
        <v/>
      </c>
      <c r="Y250" s="542" t="str">
        <f>IFERROR(IF(C250="","",IF(INDEX(xyWattage_Table,MATCH(M250,'Fixture Identities'!$B$9:$B$997,0),2)="Exit Sign",0,IF(PRJ_Type="Retrofit",VLOOKUP(I250,xySVG_Factors,2,FALSE),IF(AND(PRJ_Type="New Construction",Inventory!C247="N"),VLOOKUP(VLOOKUP(Building_Type,xyLPD_BuildingArea,5,FALSE),xySVG_Factors_NC,3,FALSE),0)))),"")</f>
        <v/>
      </c>
      <c r="Z250" s="544" t="str">
        <f>IFERROR(IF(C250="","",IF(INDEX(xyWattage_Table,MATCH(M250,'Fixture Identities'!$B$9:$B$997,0),2)="Exit Sign",0,VLOOKUP(S250,xySVG_Factors,2,FALSE))),"")</f>
        <v/>
      </c>
      <c r="AA250" s="545" t="str">
        <f t="shared" si="95"/>
        <v/>
      </c>
      <c r="AB250" s="542" t="str">
        <f t="shared" si="96"/>
        <v/>
      </c>
      <c r="AC250" s="539" t="str">
        <f t="shared" si="97"/>
        <v/>
      </c>
      <c r="AD250" s="546" t="str">
        <f t="shared" si="98"/>
        <v/>
      </c>
      <c r="AE250" s="539" t="str">
        <f t="shared" si="99"/>
        <v/>
      </c>
      <c r="AF250" s="546" t="str">
        <f t="shared" si="100"/>
        <v/>
      </c>
      <c r="AG250" s="539" t="str">
        <f t="shared" si="101"/>
        <v/>
      </c>
      <c r="AH250" s="32">
        <f t="shared" si="82"/>
        <v>0</v>
      </c>
      <c r="AI250" s="32">
        <f t="shared" si="83"/>
        <v>0</v>
      </c>
      <c r="AJ250" s="32">
        <f t="shared" si="84"/>
        <v>0</v>
      </c>
      <c r="AK250" t="str">
        <f t="shared" si="85"/>
        <v/>
      </c>
      <c r="AL250" t="str">
        <f t="shared" si="86"/>
        <v/>
      </c>
      <c r="AM250" t="str">
        <f t="shared" si="87"/>
        <v/>
      </c>
      <c r="AO250" t="str">
        <f>IFERROR(VLOOKUP(M250,'Fixture Identities'!$B$9:$O$1045,14,FALSE),"")</f>
        <v/>
      </c>
      <c r="AP250" t="str">
        <f t="shared" si="81"/>
        <v/>
      </c>
    </row>
    <row r="251" spans="1:42">
      <c r="A251" s="71">
        <f t="shared" si="102"/>
        <v>0</v>
      </c>
      <c r="B251" s="513">
        <f t="shared" si="88"/>
        <v>239</v>
      </c>
      <c r="C251" s="530" t="str">
        <f>IF(Inventory!E248="","",Inventory!E248)</f>
        <v/>
      </c>
      <c r="D251" s="531">
        <f>IF(Inventory!D248="",0,Inventory!D248)</f>
        <v>0</v>
      </c>
      <c r="E251" s="532" t="str">
        <f>IF(Inventory!I248=0,"",Inventory!I248)</f>
        <v/>
      </c>
      <c r="F251" s="533" t="str">
        <f t="shared" si="89"/>
        <v/>
      </c>
      <c r="G251" s="534" t="str">
        <f>IF(Inventory!G248="","",Inventory!G248)</f>
        <v/>
      </c>
      <c r="H251" s="535" t="str">
        <f t="shared" si="90"/>
        <v/>
      </c>
      <c r="I251" s="536" t="str">
        <f>IF(Inventory!J248="","",Inventory!J248)</f>
        <v/>
      </c>
      <c r="J251" s="537" t="str">
        <f>IFERROR(IF(PRJ_Type="New Construction",IF(Inventory!C248="N",INDEX(xyLPD_BuildingArea,MATCH(Building_Type,Lookups!$F$37:$F$75,0),4),INDEX(xyLPD_SpaceBySpace,MATCH(INDEX(xyNCEx,MATCH(I251,yNCExArea,0),2),ySpace_by_Space_Type,0),2)),VLOOKUP(E251,xyWattage_Table,11,FALSE)),"")</f>
        <v/>
      </c>
      <c r="K251" s="538" t="str">
        <f>IFERROR(IF(AND(NC_Type="Building Area Method",Inventory!C248="N"),IF(ISERROR(INDEX('Usage Groups (&gt;120 MWh only)'!$N$8:$N$12,MATCH(C251,'Usage Groups (&gt;120 MWh only)'!$B$8:$B$12,0),1))=TRUE,SqFt/COUNTIFS(Inventory!$C$10:$C$1009,"N",$Q$13:$Q$1012,"&gt;=0"),INDEX('Usage Groups (&gt;120 MWh only)'!$N$8:$N$12,MATCH(C251,'Usage Groups (&gt;120 MWh only)'!$B$8:$B$12,0),1)/COUNTIF($C$13:$C$1012,C251)),IF(AND(NC_Type="Building Area Method",Inventory!C248="Y"),INDEX(xyNCEx,MATCH(I251,yNCExArea,0),3)/COUNTIF($I$13:$I$1012,I251),VLOOKUP(J251,xyWattage_Table,10,FALSE))),"")</f>
        <v/>
      </c>
      <c r="L251" s="539" t="str">
        <f t="shared" si="91"/>
        <v/>
      </c>
      <c r="M251" s="540">
        <f>IF(Inventory!N248="","",Inventory!N248)</f>
        <v>0</v>
      </c>
      <c r="N251" s="533" t="str">
        <f t="shared" si="92"/>
        <v/>
      </c>
      <c r="O251" s="534"/>
      <c r="P251" s="533" t="str">
        <f t="shared" si="93"/>
        <v/>
      </c>
      <c r="Q251" s="534" t="str">
        <f>IF(Inventory!L248="","",Inventory!L248)</f>
        <v/>
      </c>
      <c r="R251" s="535" t="str">
        <f t="shared" si="94"/>
        <v/>
      </c>
      <c r="S251" s="536" t="str">
        <f>IF(Inventory!O248="","",Inventory!O248)</f>
        <v/>
      </c>
      <c r="T251" s="541" t="str">
        <f>IFERROR(IF(C251="","",IF(INDEX(xyWattage_Table,MATCH(M251,'Fixture Identities'!$B$9:$B$997,0),2)="Exit Sign",8760,IF(VLOOKUP(C251,xySpace_Type_Details,8,FALSE)="TRM",INDEX('General Information'!$AF$17:$AG$28,11,MATCH(N251,'General Information'!$AF$16:$AG$16,0)),HLOOKUP(VLOOKUP(C251,xySpace_Type_Details,8,FALSE),'General Information'!$P$15:$AG$28,13,FALSE)))),"")</f>
        <v/>
      </c>
      <c r="U251" s="542" t="str">
        <f>IFERROR(IF(C251="","",IF(INDEX(xyWattage_Table,MATCH(M251,'Fixture Identities'!$B$9:$B$997,0),2)="Exit Sign",1,IF(VLOOKUP(C251,xySpace_Type_Details,8,FALSE)="TRM",INDEX('General Information'!$AF$17:$AG$28,12,MATCH(N251,'General Information'!$AF$16:$AG$16,0)),HLOOKUP(VLOOKUP(C251,xySpace_Type_Details,8,FALSE),'General Information'!$P$15:$AG$28,14,FALSE)))),"")</f>
        <v/>
      </c>
      <c r="V251" s="542" t="str">
        <f>IFERROR(VLOOKUP(INDEX(xySpace_Type_Details,MATCH($C251,'General Information'!$C$40:$C$60,0),12),Lookups!$L$8:$N$12,2,FALSE),"")</f>
        <v/>
      </c>
      <c r="W251" s="542" t="str">
        <f>IFERROR(VLOOKUP(INDEX(xySpace_Type_Details,MATCH($C251,'General Information'!$C$40:$C$60,0),12),Lookups!$L$8:$N$12,3,FALSE),"")</f>
        <v/>
      </c>
      <c r="Y251" s="542" t="str">
        <f>IFERROR(IF(C251="","",IF(INDEX(xyWattage_Table,MATCH(M251,'Fixture Identities'!$B$9:$B$997,0),2)="Exit Sign",0,IF(PRJ_Type="Retrofit",VLOOKUP(I251,xySVG_Factors,2,FALSE),IF(AND(PRJ_Type="New Construction",Inventory!C248="N"),VLOOKUP(VLOOKUP(Building_Type,xyLPD_BuildingArea,5,FALSE),xySVG_Factors_NC,3,FALSE),0)))),"")</f>
        <v/>
      </c>
      <c r="Z251" s="544" t="str">
        <f>IFERROR(IF(C251="","",IF(INDEX(xyWattage_Table,MATCH(M251,'Fixture Identities'!$B$9:$B$997,0),2)="Exit Sign",0,VLOOKUP(S251,xySVG_Factors,2,FALSE))),"")</f>
        <v/>
      </c>
      <c r="AA251" s="545" t="str">
        <f t="shared" si="95"/>
        <v/>
      </c>
      <c r="AB251" s="542" t="str">
        <f t="shared" si="96"/>
        <v/>
      </c>
      <c r="AC251" s="539" t="str">
        <f t="shared" si="97"/>
        <v/>
      </c>
      <c r="AD251" s="546" t="str">
        <f t="shared" si="98"/>
        <v/>
      </c>
      <c r="AE251" s="539" t="str">
        <f t="shared" si="99"/>
        <v/>
      </c>
      <c r="AF251" s="546" t="str">
        <f t="shared" si="100"/>
        <v/>
      </c>
      <c r="AG251" s="539" t="str">
        <f t="shared" si="101"/>
        <v/>
      </c>
      <c r="AH251" s="32">
        <f t="shared" si="82"/>
        <v>0</v>
      </c>
      <c r="AI251" s="32">
        <f t="shared" si="83"/>
        <v>0</v>
      </c>
      <c r="AJ251" s="32">
        <f t="shared" si="84"/>
        <v>0</v>
      </c>
      <c r="AK251" t="str">
        <f t="shared" si="85"/>
        <v/>
      </c>
      <c r="AL251" t="str">
        <f t="shared" si="86"/>
        <v/>
      </c>
      <c r="AM251" t="str">
        <f t="shared" si="87"/>
        <v/>
      </c>
      <c r="AO251" t="str">
        <f>IFERROR(VLOOKUP(M251,'Fixture Identities'!$B$9:$O$1045,14,FALSE),"")</f>
        <v/>
      </c>
      <c r="AP251" t="str">
        <f t="shared" si="81"/>
        <v/>
      </c>
    </row>
    <row r="252" spans="1:42">
      <c r="A252" s="71">
        <f t="shared" si="102"/>
        <v>0</v>
      </c>
      <c r="B252" s="513">
        <f t="shared" si="88"/>
        <v>240</v>
      </c>
      <c r="C252" s="530" t="str">
        <f>IF(Inventory!E249="","",Inventory!E249)</f>
        <v/>
      </c>
      <c r="D252" s="531">
        <f>IF(Inventory!D249="",0,Inventory!D249)</f>
        <v>0</v>
      </c>
      <c r="E252" s="532" t="str">
        <f>IF(Inventory!I249=0,"",Inventory!I249)</f>
        <v/>
      </c>
      <c r="F252" s="533" t="str">
        <f t="shared" si="89"/>
        <v/>
      </c>
      <c r="G252" s="534" t="str">
        <f>IF(Inventory!G249="","",Inventory!G249)</f>
        <v/>
      </c>
      <c r="H252" s="535" t="str">
        <f t="shared" si="90"/>
        <v/>
      </c>
      <c r="I252" s="536" t="str">
        <f>IF(Inventory!J249="","",Inventory!J249)</f>
        <v/>
      </c>
      <c r="J252" s="537" t="str">
        <f>IFERROR(IF(PRJ_Type="New Construction",IF(Inventory!C249="N",INDEX(xyLPD_BuildingArea,MATCH(Building_Type,Lookups!$F$37:$F$75,0),4),INDEX(xyLPD_SpaceBySpace,MATCH(INDEX(xyNCEx,MATCH(I252,yNCExArea,0),2),ySpace_by_Space_Type,0),2)),VLOOKUP(E252,xyWattage_Table,11,FALSE)),"")</f>
        <v/>
      </c>
      <c r="K252" s="538" t="str">
        <f>IFERROR(IF(AND(NC_Type="Building Area Method",Inventory!C249="N"),IF(ISERROR(INDEX('Usage Groups (&gt;120 MWh only)'!$N$8:$N$12,MATCH(C252,'Usage Groups (&gt;120 MWh only)'!$B$8:$B$12,0),1))=TRUE,SqFt/COUNTIFS(Inventory!$C$10:$C$1009,"N",$Q$13:$Q$1012,"&gt;=0"),INDEX('Usage Groups (&gt;120 MWh only)'!$N$8:$N$12,MATCH(C252,'Usage Groups (&gt;120 MWh only)'!$B$8:$B$12,0),1)/COUNTIF($C$13:$C$1012,C252)),IF(AND(NC_Type="Building Area Method",Inventory!C249="Y"),INDEX(xyNCEx,MATCH(I252,yNCExArea,0),3)/COUNTIF($I$13:$I$1012,I252),VLOOKUP(J252,xyWattage_Table,10,FALSE))),"")</f>
        <v/>
      </c>
      <c r="L252" s="539" t="str">
        <f t="shared" si="91"/>
        <v/>
      </c>
      <c r="M252" s="540">
        <f>IF(Inventory!N249="","",Inventory!N249)</f>
        <v>0</v>
      </c>
      <c r="N252" s="533" t="str">
        <f t="shared" si="92"/>
        <v/>
      </c>
      <c r="O252" s="534"/>
      <c r="P252" s="533" t="str">
        <f t="shared" si="93"/>
        <v/>
      </c>
      <c r="Q252" s="534" t="str">
        <f>IF(Inventory!L249="","",Inventory!L249)</f>
        <v/>
      </c>
      <c r="R252" s="535" t="str">
        <f t="shared" si="94"/>
        <v/>
      </c>
      <c r="S252" s="536" t="str">
        <f>IF(Inventory!O249="","",Inventory!O249)</f>
        <v/>
      </c>
      <c r="T252" s="541" t="str">
        <f>IFERROR(IF(C252="","",IF(INDEX(xyWattage_Table,MATCH(M252,'Fixture Identities'!$B$9:$B$997,0),2)="Exit Sign",8760,IF(VLOOKUP(C252,xySpace_Type_Details,8,FALSE)="TRM",INDEX('General Information'!$AF$17:$AG$28,11,MATCH(N252,'General Information'!$AF$16:$AG$16,0)),HLOOKUP(VLOOKUP(C252,xySpace_Type_Details,8,FALSE),'General Information'!$P$15:$AG$28,13,FALSE)))),"")</f>
        <v/>
      </c>
      <c r="U252" s="542" t="str">
        <f>IFERROR(IF(C252="","",IF(INDEX(xyWattage_Table,MATCH(M252,'Fixture Identities'!$B$9:$B$997,0),2)="Exit Sign",1,IF(VLOOKUP(C252,xySpace_Type_Details,8,FALSE)="TRM",INDEX('General Information'!$AF$17:$AG$28,12,MATCH(N252,'General Information'!$AF$16:$AG$16,0)),HLOOKUP(VLOOKUP(C252,xySpace_Type_Details,8,FALSE),'General Information'!$P$15:$AG$28,14,FALSE)))),"")</f>
        <v/>
      </c>
      <c r="V252" s="542" t="str">
        <f>IFERROR(VLOOKUP(INDEX(xySpace_Type_Details,MATCH($C252,'General Information'!$C$40:$C$60,0),12),Lookups!$L$8:$N$12,2,FALSE),"")</f>
        <v/>
      </c>
      <c r="W252" s="542" t="str">
        <f>IFERROR(VLOOKUP(INDEX(xySpace_Type_Details,MATCH($C252,'General Information'!$C$40:$C$60,0),12),Lookups!$L$8:$N$12,3,FALSE),"")</f>
        <v/>
      </c>
      <c r="Y252" s="542" t="str">
        <f>IFERROR(IF(C252="","",IF(INDEX(xyWattage_Table,MATCH(M252,'Fixture Identities'!$B$9:$B$997,0),2)="Exit Sign",0,IF(PRJ_Type="Retrofit",VLOOKUP(I252,xySVG_Factors,2,FALSE),IF(AND(PRJ_Type="New Construction",Inventory!C249="N"),VLOOKUP(VLOOKUP(Building_Type,xyLPD_BuildingArea,5,FALSE),xySVG_Factors_NC,3,FALSE),0)))),"")</f>
        <v/>
      </c>
      <c r="Z252" s="544" t="str">
        <f>IFERROR(IF(C252="","",IF(INDEX(xyWattage_Table,MATCH(M252,'Fixture Identities'!$B$9:$B$997,0),2)="Exit Sign",0,VLOOKUP(S252,xySVG_Factors,2,FALSE))),"")</f>
        <v/>
      </c>
      <c r="AA252" s="545" t="str">
        <f t="shared" si="95"/>
        <v/>
      </c>
      <c r="AB252" s="542" t="str">
        <f t="shared" si="96"/>
        <v/>
      </c>
      <c r="AC252" s="539" t="str">
        <f t="shared" si="97"/>
        <v/>
      </c>
      <c r="AD252" s="546" t="str">
        <f t="shared" si="98"/>
        <v/>
      </c>
      <c r="AE252" s="539" t="str">
        <f t="shared" si="99"/>
        <v/>
      </c>
      <c r="AF252" s="546" t="str">
        <f t="shared" si="100"/>
        <v/>
      </c>
      <c r="AG252" s="539" t="str">
        <f t="shared" si="101"/>
        <v/>
      </c>
      <c r="AH252" s="32">
        <f t="shared" si="82"/>
        <v>0</v>
      </c>
      <c r="AI252" s="32">
        <f t="shared" si="83"/>
        <v>0</v>
      </c>
      <c r="AJ252" s="32">
        <f t="shared" si="84"/>
        <v>0</v>
      </c>
      <c r="AK252" t="str">
        <f t="shared" si="85"/>
        <v/>
      </c>
      <c r="AL252" t="str">
        <f t="shared" si="86"/>
        <v/>
      </c>
      <c r="AM252" t="str">
        <f t="shared" si="87"/>
        <v/>
      </c>
      <c r="AO252" t="str">
        <f>IFERROR(VLOOKUP(M252,'Fixture Identities'!$B$9:$O$1045,14,FALSE),"")</f>
        <v/>
      </c>
      <c r="AP252" t="str">
        <f t="shared" si="81"/>
        <v/>
      </c>
    </row>
    <row r="253" spans="1:42">
      <c r="A253" s="71">
        <f t="shared" si="102"/>
        <v>0</v>
      </c>
      <c r="B253" s="513">
        <f t="shared" si="88"/>
        <v>241</v>
      </c>
      <c r="C253" s="530" t="str">
        <f>IF(Inventory!E250="","",Inventory!E250)</f>
        <v/>
      </c>
      <c r="D253" s="531">
        <f>IF(Inventory!D250="",0,Inventory!D250)</f>
        <v>0</v>
      </c>
      <c r="E253" s="532" t="str">
        <f>IF(Inventory!I250=0,"",Inventory!I250)</f>
        <v/>
      </c>
      <c r="F253" s="533" t="str">
        <f t="shared" si="89"/>
        <v/>
      </c>
      <c r="G253" s="534" t="str">
        <f>IF(Inventory!G250="","",Inventory!G250)</f>
        <v/>
      </c>
      <c r="H253" s="535" t="str">
        <f t="shared" si="90"/>
        <v/>
      </c>
      <c r="I253" s="536" t="str">
        <f>IF(Inventory!J250="","",Inventory!J250)</f>
        <v/>
      </c>
      <c r="J253" s="537" t="str">
        <f>IFERROR(IF(PRJ_Type="New Construction",IF(Inventory!C250="N",INDEX(xyLPD_BuildingArea,MATCH(Building_Type,Lookups!$F$37:$F$75,0),4),INDEX(xyLPD_SpaceBySpace,MATCH(INDEX(xyNCEx,MATCH(I253,yNCExArea,0),2),ySpace_by_Space_Type,0),2)),VLOOKUP(E253,xyWattage_Table,11,FALSE)),"")</f>
        <v/>
      </c>
      <c r="K253" s="538" t="str">
        <f>IFERROR(IF(AND(NC_Type="Building Area Method",Inventory!C250="N"),IF(ISERROR(INDEX('Usage Groups (&gt;120 MWh only)'!$N$8:$N$12,MATCH(C253,'Usage Groups (&gt;120 MWh only)'!$B$8:$B$12,0),1))=TRUE,SqFt/COUNTIFS(Inventory!$C$10:$C$1009,"N",$Q$13:$Q$1012,"&gt;=0"),INDEX('Usage Groups (&gt;120 MWh only)'!$N$8:$N$12,MATCH(C253,'Usage Groups (&gt;120 MWh only)'!$B$8:$B$12,0),1)/COUNTIF($C$13:$C$1012,C253)),IF(AND(NC_Type="Building Area Method",Inventory!C250="Y"),INDEX(xyNCEx,MATCH(I253,yNCExArea,0),3)/COUNTIF($I$13:$I$1012,I253),VLOOKUP(J253,xyWattage_Table,10,FALSE))),"")</f>
        <v/>
      </c>
      <c r="L253" s="539" t="str">
        <f t="shared" si="91"/>
        <v/>
      </c>
      <c r="M253" s="540">
        <f>IF(Inventory!N250="","",Inventory!N250)</f>
        <v>0</v>
      </c>
      <c r="N253" s="533" t="str">
        <f t="shared" si="92"/>
        <v/>
      </c>
      <c r="O253" s="534"/>
      <c r="P253" s="533" t="str">
        <f t="shared" si="93"/>
        <v/>
      </c>
      <c r="Q253" s="534" t="str">
        <f>IF(Inventory!L250="","",Inventory!L250)</f>
        <v/>
      </c>
      <c r="R253" s="535" t="str">
        <f t="shared" si="94"/>
        <v/>
      </c>
      <c r="S253" s="536" t="str">
        <f>IF(Inventory!O250="","",Inventory!O250)</f>
        <v/>
      </c>
      <c r="T253" s="541" t="str">
        <f>IFERROR(IF(C253="","",IF(INDEX(xyWattage_Table,MATCH(M253,'Fixture Identities'!$B$9:$B$997,0),2)="Exit Sign",8760,IF(VLOOKUP(C253,xySpace_Type_Details,8,FALSE)="TRM",INDEX('General Information'!$AF$17:$AG$28,11,MATCH(N253,'General Information'!$AF$16:$AG$16,0)),HLOOKUP(VLOOKUP(C253,xySpace_Type_Details,8,FALSE),'General Information'!$P$15:$AG$28,13,FALSE)))),"")</f>
        <v/>
      </c>
      <c r="U253" s="542" t="str">
        <f>IFERROR(IF(C253="","",IF(INDEX(xyWattage_Table,MATCH(M253,'Fixture Identities'!$B$9:$B$997,0),2)="Exit Sign",1,IF(VLOOKUP(C253,xySpace_Type_Details,8,FALSE)="TRM",INDEX('General Information'!$AF$17:$AG$28,12,MATCH(N253,'General Information'!$AF$16:$AG$16,0)),HLOOKUP(VLOOKUP(C253,xySpace_Type_Details,8,FALSE),'General Information'!$P$15:$AG$28,14,FALSE)))),"")</f>
        <v/>
      </c>
      <c r="V253" s="542" t="str">
        <f>IFERROR(VLOOKUP(INDEX(xySpace_Type_Details,MATCH($C253,'General Information'!$C$40:$C$60,0),12),Lookups!$L$8:$N$12,2,FALSE),"")</f>
        <v/>
      </c>
      <c r="W253" s="542" t="str">
        <f>IFERROR(VLOOKUP(INDEX(xySpace_Type_Details,MATCH($C253,'General Information'!$C$40:$C$60,0),12),Lookups!$L$8:$N$12,3,FALSE),"")</f>
        <v/>
      </c>
      <c r="Y253" s="542" t="str">
        <f>IFERROR(IF(C253="","",IF(INDEX(xyWattage_Table,MATCH(M253,'Fixture Identities'!$B$9:$B$997,0),2)="Exit Sign",0,IF(PRJ_Type="Retrofit",VLOOKUP(I253,xySVG_Factors,2,FALSE),IF(AND(PRJ_Type="New Construction",Inventory!C250="N"),VLOOKUP(VLOOKUP(Building_Type,xyLPD_BuildingArea,5,FALSE),xySVG_Factors_NC,3,FALSE),0)))),"")</f>
        <v/>
      </c>
      <c r="Z253" s="544" t="str">
        <f>IFERROR(IF(C253="","",IF(INDEX(xyWattage_Table,MATCH(M253,'Fixture Identities'!$B$9:$B$997,0),2)="Exit Sign",0,VLOOKUP(S253,xySVG_Factors,2,FALSE))),"")</f>
        <v/>
      </c>
      <c r="AA253" s="545" t="str">
        <f t="shared" si="95"/>
        <v/>
      </c>
      <c r="AB253" s="542" t="str">
        <f t="shared" si="96"/>
        <v/>
      </c>
      <c r="AC253" s="539" t="str">
        <f t="shared" si="97"/>
        <v/>
      </c>
      <c r="AD253" s="546" t="str">
        <f t="shared" si="98"/>
        <v/>
      </c>
      <c r="AE253" s="539" t="str">
        <f t="shared" si="99"/>
        <v/>
      </c>
      <c r="AF253" s="546" t="str">
        <f t="shared" si="100"/>
        <v/>
      </c>
      <c r="AG253" s="539" t="str">
        <f t="shared" si="101"/>
        <v/>
      </c>
      <c r="AH253" s="32">
        <f t="shared" si="82"/>
        <v>0</v>
      </c>
      <c r="AI253" s="32">
        <f t="shared" si="83"/>
        <v>0</v>
      </c>
      <c r="AJ253" s="32">
        <f t="shared" si="84"/>
        <v>0</v>
      </c>
      <c r="AK253" t="str">
        <f t="shared" si="85"/>
        <v/>
      </c>
      <c r="AL253" t="str">
        <f t="shared" si="86"/>
        <v/>
      </c>
      <c r="AM253" t="str">
        <f t="shared" si="87"/>
        <v/>
      </c>
      <c r="AO253" t="str">
        <f>IFERROR(VLOOKUP(M253,'Fixture Identities'!$B$9:$O$1045,14,FALSE),"")</f>
        <v/>
      </c>
      <c r="AP253" t="str">
        <f t="shared" si="81"/>
        <v/>
      </c>
    </row>
    <row r="254" spans="1:42">
      <c r="A254" s="71">
        <f t="shared" si="102"/>
        <v>0</v>
      </c>
      <c r="B254" s="513">
        <f t="shared" si="88"/>
        <v>242</v>
      </c>
      <c r="C254" s="530" t="str">
        <f>IF(Inventory!E251="","",Inventory!E251)</f>
        <v/>
      </c>
      <c r="D254" s="531">
        <f>IF(Inventory!D251="",0,Inventory!D251)</f>
        <v>0</v>
      </c>
      <c r="E254" s="532" t="str">
        <f>IF(Inventory!I251=0,"",Inventory!I251)</f>
        <v/>
      </c>
      <c r="F254" s="533" t="str">
        <f t="shared" si="89"/>
        <v/>
      </c>
      <c r="G254" s="534" t="str">
        <f>IF(Inventory!G251="","",Inventory!G251)</f>
        <v/>
      </c>
      <c r="H254" s="535" t="str">
        <f t="shared" si="90"/>
        <v/>
      </c>
      <c r="I254" s="536" t="str">
        <f>IF(Inventory!J251="","",Inventory!J251)</f>
        <v/>
      </c>
      <c r="J254" s="537" t="str">
        <f>IFERROR(IF(PRJ_Type="New Construction",IF(Inventory!C251="N",INDEX(xyLPD_BuildingArea,MATCH(Building_Type,Lookups!$F$37:$F$75,0),4),INDEX(xyLPD_SpaceBySpace,MATCH(INDEX(xyNCEx,MATCH(I254,yNCExArea,0),2),ySpace_by_Space_Type,0),2)),VLOOKUP(E254,xyWattage_Table,11,FALSE)),"")</f>
        <v/>
      </c>
      <c r="K254" s="538" t="str">
        <f>IFERROR(IF(AND(NC_Type="Building Area Method",Inventory!C251="N"),IF(ISERROR(INDEX('Usage Groups (&gt;120 MWh only)'!$N$8:$N$12,MATCH(C254,'Usage Groups (&gt;120 MWh only)'!$B$8:$B$12,0),1))=TRUE,SqFt/COUNTIFS(Inventory!$C$10:$C$1009,"N",$Q$13:$Q$1012,"&gt;=0"),INDEX('Usage Groups (&gt;120 MWh only)'!$N$8:$N$12,MATCH(C254,'Usage Groups (&gt;120 MWh only)'!$B$8:$B$12,0),1)/COUNTIF($C$13:$C$1012,C254)),IF(AND(NC_Type="Building Area Method",Inventory!C251="Y"),INDEX(xyNCEx,MATCH(I254,yNCExArea,0),3)/COUNTIF($I$13:$I$1012,I254),VLOOKUP(J254,xyWattage_Table,10,FALSE))),"")</f>
        <v/>
      </c>
      <c r="L254" s="539" t="str">
        <f t="shared" si="91"/>
        <v/>
      </c>
      <c r="M254" s="540">
        <f>IF(Inventory!N251="","",Inventory!N251)</f>
        <v>0</v>
      </c>
      <c r="N254" s="533" t="str">
        <f t="shared" si="92"/>
        <v/>
      </c>
      <c r="O254" s="534"/>
      <c r="P254" s="533" t="str">
        <f t="shared" si="93"/>
        <v/>
      </c>
      <c r="Q254" s="534" t="str">
        <f>IF(Inventory!L251="","",Inventory!L251)</f>
        <v/>
      </c>
      <c r="R254" s="535" t="str">
        <f t="shared" si="94"/>
        <v/>
      </c>
      <c r="S254" s="536" t="str">
        <f>IF(Inventory!O251="","",Inventory!O251)</f>
        <v/>
      </c>
      <c r="T254" s="541" t="str">
        <f>IFERROR(IF(C254="","",IF(INDEX(xyWattage_Table,MATCH(M254,'Fixture Identities'!$B$9:$B$997,0),2)="Exit Sign",8760,IF(VLOOKUP(C254,xySpace_Type_Details,8,FALSE)="TRM",INDEX('General Information'!$AF$17:$AG$28,11,MATCH(N254,'General Information'!$AF$16:$AG$16,0)),HLOOKUP(VLOOKUP(C254,xySpace_Type_Details,8,FALSE),'General Information'!$P$15:$AG$28,13,FALSE)))),"")</f>
        <v/>
      </c>
      <c r="U254" s="542" t="str">
        <f>IFERROR(IF(C254="","",IF(INDEX(xyWattage_Table,MATCH(M254,'Fixture Identities'!$B$9:$B$997,0),2)="Exit Sign",1,IF(VLOOKUP(C254,xySpace_Type_Details,8,FALSE)="TRM",INDEX('General Information'!$AF$17:$AG$28,12,MATCH(N254,'General Information'!$AF$16:$AG$16,0)),HLOOKUP(VLOOKUP(C254,xySpace_Type_Details,8,FALSE),'General Information'!$P$15:$AG$28,14,FALSE)))),"")</f>
        <v/>
      </c>
      <c r="V254" s="542" t="str">
        <f>IFERROR(VLOOKUP(INDEX(xySpace_Type_Details,MATCH($C254,'General Information'!$C$40:$C$60,0),12),Lookups!$L$8:$N$12,2,FALSE),"")</f>
        <v/>
      </c>
      <c r="W254" s="542" t="str">
        <f>IFERROR(VLOOKUP(INDEX(xySpace_Type_Details,MATCH($C254,'General Information'!$C$40:$C$60,0),12),Lookups!$L$8:$N$12,3,FALSE),"")</f>
        <v/>
      </c>
      <c r="Y254" s="542" t="str">
        <f>IFERROR(IF(C254="","",IF(INDEX(xyWattage_Table,MATCH(M254,'Fixture Identities'!$B$9:$B$997,0),2)="Exit Sign",0,IF(PRJ_Type="Retrofit",VLOOKUP(I254,xySVG_Factors,2,FALSE),IF(AND(PRJ_Type="New Construction",Inventory!C251="N"),VLOOKUP(VLOOKUP(Building_Type,xyLPD_BuildingArea,5,FALSE),xySVG_Factors_NC,3,FALSE),0)))),"")</f>
        <v/>
      </c>
      <c r="Z254" s="544" t="str">
        <f>IFERROR(IF(C254="","",IF(INDEX(xyWattage_Table,MATCH(M254,'Fixture Identities'!$B$9:$B$997,0),2)="Exit Sign",0,VLOOKUP(S254,xySVG_Factors,2,FALSE))),"")</f>
        <v/>
      </c>
      <c r="AA254" s="545" t="str">
        <f t="shared" si="95"/>
        <v/>
      </c>
      <c r="AB254" s="542" t="str">
        <f t="shared" si="96"/>
        <v/>
      </c>
      <c r="AC254" s="539" t="str">
        <f t="shared" si="97"/>
        <v/>
      </c>
      <c r="AD254" s="546" t="str">
        <f t="shared" si="98"/>
        <v/>
      </c>
      <c r="AE254" s="539" t="str">
        <f t="shared" si="99"/>
        <v/>
      </c>
      <c r="AF254" s="546" t="str">
        <f t="shared" si="100"/>
        <v/>
      </c>
      <c r="AG254" s="539" t="str">
        <f t="shared" si="101"/>
        <v/>
      </c>
      <c r="AH254" s="32">
        <f t="shared" si="82"/>
        <v>0</v>
      </c>
      <c r="AI254" s="32">
        <f t="shared" si="83"/>
        <v>0</v>
      </c>
      <c r="AJ254" s="32">
        <f t="shared" si="84"/>
        <v>0</v>
      </c>
      <c r="AK254" t="str">
        <f t="shared" si="85"/>
        <v/>
      </c>
      <c r="AL254" t="str">
        <f t="shared" si="86"/>
        <v/>
      </c>
      <c r="AM254" t="str">
        <f t="shared" si="87"/>
        <v/>
      </c>
      <c r="AO254" t="str">
        <f>IFERROR(VLOOKUP(M254,'Fixture Identities'!$B$9:$O$1045,14,FALSE),"")</f>
        <v/>
      </c>
      <c r="AP254" t="str">
        <f t="shared" si="81"/>
        <v/>
      </c>
    </row>
    <row r="255" spans="1:42">
      <c r="A255" s="71">
        <f t="shared" si="102"/>
        <v>0</v>
      </c>
      <c r="B255" s="513">
        <f t="shared" si="88"/>
        <v>243</v>
      </c>
      <c r="C255" s="530" t="str">
        <f>IF(Inventory!E252="","",Inventory!E252)</f>
        <v/>
      </c>
      <c r="D255" s="531">
        <f>IF(Inventory!D252="",0,Inventory!D252)</f>
        <v>0</v>
      </c>
      <c r="E255" s="532" t="str">
        <f>IF(Inventory!I252=0,"",Inventory!I252)</f>
        <v/>
      </c>
      <c r="F255" s="533" t="str">
        <f t="shared" si="89"/>
        <v/>
      </c>
      <c r="G255" s="534" t="str">
        <f>IF(Inventory!G252="","",Inventory!G252)</f>
        <v/>
      </c>
      <c r="H255" s="535" t="str">
        <f t="shared" si="90"/>
        <v/>
      </c>
      <c r="I255" s="536" t="str">
        <f>IF(Inventory!J252="","",Inventory!J252)</f>
        <v/>
      </c>
      <c r="J255" s="537" t="str">
        <f>IFERROR(IF(PRJ_Type="New Construction",IF(Inventory!C252="N",INDEX(xyLPD_BuildingArea,MATCH(Building_Type,Lookups!$F$37:$F$75,0),4),INDEX(xyLPD_SpaceBySpace,MATCH(INDEX(xyNCEx,MATCH(I255,yNCExArea,0),2),ySpace_by_Space_Type,0),2)),VLOOKUP(E255,xyWattage_Table,11,FALSE)),"")</f>
        <v/>
      </c>
      <c r="K255" s="538" t="str">
        <f>IFERROR(IF(AND(NC_Type="Building Area Method",Inventory!C252="N"),IF(ISERROR(INDEX('Usage Groups (&gt;120 MWh only)'!$N$8:$N$12,MATCH(C255,'Usage Groups (&gt;120 MWh only)'!$B$8:$B$12,0),1))=TRUE,SqFt/COUNTIFS(Inventory!$C$10:$C$1009,"N",$Q$13:$Q$1012,"&gt;=0"),INDEX('Usage Groups (&gt;120 MWh only)'!$N$8:$N$12,MATCH(C255,'Usage Groups (&gt;120 MWh only)'!$B$8:$B$12,0),1)/COUNTIF($C$13:$C$1012,C255)),IF(AND(NC_Type="Building Area Method",Inventory!C252="Y"),INDEX(xyNCEx,MATCH(I255,yNCExArea,0),3)/COUNTIF($I$13:$I$1012,I255),VLOOKUP(J255,xyWattage_Table,10,FALSE))),"")</f>
        <v/>
      </c>
      <c r="L255" s="539" t="str">
        <f t="shared" si="91"/>
        <v/>
      </c>
      <c r="M255" s="540">
        <f>IF(Inventory!N252="","",Inventory!N252)</f>
        <v>0</v>
      </c>
      <c r="N255" s="533" t="str">
        <f t="shared" si="92"/>
        <v/>
      </c>
      <c r="O255" s="534"/>
      <c r="P255" s="533" t="str">
        <f t="shared" si="93"/>
        <v/>
      </c>
      <c r="Q255" s="534" t="str">
        <f>IF(Inventory!L252="","",Inventory!L252)</f>
        <v/>
      </c>
      <c r="R255" s="535" t="str">
        <f t="shared" si="94"/>
        <v/>
      </c>
      <c r="S255" s="536" t="str">
        <f>IF(Inventory!O252="","",Inventory!O252)</f>
        <v/>
      </c>
      <c r="T255" s="541" t="str">
        <f>IFERROR(IF(C255="","",IF(INDEX(xyWattage_Table,MATCH(M255,'Fixture Identities'!$B$9:$B$997,0),2)="Exit Sign",8760,IF(VLOOKUP(C255,xySpace_Type_Details,8,FALSE)="TRM",INDEX('General Information'!$AF$17:$AG$28,11,MATCH(N255,'General Information'!$AF$16:$AG$16,0)),HLOOKUP(VLOOKUP(C255,xySpace_Type_Details,8,FALSE),'General Information'!$P$15:$AG$28,13,FALSE)))),"")</f>
        <v/>
      </c>
      <c r="U255" s="542" t="str">
        <f>IFERROR(IF(C255="","",IF(INDEX(xyWattage_Table,MATCH(M255,'Fixture Identities'!$B$9:$B$997,0),2)="Exit Sign",1,IF(VLOOKUP(C255,xySpace_Type_Details,8,FALSE)="TRM",INDEX('General Information'!$AF$17:$AG$28,12,MATCH(N255,'General Information'!$AF$16:$AG$16,0)),HLOOKUP(VLOOKUP(C255,xySpace_Type_Details,8,FALSE),'General Information'!$P$15:$AG$28,14,FALSE)))),"")</f>
        <v/>
      </c>
      <c r="V255" s="542" t="str">
        <f>IFERROR(VLOOKUP(INDEX(xySpace_Type_Details,MATCH($C255,'General Information'!$C$40:$C$60,0),12),Lookups!$L$8:$N$12,2,FALSE),"")</f>
        <v/>
      </c>
      <c r="W255" s="542" t="str">
        <f>IFERROR(VLOOKUP(INDEX(xySpace_Type_Details,MATCH($C255,'General Information'!$C$40:$C$60,0),12),Lookups!$L$8:$N$12,3,FALSE),"")</f>
        <v/>
      </c>
      <c r="Y255" s="542" t="str">
        <f>IFERROR(IF(C255="","",IF(INDEX(xyWattage_Table,MATCH(M255,'Fixture Identities'!$B$9:$B$997,0),2)="Exit Sign",0,IF(PRJ_Type="Retrofit",VLOOKUP(I255,xySVG_Factors,2,FALSE),IF(AND(PRJ_Type="New Construction",Inventory!C252="N"),VLOOKUP(VLOOKUP(Building_Type,xyLPD_BuildingArea,5,FALSE),xySVG_Factors_NC,3,FALSE),0)))),"")</f>
        <v/>
      </c>
      <c r="Z255" s="544" t="str">
        <f>IFERROR(IF(C255="","",IF(INDEX(xyWattage_Table,MATCH(M255,'Fixture Identities'!$B$9:$B$997,0),2)="Exit Sign",0,VLOOKUP(S255,xySVG_Factors,2,FALSE))),"")</f>
        <v/>
      </c>
      <c r="AA255" s="545" t="str">
        <f t="shared" si="95"/>
        <v/>
      </c>
      <c r="AB255" s="542" t="str">
        <f t="shared" si="96"/>
        <v/>
      </c>
      <c r="AC255" s="539" t="str">
        <f t="shared" si="97"/>
        <v/>
      </c>
      <c r="AD255" s="546" t="str">
        <f t="shared" si="98"/>
        <v/>
      </c>
      <c r="AE255" s="539" t="str">
        <f t="shared" si="99"/>
        <v/>
      </c>
      <c r="AF255" s="546" t="str">
        <f t="shared" si="100"/>
        <v/>
      </c>
      <c r="AG255" s="539" t="str">
        <f t="shared" si="101"/>
        <v/>
      </c>
      <c r="AH255" s="32">
        <f t="shared" si="82"/>
        <v>0</v>
      </c>
      <c r="AI255" s="32">
        <f t="shared" si="83"/>
        <v>0</v>
      </c>
      <c r="AJ255" s="32">
        <f t="shared" si="84"/>
        <v>0</v>
      </c>
      <c r="AK255" t="str">
        <f t="shared" si="85"/>
        <v/>
      </c>
      <c r="AL255" t="str">
        <f t="shared" si="86"/>
        <v/>
      </c>
      <c r="AM255" t="str">
        <f t="shared" si="87"/>
        <v/>
      </c>
      <c r="AO255" t="str">
        <f>IFERROR(VLOOKUP(M255,'Fixture Identities'!$B$9:$O$1045,14,FALSE),"")</f>
        <v/>
      </c>
      <c r="AP255" t="str">
        <f t="shared" si="81"/>
        <v/>
      </c>
    </row>
    <row r="256" spans="1:42">
      <c r="A256" s="71">
        <f t="shared" si="102"/>
        <v>0</v>
      </c>
      <c r="B256" s="513">
        <f t="shared" si="88"/>
        <v>244</v>
      </c>
      <c r="C256" s="530" t="str">
        <f>IF(Inventory!E253="","",Inventory!E253)</f>
        <v/>
      </c>
      <c r="D256" s="531">
        <f>IF(Inventory!D253="",0,Inventory!D253)</f>
        <v>0</v>
      </c>
      <c r="E256" s="532" t="str">
        <f>IF(Inventory!I253=0,"",Inventory!I253)</f>
        <v/>
      </c>
      <c r="F256" s="533" t="str">
        <f t="shared" si="89"/>
        <v/>
      </c>
      <c r="G256" s="534" t="str">
        <f>IF(Inventory!G253="","",Inventory!G253)</f>
        <v/>
      </c>
      <c r="H256" s="535" t="str">
        <f t="shared" si="90"/>
        <v/>
      </c>
      <c r="I256" s="536" t="str">
        <f>IF(Inventory!J253="","",Inventory!J253)</f>
        <v/>
      </c>
      <c r="J256" s="537" t="str">
        <f>IFERROR(IF(PRJ_Type="New Construction",IF(Inventory!C253="N",INDEX(xyLPD_BuildingArea,MATCH(Building_Type,Lookups!$F$37:$F$75,0),4),INDEX(xyLPD_SpaceBySpace,MATCH(INDEX(xyNCEx,MATCH(I256,yNCExArea,0),2),ySpace_by_Space_Type,0),2)),VLOOKUP(E256,xyWattage_Table,11,FALSE)),"")</f>
        <v/>
      </c>
      <c r="K256" s="538" t="str">
        <f>IFERROR(IF(AND(NC_Type="Building Area Method",Inventory!C253="N"),IF(ISERROR(INDEX('Usage Groups (&gt;120 MWh only)'!$N$8:$N$12,MATCH(C256,'Usage Groups (&gt;120 MWh only)'!$B$8:$B$12,0),1))=TRUE,SqFt/COUNTIFS(Inventory!$C$10:$C$1009,"N",$Q$13:$Q$1012,"&gt;=0"),INDEX('Usage Groups (&gt;120 MWh only)'!$N$8:$N$12,MATCH(C256,'Usage Groups (&gt;120 MWh only)'!$B$8:$B$12,0),1)/COUNTIF($C$13:$C$1012,C256)),IF(AND(NC_Type="Building Area Method",Inventory!C253="Y"),INDEX(xyNCEx,MATCH(I256,yNCExArea,0),3)/COUNTIF($I$13:$I$1012,I256),VLOOKUP(J256,xyWattage_Table,10,FALSE))),"")</f>
        <v/>
      </c>
      <c r="L256" s="539" t="str">
        <f t="shared" si="91"/>
        <v/>
      </c>
      <c r="M256" s="540">
        <f>IF(Inventory!N253="","",Inventory!N253)</f>
        <v>0</v>
      </c>
      <c r="N256" s="533" t="str">
        <f t="shared" si="92"/>
        <v/>
      </c>
      <c r="O256" s="534"/>
      <c r="P256" s="533" t="str">
        <f t="shared" si="93"/>
        <v/>
      </c>
      <c r="Q256" s="534" t="str">
        <f>IF(Inventory!L253="","",Inventory!L253)</f>
        <v/>
      </c>
      <c r="R256" s="535" t="str">
        <f t="shared" si="94"/>
        <v/>
      </c>
      <c r="S256" s="536" t="str">
        <f>IF(Inventory!O253="","",Inventory!O253)</f>
        <v/>
      </c>
      <c r="T256" s="541" t="str">
        <f>IFERROR(IF(C256="","",IF(INDEX(xyWattage_Table,MATCH(M256,'Fixture Identities'!$B$9:$B$997,0),2)="Exit Sign",8760,IF(VLOOKUP(C256,xySpace_Type_Details,8,FALSE)="TRM",INDEX('General Information'!$AF$17:$AG$28,11,MATCH(N256,'General Information'!$AF$16:$AG$16,0)),HLOOKUP(VLOOKUP(C256,xySpace_Type_Details,8,FALSE),'General Information'!$P$15:$AG$28,13,FALSE)))),"")</f>
        <v/>
      </c>
      <c r="U256" s="542" t="str">
        <f>IFERROR(IF(C256="","",IF(INDEX(xyWattage_Table,MATCH(M256,'Fixture Identities'!$B$9:$B$997,0),2)="Exit Sign",1,IF(VLOOKUP(C256,xySpace_Type_Details,8,FALSE)="TRM",INDEX('General Information'!$AF$17:$AG$28,12,MATCH(N256,'General Information'!$AF$16:$AG$16,0)),HLOOKUP(VLOOKUP(C256,xySpace_Type_Details,8,FALSE),'General Information'!$P$15:$AG$28,14,FALSE)))),"")</f>
        <v/>
      </c>
      <c r="V256" s="542" t="str">
        <f>IFERROR(VLOOKUP(INDEX(xySpace_Type_Details,MATCH($C256,'General Information'!$C$40:$C$60,0),12),Lookups!$L$8:$N$12,2,FALSE),"")</f>
        <v/>
      </c>
      <c r="W256" s="542" t="str">
        <f>IFERROR(VLOOKUP(INDEX(xySpace_Type_Details,MATCH($C256,'General Information'!$C$40:$C$60,0),12),Lookups!$L$8:$N$12,3,FALSE),"")</f>
        <v/>
      </c>
      <c r="Y256" s="542" t="str">
        <f>IFERROR(IF(C256="","",IF(INDEX(xyWattage_Table,MATCH(M256,'Fixture Identities'!$B$9:$B$997,0),2)="Exit Sign",0,IF(PRJ_Type="Retrofit",VLOOKUP(I256,xySVG_Factors,2,FALSE),IF(AND(PRJ_Type="New Construction",Inventory!C253="N"),VLOOKUP(VLOOKUP(Building_Type,xyLPD_BuildingArea,5,FALSE),xySVG_Factors_NC,3,FALSE),0)))),"")</f>
        <v/>
      </c>
      <c r="Z256" s="544" t="str">
        <f>IFERROR(IF(C256="","",IF(INDEX(xyWattage_Table,MATCH(M256,'Fixture Identities'!$B$9:$B$997,0),2)="Exit Sign",0,VLOOKUP(S256,xySVG_Factors,2,FALSE))),"")</f>
        <v/>
      </c>
      <c r="AA256" s="545" t="str">
        <f t="shared" si="95"/>
        <v/>
      </c>
      <c r="AB256" s="542" t="str">
        <f t="shared" si="96"/>
        <v/>
      </c>
      <c r="AC256" s="539" t="str">
        <f t="shared" si="97"/>
        <v/>
      </c>
      <c r="AD256" s="546" t="str">
        <f t="shared" si="98"/>
        <v/>
      </c>
      <c r="AE256" s="539" t="str">
        <f t="shared" si="99"/>
        <v/>
      </c>
      <c r="AF256" s="546" t="str">
        <f t="shared" si="100"/>
        <v/>
      </c>
      <c r="AG256" s="539" t="str">
        <f t="shared" si="101"/>
        <v/>
      </c>
      <c r="AH256" s="32">
        <f t="shared" si="82"/>
        <v>0</v>
      </c>
      <c r="AI256" s="32">
        <f t="shared" si="83"/>
        <v>0</v>
      </c>
      <c r="AJ256" s="32">
        <f t="shared" si="84"/>
        <v>0</v>
      </c>
      <c r="AK256" t="str">
        <f t="shared" si="85"/>
        <v/>
      </c>
      <c r="AL256" t="str">
        <f t="shared" si="86"/>
        <v/>
      </c>
      <c r="AM256" t="str">
        <f t="shared" si="87"/>
        <v/>
      </c>
      <c r="AO256" t="str">
        <f>IFERROR(VLOOKUP(M256,'Fixture Identities'!$B$9:$O$1045,14,FALSE),"")</f>
        <v/>
      </c>
      <c r="AP256" t="str">
        <f t="shared" si="81"/>
        <v/>
      </c>
    </row>
    <row r="257" spans="1:42">
      <c r="A257" s="71">
        <f t="shared" si="102"/>
        <v>0</v>
      </c>
      <c r="B257" s="513">
        <f t="shared" si="88"/>
        <v>245</v>
      </c>
      <c r="C257" s="530" t="str">
        <f>IF(Inventory!E254="","",Inventory!E254)</f>
        <v/>
      </c>
      <c r="D257" s="531">
        <f>IF(Inventory!D254="",0,Inventory!D254)</f>
        <v>0</v>
      </c>
      <c r="E257" s="532" t="str">
        <f>IF(Inventory!I254=0,"",Inventory!I254)</f>
        <v/>
      </c>
      <c r="F257" s="533" t="str">
        <f t="shared" si="89"/>
        <v/>
      </c>
      <c r="G257" s="534" t="str">
        <f>IF(Inventory!G254="","",Inventory!G254)</f>
        <v/>
      </c>
      <c r="H257" s="535" t="str">
        <f t="shared" si="90"/>
        <v/>
      </c>
      <c r="I257" s="536" t="str">
        <f>IF(Inventory!J254="","",Inventory!J254)</f>
        <v/>
      </c>
      <c r="J257" s="537" t="str">
        <f>IFERROR(IF(PRJ_Type="New Construction",IF(Inventory!C254="N",INDEX(xyLPD_BuildingArea,MATCH(Building_Type,Lookups!$F$37:$F$75,0),4),INDEX(xyLPD_SpaceBySpace,MATCH(INDEX(xyNCEx,MATCH(I257,yNCExArea,0),2),ySpace_by_Space_Type,0),2)),VLOOKUP(E257,xyWattage_Table,11,FALSE)),"")</f>
        <v/>
      </c>
      <c r="K257" s="538" t="str">
        <f>IFERROR(IF(AND(NC_Type="Building Area Method",Inventory!C254="N"),IF(ISERROR(INDEX('Usage Groups (&gt;120 MWh only)'!$N$8:$N$12,MATCH(C257,'Usage Groups (&gt;120 MWh only)'!$B$8:$B$12,0),1))=TRUE,SqFt/COUNTIFS(Inventory!$C$10:$C$1009,"N",$Q$13:$Q$1012,"&gt;=0"),INDEX('Usage Groups (&gt;120 MWh only)'!$N$8:$N$12,MATCH(C257,'Usage Groups (&gt;120 MWh only)'!$B$8:$B$12,0),1)/COUNTIF($C$13:$C$1012,C257)),IF(AND(NC_Type="Building Area Method",Inventory!C254="Y"),INDEX(xyNCEx,MATCH(I257,yNCExArea,0),3)/COUNTIF($I$13:$I$1012,I257),VLOOKUP(J257,xyWattage_Table,10,FALSE))),"")</f>
        <v/>
      </c>
      <c r="L257" s="539" t="str">
        <f t="shared" si="91"/>
        <v/>
      </c>
      <c r="M257" s="540">
        <f>IF(Inventory!N254="","",Inventory!N254)</f>
        <v>0</v>
      </c>
      <c r="N257" s="533" t="str">
        <f t="shared" si="92"/>
        <v/>
      </c>
      <c r="O257" s="534"/>
      <c r="P257" s="533" t="str">
        <f t="shared" si="93"/>
        <v/>
      </c>
      <c r="Q257" s="534" t="str">
        <f>IF(Inventory!L254="","",Inventory!L254)</f>
        <v/>
      </c>
      <c r="R257" s="535" t="str">
        <f t="shared" si="94"/>
        <v/>
      </c>
      <c r="S257" s="536" t="str">
        <f>IF(Inventory!O254="","",Inventory!O254)</f>
        <v/>
      </c>
      <c r="T257" s="541" t="str">
        <f>IFERROR(IF(C257="","",IF(INDEX(xyWattage_Table,MATCH(M257,'Fixture Identities'!$B$9:$B$997,0),2)="Exit Sign",8760,IF(VLOOKUP(C257,xySpace_Type_Details,8,FALSE)="TRM",INDEX('General Information'!$AF$17:$AG$28,11,MATCH(N257,'General Information'!$AF$16:$AG$16,0)),HLOOKUP(VLOOKUP(C257,xySpace_Type_Details,8,FALSE),'General Information'!$P$15:$AG$28,13,FALSE)))),"")</f>
        <v/>
      </c>
      <c r="U257" s="542" t="str">
        <f>IFERROR(IF(C257="","",IF(INDEX(xyWattage_Table,MATCH(M257,'Fixture Identities'!$B$9:$B$997,0),2)="Exit Sign",1,IF(VLOOKUP(C257,xySpace_Type_Details,8,FALSE)="TRM",INDEX('General Information'!$AF$17:$AG$28,12,MATCH(N257,'General Information'!$AF$16:$AG$16,0)),HLOOKUP(VLOOKUP(C257,xySpace_Type_Details,8,FALSE),'General Information'!$P$15:$AG$28,14,FALSE)))),"")</f>
        <v/>
      </c>
      <c r="V257" s="542" t="str">
        <f>IFERROR(VLOOKUP(INDEX(xySpace_Type_Details,MATCH($C257,'General Information'!$C$40:$C$60,0),12),Lookups!$L$8:$N$12,2,FALSE),"")</f>
        <v/>
      </c>
      <c r="W257" s="542" t="str">
        <f>IFERROR(VLOOKUP(INDEX(xySpace_Type_Details,MATCH($C257,'General Information'!$C$40:$C$60,0),12),Lookups!$L$8:$N$12,3,FALSE),"")</f>
        <v/>
      </c>
      <c r="Y257" s="542" t="str">
        <f>IFERROR(IF(C257="","",IF(INDEX(xyWattage_Table,MATCH(M257,'Fixture Identities'!$B$9:$B$997,0),2)="Exit Sign",0,IF(PRJ_Type="Retrofit",VLOOKUP(I257,xySVG_Factors,2,FALSE),IF(AND(PRJ_Type="New Construction",Inventory!C254="N"),VLOOKUP(VLOOKUP(Building_Type,xyLPD_BuildingArea,5,FALSE),xySVG_Factors_NC,3,FALSE),0)))),"")</f>
        <v/>
      </c>
      <c r="Z257" s="544" t="str">
        <f>IFERROR(IF(C257="","",IF(INDEX(xyWattage_Table,MATCH(M257,'Fixture Identities'!$B$9:$B$997,0),2)="Exit Sign",0,VLOOKUP(S257,xySVG_Factors,2,FALSE))),"")</f>
        <v/>
      </c>
      <c r="AA257" s="545" t="str">
        <f t="shared" si="95"/>
        <v/>
      </c>
      <c r="AB257" s="542" t="str">
        <f t="shared" si="96"/>
        <v/>
      </c>
      <c r="AC257" s="539" t="str">
        <f t="shared" si="97"/>
        <v/>
      </c>
      <c r="AD257" s="546" t="str">
        <f t="shared" si="98"/>
        <v/>
      </c>
      <c r="AE257" s="539" t="str">
        <f t="shared" si="99"/>
        <v/>
      </c>
      <c r="AF257" s="546" t="str">
        <f t="shared" si="100"/>
        <v/>
      </c>
      <c r="AG257" s="539" t="str">
        <f t="shared" si="101"/>
        <v/>
      </c>
      <c r="AH257" s="32">
        <f t="shared" si="82"/>
        <v>0</v>
      </c>
      <c r="AI257" s="32">
        <f t="shared" si="83"/>
        <v>0</v>
      </c>
      <c r="AJ257" s="32">
        <f t="shared" si="84"/>
        <v>0</v>
      </c>
      <c r="AK257" t="str">
        <f t="shared" si="85"/>
        <v/>
      </c>
      <c r="AL257" t="str">
        <f t="shared" si="86"/>
        <v/>
      </c>
      <c r="AM257" t="str">
        <f t="shared" si="87"/>
        <v/>
      </c>
      <c r="AO257" t="str">
        <f>IFERROR(VLOOKUP(M257,'Fixture Identities'!$B$9:$O$1045,14,FALSE),"")</f>
        <v/>
      </c>
      <c r="AP257" t="str">
        <f t="shared" si="81"/>
        <v/>
      </c>
    </row>
    <row r="258" spans="1:42">
      <c r="A258" s="71">
        <f t="shared" si="102"/>
        <v>0</v>
      </c>
      <c r="B258" s="513">
        <f t="shared" si="88"/>
        <v>246</v>
      </c>
      <c r="C258" s="530" t="str">
        <f>IF(Inventory!E255="","",Inventory!E255)</f>
        <v/>
      </c>
      <c r="D258" s="531">
        <f>IF(Inventory!D255="",0,Inventory!D255)</f>
        <v>0</v>
      </c>
      <c r="E258" s="532" t="str">
        <f>IF(Inventory!I255=0,"",Inventory!I255)</f>
        <v/>
      </c>
      <c r="F258" s="533" t="str">
        <f t="shared" si="89"/>
        <v/>
      </c>
      <c r="G258" s="534" t="str">
        <f>IF(Inventory!G255="","",Inventory!G255)</f>
        <v/>
      </c>
      <c r="H258" s="535" t="str">
        <f t="shared" si="90"/>
        <v/>
      </c>
      <c r="I258" s="536" t="str">
        <f>IF(Inventory!J255="","",Inventory!J255)</f>
        <v/>
      </c>
      <c r="J258" s="537" t="str">
        <f>IFERROR(IF(PRJ_Type="New Construction",IF(Inventory!C255="N",INDEX(xyLPD_BuildingArea,MATCH(Building_Type,Lookups!$F$37:$F$75,0),4),INDEX(xyLPD_SpaceBySpace,MATCH(INDEX(xyNCEx,MATCH(I258,yNCExArea,0),2),ySpace_by_Space_Type,0),2)),VLOOKUP(E258,xyWattage_Table,11,FALSE)),"")</f>
        <v/>
      </c>
      <c r="K258" s="538" t="str">
        <f>IFERROR(IF(AND(NC_Type="Building Area Method",Inventory!C255="N"),IF(ISERROR(INDEX('Usage Groups (&gt;120 MWh only)'!$N$8:$N$12,MATCH(C258,'Usage Groups (&gt;120 MWh only)'!$B$8:$B$12,0),1))=TRUE,SqFt/COUNTIFS(Inventory!$C$10:$C$1009,"N",$Q$13:$Q$1012,"&gt;=0"),INDEX('Usage Groups (&gt;120 MWh only)'!$N$8:$N$12,MATCH(C258,'Usage Groups (&gt;120 MWh only)'!$B$8:$B$12,0),1)/COUNTIF($C$13:$C$1012,C258)),IF(AND(NC_Type="Building Area Method",Inventory!C255="Y"),INDEX(xyNCEx,MATCH(I258,yNCExArea,0),3)/COUNTIF($I$13:$I$1012,I258),VLOOKUP(J258,xyWattage_Table,10,FALSE))),"")</f>
        <v/>
      </c>
      <c r="L258" s="539" t="str">
        <f t="shared" si="91"/>
        <v/>
      </c>
      <c r="M258" s="540">
        <f>IF(Inventory!N255="","",Inventory!N255)</f>
        <v>0</v>
      </c>
      <c r="N258" s="533" t="str">
        <f t="shared" si="92"/>
        <v/>
      </c>
      <c r="O258" s="534"/>
      <c r="P258" s="533" t="str">
        <f t="shared" si="93"/>
        <v/>
      </c>
      <c r="Q258" s="534" t="str">
        <f>IF(Inventory!L255="","",Inventory!L255)</f>
        <v/>
      </c>
      <c r="R258" s="535" t="str">
        <f t="shared" si="94"/>
        <v/>
      </c>
      <c r="S258" s="536" t="str">
        <f>IF(Inventory!O255="","",Inventory!O255)</f>
        <v/>
      </c>
      <c r="T258" s="541" t="str">
        <f>IFERROR(IF(C258="","",IF(INDEX(xyWattage_Table,MATCH(M258,'Fixture Identities'!$B$9:$B$997,0),2)="Exit Sign",8760,IF(VLOOKUP(C258,xySpace_Type_Details,8,FALSE)="TRM",INDEX('General Information'!$AF$17:$AG$28,11,MATCH(N258,'General Information'!$AF$16:$AG$16,0)),HLOOKUP(VLOOKUP(C258,xySpace_Type_Details,8,FALSE),'General Information'!$P$15:$AG$28,13,FALSE)))),"")</f>
        <v/>
      </c>
      <c r="U258" s="542" t="str">
        <f>IFERROR(IF(C258="","",IF(INDEX(xyWattage_Table,MATCH(M258,'Fixture Identities'!$B$9:$B$997,0),2)="Exit Sign",1,IF(VLOOKUP(C258,xySpace_Type_Details,8,FALSE)="TRM",INDEX('General Information'!$AF$17:$AG$28,12,MATCH(N258,'General Information'!$AF$16:$AG$16,0)),HLOOKUP(VLOOKUP(C258,xySpace_Type_Details,8,FALSE),'General Information'!$P$15:$AG$28,14,FALSE)))),"")</f>
        <v/>
      </c>
      <c r="V258" s="542" t="str">
        <f>IFERROR(VLOOKUP(INDEX(xySpace_Type_Details,MATCH($C258,'General Information'!$C$40:$C$60,0),12),Lookups!$L$8:$N$12,2,FALSE),"")</f>
        <v/>
      </c>
      <c r="W258" s="542" t="str">
        <f>IFERROR(VLOOKUP(INDEX(xySpace_Type_Details,MATCH($C258,'General Information'!$C$40:$C$60,0),12),Lookups!$L$8:$N$12,3,FALSE),"")</f>
        <v/>
      </c>
      <c r="Y258" s="542" t="str">
        <f>IFERROR(IF(C258="","",IF(INDEX(xyWattage_Table,MATCH(M258,'Fixture Identities'!$B$9:$B$997,0),2)="Exit Sign",0,IF(PRJ_Type="Retrofit",VLOOKUP(I258,xySVG_Factors,2,FALSE),IF(AND(PRJ_Type="New Construction",Inventory!C255="N"),VLOOKUP(VLOOKUP(Building_Type,xyLPD_BuildingArea,5,FALSE),xySVG_Factors_NC,3,FALSE),0)))),"")</f>
        <v/>
      </c>
      <c r="Z258" s="544" t="str">
        <f>IFERROR(IF(C258="","",IF(INDEX(xyWattage_Table,MATCH(M258,'Fixture Identities'!$B$9:$B$997,0),2)="Exit Sign",0,VLOOKUP(S258,xySVG_Factors,2,FALSE))),"")</f>
        <v/>
      </c>
      <c r="AA258" s="545" t="str">
        <f t="shared" si="95"/>
        <v/>
      </c>
      <c r="AB258" s="542" t="str">
        <f t="shared" si="96"/>
        <v/>
      </c>
      <c r="AC258" s="539" t="str">
        <f t="shared" si="97"/>
        <v/>
      </c>
      <c r="AD258" s="546" t="str">
        <f t="shared" si="98"/>
        <v/>
      </c>
      <c r="AE258" s="539" t="str">
        <f t="shared" si="99"/>
        <v/>
      </c>
      <c r="AF258" s="546" t="str">
        <f t="shared" si="100"/>
        <v/>
      </c>
      <c r="AG258" s="539" t="str">
        <f t="shared" si="101"/>
        <v/>
      </c>
      <c r="AH258" s="32">
        <f t="shared" si="82"/>
        <v>0</v>
      </c>
      <c r="AI258" s="32">
        <f t="shared" si="83"/>
        <v>0</v>
      </c>
      <c r="AJ258" s="32">
        <f t="shared" si="84"/>
        <v>0</v>
      </c>
      <c r="AK258" t="str">
        <f t="shared" si="85"/>
        <v/>
      </c>
      <c r="AL258" t="str">
        <f t="shared" si="86"/>
        <v/>
      </c>
      <c r="AM258" t="str">
        <f t="shared" si="87"/>
        <v/>
      </c>
      <c r="AO258" t="str">
        <f>IFERROR(VLOOKUP(M258,'Fixture Identities'!$B$9:$O$1045,14,FALSE),"")</f>
        <v/>
      </c>
      <c r="AP258" t="str">
        <f t="shared" si="81"/>
        <v/>
      </c>
    </row>
    <row r="259" spans="1:42">
      <c r="A259" s="71">
        <f t="shared" si="102"/>
        <v>0</v>
      </c>
      <c r="B259" s="513">
        <f t="shared" si="88"/>
        <v>247</v>
      </c>
      <c r="C259" s="530" t="str">
        <f>IF(Inventory!E256="","",Inventory!E256)</f>
        <v/>
      </c>
      <c r="D259" s="531">
        <f>IF(Inventory!D256="",0,Inventory!D256)</f>
        <v>0</v>
      </c>
      <c r="E259" s="532" t="str">
        <f>IF(Inventory!I256=0,"",Inventory!I256)</f>
        <v/>
      </c>
      <c r="F259" s="533" t="str">
        <f t="shared" si="89"/>
        <v/>
      </c>
      <c r="G259" s="534" t="str">
        <f>IF(Inventory!G256="","",Inventory!G256)</f>
        <v/>
      </c>
      <c r="H259" s="535" t="str">
        <f t="shared" si="90"/>
        <v/>
      </c>
      <c r="I259" s="536" t="str">
        <f>IF(Inventory!J256="","",Inventory!J256)</f>
        <v/>
      </c>
      <c r="J259" s="537" t="str">
        <f>IFERROR(IF(PRJ_Type="New Construction",IF(Inventory!C256="N",INDEX(xyLPD_BuildingArea,MATCH(Building_Type,Lookups!$F$37:$F$75,0),4),INDEX(xyLPD_SpaceBySpace,MATCH(INDEX(xyNCEx,MATCH(I259,yNCExArea,0),2),ySpace_by_Space_Type,0),2)),VLOOKUP(E259,xyWattage_Table,11,FALSE)),"")</f>
        <v/>
      </c>
      <c r="K259" s="538" t="str">
        <f>IFERROR(IF(AND(NC_Type="Building Area Method",Inventory!C256="N"),IF(ISERROR(INDEX('Usage Groups (&gt;120 MWh only)'!$N$8:$N$12,MATCH(C259,'Usage Groups (&gt;120 MWh only)'!$B$8:$B$12,0),1))=TRUE,SqFt/COUNTIFS(Inventory!$C$10:$C$1009,"N",$Q$13:$Q$1012,"&gt;=0"),INDEX('Usage Groups (&gt;120 MWh only)'!$N$8:$N$12,MATCH(C259,'Usage Groups (&gt;120 MWh only)'!$B$8:$B$12,0),1)/COUNTIF($C$13:$C$1012,C259)),IF(AND(NC_Type="Building Area Method",Inventory!C256="Y"),INDEX(xyNCEx,MATCH(I259,yNCExArea,0),3)/COUNTIF($I$13:$I$1012,I259),VLOOKUP(J259,xyWattage_Table,10,FALSE))),"")</f>
        <v/>
      </c>
      <c r="L259" s="539" t="str">
        <f t="shared" si="91"/>
        <v/>
      </c>
      <c r="M259" s="540">
        <f>IF(Inventory!N256="","",Inventory!N256)</f>
        <v>0</v>
      </c>
      <c r="N259" s="533" t="str">
        <f t="shared" si="92"/>
        <v/>
      </c>
      <c r="O259" s="534"/>
      <c r="P259" s="533" t="str">
        <f t="shared" si="93"/>
        <v/>
      </c>
      <c r="Q259" s="534" t="str">
        <f>IF(Inventory!L256="","",Inventory!L256)</f>
        <v/>
      </c>
      <c r="R259" s="535" t="str">
        <f t="shared" si="94"/>
        <v/>
      </c>
      <c r="S259" s="536" t="str">
        <f>IF(Inventory!O256="","",Inventory!O256)</f>
        <v/>
      </c>
      <c r="T259" s="541" t="str">
        <f>IFERROR(IF(C259="","",IF(INDEX(xyWattage_Table,MATCH(M259,'Fixture Identities'!$B$9:$B$997,0),2)="Exit Sign",8760,IF(VLOOKUP(C259,xySpace_Type_Details,8,FALSE)="TRM",INDEX('General Information'!$AF$17:$AG$28,11,MATCH(N259,'General Information'!$AF$16:$AG$16,0)),HLOOKUP(VLOOKUP(C259,xySpace_Type_Details,8,FALSE),'General Information'!$P$15:$AG$28,13,FALSE)))),"")</f>
        <v/>
      </c>
      <c r="U259" s="542" t="str">
        <f>IFERROR(IF(C259="","",IF(INDEX(xyWattage_Table,MATCH(M259,'Fixture Identities'!$B$9:$B$997,0),2)="Exit Sign",1,IF(VLOOKUP(C259,xySpace_Type_Details,8,FALSE)="TRM",INDEX('General Information'!$AF$17:$AG$28,12,MATCH(N259,'General Information'!$AF$16:$AG$16,0)),HLOOKUP(VLOOKUP(C259,xySpace_Type_Details,8,FALSE),'General Information'!$P$15:$AG$28,14,FALSE)))),"")</f>
        <v/>
      </c>
      <c r="V259" s="542" t="str">
        <f>IFERROR(VLOOKUP(INDEX(xySpace_Type_Details,MATCH($C259,'General Information'!$C$40:$C$60,0),12),Lookups!$L$8:$N$12,2,FALSE),"")</f>
        <v/>
      </c>
      <c r="W259" s="542" t="str">
        <f>IFERROR(VLOOKUP(INDEX(xySpace_Type_Details,MATCH($C259,'General Information'!$C$40:$C$60,0),12),Lookups!$L$8:$N$12,3,FALSE),"")</f>
        <v/>
      </c>
      <c r="Y259" s="542" t="str">
        <f>IFERROR(IF(C259="","",IF(INDEX(xyWattage_Table,MATCH(M259,'Fixture Identities'!$B$9:$B$997,0),2)="Exit Sign",0,IF(PRJ_Type="Retrofit",VLOOKUP(I259,xySVG_Factors,2,FALSE),IF(AND(PRJ_Type="New Construction",Inventory!C256="N"),VLOOKUP(VLOOKUP(Building_Type,xyLPD_BuildingArea,5,FALSE),xySVG_Factors_NC,3,FALSE),0)))),"")</f>
        <v/>
      </c>
      <c r="Z259" s="544" t="str">
        <f>IFERROR(IF(C259="","",IF(INDEX(xyWattage_Table,MATCH(M259,'Fixture Identities'!$B$9:$B$997,0),2)="Exit Sign",0,VLOOKUP(S259,xySVG_Factors,2,FALSE))),"")</f>
        <v/>
      </c>
      <c r="AA259" s="545" t="str">
        <f t="shared" si="95"/>
        <v/>
      </c>
      <c r="AB259" s="542" t="str">
        <f t="shared" si="96"/>
        <v/>
      </c>
      <c r="AC259" s="539" t="str">
        <f t="shared" si="97"/>
        <v/>
      </c>
      <c r="AD259" s="546" t="str">
        <f t="shared" si="98"/>
        <v/>
      </c>
      <c r="AE259" s="539" t="str">
        <f t="shared" si="99"/>
        <v/>
      </c>
      <c r="AF259" s="546" t="str">
        <f t="shared" si="100"/>
        <v/>
      </c>
      <c r="AG259" s="539" t="str">
        <f t="shared" si="101"/>
        <v/>
      </c>
      <c r="AH259" s="32">
        <f t="shared" si="82"/>
        <v>0</v>
      </c>
      <c r="AI259" s="32">
        <f t="shared" si="83"/>
        <v>0</v>
      </c>
      <c r="AJ259" s="32">
        <f t="shared" si="84"/>
        <v>0</v>
      </c>
      <c r="AK259" t="str">
        <f t="shared" si="85"/>
        <v/>
      </c>
      <c r="AL259" t="str">
        <f t="shared" si="86"/>
        <v/>
      </c>
      <c r="AM259" t="str">
        <f t="shared" si="87"/>
        <v/>
      </c>
      <c r="AO259" t="str">
        <f>IFERROR(VLOOKUP(M259,'Fixture Identities'!$B$9:$O$1045,14,FALSE),"")</f>
        <v/>
      </c>
      <c r="AP259" t="str">
        <f t="shared" si="81"/>
        <v/>
      </c>
    </row>
    <row r="260" spans="1:42">
      <c r="A260" s="71">
        <f t="shared" si="102"/>
        <v>0</v>
      </c>
      <c r="B260" s="513">
        <f t="shared" si="88"/>
        <v>248</v>
      </c>
      <c r="C260" s="530" t="str">
        <f>IF(Inventory!E257="","",Inventory!E257)</f>
        <v/>
      </c>
      <c r="D260" s="531">
        <f>IF(Inventory!D257="",0,Inventory!D257)</f>
        <v>0</v>
      </c>
      <c r="E260" s="532" t="str">
        <f>IF(Inventory!I257=0,"",Inventory!I257)</f>
        <v/>
      </c>
      <c r="F260" s="533" t="str">
        <f t="shared" si="89"/>
        <v/>
      </c>
      <c r="G260" s="534" t="str">
        <f>IF(Inventory!G257="","",Inventory!G257)</f>
        <v/>
      </c>
      <c r="H260" s="535" t="str">
        <f t="shared" si="90"/>
        <v/>
      </c>
      <c r="I260" s="536" t="str">
        <f>IF(Inventory!J257="","",Inventory!J257)</f>
        <v/>
      </c>
      <c r="J260" s="537" t="str">
        <f>IFERROR(IF(PRJ_Type="New Construction",IF(Inventory!C257="N",INDEX(xyLPD_BuildingArea,MATCH(Building_Type,Lookups!$F$37:$F$75,0),4),INDEX(xyLPD_SpaceBySpace,MATCH(INDEX(xyNCEx,MATCH(I260,yNCExArea,0),2),ySpace_by_Space_Type,0),2)),VLOOKUP(E260,xyWattage_Table,11,FALSE)),"")</f>
        <v/>
      </c>
      <c r="K260" s="538" t="str">
        <f>IFERROR(IF(AND(NC_Type="Building Area Method",Inventory!C257="N"),IF(ISERROR(INDEX('Usage Groups (&gt;120 MWh only)'!$N$8:$N$12,MATCH(C260,'Usage Groups (&gt;120 MWh only)'!$B$8:$B$12,0),1))=TRUE,SqFt/COUNTIFS(Inventory!$C$10:$C$1009,"N",$Q$13:$Q$1012,"&gt;=0"),INDEX('Usage Groups (&gt;120 MWh only)'!$N$8:$N$12,MATCH(C260,'Usage Groups (&gt;120 MWh only)'!$B$8:$B$12,0),1)/COUNTIF($C$13:$C$1012,C260)),IF(AND(NC_Type="Building Area Method",Inventory!C257="Y"),INDEX(xyNCEx,MATCH(I260,yNCExArea,0),3)/COUNTIF($I$13:$I$1012,I260),VLOOKUP(J260,xyWattage_Table,10,FALSE))),"")</f>
        <v/>
      </c>
      <c r="L260" s="539" t="str">
        <f t="shared" si="91"/>
        <v/>
      </c>
      <c r="M260" s="540">
        <f>IF(Inventory!N257="","",Inventory!N257)</f>
        <v>0</v>
      </c>
      <c r="N260" s="533" t="str">
        <f t="shared" si="92"/>
        <v/>
      </c>
      <c r="O260" s="534"/>
      <c r="P260" s="533" t="str">
        <f t="shared" si="93"/>
        <v/>
      </c>
      <c r="Q260" s="534" t="str">
        <f>IF(Inventory!L257="","",Inventory!L257)</f>
        <v/>
      </c>
      <c r="R260" s="535" t="str">
        <f t="shared" si="94"/>
        <v/>
      </c>
      <c r="S260" s="536" t="str">
        <f>IF(Inventory!O257="","",Inventory!O257)</f>
        <v/>
      </c>
      <c r="T260" s="541" t="str">
        <f>IFERROR(IF(C260="","",IF(INDEX(xyWattage_Table,MATCH(M260,'Fixture Identities'!$B$9:$B$997,0),2)="Exit Sign",8760,IF(VLOOKUP(C260,xySpace_Type_Details,8,FALSE)="TRM",INDEX('General Information'!$AF$17:$AG$28,11,MATCH(N260,'General Information'!$AF$16:$AG$16,0)),HLOOKUP(VLOOKUP(C260,xySpace_Type_Details,8,FALSE),'General Information'!$P$15:$AG$28,13,FALSE)))),"")</f>
        <v/>
      </c>
      <c r="U260" s="542" t="str">
        <f>IFERROR(IF(C260="","",IF(INDEX(xyWattage_Table,MATCH(M260,'Fixture Identities'!$B$9:$B$997,0),2)="Exit Sign",1,IF(VLOOKUP(C260,xySpace_Type_Details,8,FALSE)="TRM",INDEX('General Information'!$AF$17:$AG$28,12,MATCH(N260,'General Information'!$AF$16:$AG$16,0)),HLOOKUP(VLOOKUP(C260,xySpace_Type_Details,8,FALSE),'General Information'!$P$15:$AG$28,14,FALSE)))),"")</f>
        <v/>
      </c>
      <c r="V260" s="542" t="str">
        <f>IFERROR(VLOOKUP(INDEX(xySpace_Type_Details,MATCH($C260,'General Information'!$C$40:$C$60,0),12),Lookups!$L$8:$N$12,2,FALSE),"")</f>
        <v/>
      </c>
      <c r="W260" s="542" t="str">
        <f>IFERROR(VLOOKUP(INDEX(xySpace_Type_Details,MATCH($C260,'General Information'!$C$40:$C$60,0),12),Lookups!$L$8:$N$12,3,FALSE),"")</f>
        <v/>
      </c>
      <c r="Y260" s="542" t="str">
        <f>IFERROR(IF(C260="","",IF(INDEX(xyWattage_Table,MATCH(M260,'Fixture Identities'!$B$9:$B$997,0),2)="Exit Sign",0,IF(PRJ_Type="Retrofit",VLOOKUP(I260,xySVG_Factors,2,FALSE),IF(AND(PRJ_Type="New Construction",Inventory!C257="N"),VLOOKUP(VLOOKUP(Building_Type,xyLPD_BuildingArea,5,FALSE),xySVG_Factors_NC,3,FALSE),0)))),"")</f>
        <v/>
      </c>
      <c r="Z260" s="544" t="str">
        <f>IFERROR(IF(C260="","",IF(INDEX(xyWattage_Table,MATCH(M260,'Fixture Identities'!$B$9:$B$997,0),2)="Exit Sign",0,VLOOKUP(S260,xySVG_Factors,2,FALSE))),"")</f>
        <v/>
      </c>
      <c r="AA260" s="545" t="str">
        <f t="shared" si="95"/>
        <v/>
      </c>
      <c r="AB260" s="542" t="str">
        <f t="shared" si="96"/>
        <v/>
      </c>
      <c r="AC260" s="539" t="str">
        <f t="shared" si="97"/>
        <v/>
      </c>
      <c r="AD260" s="546" t="str">
        <f t="shared" si="98"/>
        <v/>
      </c>
      <c r="AE260" s="539" t="str">
        <f t="shared" si="99"/>
        <v/>
      </c>
      <c r="AF260" s="546" t="str">
        <f t="shared" si="100"/>
        <v/>
      </c>
      <c r="AG260" s="539" t="str">
        <f t="shared" si="101"/>
        <v/>
      </c>
      <c r="AH260" s="32">
        <f t="shared" si="82"/>
        <v>0</v>
      </c>
      <c r="AI260" s="32">
        <f t="shared" si="83"/>
        <v>0</v>
      </c>
      <c r="AJ260" s="32">
        <f t="shared" si="84"/>
        <v>0</v>
      </c>
      <c r="AK260" t="str">
        <f t="shared" si="85"/>
        <v/>
      </c>
      <c r="AL260" t="str">
        <f t="shared" si="86"/>
        <v/>
      </c>
      <c r="AM260" t="str">
        <f t="shared" si="87"/>
        <v/>
      </c>
      <c r="AO260" t="str">
        <f>IFERROR(VLOOKUP(M260,'Fixture Identities'!$B$9:$O$1045,14,FALSE),"")</f>
        <v/>
      </c>
      <c r="AP260" t="str">
        <f t="shared" si="81"/>
        <v/>
      </c>
    </row>
    <row r="261" spans="1:42">
      <c r="A261" s="71">
        <f t="shared" si="102"/>
        <v>0</v>
      </c>
      <c r="B261" s="513">
        <f t="shared" si="88"/>
        <v>249</v>
      </c>
      <c r="C261" s="530" t="str">
        <f>IF(Inventory!E258="","",Inventory!E258)</f>
        <v/>
      </c>
      <c r="D261" s="531">
        <f>IF(Inventory!D258="",0,Inventory!D258)</f>
        <v>0</v>
      </c>
      <c r="E261" s="532" t="str">
        <f>IF(Inventory!I258=0,"",Inventory!I258)</f>
        <v/>
      </c>
      <c r="F261" s="533" t="str">
        <f t="shared" si="89"/>
        <v/>
      </c>
      <c r="G261" s="534" t="str">
        <f>IF(Inventory!G258="","",Inventory!G258)</f>
        <v/>
      </c>
      <c r="H261" s="535" t="str">
        <f t="shared" si="90"/>
        <v/>
      </c>
      <c r="I261" s="536" t="str">
        <f>IF(Inventory!J258="","",Inventory!J258)</f>
        <v/>
      </c>
      <c r="J261" s="537" t="str">
        <f>IFERROR(IF(PRJ_Type="New Construction",IF(Inventory!C258="N",INDEX(xyLPD_BuildingArea,MATCH(Building_Type,Lookups!$F$37:$F$75,0),4),INDEX(xyLPD_SpaceBySpace,MATCH(INDEX(xyNCEx,MATCH(I261,yNCExArea,0),2),ySpace_by_Space_Type,0),2)),VLOOKUP(E261,xyWattage_Table,11,FALSE)),"")</f>
        <v/>
      </c>
      <c r="K261" s="538" t="str">
        <f>IFERROR(IF(AND(NC_Type="Building Area Method",Inventory!C258="N"),IF(ISERROR(INDEX('Usage Groups (&gt;120 MWh only)'!$N$8:$N$12,MATCH(C261,'Usage Groups (&gt;120 MWh only)'!$B$8:$B$12,0),1))=TRUE,SqFt/COUNTIFS(Inventory!$C$10:$C$1009,"N",$Q$13:$Q$1012,"&gt;=0"),INDEX('Usage Groups (&gt;120 MWh only)'!$N$8:$N$12,MATCH(C261,'Usage Groups (&gt;120 MWh only)'!$B$8:$B$12,0),1)/COUNTIF($C$13:$C$1012,C261)),IF(AND(NC_Type="Building Area Method",Inventory!C258="Y"),INDEX(xyNCEx,MATCH(I261,yNCExArea,0),3)/COUNTIF($I$13:$I$1012,I261),VLOOKUP(J261,xyWattage_Table,10,FALSE))),"")</f>
        <v/>
      </c>
      <c r="L261" s="539" t="str">
        <f t="shared" si="91"/>
        <v/>
      </c>
      <c r="M261" s="540">
        <f>IF(Inventory!N258="","",Inventory!N258)</f>
        <v>0</v>
      </c>
      <c r="N261" s="533" t="str">
        <f t="shared" si="92"/>
        <v/>
      </c>
      <c r="O261" s="534"/>
      <c r="P261" s="533" t="str">
        <f t="shared" si="93"/>
        <v/>
      </c>
      <c r="Q261" s="534" t="str">
        <f>IF(Inventory!L258="","",Inventory!L258)</f>
        <v/>
      </c>
      <c r="R261" s="535" t="str">
        <f t="shared" si="94"/>
        <v/>
      </c>
      <c r="S261" s="536" t="str">
        <f>IF(Inventory!O258="","",Inventory!O258)</f>
        <v/>
      </c>
      <c r="T261" s="541" t="str">
        <f>IFERROR(IF(C261="","",IF(INDEX(xyWattage_Table,MATCH(M261,'Fixture Identities'!$B$9:$B$997,0),2)="Exit Sign",8760,IF(VLOOKUP(C261,xySpace_Type_Details,8,FALSE)="TRM",INDEX('General Information'!$AF$17:$AG$28,11,MATCH(N261,'General Information'!$AF$16:$AG$16,0)),HLOOKUP(VLOOKUP(C261,xySpace_Type_Details,8,FALSE),'General Information'!$P$15:$AG$28,13,FALSE)))),"")</f>
        <v/>
      </c>
      <c r="U261" s="542" t="str">
        <f>IFERROR(IF(C261="","",IF(INDEX(xyWattage_Table,MATCH(M261,'Fixture Identities'!$B$9:$B$997,0),2)="Exit Sign",1,IF(VLOOKUP(C261,xySpace_Type_Details,8,FALSE)="TRM",INDEX('General Information'!$AF$17:$AG$28,12,MATCH(N261,'General Information'!$AF$16:$AG$16,0)),HLOOKUP(VLOOKUP(C261,xySpace_Type_Details,8,FALSE),'General Information'!$P$15:$AG$28,14,FALSE)))),"")</f>
        <v/>
      </c>
      <c r="V261" s="542" t="str">
        <f>IFERROR(VLOOKUP(INDEX(xySpace_Type_Details,MATCH($C261,'General Information'!$C$40:$C$60,0),12),Lookups!$L$8:$N$12,2,FALSE),"")</f>
        <v/>
      </c>
      <c r="W261" s="542" t="str">
        <f>IFERROR(VLOOKUP(INDEX(xySpace_Type_Details,MATCH($C261,'General Information'!$C$40:$C$60,0),12),Lookups!$L$8:$N$12,3,FALSE),"")</f>
        <v/>
      </c>
      <c r="Y261" s="542" t="str">
        <f>IFERROR(IF(C261="","",IF(INDEX(xyWattage_Table,MATCH(M261,'Fixture Identities'!$B$9:$B$997,0),2)="Exit Sign",0,IF(PRJ_Type="Retrofit",VLOOKUP(I261,xySVG_Factors,2,FALSE),IF(AND(PRJ_Type="New Construction",Inventory!C258="N"),VLOOKUP(VLOOKUP(Building_Type,xyLPD_BuildingArea,5,FALSE),xySVG_Factors_NC,3,FALSE),0)))),"")</f>
        <v/>
      </c>
      <c r="Z261" s="544" t="str">
        <f>IFERROR(IF(C261="","",IF(INDEX(xyWattage_Table,MATCH(M261,'Fixture Identities'!$B$9:$B$997,0),2)="Exit Sign",0,VLOOKUP(S261,xySVG_Factors,2,FALSE))),"")</f>
        <v/>
      </c>
      <c r="AA261" s="545" t="str">
        <f t="shared" si="95"/>
        <v/>
      </c>
      <c r="AB261" s="542" t="str">
        <f t="shared" si="96"/>
        <v/>
      </c>
      <c r="AC261" s="539" t="str">
        <f t="shared" si="97"/>
        <v/>
      </c>
      <c r="AD261" s="546" t="str">
        <f t="shared" si="98"/>
        <v/>
      </c>
      <c r="AE261" s="539" t="str">
        <f t="shared" si="99"/>
        <v/>
      </c>
      <c r="AF261" s="546" t="str">
        <f t="shared" si="100"/>
        <v/>
      </c>
      <c r="AG261" s="539" t="str">
        <f t="shared" si="101"/>
        <v/>
      </c>
      <c r="AH261" s="32">
        <f t="shared" si="82"/>
        <v>0</v>
      </c>
      <c r="AI261" s="32">
        <f t="shared" si="83"/>
        <v>0</v>
      </c>
      <c r="AJ261" s="32">
        <f t="shared" si="84"/>
        <v>0</v>
      </c>
      <c r="AK261" t="str">
        <f t="shared" si="85"/>
        <v/>
      </c>
      <c r="AL261" t="str">
        <f t="shared" si="86"/>
        <v/>
      </c>
      <c r="AM261" t="str">
        <f t="shared" si="87"/>
        <v/>
      </c>
      <c r="AO261" t="str">
        <f>IFERROR(VLOOKUP(M261,'Fixture Identities'!$B$9:$O$1045,14,FALSE),"")</f>
        <v/>
      </c>
      <c r="AP261" t="str">
        <f t="shared" si="81"/>
        <v/>
      </c>
    </row>
    <row r="262" spans="1:42">
      <c r="A262" s="71">
        <f t="shared" si="102"/>
        <v>0</v>
      </c>
      <c r="B262" s="513">
        <f t="shared" si="88"/>
        <v>250</v>
      </c>
      <c r="C262" s="530" t="str">
        <f>IF(Inventory!E259="","",Inventory!E259)</f>
        <v/>
      </c>
      <c r="D262" s="531">
        <f>IF(Inventory!D259="",0,Inventory!D259)</f>
        <v>0</v>
      </c>
      <c r="E262" s="532" t="str">
        <f>IF(Inventory!I259=0,"",Inventory!I259)</f>
        <v/>
      </c>
      <c r="F262" s="533" t="str">
        <f t="shared" si="89"/>
        <v/>
      </c>
      <c r="G262" s="534" t="str">
        <f>IF(Inventory!G259="","",Inventory!G259)</f>
        <v/>
      </c>
      <c r="H262" s="535" t="str">
        <f t="shared" si="90"/>
        <v/>
      </c>
      <c r="I262" s="536" t="str">
        <f>IF(Inventory!J259="","",Inventory!J259)</f>
        <v/>
      </c>
      <c r="J262" s="537" t="str">
        <f>IFERROR(IF(PRJ_Type="New Construction",IF(Inventory!C259="N",INDEX(xyLPD_BuildingArea,MATCH(Building_Type,Lookups!$F$37:$F$75,0),4),INDEX(xyLPD_SpaceBySpace,MATCH(INDEX(xyNCEx,MATCH(I262,yNCExArea,0),2),ySpace_by_Space_Type,0),2)),VLOOKUP(E262,xyWattage_Table,11,FALSE)),"")</f>
        <v/>
      </c>
      <c r="K262" s="538" t="str">
        <f>IFERROR(IF(AND(NC_Type="Building Area Method",Inventory!C259="N"),IF(ISERROR(INDEX('Usage Groups (&gt;120 MWh only)'!$N$8:$N$12,MATCH(C262,'Usage Groups (&gt;120 MWh only)'!$B$8:$B$12,0),1))=TRUE,SqFt/COUNTIFS(Inventory!$C$10:$C$1009,"N",$Q$13:$Q$1012,"&gt;=0"),INDEX('Usage Groups (&gt;120 MWh only)'!$N$8:$N$12,MATCH(C262,'Usage Groups (&gt;120 MWh only)'!$B$8:$B$12,0),1)/COUNTIF($C$13:$C$1012,C262)),IF(AND(NC_Type="Building Area Method",Inventory!C259="Y"),INDEX(xyNCEx,MATCH(I262,yNCExArea,0),3)/COUNTIF($I$13:$I$1012,I262),VLOOKUP(J262,xyWattage_Table,10,FALSE))),"")</f>
        <v/>
      </c>
      <c r="L262" s="539" t="str">
        <f t="shared" si="91"/>
        <v/>
      </c>
      <c r="M262" s="540">
        <f>IF(Inventory!N259="","",Inventory!N259)</f>
        <v>0</v>
      </c>
      <c r="N262" s="533" t="str">
        <f t="shared" si="92"/>
        <v/>
      </c>
      <c r="O262" s="534"/>
      <c r="P262" s="533" t="str">
        <f t="shared" si="93"/>
        <v/>
      </c>
      <c r="Q262" s="534" t="str">
        <f>IF(Inventory!L259="","",Inventory!L259)</f>
        <v/>
      </c>
      <c r="R262" s="535" t="str">
        <f t="shared" si="94"/>
        <v/>
      </c>
      <c r="S262" s="536" t="str">
        <f>IF(Inventory!O259="","",Inventory!O259)</f>
        <v/>
      </c>
      <c r="T262" s="541" t="str">
        <f>IFERROR(IF(C262="","",IF(INDEX(xyWattage_Table,MATCH(M262,'Fixture Identities'!$B$9:$B$997,0),2)="Exit Sign",8760,IF(VLOOKUP(C262,xySpace_Type_Details,8,FALSE)="TRM",INDEX('General Information'!$AF$17:$AG$28,11,MATCH(N262,'General Information'!$AF$16:$AG$16,0)),HLOOKUP(VLOOKUP(C262,xySpace_Type_Details,8,FALSE),'General Information'!$P$15:$AG$28,13,FALSE)))),"")</f>
        <v/>
      </c>
      <c r="U262" s="542" t="str">
        <f>IFERROR(IF(C262="","",IF(INDEX(xyWattage_Table,MATCH(M262,'Fixture Identities'!$B$9:$B$997,0),2)="Exit Sign",1,IF(VLOOKUP(C262,xySpace_Type_Details,8,FALSE)="TRM",INDEX('General Information'!$AF$17:$AG$28,12,MATCH(N262,'General Information'!$AF$16:$AG$16,0)),HLOOKUP(VLOOKUP(C262,xySpace_Type_Details,8,FALSE),'General Information'!$P$15:$AG$28,14,FALSE)))),"")</f>
        <v/>
      </c>
      <c r="V262" s="542" t="str">
        <f>IFERROR(VLOOKUP(INDEX(xySpace_Type_Details,MATCH($C262,'General Information'!$C$40:$C$60,0),12),Lookups!$L$8:$N$12,2,FALSE),"")</f>
        <v/>
      </c>
      <c r="W262" s="542" t="str">
        <f>IFERROR(VLOOKUP(INDEX(xySpace_Type_Details,MATCH($C262,'General Information'!$C$40:$C$60,0),12),Lookups!$L$8:$N$12,3,FALSE),"")</f>
        <v/>
      </c>
      <c r="Y262" s="542" t="str">
        <f>IFERROR(IF(C262="","",IF(INDEX(xyWattage_Table,MATCH(M262,'Fixture Identities'!$B$9:$B$997,0),2)="Exit Sign",0,IF(PRJ_Type="Retrofit",VLOOKUP(I262,xySVG_Factors,2,FALSE),IF(AND(PRJ_Type="New Construction",Inventory!C259="N"),VLOOKUP(VLOOKUP(Building_Type,xyLPD_BuildingArea,5,FALSE),xySVG_Factors_NC,3,FALSE),0)))),"")</f>
        <v/>
      </c>
      <c r="Z262" s="544" t="str">
        <f>IFERROR(IF(C262="","",IF(INDEX(xyWattage_Table,MATCH(M262,'Fixture Identities'!$B$9:$B$997,0),2)="Exit Sign",0,VLOOKUP(S262,xySVG_Factors,2,FALSE))),"")</f>
        <v/>
      </c>
      <c r="AA262" s="545" t="str">
        <f t="shared" si="95"/>
        <v/>
      </c>
      <c r="AB262" s="542" t="str">
        <f t="shared" si="96"/>
        <v/>
      </c>
      <c r="AC262" s="539" t="str">
        <f t="shared" si="97"/>
        <v/>
      </c>
      <c r="AD262" s="546" t="str">
        <f t="shared" si="98"/>
        <v/>
      </c>
      <c r="AE262" s="539" t="str">
        <f t="shared" si="99"/>
        <v/>
      </c>
      <c r="AF262" s="546" t="str">
        <f t="shared" si="100"/>
        <v/>
      </c>
      <c r="AG262" s="539" t="str">
        <f t="shared" si="101"/>
        <v/>
      </c>
      <c r="AH262" s="32">
        <f t="shared" si="82"/>
        <v>0</v>
      </c>
      <c r="AI262" s="32">
        <f t="shared" si="83"/>
        <v>0</v>
      </c>
      <c r="AJ262" s="32">
        <f t="shared" si="84"/>
        <v>0</v>
      </c>
      <c r="AK262" t="str">
        <f t="shared" si="85"/>
        <v/>
      </c>
      <c r="AL262" t="str">
        <f t="shared" si="86"/>
        <v/>
      </c>
      <c r="AM262" t="str">
        <f t="shared" si="87"/>
        <v/>
      </c>
      <c r="AO262" t="str">
        <f>IFERROR(VLOOKUP(M262,'Fixture Identities'!$B$9:$O$1045,14,FALSE),"")</f>
        <v/>
      </c>
      <c r="AP262" t="str">
        <f t="shared" si="81"/>
        <v/>
      </c>
    </row>
    <row r="263" spans="1:42">
      <c r="A263" s="71">
        <f t="shared" si="102"/>
        <v>0</v>
      </c>
      <c r="B263" s="513">
        <f t="shared" si="88"/>
        <v>251</v>
      </c>
      <c r="C263" s="530" t="str">
        <f>IF(Inventory!E260="","",Inventory!E260)</f>
        <v/>
      </c>
      <c r="D263" s="531">
        <f>IF(Inventory!D260="",0,Inventory!D260)</f>
        <v>0</v>
      </c>
      <c r="E263" s="532" t="str">
        <f>IF(Inventory!I260=0,"",Inventory!I260)</f>
        <v/>
      </c>
      <c r="F263" s="533" t="str">
        <f t="shared" ref="F263:F326" si="103">IFERROR(VLOOKUP(E263,xyWattage_Table,10,FALSE),"")</f>
        <v/>
      </c>
      <c r="G263" s="534" t="str">
        <f>IF(Inventory!G260="","",Inventory!G260)</f>
        <v/>
      </c>
      <c r="H263" s="535" t="str">
        <f t="shared" ref="H263:H326" si="104">IF(G263="","",G263*F263)</f>
        <v/>
      </c>
      <c r="I263" s="536" t="str">
        <f>IF(Inventory!J260="","",Inventory!J260)</f>
        <v/>
      </c>
      <c r="J263" s="537" t="str">
        <f>IFERROR(IF(PRJ_Type="New Construction",IF(Inventory!C260="N",INDEX(xyLPD_BuildingArea,MATCH(Building_Type,Lookups!$F$37:$F$75,0),4),INDEX(xyLPD_SpaceBySpace,MATCH(INDEX(xyNCEx,MATCH(I263,yNCExArea,0),2),ySpace_by_Space_Type,0),2)),VLOOKUP(E263,xyWattage_Table,11,FALSE)),"")</f>
        <v/>
      </c>
      <c r="K263" s="538" t="str">
        <f>IFERROR(IF(AND(NC_Type="Building Area Method",Inventory!C260="N"),IF(ISERROR(INDEX('Usage Groups (&gt;120 MWh only)'!$N$8:$N$12,MATCH(C263,'Usage Groups (&gt;120 MWh only)'!$B$8:$B$12,0),1))=TRUE,SqFt/COUNTIFS(Inventory!$C$10:$C$1009,"N",$Q$13:$Q$1012,"&gt;=0"),INDEX('Usage Groups (&gt;120 MWh only)'!$N$8:$N$12,MATCH(C263,'Usage Groups (&gt;120 MWh only)'!$B$8:$B$12,0),1)/COUNTIF($C$13:$C$1012,C263)),IF(AND(NC_Type="Building Area Method",Inventory!C260="Y"),INDEX(xyNCEx,MATCH(I263,yNCExArea,0),3)/COUNTIF($I$13:$I$1012,I263),VLOOKUP(J263,xyWattage_Table,10,FALSE))),"")</f>
        <v/>
      </c>
      <c r="L263" s="539" t="str">
        <f t="shared" ref="L263:L326" si="105">IFERROR(IF(PRJ_Type="New Construction",J263*K263,IF(G263="","",K263*G263)),"")</f>
        <v/>
      </c>
      <c r="M263" s="540">
        <f>IF(Inventory!N260="","",Inventory!N260)</f>
        <v>0</v>
      </c>
      <c r="N263" s="533" t="str">
        <f t="shared" ref="N263:N326" si="106">IFERROR(VLOOKUP(M263,xyWattage_Table,12,FALSE),"")</f>
        <v/>
      </c>
      <c r="O263" s="534"/>
      <c r="P263" s="533" t="str">
        <f t="shared" ref="P263:P326" si="107">IFERROR(VLOOKUP(M263,xyWattage_Table,10,FALSE),"")</f>
        <v/>
      </c>
      <c r="Q263" s="534" t="str">
        <f>IF(Inventory!L260="","",Inventory!L260)</f>
        <v/>
      </c>
      <c r="R263" s="535" t="str">
        <f t="shared" ref="R263:R326" si="108">IF(P263="","",Q263*P263)</f>
        <v/>
      </c>
      <c r="S263" s="536" t="str">
        <f>IF(Inventory!O260="","",Inventory!O260)</f>
        <v/>
      </c>
      <c r="T263" s="541" t="str">
        <f>IFERROR(IF(C263="","",IF(INDEX(xyWattage_Table,MATCH(M263,'Fixture Identities'!$B$9:$B$997,0),2)="Exit Sign",8760,IF(VLOOKUP(C263,xySpace_Type_Details,8,FALSE)="TRM",INDEX('General Information'!$AF$17:$AG$28,11,MATCH(N263,'General Information'!$AF$16:$AG$16,0)),HLOOKUP(VLOOKUP(C263,xySpace_Type_Details,8,FALSE),'General Information'!$P$15:$AG$28,13,FALSE)))),"")</f>
        <v/>
      </c>
      <c r="U263" s="542" t="str">
        <f>IFERROR(IF(C263="","",IF(INDEX(xyWattage_Table,MATCH(M263,'Fixture Identities'!$B$9:$B$997,0),2)="Exit Sign",1,IF(VLOOKUP(C263,xySpace_Type_Details,8,FALSE)="TRM",INDEX('General Information'!$AF$17:$AG$28,12,MATCH(N263,'General Information'!$AF$16:$AG$16,0)),HLOOKUP(VLOOKUP(C263,xySpace_Type_Details,8,FALSE),'General Information'!$P$15:$AG$28,14,FALSE)))),"")</f>
        <v/>
      </c>
      <c r="V263" s="542" t="str">
        <f>IFERROR(VLOOKUP(INDEX(xySpace_Type_Details,MATCH($C263,'General Information'!$C$40:$C$60,0),12),Lookups!$L$8:$N$12,2,FALSE),"")</f>
        <v/>
      </c>
      <c r="W263" s="542" t="str">
        <f>IFERROR(VLOOKUP(INDEX(xySpace_Type_Details,MATCH($C263,'General Information'!$C$40:$C$60,0),12),Lookups!$L$8:$N$12,3,FALSE),"")</f>
        <v/>
      </c>
      <c r="Y263" s="542" t="str">
        <f>IFERROR(IF(C263="","",IF(INDEX(xyWattage_Table,MATCH(M263,'Fixture Identities'!$B$9:$B$997,0),2)="Exit Sign",0,IF(PRJ_Type="Retrofit",VLOOKUP(I263,xySVG_Factors,2,FALSE),IF(AND(PRJ_Type="New Construction",Inventory!C260="N"),VLOOKUP(VLOOKUP(Building_Type,xyLPD_BuildingArea,5,FALSE),xySVG_Factors_NC,3,FALSE),0)))),"")</f>
        <v/>
      </c>
      <c r="Z263" s="544" t="str">
        <f>IFERROR(IF(C263="","",IF(INDEX(xyWattage_Table,MATCH(M263,'Fixture Identities'!$B$9:$B$997,0),2)="Exit Sign",0,VLOOKUP(S263,xySVG_Factors,2,FALSE))),"")</f>
        <v/>
      </c>
      <c r="AA263" s="545" t="str">
        <f t="shared" ref="AA263:AA326" si="109">IFERROR((L263-R263)/1000,"")</f>
        <v/>
      </c>
      <c r="AB263" s="542" t="str">
        <f t="shared" ref="AB263:AB326" si="110">IFERROR(AA263*U263*(1+W263)*(1-Y263),"")</f>
        <v/>
      </c>
      <c r="AC263" s="539" t="str">
        <f t="shared" ref="AC263:AC326" si="111">IFERROR(AA263*T263*(1+V263)*(1-Y263),"")</f>
        <v/>
      </c>
      <c r="AD263" s="546" t="str">
        <f t="shared" ref="AD263:AD326" si="112">IFERROR(R263/1000*(Z263-Y263)*(1+W263)*U263,"")</f>
        <v/>
      </c>
      <c r="AE263" s="539" t="str">
        <f t="shared" ref="AE263:AE326" si="113">IFERROR(R263/1000*T263*(Z263-Y263)*(1+V263),"")</f>
        <v/>
      </c>
      <c r="AF263" s="546" t="str">
        <f t="shared" ref="AF263:AF326" si="114">IFERROR(AB263+AD263,"")</f>
        <v/>
      </c>
      <c r="AG263" s="539" t="str">
        <f t="shared" ref="AG263:AG326" si="115">IFERROR(AC263+AE263,"")</f>
        <v/>
      </c>
      <c r="AH263" s="32">
        <f t="shared" si="82"/>
        <v>0</v>
      </c>
      <c r="AI263" s="32">
        <f t="shared" si="83"/>
        <v>0</v>
      </c>
      <c r="AJ263" s="32">
        <f t="shared" si="84"/>
        <v>0</v>
      </c>
      <c r="AK263" t="str">
        <f t="shared" si="85"/>
        <v/>
      </c>
      <c r="AL263" t="str">
        <f t="shared" si="86"/>
        <v/>
      </c>
      <c r="AM263" t="str">
        <f t="shared" si="87"/>
        <v/>
      </c>
      <c r="AO263" t="str">
        <f>IFERROR(VLOOKUP(M263,'Fixture Identities'!$B$9:$O$1045,14,FALSE),"")</f>
        <v/>
      </c>
      <c r="AP263" t="str">
        <f t="shared" si="81"/>
        <v/>
      </c>
    </row>
    <row r="264" spans="1:42">
      <c r="A264" s="71">
        <f t="shared" si="102"/>
        <v>0</v>
      </c>
      <c r="B264" s="513">
        <f t="shared" si="88"/>
        <v>252</v>
      </c>
      <c r="C264" s="530" t="str">
        <f>IF(Inventory!E261="","",Inventory!E261)</f>
        <v/>
      </c>
      <c r="D264" s="531">
        <f>IF(Inventory!D261="",0,Inventory!D261)</f>
        <v>0</v>
      </c>
      <c r="E264" s="532" t="str">
        <f>IF(Inventory!I261=0,"",Inventory!I261)</f>
        <v/>
      </c>
      <c r="F264" s="533" t="str">
        <f t="shared" si="103"/>
        <v/>
      </c>
      <c r="G264" s="534" t="str">
        <f>IF(Inventory!G261="","",Inventory!G261)</f>
        <v/>
      </c>
      <c r="H264" s="535" t="str">
        <f t="shared" si="104"/>
        <v/>
      </c>
      <c r="I264" s="536" t="str">
        <f>IF(Inventory!J261="","",Inventory!J261)</f>
        <v/>
      </c>
      <c r="J264" s="537" t="str">
        <f>IFERROR(IF(PRJ_Type="New Construction",IF(Inventory!C261="N",INDEX(xyLPD_BuildingArea,MATCH(Building_Type,Lookups!$F$37:$F$75,0),4),INDEX(xyLPD_SpaceBySpace,MATCH(INDEX(xyNCEx,MATCH(I264,yNCExArea,0),2),ySpace_by_Space_Type,0),2)),VLOOKUP(E264,xyWattage_Table,11,FALSE)),"")</f>
        <v/>
      </c>
      <c r="K264" s="538" t="str">
        <f>IFERROR(IF(AND(NC_Type="Building Area Method",Inventory!C261="N"),IF(ISERROR(INDEX('Usage Groups (&gt;120 MWh only)'!$N$8:$N$12,MATCH(C264,'Usage Groups (&gt;120 MWh only)'!$B$8:$B$12,0),1))=TRUE,SqFt/COUNTIFS(Inventory!$C$10:$C$1009,"N",$Q$13:$Q$1012,"&gt;=0"),INDEX('Usage Groups (&gt;120 MWh only)'!$N$8:$N$12,MATCH(C264,'Usage Groups (&gt;120 MWh only)'!$B$8:$B$12,0),1)/COUNTIF($C$13:$C$1012,C264)),IF(AND(NC_Type="Building Area Method",Inventory!C261="Y"),INDEX(xyNCEx,MATCH(I264,yNCExArea,0),3)/COUNTIF($I$13:$I$1012,I264),VLOOKUP(J264,xyWattage_Table,10,FALSE))),"")</f>
        <v/>
      </c>
      <c r="L264" s="539" t="str">
        <f t="shared" si="105"/>
        <v/>
      </c>
      <c r="M264" s="540">
        <f>IF(Inventory!N261="","",Inventory!N261)</f>
        <v>0</v>
      </c>
      <c r="N264" s="533" t="str">
        <f t="shared" si="106"/>
        <v/>
      </c>
      <c r="O264" s="534"/>
      <c r="P264" s="533" t="str">
        <f t="shared" si="107"/>
        <v/>
      </c>
      <c r="Q264" s="534" t="str">
        <f>IF(Inventory!L261="","",Inventory!L261)</f>
        <v/>
      </c>
      <c r="R264" s="535" t="str">
        <f t="shared" si="108"/>
        <v/>
      </c>
      <c r="S264" s="536" t="str">
        <f>IF(Inventory!O261="","",Inventory!O261)</f>
        <v/>
      </c>
      <c r="T264" s="541" t="str">
        <f>IFERROR(IF(C264="","",IF(INDEX(xyWattage_Table,MATCH(M264,'Fixture Identities'!$B$9:$B$997,0),2)="Exit Sign",8760,IF(VLOOKUP(C264,xySpace_Type_Details,8,FALSE)="TRM",INDEX('General Information'!$AF$17:$AG$28,11,MATCH(N264,'General Information'!$AF$16:$AG$16,0)),HLOOKUP(VLOOKUP(C264,xySpace_Type_Details,8,FALSE),'General Information'!$P$15:$AG$28,13,FALSE)))),"")</f>
        <v/>
      </c>
      <c r="U264" s="542" t="str">
        <f>IFERROR(IF(C264="","",IF(INDEX(xyWattage_Table,MATCH(M264,'Fixture Identities'!$B$9:$B$997,0),2)="Exit Sign",1,IF(VLOOKUP(C264,xySpace_Type_Details,8,FALSE)="TRM",INDEX('General Information'!$AF$17:$AG$28,12,MATCH(N264,'General Information'!$AF$16:$AG$16,0)),HLOOKUP(VLOOKUP(C264,xySpace_Type_Details,8,FALSE),'General Information'!$P$15:$AG$28,14,FALSE)))),"")</f>
        <v/>
      </c>
      <c r="V264" s="542" t="str">
        <f>IFERROR(VLOOKUP(INDEX(xySpace_Type_Details,MATCH($C264,'General Information'!$C$40:$C$60,0),12),Lookups!$L$8:$N$12,2,FALSE),"")</f>
        <v/>
      </c>
      <c r="W264" s="542" t="str">
        <f>IFERROR(VLOOKUP(INDEX(xySpace_Type_Details,MATCH($C264,'General Information'!$C$40:$C$60,0),12),Lookups!$L$8:$N$12,3,FALSE),"")</f>
        <v/>
      </c>
      <c r="Y264" s="542" t="str">
        <f>IFERROR(IF(C264="","",IF(INDEX(xyWattage_Table,MATCH(M264,'Fixture Identities'!$B$9:$B$997,0),2)="Exit Sign",0,IF(PRJ_Type="Retrofit",VLOOKUP(I264,xySVG_Factors,2,FALSE),IF(AND(PRJ_Type="New Construction",Inventory!C261="N"),VLOOKUP(VLOOKUP(Building_Type,xyLPD_BuildingArea,5,FALSE),xySVG_Factors_NC,3,FALSE),0)))),"")</f>
        <v/>
      </c>
      <c r="Z264" s="544" t="str">
        <f>IFERROR(IF(C264="","",IF(INDEX(xyWattage_Table,MATCH(M264,'Fixture Identities'!$B$9:$B$997,0),2)="Exit Sign",0,VLOOKUP(S264,xySVG_Factors,2,FALSE))),"")</f>
        <v/>
      </c>
      <c r="AA264" s="545" t="str">
        <f t="shared" si="109"/>
        <v/>
      </c>
      <c r="AB264" s="542" t="str">
        <f t="shared" si="110"/>
        <v/>
      </c>
      <c r="AC264" s="539" t="str">
        <f t="shared" si="111"/>
        <v/>
      </c>
      <c r="AD264" s="546" t="str">
        <f t="shared" si="112"/>
        <v/>
      </c>
      <c r="AE264" s="539" t="str">
        <f t="shared" si="113"/>
        <v/>
      </c>
      <c r="AF264" s="546" t="str">
        <f t="shared" si="114"/>
        <v/>
      </c>
      <c r="AG264" s="539" t="str">
        <f t="shared" si="115"/>
        <v/>
      </c>
      <c r="AH264" s="32">
        <f t="shared" si="82"/>
        <v>0</v>
      </c>
      <c r="AI264" s="32">
        <f t="shared" si="83"/>
        <v>0</v>
      </c>
      <c r="AJ264" s="32">
        <f t="shared" si="84"/>
        <v>0</v>
      </c>
      <c r="AK264" t="str">
        <f t="shared" si="85"/>
        <v/>
      </c>
      <c r="AL264" t="str">
        <f t="shared" si="86"/>
        <v/>
      </c>
      <c r="AM264" t="str">
        <f t="shared" si="87"/>
        <v/>
      </c>
      <c r="AO264" t="str">
        <f>IFERROR(VLOOKUP(M264,'Fixture Identities'!$B$9:$O$1045,14,FALSE),"")</f>
        <v/>
      </c>
      <c r="AP264" t="str">
        <f t="shared" si="81"/>
        <v/>
      </c>
    </row>
    <row r="265" spans="1:42">
      <c r="A265" s="71">
        <f t="shared" si="102"/>
        <v>0</v>
      </c>
      <c r="B265" s="513">
        <f t="shared" si="88"/>
        <v>253</v>
      </c>
      <c r="C265" s="530" t="str">
        <f>IF(Inventory!E262="","",Inventory!E262)</f>
        <v/>
      </c>
      <c r="D265" s="531">
        <f>IF(Inventory!D262="",0,Inventory!D262)</f>
        <v>0</v>
      </c>
      <c r="E265" s="532" t="str">
        <f>IF(Inventory!I262=0,"",Inventory!I262)</f>
        <v/>
      </c>
      <c r="F265" s="533" t="str">
        <f t="shared" si="103"/>
        <v/>
      </c>
      <c r="G265" s="534" t="str">
        <f>IF(Inventory!G262="","",Inventory!G262)</f>
        <v/>
      </c>
      <c r="H265" s="535" t="str">
        <f t="shared" si="104"/>
        <v/>
      </c>
      <c r="I265" s="536" t="str">
        <f>IF(Inventory!J262="","",Inventory!J262)</f>
        <v/>
      </c>
      <c r="J265" s="537" t="str">
        <f>IFERROR(IF(PRJ_Type="New Construction",IF(Inventory!C262="N",INDEX(xyLPD_BuildingArea,MATCH(Building_Type,Lookups!$F$37:$F$75,0),4),INDEX(xyLPD_SpaceBySpace,MATCH(INDEX(xyNCEx,MATCH(I265,yNCExArea,0),2),ySpace_by_Space_Type,0),2)),VLOOKUP(E265,xyWattage_Table,11,FALSE)),"")</f>
        <v/>
      </c>
      <c r="K265" s="538" t="str">
        <f>IFERROR(IF(AND(NC_Type="Building Area Method",Inventory!C262="N"),IF(ISERROR(INDEX('Usage Groups (&gt;120 MWh only)'!$N$8:$N$12,MATCH(C265,'Usage Groups (&gt;120 MWh only)'!$B$8:$B$12,0),1))=TRUE,SqFt/COUNTIFS(Inventory!$C$10:$C$1009,"N",$Q$13:$Q$1012,"&gt;=0"),INDEX('Usage Groups (&gt;120 MWh only)'!$N$8:$N$12,MATCH(C265,'Usage Groups (&gt;120 MWh only)'!$B$8:$B$12,0),1)/COUNTIF($C$13:$C$1012,C265)),IF(AND(NC_Type="Building Area Method",Inventory!C262="Y"),INDEX(xyNCEx,MATCH(I265,yNCExArea,0),3)/COUNTIF($I$13:$I$1012,I265),VLOOKUP(J265,xyWattage_Table,10,FALSE))),"")</f>
        <v/>
      </c>
      <c r="L265" s="539" t="str">
        <f t="shared" si="105"/>
        <v/>
      </c>
      <c r="M265" s="540">
        <f>IF(Inventory!N262="","",Inventory!N262)</f>
        <v>0</v>
      </c>
      <c r="N265" s="533" t="str">
        <f t="shared" si="106"/>
        <v/>
      </c>
      <c r="O265" s="534"/>
      <c r="P265" s="533" t="str">
        <f t="shared" si="107"/>
        <v/>
      </c>
      <c r="Q265" s="534" t="str">
        <f>IF(Inventory!L262="","",Inventory!L262)</f>
        <v/>
      </c>
      <c r="R265" s="535" t="str">
        <f t="shared" si="108"/>
        <v/>
      </c>
      <c r="S265" s="536" t="str">
        <f>IF(Inventory!O262="","",Inventory!O262)</f>
        <v/>
      </c>
      <c r="T265" s="541" t="str">
        <f>IFERROR(IF(C265="","",IF(INDEX(xyWattage_Table,MATCH(M265,'Fixture Identities'!$B$9:$B$997,0),2)="Exit Sign",8760,IF(VLOOKUP(C265,xySpace_Type_Details,8,FALSE)="TRM",INDEX('General Information'!$AF$17:$AG$28,11,MATCH(N265,'General Information'!$AF$16:$AG$16,0)),HLOOKUP(VLOOKUP(C265,xySpace_Type_Details,8,FALSE),'General Information'!$P$15:$AG$28,13,FALSE)))),"")</f>
        <v/>
      </c>
      <c r="U265" s="542" t="str">
        <f>IFERROR(IF(C265="","",IF(INDEX(xyWattage_Table,MATCH(M265,'Fixture Identities'!$B$9:$B$997,0),2)="Exit Sign",1,IF(VLOOKUP(C265,xySpace_Type_Details,8,FALSE)="TRM",INDEX('General Information'!$AF$17:$AG$28,12,MATCH(N265,'General Information'!$AF$16:$AG$16,0)),HLOOKUP(VLOOKUP(C265,xySpace_Type_Details,8,FALSE),'General Information'!$P$15:$AG$28,14,FALSE)))),"")</f>
        <v/>
      </c>
      <c r="V265" s="542" t="str">
        <f>IFERROR(VLOOKUP(INDEX(xySpace_Type_Details,MATCH($C265,'General Information'!$C$40:$C$60,0),12),Lookups!$L$8:$N$12,2,FALSE),"")</f>
        <v/>
      </c>
      <c r="W265" s="542" t="str">
        <f>IFERROR(VLOOKUP(INDEX(xySpace_Type_Details,MATCH($C265,'General Information'!$C$40:$C$60,0),12),Lookups!$L$8:$N$12,3,FALSE),"")</f>
        <v/>
      </c>
      <c r="Y265" s="542" t="str">
        <f>IFERROR(IF(C265="","",IF(INDEX(xyWattage_Table,MATCH(M265,'Fixture Identities'!$B$9:$B$997,0),2)="Exit Sign",0,IF(PRJ_Type="Retrofit",VLOOKUP(I265,xySVG_Factors,2,FALSE),IF(AND(PRJ_Type="New Construction",Inventory!C262="N"),VLOOKUP(VLOOKUP(Building_Type,xyLPD_BuildingArea,5,FALSE),xySVG_Factors_NC,3,FALSE),0)))),"")</f>
        <v/>
      </c>
      <c r="Z265" s="544" t="str">
        <f>IFERROR(IF(C265="","",IF(INDEX(xyWattage_Table,MATCH(M265,'Fixture Identities'!$B$9:$B$997,0),2)="Exit Sign",0,VLOOKUP(S265,xySVG_Factors,2,FALSE))),"")</f>
        <v/>
      </c>
      <c r="AA265" s="545" t="str">
        <f t="shared" si="109"/>
        <v/>
      </c>
      <c r="AB265" s="542" t="str">
        <f t="shared" si="110"/>
        <v/>
      </c>
      <c r="AC265" s="539" t="str">
        <f t="shared" si="111"/>
        <v/>
      </c>
      <c r="AD265" s="546" t="str">
        <f t="shared" si="112"/>
        <v/>
      </c>
      <c r="AE265" s="539" t="str">
        <f t="shared" si="113"/>
        <v/>
      </c>
      <c r="AF265" s="546" t="str">
        <f t="shared" si="114"/>
        <v/>
      </c>
      <c r="AG265" s="539" t="str">
        <f t="shared" si="115"/>
        <v/>
      </c>
      <c r="AH265" s="32">
        <f t="shared" si="82"/>
        <v>0</v>
      </c>
      <c r="AI265" s="32">
        <f t="shared" si="83"/>
        <v>0</v>
      </c>
      <c r="AJ265" s="32">
        <f t="shared" si="84"/>
        <v>0</v>
      </c>
      <c r="AK265" t="str">
        <f t="shared" si="85"/>
        <v/>
      </c>
      <c r="AL265" t="str">
        <f t="shared" si="86"/>
        <v/>
      </c>
      <c r="AM265" t="str">
        <f t="shared" si="87"/>
        <v/>
      </c>
      <c r="AO265" t="str">
        <f>IFERROR(VLOOKUP(M265,'Fixture Identities'!$B$9:$O$1045,14,FALSE),"")</f>
        <v/>
      </c>
      <c r="AP265" t="str">
        <f t="shared" si="81"/>
        <v/>
      </c>
    </row>
    <row r="266" spans="1:42">
      <c r="A266" s="71">
        <f t="shared" si="102"/>
        <v>0</v>
      </c>
      <c r="B266" s="513">
        <f t="shared" si="88"/>
        <v>254</v>
      </c>
      <c r="C266" s="530" t="str">
        <f>IF(Inventory!E263="","",Inventory!E263)</f>
        <v/>
      </c>
      <c r="D266" s="531">
        <f>IF(Inventory!D263="",0,Inventory!D263)</f>
        <v>0</v>
      </c>
      <c r="E266" s="532" t="str">
        <f>IF(Inventory!I263=0,"",Inventory!I263)</f>
        <v/>
      </c>
      <c r="F266" s="533" t="str">
        <f t="shared" si="103"/>
        <v/>
      </c>
      <c r="G266" s="534" t="str">
        <f>IF(Inventory!G263="","",Inventory!G263)</f>
        <v/>
      </c>
      <c r="H266" s="535" t="str">
        <f t="shared" si="104"/>
        <v/>
      </c>
      <c r="I266" s="536" t="str">
        <f>IF(Inventory!J263="","",Inventory!J263)</f>
        <v/>
      </c>
      <c r="J266" s="537" t="str">
        <f>IFERROR(IF(PRJ_Type="New Construction",IF(Inventory!C263="N",INDEX(xyLPD_BuildingArea,MATCH(Building_Type,Lookups!$F$37:$F$75,0),4),INDEX(xyLPD_SpaceBySpace,MATCH(INDEX(xyNCEx,MATCH(I266,yNCExArea,0),2),ySpace_by_Space_Type,0),2)),VLOOKUP(E266,xyWattage_Table,11,FALSE)),"")</f>
        <v/>
      </c>
      <c r="K266" s="538" t="str">
        <f>IFERROR(IF(AND(NC_Type="Building Area Method",Inventory!C263="N"),IF(ISERROR(INDEX('Usage Groups (&gt;120 MWh only)'!$N$8:$N$12,MATCH(C266,'Usage Groups (&gt;120 MWh only)'!$B$8:$B$12,0),1))=TRUE,SqFt/COUNTIFS(Inventory!$C$10:$C$1009,"N",$Q$13:$Q$1012,"&gt;=0"),INDEX('Usage Groups (&gt;120 MWh only)'!$N$8:$N$12,MATCH(C266,'Usage Groups (&gt;120 MWh only)'!$B$8:$B$12,0),1)/COUNTIF($C$13:$C$1012,C266)),IF(AND(NC_Type="Building Area Method",Inventory!C263="Y"),INDEX(xyNCEx,MATCH(I266,yNCExArea,0),3)/COUNTIF($I$13:$I$1012,I266),VLOOKUP(J266,xyWattage_Table,10,FALSE))),"")</f>
        <v/>
      </c>
      <c r="L266" s="539" t="str">
        <f t="shared" si="105"/>
        <v/>
      </c>
      <c r="M266" s="540">
        <f>IF(Inventory!N263="","",Inventory!N263)</f>
        <v>0</v>
      </c>
      <c r="N266" s="533" t="str">
        <f t="shared" si="106"/>
        <v/>
      </c>
      <c r="O266" s="534"/>
      <c r="P266" s="533" t="str">
        <f t="shared" si="107"/>
        <v/>
      </c>
      <c r="Q266" s="534" t="str">
        <f>IF(Inventory!L263="","",Inventory!L263)</f>
        <v/>
      </c>
      <c r="R266" s="535" t="str">
        <f t="shared" si="108"/>
        <v/>
      </c>
      <c r="S266" s="536" t="str">
        <f>IF(Inventory!O263="","",Inventory!O263)</f>
        <v/>
      </c>
      <c r="T266" s="541" t="str">
        <f>IFERROR(IF(C266="","",IF(INDEX(xyWattage_Table,MATCH(M266,'Fixture Identities'!$B$9:$B$997,0),2)="Exit Sign",8760,IF(VLOOKUP(C266,xySpace_Type_Details,8,FALSE)="TRM",INDEX('General Information'!$AF$17:$AG$28,11,MATCH(N266,'General Information'!$AF$16:$AG$16,0)),HLOOKUP(VLOOKUP(C266,xySpace_Type_Details,8,FALSE),'General Information'!$P$15:$AG$28,13,FALSE)))),"")</f>
        <v/>
      </c>
      <c r="U266" s="542" t="str">
        <f>IFERROR(IF(C266="","",IF(INDEX(xyWattage_Table,MATCH(M266,'Fixture Identities'!$B$9:$B$997,0),2)="Exit Sign",1,IF(VLOOKUP(C266,xySpace_Type_Details,8,FALSE)="TRM",INDEX('General Information'!$AF$17:$AG$28,12,MATCH(N266,'General Information'!$AF$16:$AG$16,0)),HLOOKUP(VLOOKUP(C266,xySpace_Type_Details,8,FALSE),'General Information'!$P$15:$AG$28,14,FALSE)))),"")</f>
        <v/>
      </c>
      <c r="V266" s="542" t="str">
        <f>IFERROR(VLOOKUP(INDEX(xySpace_Type_Details,MATCH($C266,'General Information'!$C$40:$C$60,0),12),Lookups!$L$8:$N$12,2,FALSE),"")</f>
        <v/>
      </c>
      <c r="W266" s="542" t="str">
        <f>IFERROR(VLOOKUP(INDEX(xySpace_Type_Details,MATCH($C266,'General Information'!$C$40:$C$60,0),12),Lookups!$L$8:$N$12,3,FALSE),"")</f>
        <v/>
      </c>
      <c r="Y266" s="542" t="str">
        <f>IFERROR(IF(C266="","",IF(INDEX(xyWattage_Table,MATCH(M266,'Fixture Identities'!$B$9:$B$997,0),2)="Exit Sign",0,IF(PRJ_Type="Retrofit",VLOOKUP(I266,xySVG_Factors,2,FALSE),IF(AND(PRJ_Type="New Construction",Inventory!C263="N"),VLOOKUP(VLOOKUP(Building_Type,xyLPD_BuildingArea,5,FALSE),xySVG_Factors_NC,3,FALSE),0)))),"")</f>
        <v/>
      </c>
      <c r="Z266" s="544" t="str">
        <f>IFERROR(IF(C266="","",IF(INDEX(xyWattage_Table,MATCH(M266,'Fixture Identities'!$B$9:$B$997,0),2)="Exit Sign",0,VLOOKUP(S266,xySVG_Factors,2,FALSE))),"")</f>
        <v/>
      </c>
      <c r="AA266" s="545" t="str">
        <f t="shared" si="109"/>
        <v/>
      </c>
      <c r="AB266" s="542" t="str">
        <f t="shared" si="110"/>
        <v/>
      </c>
      <c r="AC266" s="539" t="str">
        <f t="shared" si="111"/>
        <v/>
      </c>
      <c r="AD266" s="546" t="str">
        <f t="shared" si="112"/>
        <v/>
      </c>
      <c r="AE266" s="539" t="str">
        <f t="shared" si="113"/>
        <v/>
      </c>
      <c r="AF266" s="546" t="str">
        <f t="shared" si="114"/>
        <v/>
      </c>
      <c r="AG266" s="539" t="str">
        <f t="shared" si="115"/>
        <v/>
      </c>
      <c r="AH266" s="32">
        <f t="shared" si="82"/>
        <v>0</v>
      </c>
      <c r="AI266" s="32">
        <f t="shared" si="83"/>
        <v>0</v>
      </c>
      <c r="AJ266" s="32">
        <f t="shared" si="84"/>
        <v>0</v>
      </c>
      <c r="AK266" t="str">
        <f t="shared" si="85"/>
        <v/>
      </c>
      <c r="AL266" t="str">
        <f t="shared" si="86"/>
        <v/>
      </c>
      <c r="AM266" t="str">
        <f t="shared" si="87"/>
        <v/>
      </c>
      <c r="AO266" t="str">
        <f>IFERROR(VLOOKUP(M266,'Fixture Identities'!$B$9:$O$1045,14,FALSE),"")</f>
        <v/>
      </c>
      <c r="AP266" t="str">
        <f t="shared" si="81"/>
        <v/>
      </c>
    </row>
    <row r="267" spans="1:42">
      <c r="A267" s="71">
        <f t="shared" si="102"/>
        <v>0</v>
      </c>
      <c r="B267" s="513">
        <f t="shared" si="88"/>
        <v>255</v>
      </c>
      <c r="C267" s="530" t="str">
        <f>IF(Inventory!E264="","",Inventory!E264)</f>
        <v/>
      </c>
      <c r="D267" s="531">
        <f>IF(Inventory!D264="",0,Inventory!D264)</f>
        <v>0</v>
      </c>
      <c r="E267" s="532" t="str">
        <f>IF(Inventory!I264=0,"",Inventory!I264)</f>
        <v/>
      </c>
      <c r="F267" s="533" t="str">
        <f t="shared" si="103"/>
        <v/>
      </c>
      <c r="G267" s="534" t="str">
        <f>IF(Inventory!G264="","",Inventory!G264)</f>
        <v/>
      </c>
      <c r="H267" s="535" t="str">
        <f t="shared" si="104"/>
        <v/>
      </c>
      <c r="I267" s="536" t="str">
        <f>IF(Inventory!J264="","",Inventory!J264)</f>
        <v/>
      </c>
      <c r="J267" s="537" t="str">
        <f>IFERROR(IF(PRJ_Type="New Construction",IF(Inventory!C264="N",INDEX(xyLPD_BuildingArea,MATCH(Building_Type,Lookups!$F$37:$F$75,0),4),INDEX(xyLPD_SpaceBySpace,MATCH(INDEX(xyNCEx,MATCH(I267,yNCExArea,0),2),ySpace_by_Space_Type,0),2)),VLOOKUP(E267,xyWattage_Table,11,FALSE)),"")</f>
        <v/>
      </c>
      <c r="K267" s="538" t="str">
        <f>IFERROR(IF(AND(NC_Type="Building Area Method",Inventory!C264="N"),IF(ISERROR(INDEX('Usage Groups (&gt;120 MWh only)'!$N$8:$N$12,MATCH(C267,'Usage Groups (&gt;120 MWh only)'!$B$8:$B$12,0),1))=TRUE,SqFt/COUNTIFS(Inventory!$C$10:$C$1009,"N",$Q$13:$Q$1012,"&gt;=0"),INDEX('Usage Groups (&gt;120 MWh only)'!$N$8:$N$12,MATCH(C267,'Usage Groups (&gt;120 MWh only)'!$B$8:$B$12,0),1)/COUNTIF($C$13:$C$1012,C267)),IF(AND(NC_Type="Building Area Method",Inventory!C264="Y"),INDEX(xyNCEx,MATCH(I267,yNCExArea,0),3)/COUNTIF($I$13:$I$1012,I267),VLOOKUP(J267,xyWattage_Table,10,FALSE))),"")</f>
        <v/>
      </c>
      <c r="L267" s="539" t="str">
        <f t="shared" si="105"/>
        <v/>
      </c>
      <c r="M267" s="540">
        <f>IF(Inventory!N264="","",Inventory!N264)</f>
        <v>0</v>
      </c>
      <c r="N267" s="533" t="str">
        <f t="shared" si="106"/>
        <v/>
      </c>
      <c r="O267" s="534"/>
      <c r="P267" s="533" t="str">
        <f t="shared" si="107"/>
        <v/>
      </c>
      <c r="Q267" s="534" t="str">
        <f>IF(Inventory!L264="","",Inventory!L264)</f>
        <v/>
      </c>
      <c r="R267" s="535" t="str">
        <f t="shared" si="108"/>
        <v/>
      </c>
      <c r="S267" s="536" t="str">
        <f>IF(Inventory!O264="","",Inventory!O264)</f>
        <v/>
      </c>
      <c r="T267" s="541" t="str">
        <f>IFERROR(IF(C267="","",IF(INDEX(xyWattage_Table,MATCH(M267,'Fixture Identities'!$B$9:$B$997,0),2)="Exit Sign",8760,IF(VLOOKUP(C267,xySpace_Type_Details,8,FALSE)="TRM",INDEX('General Information'!$AF$17:$AG$28,11,MATCH(N267,'General Information'!$AF$16:$AG$16,0)),HLOOKUP(VLOOKUP(C267,xySpace_Type_Details,8,FALSE),'General Information'!$P$15:$AG$28,13,FALSE)))),"")</f>
        <v/>
      </c>
      <c r="U267" s="542" t="str">
        <f>IFERROR(IF(C267="","",IF(INDEX(xyWattage_Table,MATCH(M267,'Fixture Identities'!$B$9:$B$997,0),2)="Exit Sign",1,IF(VLOOKUP(C267,xySpace_Type_Details,8,FALSE)="TRM",INDEX('General Information'!$AF$17:$AG$28,12,MATCH(N267,'General Information'!$AF$16:$AG$16,0)),HLOOKUP(VLOOKUP(C267,xySpace_Type_Details,8,FALSE),'General Information'!$P$15:$AG$28,14,FALSE)))),"")</f>
        <v/>
      </c>
      <c r="V267" s="542" t="str">
        <f>IFERROR(VLOOKUP(INDEX(xySpace_Type_Details,MATCH($C267,'General Information'!$C$40:$C$60,0),12),Lookups!$L$8:$N$12,2,FALSE),"")</f>
        <v/>
      </c>
      <c r="W267" s="542" t="str">
        <f>IFERROR(VLOOKUP(INDEX(xySpace_Type_Details,MATCH($C267,'General Information'!$C$40:$C$60,0),12),Lookups!$L$8:$N$12,3,FALSE),"")</f>
        <v/>
      </c>
      <c r="Y267" s="542" t="str">
        <f>IFERROR(IF(C267="","",IF(INDEX(xyWattage_Table,MATCH(M267,'Fixture Identities'!$B$9:$B$997,0),2)="Exit Sign",0,IF(PRJ_Type="Retrofit",VLOOKUP(I267,xySVG_Factors,2,FALSE),IF(AND(PRJ_Type="New Construction",Inventory!C264="N"),VLOOKUP(VLOOKUP(Building_Type,xyLPD_BuildingArea,5,FALSE),xySVG_Factors_NC,3,FALSE),0)))),"")</f>
        <v/>
      </c>
      <c r="Z267" s="544" t="str">
        <f>IFERROR(IF(C267="","",IF(INDEX(xyWattage_Table,MATCH(M267,'Fixture Identities'!$B$9:$B$997,0),2)="Exit Sign",0,VLOOKUP(S267,xySVG_Factors,2,FALSE))),"")</f>
        <v/>
      </c>
      <c r="AA267" s="545" t="str">
        <f t="shared" si="109"/>
        <v/>
      </c>
      <c r="AB267" s="542" t="str">
        <f t="shared" si="110"/>
        <v/>
      </c>
      <c r="AC267" s="539" t="str">
        <f t="shared" si="111"/>
        <v/>
      </c>
      <c r="AD267" s="546" t="str">
        <f t="shared" si="112"/>
        <v/>
      </c>
      <c r="AE267" s="539" t="str">
        <f t="shared" si="113"/>
        <v/>
      </c>
      <c r="AF267" s="546" t="str">
        <f t="shared" si="114"/>
        <v/>
      </c>
      <c r="AG267" s="539" t="str">
        <f t="shared" si="115"/>
        <v/>
      </c>
      <c r="AH267" s="32">
        <f t="shared" si="82"/>
        <v>0</v>
      </c>
      <c r="AI267" s="32">
        <f t="shared" si="83"/>
        <v>0</v>
      </c>
      <c r="AJ267" s="32">
        <f t="shared" si="84"/>
        <v>0</v>
      </c>
      <c r="AK267" t="str">
        <f t="shared" si="85"/>
        <v/>
      </c>
      <c r="AL267" t="str">
        <f t="shared" si="86"/>
        <v/>
      </c>
      <c r="AM267" t="str">
        <f t="shared" si="87"/>
        <v/>
      </c>
      <c r="AO267" t="str">
        <f>IFERROR(VLOOKUP(M267,'Fixture Identities'!$B$9:$O$1045,14,FALSE),"")</f>
        <v/>
      </c>
      <c r="AP267" t="str">
        <f t="shared" si="81"/>
        <v/>
      </c>
    </row>
    <row r="268" spans="1:42">
      <c r="A268" s="71">
        <f t="shared" si="102"/>
        <v>0</v>
      </c>
      <c r="B268" s="513">
        <f t="shared" si="88"/>
        <v>256</v>
      </c>
      <c r="C268" s="530" t="str">
        <f>IF(Inventory!E265="","",Inventory!E265)</f>
        <v/>
      </c>
      <c r="D268" s="531">
        <f>IF(Inventory!D265="",0,Inventory!D265)</f>
        <v>0</v>
      </c>
      <c r="E268" s="532" t="str">
        <f>IF(Inventory!I265=0,"",Inventory!I265)</f>
        <v/>
      </c>
      <c r="F268" s="533" t="str">
        <f t="shared" si="103"/>
        <v/>
      </c>
      <c r="G268" s="534" t="str">
        <f>IF(Inventory!G265="","",Inventory!G265)</f>
        <v/>
      </c>
      <c r="H268" s="535" t="str">
        <f t="shared" si="104"/>
        <v/>
      </c>
      <c r="I268" s="536" t="str">
        <f>IF(Inventory!J265="","",Inventory!J265)</f>
        <v/>
      </c>
      <c r="J268" s="537" t="str">
        <f>IFERROR(IF(PRJ_Type="New Construction",IF(Inventory!C265="N",INDEX(xyLPD_BuildingArea,MATCH(Building_Type,Lookups!$F$37:$F$75,0),4),INDEX(xyLPD_SpaceBySpace,MATCH(INDEX(xyNCEx,MATCH(I268,yNCExArea,0),2),ySpace_by_Space_Type,0),2)),VLOOKUP(E268,xyWattage_Table,11,FALSE)),"")</f>
        <v/>
      </c>
      <c r="K268" s="538" t="str">
        <f>IFERROR(IF(AND(NC_Type="Building Area Method",Inventory!C265="N"),IF(ISERROR(INDEX('Usage Groups (&gt;120 MWh only)'!$N$8:$N$12,MATCH(C268,'Usage Groups (&gt;120 MWh only)'!$B$8:$B$12,0),1))=TRUE,SqFt/COUNTIFS(Inventory!$C$10:$C$1009,"N",$Q$13:$Q$1012,"&gt;=0"),INDEX('Usage Groups (&gt;120 MWh only)'!$N$8:$N$12,MATCH(C268,'Usage Groups (&gt;120 MWh only)'!$B$8:$B$12,0),1)/COUNTIF($C$13:$C$1012,C268)),IF(AND(NC_Type="Building Area Method",Inventory!C265="Y"),INDEX(xyNCEx,MATCH(I268,yNCExArea,0),3)/COUNTIF($I$13:$I$1012,I268),VLOOKUP(J268,xyWattage_Table,10,FALSE))),"")</f>
        <v/>
      </c>
      <c r="L268" s="539" t="str">
        <f t="shared" si="105"/>
        <v/>
      </c>
      <c r="M268" s="540">
        <f>IF(Inventory!N265="","",Inventory!N265)</f>
        <v>0</v>
      </c>
      <c r="N268" s="533" t="str">
        <f t="shared" si="106"/>
        <v/>
      </c>
      <c r="O268" s="534"/>
      <c r="P268" s="533" t="str">
        <f t="shared" si="107"/>
        <v/>
      </c>
      <c r="Q268" s="534" t="str">
        <f>IF(Inventory!L265="","",Inventory!L265)</f>
        <v/>
      </c>
      <c r="R268" s="535" t="str">
        <f t="shared" si="108"/>
        <v/>
      </c>
      <c r="S268" s="536" t="str">
        <f>IF(Inventory!O265="","",Inventory!O265)</f>
        <v/>
      </c>
      <c r="T268" s="541" t="str">
        <f>IFERROR(IF(C268="","",IF(INDEX(xyWattage_Table,MATCH(M268,'Fixture Identities'!$B$9:$B$997,0),2)="Exit Sign",8760,IF(VLOOKUP(C268,xySpace_Type_Details,8,FALSE)="TRM",INDEX('General Information'!$AF$17:$AG$28,11,MATCH(N268,'General Information'!$AF$16:$AG$16,0)),HLOOKUP(VLOOKUP(C268,xySpace_Type_Details,8,FALSE),'General Information'!$P$15:$AG$28,13,FALSE)))),"")</f>
        <v/>
      </c>
      <c r="U268" s="542" t="str">
        <f>IFERROR(IF(C268="","",IF(INDEX(xyWattage_Table,MATCH(M268,'Fixture Identities'!$B$9:$B$997,0),2)="Exit Sign",1,IF(VLOOKUP(C268,xySpace_Type_Details,8,FALSE)="TRM",INDEX('General Information'!$AF$17:$AG$28,12,MATCH(N268,'General Information'!$AF$16:$AG$16,0)),HLOOKUP(VLOOKUP(C268,xySpace_Type_Details,8,FALSE),'General Information'!$P$15:$AG$28,14,FALSE)))),"")</f>
        <v/>
      </c>
      <c r="V268" s="542" t="str">
        <f>IFERROR(VLOOKUP(INDEX(xySpace_Type_Details,MATCH($C268,'General Information'!$C$40:$C$60,0),12),Lookups!$L$8:$N$12,2,FALSE),"")</f>
        <v/>
      </c>
      <c r="W268" s="542" t="str">
        <f>IFERROR(VLOOKUP(INDEX(xySpace_Type_Details,MATCH($C268,'General Information'!$C$40:$C$60,0),12),Lookups!$L$8:$N$12,3,FALSE),"")</f>
        <v/>
      </c>
      <c r="Y268" s="542" t="str">
        <f>IFERROR(IF(C268="","",IF(INDEX(xyWattage_Table,MATCH(M268,'Fixture Identities'!$B$9:$B$997,0),2)="Exit Sign",0,IF(PRJ_Type="Retrofit",VLOOKUP(I268,xySVG_Factors,2,FALSE),IF(AND(PRJ_Type="New Construction",Inventory!C265="N"),VLOOKUP(VLOOKUP(Building_Type,xyLPD_BuildingArea,5,FALSE),xySVG_Factors_NC,3,FALSE),0)))),"")</f>
        <v/>
      </c>
      <c r="Z268" s="544" t="str">
        <f>IFERROR(IF(C268="","",IF(INDEX(xyWattage_Table,MATCH(M268,'Fixture Identities'!$B$9:$B$997,0),2)="Exit Sign",0,VLOOKUP(S268,xySVG_Factors,2,FALSE))),"")</f>
        <v/>
      </c>
      <c r="AA268" s="545" t="str">
        <f t="shared" si="109"/>
        <v/>
      </c>
      <c r="AB268" s="542" t="str">
        <f t="shared" si="110"/>
        <v/>
      </c>
      <c r="AC268" s="539" t="str">
        <f t="shared" si="111"/>
        <v/>
      </c>
      <c r="AD268" s="546" t="str">
        <f t="shared" si="112"/>
        <v/>
      </c>
      <c r="AE268" s="539" t="str">
        <f t="shared" si="113"/>
        <v/>
      </c>
      <c r="AF268" s="546" t="str">
        <f t="shared" si="114"/>
        <v/>
      </c>
      <c r="AG268" s="539" t="str">
        <f t="shared" si="115"/>
        <v/>
      </c>
      <c r="AH268" s="32">
        <f t="shared" si="82"/>
        <v>0</v>
      </c>
      <c r="AI268" s="32">
        <f t="shared" si="83"/>
        <v>0</v>
      </c>
      <c r="AJ268" s="32">
        <f t="shared" si="84"/>
        <v>0</v>
      </c>
      <c r="AK268" t="str">
        <f t="shared" si="85"/>
        <v/>
      </c>
      <c r="AL268" t="str">
        <f t="shared" si="86"/>
        <v/>
      </c>
      <c r="AM268" t="str">
        <f t="shared" si="87"/>
        <v/>
      </c>
      <c r="AO268" t="str">
        <f>IFERROR(VLOOKUP(M268,'Fixture Identities'!$B$9:$O$1045,14,FALSE),"")</f>
        <v/>
      </c>
      <c r="AP268" t="str">
        <f t="shared" si="81"/>
        <v/>
      </c>
    </row>
    <row r="269" spans="1:42">
      <c r="A269" s="71">
        <f t="shared" si="102"/>
        <v>0</v>
      </c>
      <c r="B269" s="513">
        <f t="shared" si="88"/>
        <v>257</v>
      </c>
      <c r="C269" s="530" t="str">
        <f>IF(Inventory!E266="","",Inventory!E266)</f>
        <v/>
      </c>
      <c r="D269" s="531">
        <f>IF(Inventory!D266="",0,Inventory!D266)</f>
        <v>0</v>
      </c>
      <c r="E269" s="532" t="str">
        <f>IF(Inventory!I266=0,"",Inventory!I266)</f>
        <v/>
      </c>
      <c r="F269" s="533" t="str">
        <f t="shared" si="103"/>
        <v/>
      </c>
      <c r="G269" s="534" t="str">
        <f>IF(Inventory!G266="","",Inventory!G266)</f>
        <v/>
      </c>
      <c r="H269" s="535" t="str">
        <f t="shared" si="104"/>
        <v/>
      </c>
      <c r="I269" s="536" t="str">
        <f>IF(Inventory!J266="","",Inventory!J266)</f>
        <v/>
      </c>
      <c r="J269" s="537" t="str">
        <f>IFERROR(IF(PRJ_Type="New Construction",IF(Inventory!C266="N",INDEX(xyLPD_BuildingArea,MATCH(Building_Type,Lookups!$F$37:$F$75,0),4),INDEX(xyLPD_SpaceBySpace,MATCH(INDEX(xyNCEx,MATCH(I269,yNCExArea,0),2),ySpace_by_Space_Type,0),2)),VLOOKUP(E269,xyWattage_Table,11,FALSE)),"")</f>
        <v/>
      </c>
      <c r="K269" s="538" t="str">
        <f>IFERROR(IF(AND(NC_Type="Building Area Method",Inventory!C266="N"),IF(ISERROR(INDEX('Usage Groups (&gt;120 MWh only)'!$N$8:$N$12,MATCH(C269,'Usage Groups (&gt;120 MWh only)'!$B$8:$B$12,0),1))=TRUE,SqFt/COUNTIFS(Inventory!$C$10:$C$1009,"N",$Q$13:$Q$1012,"&gt;=0"),INDEX('Usage Groups (&gt;120 MWh only)'!$N$8:$N$12,MATCH(C269,'Usage Groups (&gt;120 MWh only)'!$B$8:$B$12,0),1)/COUNTIF($C$13:$C$1012,C269)),IF(AND(NC_Type="Building Area Method",Inventory!C266="Y"),INDEX(xyNCEx,MATCH(I269,yNCExArea,0),3)/COUNTIF($I$13:$I$1012,I269),VLOOKUP(J269,xyWattage_Table,10,FALSE))),"")</f>
        <v/>
      </c>
      <c r="L269" s="539" t="str">
        <f t="shared" si="105"/>
        <v/>
      </c>
      <c r="M269" s="540">
        <f>IF(Inventory!N266="","",Inventory!N266)</f>
        <v>0</v>
      </c>
      <c r="N269" s="533" t="str">
        <f t="shared" si="106"/>
        <v/>
      </c>
      <c r="O269" s="534"/>
      <c r="P269" s="533" t="str">
        <f t="shared" si="107"/>
        <v/>
      </c>
      <c r="Q269" s="534" t="str">
        <f>IF(Inventory!L266="","",Inventory!L266)</f>
        <v/>
      </c>
      <c r="R269" s="535" t="str">
        <f t="shared" si="108"/>
        <v/>
      </c>
      <c r="S269" s="536" t="str">
        <f>IF(Inventory!O266="","",Inventory!O266)</f>
        <v/>
      </c>
      <c r="T269" s="541" t="str">
        <f>IFERROR(IF(C269="","",IF(INDEX(xyWattage_Table,MATCH(M269,'Fixture Identities'!$B$9:$B$997,0),2)="Exit Sign",8760,IF(VLOOKUP(C269,xySpace_Type_Details,8,FALSE)="TRM",INDEX('General Information'!$AF$17:$AG$28,11,MATCH(N269,'General Information'!$AF$16:$AG$16,0)),HLOOKUP(VLOOKUP(C269,xySpace_Type_Details,8,FALSE),'General Information'!$P$15:$AG$28,13,FALSE)))),"")</f>
        <v/>
      </c>
      <c r="U269" s="542" t="str">
        <f>IFERROR(IF(C269="","",IF(INDEX(xyWattage_Table,MATCH(M269,'Fixture Identities'!$B$9:$B$997,0),2)="Exit Sign",1,IF(VLOOKUP(C269,xySpace_Type_Details,8,FALSE)="TRM",INDEX('General Information'!$AF$17:$AG$28,12,MATCH(N269,'General Information'!$AF$16:$AG$16,0)),HLOOKUP(VLOOKUP(C269,xySpace_Type_Details,8,FALSE),'General Information'!$P$15:$AG$28,14,FALSE)))),"")</f>
        <v/>
      </c>
      <c r="V269" s="542" t="str">
        <f>IFERROR(VLOOKUP(INDEX(xySpace_Type_Details,MATCH($C269,'General Information'!$C$40:$C$60,0),12),Lookups!$L$8:$N$12,2,FALSE),"")</f>
        <v/>
      </c>
      <c r="W269" s="542" t="str">
        <f>IFERROR(VLOOKUP(INDEX(xySpace_Type_Details,MATCH($C269,'General Information'!$C$40:$C$60,0),12),Lookups!$L$8:$N$12,3,FALSE),"")</f>
        <v/>
      </c>
      <c r="Y269" s="542" t="str">
        <f>IFERROR(IF(C269="","",IF(INDEX(xyWattage_Table,MATCH(M269,'Fixture Identities'!$B$9:$B$997,0),2)="Exit Sign",0,IF(PRJ_Type="Retrofit",VLOOKUP(I269,xySVG_Factors,2,FALSE),IF(AND(PRJ_Type="New Construction",Inventory!C266="N"),VLOOKUP(VLOOKUP(Building_Type,xyLPD_BuildingArea,5,FALSE),xySVG_Factors_NC,3,FALSE),0)))),"")</f>
        <v/>
      </c>
      <c r="Z269" s="544" t="str">
        <f>IFERROR(IF(C269="","",IF(INDEX(xyWattage_Table,MATCH(M269,'Fixture Identities'!$B$9:$B$997,0),2)="Exit Sign",0,VLOOKUP(S269,xySVG_Factors,2,FALSE))),"")</f>
        <v/>
      </c>
      <c r="AA269" s="545" t="str">
        <f t="shared" si="109"/>
        <v/>
      </c>
      <c r="AB269" s="542" t="str">
        <f t="shared" si="110"/>
        <v/>
      </c>
      <c r="AC269" s="539" t="str">
        <f t="shared" si="111"/>
        <v/>
      </c>
      <c r="AD269" s="546" t="str">
        <f t="shared" si="112"/>
        <v/>
      </c>
      <c r="AE269" s="539" t="str">
        <f t="shared" si="113"/>
        <v/>
      </c>
      <c r="AF269" s="546" t="str">
        <f t="shared" si="114"/>
        <v/>
      </c>
      <c r="AG269" s="539" t="str">
        <f t="shared" si="115"/>
        <v/>
      </c>
      <c r="AH269" s="32">
        <f t="shared" si="82"/>
        <v>0</v>
      </c>
      <c r="AI269" s="32">
        <f t="shared" si="83"/>
        <v>0</v>
      </c>
      <c r="AJ269" s="32">
        <f t="shared" si="84"/>
        <v>0</v>
      </c>
      <c r="AK269" t="str">
        <f t="shared" si="85"/>
        <v/>
      </c>
      <c r="AL269" t="str">
        <f t="shared" si="86"/>
        <v/>
      </c>
      <c r="AM269" t="str">
        <f t="shared" si="87"/>
        <v/>
      </c>
      <c r="AO269" t="str">
        <f>IFERROR(VLOOKUP(M269,'Fixture Identities'!$B$9:$O$1045,14,FALSE),"")</f>
        <v/>
      </c>
      <c r="AP269" t="str">
        <f t="shared" ref="AP269:AP332" si="116">IF(M270="Signage",G270,"")</f>
        <v/>
      </c>
    </row>
    <row r="270" spans="1:42">
      <c r="A270" s="71">
        <f t="shared" si="102"/>
        <v>0</v>
      </c>
      <c r="B270" s="513">
        <f t="shared" si="88"/>
        <v>258</v>
      </c>
      <c r="C270" s="530" t="str">
        <f>IF(Inventory!E267="","",Inventory!E267)</f>
        <v/>
      </c>
      <c r="D270" s="531">
        <f>IF(Inventory!D267="",0,Inventory!D267)</f>
        <v>0</v>
      </c>
      <c r="E270" s="532" t="str">
        <f>IF(Inventory!I267=0,"",Inventory!I267)</f>
        <v/>
      </c>
      <c r="F270" s="533" t="str">
        <f t="shared" si="103"/>
        <v/>
      </c>
      <c r="G270" s="534" t="str">
        <f>IF(Inventory!G267="","",Inventory!G267)</f>
        <v/>
      </c>
      <c r="H270" s="535" t="str">
        <f t="shared" si="104"/>
        <v/>
      </c>
      <c r="I270" s="536" t="str">
        <f>IF(Inventory!J267="","",Inventory!J267)</f>
        <v/>
      </c>
      <c r="J270" s="537" t="str">
        <f>IFERROR(IF(PRJ_Type="New Construction",IF(Inventory!C267="N",INDEX(xyLPD_BuildingArea,MATCH(Building_Type,Lookups!$F$37:$F$75,0),4),INDEX(xyLPD_SpaceBySpace,MATCH(INDEX(xyNCEx,MATCH(I270,yNCExArea,0),2),ySpace_by_Space_Type,0),2)),VLOOKUP(E270,xyWattage_Table,11,FALSE)),"")</f>
        <v/>
      </c>
      <c r="K270" s="538" t="str">
        <f>IFERROR(IF(AND(NC_Type="Building Area Method",Inventory!C267="N"),IF(ISERROR(INDEX('Usage Groups (&gt;120 MWh only)'!$N$8:$N$12,MATCH(C270,'Usage Groups (&gt;120 MWh only)'!$B$8:$B$12,0),1))=TRUE,SqFt/COUNTIFS(Inventory!$C$10:$C$1009,"N",$Q$13:$Q$1012,"&gt;=0"),INDEX('Usage Groups (&gt;120 MWh only)'!$N$8:$N$12,MATCH(C270,'Usage Groups (&gt;120 MWh only)'!$B$8:$B$12,0),1)/COUNTIF($C$13:$C$1012,C270)),IF(AND(NC_Type="Building Area Method",Inventory!C267="Y"),INDEX(xyNCEx,MATCH(I270,yNCExArea,0),3)/COUNTIF($I$13:$I$1012,I270),VLOOKUP(J270,xyWattage_Table,10,FALSE))),"")</f>
        <v/>
      </c>
      <c r="L270" s="539" t="str">
        <f t="shared" si="105"/>
        <v/>
      </c>
      <c r="M270" s="540">
        <f>IF(Inventory!N267="","",Inventory!N267)</f>
        <v>0</v>
      </c>
      <c r="N270" s="533" t="str">
        <f t="shared" si="106"/>
        <v/>
      </c>
      <c r="O270" s="534"/>
      <c r="P270" s="533" t="str">
        <f t="shared" si="107"/>
        <v/>
      </c>
      <c r="Q270" s="534" t="str">
        <f>IF(Inventory!L267="","",Inventory!L267)</f>
        <v/>
      </c>
      <c r="R270" s="535" t="str">
        <f t="shared" si="108"/>
        <v/>
      </c>
      <c r="S270" s="536" t="str">
        <f>IF(Inventory!O267="","",Inventory!O267)</f>
        <v/>
      </c>
      <c r="T270" s="541" t="str">
        <f>IFERROR(IF(C270="","",IF(INDEX(xyWattage_Table,MATCH(M270,'Fixture Identities'!$B$9:$B$997,0),2)="Exit Sign",8760,IF(VLOOKUP(C270,xySpace_Type_Details,8,FALSE)="TRM",INDEX('General Information'!$AF$17:$AG$28,11,MATCH(N270,'General Information'!$AF$16:$AG$16,0)),HLOOKUP(VLOOKUP(C270,xySpace_Type_Details,8,FALSE),'General Information'!$P$15:$AG$28,13,FALSE)))),"")</f>
        <v/>
      </c>
      <c r="U270" s="542" t="str">
        <f>IFERROR(IF(C270="","",IF(INDEX(xyWattage_Table,MATCH(M270,'Fixture Identities'!$B$9:$B$997,0),2)="Exit Sign",1,IF(VLOOKUP(C270,xySpace_Type_Details,8,FALSE)="TRM",INDEX('General Information'!$AF$17:$AG$28,12,MATCH(N270,'General Information'!$AF$16:$AG$16,0)),HLOOKUP(VLOOKUP(C270,xySpace_Type_Details,8,FALSE),'General Information'!$P$15:$AG$28,14,FALSE)))),"")</f>
        <v/>
      </c>
      <c r="V270" s="542" t="str">
        <f>IFERROR(VLOOKUP(INDEX(xySpace_Type_Details,MATCH($C270,'General Information'!$C$40:$C$60,0),12),Lookups!$L$8:$N$12,2,FALSE),"")</f>
        <v/>
      </c>
      <c r="W270" s="542" t="str">
        <f>IFERROR(VLOOKUP(INDEX(xySpace_Type_Details,MATCH($C270,'General Information'!$C$40:$C$60,0),12),Lookups!$L$8:$N$12,3,FALSE),"")</f>
        <v/>
      </c>
      <c r="Y270" s="542" t="str">
        <f>IFERROR(IF(C270="","",IF(INDEX(xyWattage_Table,MATCH(M270,'Fixture Identities'!$B$9:$B$997,0),2)="Exit Sign",0,IF(PRJ_Type="Retrofit",VLOOKUP(I270,xySVG_Factors,2,FALSE),IF(AND(PRJ_Type="New Construction",Inventory!C267="N"),VLOOKUP(VLOOKUP(Building_Type,xyLPD_BuildingArea,5,FALSE),xySVG_Factors_NC,3,FALSE),0)))),"")</f>
        <v/>
      </c>
      <c r="Z270" s="544" t="str">
        <f>IFERROR(IF(C270="","",IF(INDEX(xyWattage_Table,MATCH(M270,'Fixture Identities'!$B$9:$B$997,0),2)="Exit Sign",0,VLOOKUP(S270,xySVG_Factors,2,FALSE))),"")</f>
        <v/>
      </c>
      <c r="AA270" s="545" t="str">
        <f t="shared" si="109"/>
        <v/>
      </c>
      <c r="AB270" s="542" t="str">
        <f t="shared" si="110"/>
        <v/>
      </c>
      <c r="AC270" s="539" t="str">
        <f t="shared" si="111"/>
        <v/>
      </c>
      <c r="AD270" s="546" t="str">
        <f t="shared" si="112"/>
        <v/>
      </c>
      <c r="AE270" s="539" t="str">
        <f t="shared" si="113"/>
        <v/>
      </c>
      <c r="AF270" s="546" t="str">
        <f t="shared" si="114"/>
        <v/>
      </c>
      <c r="AG270" s="539" t="str">
        <f t="shared" si="115"/>
        <v/>
      </c>
      <c r="AH270" s="32">
        <f t="shared" ref="AH270:AH333" si="117">IF(I270&lt;&gt;S270,R270,0)</f>
        <v>0</v>
      </c>
      <c r="AI270" s="32">
        <f t="shared" ref="AI270:AI333" si="118">IFERROR(VLOOKUP(E270,xyWattage_Table,8,FALSE)*G270,0)</f>
        <v>0</v>
      </c>
      <c r="AJ270" s="32">
        <f t="shared" ref="AJ270:AJ333" si="119">IFERROR(VLOOKUP(M270,xyWattage_Table,8,FALSE)*Q270,0)</f>
        <v>0</v>
      </c>
      <c r="AK270" t="str">
        <f t="shared" ref="AK270:AK333" si="120">IFERROR((L270)/1000,"")</f>
        <v/>
      </c>
      <c r="AL270" t="str">
        <f t="shared" ref="AL270:AL333" si="121">IFERROR(AK270*U270*(1+W270)*(1-Y270),"")</f>
        <v/>
      </c>
      <c r="AM270" t="str">
        <f t="shared" ref="AM270:AM333" si="122">IFERROR(AK270*T270*(1+V270)*(1-Y270),"")</f>
        <v/>
      </c>
      <c r="AO270" t="str">
        <f>IFERROR(VLOOKUP(M270,'Fixture Identities'!$B$9:$O$1045,14,FALSE),"")</f>
        <v/>
      </c>
      <c r="AP270" t="str">
        <f t="shared" si="116"/>
        <v/>
      </c>
    </row>
    <row r="271" spans="1:42">
      <c r="A271" s="71">
        <f t="shared" si="102"/>
        <v>0</v>
      </c>
      <c r="B271" s="513">
        <f t="shared" ref="B271:B334" si="123">B270+1</f>
        <v>259</v>
      </c>
      <c r="C271" s="530" t="str">
        <f>IF(Inventory!E268="","",Inventory!E268)</f>
        <v/>
      </c>
      <c r="D271" s="531">
        <f>IF(Inventory!D268="",0,Inventory!D268)</f>
        <v>0</v>
      </c>
      <c r="E271" s="532" t="str">
        <f>IF(Inventory!I268=0,"",Inventory!I268)</f>
        <v/>
      </c>
      <c r="F271" s="533" t="str">
        <f t="shared" si="103"/>
        <v/>
      </c>
      <c r="G271" s="534" t="str">
        <f>IF(Inventory!G268="","",Inventory!G268)</f>
        <v/>
      </c>
      <c r="H271" s="535" t="str">
        <f t="shared" si="104"/>
        <v/>
      </c>
      <c r="I271" s="536" t="str">
        <f>IF(Inventory!J268="","",Inventory!J268)</f>
        <v/>
      </c>
      <c r="J271" s="537" t="str">
        <f>IFERROR(IF(PRJ_Type="New Construction",IF(Inventory!C268="N",INDEX(xyLPD_BuildingArea,MATCH(Building_Type,Lookups!$F$37:$F$75,0),4),INDEX(xyLPD_SpaceBySpace,MATCH(INDEX(xyNCEx,MATCH(I271,yNCExArea,0),2),ySpace_by_Space_Type,0),2)),VLOOKUP(E271,xyWattage_Table,11,FALSE)),"")</f>
        <v/>
      </c>
      <c r="K271" s="538" t="str">
        <f>IFERROR(IF(AND(NC_Type="Building Area Method",Inventory!C268="N"),IF(ISERROR(INDEX('Usage Groups (&gt;120 MWh only)'!$N$8:$N$12,MATCH(C271,'Usage Groups (&gt;120 MWh only)'!$B$8:$B$12,0),1))=TRUE,SqFt/COUNTIFS(Inventory!$C$10:$C$1009,"N",$Q$13:$Q$1012,"&gt;=0"),INDEX('Usage Groups (&gt;120 MWh only)'!$N$8:$N$12,MATCH(C271,'Usage Groups (&gt;120 MWh only)'!$B$8:$B$12,0),1)/COUNTIF($C$13:$C$1012,C271)),IF(AND(NC_Type="Building Area Method",Inventory!C268="Y"),INDEX(xyNCEx,MATCH(I271,yNCExArea,0),3)/COUNTIF($I$13:$I$1012,I271),VLOOKUP(J271,xyWattage_Table,10,FALSE))),"")</f>
        <v/>
      </c>
      <c r="L271" s="539" t="str">
        <f t="shared" si="105"/>
        <v/>
      </c>
      <c r="M271" s="540">
        <f>IF(Inventory!N268="","",Inventory!N268)</f>
        <v>0</v>
      </c>
      <c r="N271" s="533" t="str">
        <f t="shared" si="106"/>
        <v/>
      </c>
      <c r="O271" s="534"/>
      <c r="P271" s="533" t="str">
        <f t="shared" si="107"/>
        <v/>
      </c>
      <c r="Q271" s="534" t="str">
        <f>IF(Inventory!L268="","",Inventory!L268)</f>
        <v/>
      </c>
      <c r="R271" s="535" t="str">
        <f t="shared" si="108"/>
        <v/>
      </c>
      <c r="S271" s="536" t="str">
        <f>IF(Inventory!O268="","",Inventory!O268)</f>
        <v/>
      </c>
      <c r="T271" s="541" t="str">
        <f>IFERROR(IF(C271="","",IF(INDEX(xyWattage_Table,MATCH(M271,'Fixture Identities'!$B$9:$B$997,0),2)="Exit Sign",8760,IF(VLOOKUP(C271,xySpace_Type_Details,8,FALSE)="TRM",INDEX('General Information'!$AF$17:$AG$28,11,MATCH(N271,'General Information'!$AF$16:$AG$16,0)),HLOOKUP(VLOOKUP(C271,xySpace_Type_Details,8,FALSE),'General Information'!$P$15:$AG$28,13,FALSE)))),"")</f>
        <v/>
      </c>
      <c r="U271" s="542" t="str">
        <f>IFERROR(IF(C271="","",IF(INDEX(xyWattage_Table,MATCH(M271,'Fixture Identities'!$B$9:$B$997,0),2)="Exit Sign",1,IF(VLOOKUP(C271,xySpace_Type_Details,8,FALSE)="TRM",INDEX('General Information'!$AF$17:$AG$28,12,MATCH(N271,'General Information'!$AF$16:$AG$16,0)),HLOOKUP(VLOOKUP(C271,xySpace_Type_Details,8,FALSE),'General Information'!$P$15:$AG$28,14,FALSE)))),"")</f>
        <v/>
      </c>
      <c r="V271" s="542" t="str">
        <f>IFERROR(VLOOKUP(INDEX(xySpace_Type_Details,MATCH($C271,'General Information'!$C$40:$C$60,0),12),Lookups!$L$8:$N$12,2,FALSE),"")</f>
        <v/>
      </c>
      <c r="W271" s="542" t="str">
        <f>IFERROR(VLOOKUP(INDEX(xySpace_Type_Details,MATCH($C271,'General Information'!$C$40:$C$60,0),12),Lookups!$L$8:$N$12,3,FALSE),"")</f>
        <v/>
      </c>
      <c r="Y271" s="542" t="str">
        <f>IFERROR(IF(C271="","",IF(INDEX(xyWattage_Table,MATCH(M271,'Fixture Identities'!$B$9:$B$997,0),2)="Exit Sign",0,IF(PRJ_Type="Retrofit",VLOOKUP(I271,xySVG_Factors,2,FALSE),IF(AND(PRJ_Type="New Construction",Inventory!C268="N"),VLOOKUP(VLOOKUP(Building_Type,xyLPD_BuildingArea,5,FALSE),xySVG_Factors_NC,3,FALSE),0)))),"")</f>
        <v/>
      </c>
      <c r="Z271" s="544" t="str">
        <f>IFERROR(IF(C271="","",IF(INDEX(xyWattage_Table,MATCH(M271,'Fixture Identities'!$B$9:$B$997,0),2)="Exit Sign",0,VLOOKUP(S271,xySVG_Factors,2,FALSE))),"")</f>
        <v/>
      </c>
      <c r="AA271" s="545" t="str">
        <f t="shared" si="109"/>
        <v/>
      </c>
      <c r="AB271" s="542" t="str">
        <f t="shared" si="110"/>
        <v/>
      </c>
      <c r="AC271" s="539" t="str">
        <f t="shared" si="111"/>
        <v/>
      </c>
      <c r="AD271" s="546" t="str">
        <f t="shared" si="112"/>
        <v/>
      </c>
      <c r="AE271" s="539" t="str">
        <f t="shared" si="113"/>
        <v/>
      </c>
      <c r="AF271" s="546" t="str">
        <f t="shared" si="114"/>
        <v/>
      </c>
      <c r="AG271" s="539" t="str">
        <f t="shared" si="115"/>
        <v/>
      </c>
      <c r="AH271" s="32">
        <f t="shared" si="117"/>
        <v>0</v>
      </c>
      <c r="AI271" s="32">
        <f t="shared" si="118"/>
        <v>0</v>
      </c>
      <c r="AJ271" s="32">
        <f t="shared" si="119"/>
        <v>0</v>
      </c>
      <c r="AK271" t="str">
        <f t="shared" si="120"/>
        <v/>
      </c>
      <c r="AL271" t="str">
        <f t="shared" si="121"/>
        <v/>
      </c>
      <c r="AM271" t="str">
        <f t="shared" si="122"/>
        <v/>
      </c>
      <c r="AO271" t="str">
        <f>IFERROR(VLOOKUP(M271,'Fixture Identities'!$B$9:$O$1045,14,FALSE),"")</f>
        <v/>
      </c>
      <c r="AP271" t="str">
        <f t="shared" si="116"/>
        <v/>
      </c>
    </row>
    <row r="272" spans="1:42">
      <c r="A272" s="71">
        <f t="shared" si="102"/>
        <v>0</v>
      </c>
      <c r="B272" s="513">
        <f t="shared" si="123"/>
        <v>260</v>
      </c>
      <c r="C272" s="530" t="str">
        <f>IF(Inventory!E269="","",Inventory!E269)</f>
        <v/>
      </c>
      <c r="D272" s="531">
        <f>IF(Inventory!D269="",0,Inventory!D269)</f>
        <v>0</v>
      </c>
      <c r="E272" s="532" t="str">
        <f>IF(Inventory!I269=0,"",Inventory!I269)</f>
        <v/>
      </c>
      <c r="F272" s="533" t="str">
        <f t="shared" si="103"/>
        <v/>
      </c>
      <c r="G272" s="534" t="str">
        <f>IF(Inventory!G269="","",Inventory!G269)</f>
        <v/>
      </c>
      <c r="H272" s="535" t="str">
        <f t="shared" si="104"/>
        <v/>
      </c>
      <c r="I272" s="536" t="str">
        <f>IF(Inventory!J269="","",Inventory!J269)</f>
        <v/>
      </c>
      <c r="J272" s="537" t="str">
        <f>IFERROR(IF(PRJ_Type="New Construction",IF(Inventory!C269="N",INDEX(xyLPD_BuildingArea,MATCH(Building_Type,Lookups!$F$37:$F$75,0),4),INDEX(xyLPD_SpaceBySpace,MATCH(INDEX(xyNCEx,MATCH(I272,yNCExArea,0),2),ySpace_by_Space_Type,0),2)),VLOOKUP(E272,xyWattage_Table,11,FALSE)),"")</f>
        <v/>
      </c>
      <c r="K272" s="538" t="str">
        <f>IFERROR(IF(AND(NC_Type="Building Area Method",Inventory!C269="N"),IF(ISERROR(INDEX('Usage Groups (&gt;120 MWh only)'!$N$8:$N$12,MATCH(C272,'Usage Groups (&gt;120 MWh only)'!$B$8:$B$12,0),1))=TRUE,SqFt/COUNTIFS(Inventory!$C$10:$C$1009,"N",$Q$13:$Q$1012,"&gt;=0"),INDEX('Usage Groups (&gt;120 MWh only)'!$N$8:$N$12,MATCH(C272,'Usage Groups (&gt;120 MWh only)'!$B$8:$B$12,0),1)/COUNTIF($C$13:$C$1012,C272)),IF(AND(NC_Type="Building Area Method",Inventory!C269="Y"),INDEX(xyNCEx,MATCH(I272,yNCExArea,0),3)/COUNTIF($I$13:$I$1012,I272),VLOOKUP(J272,xyWattage_Table,10,FALSE))),"")</f>
        <v/>
      </c>
      <c r="L272" s="539" t="str">
        <f t="shared" si="105"/>
        <v/>
      </c>
      <c r="M272" s="540">
        <f>IF(Inventory!N269="","",Inventory!N269)</f>
        <v>0</v>
      </c>
      <c r="N272" s="533" t="str">
        <f t="shared" si="106"/>
        <v/>
      </c>
      <c r="O272" s="534"/>
      <c r="P272" s="533" t="str">
        <f t="shared" si="107"/>
        <v/>
      </c>
      <c r="Q272" s="534" t="str">
        <f>IF(Inventory!L269="","",Inventory!L269)</f>
        <v/>
      </c>
      <c r="R272" s="535" t="str">
        <f t="shared" si="108"/>
        <v/>
      </c>
      <c r="S272" s="536" t="str">
        <f>IF(Inventory!O269="","",Inventory!O269)</f>
        <v/>
      </c>
      <c r="T272" s="541" t="str">
        <f>IFERROR(IF(C272="","",IF(INDEX(xyWattage_Table,MATCH(M272,'Fixture Identities'!$B$9:$B$997,0),2)="Exit Sign",8760,IF(VLOOKUP(C272,xySpace_Type_Details,8,FALSE)="TRM",INDEX('General Information'!$AF$17:$AG$28,11,MATCH(N272,'General Information'!$AF$16:$AG$16,0)),HLOOKUP(VLOOKUP(C272,xySpace_Type_Details,8,FALSE),'General Information'!$P$15:$AG$28,13,FALSE)))),"")</f>
        <v/>
      </c>
      <c r="U272" s="542" t="str">
        <f>IFERROR(IF(C272="","",IF(INDEX(xyWattage_Table,MATCH(M272,'Fixture Identities'!$B$9:$B$997,0),2)="Exit Sign",1,IF(VLOOKUP(C272,xySpace_Type_Details,8,FALSE)="TRM",INDEX('General Information'!$AF$17:$AG$28,12,MATCH(N272,'General Information'!$AF$16:$AG$16,0)),HLOOKUP(VLOOKUP(C272,xySpace_Type_Details,8,FALSE),'General Information'!$P$15:$AG$28,14,FALSE)))),"")</f>
        <v/>
      </c>
      <c r="V272" s="542" t="str">
        <f>IFERROR(VLOOKUP(INDEX(xySpace_Type_Details,MATCH($C272,'General Information'!$C$40:$C$60,0),12),Lookups!$L$8:$N$12,2,FALSE),"")</f>
        <v/>
      </c>
      <c r="W272" s="542" t="str">
        <f>IFERROR(VLOOKUP(INDEX(xySpace_Type_Details,MATCH($C272,'General Information'!$C$40:$C$60,0),12),Lookups!$L$8:$N$12,3,FALSE),"")</f>
        <v/>
      </c>
      <c r="Y272" s="542" t="str">
        <f>IFERROR(IF(C272="","",IF(INDEX(xyWattage_Table,MATCH(M272,'Fixture Identities'!$B$9:$B$997,0),2)="Exit Sign",0,IF(PRJ_Type="Retrofit",VLOOKUP(I272,xySVG_Factors,2,FALSE),IF(AND(PRJ_Type="New Construction",Inventory!C269="N"),VLOOKUP(VLOOKUP(Building_Type,xyLPD_BuildingArea,5,FALSE),xySVG_Factors_NC,3,FALSE),0)))),"")</f>
        <v/>
      </c>
      <c r="Z272" s="544" t="str">
        <f>IFERROR(IF(C272="","",IF(INDEX(xyWattage_Table,MATCH(M272,'Fixture Identities'!$B$9:$B$997,0),2)="Exit Sign",0,VLOOKUP(S272,xySVG_Factors,2,FALSE))),"")</f>
        <v/>
      </c>
      <c r="AA272" s="545" t="str">
        <f t="shared" si="109"/>
        <v/>
      </c>
      <c r="AB272" s="542" t="str">
        <f t="shared" si="110"/>
        <v/>
      </c>
      <c r="AC272" s="539" t="str">
        <f t="shared" si="111"/>
        <v/>
      </c>
      <c r="AD272" s="546" t="str">
        <f t="shared" si="112"/>
        <v/>
      </c>
      <c r="AE272" s="539" t="str">
        <f t="shared" si="113"/>
        <v/>
      </c>
      <c r="AF272" s="546" t="str">
        <f t="shared" si="114"/>
        <v/>
      </c>
      <c r="AG272" s="539" t="str">
        <f t="shared" si="115"/>
        <v/>
      </c>
      <c r="AH272" s="32">
        <f t="shared" si="117"/>
        <v>0</v>
      </c>
      <c r="AI272" s="32">
        <f t="shared" si="118"/>
        <v>0</v>
      </c>
      <c r="AJ272" s="32">
        <f t="shared" si="119"/>
        <v>0</v>
      </c>
      <c r="AK272" t="str">
        <f t="shared" si="120"/>
        <v/>
      </c>
      <c r="AL272" t="str">
        <f t="shared" si="121"/>
        <v/>
      </c>
      <c r="AM272" t="str">
        <f t="shared" si="122"/>
        <v/>
      </c>
      <c r="AO272" t="str">
        <f>IFERROR(VLOOKUP(M272,'Fixture Identities'!$B$9:$O$1045,14,FALSE),"")</f>
        <v/>
      </c>
      <c r="AP272" t="str">
        <f t="shared" si="116"/>
        <v/>
      </c>
    </row>
    <row r="273" spans="1:42">
      <c r="A273" s="71">
        <f t="shared" si="102"/>
        <v>0</v>
      </c>
      <c r="B273" s="513">
        <f t="shared" si="123"/>
        <v>261</v>
      </c>
      <c r="C273" s="530" t="str">
        <f>IF(Inventory!E270="","",Inventory!E270)</f>
        <v/>
      </c>
      <c r="D273" s="531">
        <f>IF(Inventory!D270="",0,Inventory!D270)</f>
        <v>0</v>
      </c>
      <c r="E273" s="532" t="str">
        <f>IF(Inventory!I270=0,"",Inventory!I270)</f>
        <v/>
      </c>
      <c r="F273" s="533" t="str">
        <f t="shared" si="103"/>
        <v/>
      </c>
      <c r="G273" s="534" t="str">
        <f>IF(Inventory!G270="","",Inventory!G270)</f>
        <v/>
      </c>
      <c r="H273" s="535" t="str">
        <f t="shared" si="104"/>
        <v/>
      </c>
      <c r="I273" s="536" t="str">
        <f>IF(Inventory!J270="","",Inventory!J270)</f>
        <v/>
      </c>
      <c r="J273" s="537" t="str">
        <f>IFERROR(IF(PRJ_Type="New Construction",IF(Inventory!C270="N",INDEX(xyLPD_BuildingArea,MATCH(Building_Type,Lookups!$F$37:$F$75,0),4),INDEX(xyLPD_SpaceBySpace,MATCH(INDEX(xyNCEx,MATCH(I273,yNCExArea,0),2),ySpace_by_Space_Type,0),2)),VLOOKUP(E273,xyWattage_Table,11,FALSE)),"")</f>
        <v/>
      </c>
      <c r="K273" s="538" t="str">
        <f>IFERROR(IF(AND(NC_Type="Building Area Method",Inventory!C270="N"),IF(ISERROR(INDEX('Usage Groups (&gt;120 MWh only)'!$N$8:$N$12,MATCH(C273,'Usage Groups (&gt;120 MWh only)'!$B$8:$B$12,0),1))=TRUE,SqFt/COUNTIFS(Inventory!$C$10:$C$1009,"N",$Q$13:$Q$1012,"&gt;=0"),INDEX('Usage Groups (&gt;120 MWh only)'!$N$8:$N$12,MATCH(C273,'Usage Groups (&gt;120 MWh only)'!$B$8:$B$12,0),1)/COUNTIF($C$13:$C$1012,C273)),IF(AND(NC_Type="Building Area Method",Inventory!C270="Y"),INDEX(xyNCEx,MATCH(I273,yNCExArea,0),3)/COUNTIF($I$13:$I$1012,I273),VLOOKUP(J273,xyWattage_Table,10,FALSE))),"")</f>
        <v/>
      </c>
      <c r="L273" s="539" t="str">
        <f t="shared" si="105"/>
        <v/>
      </c>
      <c r="M273" s="540">
        <f>IF(Inventory!N270="","",Inventory!N270)</f>
        <v>0</v>
      </c>
      <c r="N273" s="533" t="str">
        <f t="shared" si="106"/>
        <v/>
      </c>
      <c r="O273" s="534"/>
      <c r="P273" s="533" t="str">
        <f t="shared" si="107"/>
        <v/>
      </c>
      <c r="Q273" s="534" t="str">
        <f>IF(Inventory!L270="","",Inventory!L270)</f>
        <v/>
      </c>
      <c r="R273" s="535" t="str">
        <f t="shared" si="108"/>
        <v/>
      </c>
      <c r="S273" s="536" t="str">
        <f>IF(Inventory!O270="","",Inventory!O270)</f>
        <v/>
      </c>
      <c r="T273" s="541" t="str">
        <f>IFERROR(IF(C273="","",IF(INDEX(xyWattage_Table,MATCH(M273,'Fixture Identities'!$B$9:$B$997,0),2)="Exit Sign",8760,IF(VLOOKUP(C273,xySpace_Type_Details,8,FALSE)="TRM",INDEX('General Information'!$AF$17:$AG$28,11,MATCH(N273,'General Information'!$AF$16:$AG$16,0)),HLOOKUP(VLOOKUP(C273,xySpace_Type_Details,8,FALSE),'General Information'!$P$15:$AG$28,13,FALSE)))),"")</f>
        <v/>
      </c>
      <c r="U273" s="542" t="str">
        <f>IFERROR(IF(C273="","",IF(INDEX(xyWattage_Table,MATCH(M273,'Fixture Identities'!$B$9:$B$997,0),2)="Exit Sign",1,IF(VLOOKUP(C273,xySpace_Type_Details,8,FALSE)="TRM",INDEX('General Information'!$AF$17:$AG$28,12,MATCH(N273,'General Information'!$AF$16:$AG$16,0)),HLOOKUP(VLOOKUP(C273,xySpace_Type_Details,8,FALSE),'General Information'!$P$15:$AG$28,14,FALSE)))),"")</f>
        <v/>
      </c>
      <c r="V273" s="542" t="str">
        <f>IFERROR(VLOOKUP(INDEX(xySpace_Type_Details,MATCH($C273,'General Information'!$C$40:$C$60,0),12),Lookups!$L$8:$N$12,2,FALSE),"")</f>
        <v/>
      </c>
      <c r="W273" s="542" t="str">
        <f>IFERROR(VLOOKUP(INDEX(xySpace_Type_Details,MATCH($C273,'General Information'!$C$40:$C$60,0),12),Lookups!$L$8:$N$12,3,FALSE),"")</f>
        <v/>
      </c>
      <c r="Y273" s="542" t="str">
        <f>IFERROR(IF(C273="","",IF(INDEX(xyWattage_Table,MATCH(M273,'Fixture Identities'!$B$9:$B$997,0),2)="Exit Sign",0,IF(PRJ_Type="Retrofit",VLOOKUP(I273,xySVG_Factors,2,FALSE),IF(AND(PRJ_Type="New Construction",Inventory!C270="N"),VLOOKUP(VLOOKUP(Building_Type,xyLPD_BuildingArea,5,FALSE),xySVG_Factors_NC,3,FALSE),0)))),"")</f>
        <v/>
      </c>
      <c r="Z273" s="544" t="str">
        <f>IFERROR(IF(C273="","",IF(INDEX(xyWattage_Table,MATCH(M273,'Fixture Identities'!$B$9:$B$997,0),2)="Exit Sign",0,VLOOKUP(S273,xySVG_Factors,2,FALSE))),"")</f>
        <v/>
      </c>
      <c r="AA273" s="545" t="str">
        <f t="shared" si="109"/>
        <v/>
      </c>
      <c r="AB273" s="542" t="str">
        <f t="shared" si="110"/>
        <v/>
      </c>
      <c r="AC273" s="539" t="str">
        <f t="shared" si="111"/>
        <v/>
      </c>
      <c r="AD273" s="546" t="str">
        <f t="shared" si="112"/>
        <v/>
      </c>
      <c r="AE273" s="539" t="str">
        <f t="shared" si="113"/>
        <v/>
      </c>
      <c r="AF273" s="546" t="str">
        <f t="shared" si="114"/>
        <v/>
      </c>
      <c r="AG273" s="539" t="str">
        <f t="shared" si="115"/>
        <v/>
      </c>
      <c r="AH273" s="32">
        <f t="shared" si="117"/>
        <v>0</v>
      </c>
      <c r="AI273" s="32">
        <f t="shared" si="118"/>
        <v>0</v>
      </c>
      <c r="AJ273" s="32">
        <f t="shared" si="119"/>
        <v>0</v>
      </c>
      <c r="AK273" t="str">
        <f t="shared" si="120"/>
        <v/>
      </c>
      <c r="AL273" t="str">
        <f t="shared" si="121"/>
        <v/>
      </c>
      <c r="AM273" t="str">
        <f t="shared" si="122"/>
        <v/>
      </c>
      <c r="AO273" t="str">
        <f>IFERROR(VLOOKUP(M273,'Fixture Identities'!$B$9:$O$1045,14,FALSE),"")</f>
        <v/>
      </c>
      <c r="AP273" t="str">
        <f t="shared" si="116"/>
        <v/>
      </c>
    </row>
    <row r="274" spans="1:42">
      <c r="A274" s="71">
        <f t="shared" ref="A274:A337" si="124">IF(E274&lt;&gt;J274,1,0)</f>
        <v>0</v>
      </c>
      <c r="B274" s="513">
        <f t="shared" si="123"/>
        <v>262</v>
      </c>
      <c r="C274" s="530" t="str">
        <f>IF(Inventory!E271="","",Inventory!E271)</f>
        <v/>
      </c>
      <c r="D274" s="531">
        <f>IF(Inventory!D271="",0,Inventory!D271)</f>
        <v>0</v>
      </c>
      <c r="E274" s="532" t="str">
        <f>IF(Inventory!I271=0,"",Inventory!I271)</f>
        <v/>
      </c>
      <c r="F274" s="533" t="str">
        <f t="shared" si="103"/>
        <v/>
      </c>
      <c r="G274" s="534" t="str">
        <f>IF(Inventory!G271="","",Inventory!G271)</f>
        <v/>
      </c>
      <c r="H274" s="535" t="str">
        <f t="shared" si="104"/>
        <v/>
      </c>
      <c r="I274" s="536" t="str">
        <f>IF(Inventory!J271="","",Inventory!J271)</f>
        <v/>
      </c>
      <c r="J274" s="537" t="str">
        <f>IFERROR(IF(PRJ_Type="New Construction",IF(Inventory!C271="N",INDEX(xyLPD_BuildingArea,MATCH(Building_Type,Lookups!$F$37:$F$75,0),4),INDEX(xyLPD_SpaceBySpace,MATCH(INDEX(xyNCEx,MATCH(I274,yNCExArea,0),2),ySpace_by_Space_Type,0),2)),VLOOKUP(E274,xyWattage_Table,11,FALSE)),"")</f>
        <v/>
      </c>
      <c r="K274" s="538" t="str">
        <f>IFERROR(IF(AND(NC_Type="Building Area Method",Inventory!C271="N"),IF(ISERROR(INDEX('Usage Groups (&gt;120 MWh only)'!$N$8:$N$12,MATCH(C274,'Usage Groups (&gt;120 MWh only)'!$B$8:$B$12,0),1))=TRUE,SqFt/COUNTIFS(Inventory!$C$10:$C$1009,"N",$Q$13:$Q$1012,"&gt;=0"),INDEX('Usage Groups (&gt;120 MWh only)'!$N$8:$N$12,MATCH(C274,'Usage Groups (&gt;120 MWh only)'!$B$8:$B$12,0),1)/COUNTIF($C$13:$C$1012,C274)),IF(AND(NC_Type="Building Area Method",Inventory!C271="Y"),INDEX(xyNCEx,MATCH(I274,yNCExArea,0),3)/COUNTIF($I$13:$I$1012,I274),VLOOKUP(J274,xyWattage_Table,10,FALSE))),"")</f>
        <v/>
      </c>
      <c r="L274" s="539" t="str">
        <f t="shared" si="105"/>
        <v/>
      </c>
      <c r="M274" s="540">
        <f>IF(Inventory!N271="","",Inventory!N271)</f>
        <v>0</v>
      </c>
      <c r="N274" s="533" t="str">
        <f t="shared" si="106"/>
        <v/>
      </c>
      <c r="O274" s="534"/>
      <c r="P274" s="533" t="str">
        <f t="shared" si="107"/>
        <v/>
      </c>
      <c r="Q274" s="534" t="str">
        <f>IF(Inventory!L271="","",Inventory!L271)</f>
        <v/>
      </c>
      <c r="R274" s="535" t="str">
        <f t="shared" si="108"/>
        <v/>
      </c>
      <c r="S274" s="536" t="str">
        <f>IF(Inventory!O271="","",Inventory!O271)</f>
        <v/>
      </c>
      <c r="T274" s="541" t="str">
        <f>IFERROR(IF(C274="","",IF(INDEX(xyWattage_Table,MATCH(M274,'Fixture Identities'!$B$9:$B$997,0),2)="Exit Sign",8760,IF(VLOOKUP(C274,xySpace_Type_Details,8,FALSE)="TRM",INDEX('General Information'!$AF$17:$AG$28,11,MATCH(N274,'General Information'!$AF$16:$AG$16,0)),HLOOKUP(VLOOKUP(C274,xySpace_Type_Details,8,FALSE),'General Information'!$P$15:$AG$28,13,FALSE)))),"")</f>
        <v/>
      </c>
      <c r="U274" s="542" t="str">
        <f>IFERROR(IF(C274="","",IF(INDEX(xyWattage_Table,MATCH(M274,'Fixture Identities'!$B$9:$B$997,0),2)="Exit Sign",1,IF(VLOOKUP(C274,xySpace_Type_Details,8,FALSE)="TRM",INDEX('General Information'!$AF$17:$AG$28,12,MATCH(N274,'General Information'!$AF$16:$AG$16,0)),HLOOKUP(VLOOKUP(C274,xySpace_Type_Details,8,FALSE),'General Information'!$P$15:$AG$28,14,FALSE)))),"")</f>
        <v/>
      </c>
      <c r="V274" s="542" t="str">
        <f>IFERROR(VLOOKUP(INDEX(xySpace_Type_Details,MATCH($C274,'General Information'!$C$40:$C$60,0),12),Lookups!$L$8:$N$12,2,FALSE),"")</f>
        <v/>
      </c>
      <c r="W274" s="542" t="str">
        <f>IFERROR(VLOOKUP(INDEX(xySpace_Type_Details,MATCH($C274,'General Information'!$C$40:$C$60,0),12),Lookups!$L$8:$N$12,3,FALSE),"")</f>
        <v/>
      </c>
      <c r="Y274" s="542" t="str">
        <f>IFERROR(IF(C274="","",IF(INDEX(xyWattage_Table,MATCH(M274,'Fixture Identities'!$B$9:$B$997,0),2)="Exit Sign",0,IF(PRJ_Type="Retrofit",VLOOKUP(I274,xySVG_Factors,2,FALSE),IF(AND(PRJ_Type="New Construction",Inventory!C271="N"),VLOOKUP(VLOOKUP(Building_Type,xyLPD_BuildingArea,5,FALSE),xySVG_Factors_NC,3,FALSE),0)))),"")</f>
        <v/>
      </c>
      <c r="Z274" s="544" t="str">
        <f>IFERROR(IF(C274="","",IF(INDEX(xyWattage_Table,MATCH(M274,'Fixture Identities'!$B$9:$B$997,0),2)="Exit Sign",0,VLOOKUP(S274,xySVG_Factors,2,FALSE))),"")</f>
        <v/>
      </c>
      <c r="AA274" s="545" t="str">
        <f t="shared" si="109"/>
        <v/>
      </c>
      <c r="AB274" s="542" t="str">
        <f t="shared" si="110"/>
        <v/>
      </c>
      <c r="AC274" s="539" t="str">
        <f t="shared" si="111"/>
        <v/>
      </c>
      <c r="AD274" s="546" t="str">
        <f t="shared" si="112"/>
        <v/>
      </c>
      <c r="AE274" s="539" t="str">
        <f t="shared" si="113"/>
        <v/>
      </c>
      <c r="AF274" s="546" t="str">
        <f t="shared" si="114"/>
        <v/>
      </c>
      <c r="AG274" s="539" t="str">
        <f t="shared" si="115"/>
        <v/>
      </c>
      <c r="AH274" s="32">
        <f t="shared" si="117"/>
        <v>0</v>
      </c>
      <c r="AI274" s="32">
        <f t="shared" si="118"/>
        <v>0</v>
      </c>
      <c r="AJ274" s="32">
        <f t="shared" si="119"/>
        <v>0</v>
      </c>
      <c r="AK274" t="str">
        <f t="shared" si="120"/>
        <v/>
      </c>
      <c r="AL274" t="str">
        <f t="shared" si="121"/>
        <v/>
      </c>
      <c r="AM274" t="str">
        <f t="shared" si="122"/>
        <v/>
      </c>
      <c r="AO274" t="str">
        <f>IFERROR(VLOOKUP(M274,'Fixture Identities'!$B$9:$O$1045,14,FALSE),"")</f>
        <v/>
      </c>
      <c r="AP274" t="str">
        <f t="shared" si="116"/>
        <v/>
      </c>
    </row>
    <row r="275" spans="1:42">
      <c r="A275" s="71">
        <f t="shared" si="124"/>
        <v>0</v>
      </c>
      <c r="B275" s="513">
        <f t="shared" si="123"/>
        <v>263</v>
      </c>
      <c r="C275" s="530" t="str">
        <f>IF(Inventory!E272="","",Inventory!E272)</f>
        <v/>
      </c>
      <c r="D275" s="531">
        <f>IF(Inventory!D272="",0,Inventory!D272)</f>
        <v>0</v>
      </c>
      <c r="E275" s="532" t="str">
        <f>IF(Inventory!I272=0,"",Inventory!I272)</f>
        <v/>
      </c>
      <c r="F275" s="533" t="str">
        <f t="shared" si="103"/>
        <v/>
      </c>
      <c r="G275" s="534" t="str">
        <f>IF(Inventory!G272="","",Inventory!G272)</f>
        <v/>
      </c>
      <c r="H275" s="535" t="str">
        <f t="shared" si="104"/>
        <v/>
      </c>
      <c r="I275" s="536" t="str">
        <f>IF(Inventory!J272="","",Inventory!J272)</f>
        <v/>
      </c>
      <c r="J275" s="537" t="str">
        <f>IFERROR(IF(PRJ_Type="New Construction",IF(Inventory!C272="N",INDEX(xyLPD_BuildingArea,MATCH(Building_Type,Lookups!$F$37:$F$75,0),4),INDEX(xyLPD_SpaceBySpace,MATCH(INDEX(xyNCEx,MATCH(I275,yNCExArea,0),2),ySpace_by_Space_Type,0),2)),VLOOKUP(E275,xyWattage_Table,11,FALSE)),"")</f>
        <v/>
      </c>
      <c r="K275" s="538" t="str">
        <f>IFERROR(IF(AND(NC_Type="Building Area Method",Inventory!C272="N"),IF(ISERROR(INDEX('Usage Groups (&gt;120 MWh only)'!$N$8:$N$12,MATCH(C275,'Usage Groups (&gt;120 MWh only)'!$B$8:$B$12,0),1))=TRUE,SqFt/COUNTIFS(Inventory!$C$10:$C$1009,"N",$Q$13:$Q$1012,"&gt;=0"),INDEX('Usage Groups (&gt;120 MWh only)'!$N$8:$N$12,MATCH(C275,'Usage Groups (&gt;120 MWh only)'!$B$8:$B$12,0),1)/COUNTIF($C$13:$C$1012,C275)),IF(AND(NC_Type="Building Area Method",Inventory!C272="Y"),INDEX(xyNCEx,MATCH(I275,yNCExArea,0),3)/COUNTIF($I$13:$I$1012,I275),VLOOKUP(J275,xyWattage_Table,10,FALSE))),"")</f>
        <v/>
      </c>
      <c r="L275" s="539" t="str">
        <f t="shared" si="105"/>
        <v/>
      </c>
      <c r="M275" s="540">
        <f>IF(Inventory!N272="","",Inventory!N272)</f>
        <v>0</v>
      </c>
      <c r="N275" s="533" t="str">
        <f t="shared" si="106"/>
        <v/>
      </c>
      <c r="O275" s="534"/>
      <c r="P275" s="533" t="str">
        <f t="shared" si="107"/>
        <v/>
      </c>
      <c r="Q275" s="534" t="str">
        <f>IF(Inventory!L272="","",Inventory!L272)</f>
        <v/>
      </c>
      <c r="R275" s="535" t="str">
        <f t="shared" si="108"/>
        <v/>
      </c>
      <c r="S275" s="536" t="str">
        <f>IF(Inventory!O272="","",Inventory!O272)</f>
        <v/>
      </c>
      <c r="T275" s="541" t="str">
        <f>IFERROR(IF(C275="","",IF(INDEX(xyWattage_Table,MATCH(M275,'Fixture Identities'!$B$9:$B$997,0),2)="Exit Sign",8760,IF(VLOOKUP(C275,xySpace_Type_Details,8,FALSE)="TRM",INDEX('General Information'!$AF$17:$AG$28,11,MATCH(N275,'General Information'!$AF$16:$AG$16,0)),HLOOKUP(VLOOKUP(C275,xySpace_Type_Details,8,FALSE),'General Information'!$P$15:$AG$28,13,FALSE)))),"")</f>
        <v/>
      </c>
      <c r="U275" s="542" t="str">
        <f>IFERROR(IF(C275="","",IF(INDEX(xyWattage_Table,MATCH(M275,'Fixture Identities'!$B$9:$B$997,0),2)="Exit Sign",1,IF(VLOOKUP(C275,xySpace_Type_Details,8,FALSE)="TRM",INDEX('General Information'!$AF$17:$AG$28,12,MATCH(N275,'General Information'!$AF$16:$AG$16,0)),HLOOKUP(VLOOKUP(C275,xySpace_Type_Details,8,FALSE),'General Information'!$P$15:$AG$28,14,FALSE)))),"")</f>
        <v/>
      </c>
      <c r="V275" s="542" t="str">
        <f>IFERROR(VLOOKUP(INDEX(xySpace_Type_Details,MATCH($C275,'General Information'!$C$40:$C$60,0),12),Lookups!$L$8:$N$12,2,FALSE),"")</f>
        <v/>
      </c>
      <c r="W275" s="542" t="str">
        <f>IFERROR(VLOOKUP(INDEX(xySpace_Type_Details,MATCH($C275,'General Information'!$C$40:$C$60,0),12),Lookups!$L$8:$N$12,3,FALSE),"")</f>
        <v/>
      </c>
      <c r="Y275" s="542" t="str">
        <f>IFERROR(IF(C275="","",IF(INDEX(xyWattage_Table,MATCH(M275,'Fixture Identities'!$B$9:$B$997,0),2)="Exit Sign",0,IF(PRJ_Type="Retrofit",VLOOKUP(I275,xySVG_Factors,2,FALSE),IF(AND(PRJ_Type="New Construction",Inventory!C272="N"),VLOOKUP(VLOOKUP(Building_Type,xyLPD_BuildingArea,5,FALSE),xySVG_Factors_NC,3,FALSE),0)))),"")</f>
        <v/>
      </c>
      <c r="Z275" s="544" t="str">
        <f>IFERROR(IF(C275="","",IF(INDEX(xyWattage_Table,MATCH(M275,'Fixture Identities'!$B$9:$B$997,0),2)="Exit Sign",0,VLOOKUP(S275,xySVG_Factors,2,FALSE))),"")</f>
        <v/>
      </c>
      <c r="AA275" s="545" t="str">
        <f t="shared" si="109"/>
        <v/>
      </c>
      <c r="AB275" s="542" t="str">
        <f t="shared" si="110"/>
        <v/>
      </c>
      <c r="AC275" s="539" t="str">
        <f t="shared" si="111"/>
        <v/>
      </c>
      <c r="AD275" s="546" t="str">
        <f t="shared" si="112"/>
        <v/>
      </c>
      <c r="AE275" s="539" t="str">
        <f t="shared" si="113"/>
        <v/>
      </c>
      <c r="AF275" s="546" t="str">
        <f t="shared" si="114"/>
        <v/>
      </c>
      <c r="AG275" s="539" t="str">
        <f t="shared" si="115"/>
        <v/>
      </c>
      <c r="AH275" s="32">
        <f t="shared" si="117"/>
        <v>0</v>
      </c>
      <c r="AI275" s="32">
        <f t="shared" si="118"/>
        <v>0</v>
      </c>
      <c r="AJ275" s="32">
        <f t="shared" si="119"/>
        <v>0</v>
      </c>
      <c r="AK275" t="str">
        <f t="shared" si="120"/>
        <v/>
      </c>
      <c r="AL275" t="str">
        <f t="shared" si="121"/>
        <v/>
      </c>
      <c r="AM275" t="str">
        <f t="shared" si="122"/>
        <v/>
      </c>
      <c r="AO275" t="str">
        <f>IFERROR(VLOOKUP(M275,'Fixture Identities'!$B$9:$O$1045,14,FALSE),"")</f>
        <v/>
      </c>
      <c r="AP275" t="str">
        <f t="shared" si="116"/>
        <v/>
      </c>
    </row>
    <row r="276" spans="1:42">
      <c r="A276" s="71">
        <f t="shared" si="124"/>
        <v>0</v>
      </c>
      <c r="B276" s="513">
        <f t="shared" si="123"/>
        <v>264</v>
      </c>
      <c r="C276" s="530" t="str">
        <f>IF(Inventory!E273="","",Inventory!E273)</f>
        <v/>
      </c>
      <c r="D276" s="531">
        <f>IF(Inventory!D273="",0,Inventory!D273)</f>
        <v>0</v>
      </c>
      <c r="E276" s="532" t="str">
        <f>IF(Inventory!I273=0,"",Inventory!I273)</f>
        <v/>
      </c>
      <c r="F276" s="533" t="str">
        <f t="shared" si="103"/>
        <v/>
      </c>
      <c r="G276" s="534" t="str">
        <f>IF(Inventory!G273="","",Inventory!G273)</f>
        <v/>
      </c>
      <c r="H276" s="535" t="str">
        <f t="shared" si="104"/>
        <v/>
      </c>
      <c r="I276" s="536" t="str">
        <f>IF(Inventory!J273="","",Inventory!J273)</f>
        <v/>
      </c>
      <c r="J276" s="537" t="str">
        <f>IFERROR(IF(PRJ_Type="New Construction",IF(Inventory!C273="N",INDEX(xyLPD_BuildingArea,MATCH(Building_Type,Lookups!$F$37:$F$75,0),4),INDEX(xyLPD_SpaceBySpace,MATCH(INDEX(xyNCEx,MATCH(I276,yNCExArea,0),2),ySpace_by_Space_Type,0),2)),VLOOKUP(E276,xyWattage_Table,11,FALSE)),"")</f>
        <v/>
      </c>
      <c r="K276" s="538" t="str">
        <f>IFERROR(IF(AND(NC_Type="Building Area Method",Inventory!C273="N"),IF(ISERROR(INDEX('Usage Groups (&gt;120 MWh only)'!$N$8:$N$12,MATCH(C276,'Usage Groups (&gt;120 MWh only)'!$B$8:$B$12,0),1))=TRUE,SqFt/COUNTIFS(Inventory!$C$10:$C$1009,"N",$Q$13:$Q$1012,"&gt;=0"),INDEX('Usage Groups (&gt;120 MWh only)'!$N$8:$N$12,MATCH(C276,'Usage Groups (&gt;120 MWh only)'!$B$8:$B$12,0),1)/COUNTIF($C$13:$C$1012,C276)),IF(AND(NC_Type="Building Area Method",Inventory!C273="Y"),INDEX(xyNCEx,MATCH(I276,yNCExArea,0),3)/COUNTIF($I$13:$I$1012,I276),VLOOKUP(J276,xyWattage_Table,10,FALSE))),"")</f>
        <v/>
      </c>
      <c r="L276" s="539" t="str">
        <f t="shared" si="105"/>
        <v/>
      </c>
      <c r="M276" s="540">
        <f>IF(Inventory!N273="","",Inventory!N273)</f>
        <v>0</v>
      </c>
      <c r="N276" s="533" t="str">
        <f t="shared" si="106"/>
        <v/>
      </c>
      <c r="O276" s="534"/>
      <c r="P276" s="533" t="str">
        <f t="shared" si="107"/>
        <v/>
      </c>
      <c r="Q276" s="534" t="str">
        <f>IF(Inventory!L273="","",Inventory!L273)</f>
        <v/>
      </c>
      <c r="R276" s="535" t="str">
        <f t="shared" si="108"/>
        <v/>
      </c>
      <c r="S276" s="536" t="str">
        <f>IF(Inventory!O273="","",Inventory!O273)</f>
        <v/>
      </c>
      <c r="T276" s="541" t="str">
        <f>IFERROR(IF(C276="","",IF(INDEX(xyWattage_Table,MATCH(M276,'Fixture Identities'!$B$9:$B$997,0),2)="Exit Sign",8760,IF(VLOOKUP(C276,xySpace_Type_Details,8,FALSE)="TRM",INDEX('General Information'!$AF$17:$AG$28,11,MATCH(N276,'General Information'!$AF$16:$AG$16,0)),HLOOKUP(VLOOKUP(C276,xySpace_Type_Details,8,FALSE),'General Information'!$P$15:$AG$28,13,FALSE)))),"")</f>
        <v/>
      </c>
      <c r="U276" s="542" t="str">
        <f>IFERROR(IF(C276="","",IF(INDEX(xyWattage_Table,MATCH(M276,'Fixture Identities'!$B$9:$B$997,0),2)="Exit Sign",1,IF(VLOOKUP(C276,xySpace_Type_Details,8,FALSE)="TRM",INDEX('General Information'!$AF$17:$AG$28,12,MATCH(N276,'General Information'!$AF$16:$AG$16,0)),HLOOKUP(VLOOKUP(C276,xySpace_Type_Details,8,FALSE),'General Information'!$P$15:$AG$28,14,FALSE)))),"")</f>
        <v/>
      </c>
      <c r="V276" s="542" t="str">
        <f>IFERROR(VLOOKUP(INDEX(xySpace_Type_Details,MATCH($C276,'General Information'!$C$40:$C$60,0),12),Lookups!$L$8:$N$12,2,FALSE),"")</f>
        <v/>
      </c>
      <c r="W276" s="542" t="str">
        <f>IFERROR(VLOOKUP(INDEX(xySpace_Type_Details,MATCH($C276,'General Information'!$C$40:$C$60,0),12),Lookups!$L$8:$N$12,3,FALSE),"")</f>
        <v/>
      </c>
      <c r="Y276" s="542" t="str">
        <f>IFERROR(IF(C276="","",IF(INDEX(xyWattage_Table,MATCH(M276,'Fixture Identities'!$B$9:$B$997,0),2)="Exit Sign",0,IF(PRJ_Type="Retrofit",VLOOKUP(I276,xySVG_Factors,2,FALSE),IF(AND(PRJ_Type="New Construction",Inventory!C273="N"),VLOOKUP(VLOOKUP(Building_Type,xyLPD_BuildingArea,5,FALSE),xySVG_Factors_NC,3,FALSE),0)))),"")</f>
        <v/>
      </c>
      <c r="Z276" s="544" t="str">
        <f>IFERROR(IF(C276="","",IF(INDEX(xyWattage_Table,MATCH(M276,'Fixture Identities'!$B$9:$B$997,0),2)="Exit Sign",0,VLOOKUP(S276,xySVG_Factors,2,FALSE))),"")</f>
        <v/>
      </c>
      <c r="AA276" s="545" t="str">
        <f t="shared" si="109"/>
        <v/>
      </c>
      <c r="AB276" s="542" t="str">
        <f t="shared" si="110"/>
        <v/>
      </c>
      <c r="AC276" s="539" t="str">
        <f t="shared" si="111"/>
        <v/>
      </c>
      <c r="AD276" s="546" t="str">
        <f t="shared" si="112"/>
        <v/>
      </c>
      <c r="AE276" s="539" t="str">
        <f t="shared" si="113"/>
        <v/>
      </c>
      <c r="AF276" s="546" t="str">
        <f t="shared" si="114"/>
        <v/>
      </c>
      <c r="AG276" s="539" t="str">
        <f t="shared" si="115"/>
        <v/>
      </c>
      <c r="AH276" s="32">
        <f t="shared" si="117"/>
        <v>0</v>
      </c>
      <c r="AI276" s="32">
        <f t="shared" si="118"/>
        <v>0</v>
      </c>
      <c r="AJ276" s="32">
        <f t="shared" si="119"/>
        <v>0</v>
      </c>
      <c r="AK276" t="str">
        <f t="shared" si="120"/>
        <v/>
      </c>
      <c r="AL276" t="str">
        <f t="shared" si="121"/>
        <v/>
      </c>
      <c r="AM276" t="str">
        <f t="shared" si="122"/>
        <v/>
      </c>
      <c r="AO276" t="str">
        <f>IFERROR(VLOOKUP(M276,'Fixture Identities'!$B$9:$O$1045,14,FALSE),"")</f>
        <v/>
      </c>
      <c r="AP276" t="str">
        <f t="shared" si="116"/>
        <v/>
      </c>
    </row>
    <row r="277" spans="1:42">
      <c r="A277" s="71">
        <f t="shared" si="124"/>
        <v>0</v>
      </c>
      <c r="B277" s="513">
        <f t="shared" si="123"/>
        <v>265</v>
      </c>
      <c r="C277" s="530" t="str">
        <f>IF(Inventory!E274="","",Inventory!E274)</f>
        <v/>
      </c>
      <c r="D277" s="531">
        <f>IF(Inventory!D274="",0,Inventory!D274)</f>
        <v>0</v>
      </c>
      <c r="E277" s="532" t="str">
        <f>IF(Inventory!I274=0,"",Inventory!I274)</f>
        <v/>
      </c>
      <c r="F277" s="533" t="str">
        <f t="shared" si="103"/>
        <v/>
      </c>
      <c r="G277" s="534" t="str">
        <f>IF(Inventory!G274="","",Inventory!G274)</f>
        <v/>
      </c>
      <c r="H277" s="535" t="str">
        <f t="shared" si="104"/>
        <v/>
      </c>
      <c r="I277" s="536" t="str">
        <f>IF(Inventory!J274="","",Inventory!J274)</f>
        <v/>
      </c>
      <c r="J277" s="537" t="str">
        <f>IFERROR(IF(PRJ_Type="New Construction",IF(Inventory!C274="N",INDEX(xyLPD_BuildingArea,MATCH(Building_Type,Lookups!$F$37:$F$75,0),4),INDEX(xyLPD_SpaceBySpace,MATCH(INDEX(xyNCEx,MATCH(I277,yNCExArea,0),2),ySpace_by_Space_Type,0),2)),VLOOKUP(E277,xyWattage_Table,11,FALSE)),"")</f>
        <v/>
      </c>
      <c r="K277" s="538" t="str">
        <f>IFERROR(IF(AND(NC_Type="Building Area Method",Inventory!C274="N"),IF(ISERROR(INDEX('Usage Groups (&gt;120 MWh only)'!$N$8:$N$12,MATCH(C277,'Usage Groups (&gt;120 MWh only)'!$B$8:$B$12,0),1))=TRUE,SqFt/COUNTIFS(Inventory!$C$10:$C$1009,"N",$Q$13:$Q$1012,"&gt;=0"),INDEX('Usage Groups (&gt;120 MWh only)'!$N$8:$N$12,MATCH(C277,'Usage Groups (&gt;120 MWh only)'!$B$8:$B$12,0),1)/COUNTIF($C$13:$C$1012,C277)),IF(AND(NC_Type="Building Area Method",Inventory!C274="Y"),INDEX(xyNCEx,MATCH(I277,yNCExArea,0),3)/COUNTIF($I$13:$I$1012,I277),VLOOKUP(J277,xyWattage_Table,10,FALSE))),"")</f>
        <v/>
      </c>
      <c r="L277" s="539" t="str">
        <f t="shared" si="105"/>
        <v/>
      </c>
      <c r="M277" s="540">
        <f>IF(Inventory!N274="","",Inventory!N274)</f>
        <v>0</v>
      </c>
      <c r="N277" s="533" t="str">
        <f t="shared" si="106"/>
        <v/>
      </c>
      <c r="O277" s="534"/>
      <c r="P277" s="533" t="str">
        <f t="shared" si="107"/>
        <v/>
      </c>
      <c r="Q277" s="534" t="str">
        <f>IF(Inventory!L274="","",Inventory!L274)</f>
        <v/>
      </c>
      <c r="R277" s="535" t="str">
        <f t="shared" si="108"/>
        <v/>
      </c>
      <c r="S277" s="536" t="str">
        <f>IF(Inventory!O274="","",Inventory!O274)</f>
        <v/>
      </c>
      <c r="T277" s="541" t="str">
        <f>IFERROR(IF(C277="","",IF(INDEX(xyWattage_Table,MATCH(M277,'Fixture Identities'!$B$9:$B$997,0),2)="Exit Sign",8760,IF(VLOOKUP(C277,xySpace_Type_Details,8,FALSE)="TRM",INDEX('General Information'!$AF$17:$AG$28,11,MATCH(N277,'General Information'!$AF$16:$AG$16,0)),HLOOKUP(VLOOKUP(C277,xySpace_Type_Details,8,FALSE),'General Information'!$P$15:$AG$28,13,FALSE)))),"")</f>
        <v/>
      </c>
      <c r="U277" s="542" t="str">
        <f>IFERROR(IF(C277="","",IF(INDEX(xyWattage_Table,MATCH(M277,'Fixture Identities'!$B$9:$B$997,0),2)="Exit Sign",1,IF(VLOOKUP(C277,xySpace_Type_Details,8,FALSE)="TRM",INDEX('General Information'!$AF$17:$AG$28,12,MATCH(N277,'General Information'!$AF$16:$AG$16,0)),HLOOKUP(VLOOKUP(C277,xySpace_Type_Details,8,FALSE),'General Information'!$P$15:$AG$28,14,FALSE)))),"")</f>
        <v/>
      </c>
      <c r="V277" s="542" t="str">
        <f>IFERROR(VLOOKUP(INDEX(xySpace_Type_Details,MATCH($C277,'General Information'!$C$40:$C$60,0),12),Lookups!$L$8:$N$12,2,FALSE),"")</f>
        <v/>
      </c>
      <c r="W277" s="542" t="str">
        <f>IFERROR(VLOOKUP(INDEX(xySpace_Type_Details,MATCH($C277,'General Information'!$C$40:$C$60,0),12),Lookups!$L$8:$N$12,3,FALSE),"")</f>
        <v/>
      </c>
      <c r="Y277" s="542" t="str">
        <f>IFERROR(IF(C277="","",IF(INDEX(xyWattage_Table,MATCH(M277,'Fixture Identities'!$B$9:$B$997,0),2)="Exit Sign",0,IF(PRJ_Type="Retrofit",VLOOKUP(I277,xySVG_Factors,2,FALSE),IF(AND(PRJ_Type="New Construction",Inventory!C274="N"),VLOOKUP(VLOOKUP(Building_Type,xyLPD_BuildingArea,5,FALSE),xySVG_Factors_NC,3,FALSE),0)))),"")</f>
        <v/>
      </c>
      <c r="Z277" s="544" t="str">
        <f>IFERROR(IF(C277="","",IF(INDEX(xyWattage_Table,MATCH(M277,'Fixture Identities'!$B$9:$B$997,0),2)="Exit Sign",0,VLOOKUP(S277,xySVG_Factors,2,FALSE))),"")</f>
        <v/>
      </c>
      <c r="AA277" s="545" t="str">
        <f t="shared" si="109"/>
        <v/>
      </c>
      <c r="AB277" s="542" t="str">
        <f t="shared" si="110"/>
        <v/>
      </c>
      <c r="AC277" s="539" t="str">
        <f t="shared" si="111"/>
        <v/>
      </c>
      <c r="AD277" s="546" t="str">
        <f t="shared" si="112"/>
        <v/>
      </c>
      <c r="AE277" s="539" t="str">
        <f t="shared" si="113"/>
        <v/>
      </c>
      <c r="AF277" s="546" t="str">
        <f t="shared" si="114"/>
        <v/>
      </c>
      <c r="AG277" s="539" t="str">
        <f t="shared" si="115"/>
        <v/>
      </c>
      <c r="AH277" s="32">
        <f t="shared" si="117"/>
        <v>0</v>
      </c>
      <c r="AI277" s="32">
        <f t="shared" si="118"/>
        <v>0</v>
      </c>
      <c r="AJ277" s="32">
        <f t="shared" si="119"/>
        <v>0</v>
      </c>
      <c r="AK277" t="str">
        <f t="shared" si="120"/>
        <v/>
      </c>
      <c r="AL277" t="str">
        <f t="shared" si="121"/>
        <v/>
      </c>
      <c r="AM277" t="str">
        <f t="shared" si="122"/>
        <v/>
      </c>
      <c r="AO277" t="str">
        <f>IFERROR(VLOOKUP(M277,'Fixture Identities'!$B$9:$O$1045,14,FALSE),"")</f>
        <v/>
      </c>
      <c r="AP277" t="str">
        <f t="shared" si="116"/>
        <v/>
      </c>
    </row>
    <row r="278" spans="1:42">
      <c r="A278" s="71">
        <f t="shared" si="124"/>
        <v>0</v>
      </c>
      <c r="B278" s="513">
        <f t="shared" si="123"/>
        <v>266</v>
      </c>
      <c r="C278" s="530" t="str">
        <f>IF(Inventory!E275="","",Inventory!E275)</f>
        <v/>
      </c>
      <c r="D278" s="531">
        <f>IF(Inventory!D275="",0,Inventory!D275)</f>
        <v>0</v>
      </c>
      <c r="E278" s="532" t="str">
        <f>IF(Inventory!I275=0,"",Inventory!I275)</f>
        <v/>
      </c>
      <c r="F278" s="533" t="str">
        <f t="shared" si="103"/>
        <v/>
      </c>
      <c r="G278" s="534" t="str">
        <f>IF(Inventory!G275="","",Inventory!G275)</f>
        <v/>
      </c>
      <c r="H278" s="535" t="str">
        <f t="shared" si="104"/>
        <v/>
      </c>
      <c r="I278" s="536" t="str">
        <f>IF(Inventory!J275="","",Inventory!J275)</f>
        <v/>
      </c>
      <c r="J278" s="537" t="str">
        <f>IFERROR(IF(PRJ_Type="New Construction",IF(Inventory!C275="N",INDEX(xyLPD_BuildingArea,MATCH(Building_Type,Lookups!$F$37:$F$75,0),4),INDEX(xyLPD_SpaceBySpace,MATCH(INDEX(xyNCEx,MATCH(I278,yNCExArea,0),2),ySpace_by_Space_Type,0),2)),VLOOKUP(E278,xyWattage_Table,11,FALSE)),"")</f>
        <v/>
      </c>
      <c r="K278" s="538" t="str">
        <f>IFERROR(IF(AND(NC_Type="Building Area Method",Inventory!C275="N"),IF(ISERROR(INDEX('Usage Groups (&gt;120 MWh only)'!$N$8:$N$12,MATCH(C278,'Usage Groups (&gt;120 MWh only)'!$B$8:$B$12,0),1))=TRUE,SqFt/COUNTIFS(Inventory!$C$10:$C$1009,"N",$Q$13:$Q$1012,"&gt;=0"),INDEX('Usage Groups (&gt;120 MWh only)'!$N$8:$N$12,MATCH(C278,'Usage Groups (&gt;120 MWh only)'!$B$8:$B$12,0),1)/COUNTIF($C$13:$C$1012,C278)),IF(AND(NC_Type="Building Area Method",Inventory!C275="Y"),INDEX(xyNCEx,MATCH(I278,yNCExArea,0),3)/COUNTIF($I$13:$I$1012,I278),VLOOKUP(J278,xyWattage_Table,10,FALSE))),"")</f>
        <v/>
      </c>
      <c r="L278" s="539" t="str">
        <f t="shared" si="105"/>
        <v/>
      </c>
      <c r="M278" s="540">
        <f>IF(Inventory!N275="","",Inventory!N275)</f>
        <v>0</v>
      </c>
      <c r="N278" s="533" t="str">
        <f t="shared" si="106"/>
        <v/>
      </c>
      <c r="O278" s="534"/>
      <c r="P278" s="533" t="str">
        <f t="shared" si="107"/>
        <v/>
      </c>
      <c r="Q278" s="534" t="str">
        <f>IF(Inventory!L275="","",Inventory!L275)</f>
        <v/>
      </c>
      <c r="R278" s="535" t="str">
        <f t="shared" si="108"/>
        <v/>
      </c>
      <c r="S278" s="536" t="str">
        <f>IF(Inventory!O275="","",Inventory!O275)</f>
        <v/>
      </c>
      <c r="T278" s="541" t="str">
        <f>IFERROR(IF(C278="","",IF(INDEX(xyWattage_Table,MATCH(M278,'Fixture Identities'!$B$9:$B$997,0),2)="Exit Sign",8760,IF(VLOOKUP(C278,xySpace_Type_Details,8,FALSE)="TRM",INDEX('General Information'!$AF$17:$AG$28,11,MATCH(N278,'General Information'!$AF$16:$AG$16,0)),HLOOKUP(VLOOKUP(C278,xySpace_Type_Details,8,FALSE),'General Information'!$P$15:$AG$28,13,FALSE)))),"")</f>
        <v/>
      </c>
      <c r="U278" s="542" t="str">
        <f>IFERROR(IF(C278="","",IF(INDEX(xyWattage_Table,MATCH(M278,'Fixture Identities'!$B$9:$B$997,0),2)="Exit Sign",1,IF(VLOOKUP(C278,xySpace_Type_Details,8,FALSE)="TRM",INDEX('General Information'!$AF$17:$AG$28,12,MATCH(N278,'General Information'!$AF$16:$AG$16,0)),HLOOKUP(VLOOKUP(C278,xySpace_Type_Details,8,FALSE),'General Information'!$P$15:$AG$28,14,FALSE)))),"")</f>
        <v/>
      </c>
      <c r="V278" s="542" t="str">
        <f>IFERROR(VLOOKUP(INDEX(xySpace_Type_Details,MATCH($C278,'General Information'!$C$40:$C$60,0),12),Lookups!$L$8:$N$12,2,FALSE),"")</f>
        <v/>
      </c>
      <c r="W278" s="542" t="str">
        <f>IFERROR(VLOOKUP(INDEX(xySpace_Type_Details,MATCH($C278,'General Information'!$C$40:$C$60,0),12),Lookups!$L$8:$N$12,3,FALSE),"")</f>
        <v/>
      </c>
      <c r="Y278" s="542" t="str">
        <f>IFERROR(IF(C278="","",IF(INDEX(xyWattage_Table,MATCH(M278,'Fixture Identities'!$B$9:$B$997,0),2)="Exit Sign",0,IF(PRJ_Type="Retrofit",VLOOKUP(I278,xySVG_Factors,2,FALSE),IF(AND(PRJ_Type="New Construction",Inventory!C275="N"),VLOOKUP(VLOOKUP(Building_Type,xyLPD_BuildingArea,5,FALSE),xySVG_Factors_NC,3,FALSE),0)))),"")</f>
        <v/>
      </c>
      <c r="Z278" s="544" t="str">
        <f>IFERROR(IF(C278="","",IF(INDEX(xyWattage_Table,MATCH(M278,'Fixture Identities'!$B$9:$B$997,0),2)="Exit Sign",0,VLOOKUP(S278,xySVG_Factors,2,FALSE))),"")</f>
        <v/>
      </c>
      <c r="AA278" s="545" t="str">
        <f t="shared" si="109"/>
        <v/>
      </c>
      <c r="AB278" s="542" t="str">
        <f t="shared" si="110"/>
        <v/>
      </c>
      <c r="AC278" s="539" t="str">
        <f t="shared" si="111"/>
        <v/>
      </c>
      <c r="AD278" s="546" t="str">
        <f t="shared" si="112"/>
        <v/>
      </c>
      <c r="AE278" s="539" t="str">
        <f t="shared" si="113"/>
        <v/>
      </c>
      <c r="AF278" s="546" t="str">
        <f t="shared" si="114"/>
        <v/>
      </c>
      <c r="AG278" s="539" t="str">
        <f t="shared" si="115"/>
        <v/>
      </c>
      <c r="AH278" s="32">
        <f t="shared" si="117"/>
        <v>0</v>
      </c>
      <c r="AI278" s="32">
        <f t="shared" si="118"/>
        <v>0</v>
      </c>
      <c r="AJ278" s="32">
        <f t="shared" si="119"/>
        <v>0</v>
      </c>
      <c r="AK278" t="str">
        <f t="shared" si="120"/>
        <v/>
      </c>
      <c r="AL278" t="str">
        <f t="shared" si="121"/>
        <v/>
      </c>
      <c r="AM278" t="str">
        <f t="shared" si="122"/>
        <v/>
      </c>
      <c r="AO278" t="str">
        <f>IFERROR(VLOOKUP(M278,'Fixture Identities'!$B$9:$O$1045,14,FALSE),"")</f>
        <v/>
      </c>
      <c r="AP278" t="str">
        <f t="shared" si="116"/>
        <v/>
      </c>
    </row>
    <row r="279" spans="1:42">
      <c r="A279" s="71">
        <f t="shared" si="124"/>
        <v>0</v>
      </c>
      <c r="B279" s="513">
        <f t="shared" si="123"/>
        <v>267</v>
      </c>
      <c r="C279" s="530" t="str">
        <f>IF(Inventory!E276="","",Inventory!E276)</f>
        <v/>
      </c>
      <c r="D279" s="531">
        <f>IF(Inventory!D276="",0,Inventory!D276)</f>
        <v>0</v>
      </c>
      <c r="E279" s="532" t="str">
        <f>IF(Inventory!I276=0,"",Inventory!I276)</f>
        <v/>
      </c>
      <c r="F279" s="533" t="str">
        <f t="shared" si="103"/>
        <v/>
      </c>
      <c r="G279" s="534" t="str">
        <f>IF(Inventory!G276="","",Inventory!G276)</f>
        <v/>
      </c>
      <c r="H279" s="535" t="str">
        <f t="shared" si="104"/>
        <v/>
      </c>
      <c r="I279" s="536" t="str">
        <f>IF(Inventory!J276="","",Inventory!J276)</f>
        <v/>
      </c>
      <c r="J279" s="537" t="str">
        <f>IFERROR(IF(PRJ_Type="New Construction",IF(Inventory!C276="N",INDEX(xyLPD_BuildingArea,MATCH(Building_Type,Lookups!$F$37:$F$75,0),4),INDEX(xyLPD_SpaceBySpace,MATCH(INDEX(xyNCEx,MATCH(I279,yNCExArea,0),2),ySpace_by_Space_Type,0),2)),VLOOKUP(E279,xyWattage_Table,11,FALSE)),"")</f>
        <v/>
      </c>
      <c r="K279" s="538" t="str">
        <f>IFERROR(IF(AND(NC_Type="Building Area Method",Inventory!C276="N"),IF(ISERROR(INDEX('Usage Groups (&gt;120 MWh only)'!$N$8:$N$12,MATCH(C279,'Usage Groups (&gt;120 MWh only)'!$B$8:$B$12,0),1))=TRUE,SqFt/COUNTIFS(Inventory!$C$10:$C$1009,"N",$Q$13:$Q$1012,"&gt;=0"),INDEX('Usage Groups (&gt;120 MWh only)'!$N$8:$N$12,MATCH(C279,'Usage Groups (&gt;120 MWh only)'!$B$8:$B$12,0),1)/COUNTIF($C$13:$C$1012,C279)),IF(AND(NC_Type="Building Area Method",Inventory!C276="Y"),INDEX(xyNCEx,MATCH(I279,yNCExArea,0),3)/COUNTIF($I$13:$I$1012,I279),VLOOKUP(J279,xyWattage_Table,10,FALSE))),"")</f>
        <v/>
      </c>
      <c r="L279" s="539" t="str">
        <f t="shared" si="105"/>
        <v/>
      </c>
      <c r="M279" s="540">
        <f>IF(Inventory!N276="","",Inventory!N276)</f>
        <v>0</v>
      </c>
      <c r="N279" s="533" t="str">
        <f t="shared" si="106"/>
        <v/>
      </c>
      <c r="O279" s="534"/>
      <c r="P279" s="533" t="str">
        <f t="shared" si="107"/>
        <v/>
      </c>
      <c r="Q279" s="534" t="str">
        <f>IF(Inventory!L276="","",Inventory!L276)</f>
        <v/>
      </c>
      <c r="R279" s="535" t="str">
        <f t="shared" si="108"/>
        <v/>
      </c>
      <c r="S279" s="536" t="str">
        <f>IF(Inventory!O276="","",Inventory!O276)</f>
        <v/>
      </c>
      <c r="T279" s="541" t="str">
        <f>IFERROR(IF(C279="","",IF(INDEX(xyWattage_Table,MATCH(M279,'Fixture Identities'!$B$9:$B$997,0),2)="Exit Sign",8760,IF(VLOOKUP(C279,xySpace_Type_Details,8,FALSE)="TRM",INDEX('General Information'!$AF$17:$AG$28,11,MATCH(N279,'General Information'!$AF$16:$AG$16,0)),HLOOKUP(VLOOKUP(C279,xySpace_Type_Details,8,FALSE),'General Information'!$P$15:$AG$28,13,FALSE)))),"")</f>
        <v/>
      </c>
      <c r="U279" s="542" t="str">
        <f>IFERROR(IF(C279="","",IF(INDEX(xyWattage_Table,MATCH(M279,'Fixture Identities'!$B$9:$B$997,0),2)="Exit Sign",1,IF(VLOOKUP(C279,xySpace_Type_Details,8,FALSE)="TRM",INDEX('General Information'!$AF$17:$AG$28,12,MATCH(N279,'General Information'!$AF$16:$AG$16,0)),HLOOKUP(VLOOKUP(C279,xySpace_Type_Details,8,FALSE),'General Information'!$P$15:$AG$28,14,FALSE)))),"")</f>
        <v/>
      </c>
      <c r="V279" s="542" t="str">
        <f>IFERROR(VLOOKUP(INDEX(xySpace_Type_Details,MATCH($C279,'General Information'!$C$40:$C$60,0),12),Lookups!$L$8:$N$12,2,FALSE),"")</f>
        <v/>
      </c>
      <c r="W279" s="542" t="str">
        <f>IFERROR(VLOOKUP(INDEX(xySpace_Type_Details,MATCH($C279,'General Information'!$C$40:$C$60,0),12),Lookups!$L$8:$N$12,3,FALSE),"")</f>
        <v/>
      </c>
      <c r="Y279" s="542" t="str">
        <f>IFERROR(IF(C279="","",IF(INDEX(xyWattage_Table,MATCH(M279,'Fixture Identities'!$B$9:$B$997,0),2)="Exit Sign",0,IF(PRJ_Type="Retrofit",VLOOKUP(I279,xySVG_Factors,2,FALSE),IF(AND(PRJ_Type="New Construction",Inventory!C276="N"),VLOOKUP(VLOOKUP(Building_Type,xyLPD_BuildingArea,5,FALSE),xySVG_Factors_NC,3,FALSE),0)))),"")</f>
        <v/>
      </c>
      <c r="Z279" s="544" t="str">
        <f>IFERROR(IF(C279="","",IF(INDEX(xyWattage_Table,MATCH(M279,'Fixture Identities'!$B$9:$B$997,0),2)="Exit Sign",0,VLOOKUP(S279,xySVG_Factors,2,FALSE))),"")</f>
        <v/>
      </c>
      <c r="AA279" s="545" t="str">
        <f t="shared" si="109"/>
        <v/>
      </c>
      <c r="AB279" s="542" t="str">
        <f t="shared" si="110"/>
        <v/>
      </c>
      <c r="AC279" s="539" t="str">
        <f t="shared" si="111"/>
        <v/>
      </c>
      <c r="AD279" s="546" t="str">
        <f t="shared" si="112"/>
        <v/>
      </c>
      <c r="AE279" s="539" t="str">
        <f t="shared" si="113"/>
        <v/>
      </c>
      <c r="AF279" s="546" t="str">
        <f t="shared" si="114"/>
        <v/>
      </c>
      <c r="AG279" s="539" t="str">
        <f t="shared" si="115"/>
        <v/>
      </c>
      <c r="AH279" s="32">
        <f t="shared" si="117"/>
        <v>0</v>
      </c>
      <c r="AI279" s="32">
        <f t="shared" si="118"/>
        <v>0</v>
      </c>
      <c r="AJ279" s="32">
        <f t="shared" si="119"/>
        <v>0</v>
      </c>
      <c r="AK279" t="str">
        <f t="shared" si="120"/>
        <v/>
      </c>
      <c r="AL279" t="str">
        <f t="shared" si="121"/>
        <v/>
      </c>
      <c r="AM279" t="str">
        <f t="shared" si="122"/>
        <v/>
      </c>
      <c r="AO279" t="str">
        <f>IFERROR(VLOOKUP(M279,'Fixture Identities'!$B$9:$O$1045,14,FALSE),"")</f>
        <v/>
      </c>
      <c r="AP279" t="str">
        <f t="shared" si="116"/>
        <v/>
      </c>
    </row>
    <row r="280" spans="1:42">
      <c r="A280" s="71">
        <f t="shared" si="124"/>
        <v>0</v>
      </c>
      <c r="B280" s="513">
        <f t="shared" si="123"/>
        <v>268</v>
      </c>
      <c r="C280" s="530" t="str">
        <f>IF(Inventory!E277="","",Inventory!E277)</f>
        <v/>
      </c>
      <c r="D280" s="531">
        <f>IF(Inventory!D277="",0,Inventory!D277)</f>
        <v>0</v>
      </c>
      <c r="E280" s="532" t="str">
        <f>IF(Inventory!I277=0,"",Inventory!I277)</f>
        <v/>
      </c>
      <c r="F280" s="533" t="str">
        <f t="shared" si="103"/>
        <v/>
      </c>
      <c r="G280" s="534" t="str">
        <f>IF(Inventory!G277="","",Inventory!G277)</f>
        <v/>
      </c>
      <c r="H280" s="535" t="str">
        <f t="shared" si="104"/>
        <v/>
      </c>
      <c r="I280" s="536" t="str">
        <f>IF(Inventory!J277="","",Inventory!J277)</f>
        <v/>
      </c>
      <c r="J280" s="537" t="str">
        <f>IFERROR(IF(PRJ_Type="New Construction",IF(Inventory!C277="N",INDEX(xyLPD_BuildingArea,MATCH(Building_Type,Lookups!$F$37:$F$75,0),4),INDEX(xyLPD_SpaceBySpace,MATCH(INDEX(xyNCEx,MATCH(I280,yNCExArea,0),2),ySpace_by_Space_Type,0),2)),VLOOKUP(E280,xyWattage_Table,11,FALSE)),"")</f>
        <v/>
      </c>
      <c r="K280" s="538" t="str">
        <f>IFERROR(IF(AND(NC_Type="Building Area Method",Inventory!C277="N"),IF(ISERROR(INDEX('Usage Groups (&gt;120 MWh only)'!$N$8:$N$12,MATCH(C280,'Usage Groups (&gt;120 MWh only)'!$B$8:$B$12,0),1))=TRUE,SqFt/COUNTIFS(Inventory!$C$10:$C$1009,"N",$Q$13:$Q$1012,"&gt;=0"),INDEX('Usage Groups (&gt;120 MWh only)'!$N$8:$N$12,MATCH(C280,'Usage Groups (&gt;120 MWh only)'!$B$8:$B$12,0),1)/COUNTIF($C$13:$C$1012,C280)),IF(AND(NC_Type="Building Area Method",Inventory!C277="Y"),INDEX(xyNCEx,MATCH(I280,yNCExArea,0),3)/COUNTIF($I$13:$I$1012,I280),VLOOKUP(J280,xyWattage_Table,10,FALSE))),"")</f>
        <v/>
      </c>
      <c r="L280" s="539" t="str">
        <f t="shared" si="105"/>
        <v/>
      </c>
      <c r="M280" s="540">
        <f>IF(Inventory!N277="","",Inventory!N277)</f>
        <v>0</v>
      </c>
      <c r="N280" s="533" t="str">
        <f t="shared" si="106"/>
        <v/>
      </c>
      <c r="O280" s="534"/>
      <c r="P280" s="533" t="str">
        <f t="shared" si="107"/>
        <v/>
      </c>
      <c r="Q280" s="534" t="str">
        <f>IF(Inventory!L277="","",Inventory!L277)</f>
        <v/>
      </c>
      <c r="R280" s="535" t="str">
        <f t="shared" si="108"/>
        <v/>
      </c>
      <c r="S280" s="536" t="str">
        <f>IF(Inventory!O277="","",Inventory!O277)</f>
        <v/>
      </c>
      <c r="T280" s="541" t="str">
        <f>IFERROR(IF(C280="","",IF(INDEX(xyWattage_Table,MATCH(M280,'Fixture Identities'!$B$9:$B$997,0),2)="Exit Sign",8760,IF(VLOOKUP(C280,xySpace_Type_Details,8,FALSE)="TRM",INDEX('General Information'!$AF$17:$AG$28,11,MATCH(N280,'General Information'!$AF$16:$AG$16,0)),HLOOKUP(VLOOKUP(C280,xySpace_Type_Details,8,FALSE),'General Information'!$P$15:$AG$28,13,FALSE)))),"")</f>
        <v/>
      </c>
      <c r="U280" s="542" t="str">
        <f>IFERROR(IF(C280="","",IF(INDEX(xyWattage_Table,MATCH(M280,'Fixture Identities'!$B$9:$B$997,0),2)="Exit Sign",1,IF(VLOOKUP(C280,xySpace_Type_Details,8,FALSE)="TRM",INDEX('General Information'!$AF$17:$AG$28,12,MATCH(N280,'General Information'!$AF$16:$AG$16,0)),HLOOKUP(VLOOKUP(C280,xySpace_Type_Details,8,FALSE),'General Information'!$P$15:$AG$28,14,FALSE)))),"")</f>
        <v/>
      </c>
      <c r="V280" s="542" t="str">
        <f>IFERROR(VLOOKUP(INDEX(xySpace_Type_Details,MATCH($C280,'General Information'!$C$40:$C$60,0),12),Lookups!$L$8:$N$12,2,FALSE),"")</f>
        <v/>
      </c>
      <c r="W280" s="542" t="str">
        <f>IFERROR(VLOOKUP(INDEX(xySpace_Type_Details,MATCH($C280,'General Information'!$C$40:$C$60,0),12),Lookups!$L$8:$N$12,3,FALSE),"")</f>
        <v/>
      </c>
      <c r="Y280" s="542" t="str">
        <f>IFERROR(IF(C280="","",IF(INDEX(xyWattage_Table,MATCH(M280,'Fixture Identities'!$B$9:$B$997,0),2)="Exit Sign",0,IF(PRJ_Type="Retrofit",VLOOKUP(I280,xySVG_Factors,2,FALSE),IF(AND(PRJ_Type="New Construction",Inventory!C277="N"),VLOOKUP(VLOOKUP(Building_Type,xyLPD_BuildingArea,5,FALSE),xySVG_Factors_NC,3,FALSE),0)))),"")</f>
        <v/>
      </c>
      <c r="Z280" s="544" t="str">
        <f>IFERROR(IF(C280="","",IF(INDEX(xyWattage_Table,MATCH(M280,'Fixture Identities'!$B$9:$B$997,0),2)="Exit Sign",0,VLOOKUP(S280,xySVG_Factors,2,FALSE))),"")</f>
        <v/>
      </c>
      <c r="AA280" s="545" t="str">
        <f t="shared" si="109"/>
        <v/>
      </c>
      <c r="AB280" s="542" t="str">
        <f t="shared" si="110"/>
        <v/>
      </c>
      <c r="AC280" s="539" t="str">
        <f t="shared" si="111"/>
        <v/>
      </c>
      <c r="AD280" s="546" t="str">
        <f t="shared" si="112"/>
        <v/>
      </c>
      <c r="AE280" s="539" t="str">
        <f t="shared" si="113"/>
        <v/>
      </c>
      <c r="AF280" s="546" t="str">
        <f t="shared" si="114"/>
        <v/>
      </c>
      <c r="AG280" s="539" t="str">
        <f t="shared" si="115"/>
        <v/>
      </c>
      <c r="AH280" s="32">
        <f t="shared" si="117"/>
        <v>0</v>
      </c>
      <c r="AI280" s="32">
        <f t="shared" si="118"/>
        <v>0</v>
      </c>
      <c r="AJ280" s="32">
        <f t="shared" si="119"/>
        <v>0</v>
      </c>
      <c r="AK280" t="str">
        <f t="shared" si="120"/>
        <v/>
      </c>
      <c r="AL280" t="str">
        <f t="shared" si="121"/>
        <v/>
      </c>
      <c r="AM280" t="str">
        <f t="shared" si="122"/>
        <v/>
      </c>
      <c r="AO280" t="str">
        <f>IFERROR(VLOOKUP(M280,'Fixture Identities'!$B$9:$O$1045,14,FALSE),"")</f>
        <v/>
      </c>
      <c r="AP280" t="str">
        <f t="shared" si="116"/>
        <v/>
      </c>
    </row>
    <row r="281" spans="1:42">
      <c r="A281" s="71">
        <f t="shared" si="124"/>
        <v>0</v>
      </c>
      <c r="B281" s="513">
        <f t="shared" si="123"/>
        <v>269</v>
      </c>
      <c r="C281" s="530" t="str">
        <f>IF(Inventory!E278="","",Inventory!E278)</f>
        <v/>
      </c>
      <c r="D281" s="531">
        <f>IF(Inventory!D278="",0,Inventory!D278)</f>
        <v>0</v>
      </c>
      <c r="E281" s="532" t="str">
        <f>IF(Inventory!I278=0,"",Inventory!I278)</f>
        <v/>
      </c>
      <c r="F281" s="533" t="str">
        <f t="shared" si="103"/>
        <v/>
      </c>
      <c r="G281" s="534" t="str">
        <f>IF(Inventory!G278="","",Inventory!G278)</f>
        <v/>
      </c>
      <c r="H281" s="535" t="str">
        <f t="shared" si="104"/>
        <v/>
      </c>
      <c r="I281" s="536" t="str">
        <f>IF(Inventory!J278="","",Inventory!J278)</f>
        <v/>
      </c>
      <c r="J281" s="537" t="str">
        <f>IFERROR(IF(PRJ_Type="New Construction",IF(Inventory!C278="N",INDEX(xyLPD_BuildingArea,MATCH(Building_Type,Lookups!$F$37:$F$75,0),4),INDEX(xyLPD_SpaceBySpace,MATCH(INDEX(xyNCEx,MATCH(I281,yNCExArea,0),2),ySpace_by_Space_Type,0),2)),VLOOKUP(E281,xyWattage_Table,11,FALSE)),"")</f>
        <v/>
      </c>
      <c r="K281" s="538" t="str">
        <f>IFERROR(IF(AND(NC_Type="Building Area Method",Inventory!C278="N"),IF(ISERROR(INDEX('Usage Groups (&gt;120 MWh only)'!$N$8:$N$12,MATCH(C281,'Usage Groups (&gt;120 MWh only)'!$B$8:$B$12,0),1))=TRUE,SqFt/COUNTIFS(Inventory!$C$10:$C$1009,"N",$Q$13:$Q$1012,"&gt;=0"),INDEX('Usage Groups (&gt;120 MWh only)'!$N$8:$N$12,MATCH(C281,'Usage Groups (&gt;120 MWh only)'!$B$8:$B$12,0),1)/COUNTIF($C$13:$C$1012,C281)),IF(AND(NC_Type="Building Area Method",Inventory!C278="Y"),INDEX(xyNCEx,MATCH(I281,yNCExArea,0),3)/COUNTIF($I$13:$I$1012,I281),VLOOKUP(J281,xyWattage_Table,10,FALSE))),"")</f>
        <v/>
      </c>
      <c r="L281" s="539" t="str">
        <f t="shared" si="105"/>
        <v/>
      </c>
      <c r="M281" s="540">
        <f>IF(Inventory!N278="","",Inventory!N278)</f>
        <v>0</v>
      </c>
      <c r="N281" s="533" t="str">
        <f t="shared" si="106"/>
        <v/>
      </c>
      <c r="O281" s="534"/>
      <c r="P281" s="533" t="str">
        <f t="shared" si="107"/>
        <v/>
      </c>
      <c r="Q281" s="534" t="str">
        <f>IF(Inventory!L278="","",Inventory!L278)</f>
        <v/>
      </c>
      <c r="R281" s="535" t="str">
        <f t="shared" si="108"/>
        <v/>
      </c>
      <c r="S281" s="536" t="str">
        <f>IF(Inventory!O278="","",Inventory!O278)</f>
        <v/>
      </c>
      <c r="T281" s="541" t="str">
        <f>IFERROR(IF(C281="","",IF(INDEX(xyWattage_Table,MATCH(M281,'Fixture Identities'!$B$9:$B$997,0),2)="Exit Sign",8760,IF(VLOOKUP(C281,xySpace_Type_Details,8,FALSE)="TRM",INDEX('General Information'!$AF$17:$AG$28,11,MATCH(N281,'General Information'!$AF$16:$AG$16,0)),HLOOKUP(VLOOKUP(C281,xySpace_Type_Details,8,FALSE),'General Information'!$P$15:$AG$28,13,FALSE)))),"")</f>
        <v/>
      </c>
      <c r="U281" s="542" t="str">
        <f>IFERROR(IF(C281="","",IF(INDEX(xyWattage_Table,MATCH(M281,'Fixture Identities'!$B$9:$B$997,0),2)="Exit Sign",1,IF(VLOOKUP(C281,xySpace_Type_Details,8,FALSE)="TRM",INDEX('General Information'!$AF$17:$AG$28,12,MATCH(N281,'General Information'!$AF$16:$AG$16,0)),HLOOKUP(VLOOKUP(C281,xySpace_Type_Details,8,FALSE),'General Information'!$P$15:$AG$28,14,FALSE)))),"")</f>
        <v/>
      </c>
      <c r="V281" s="542" t="str">
        <f>IFERROR(VLOOKUP(INDEX(xySpace_Type_Details,MATCH($C281,'General Information'!$C$40:$C$60,0),12),Lookups!$L$8:$N$12,2,FALSE),"")</f>
        <v/>
      </c>
      <c r="W281" s="542" t="str">
        <f>IFERROR(VLOOKUP(INDEX(xySpace_Type_Details,MATCH($C281,'General Information'!$C$40:$C$60,0),12),Lookups!$L$8:$N$12,3,FALSE),"")</f>
        <v/>
      </c>
      <c r="Y281" s="542" t="str">
        <f>IFERROR(IF(C281="","",IF(INDEX(xyWattage_Table,MATCH(M281,'Fixture Identities'!$B$9:$B$997,0),2)="Exit Sign",0,IF(PRJ_Type="Retrofit",VLOOKUP(I281,xySVG_Factors,2,FALSE),IF(AND(PRJ_Type="New Construction",Inventory!C278="N"),VLOOKUP(VLOOKUP(Building_Type,xyLPD_BuildingArea,5,FALSE),xySVG_Factors_NC,3,FALSE),0)))),"")</f>
        <v/>
      </c>
      <c r="Z281" s="544" t="str">
        <f>IFERROR(IF(C281="","",IF(INDEX(xyWattage_Table,MATCH(M281,'Fixture Identities'!$B$9:$B$997,0),2)="Exit Sign",0,VLOOKUP(S281,xySVG_Factors,2,FALSE))),"")</f>
        <v/>
      </c>
      <c r="AA281" s="545" t="str">
        <f t="shared" si="109"/>
        <v/>
      </c>
      <c r="AB281" s="542" t="str">
        <f t="shared" si="110"/>
        <v/>
      </c>
      <c r="AC281" s="539" t="str">
        <f t="shared" si="111"/>
        <v/>
      </c>
      <c r="AD281" s="546" t="str">
        <f t="shared" si="112"/>
        <v/>
      </c>
      <c r="AE281" s="539" t="str">
        <f t="shared" si="113"/>
        <v/>
      </c>
      <c r="AF281" s="546" t="str">
        <f t="shared" si="114"/>
        <v/>
      </c>
      <c r="AG281" s="539" t="str">
        <f t="shared" si="115"/>
        <v/>
      </c>
      <c r="AH281" s="32">
        <f t="shared" si="117"/>
        <v>0</v>
      </c>
      <c r="AI281" s="32">
        <f t="shared" si="118"/>
        <v>0</v>
      </c>
      <c r="AJ281" s="32">
        <f t="shared" si="119"/>
        <v>0</v>
      </c>
      <c r="AK281" t="str">
        <f t="shared" si="120"/>
        <v/>
      </c>
      <c r="AL281" t="str">
        <f t="shared" si="121"/>
        <v/>
      </c>
      <c r="AM281" t="str">
        <f t="shared" si="122"/>
        <v/>
      </c>
      <c r="AO281" t="str">
        <f>IFERROR(VLOOKUP(M281,'Fixture Identities'!$B$9:$O$1045,14,FALSE),"")</f>
        <v/>
      </c>
      <c r="AP281" t="str">
        <f t="shared" si="116"/>
        <v/>
      </c>
    </row>
    <row r="282" spans="1:42">
      <c r="A282" s="71">
        <f t="shared" si="124"/>
        <v>0</v>
      </c>
      <c r="B282" s="513">
        <f t="shared" si="123"/>
        <v>270</v>
      </c>
      <c r="C282" s="530" t="str">
        <f>IF(Inventory!E279="","",Inventory!E279)</f>
        <v/>
      </c>
      <c r="D282" s="531">
        <f>IF(Inventory!D279="",0,Inventory!D279)</f>
        <v>0</v>
      </c>
      <c r="E282" s="532" t="str">
        <f>IF(Inventory!I279=0,"",Inventory!I279)</f>
        <v/>
      </c>
      <c r="F282" s="533" t="str">
        <f t="shared" si="103"/>
        <v/>
      </c>
      <c r="G282" s="534" t="str">
        <f>IF(Inventory!G279="","",Inventory!G279)</f>
        <v/>
      </c>
      <c r="H282" s="535" t="str">
        <f t="shared" si="104"/>
        <v/>
      </c>
      <c r="I282" s="536" t="str">
        <f>IF(Inventory!J279="","",Inventory!J279)</f>
        <v/>
      </c>
      <c r="J282" s="537" t="str">
        <f>IFERROR(IF(PRJ_Type="New Construction",IF(Inventory!C279="N",INDEX(xyLPD_BuildingArea,MATCH(Building_Type,Lookups!$F$37:$F$75,0),4),INDEX(xyLPD_SpaceBySpace,MATCH(INDEX(xyNCEx,MATCH(I282,yNCExArea,0),2),ySpace_by_Space_Type,0),2)),VLOOKUP(E282,xyWattage_Table,11,FALSE)),"")</f>
        <v/>
      </c>
      <c r="K282" s="538" t="str">
        <f>IFERROR(IF(AND(NC_Type="Building Area Method",Inventory!C279="N"),IF(ISERROR(INDEX('Usage Groups (&gt;120 MWh only)'!$N$8:$N$12,MATCH(C282,'Usage Groups (&gt;120 MWh only)'!$B$8:$B$12,0),1))=TRUE,SqFt/COUNTIFS(Inventory!$C$10:$C$1009,"N",$Q$13:$Q$1012,"&gt;=0"),INDEX('Usage Groups (&gt;120 MWh only)'!$N$8:$N$12,MATCH(C282,'Usage Groups (&gt;120 MWh only)'!$B$8:$B$12,0),1)/COUNTIF($C$13:$C$1012,C282)),IF(AND(NC_Type="Building Area Method",Inventory!C279="Y"),INDEX(xyNCEx,MATCH(I282,yNCExArea,0),3)/COUNTIF($I$13:$I$1012,I282),VLOOKUP(J282,xyWattage_Table,10,FALSE))),"")</f>
        <v/>
      </c>
      <c r="L282" s="539" t="str">
        <f t="shared" si="105"/>
        <v/>
      </c>
      <c r="M282" s="540">
        <f>IF(Inventory!N279="","",Inventory!N279)</f>
        <v>0</v>
      </c>
      <c r="N282" s="533" t="str">
        <f t="shared" si="106"/>
        <v/>
      </c>
      <c r="O282" s="534"/>
      <c r="P282" s="533" t="str">
        <f t="shared" si="107"/>
        <v/>
      </c>
      <c r="Q282" s="534" t="str">
        <f>IF(Inventory!L279="","",Inventory!L279)</f>
        <v/>
      </c>
      <c r="R282" s="535" t="str">
        <f t="shared" si="108"/>
        <v/>
      </c>
      <c r="S282" s="536" t="str">
        <f>IF(Inventory!O279="","",Inventory!O279)</f>
        <v/>
      </c>
      <c r="T282" s="541" t="str">
        <f>IFERROR(IF(C282="","",IF(INDEX(xyWattage_Table,MATCH(M282,'Fixture Identities'!$B$9:$B$997,0),2)="Exit Sign",8760,IF(VLOOKUP(C282,xySpace_Type_Details,8,FALSE)="TRM",INDEX('General Information'!$AF$17:$AG$28,11,MATCH(N282,'General Information'!$AF$16:$AG$16,0)),HLOOKUP(VLOOKUP(C282,xySpace_Type_Details,8,FALSE),'General Information'!$P$15:$AG$28,13,FALSE)))),"")</f>
        <v/>
      </c>
      <c r="U282" s="542" t="str">
        <f>IFERROR(IF(C282="","",IF(INDEX(xyWattage_Table,MATCH(M282,'Fixture Identities'!$B$9:$B$997,0),2)="Exit Sign",1,IF(VLOOKUP(C282,xySpace_Type_Details,8,FALSE)="TRM",INDEX('General Information'!$AF$17:$AG$28,12,MATCH(N282,'General Information'!$AF$16:$AG$16,0)),HLOOKUP(VLOOKUP(C282,xySpace_Type_Details,8,FALSE),'General Information'!$P$15:$AG$28,14,FALSE)))),"")</f>
        <v/>
      </c>
      <c r="V282" s="542" t="str">
        <f>IFERROR(VLOOKUP(INDEX(xySpace_Type_Details,MATCH($C282,'General Information'!$C$40:$C$60,0),12),Lookups!$L$8:$N$12,2,FALSE),"")</f>
        <v/>
      </c>
      <c r="W282" s="542" t="str">
        <f>IFERROR(VLOOKUP(INDEX(xySpace_Type_Details,MATCH($C282,'General Information'!$C$40:$C$60,0),12),Lookups!$L$8:$N$12,3,FALSE),"")</f>
        <v/>
      </c>
      <c r="Y282" s="542" t="str">
        <f>IFERROR(IF(C282="","",IF(INDEX(xyWattage_Table,MATCH(M282,'Fixture Identities'!$B$9:$B$997,0),2)="Exit Sign",0,IF(PRJ_Type="Retrofit",VLOOKUP(I282,xySVG_Factors,2,FALSE),IF(AND(PRJ_Type="New Construction",Inventory!C279="N"),VLOOKUP(VLOOKUP(Building_Type,xyLPD_BuildingArea,5,FALSE),xySVG_Factors_NC,3,FALSE),0)))),"")</f>
        <v/>
      </c>
      <c r="Z282" s="544" t="str">
        <f>IFERROR(IF(C282="","",IF(INDEX(xyWattage_Table,MATCH(M282,'Fixture Identities'!$B$9:$B$997,0),2)="Exit Sign",0,VLOOKUP(S282,xySVG_Factors,2,FALSE))),"")</f>
        <v/>
      </c>
      <c r="AA282" s="545" t="str">
        <f t="shared" si="109"/>
        <v/>
      </c>
      <c r="AB282" s="542" t="str">
        <f t="shared" si="110"/>
        <v/>
      </c>
      <c r="AC282" s="539" t="str">
        <f t="shared" si="111"/>
        <v/>
      </c>
      <c r="AD282" s="546" t="str">
        <f t="shared" si="112"/>
        <v/>
      </c>
      <c r="AE282" s="539" t="str">
        <f t="shared" si="113"/>
        <v/>
      </c>
      <c r="AF282" s="546" t="str">
        <f t="shared" si="114"/>
        <v/>
      </c>
      <c r="AG282" s="539" t="str">
        <f t="shared" si="115"/>
        <v/>
      </c>
      <c r="AH282" s="32">
        <f t="shared" si="117"/>
        <v>0</v>
      </c>
      <c r="AI282" s="32">
        <f t="shared" si="118"/>
        <v>0</v>
      </c>
      <c r="AJ282" s="32">
        <f t="shared" si="119"/>
        <v>0</v>
      </c>
      <c r="AK282" t="str">
        <f t="shared" si="120"/>
        <v/>
      </c>
      <c r="AL282" t="str">
        <f t="shared" si="121"/>
        <v/>
      </c>
      <c r="AM282" t="str">
        <f t="shared" si="122"/>
        <v/>
      </c>
      <c r="AO282" t="str">
        <f>IFERROR(VLOOKUP(M282,'Fixture Identities'!$B$9:$O$1045,14,FALSE),"")</f>
        <v/>
      </c>
      <c r="AP282" t="str">
        <f t="shared" si="116"/>
        <v/>
      </c>
    </row>
    <row r="283" spans="1:42">
      <c r="A283" s="71">
        <f t="shared" si="124"/>
        <v>0</v>
      </c>
      <c r="B283" s="513">
        <f t="shared" si="123"/>
        <v>271</v>
      </c>
      <c r="C283" s="530" t="str">
        <f>IF(Inventory!E280="","",Inventory!E280)</f>
        <v/>
      </c>
      <c r="D283" s="531">
        <f>IF(Inventory!D280="",0,Inventory!D280)</f>
        <v>0</v>
      </c>
      <c r="E283" s="532" t="str">
        <f>IF(Inventory!I280=0,"",Inventory!I280)</f>
        <v/>
      </c>
      <c r="F283" s="533" t="str">
        <f t="shared" si="103"/>
        <v/>
      </c>
      <c r="G283" s="534" t="str">
        <f>IF(Inventory!G280="","",Inventory!G280)</f>
        <v/>
      </c>
      <c r="H283" s="535" t="str">
        <f t="shared" si="104"/>
        <v/>
      </c>
      <c r="I283" s="536" t="str">
        <f>IF(Inventory!J280="","",Inventory!J280)</f>
        <v/>
      </c>
      <c r="J283" s="537" t="str">
        <f>IFERROR(IF(PRJ_Type="New Construction",IF(Inventory!C280="N",INDEX(xyLPD_BuildingArea,MATCH(Building_Type,Lookups!$F$37:$F$75,0),4),INDEX(xyLPD_SpaceBySpace,MATCH(INDEX(xyNCEx,MATCH(I283,yNCExArea,0),2),ySpace_by_Space_Type,0),2)),VLOOKUP(E283,xyWattage_Table,11,FALSE)),"")</f>
        <v/>
      </c>
      <c r="K283" s="538" t="str">
        <f>IFERROR(IF(AND(NC_Type="Building Area Method",Inventory!C280="N"),IF(ISERROR(INDEX('Usage Groups (&gt;120 MWh only)'!$N$8:$N$12,MATCH(C283,'Usage Groups (&gt;120 MWh only)'!$B$8:$B$12,0),1))=TRUE,SqFt/COUNTIFS(Inventory!$C$10:$C$1009,"N",$Q$13:$Q$1012,"&gt;=0"),INDEX('Usage Groups (&gt;120 MWh only)'!$N$8:$N$12,MATCH(C283,'Usage Groups (&gt;120 MWh only)'!$B$8:$B$12,0),1)/COUNTIF($C$13:$C$1012,C283)),IF(AND(NC_Type="Building Area Method",Inventory!C280="Y"),INDEX(xyNCEx,MATCH(I283,yNCExArea,0),3)/COUNTIF($I$13:$I$1012,I283),VLOOKUP(J283,xyWattage_Table,10,FALSE))),"")</f>
        <v/>
      </c>
      <c r="L283" s="539" t="str">
        <f t="shared" si="105"/>
        <v/>
      </c>
      <c r="M283" s="540">
        <f>IF(Inventory!N280="","",Inventory!N280)</f>
        <v>0</v>
      </c>
      <c r="N283" s="533" t="str">
        <f t="shared" si="106"/>
        <v/>
      </c>
      <c r="O283" s="534"/>
      <c r="P283" s="533" t="str">
        <f t="shared" si="107"/>
        <v/>
      </c>
      <c r="Q283" s="534" t="str">
        <f>IF(Inventory!L280="","",Inventory!L280)</f>
        <v/>
      </c>
      <c r="R283" s="535" t="str">
        <f t="shared" si="108"/>
        <v/>
      </c>
      <c r="S283" s="536" t="str">
        <f>IF(Inventory!O280="","",Inventory!O280)</f>
        <v/>
      </c>
      <c r="T283" s="541" t="str">
        <f>IFERROR(IF(C283="","",IF(INDEX(xyWattage_Table,MATCH(M283,'Fixture Identities'!$B$9:$B$997,0),2)="Exit Sign",8760,IF(VLOOKUP(C283,xySpace_Type_Details,8,FALSE)="TRM",INDEX('General Information'!$AF$17:$AG$28,11,MATCH(N283,'General Information'!$AF$16:$AG$16,0)),HLOOKUP(VLOOKUP(C283,xySpace_Type_Details,8,FALSE),'General Information'!$P$15:$AG$28,13,FALSE)))),"")</f>
        <v/>
      </c>
      <c r="U283" s="542" t="str">
        <f>IFERROR(IF(C283="","",IF(INDEX(xyWattage_Table,MATCH(M283,'Fixture Identities'!$B$9:$B$997,0),2)="Exit Sign",1,IF(VLOOKUP(C283,xySpace_Type_Details,8,FALSE)="TRM",INDEX('General Information'!$AF$17:$AG$28,12,MATCH(N283,'General Information'!$AF$16:$AG$16,0)),HLOOKUP(VLOOKUP(C283,xySpace_Type_Details,8,FALSE),'General Information'!$P$15:$AG$28,14,FALSE)))),"")</f>
        <v/>
      </c>
      <c r="V283" s="542" t="str">
        <f>IFERROR(VLOOKUP(INDEX(xySpace_Type_Details,MATCH($C283,'General Information'!$C$40:$C$60,0),12),Lookups!$L$8:$N$12,2,FALSE),"")</f>
        <v/>
      </c>
      <c r="W283" s="542" t="str">
        <f>IFERROR(VLOOKUP(INDEX(xySpace_Type_Details,MATCH($C283,'General Information'!$C$40:$C$60,0),12),Lookups!$L$8:$N$12,3,FALSE),"")</f>
        <v/>
      </c>
      <c r="Y283" s="542" t="str">
        <f>IFERROR(IF(C283="","",IF(INDEX(xyWattage_Table,MATCH(M283,'Fixture Identities'!$B$9:$B$997,0),2)="Exit Sign",0,IF(PRJ_Type="Retrofit",VLOOKUP(I283,xySVG_Factors,2,FALSE),IF(AND(PRJ_Type="New Construction",Inventory!C280="N"),VLOOKUP(VLOOKUP(Building_Type,xyLPD_BuildingArea,5,FALSE),xySVG_Factors_NC,3,FALSE),0)))),"")</f>
        <v/>
      </c>
      <c r="Z283" s="544" t="str">
        <f>IFERROR(IF(C283="","",IF(INDEX(xyWattage_Table,MATCH(M283,'Fixture Identities'!$B$9:$B$997,0),2)="Exit Sign",0,VLOOKUP(S283,xySVG_Factors,2,FALSE))),"")</f>
        <v/>
      </c>
      <c r="AA283" s="545" t="str">
        <f t="shared" si="109"/>
        <v/>
      </c>
      <c r="AB283" s="542" t="str">
        <f t="shared" si="110"/>
        <v/>
      </c>
      <c r="AC283" s="539" t="str">
        <f t="shared" si="111"/>
        <v/>
      </c>
      <c r="AD283" s="546" t="str">
        <f t="shared" si="112"/>
        <v/>
      </c>
      <c r="AE283" s="539" t="str">
        <f t="shared" si="113"/>
        <v/>
      </c>
      <c r="AF283" s="546" t="str">
        <f t="shared" si="114"/>
        <v/>
      </c>
      <c r="AG283" s="539" t="str">
        <f t="shared" si="115"/>
        <v/>
      </c>
      <c r="AH283" s="32">
        <f t="shared" si="117"/>
        <v>0</v>
      </c>
      <c r="AI283" s="32">
        <f t="shared" si="118"/>
        <v>0</v>
      </c>
      <c r="AJ283" s="32">
        <f t="shared" si="119"/>
        <v>0</v>
      </c>
      <c r="AK283" t="str">
        <f t="shared" si="120"/>
        <v/>
      </c>
      <c r="AL283" t="str">
        <f t="shared" si="121"/>
        <v/>
      </c>
      <c r="AM283" t="str">
        <f t="shared" si="122"/>
        <v/>
      </c>
      <c r="AO283" t="str">
        <f>IFERROR(VLOOKUP(M283,'Fixture Identities'!$B$9:$O$1045,14,FALSE),"")</f>
        <v/>
      </c>
      <c r="AP283" t="str">
        <f t="shared" si="116"/>
        <v/>
      </c>
    </row>
    <row r="284" spans="1:42">
      <c r="A284" s="71">
        <f t="shared" si="124"/>
        <v>0</v>
      </c>
      <c r="B284" s="513">
        <f t="shared" si="123"/>
        <v>272</v>
      </c>
      <c r="C284" s="530" t="str">
        <f>IF(Inventory!E281="","",Inventory!E281)</f>
        <v/>
      </c>
      <c r="D284" s="531">
        <f>IF(Inventory!D281="",0,Inventory!D281)</f>
        <v>0</v>
      </c>
      <c r="E284" s="532" t="str">
        <f>IF(Inventory!I281=0,"",Inventory!I281)</f>
        <v/>
      </c>
      <c r="F284" s="533" t="str">
        <f t="shared" si="103"/>
        <v/>
      </c>
      <c r="G284" s="534" t="str">
        <f>IF(Inventory!G281="","",Inventory!G281)</f>
        <v/>
      </c>
      <c r="H284" s="535" t="str">
        <f t="shared" si="104"/>
        <v/>
      </c>
      <c r="I284" s="536" t="str">
        <f>IF(Inventory!J281="","",Inventory!J281)</f>
        <v/>
      </c>
      <c r="J284" s="537" t="str">
        <f>IFERROR(IF(PRJ_Type="New Construction",IF(Inventory!C281="N",INDEX(xyLPD_BuildingArea,MATCH(Building_Type,Lookups!$F$37:$F$75,0),4),INDEX(xyLPD_SpaceBySpace,MATCH(INDEX(xyNCEx,MATCH(I284,yNCExArea,0),2),ySpace_by_Space_Type,0),2)),VLOOKUP(E284,xyWattage_Table,11,FALSE)),"")</f>
        <v/>
      </c>
      <c r="K284" s="538" t="str">
        <f>IFERROR(IF(AND(NC_Type="Building Area Method",Inventory!C281="N"),IF(ISERROR(INDEX('Usage Groups (&gt;120 MWh only)'!$N$8:$N$12,MATCH(C284,'Usage Groups (&gt;120 MWh only)'!$B$8:$B$12,0),1))=TRUE,SqFt/COUNTIFS(Inventory!$C$10:$C$1009,"N",$Q$13:$Q$1012,"&gt;=0"),INDEX('Usage Groups (&gt;120 MWh only)'!$N$8:$N$12,MATCH(C284,'Usage Groups (&gt;120 MWh only)'!$B$8:$B$12,0),1)/COUNTIF($C$13:$C$1012,C284)),IF(AND(NC_Type="Building Area Method",Inventory!C281="Y"),INDEX(xyNCEx,MATCH(I284,yNCExArea,0),3)/COUNTIF($I$13:$I$1012,I284),VLOOKUP(J284,xyWattage_Table,10,FALSE))),"")</f>
        <v/>
      </c>
      <c r="L284" s="539" t="str">
        <f t="shared" si="105"/>
        <v/>
      </c>
      <c r="M284" s="540">
        <f>IF(Inventory!N281="","",Inventory!N281)</f>
        <v>0</v>
      </c>
      <c r="N284" s="533" t="str">
        <f t="shared" si="106"/>
        <v/>
      </c>
      <c r="O284" s="534"/>
      <c r="P284" s="533" t="str">
        <f t="shared" si="107"/>
        <v/>
      </c>
      <c r="Q284" s="534" t="str">
        <f>IF(Inventory!L281="","",Inventory!L281)</f>
        <v/>
      </c>
      <c r="R284" s="535" t="str">
        <f t="shared" si="108"/>
        <v/>
      </c>
      <c r="S284" s="536" t="str">
        <f>IF(Inventory!O281="","",Inventory!O281)</f>
        <v/>
      </c>
      <c r="T284" s="541" t="str">
        <f>IFERROR(IF(C284="","",IF(INDEX(xyWattage_Table,MATCH(M284,'Fixture Identities'!$B$9:$B$997,0),2)="Exit Sign",8760,IF(VLOOKUP(C284,xySpace_Type_Details,8,FALSE)="TRM",INDEX('General Information'!$AF$17:$AG$28,11,MATCH(N284,'General Information'!$AF$16:$AG$16,0)),HLOOKUP(VLOOKUP(C284,xySpace_Type_Details,8,FALSE),'General Information'!$P$15:$AG$28,13,FALSE)))),"")</f>
        <v/>
      </c>
      <c r="U284" s="542" t="str">
        <f>IFERROR(IF(C284="","",IF(INDEX(xyWattage_Table,MATCH(M284,'Fixture Identities'!$B$9:$B$997,0),2)="Exit Sign",1,IF(VLOOKUP(C284,xySpace_Type_Details,8,FALSE)="TRM",INDEX('General Information'!$AF$17:$AG$28,12,MATCH(N284,'General Information'!$AF$16:$AG$16,0)),HLOOKUP(VLOOKUP(C284,xySpace_Type_Details,8,FALSE),'General Information'!$P$15:$AG$28,14,FALSE)))),"")</f>
        <v/>
      </c>
      <c r="V284" s="542" t="str">
        <f>IFERROR(VLOOKUP(INDEX(xySpace_Type_Details,MATCH($C284,'General Information'!$C$40:$C$60,0),12),Lookups!$L$8:$N$12,2,FALSE),"")</f>
        <v/>
      </c>
      <c r="W284" s="542" t="str">
        <f>IFERROR(VLOOKUP(INDEX(xySpace_Type_Details,MATCH($C284,'General Information'!$C$40:$C$60,0),12),Lookups!$L$8:$N$12,3,FALSE),"")</f>
        <v/>
      </c>
      <c r="Y284" s="542" t="str">
        <f>IFERROR(IF(C284="","",IF(INDEX(xyWattage_Table,MATCH(M284,'Fixture Identities'!$B$9:$B$997,0),2)="Exit Sign",0,IF(PRJ_Type="Retrofit",VLOOKUP(I284,xySVG_Factors,2,FALSE),IF(AND(PRJ_Type="New Construction",Inventory!C281="N"),VLOOKUP(VLOOKUP(Building_Type,xyLPD_BuildingArea,5,FALSE),xySVG_Factors_NC,3,FALSE),0)))),"")</f>
        <v/>
      </c>
      <c r="Z284" s="544" t="str">
        <f>IFERROR(IF(C284="","",IF(INDEX(xyWattage_Table,MATCH(M284,'Fixture Identities'!$B$9:$B$997,0),2)="Exit Sign",0,VLOOKUP(S284,xySVG_Factors,2,FALSE))),"")</f>
        <v/>
      </c>
      <c r="AA284" s="545" t="str">
        <f t="shared" si="109"/>
        <v/>
      </c>
      <c r="AB284" s="542" t="str">
        <f t="shared" si="110"/>
        <v/>
      </c>
      <c r="AC284" s="539" t="str">
        <f t="shared" si="111"/>
        <v/>
      </c>
      <c r="AD284" s="546" t="str">
        <f t="shared" si="112"/>
        <v/>
      </c>
      <c r="AE284" s="539" t="str">
        <f t="shared" si="113"/>
        <v/>
      </c>
      <c r="AF284" s="546" t="str">
        <f t="shared" si="114"/>
        <v/>
      </c>
      <c r="AG284" s="539" t="str">
        <f t="shared" si="115"/>
        <v/>
      </c>
      <c r="AH284" s="32">
        <f t="shared" si="117"/>
        <v>0</v>
      </c>
      <c r="AI284" s="32">
        <f t="shared" si="118"/>
        <v>0</v>
      </c>
      <c r="AJ284" s="32">
        <f t="shared" si="119"/>
        <v>0</v>
      </c>
      <c r="AK284" t="str">
        <f t="shared" si="120"/>
        <v/>
      </c>
      <c r="AL284" t="str">
        <f t="shared" si="121"/>
        <v/>
      </c>
      <c r="AM284" t="str">
        <f t="shared" si="122"/>
        <v/>
      </c>
      <c r="AO284" t="str">
        <f>IFERROR(VLOOKUP(M284,'Fixture Identities'!$B$9:$O$1045,14,FALSE),"")</f>
        <v/>
      </c>
      <c r="AP284" t="str">
        <f t="shared" si="116"/>
        <v/>
      </c>
    </row>
    <row r="285" spans="1:42">
      <c r="A285" s="71">
        <f t="shared" si="124"/>
        <v>0</v>
      </c>
      <c r="B285" s="513">
        <f t="shared" si="123"/>
        <v>273</v>
      </c>
      <c r="C285" s="530" t="str">
        <f>IF(Inventory!E282="","",Inventory!E282)</f>
        <v/>
      </c>
      <c r="D285" s="531">
        <f>IF(Inventory!D282="",0,Inventory!D282)</f>
        <v>0</v>
      </c>
      <c r="E285" s="532" t="str">
        <f>IF(Inventory!I282=0,"",Inventory!I282)</f>
        <v/>
      </c>
      <c r="F285" s="533" t="str">
        <f t="shared" si="103"/>
        <v/>
      </c>
      <c r="G285" s="534" t="str">
        <f>IF(Inventory!G282="","",Inventory!G282)</f>
        <v/>
      </c>
      <c r="H285" s="535" t="str">
        <f t="shared" si="104"/>
        <v/>
      </c>
      <c r="I285" s="536" t="str">
        <f>IF(Inventory!J282="","",Inventory!J282)</f>
        <v/>
      </c>
      <c r="J285" s="537" t="str">
        <f>IFERROR(IF(PRJ_Type="New Construction",IF(Inventory!C282="N",INDEX(xyLPD_BuildingArea,MATCH(Building_Type,Lookups!$F$37:$F$75,0),4),INDEX(xyLPD_SpaceBySpace,MATCH(INDEX(xyNCEx,MATCH(I285,yNCExArea,0),2),ySpace_by_Space_Type,0),2)),VLOOKUP(E285,xyWattage_Table,11,FALSE)),"")</f>
        <v/>
      </c>
      <c r="K285" s="538" t="str">
        <f>IFERROR(IF(AND(NC_Type="Building Area Method",Inventory!C282="N"),IF(ISERROR(INDEX('Usage Groups (&gt;120 MWh only)'!$N$8:$N$12,MATCH(C285,'Usage Groups (&gt;120 MWh only)'!$B$8:$B$12,0),1))=TRUE,SqFt/COUNTIFS(Inventory!$C$10:$C$1009,"N",$Q$13:$Q$1012,"&gt;=0"),INDEX('Usage Groups (&gt;120 MWh only)'!$N$8:$N$12,MATCH(C285,'Usage Groups (&gt;120 MWh only)'!$B$8:$B$12,0),1)/COUNTIF($C$13:$C$1012,C285)),IF(AND(NC_Type="Building Area Method",Inventory!C282="Y"),INDEX(xyNCEx,MATCH(I285,yNCExArea,0),3)/COUNTIF($I$13:$I$1012,I285),VLOOKUP(J285,xyWattage_Table,10,FALSE))),"")</f>
        <v/>
      </c>
      <c r="L285" s="539" t="str">
        <f t="shared" si="105"/>
        <v/>
      </c>
      <c r="M285" s="540">
        <f>IF(Inventory!N282="","",Inventory!N282)</f>
        <v>0</v>
      </c>
      <c r="N285" s="533" t="str">
        <f t="shared" si="106"/>
        <v/>
      </c>
      <c r="O285" s="534"/>
      <c r="P285" s="533" t="str">
        <f t="shared" si="107"/>
        <v/>
      </c>
      <c r="Q285" s="534" t="str">
        <f>IF(Inventory!L282="","",Inventory!L282)</f>
        <v/>
      </c>
      <c r="R285" s="535" t="str">
        <f t="shared" si="108"/>
        <v/>
      </c>
      <c r="S285" s="536" t="str">
        <f>IF(Inventory!O282="","",Inventory!O282)</f>
        <v/>
      </c>
      <c r="T285" s="541" t="str">
        <f>IFERROR(IF(C285="","",IF(INDEX(xyWattage_Table,MATCH(M285,'Fixture Identities'!$B$9:$B$997,0),2)="Exit Sign",8760,IF(VLOOKUP(C285,xySpace_Type_Details,8,FALSE)="TRM",INDEX('General Information'!$AF$17:$AG$28,11,MATCH(N285,'General Information'!$AF$16:$AG$16,0)),HLOOKUP(VLOOKUP(C285,xySpace_Type_Details,8,FALSE),'General Information'!$P$15:$AG$28,13,FALSE)))),"")</f>
        <v/>
      </c>
      <c r="U285" s="542" t="str">
        <f>IFERROR(IF(C285="","",IF(INDEX(xyWattage_Table,MATCH(M285,'Fixture Identities'!$B$9:$B$997,0),2)="Exit Sign",1,IF(VLOOKUP(C285,xySpace_Type_Details,8,FALSE)="TRM",INDEX('General Information'!$AF$17:$AG$28,12,MATCH(N285,'General Information'!$AF$16:$AG$16,0)),HLOOKUP(VLOOKUP(C285,xySpace_Type_Details,8,FALSE),'General Information'!$P$15:$AG$28,14,FALSE)))),"")</f>
        <v/>
      </c>
      <c r="V285" s="542" t="str">
        <f>IFERROR(VLOOKUP(INDEX(xySpace_Type_Details,MATCH($C285,'General Information'!$C$40:$C$60,0),12),Lookups!$L$8:$N$12,2,FALSE),"")</f>
        <v/>
      </c>
      <c r="W285" s="542" t="str">
        <f>IFERROR(VLOOKUP(INDEX(xySpace_Type_Details,MATCH($C285,'General Information'!$C$40:$C$60,0),12),Lookups!$L$8:$N$12,3,FALSE),"")</f>
        <v/>
      </c>
      <c r="Y285" s="542" t="str">
        <f>IFERROR(IF(C285="","",IF(INDEX(xyWattage_Table,MATCH(M285,'Fixture Identities'!$B$9:$B$997,0),2)="Exit Sign",0,IF(PRJ_Type="Retrofit",VLOOKUP(I285,xySVG_Factors,2,FALSE),IF(AND(PRJ_Type="New Construction",Inventory!C282="N"),VLOOKUP(VLOOKUP(Building_Type,xyLPD_BuildingArea,5,FALSE),xySVG_Factors_NC,3,FALSE),0)))),"")</f>
        <v/>
      </c>
      <c r="Z285" s="544" t="str">
        <f>IFERROR(IF(C285="","",IF(INDEX(xyWattage_Table,MATCH(M285,'Fixture Identities'!$B$9:$B$997,0),2)="Exit Sign",0,VLOOKUP(S285,xySVG_Factors,2,FALSE))),"")</f>
        <v/>
      </c>
      <c r="AA285" s="545" t="str">
        <f t="shared" si="109"/>
        <v/>
      </c>
      <c r="AB285" s="542" t="str">
        <f t="shared" si="110"/>
        <v/>
      </c>
      <c r="AC285" s="539" t="str">
        <f t="shared" si="111"/>
        <v/>
      </c>
      <c r="AD285" s="546" t="str">
        <f t="shared" si="112"/>
        <v/>
      </c>
      <c r="AE285" s="539" t="str">
        <f t="shared" si="113"/>
        <v/>
      </c>
      <c r="AF285" s="546" t="str">
        <f t="shared" si="114"/>
        <v/>
      </c>
      <c r="AG285" s="539" t="str">
        <f t="shared" si="115"/>
        <v/>
      </c>
      <c r="AH285" s="32">
        <f t="shared" si="117"/>
        <v>0</v>
      </c>
      <c r="AI285" s="32">
        <f t="shared" si="118"/>
        <v>0</v>
      </c>
      <c r="AJ285" s="32">
        <f t="shared" si="119"/>
        <v>0</v>
      </c>
      <c r="AK285" t="str">
        <f t="shared" si="120"/>
        <v/>
      </c>
      <c r="AL285" t="str">
        <f t="shared" si="121"/>
        <v/>
      </c>
      <c r="AM285" t="str">
        <f t="shared" si="122"/>
        <v/>
      </c>
      <c r="AO285" t="str">
        <f>IFERROR(VLOOKUP(M285,'Fixture Identities'!$B$9:$O$1045,14,FALSE),"")</f>
        <v/>
      </c>
      <c r="AP285" t="str">
        <f t="shared" si="116"/>
        <v/>
      </c>
    </row>
    <row r="286" spans="1:42">
      <c r="A286" s="71">
        <f t="shared" si="124"/>
        <v>0</v>
      </c>
      <c r="B286" s="513">
        <f t="shared" si="123"/>
        <v>274</v>
      </c>
      <c r="C286" s="530" t="str">
        <f>IF(Inventory!E283="","",Inventory!E283)</f>
        <v/>
      </c>
      <c r="D286" s="531">
        <f>IF(Inventory!D283="",0,Inventory!D283)</f>
        <v>0</v>
      </c>
      <c r="E286" s="532" t="str">
        <f>IF(Inventory!I283=0,"",Inventory!I283)</f>
        <v/>
      </c>
      <c r="F286" s="533" t="str">
        <f t="shared" si="103"/>
        <v/>
      </c>
      <c r="G286" s="534" t="str">
        <f>IF(Inventory!G283="","",Inventory!G283)</f>
        <v/>
      </c>
      <c r="H286" s="535" t="str">
        <f t="shared" si="104"/>
        <v/>
      </c>
      <c r="I286" s="536" t="str">
        <f>IF(Inventory!J283="","",Inventory!J283)</f>
        <v/>
      </c>
      <c r="J286" s="537" t="str">
        <f>IFERROR(IF(PRJ_Type="New Construction",IF(Inventory!C283="N",INDEX(xyLPD_BuildingArea,MATCH(Building_Type,Lookups!$F$37:$F$75,0),4),INDEX(xyLPD_SpaceBySpace,MATCH(INDEX(xyNCEx,MATCH(I286,yNCExArea,0),2),ySpace_by_Space_Type,0),2)),VLOOKUP(E286,xyWattage_Table,11,FALSE)),"")</f>
        <v/>
      </c>
      <c r="K286" s="538" t="str">
        <f>IFERROR(IF(AND(NC_Type="Building Area Method",Inventory!C283="N"),IF(ISERROR(INDEX('Usage Groups (&gt;120 MWh only)'!$N$8:$N$12,MATCH(C286,'Usage Groups (&gt;120 MWh only)'!$B$8:$B$12,0),1))=TRUE,SqFt/COUNTIFS(Inventory!$C$10:$C$1009,"N",$Q$13:$Q$1012,"&gt;=0"),INDEX('Usage Groups (&gt;120 MWh only)'!$N$8:$N$12,MATCH(C286,'Usage Groups (&gt;120 MWh only)'!$B$8:$B$12,0),1)/COUNTIF($C$13:$C$1012,C286)),IF(AND(NC_Type="Building Area Method",Inventory!C283="Y"),INDEX(xyNCEx,MATCH(I286,yNCExArea,0),3)/COUNTIF($I$13:$I$1012,I286),VLOOKUP(J286,xyWattage_Table,10,FALSE))),"")</f>
        <v/>
      </c>
      <c r="L286" s="539" t="str">
        <f t="shared" si="105"/>
        <v/>
      </c>
      <c r="M286" s="540">
        <f>IF(Inventory!N283="","",Inventory!N283)</f>
        <v>0</v>
      </c>
      <c r="N286" s="533" t="str">
        <f t="shared" si="106"/>
        <v/>
      </c>
      <c r="O286" s="534"/>
      <c r="P286" s="533" t="str">
        <f t="shared" si="107"/>
        <v/>
      </c>
      <c r="Q286" s="534" t="str">
        <f>IF(Inventory!L283="","",Inventory!L283)</f>
        <v/>
      </c>
      <c r="R286" s="535" t="str">
        <f t="shared" si="108"/>
        <v/>
      </c>
      <c r="S286" s="536" t="str">
        <f>IF(Inventory!O283="","",Inventory!O283)</f>
        <v/>
      </c>
      <c r="T286" s="541" t="str">
        <f>IFERROR(IF(C286="","",IF(INDEX(xyWattage_Table,MATCH(M286,'Fixture Identities'!$B$9:$B$997,0),2)="Exit Sign",8760,IF(VLOOKUP(C286,xySpace_Type_Details,8,FALSE)="TRM",INDEX('General Information'!$AF$17:$AG$28,11,MATCH(N286,'General Information'!$AF$16:$AG$16,0)),HLOOKUP(VLOOKUP(C286,xySpace_Type_Details,8,FALSE),'General Information'!$P$15:$AG$28,13,FALSE)))),"")</f>
        <v/>
      </c>
      <c r="U286" s="542" t="str">
        <f>IFERROR(IF(C286="","",IF(INDEX(xyWattage_Table,MATCH(M286,'Fixture Identities'!$B$9:$B$997,0),2)="Exit Sign",1,IF(VLOOKUP(C286,xySpace_Type_Details,8,FALSE)="TRM",INDEX('General Information'!$AF$17:$AG$28,12,MATCH(N286,'General Information'!$AF$16:$AG$16,0)),HLOOKUP(VLOOKUP(C286,xySpace_Type_Details,8,FALSE),'General Information'!$P$15:$AG$28,14,FALSE)))),"")</f>
        <v/>
      </c>
      <c r="V286" s="542" t="str">
        <f>IFERROR(VLOOKUP(INDEX(xySpace_Type_Details,MATCH($C286,'General Information'!$C$40:$C$60,0),12),Lookups!$L$8:$N$12,2,FALSE),"")</f>
        <v/>
      </c>
      <c r="W286" s="542" t="str">
        <f>IFERROR(VLOOKUP(INDEX(xySpace_Type_Details,MATCH($C286,'General Information'!$C$40:$C$60,0),12),Lookups!$L$8:$N$12,3,FALSE),"")</f>
        <v/>
      </c>
      <c r="Y286" s="542" t="str">
        <f>IFERROR(IF(C286="","",IF(INDEX(xyWattage_Table,MATCH(M286,'Fixture Identities'!$B$9:$B$997,0),2)="Exit Sign",0,IF(PRJ_Type="Retrofit",VLOOKUP(I286,xySVG_Factors,2,FALSE),IF(AND(PRJ_Type="New Construction",Inventory!C283="N"),VLOOKUP(VLOOKUP(Building_Type,xyLPD_BuildingArea,5,FALSE),xySVG_Factors_NC,3,FALSE),0)))),"")</f>
        <v/>
      </c>
      <c r="Z286" s="544" t="str">
        <f>IFERROR(IF(C286="","",IF(INDEX(xyWattage_Table,MATCH(M286,'Fixture Identities'!$B$9:$B$997,0),2)="Exit Sign",0,VLOOKUP(S286,xySVG_Factors,2,FALSE))),"")</f>
        <v/>
      </c>
      <c r="AA286" s="545" t="str">
        <f t="shared" si="109"/>
        <v/>
      </c>
      <c r="AB286" s="542" t="str">
        <f t="shared" si="110"/>
        <v/>
      </c>
      <c r="AC286" s="539" t="str">
        <f t="shared" si="111"/>
        <v/>
      </c>
      <c r="AD286" s="546" t="str">
        <f t="shared" si="112"/>
        <v/>
      </c>
      <c r="AE286" s="539" t="str">
        <f t="shared" si="113"/>
        <v/>
      </c>
      <c r="AF286" s="546" t="str">
        <f t="shared" si="114"/>
        <v/>
      </c>
      <c r="AG286" s="539" t="str">
        <f t="shared" si="115"/>
        <v/>
      </c>
      <c r="AH286" s="32">
        <f t="shared" si="117"/>
        <v>0</v>
      </c>
      <c r="AI286" s="32">
        <f t="shared" si="118"/>
        <v>0</v>
      </c>
      <c r="AJ286" s="32">
        <f t="shared" si="119"/>
        <v>0</v>
      </c>
      <c r="AK286" t="str">
        <f t="shared" si="120"/>
        <v/>
      </c>
      <c r="AL286" t="str">
        <f t="shared" si="121"/>
        <v/>
      </c>
      <c r="AM286" t="str">
        <f t="shared" si="122"/>
        <v/>
      </c>
      <c r="AO286" t="str">
        <f>IFERROR(VLOOKUP(M286,'Fixture Identities'!$B$9:$O$1045,14,FALSE),"")</f>
        <v/>
      </c>
      <c r="AP286" t="str">
        <f t="shared" si="116"/>
        <v/>
      </c>
    </row>
    <row r="287" spans="1:42">
      <c r="A287" s="71">
        <f t="shared" si="124"/>
        <v>0</v>
      </c>
      <c r="B287" s="513">
        <f t="shared" si="123"/>
        <v>275</v>
      </c>
      <c r="C287" s="530" t="str">
        <f>IF(Inventory!E284="","",Inventory!E284)</f>
        <v/>
      </c>
      <c r="D287" s="531">
        <f>IF(Inventory!D284="",0,Inventory!D284)</f>
        <v>0</v>
      </c>
      <c r="E287" s="532" t="str">
        <f>IF(Inventory!I284=0,"",Inventory!I284)</f>
        <v/>
      </c>
      <c r="F287" s="533" t="str">
        <f t="shared" si="103"/>
        <v/>
      </c>
      <c r="G287" s="534" t="str">
        <f>IF(Inventory!G284="","",Inventory!G284)</f>
        <v/>
      </c>
      <c r="H287" s="535" t="str">
        <f t="shared" si="104"/>
        <v/>
      </c>
      <c r="I287" s="536" t="str">
        <f>IF(Inventory!J284="","",Inventory!J284)</f>
        <v/>
      </c>
      <c r="J287" s="537" t="str">
        <f>IFERROR(IF(PRJ_Type="New Construction",IF(Inventory!C284="N",INDEX(xyLPD_BuildingArea,MATCH(Building_Type,Lookups!$F$37:$F$75,0),4),INDEX(xyLPD_SpaceBySpace,MATCH(INDEX(xyNCEx,MATCH(I287,yNCExArea,0),2),ySpace_by_Space_Type,0),2)),VLOOKUP(E287,xyWattage_Table,11,FALSE)),"")</f>
        <v/>
      </c>
      <c r="K287" s="538" t="str">
        <f>IFERROR(IF(AND(NC_Type="Building Area Method",Inventory!C284="N"),IF(ISERROR(INDEX('Usage Groups (&gt;120 MWh only)'!$N$8:$N$12,MATCH(C287,'Usage Groups (&gt;120 MWh only)'!$B$8:$B$12,0),1))=TRUE,SqFt/COUNTIFS(Inventory!$C$10:$C$1009,"N",$Q$13:$Q$1012,"&gt;=0"),INDEX('Usage Groups (&gt;120 MWh only)'!$N$8:$N$12,MATCH(C287,'Usage Groups (&gt;120 MWh only)'!$B$8:$B$12,0),1)/COUNTIF($C$13:$C$1012,C287)),IF(AND(NC_Type="Building Area Method",Inventory!C284="Y"),INDEX(xyNCEx,MATCH(I287,yNCExArea,0),3)/COUNTIF($I$13:$I$1012,I287),VLOOKUP(J287,xyWattage_Table,10,FALSE))),"")</f>
        <v/>
      </c>
      <c r="L287" s="539" t="str">
        <f t="shared" si="105"/>
        <v/>
      </c>
      <c r="M287" s="540">
        <f>IF(Inventory!N284="","",Inventory!N284)</f>
        <v>0</v>
      </c>
      <c r="N287" s="533" t="str">
        <f t="shared" si="106"/>
        <v/>
      </c>
      <c r="O287" s="534"/>
      <c r="P287" s="533" t="str">
        <f t="shared" si="107"/>
        <v/>
      </c>
      <c r="Q287" s="534" t="str">
        <f>IF(Inventory!L284="","",Inventory!L284)</f>
        <v/>
      </c>
      <c r="R287" s="535" t="str">
        <f t="shared" si="108"/>
        <v/>
      </c>
      <c r="S287" s="536" t="str">
        <f>IF(Inventory!O284="","",Inventory!O284)</f>
        <v/>
      </c>
      <c r="T287" s="541" t="str">
        <f>IFERROR(IF(C287="","",IF(INDEX(xyWattage_Table,MATCH(M287,'Fixture Identities'!$B$9:$B$997,0),2)="Exit Sign",8760,IF(VLOOKUP(C287,xySpace_Type_Details,8,FALSE)="TRM",INDEX('General Information'!$AF$17:$AG$28,11,MATCH(N287,'General Information'!$AF$16:$AG$16,0)),HLOOKUP(VLOOKUP(C287,xySpace_Type_Details,8,FALSE),'General Information'!$P$15:$AG$28,13,FALSE)))),"")</f>
        <v/>
      </c>
      <c r="U287" s="542" t="str">
        <f>IFERROR(IF(C287="","",IF(INDEX(xyWattage_Table,MATCH(M287,'Fixture Identities'!$B$9:$B$997,0),2)="Exit Sign",1,IF(VLOOKUP(C287,xySpace_Type_Details,8,FALSE)="TRM",INDEX('General Information'!$AF$17:$AG$28,12,MATCH(N287,'General Information'!$AF$16:$AG$16,0)),HLOOKUP(VLOOKUP(C287,xySpace_Type_Details,8,FALSE),'General Information'!$P$15:$AG$28,14,FALSE)))),"")</f>
        <v/>
      </c>
      <c r="V287" s="542" t="str">
        <f>IFERROR(VLOOKUP(INDEX(xySpace_Type_Details,MATCH($C287,'General Information'!$C$40:$C$60,0),12),Lookups!$L$8:$N$12,2,FALSE),"")</f>
        <v/>
      </c>
      <c r="W287" s="542" t="str">
        <f>IFERROR(VLOOKUP(INDEX(xySpace_Type_Details,MATCH($C287,'General Information'!$C$40:$C$60,0),12),Lookups!$L$8:$N$12,3,FALSE),"")</f>
        <v/>
      </c>
      <c r="Y287" s="542" t="str">
        <f>IFERROR(IF(C287="","",IF(INDEX(xyWattage_Table,MATCH(M287,'Fixture Identities'!$B$9:$B$997,0),2)="Exit Sign",0,IF(PRJ_Type="Retrofit",VLOOKUP(I287,xySVG_Factors,2,FALSE),IF(AND(PRJ_Type="New Construction",Inventory!C284="N"),VLOOKUP(VLOOKUP(Building_Type,xyLPD_BuildingArea,5,FALSE),xySVG_Factors_NC,3,FALSE),0)))),"")</f>
        <v/>
      </c>
      <c r="Z287" s="544" t="str">
        <f>IFERROR(IF(C287="","",IF(INDEX(xyWattage_Table,MATCH(M287,'Fixture Identities'!$B$9:$B$997,0),2)="Exit Sign",0,VLOOKUP(S287,xySVG_Factors,2,FALSE))),"")</f>
        <v/>
      </c>
      <c r="AA287" s="545" t="str">
        <f t="shared" si="109"/>
        <v/>
      </c>
      <c r="AB287" s="542" t="str">
        <f t="shared" si="110"/>
        <v/>
      </c>
      <c r="AC287" s="539" t="str">
        <f t="shared" si="111"/>
        <v/>
      </c>
      <c r="AD287" s="546" t="str">
        <f t="shared" si="112"/>
        <v/>
      </c>
      <c r="AE287" s="539" t="str">
        <f t="shared" si="113"/>
        <v/>
      </c>
      <c r="AF287" s="546" t="str">
        <f t="shared" si="114"/>
        <v/>
      </c>
      <c r="AG287" s="539" t="str">
        <f t="shared" si="115"/>
        <v/>
      </c>
      <c r="AH287" s="32">
        <f t="shared" si="117"/>
        <v>0</v>
      </c>
      <c r="AI287" s="32">
        <f t="shared" si="118"/>
        <v>0</v>
      </c>
      <c r="AJ287" s="32">
        <f t="shared" si="119"/>
        <v>0</v>
      </c>
      <c r="AK287" t="str">
        <f t="shared" si="120"/>
        <v/>
      </c>
      <c r="AL287" t="str">
        <f t="shared" si="121"/>
        <v/>
      </c>
      <c r="AM287" t="str">
        <f t="shared" si="122"/>
        <v/>
      </c>
      <c r="AO287" t="str">
        <f>IFERROR(VLOOKUP(M287,'Fixture Identities'!$B$9:$O$1045,14,FALSE),"")</f>
        <v/>
      </c>
      <c r="AP287" t="str">
        <f t="shared" si="116"/>
        <v/>
      </c>
    </row>
    <row r="288" spans="1:42">
      <c r="A288" s="71">
        <f t="shared" si="124"/>
        <v>0</v>
      </c>
      <c r="B288" s="513">
        <f t="shared" si="123"/>
        <v>276</v>
      </c>
      <c r="C288" s="530" t="str">
        <f>IF(Inventory!E285="","",Inventory!E285)</f>
        <v/>
      </c>
      <c r="D288" s="531">
        <f>IF(Inventory!D285="",0,Inventory!D285)</f>
        <v>0</v>
      </c>
      <c r="E288" s="532" t="str">
        <f>IF(Inventory!I285=0,"",Inventory!I285)</f>
        <v/>
      </c>
      <c r="F288" s="533" t="str">
        <f t="shared" si="103"/>
        <v/>
      </c>
      <c r="G288" s="534" t="str">
        <f>IF(Inventory!G285="","",Inventory!G285)</f>
        <v/>
      </c>
      <c r="H288" s="535" t="str">
        <f t="shared" si="104"/>
        <v/>
      </c>
      <c r="I288" s="536" t="str">
        <f>IF(Inventory!J285="","",Inventory!J285)</f>
        <v/>
      </c>
      <c r="J288" s="537" t="str">
        <f>IFERROR(IF(PRJ_Type="New Construction",IF(Inventory!C285="N",INDEX(xyLPD_BuildingArea,MATCH(Building_Type,Lookups!$F$37:$F$75,0),4),INDEX(xyLPD_SpaceBySpace,MATCH(INDEX(xyNCEx,MATCH(I288,yNCExArea,0),2),ySpace_by_Space_Type,0),2)),VLOOKUP(E288,xyWattage_Table,11,FALSE)),"")</f>
        <v/>
      </c>
      <c r="K288" s="538" t="str">
        <f>IFERROR(IF(AND(NC_Type="Building Area Method",Inventory!C285="N"),IF(ISERROR(INDEX('Usage Groups (&gt;120 MWh only)'!$N$8:$N$12,MATCH(C288,'Usage Groups (&gt;120 MWh only)'!$B$8:$B$12,0),1))=TRUE,SqFt/COUNTIFS(Inventory!$C$10:$C$1009,"N",$Q$13:$Q$1012,"&gt;=0"),INDEX('Usage Groups (&gt;120 MWh only)'!$N$8:$N$12,MATCH(C288,'Usage Groups (&gt;120 MWh only)'!$B$8:$B$12,0),1)/COUNTIF($C$13:$C$1012,C288)),IF(AND(NC_Type="Building Area Method",Inventory!C285="Y"),INDEX(xyNCEx,MATCH(I288,yNCExArea,0),3)/COUNTIF($I$13:$I$1012,I288),VLOOKUP(J288,xyWattage_Table,10,FALSE))),"")</f>
        <v/>
      </c>
      <c r="L288" s="539" t="str">
        <f t="shared" si="105"/>
        <v/>
      </c>
      <c r="M288" s="540">
        <f>IF(Inventory!N285="","",Inventory!N285)</f>
        <v>0</v>
      </c>
      <c r="N288" s="533" t="str">
        <f t="shared" si="106"/>
        <v/>
      </c>
      <c r="O288" s="534"/>
      <c r="P288" s="533" t="str">
        <f t="shared" si="107"/>
        <v/>
      </c>
      <c r="Q288" s="534" t="str">
        <f>IF(Inventory!L285="","",Inventory!L285)</f>
        <v/>
      </c>
      <c r="R288" s="535" t="str">
        <f t="shared" si="108"/>
        <v/>
      </c>
      <c r="S288" s="536" t="str">
        <f>IF(Inventory!O285="","",Inventory!O285)</f>
        <v/>
      </c>
      <c r="T288" s="541" t="str">
        <f>IFERROR(IF(C288="","",IF(INDEX(xyWattage_Table,MATCH(M288,'Fixture Identities'!$B$9:$B$997,0),2)="Exit Sign",8760,IF(VLOOKUP(C288,xySpace_Type_Details,8,FALSE)="TRM",INDEX('General Information'!$AF$17:$AG$28,11,MATCH(N288,'General Information'!$AF$16:$AG$16,0)),HLOOKUP(VLOOKUP(C288,xySpace_Type_Details,8,FALSE),'General Information'!$P$15:$AG$28,13,FALSE)))),"")</f>
        <v/>
      </c>
      <c r="U288" s="542" t="str">
        <f>IFERROR(IF(C288="","",IF(INDEX(xyWattage_Table,MATCH(M288,'Fixture Identities'!$B$9:$B$997,0),2)="Exit Sign",1,IF(VLOOKUP(C288,xySpace_Type_Details,8,FALSE)="TRM",INDEX('General Information'!$AF$17:$AG$28,12,MATCH(N288,'General Information'!$AF$16:$AG$16,0)),HLOOKUP(VLOOKUP(C288,xySpace_Type_Details,8,FALSE),'General Information'!$P$15:$AG$28,14,FALSE)))),"")</f>
        <v/>
      </c>
      <c r="V288" s="542" t="str">
        <f>IFERROR(VLOOKUP(INDEX(xySpace_Type_Details,MATCH($C288,'General Information'!$C$40:$C$60,0),12),Lookups!$L$8:$N$12,2,FALSE),"")</f>
        <v/>
      </c>
      <c r="W288" s="542" t="str">
        <f>IFERROR(VLOOKUP(INDEX(xySpace_Type_Details,MATCH($C288,'General Information'!$C$40:$C$60,0),12),Lookups!$L$8:$N$12,3,FALSE),"")</f>
        <v/>
      </c>
      <c r="Y288" s="542" t="str">
        <f>IFERROR(IF(C288="","",IF(INDEX(xyWattage_Table,MATCH(M288,'Fixture Identities'!$B$9:$B$997,0),2)="Exit Sign",0,IF(PRJ_Type="Retrofit",VLOOKUP(I288,xySVG_Factors,2,FALSE),IF(AND(PRJ_Type="New Construction",Inventory!C285="N"),VLOOKUP(VLOOKUP(Building_Type,xyLPD_BuildingArea,5,FALSE),xySVG_Factors_NC,3,FALSE),0)))),"")</f>
        <v/>
      </c>
      <c r="Z288" s="544" t="str">
        <f>IFERROR(IF(C288="","",IF(INDEX(xyWattage_Table,MATCH(M288,'Fixture Identities'!$B$9:$B$997,0),2)="Exit Sign",0,VLOOKUP(S288,xySVG_Factors,2,FALSE))),"")</f>
        <v/>
      </c>
      <c r="AA288" s="545" t="str">
        <f t="shared" si="109"/>
        <v/>
      </c>
      <c r="AB288" s="542" t="str">
        <f t="shared" si="110"/>
        <v/>
      </c>
      <c r="AC288" s="539" t="str">
        <f t="shared" si="111"/>
        <v/>
      </c>
      <c r="AD288" s="546" t="str">
        <f t="shared" si="112"/>
        <v/>
      </c>
      <c r="AE288" s="539" t="str">
        <f t="shared" si="113"/>
        <v/>
      </c>
      <c r="AF288" s="546" t="str">
        <f t="shared" si="114"/>
        <v/>
      </c>
      <c r="AG288" s="539" t="str">
        <f t="shared" si="115"/>
        <v/>
      </c>
      <c r="AH288" s="32">
        <f t="shared" si="117"/>
        <v>0</v>
      </c>
      <c r="AI288" s="32">
        <f t="shared" si="118"/>
        <v>0</v>
      </c>
      <c r="AJ288" s="32">
        <f t="shared" si="119"/>
        <v>0</v>
      </c>
      <c r="AK288" t="str">
        <f t="shared" si="120"/>
        <v/>
      </c>
      <c r="AL288" t="str">
        <f t="shared" si="121"/>
        <v/>
      </c>
      <c r="AM288" t="str">
        <f t="shared" si="122"/>
        <v/>
      </c>
      <c r="AO288" t="str">
        <f>IFERROR(VLOOKUP(M288,'Fixture Identities'!$B$9:$O$1045,14,FALSE),"")</f>
        <v/>
      </c>
      <c r="AP288" t="str">
        <f t="shared" si="116"/>
        <v/>
      </c>
    </row>
    <row r="289" spans="1:42">
      <c r="A289" s="71">
        <f t="shared" si="124"/>
        <v>0</v>
      </c>
      <c r="B289" s="513">
        <f t="shared" si="123"/>
        <v>277</v>
      </c>
      <c r="C289" s="530" t="str">
        <f>IF(Inventory!E286="","",Inventory!E286)</f>
        <v/>
      </c>
      <c r="D289" s="531">
        <f>IF(Inventory!D286="",0,Inventory!D286)</f>
        <v>0</v>
      </c>
      <c r="E289" s="532" t="str">
        <f>IF(Inventory!I286=0,"",Inventory!I286)</f>
        <v/>
      </c>
      <c r="F289" s="533" t="str">
        <f t="shared" si="103"/>
        <v/>
      </c>
      <c r="G289" s="534" t="str">
        <f>IF(Inventory!G286="","",Inventory!G286)</f>
        <v/>
      </c>
      <c r="H289" s="535" t="str">
        <f t="shared" si="104"/>
        <v/>
      </c>
      <c r="I289" s="536" t="str">
        <f>IF(Inventory!J286="","",Inventory!J286)</f>
        <v/>
      </c>
      <c r="J289" s="537" t="str">
        <f>IFERROR(IF(PRJ_Type="New Construction",IF(Inventory!C286="N",INDEX(xyLPD_BuildingArea,MATCH(Building_Type,Lookups!$F$37:$F$75,0),4),INDEX(xyLPD_SpaceBySpace,MATCH(INDEX(xyNCEx,MATCH(I289,yNCExArea,0),2),ySpace_by_Space_Type,0),2)),VLOOKUP(E289,xyWattage_Table,11,FALSE)),"")</f>
        <v/>
      </c>
      <c r="K289" s="538" t="str">
        <f>IFERROR(IF(AND(NC_Type="Building Area Method",Inventory!C286="N"),IF(ISERROR(INDEX('Usage Groups (&gt;120 MWh only)'!$N$8:$N$12,MATCH(C289,'Usage Groups (&gt;120 MWh only)'!$B$8:$B$12,0),1))=TRUE,SqFt/COUNTIFS(Inventory!$C$10:$C$1009,"N",$Q$13:$Q$1012,"&gt;=0"),INDEX('Usage Groups (&gt;120 MWh only)'!$N$8:$N$12,MATCH(C289,'Usage Groups (&gt;120 MWh only)'!$B$8:$B$12,0),1)/COUNTIF($C$13:$C$1012,C289)),IF(AND(NC_Type="Building Area Method",Inventory!C286="Y"),INDEX(xyNCEx,MATCH(I289,yNCExArea,0),3)/COUNTIF($I$13:$I$1012,I289),VLOOKUP(J289,xyWattage_Table,10,FALSE))),"")</f>
        <v/>
      </c>
      <c r="L289" s="539" t="str">
        <f t="shared" si="105"/>
        <v/>
      </c>
      <c r="M289" s="540">
        <f>IF(Inventory!N286="","",Inventory!N286)</f>
        <v>0</v>
      </c>
      <c r="N289" s="533" t="str">
        <f t="shared" si="106"/>
        <v/>
      </c>
      <c r="O289" s="534"/>
      <c r="P289" s="533" t="str">
        <f t="shared" si="107"/>
        <v/>
      </c>
      <c r="Q289" s="534" t="str">
        <f>IF(Inventory!L286="","",Inventory!L286)</f>
        <v/>
      </c>
      <c r="R289" s="535" t="str">
        <f t="shared" si="108"/>
        <v/>
      </c>
      <c r="S289" s="536" t="str">
        <f>IF(Inventory!O286="","",Inventory!O286)</f>
        <v/>
      </c>
      <c r="T289" s="541" t="str">
        <f>IFERROR(IF(C289="","",IF(INDEX(xyWattage_Table,MATCH(M289,'Fixture Identities'!$B$9:$B$997,0),2)="Exit Sign",8760,IF(VLOOKUP(C289,xySpace_Type_Details,8,FALSE)="TRM",INDEX('General Information'!$AF$17:$AG$28,11,MATCH(N289,'General Information'!$AF$16:$AG$16,0)),HLOOKUP(VLOOKUP(C289,xySpace_Type_Details,8,FALSE),'General Information'!$P$15:$AG$28,13,FALSE)))),"")</f>
        <v/>
      </c>
      <c r="U289" s="542" t="str">
        <f>IFERROR(IF(C289="","",IF(INDEX(xyWattage_Table,MATCH(M289,'Fixture Identities'!$B$9:$B$997,0),2)="Exit Sign",1,IF(VLOOKUP(C289,xySpace_Type_Details,8,FALSE)="TRM",INDEX('General Information'!$AF$17:$AG$28,12,MATCH(N289,'General Information'!$AF$16:$AG$16,0)),HLOOKUP(VLOOKUP(C289,xySpace_Type_Details,8,FALSE),'General Information'!$P$15:$AG$28,14,FALSE)))),"")</f>
        <v/>
      </c>
      <c r="V289" s="542" t="str">
        <f>IFERROR(VLOOKUP(INDEX(xySpace_Type_Details,MATCH($C289,'General Information'!$C$40:$C$60,0),12),Lookups!$L$8:$N$12,2,FALSE),"")</f>
        <v/>
      </c>
      <c r="W289" s="542" t="str">
        <f>IFERROR(VLOOKUP(INDEX(xySpace_Type_Details,MATCH($C289,'General Information'!$C$40:$C$60,0),12),Lookups!$L$8:$N$12,3,FALSE),"")</f>
        <v/>
      </c>
      <c r="Y289" s="542" t="str">
        <f>IFERROR(IF(C289="","",IF(INDEX(xyWattage_Table,MATCH(M289,'Fixture Identities'!$B$9:$B$997,0),2)="Exit Sign",0,IF(PRJ_Type="Retrofit",VLOOKUP(I289,xySVG_Factors,2,FALSE),IF(AND(PRJ_Type="New Construction",Inventory!C286="N"),VLOOKUP(VLOOKUP(Building_Type,xyLPD_BuildingArea,5,FALSE),xySVG_Factors_NC,3,FALSE),0)))),"")</f>
        <v/>
      </c>
      <c r="Z289" s="544" t="str">
        <f>IFERROR(IF(C289="","",IF(INDEX(xyWattage_Table,MATCH(M289,'Fixture Identities'!$B$9:$B$997,0),2)="Exit Sign",0,VLOOKUP(S289,xySVG_Factors,2,FALSE))),"")</f>
        <v/>
      </c>
      <c r="AA289" s="545" t="str">
        <f t="shared" si="109"/>
        <v/>
      </c>
      <c r="AB289" s="542" t="str">
        <f t="shared" si="110"/>
        <v/>
      </c>
      <c r="AC289" s="539" t="str">
        <f t="shared" si="111"/>
        <v/>
      </c>
      <c r="AD289" s="546" t="str">
        <f t="shared" si="112"/>
        <v/>
      </c>
      <c r="AE289" s="539" t="str">
        <f t="shared" si="113"/>
        <v/>
      </c>
      <c r="AF289" s="546" t="str">
        <f t="shared" si="114"/>
        <v/>
      </c>
      <c r="AG289" s="539" t="str">
        <f t="shared" si="115"/>
        <v/>
      </c>
      <c r="AH289" s="32">
        <f t="shared" si="117"/>
        <v>0</v>
      </c>
      <c r="AI289" s="32">
        <f t="shared" si="118"/>
        <v>0</v>
      </c>
      <c r="AJ289" s="32">
        <f t="shared" si="119"/>
        <v>0</v>
      </c>
      <c r="AK289" t="str">
        <f t="shared" si="120"/>
        <v/>
      </c>
      <c r="AL289" t="str">
        <f t="shared" si="121"/>
        <v/>
      </c>
      <c r="AM289" t="str">
        <f t="shared" si="122"/>
        <v/>
      </c>
      <c r="AO289" t="str">
        <f>IFERROR(VLOOKUP(M289,'Fixture Identities'!$B$9:$O$1045,14,FALSE),"")</f>
        <v/>
      </c>
      <c r="AP289" t="str">
        <f t="shared" si="116"/>
        <v/>
      </c>
    </row>
    <row r="290" spans="1:42">
      <c r="A290" s="71">
        <f t="shared" si="124"/>
        <v>0</v>
      </c>
      <c r="B290" s="513">
        <f t="shared" si="123"/>
        <v>278</v>
      </c>
      <c r="C290" s="530" t="str">
        <f>IF(Inventory!E287="","",Inventory!E287)</f>
        <v/>
      </c>
      <c r="D290" s="531">
        <f>IF(Inventory!D287="",0,Inventory!D287)</f>
        <v>0</v>
      </c>
      <c r="E290" s="532" t="str">
        <f>IF(Inventory!I287=0,"",Inventory!I287)</f>
        <v/>
      </c>
      <c r="F290" s="533" t="str">
        <f t="shared" si="103"/>
        <v/>
      </c>
      <c r="G290" s="534" t="str">
        <f>IF(Inventory!G287="","",Inventory!G287)</f>
        <v/>
      </c>
      <c r="H290" s="535" t="str">
        <f t="shared" si="104"/>
        <v/>
      </c>
      <c r="I290" s="536" t="str">
        <f>IF(Inventory!J287="","",Inventory!J287)</f>
        <v/>
      </c>
      <c r="J290" s="537" t="str">
        <f>IFERROR(IF(PRJ_Type="New Construction",IF(Inventory!C287="N",INDEX(xyLPD_BuildingArea,MATCH(Building_Type,Lookups!$F$37:$F$75,0),4),INDEX(xyLPD_SpaceBySpace,MATCH(INDEX(xyNCEx,MATCH(I290,yNCExArea,0),2),ySpace_by_Space_Type,0),2)),VLOOKUP(E290,xyWattage_Table,11,FALSE)),"")</f>
        <v/>
      </c>
      <c r="K290" s="538" t="str">
        <f>IFERROR(IF(AND(NC_Type="Building Area Method",Inventory!C287="N"),IF(ISERROR(INDEX('Usage Groups (&gt;120 MWh only)'!$N$8:$N$12,MATCH(C290,'Usage Groups (&gt;120 MWh only)'!$B$8:$B$12,0),1))=TRUE,SqFt/COUNTIFS(Inventory!$C$10:$C$1009,"N",$Q$13:$Q$1012,"&gt;=0"),INDEX('Usage Groups (&gt;120 MWh only)'!$N$8:$N$12,MATCH(C290,'Usage Groups (&gt;120 MWh only)'!$B$8:$B$12,0),1)/COUNTIF($C$13:$C$1012,C290)),IF(AND(NC_Type="Building Area Method",Inventory!C287="Y"),INDEX(xyNCEx,MATCH(I290,yNCExArea,0),3)/COUNTIF($I$13:$I$1012,I290),VLOOKUP(J290,xyWattage_Table,10,FALSE))),"")</f>
        <v/>
      </c>
      <c r="L290" s="539" t="str">
        <f t="shared" si="105"/>
        <v/>
      </c>
      <c r="M290" s="540">
        <f>IF(Inventory!N287="","",Inventory!N287)</f>
        <v>0</v>
      </c>
      <c r="N290" s="533" t="str">
        <f t="shared" si="106"/>
        <v/>
      </c>
      <c r="O290" s="534"/>
      <c r="P290" s="533" t="str">
        <f t="shared" si="107"/>
        <v/>
      </c>
      <c r="Q290" s="534" t="str">
        <f>IF(Inventory!L287="","",Inventory!L287)</f>
        <v/>
      </c>
      <c r="R290" s="535" t="str">
        <f t="shared" si="108"/>
        <v/>
      </c>
      <c r="S290" s="536" t="str">
        <f>IF(Inventory!O287="","",Inventory!O287)</f>
        <v/>
      </c>
      <c r="T290" s="541" t="str">
        <f>IFERROR(IF(C290="","",IF(INDEX(xyWattage_Table,MATCH(M290,'Fixture Identities'!$B$9:$B$997,0),2)="Exit Sign",8760,IF(VLOOKUP(C290,xySpace_Type_Details,8,FALSE)="TRM",INDEX('General Information'!$AF$17:$AG$28,11,MATCH(N290,'General Information'!$AF$16:$AG$16,0)),HLOOKUP(VLOOKUP(C290,xySpace_Type_Details,8,FALSE),'General Information'!$P$15:$AG$28,13,FALSE)))),"")</f>
        <v/>
      </c>
      <c r="U290" s="542" t="str">
        <f>IFERROR(IF(C290="","",IF(INDEX(xyWattage_Table,MATCH(M290,'Fixture Identities'!$B$9:$B$997,0),2)="Exit Sign",1,IF(VLOOKUP(C290,xySpace_Type_Details,8,FALSE)="TRM",INDEX('General Information'!$AF$17:$AG$28,12,MATCH(N290,'General Information'!$AF$16:$AG$16,0)),HLOOKUP(VLOOKUP(C290,xySpace_Type_Details,8,FALSE),'General Information'!$P$15:$AG$28,14,FALSE)))),"")</f>
        <v/>
      </c>
      <c r="V290" s="542" t="str">
        <f>IFERROR(VLOOKUP(INDEX(xySpace_Type_Details,MATCH($C290,'General Information'!$C$40:$C$60,0),12),Lookups!$L$8:$N$12,2,FALSE),"")</f>
        <v/>
      </c>
      <c r="W290" s="542" t="str">
        <f>IFERROR(VLOOKUP(INDEX(xySpace_Type_Details,MATCH($C290,'General Information'!$C$40:$C$60,0),12),Lookups!$L$8:$N$12,3,FALSE),"")</f>
        <v/>
      </c>
      <c r="Y290" s="542" t="str">
        <f>IFERROR(IF(C290="","",IF(INDEX(xyWattage_Table,MATCH(M290,'Fixture Identities'!$B$9:$B$997,0),2)="Exit Sign",0,IF(PRJ_Type="Retrofit",VLOOKUP(I290,xySVG_Factors,2,FALSE),IF(AND(PRJ_Type="New Construction",Inventory!C287="N"),VLOOKUP(VLOOKUP(Building_Type,xyLPD_BuildingArea,5,FALSE),xySVG_Factors_NC,3,FALSE),0)))),"")</f>
        <v/>
      </c>
      <c r="Z290" s="544" t="str">
        <f>IFERROR(IF(C290="","",IF(INDEX(xyWattage_Table,MATCH(M290,'Fixture Identities'!$B$9:$B$997,0),2)="Exit Sign",0,VLOOKUP(S290,xySVG_Factors,2,FALSE))),"")</f>
        <v/>
      </c>
      <c r="AA290" s="545" t="str">
        <f t="shared" si="109"/>
        <v/>
      </c>
      <c r="AB290" s="542" t="str">
        <f t="shared" si="110"/>
        <v/>
      </c>
      <c r="AC290" s="539" t="str">
        <f t="shared" si="111"/>
        <v/>
      </c>
      <c r="AD290" s="546" t="str">
        <f t="shared" si="112"/>
        <v/>
      </c>
      <c r="AE290" s="539" t="str">
        <f t="shared" si="113"/>
        <v/>
      </c>
      <c r="AF290" s="546" t="str">
        <f t="shared" si="114"/>
        <v/>
      </c>
      <c r="AG290" s="539" t="str">
        <f t="shared" si="115"/>
        <v/>
      </c>
      <c r="AH290" s="32">
        <f t="shared" si="117"/>
        <v>0</v>
      </c>
      <c r="AI290" s="32">
        <f t="shared" si="118"/>
        <v>0</v>
      </c>
      <c r="AJ290" s="32">
        <f t="shared" si="119"/>
        <v>0</v>
      </c>
      <c r="AK290" t="str">
        <f t="shared" si="120"/>
        <v/>
      </c>
      <c r="AL290" t="str">
        <f t="shared" si="121"/>
        <v/>
      </c>
      <c r="AM290" t="str">
        <f t="shared" si="122"/>
        <v/>
      </c>
      <c r="AO290" t="str">
        <f>IFERROR(VLOOKUP(M290,'Fixture Identities'!$B$9:$O$1045,14,FALSE),"")</f>
        <v/>
      </c>
      <c r="AP290" t="str">
        <f t="shared" si="116"/>
        <v/>
      </c>
    </row>
    <row r="291" spans="1:42">
      <c r="A291" s="71">
        <f t="shared" si="124"/>
        <v>0</v>
      </c>
      <c r="B291" s="513">
        <f t="shared" si="123"/>
        <v>279</v>
      </c>
      <c r="C291" s="530" t="str">
        <f>IF(Inventory!E288="","",Inventory!E288)</f>
        <v/>
      </c>
      <c r="D291" s="531">
        <f>IF(Inventory!D288="",0,Inventory!D288)</f>
        <v>0</v>
      </c>
      <c r="E291" s="532" t="str">
        <f>IF(Inventory!I288=0,"",Inventory!I288)</f>
        <v/>
      </c>
      <c r="F291" s="533" t="str">
        <f t="shared" si="103"/>
        <v/>
      </c>
      <c r="G291" s="534" t="str">
        <f>IF(Inventory!G288="","",Inventory!G288)</f>
        <v/>
      </c>
      <c r="H291" s="535" t="str">
        <f t="shared" si="104"/>
        <v/>
      </c>
      <c r="I291" s="536" t="str">
        <f>IF(Inventory!J288="","",Inventory!J288)</f>
        <v/>
      </c>
      <c r="J291" s="537" t="str">
        <f>IFERROR(IF(PRJ_Type="New Construction",IF(Inventory!C288="N",INDEX(xyLPD_BuildingArea,MATCH(Building_Type,Lookups!$F$37:$F$75,0),4),INDEX(xyLPD_SpaceBySpace,MATCH(INDEX(xyNCEx,MATCH(I291,yNCExArea,0),2),ySpace_by_Space_Type,0),2)),VLOOKUP(E291,xyWattage_Table,11,FALSE)),"")</f>
        <v/>
      </c>
      <c r="K291" s="538" t="str">
        <f>IFERROR(IF(AND(NC_Type="Building Area Method",Inventory!C288="N"),IF(ISERROR(INDEX('Usage Groups (&gt;120 MWh only)'!$N$8:$N$12,MATCH(C291,'Usage Groups (&gt;120 MWh only)'!$B$8:$B$12,0),1))=TRUE,SqFt/COUNTIFS(Inventory!$C$10:$C$1009,"N",$Q$13:$Q$1012,"&gt;=0"),INDEX('Usage Groups (&gt;120 MWh only)'!$N$8:$N$12,MATCH(C291,'Usage Groups (&gt;120 MWh only)'!$B$8:$B$12,0),1)/COUNTIF($C$13:$C$1012,C291)),IF(AND(NC_Type="Building Area Method",Inventory!C288="Y"),INDEX(xyNCEx,MATCH(I291,yNCExArea,0),3)/COUNTIF($I$13:$I$1012,I291),VLOOKUP(J291,xyWattage_Table,10,FALSE))),"")</f>
        <v/>
      </c>
      <c r="L291" s="539" t="str">
        <f t="shared" si="105"/>
        <v/>
      </c>
      <c r="M291" s="540">
        <f>IF(Inventory!N288="","",Inventory!N288)</f>
        <v>0</v>
      </c>
      <c r="N291" s="533" t="str">
        <f t="shared" si="106"/>
        <v/>
      </c>
      <c r="O291" s="534"/>
      <c r="P291" s="533" t="str">
        <f t="shared" si="107"/>
        <v/>
      </c>
      <c r="Q291" s="534" t="str">
        <f>IF(Inventory!L288="","",Inventory!L288)</f>
        <v/>
      </c>
      <c r="R291" s="535" t="str">
        <f t="shared" si="108"/>
        <v/>
      </c>
      <c r="S291" s="536" t="str">
        <f>IF(Inventory!O288="","",Inventory!O288)</f>
        <v/>
      </c>
      <c r="T291" s="541" t="str">
        <f>IFERROR(IF(C291="","",IF(INDEX(xyWattage_Table,MATCH(M291,'Fixture Identities'!$B$9:$B$997,0),2)="Exit Sign",8760,IF(VLOOKUP(C291,xySpace_Type_Details,8,FALSE)="TRM",INDEX('General Information'!$AF$17:$AG$28,11,MATCH(N291,'General Information'!$AF$16:$AG$16,0)),HLOOKUP(VLOOKUP(C291,xySpace_Type_Details,8,FALSE),'General Information'!$P$15:$AG$28,13,FALSE)))),"")</f>
        <v/>
      </c>
      <c r="U291" s="542" t="str">
        <f>IFERROR(IF(C291="","",IF(INDEX(xyWattage_Table,MATCH(M291,'Fixture Identities'!$B$9:$B$997,0),2)="Exit Sign",1,IF(VLOOKUP(C291,xySpace_Type_Details,8,FALSE)="TRM",INDEX('General Information'!$AF$17:$AG$28,12,MATCH(N291,'General Information'!$AF$16:$AG$16,0)),HLOOKUP(VLOOKUP(C291,xySpace_Type_Details,8,FALSE),'General Information'!$P$15:$AG$28,14,FALSE)))),"")</f>
        <v/>
      </c>
      <c r="V291" s="542" t="str">
        <f>IFERROR(VLOOKUP(INDEX(xySpace_Type_Details,MATCH($C291,'General Information'!$C$40:$C$60,0),12),Lookups!$L$8:$N$12,2,FALSE),"")</f>
        <v/>
      </c>
      <c r="W291" s="542" t="str">
        <f>IFERROR(VLOOKUP(INDEX(xySpace_Type_Details,MATCH($C291,'General Information'!$C$40:$C$60,0),12),Lookups!$L$8:$N$12,3,FALSE),"")</f>
        <v/>
      </c>
      <c r="Y291" s="542" t="str">
        <f>IFERROR(IF(C291="","",IF(INDEX(xyWattage_Table,MATCH(M291,'Fixture Identities'!$B$9:$B$997,0),2)="Exit Sign",0,IF(PRJ_Type="Retrofit",VLOOKUP(I291,xySVG_Factors,2,FALSE),IF(AND(PRJ_Type="New Construction",Inventory!C288="N"),VLOOKUP(VLOOKUP(Building_Type,xyLPD_BuildingArea,5,FALSE),xySVG_Factors_NC,3,FALSE),0)))),"")</f>
        <v/>
      </c>
      <c r="Z291" s="544" t="str">
        <f>IFERROR(IF(C291="","",IF(INDEX(xyWattage_Table,MATCH(M291,'Fixture Identities'!$B$9:$B$997,0),2)="Exit Sign",0,VLOOKUP(S291,xySVG_Factors,2,FALSE))),"")</f>
        <v/>
      </c>
      <c r="AA291" s="545" t="str">
        <f t="shared" si="109"/>
        <v/>
      </c>
      <c r="AB291" s="542" t="str">
        <f t="shared" si="110"/>
        <v/>
      </c>
      <c r="AC291" s="539" t="str">
        <f t="shared" si="111"/>
        <v/>
      </c>
      <c r="AD291" s="546" t="str">
        <f t="shared" si="112"/>
        <v/>
      </c>
      <c r="AE291" s="539" t="str">
        <f t="shared" si="113"/>
        <v/>
      </c>
      <c r="AF291" s="546" t="str">
        <f t="shared" si="114"/>
        <v/>
      </c>
      <c r="AG291" s="539" t="str">
        <f t="shared" si="115"/>
        <v/>
      </c>
      <c r="AH291" s="32">
        <f t="shared" si="117"/>
        <v>0</v>
      </c>
      <c r="AI291" s="32">
        <f t="shared" si="118"/>
        <v>0</v>
      </c>
      <c r="AJ291" s="32">
        <f t="shared" si="119"/>
        <v>0</v>
      </c>
      <c r="AK291" t="str">
        <f t="shared" si="120"/>
        <v/>
      </c>
      <c r="AL291" t="str">
        <f t="shared" si="121"/>
        <v/>
      </c>
      <c r="AM291" t="str">
        <f t="shared" si="122"/>
        <v/>
      </c>
      <c r="AO291" t="str">
        <f>IFERROR(VLOOKUP(M291,'Fixture Identities'!$B$9:$O$1045,14,FALSE),"")</f>
        <v/>
      </c>
      <c r="AP291" t="str">
        <f t="shared" si="116"/>
        <v/>
      </c>
    </row>
    <row r="292" spans="1:42">
      <c r="A292" s="71">
        <f t="shared" si="124"/>
        <v>0</v>
      </c>
      <c r="B292" s="513">
        <f t="shared" si="123"/>
        <v>280</v>
      </c>
      <c r="C292" s="530" t="str">
        <f>IF(Inventory!E289="","",Inventory!E289)</f>
        <v/>
      </c>
      <c r="D292" s="531">
        <f>IF(Inventory!D289="",0,Inventory!D289)</f>
        <v>0</v>
      </c>
      <c r="E292" s="532" t="str">
        <f>IF(Inventory!I289=0,"",Inventory!I289)</f>
        <v/>
      </c>
      <c r="F292" s="533" t="str">
        <f t="shared" si="103"/>
        <v/>
      </c>
      <c r="G292" s="534" t="str">
        <f>IF(Inventory!G289="","",Inventory!G289)</f>
        <v/>
      </c>
      <c r="H292" s="535" t="str">
        <f t="shared" si="104"/>
        <v/>
      </c>
      <c r="I292" s="536" t="str">
        <f>IF(Inventory!J289="","",Inventory!J289)</f>
        <v/>
      </c>
      <c r="J292" s="537" t="str">
        <f>IFERROR(IF(PRJ_Type="New Construction",IF(Inventory!C289="N",INDEX(xyLPD_BuildingArea,MATCH(Building_Type,Lookups!$F$37:$F$75,0),4),INDEX(xyLPD_SpaceBySpace,MATCH(INDEX(xyNCEx,MATCH(I292,yNCExArea,0),2),ySpace_by_Space_Type,0),2)),VLOOKUP(E292,xyWattage_Table,11,FALSE)),"")</f>
        <v/>
      </c>
      <c r="K292" s="538" t="str">
        <f>IFERROR(IF(AND(NC_Type="Building Area Method",Inventory!C289="N"),IF(ISERROR(INDEX('Usage Groups (&gt;120 MWh only)'!$N$8:$N$12,MATCH(C292,'Usage Groups (&gt;120 MWh only)'!$B$8:$B$12,0),1))=TRUE,SqFt/COUNTIFS(Inventory!$C$10:$C$1009,"N",$Q$13:$Q$1012,"&gt;=0"),INDEX('Usage Groups (&gt;120 MWh only)'!$N$8:$N$12,MATCH(C292,'Usage Groups (&gt;120 MWh only)'!$B$8:$B$12,0),1)/COUNTIF($C$13:$C$1012,C292)),IF(AND(NC_Type="Building Area Method",Inventory!C289="Y"),INDEX(xyNCEx,MATCH(I292,yNCExArea,0),3)/COUNTIF($I$13:$I$1012,I292),VLOOKUP(J292,xyWattage_Table,10,FALSE))),"")</f>
        <v/>
      </c>
      <c r="L292" s="539" t="str">
        <f t="shared" si="105"/>
        <v/>
      </c>
      <c r="M292" s="540">
        <f>IF(Inventory!N289="","",Inventory!N289)</f>
        <v>0</v>
      </c>
      <c r="N292" s="533" t="str">
        <f t="shared" si="106"/>
        <v/>
      </c>
      <c r="O292" s="534"/>
      <c r="P292" s="533" t="str">
        <f t="shared" si="107"/>
        <v/>
      </c>
      <c r="Q292" s="534" t="str">
        <f>IF(Inventory!L289="","",Inventory!L289)</f>
        <v/>
      </c>
      <c r="R292" s="535" t="str">
        <f t="shared" si="108"/>
        <v/>
      </c>
      <c r="S292" s="536" t="str">
        <f>IF(Inventory!O289="","",Inventory!O289)</f>
        <v/>
      </c>
      <c r="T292" s="541" t="str">
        <f>IFERROR(IF(C292="","",IF(INDEX(xyWattage_Table,MATCH(M292,'Fixture Identities'!$B$9:$B$997,0),2)="Exit Sign",8760,IF(VLOOKUP(C292,xySpace_Type_Details,8,FALSE)="TRM",INDEX('General Information'!$AF$17:$AG$28,11,MATCH(N292,'General Information'!$AF$16:$AG$16,0)),HLOOKUP(VLOOKUP(C292,xySpace_Type_Details,8,FALSE),'General Information'!$P$15:$AG$28,13,FALSE)))),"")</f>
        <v/>
      </c>
      <c r="U292" s="542" t="str">
        <f>IFERROR(IF(C292="","",IF(INDEX(xyWattage_Table,MATCH(M292,'Fixture Identities'!$B$9:$B$997,0),2)="Exit Sign",1,IF(VLOOKUP(C292,xySpace_Type_Details,8,FALSE)="TRM",INDEX('General Information'!$AF$17:$AG$28,12,MATCH(N292,'General Information'!$AF$16:$AG$16,0)),HLOOKUP(VLOOKUP(C292,xySpace_Type_Details,8,FALSE),'General Information'!$P$15:$AG$28,14,FALSE)))),"")</f>
        <v/>
      </c>
      <c r="V292" s="542" t="str">
        <f>IFERROR(VLOOKUP(INDEX(xySpace_Type_Details,MATCH($C292,'General Information'!$C$40:$C$60,0),12),Lookups!$L$8:$N$12,2,FALSE),"")</f>
        <v/>
      </c>
      <c r="W292" s="542" t="str">
        <f>IFERROR(VLOOKUP(INDEX(xySpace_Type_Details,MATCH($C292,'General Information'!$C$40:$C$60,0),12),Lookups!$L$8:$N$12,3,FALSE),"")</f>
        <v/>
      </c>
      <c r="Y292" s="542" t="str">
        <f>IFERROR(IF(C292="","",IF(INDEX(xyWattage_Table,MATCH(M292,'Fixture Identities'!$B$9:$B$997,0),2)="Exit Sign",0,IF(PRJ_Type="Retrofit",VLOOKUP(I292,xySVG_Factors,2,FALSE),IF(AND(PRJ_Type="New Construction",Inventory!C289="N"),VLOOKUP(VLOOKUP(Building_Type,xyLPD_BuildingArea,5,FALSE),xySVG_Factors_NC,3,FALSE),0)))),"")</f>
        <v/>
      </c>
      <c r="Z292" s="544" t="str">
        <f>IFERROR(IF(C292="","",IF(INDEX(xyWattage_Table,MATCH(M292,'Fixture Identities'!$B$9:$B$997,0),2)="Exit Sign",0,VLOOKUP(S292,xySVG_Factors,2,FALSE))),"")</f>
        <v/>
      </c>
      <c r="AA292" s="545" t="str">
        <f t="shared" si="109"/>
        <v/>
      </c>
      <c r="AB292" s="542" t="str">
        <f t="shared" si="110"/>
        <v/>
      </c>
      <c r="AC292" s="539" t="str">
        <f t="shared" si="111"/>
        <v/>
      </c>
      <c r="AD292" s="546" t="str">
        <f t="shared" si="112"/>
        <v/>
      </c>
      <c r="AE292" s="539" t="str">
        <f t="shared" si="113"/>
        <v/>
      </c>
      <c r="AF292" s="546" t="str">
        <f t="shared" si="114"/>
        <v/>
      </c>
      <c r="AG292" s="539" t="str">
        <f t="shared" si="115"/>
        <v/>
      </c>
      <c r="AH292" s="32">
        <f t="shared" si="117"/>
        <v>0</v>
      </c>
      <c r="AI292" s="32">
        <f t="shared" si="118"/>
        <v>0</v>
      </c>
      <c r="AJ292" s="32">
        <f t="shared" si="119"/>
        <v>0</v>
      </c>
      <c r="AK292" t="str">
        <f t="shared" si="120"/>
        <v/>
      </c>
      <c r="AL292" t="str">
        <f t="shared" si="121"/>
        <v/>
      </c>
      <c r="AM292" t="str">
        <f t="shared" si="122"/>
        <v/>
      </c>
      <c r="AO292" t="str">
        <f>IFERROR(VLOOKUP(M292,'Fixture Identities'!$B$9:$O$1045,14,FALSE),"")</f>
        <v/>
      </c>
      <c r="AP292" t="str">
        <f t="shared" si="116"/>
        <v/>
      </c>
    </row>
    <row r="293" spans="1:42">
      <c r="A293" s="71">
        <f t="shared" si="124"/>
        <v>0</v>
      </c>
      <c r="B293" s="513">
        <f t="shared" si="123"/>
        <v>281</v>
      </c>
      <c r="C293" s="530" t="str">
        <f>IF(Inventory!E290="","",Inventory!E290)</f>
        <v/>
      </c>
      <c r="D293" s="531">
        <f>IF(Inventory!D290="",0,Inventory!D290)</f>
        <v>0</v>
      </c>
      <c r="E293" s="532" t="str">
        <f>IF(Inventory!I290=0,"",Inventory!I290)</f>
        <v/>
      </c>
      <c r="F293" s="533" t="str">
        <f t="shared" si="103"/>
        <v/>
      </c>
      <c r="G293" s="534" t="str">
        <f>IF(Inventory!G290="","",Inventory!G290)</f>
        <v/>
      </c>
      <c r="H293" s="535" t="str">
        <f t="shared" si="104"/>
        <v/>
      </c>
      <c r="I293" s="536" t="str">
        <f>IF(Inventory!J290="","",Inventory!J290)</f>
        <v/>
      </c>
      <c r="J293" s="537" t="str">
        <f>IFERROR(IF(PRJ_Type="New Construction",IF(Inventory!C290="N",INDEX(xyLPD_BuildingArea,MATCH(Building_Type,Lookups!$F$37:$F$75,0),4),INDEX(xyLPD_SpaceBySpace,MATCH(INDEX(xyNCEx,MATCH(I293,yNCExArea,0),2),ySpace_by_Space_Type,0),2)),VLOOKUP(E293,xyWattage_Table,11,FALSE)),"")</f>
        <v/>
      </c>
      <c r="K293" s="538" t="str">
        <f>IFERROR(IF(AND(NC_Type="Building Area Method",Inventory!C290="N"),IF(ISERROR(INDEX('Usage Groups (&gt;120 MWh only)'!$N$8:$N$12,MATCH(C293,'Usage Groups (&gt;120 MWh only)'!$B$8:$B$12,0),1))=TRUE,SqFt/COUNTIFS(Inventory!$C$10:$C$1009,"N",$Q$13:$Q$1012,"&gt;=0"),INDEX('Usage Groups (&gt;120 MWh only)'!$N$8:$N$12,MATCH(C293,'Usage Groups (&gt;120 MWh only)'!$B$8:$B$12,0),1)/COUNTIF($C$13:$C$1012,C293)),IF(AND(NC_Type="Building Area Method",Inventory!C290="Y"),INDEX(xyNCEx,MATCH(I293,yNCExArea,0),3)/COUNTIF($I$13:$I$1012,I293),VLOOKUP(J293,xyWattage_Table,10,FALSE))),"")</f>
        <v/>
      </c>
      <c r="L293" s="539" t="str">
        <f t="shared" si="105"/>
        <v/>
      </c>
      <c r="M293" s="540">
        <f>IF(Inventory!N290="","",Inventory!N290)</f>
        <v>0</v>
      </c>
      <c r="N293" s="533" t="str">
        <f t="shared" si="106"/>
        <v/>
      </c>
      <c r="O293" s="534"/>
      <c r="P293" s="533" t="str">
        <f t="shared" si="107"/>
        <v/>
      </c>
      <c r="Q293" s="534" t="str">
        <f>IF(Inventory!L290="","",Inventory!L290)</f>
        <v/>
      </c>
      <c r="R293" s="535" t="str">
        <f t="shared" si="108"/>
        <v/>
      </c>
      <c r="S293" s="536" t="str">
        <f>IF(Inventory!O290="","",Inventory!O290)</f>
        <v/>
      </c>
      <c r="T293" s="541" t="str">
        <f>IFERROR(IF(C293="","",IF(INDEX(xyWattage_Table,MATCH(M293,'Fixture Identities'!$B$9:$B$997,0),2)="Exit Sign",8760,IF(VLOOKUP(C293,xySpace_Type_Details,8,FALSE)="TRM",INDEX('General Information'!$AF$17:$AG$28,11,MATCH(N293,'General Information'!$AF$16:$AG$16,0)),HLOOKUP(VLOOKUP(C293,xySpace_Type_Details,8,FALSE),'General Information'!$P$15:$AG$28,13,FALSE)))),"")</f>
        <v/>
      </c>
      <c r="U293" s="542" t="str">
        <f>IFERROR(IF(C293="","",IF(INDEX(xyWattage_Table,MATCH(M293,'Fixture Identities'!$B$9:$B$997,0),2)="Exit Sign",1,IF(VLOOKUP(C293,xySpace_Type_Details,8,FALSE)="TRM",INDEX('General Information'!$AF$17:$AG$28,12,MATCH(N293,'General Information'!$AF$16:$AG$16,0)),HLOOKUP(VLOOKUP(C293,xySpace_Type_Details,8,FALSE),'General Information'!$P$15:$AG$28,14,FALSE)))),"")</f>
        <v/>
      </c>
      <c r="V293" s="542" t="str">
        <f>IFERROR(VLOOKUP(INDEX(xySpace_Type_Details,MATCH($C293,'General Information'!$C$40:$C$60,0),12),Lookups!$L$8:$N$12,2,FALSE),"")</f>
        <v/>
      </c>
      <c r="W293" s="542" t="str">
        <f>IFERROR(VLOOKUP(INDEX(xySpace_Type_Details,MATCH($C293,'General Information'!$C$40:$C$60,0),12),Lookups!$L$8:$N$12,3,FALSE),"")</f>
        <v/>
      </c>
      <c r="Y293" s="542" t="str">
        <f>IFERROR(IF(C293="","",IF(INDEX(xyWattage_Table,MATCH(M293,'Fixture Identities'!$B$9:$B$997,0),2)="Exit Sign",0,IF(PRJ_Type="Retrofit",VLOOKUP(I293,xySVG_Factors,2,FALSE),IF(AND(PRJ_Type="New Construction",Inventory!C290="N"),VLOOKUP(VLOOKUP(Building_Type,xyLPD_BuildingArea,5,FALSE),xySVG_Factors_NC,3,FALSE),0)))),"")</f>
        <v/>
      </c>
      <c r="Z293" s="544" t="str">
        <f>IFERROR(IF(C293="","",IF(INDEX(xyWattage_Table,MATCH(M293,'Fixture Identities'!$B$9:$B$997,0),2)="Exit Sign",0,VLOOKUP(S293,xySVG_Factors,2,FALSE))),"")</f>
        <v/>
      </c>
      <c r="AA293" s="545" t="str">
        <f t="shared" si="109"/>
        <v/>
      </c>
      <c r="AB293" s="542" t="str">
        <f t="shared" si="110"/>
        <v/>
      </c>
      <c r="AC293" s="539" t="str">
        <f t="shared" si="111"/>
        <v/>
      </c>
      <c r="AD293" s="546" t="str">
        <f t="shared" si="112"/>
        <v/>
      </c>
      <c r="AE293" s="539" t="str">
        <f t="shared" si="113"/>
        <v/>
      </c>
      <c r="AF293" s="546" t="str">
        <f t="shared" si="114"/>
        <v/>
      </c>
      <c r="AG293" s="539" t="str">
        <f t="shared" si="115"/>
        <v/>
      </c>
      <c r="AH293" s="32">
        <f t="shared" si="117"/>
        <v>0</v>
      </c>
      <c r="AI293" s="32">
        <f t="shared" si="118"/>
        <v>0</v>
      </c>
      <c r="AJ293" s="32">
        <f t="shared" si="119"/>
        <v>0</v>
      </c>
      <c r="AK293" t="str">
        <f t="shared" si="120"/>
        <v/>
      </c>
      <c r="AL293" t="str">
        <f t="shared" si="121"/>
        <v/>
      </c>
      <c r="AM293" t="str">
        <f t="shared" si="122"/>
        <v/>
      </c>
      <c r="AO293" t="str">
        <f>IFERROR(VLOOKUP(M293,'Fixture Identities'!$B$9:$O$1045,14,FALSE),"")</f>
        <v/>
      </c>
      <c r="AP293" t="str">
        <f t="shared" si="116"/>
        <v/>
      </c>
    </row>
    <row r="294" spans="1:42">
      <c r="A294" s="71">
        <f t="shared" si="124"/>
        <v>0</v>
      </c>
      <c r="B294" s="513">
        <f t="shared" si="123"/>
        <v>282</v>
      </c>
      <c r="C294" s="530" t="str">
        <f>IF(Inventory!E291="","",Inventory!E291)</f>
        <v/>
      </c>
      <c r="D294" s="531">
        <f>IF(Inventory!D291="",0,Inventory!D291)</f>
        <v>0</v>
      </c>
      <c r="E294" s="532" t="str">
        <f>IF(Inventory!I291=0,"",Inventory!I291)</f>
        <v/>
      </c>
      <c r="F294" s="533" t="str">
        <f t="shared" si="103"/>
        <v/>
      </c>
      <c r="G294" s="534" t="str">
        <f>IF(Inventory!G291="","",Inventory!G291)</f>
        <v/>
      </c>
      <c r="H294" s="535" t="str">
        <f t="shared" si="104"/>
        <v/>
      </c>
      <c r="I294" s="536" t="str">
        <f>IF(Inventory!J291="","",Inventory!J291)</f>
        <v/>
      </c>
      <c r="J294" s="537" t="str">
        <f>IFERROR(IF(PRJ_Type="New Construction",IF(Inventory!C291="N",INDEX(xyLPD_BuildingArea,MATCH(Building_Type,Lookups!$F$37:$F$75,0),4),INDEX(xyLPD_SpaceBySpace,MATCH(INDEX(xyNCEx,MATCH(I294,yNCExArea,0),2),ySpace_by_Space_Type,0),2)),VLOOKUP(E294,xyWattage_Table,11,FALSE)),"")</f>
        <v/>
      </c>
      <c r="K294" s="538" t="str">
        <f>IFERROR(IF(AND(NC_Type="Building Area Method",Inventory!C291="N"),IF(ISERROR(INDEX('Usage Groups (&gt;120 MWh only)'!$N$8:$N$12,MATCH(C294,'Usage Groups (&gt;120 MWh only)'!$B$8:$B$12,0),1))=TRUE,SqFt/COUNTIFS(Inventory!$C$10:$C$1009,"N",$Q$13:$Q$1012,"&gt;=0"),INDEX('Usage Groups (&gt;120 MWh only)'!$N$8:$N$12,MATCH(C294,'Usage Groups (&gt;120 MWh only)'!$B$8:$B$12,0),1)/COUNTIF($C$13:$C$1012,C294)),IF(AND(NC_Type="Building Area Method",Inventory!C291="Y"),INDEX(xyNCEx,MATCH(I294,yNCExArea,0),3)/COUNTIF($I$13:$I$1012,I294),VLOOKUP(J294,xyWattage_Table,10,FALSE))),"")</f>
        <v/>
      </c>
      <c r="L294" s="539" t="str">
        <f t="shared" si="105"/>
        <v/>
      </c>
      <c r="M294" s="540">
        <f>IF(Inventory!N291="","",Inventory!N291)</f>
        <v>0</v>
      </c>
      <c r="N294" s="533" t="str">
        <f t="shared" si="106"/>
        <v/>
      </c>
      <c r="O294" s="534"/>
      <c r="P294" s="533" t="str">
        <f t="shared" si="107"/>
        <v/>
      </c>
      <c r="Q294" s="534" t="str">
        <f>IF(Inventory!L291="","",Inventory!L291)</f>
        <v/>
      </c>
      <c r="R294" s="535" t="str">
        <f t="shared" si="108"/>
        <v/>
      </c>
      <c r="S294" s="536" t="str">
        <f>IF(Inventory!O291="","",Inventory!O291)</f>
        <v/>
      </c>
      <c r="T294" s="541" t="str">
        <f>IFERROR(IF(C294="","",IF(INDEX(xyWattage_Table,MATCH(M294,'Fixture Identities'!$B$9:$B$997,0),2)="Exit Sign",8760,IF(VLOOKUP(C294,xySpace_Type_Details,8,FALSE)="TRM",INDEX('General Information'!$AF$17:$AG$28,11,MATCH(N294,'General Information'!$AF$16:$AG$16,0)),HLOOKUP(VLOOKUP(C294,xySpace_Type_Details,8,FALSE),'General Information'!$P$15:$AG$28,13,FALSE)))),"")</f>
        <v/>
      </c>
      <c r="U294" s="542" t="str">
        <f>IFERROR(IF(C294="","",IF(INDEX(xyWattage_Table,MATCH(M294,'Fixture Identities'!$B$9:$B$997,0),2)="Exit Sign",1,IF(VLOOKUP(C294,xySpace_Type_Details,8,FALSE)="TRM",INDEX('General Information'!$AF$17:$AG$28,12,MATCH(N294,'General Information'!$AF$16:$AG$16,0)),HLOOKUP(VLOOKUP(C294,xySpace_Type_Details,8,FALSE),'General Information'!$P$15:$AG$28,14,FALSE)))),"")</f>
        <v/>
      </c>
      <c r="V294" s="542" t="str">
        <f>IFERROR(VLOOKUP(INDEX(xySpace_Type_Details,MATCH($C294,'General Information'!$C$40:$C$60,0),12),Lookups!$L$8:$N$12,2,FALSE),"")</f>
        <v/>
      </c>
      <c r="W294" s="542" t="str">
        <f>IFERROR(VLOOKUP(INDEX(xySpace_Type_Details,MATCH($C294,'General Information'!$C$40:$C$60,0),12),Lookups!$L$8:$N$12,3,FALSE),"")</f>
        <v/>
      </c>
      <c r="Y294" s="542" t="str">
        <f>IFERROR(IF(C294="","",IF(INDEX(xyWattage_Table,MATCH(M294,'Fixture Identities'!$B$9:$B$997,0),2)="Exit Sign",0,IF(PRJ_Type="Retrofit",VLOOKUP(I294,xySVG_Factors,2,FALSE),IF(AND(PRJ_Type="New Construction",Inventory!C291="N"),VLOOKUP(VLOOKUP(Building_Type,xyLPD_BuildingArea,5,FALSE),xySVG_Factors_NC,3,FALSE),0)))),"")</f>
        <v/>
      </c>
      <c r="Z294" s="544" t="str">
        <f>IFERROR(IF(C294="","",IF(INDEX(xyWattage_Table,MATCH(M294,'Fixture Identities'!$B$9:$B$997,0),2)="Exit Sign",0,VLOOKUP(S294,xySVG_Factors,2,FALSE))),"")</f>
        <v/>
      </c>
      <c r="AA294" s="545" t="str">
        <f t="shared" si="109"/>
        <v/>
      </c>
      <c r="AB294" s="542" t="str">
        <f t="shared" si="110"/>
        <v/>
      </c>
      <c r="AC294" s="539" t="str">
        <f t="shared" si="111"/>
        <v/>
      </c>
      <c r="AD294" s="546" t="str">
        <f t="shared" si="112"/>
        <v/>
      </c>
      <c r="AE294" s="539" t="str">
        <f t="shared" si="113"/>
        <v/>
      </c>
      <c r="AF294" s="546" t="str">
        <f t="shared" si="114"/>
        <v/>
      </c>
      <c r="AG294" s="539" t="str">
        <f t="shared" si="115"/>
        <v/>
      </c>
      <c r="AH294" s="32">
        <f t="shared" si="117"/>
        <v>0</v>
      </c>
      <c r="AI294" s="32">
        <f t="shared" si="118"/>
        <v>0</v>
      </c>
      <c r="AJ294" s="32">
        <f t="shared" si="119"/>
        <v>0</v>
      </c>
      <c r="AK294" t="str">
        <f t="shared" si="120"/>
        <v/>
      </c>
      <c r="AL294" t="str">
        <f t="shared" si="121"/>
        <v/>
      </c>
      <c r="AM294" t="str">
        <f t="shared" si="122"/>
        <v/>
      </c>
      <c r="AO294" t="str">
        <f>IFERROR(VLOOKUP(M294,'Fixture Identities'!$B$9:$O$1045,14,FALSE),"")</f>
        <v/>
      </c>
      <c r="AP294" t="str">
        <f t="shared" si="116"/>
        <v/>
      </c>
    </row>
    <row r="295" spans="1:42">
      <c r="A295" s="71">
        <f t="shared" si="124"/>
        <v>0</v>
      </c>
      <c r="B295" s="513">
        <f t="shared" si="123"/>
        <v>283</v>
      </c>
      <c r="C295" s="530" t="str">
        <f>IF(Inventory!E292="","",Inventory!E292)</f>
        <v/>
      </c>
      <c r="D295" s="531">
        <f>IF(Inventory!D292="",0,Inventory!D292)</f>
        <v>0</v>
      </c>
      <c r="E295" s="532" t="str">
        <f>IF(Inventory!I292=0,"",Inventory!I292)</f>
        <v/>
      </c>
      <c r="F295" s="533" t="str">
        <f t="shared" si="103"/>
        <v/>
      </c>
      <c r="G295" s="534" t="str">
        <f>IF(Inventory!G292="","",Inventory!G292)</f>
        <v/>
      </c>
      <c r="H295" s="535" t="str">
        <f t="shared" si="104"/>
        <v/>
      </c>
      <c r="I295" s="536" t="str">
        <f>IF(Inventory!J292="","",Inventory!J292)</f>
        <v/>
      </c>
      <c r="J295" s="537" t="str">
        <f>IFERROR(IF(PRJ_Type="New Construction",IF(Inventory!C292="N",INDEX(xyLPD_BuildingArea,MATCH(Building_Type,Lookups!$F$37:$F$75,0),4),INDEX(xyLPD_SpaceBySpace,MATCH(INDEX(xyNCEx,MATCH(I295,yNCExArea,0),2),ySpace_by_Space_Type,0),2)),VLOOKUP(E295,xyWattage_Table,11,FALSE)),"")</f>
        <v/>
      </c>
      <c r="K295" s="538" t="str">
        <f>IFERROR(IF(AND(NC_Type="Building Area Method",Inventory!C292="N"),IF(ISERROR(INDEX('Usage Groups (&gt;120 MWh only)'!$N$8:$N$12,MATCH(C295,'Usage Groups (&gt;120 MWh only)'!$B$8:$B$12,0),1))=TRUE,SqFt/COUNTIFS(Inventory!$C$10:$C$1009,"N",$Q$13:$Q$1012,"&gt;=0"),INDEX('Usage Groups (&gt;120 MWh only)'!$N$8:$N$12,MATCH(C295,'Usage Groups (&gt;120 MWh only)'!$B$8:$B$12,0),1)/COUNTIF($C$13:$C$1012,C295)),IF(AND(NC_Type="Building Area Method",Inventory!C292="Y"),INDEX(xyNCEx,MATCH(I295,yNCExArea,0),3)/COUNTIF($I$13:$I$1012,I295),VLOOKUP(J295,xyWattage_Table,10,FALSE))),"")</f>
        <v/>
      </c>
      <c r="L295" s="539" t="str">
        <f t="shared" si="105"/>
        <v/>
      </c>
      <c r="M295" s="540">
        <f>IF(Inventory!N292="","",Inventory!N292)</f>
        <v>0</v>
      </c>
      <c r="N295" s="533" t="str">
        <f t="shared" si="106"/>
        <v/>
      </c>
      <c r="O295" s="534"/>
      <c r="P295" s="533" t="str">
        <f t="shared" si="107"/>
        <v/>
      </c>
      <c r="Q295" s="534" t="str">
        <f>IF(Inventory!L292="","",Inventory!L292)</f>
        <v/>
      </c>
      <c r="R295" s="535" t="str">
        <f t="shared" si="108"/>
        <v/>
      </c>
      <c r="S295" s="536" t="str">
        <f>IF(Inventory!O292="","",Inventory!O292)</f>
        <v/>
      </c>
      <c r="T295" s="541" t="str">
        <f>IFERROR(IF(C295="","",IF(INDEX(xyWattage_Table,MATCH(M295,'Fixture Identities'!$B$9:$B$997,0),2)="Exit Sign",8760,IF(VLOOKUP(C295,xySpace_Type_Details,8,FALSE)="TRM",INDEX('General Information'!$AF$17:$AG$28,11,MATCH(N295,'General Information'!$AF$16:$AG$16,0)),HLOOKUP(VLOOKUP(C295,xySpace_Type_Details,8,FALSE),'General Information'!$P$15:$AG$28,13,FALSE)))),"")</f>
        <v/>
      </c>
      <c r="U295" s="542" t="str">
        <f>IFERROR(IF(C295="","",IF(INDEX(xyWattage_Table,MATCH(M295,'Fixture Identities'!$B$9:$B$997,0),2)="Exit Sign",1,IF(VLOOKUP(C295,xySpace_Type_Details,8,FALSE)="TRM",INDEX('General Information'!$AF$17:$AG$28,12,MATCH(N295,'General Information'!$AF$16:$AG$16,0)),HLOOKUP(VLOOKUP(C295,xySpace_Type_Details,8,FALSE),'General Information'!$P$15:$AG$28,14,FALSE)))),"")</f>
        <v/>
      </c>
      <c r="V295" s="542" t="str">
        <f>IFERROR(VLOOKUP(INDEX(xySpace_Type_Details,MATCH($C295,'General Information'!$C$40:$C$60,0),12),Lookups!$L$8:$N$12,2,FALSE),"")</f>
        <v/>
      </c>
      <c r="W295" s="542" t="str">
        <f>IFERROR(VLOOKUP(INDEX(xySpace_Type_Details,MATCH($C295,'General Information'!$C$40:$C$60,0),12),Lookups!$L$8:$N$12,3,FALSE),"")</f>
        <v/>
      </c>
      <c r="Y295" s="542" t="str">
        <f>IFERROR(IF(C295="","",IF(INDEX(xyWattage_Table,MATCH(M295,'Fixture Identities'!$B$9:$B$997,0),2)="Exit Sign",0,IF(PRJ_Type="Retrofit",VLOOKUP(I295,xySVG_Factors,2,FALSE),IF(AND(PRJ_Type="New Construction",Inventory!C292="N"),VLOOKUP(VLOOKUP(Building_Type,xyLPD_BuildingArea,5,FALSE),xySVG_Factors_NC,3,FALSE),0)))),"")</f>
        <v/>
      </c>
      <c r="Z295" s="544" t="str">
        <f>IFERROR(IF(C295="","",IF(INDEX(xyWattage_Table,MATCH(M295,'Fixture Identities'!$B$9:$B$997,0),2)="Exit Sign",0,VLOOKUP(S295,xySVG_Factors,2,FALSE))),"")</f>
        <v/>
      </c>
      <c r="AA295" s="545" t="str">
        <f t="shared" si="109"/>
        <v/>
      </c>
      <c r="AB295" s="542" t="str">
        <f t="shared" si="110"/>
        <v/>
      </c>
      <c r="AC295" s="539" t="str">
        <f t="shared" si="111"/>
        <v/>
      </c>
      <c r="AD295" s="546" t="str">
        <f t="shared" si="112"/>
        <v/>
      </c>
      <c r="AE295" s="539" t="str">
        <f t="shared" si="113"/>
        <v/>
      </c>
      <c r="AF295" s="546" t="str">
        <f t="shared" si="114"/>
        <v/>
      </c>
      <c r="AG295" s="539" t="str">
        <f t="shared" si="115"/>
        <v/>
      </c>
      <c r="AH295" s="32">
        <f t="shared" si="117"/>
        <v>0</v>
      </c>
      <c r="AI295" s="32">
        <f t="shared" si="118"/>
        <v>0</v>
      </c>
      <c r="AJ295" s="32">
        <f t="shared" si="119"/>
        <v>0</v>
      </c>
      <c r="AK295" t="str">
        <f t="shared" si="120"/>
        <v/>
      </c>
      <c r="AL295" t="str">
        <f t="shared" si="121"/>
        <v/>
      </c>
      <c r="AM295" t="str">
        <f t="shared" si="122"/>
        <v/>
      </c>
      <c r="AO295" t="str">
        <f>IFERROR(VLOOKUP(M295,'Fixture Identities'!$B$9:$O$1045,14,FALSE),"")</f>
        <v/>
      </c>
      <c r="AP295" t="str">
        <f t="shared" si="116"/>
        <v/>
      </c>
    </row>
    <row r="296" spans="1:42">
      <c r="A296" s="71">
        <f t="shared" si="124"/>
        <v>0</v>
      </c>
      <c r="B296" s="513">
        <f t="shared" si="123"/>
        <v>284</v>
      </c>
      <c r="C296" s="530" t="str">
        <f>IF(Inventory!E293="","",Inventory!E293)</f>
        <v/>
      </c>
      <c r="D296" s="531">
        <f>IF(Inventory!D293="",0,Inventory!D293)</f>
        <v>0</v>
      </c>
      <c r="E296" s="532" t="str">
        <f>IF(Inventory!I293=0,"",Inventory!I293)</f>
        <v/>
      </c>
      <c r="F296" s="533" t="str">
        <f t="shared" si="103"/>
        <v/>
      </c>
      <c r="G296" s="534" t="str">
        <f>IF(Inventory!G293="","",Inventory!G293)</f>
        <v/>
      </c>
      <c r="H296" s="535" t="str">
        <f t="shared" si="104"/>
        <v/>
      </c>
      <c r="I296" s="536" t="str">
        <f>IF(Inventory!J293="","",Inventory!J293)</f>
        <v/>
      </c>
      <c r="J296" s="537" t="str">
        <f>IFERROR(IF(PRJ_Type="New Construction",IF(Inventory!C293="N",INDEX(xyLPD_BuildingArea,MATCH(Building_Type,Lookups!$F$37:$F$75,0),4),INDEX(xyLPD_SpaceBySpace,MATCH(INDEX(xyNCEx,MATCH(I296,yNCExArea,0),2),ySpace_by_Space_Type,0),2)),VLOOKUP(E296,xyWattage_Table,11,FALSE)),"")</f>
        <v/>
      </c>
      <c r="K296" s="538" t="str">
        <f>IFERROR(IF(AND(NC_Type="Building Area Method",Inventory!C293="N"),IF(ISERROR(INDEX('Usage Groups (&gt;120 MWh only)'!$N$8:$N$12,MATCH(C296,'Usage Groups (&gt;120 MWh only)'!$B$8:$B$12,0),1))=TRUE,SqFt/COUNTIFS(Inventory!$C$10:$C$1009,"N",$Q$13:$Q$1012,"&gt;=0"),INDEX('Usage Groups (&gt;120 MWh only)'!$N$8:$N$12,MATCH(C296,'Usage Groups (&gt;120 MWh only)'!$B$8:$B$12,0),1)/COUNTIF($C$13:$C$1012,C296)),IF(AND(NC_Type="Building Area Method",Inventory!C293="Y"),INDEX(xyNCEx,MATCH(I296,yNCExArea,0),3)/COUNTIF($I$13:$I$1012,I296),VLOOKUP(J296,xyWattage_Table,10,FALSE))),"")</f>
        <v/>
      </c>
      <c r="L296" s="539" t="str">
        <f t="shared" si="105"/>
        <v/>
      </c>
      <c r="M296" s="540">
        <f>IF(Inventory!N293="","",Inventory!N293)</f>
        <v>0</v>
      </c>
      <c r="N296" s="533" t="str">
        <f t="shared" si="106"/>
        <v/>
      </c>
      <c r="O296" s="534"/>
      <c r="P296" s="533" t="str">
        <f t="shared" si="107"/>
        <v/>
      </c>
      <c r="Q296" s="534" t="str">
        <f>IF(Inventory!L293="","",Inventory!L293)</f>
        <v/>
      </c>
      <c r="R296" s="535" t="str">
        <f t="shared" si="108"/>
        <v/>
      </c>
      <c r="S296" s="536" t="str">
        <f>IF(Inventory!O293="","",Inventory!O293)</f>
        <v/>
      </c>
      <c r="T296" s="541" t="str">
        <f>IFERROR(IF(C296="","",IF(INDEX(xyWattage_Table,MATCH(M296,'Fixture Identities'!$B$9:$B$997,0),2)="Exit Sign",8760,IF(VLOOKUP(C296,xySpace_Type_Details,8,FALSE)="TRM",INDEX('General Information'!$AF$17:$AG$28,11,MATCH(N296,'General Information'!$AF$16:$AG$16,0)),HLOOKUP(VLOOKUP(C296,xySpace_Type_Details,8,FALSE),'General Information'!$P$15:$AG$28,13,FALSE)))),"")</f>
        <v/>
      </c>
      <c r="U296" s="542" t="str">
        <f>IFERROR(IF(C296="","",IF(INDEX(xyWattage_Table,MATCH(M296,'Fixture Identities'!$B$9:$B$997,0),2)="Exit Sign",1,IF(VLOOKUP(C296,xySpace_Type_Details,8,FALSE)="TRM",INDEX('General Information'!$AF$17:$AG$28,12,MATCH(N296,'General Information'!$AF$16:$AG$16,0)),HLOOKUP(VLOOKUP(C296,xySpace_Type_Details,8,FALSE),'General Information'!$P$15:$AG$28,14,FALSE)))),"")</f>
        <v/>
      </c>
      <c r="V296" s="542" t="str">
        <f>IFERROR(VLOOKUP(INDEX(xySpace_Type_Details,MATCH($C296,'General Information'!$C$40:$C$60,0),12),Lookups!$L$8:$N$12,2,FALSE),"")</f>
        <v/>
      </c>
      <c r="W296" s="542" t="str">
        <f>IFERROR(VLOOKUP(INDEX(xySpace_Type_Details,MATCH($C296,'General Information'!$C$40:$C$60,0),12),Lookups!$L$8:$N$12,3,FALSE),"")</f>
        <v/>
      </c>
      <c r="Y296" s="542" t="str">
        <f>IFERROR(IF(C296="","",IF(INDEX(xyWattage_Table,MATCH(M296,'Fixture Identities'!$B$9:$B$997,0),2)="Exit Sign",0,IF(PRJ_Type="Retrofit",VLOOKUP(I296,xySVG_Factors,2,FALSE),IF(AND(PRJ_Type="New Construction",Inventory!C293="N"),VLOOKUP(VLOOKUP(Building_Type,xyLPD_BuildingArea,5,FALSE),xySVG_Factors_NC,3,FALSE),0)))),"")</f>
        <v/>
      </c>
      <c r="Z296" s="544" t="str">
        <f>IFERROR(IF(C296="","",IF(INDEX(xyWattage_Table,MATCH(M296,'Fixture Identities'!$B$9:$B$997,0),2)="Exit Sign",0,VLOOKUP(S296,xySVG_Factors,2,FALSE))),"")</f>
        <v/>
      </c>
      <c r="AA296" s="545" t="str">
        <f t="shared" si="109"/>
        <v/>
      </c>
      <c r="AB296" s="542" t="str">
        <f t="shared" si="110"/>
        <v/>
      </c>
      <c r="AC296" s="539" t="str">
        <f t="shared" si="111"/>
        <v/>
      </c>
      <c r="AD296" s="546" t="str">
        <f t="shared" si="112"/>
        <v/>
      </c>
      <c r="AE296" s="539" t="str">
        <f t="shared" si="113"/>
        <v/>
      </c>
      <c r="AF296" s="546" t="str">
        <f t="shared" si="114"/>
        <v/>
      </c>
      <c r="AG296" s="539" t="str">
        <f t="shared" si="115"/>
        <v/>
      </c>
      <c r="AH296" s="32">
        <f t="shared" si="117"/>
        <v>0</v>
      </c>
      <c r="AI296" s="32">
        <f t="shared" si="118"/>
        <v>0</v>
      </c>
      <c r="AJ296" s="32">
        <f t="shared" si="119"/>
        <v>0</v>
      </c>
      <c r="AK296" t="str">
        <f t="shared" si="120"/>
        <v/>
      </c>
      <c r="AL296" t="str">
        <f t="shared" si="121"/>
        <v/>
      </c>
      <c r="AM296" t="str">
        <f t="shared" si="122"/>
        <v/>
      </c>
      <c r="AO296" t="str">
        <f>IFERROR(VLOOKUP(M296,'Fixture Identities'!$B$9:$O$1045,14,FALSE),"")</f>
        <v/>
      </c>
      <c r="AP296" t="str">
        <f t="shared" si="116"/>
        <v/>
      </c>
    </row>
    <row r="297" spans="1:42">
      <c r="A297" s="71">
        <f t="shared" si="124"/>
        <v>0</v>
      </c>
      <c r="B297" s="513">
        <f t="shared" si="123"/>
        <v>285</v>
      </c>
      <c r="C297" s="530" t="str">
        <f>IF(Inventory!E294="","",Inventory!E294)</f>
        <v/>
      </c>
      <c r="D297" s="531">
        <f>IF(Inventory!D294="",0,Inventory!D294)</f>
        <v>0</v>
      </c>
      <c r="E297" s="532" t="str">
        <f>IF(Inventory!I294=0,"",Inventory!I294)</f>
        <v/>
      </c>
      <c r="F297" s="533" t="str">
        <f t="shared" si="103"/>
        <v/>
      </c>
      <c r="G297" s="534" t="str">
        <f>IF(Inventory!G294="","",Inventory!G294)</f>
        <v/>
      </c>
      <c r="H297" s="535" t="str">
        <f t="shared" si="104"/>
        <v/>
      </c>
      <c r="I297" s="536" t="str">
        <f>IF(Inventory!J294="","",Inventory!J294)</f>
        <v/>
      </c>
      <c r="J297" s="537" t="str">
        <f>IFERROR(IF(PRJ_Type="New Construction",IF(Inventory!C294="N",INDEX(xyLPD_BuildingArea,MATCH(Building_Type,Lookups!$F$37:$F$75,0),4),INDEX(xyLPD_SpaceBySpace,MATCH(INDEX(xyNCEx,MATCH(I297,yNCExArea,0),2),ySpace_by_Space_Type,0),2)),VLOOKUP(E297,xyWattage_Table,11,FALSE)),"")</f>
        <v/>
      </c>
      <c r="K297" s="538" t="str">
        <f>IFERROR(IF(AND(NC_Type="Building Area Method",Inventory!C294="N"),IF(ISERROR(INDEX('Usage Groups (&gt;120 MWh only)'!$N$8:$N$12,MATCH(C297,'Usage Groups (&gt;120 MWh only)'!$B$8:$B$12,0),1))=TRUE,SqFt/COUNTIFS(Inventory!$C$10:$C$1009,"N",$Q$13:$Q$1012,"&gt;=0"),INDEX('Usage Groups (&gt;120 MWh only)'!$N$8:$N$12,MATCH(C297,'Usage Groups (&gt;120 MWh only)'!$B$8:$B$12,0),1)/COUNTIF($C$13:$C$1012,C297)),IF(AND(NC_Type="Building Area Method",Inventory!C294="Y"),INDEX(xyNCEx,MATCH(I297,yNCExArea,0),3)/COUNTIF($I$13:$I$1012,I297),VLOOKUP(J297,xyWattage_Table,10,FALSE))),"")</f>
        <v/>
      </c>
      <c r="L297" s="539" t="str">
        <f t="shared" si="105"/>
        <v/>
      </c>
      <c r="M297" s="540">
        <f>IF(Inventory!N294="","",Inventory!N294)</f>
        <v>0</v>
      </c>
      <c r="N297" s="533" t="str">
        <f t="shared" si="106"/>
        <v/>
      </c>
      <c r="O297" s="534"/>
      <c r="P297" s="533" t="str">
        <f t="shared" si="107"/>
        <v/>
      </c>
      <c r="Q297" s="534" t="str">
        <f>IF(Inventory!L294="","",Inventory!L294)</f>
        <v/>
      </c>
      <c r="R297" s="535" t="str">
        <f t="shared" si="108"/>
        <v/>
      </c>
      <c r="S297" s="536" t="str">
        <f>IF(Inventory!O294="","",Inventory!O294)</f>
        <v/>
      </c>
      <c r="T297" s="541" t="str">
        <f>IFERROR(IF(C297="","",IF(INDEX(xyWattage_Table,MATCH(M297,'Fixture Identities'!$B$9:$B$997,0),2)="Exit Sign",8760,IF(VLOOKUP(C297,xySpace_Type_Details,8,FALSE)="TRM",INDEX('General Information'!$AF$17:$AG$28,11,MATCH(N297,'General Information'!$AF$16:$AG$16,0)),HLOOKUP(VLOOKUP(C297,xySpace_Type_Details,8,FALSE),'General Information'!$P$15:$AG$28,13,FALSE)))),"")</f>
        <v/>
      </c>
      <c r="U297" s="542" t="str">
        <f>IFERROR(IF(C297="","",IF(INDEX(xyWattage_Table,MATCH(M297,'Fixture Identities'!$B$9:$B$997,0),2)="Exit Sign",1,IF(VLOOKUP(C297,xySpace_Type_Details,8,FALSE)="TRM",INDEX('General Information'!$AF$17:$AG$28,12,MATCH(N297,'General Information'!$AF$16:$AG$16,0)),HLOOKUP(VLOOKUP(C297,xySpace_Type_Details,8,FALSE),'General Information'!$P$15:$AG$28,14,FALSE)))),"")</f>
        <v/>
      </c>
      <c r="V297" s="542" t="str">
        <f>IFERROR(VLOOKUP(INDEX(xySpace_Type_Details,MATCH($C297,'General Information'!$C$40:$C$60,0),12),Lookups!$L$8:$N$12,2,FALSE),"")</f>
        <v/>
      </c>
      <c r="W297" s="542" t="str">
        <f>IFERROR(VLOOKUP(INDEX(xySpace_Type_Details,MATCH($C297,'General Information'!$C$40:$C$60,0),12),Lookups!$L$8:$N$12,3,FALSE),"")</f>
        <v/>
      </c>
      <c r="Y297" s="542" t="str">
        <f>IFERROR(IF(C297="","",IF(INDEX(xyWattage_Table,MATCH(M297,'Fixture Identities'!$B$9:$B$997,0),2)="Exit Sign",0,IF(PRJ_Type="Retrofit",VLOOKUP(I297,xySVG_Factors,2,FALSE),IF(AND(PRJ_Type="New Construction",Inventory!C294="N"),VLOOKUP(VLOOKUP(Building_Type,xyLPD_BuildingArea,5,FALSE),xySVG_Factors_NC,3,FALSE),0)))),"")</f>
        <v/>
      </c>
      <c r="Z297" s="544" t="str">
        <f>IFERROR(IF(C297="","",IF(INDEX(xyWattage_Table,MATCH(M297,'Fixture Identities'!$B$9:$B$997,0),2)="Exit Sign",0,VLOOKUP(S297,xySVG_Factors,2,FALSE))),"")</f>
        <v/>
      </c>
      <c r="AA297" s="545" t="str">
        <f t="shared" si="109"/>
        <v/>
      </c>
      <c r="AB297" s="542" t="str">
        <f t="shared" si="110"/>
        <v/>
      </c>
      <c r="AC297" s="539" t="str">
        <f t="shared" si="111"/>
        <v/>
      </c>
      <c r="AD297" s="546" t="str">
        <f t="shared" si="112"/>
        <v/>
      </c>
      <c r="AE297" s="539" t="str">
        <f t="shared" si="113"/>
        <v/>
      </c>
      <c r="AF297" s="546" t="str">
        <f t="shared" si="114"/>
        <v/>
      </c>
      <c r="AG297" s="539" t="str">
        <f t="shared" si="115"/>
        <v/>
      </c>
      <c r="AH297" s="32">
        <f t="shared" si="117"/>
        <v>0</v>
      </c>
      <c r="AI297" s="32">
        <f t="shared" si="118"/>
        <v>0</v>
      </c>
      <c r="AJ297" s="32">
        <f t="shared" si="119"/>
        <v>0</v>
      </c>
      <c r="AK297" t="str">
        <f t="shared" si="120"/>
        <v/>
      </c>
      <c r="AL297" t="str">
        <f t="shared" si="121"/>
        <v/>
      </c>
      <c r="AM297" t="str">
        <f t="shared" si="122"/>
        <v/>
      </c>
      <c r="AO297" t="str">
        <f>IFERROR(VLOOKUP(M297,'Fixture Identities'!$B$9:$O$1045,14,FALSE),"")</f>
        <v/>
      </c>
      <c r="AP297" t="str">
        <f t="shared" si="116"/>
        <v/>
      </c>
    </row>
    <row r="298" spans="1:42">
      <c r="A298" s="71">
        <f t="shared" si="124"/>
        <v>0</v>
      </c>
      <c r="B298" s="513">
        <f t="shared" si="123"/>
        <v>286</v>
      </c>
      <c r="C298" s="530" t="str">
        <f>IF(Inventory!E295="","",Inventory!E295)</f>
        <v/>
      </c>
      <c r="D298" s="531">
        <f>IF(Inventory!D295="",0,Inventory!D295)</f>
        <v>0</v>
      </c>
      <c r="E298" s="532" t="str">
        <f>IF(Inventory!I295=0,"",Inventory!I295)</f>
        <v/>
      </c>
      <c r="F298" s="533" t="str">
        <f t="shared" si="103"/>
        <v/>
      </c>
      <c r="G298" s="534" t="str">
        <f>IF(Inventory!G295="","",Inventory!G295)</f>
        <v/>
      </c>
      <c r="H298" s="535" t="str">
        <f t="shared" si="104"/>
        <v/>
      </c>
      <c r="I298" s="536" t="str">
        <f>IF(Inventory!J295="","",Inventory!J295)</f>
        <v/>
      </c>
      <c r="J298" s="537" t="str">
        <f>IFERROR(IF(PRJ_Type="New Construction",IF(Inventory!C295="N",INDEX(xyLPD_BuildingArea,MATCH(Building_Type,Lookups!$F$37:$F$75,0),4),INDEX(xyLPD_SpaceBySpace,MATCH(INDEX(xyNCEx,MATCH(I298,yNCExArea,0),2),ySpace_by_Space_Type,0),2)),VLOOKUP(E298,xyWattage_Table,11,FALSE)),"")</f>
        <v/>
      </c>
      <c r="K298" s="538" t="str">
        <f>IFERROR(IF(AND(NC_Type="Building Area Method",Inventory!C295="N"),IF(ISERROR(INDEX('Usage Groups (&gt;120 MWh only)'!$N$8:$N$12,MATCH(C298,'Usage Groups (&gt;120 MWh only)'!$B$8:$B$12,0),1))=TRUE,SqFt/COUNTIFS(Inventory!$C$10:$C$1009,"N",$Q$13:$Q$1012,"&gt;=0"),INDEX('Usage Groups (&gt;120 MWh only)'!$N$8:$N$12,MATCH(C298,'Usage Groups (&gt;120 MWh only)'!$B$8:$B$12,0),1)/COUNTIF($C$13:$C$1012,C298)),IF(AND(NC_Type="Building Area Method",Inventory!C295="Y"),INDEX(xyNCEx,MATCH(I298,yNCExArea,0),3)/COUNTIF($I$13:$I$1012,I298),VLOOKUP(J298,xyWattage_Table,10,FALSE))),"")</f>
        <v/>
      </c>
      <c r="L298" s="539" t="str">
        <f t="shared" si="105"/>
        <v/>
      </c>
      <c r="M298" s="540">
        <f>IF(Inventory!N295="","",Inventory!N295)</f>
        <v>0</v>
      </c>
      <c r="N298" s="533" t="str">
        <f t="shared" si="106"/>
        <v/>
      </c>
      <c r="O298" s="534"/>
      <c r="P298" s="533" t="str">
        <f t="shared" si="107"/>
        <v/>
      </c>
      <c r="Q298" s="534" t="str">
        <f>IF(Inventory!L295="","",Inventory!L295)</f>
        <v/>
      </c>
      <c r="R298" s="535" t="str">
        <f t="shared" si="108"/>
        <v/>
      </c>
      <c r="S298" s="536" t="str">
        <f>IF(Inventory!O295="","",Inventory!O295)</f>
        <v/>
      </c>
      <c r="T298" s="541" t="str">
        <f>IFERROR(IF(C298="","",IF(INDEX(xyWattage_Table,MATCH(M298,'Fixture Identities'!$B$9:$B$997,0),2)="Exit Sign",8760,IF(VLOOKUP(C298,xySpace_Type_Details,8,FALSE)="TRM",INDEX('General Information'!$AF$17:$AG$28,11,MATCH(N298,'General Information'!$AF$16:$AG$16,0)),HLOOKUP(VLOOKUP(C298,xySpace_Type_Details,8,FALSE),'General Information'!$P$15:$AG$28,13,FALSE)))),"")</f>
        <v/>
      </c>
      <c r="U298" s="542" t="str">
        <f>IFERROR(IF(C298="","",IF(INDEX(xyWattage_Table,MATCH(M298,'Fixture Identities'!$B$9:$B$997,0),2)="Exit Sign",1,IF(VLOOKUP(C298,xySpace_Type_Details,8,FALSE)="TRM",INDEX('General Information'!$AF$17:$AG$28,12,MATCH(N298,'General Information'!$AF$16:$AG$16,0)),HLOOKUP(VLOOKUP(C298,xySpace_Type_Details,8,FALSE),'General Information'!$P$15:$AG$28,14,FALSE)))),"")</f>
        <v/>
      </c>
      <c r="V298" s="542" t="str">
        <f>IFERROR(VLOOKUP(INDEX(xySpace_Type_Details,MATCH($C298,'General Information'!$C$40:$C$60,0),12),Lookups!$L$8:$N$12,2,FALSE),"")</f>
        <v/>
      </c>
      <c r="W298" s="542" t="str">
        <f>IFERROR(VLOOKUP(INDEX(xySpace_Type_Details,MATCH($C298,'General Information'!$C$40:$C$60,0),12),Lookups!$L$8:$N$12,3,FALSE),"")</f>
        <v/>
      </c>
      <c r="Y298" s="542" t="str">
        <f>IFERROR(IF(C298="","",IF(INDEX(xyWattage_Table,MATCH(M298,'Fixture Identities'!$B$9:$B$997,0),2)="Exit Sign",0,IF(PRJ_Type="Retrofit",VLOOKUP(I298,xySVG_Factors,2,FALSE),IF(AND(PRJ_Type="New Construction",Inventory!C295="N"),VLOOKUP(VLOOKUP(Building_Type,xyLPD_BuildingArea,5,FALSE),xySVG_Factors_NC,3,FALSE),0)))),"")</f>
        <v/>
      </c>
      <c r="Z298" s="544" t="str">
        <f>IFERROR(IF(C298="","",IF(INDEX(xyWattage_Table,MATCH(M298,'Fixture Identities'!$B$9:$B$997,0),2)="Exit Sign",0,VLOOKUP(S298,xySVG_Factors,2,FALSE))),"")</f>
        <v/>
      </c>
      <c r="AA298" s="545" t="str">
        <f t="shared" si="109"/>
        <v/>
      </c>
      <c r="AB298" s="542" t="str">
        <f t="shared" si="110"/>
        <v/>
      </c>
      <c r="AC298" s="539" t="str">
        <f t="shared" si="111"/>
        <v/>
      </c>
      <c r="AD298" s="546" t="str">
        <f t="shared" si="112"/>
        <v/>
      </c>
      <c r="AE298" s="539" t="str">
        <f t="shared" si="113"/>
        <v/>
      </c>
      <c r="AF298" s="546" t="str">
        <f t="shared" si="114"/>
        <v/>
      </c>
      <c r="AG298" s="539" t="str">
        <f t="shared" si="115"/>
        <v/>
      </c>
      <c r="AH298" s="32">
        <f t="shared" si="117"/>
        <v>0</v>
      </c>
      <c r="AI298" s="32">
        <f t="shared" si="118"/>
        <v>0</v>
      </c>
      <c r="AJ298" s="32">
        <f t="shared" si="119"/>
        <v>0</v>
      </c>
      <c r="AK298" t="str">
        <f t="shared" si="120"/>
        <v/>
      </c>
      <c r="AL298" t="str">
        <f t="shared" si="121"/>
        <v/>
      </c>
      <c r="AM298" t="str">
        <f t="shared" si="122"/>
        <v/>
      </c>
      <c r="AO298" t="str">
        <f>IFERROR(VLOOKUP(M298,'Fixture Identities'!$B$9:$O$1045,14,FALSE),"")</f>
        <v/>
      </c>
      <c r="AP298" t="str">
        <f t="shared" si="116"/>
        <v/>
      </c>
    </row>
    <row r="299" spans="1:42">
      <c r="A299" s="71">
        <f t="shared" si="124"/>
        <v>0</v>
      </c>
      <c r="B299" s="513">
        <f t="shared" si="123"/>
        <v>287</v>
      </c>
      <c r="C299" s="530" t="str">
        <f>IF(Inventory!E296="","",Inventory!E296)</f>
        <v/>
      </c>
      <c r="D299" s="531">
        <f>IF(Inventory!D296="",0,Inventory!D296)</f>
        <v>0</v>
      </c>
      <c r="E299" s="532" t="str">
        <f>IF(Inventory!I296=0,"",Inventory!I296)</f>
        <v/>
      </c>
      <c r="F299" s="533" t="str">
        <f t="shared" si="103"/>
        <v/>
      </c>
      <c r="G299" s="534" t="str">
        <f>IF(Inventory!G296="","",Inventory!G296)</f>
        <v/>
      </c>
      <c r="H299" s="535" t="str">
        <f t="shared" si="104"/>
        <v/>
      </c>
      <c r="I299" s="536" t="str">
        <f>IF(Inventory!J296="","",Inventory!J296)</f>
        <v/>
      </c>
      <c r="J299" s="537" t="str">
        <f>IFERROR(IF(PRJ_Type="New Construction",IF(Inventory!C296="N",INDEX(xyLPD_BuildingArea,MATCH(Building_Type,Lookups!$F$37:$F$75,0),4),INDEX(xyLPD_SpaceBySpace,MATCH(INDEX(xyNCEx,MATCH(I299,yNCExArea,0),2),ySpace_by_Space_Type,0),2)),VLOOKUP(E299,xyWattage_Table,11,FALSE)),"")</f>
        <v/>
      </c>
      <c r="K299" s="538" t="str">
        <f>IFERROR(IF(AND(NC_Type="Building Area Method",Inventory!C296="N"),IF(ISERROR(INDEX('Usage Groups (&gt;120 MWh only)'!$N$8:$N$12,MATCH(C299,'Usage Groups (&gt;120 MWh only)'!$B$8:$B$12,0),1))=TRUE,SqFt/COUNTIFS(Inventory!$C$10:$C$1009,"N",$Q$13:$Q$1012,"&gt;=0"),INDEX('Usage Groups (&gt;120 MWh only)'!$N$8:$N$12,MATCH(C299,'Usage Groups (&gt;120 MWh only)'!$B$8:$B$12,0),1)/COUNTIF($C$13:$C$1012,C299)),IF(AND(NC_Type="Building Area Method",Inventory!C296="Y"),INDEX(xyNCEx,MATCH(I299,yNCExArea,0),3)/COUNTIF($I$13:$I$1012,I299),VLOOKUP(J299,xyWattage_Table,10,FALSE))),"")</f>
        <v/>
      </c>
      <c r="L299" s="539" t="str">
        <f t="shared" si="105"/>
        <v/>
      </c>
      <c r="M299" s="540">
        <f>IF(Inventory!N296="","",Inventory!N296)</f>
        <v>0</v>
      </c>
      <c r="N299" s="533" t="str">
        <f t="shared" si="106"/>
        <v/>
      </c>
      <c r="O299" s="534"/>
      <c r="P299" s="533" t="str">
        <f t="shared" si="107"/>
        <v/>
      </c>
      <c r="Q299" s="534" t="str">
        <f>IF(Inventory!L296="","",Inventory!L296)</f>
        <v/>
      </c>
      <c r="R299" s="535" t="str">
        <f t="shared" si="108"/>
        <v/>
      </c>
      <c r="S299" s="536" t="str">
        <f>IF(Inventory!O296="","",Inventory!O296)</f>
        <v/>
      </c>
      <c r="T299" s="541" t="str">
        <f>IFERROR(IF(C299="","",IF(INDEX(xyWattage_Table,MATCH(M299,'Fixture Identities'!$B$9:$B$997,0),2)="Exit Sign",8760,IF(VLOOKUP(C299,xySpace_Type_Details,8,FALSE)="TRM",INDEX('General Information'!$AF$17:$AG$28,11,MATCH(N299,'General Information'!$AF$16:$AG$16,0)),HLOOKUP(VLOOKUP(C299,xySpace_Type_Details,8,FALSE),'General Information'!$P$15:$AG$28,13,FALSE)))),"")</f>
        <v/>
      </c>
      <c r="U299" s="542" t="str">
        <f>IFERROR(IF(C299="","",IF(INDEX(xyWattage_Table,MATCH(M299,'Fixture Identities'!$B$9:$B$997,0),2)="Exit Sign",1,IF(VLOOKUP(C299,xySpace_Type_Details,8,FALSE)="TRM",INDEX('General Information'!$AF$17:$AG$28,12,MATCH(N299,'General Information'!$AF$16:$AG$16,0)),HLOOKUP(VLOOKUP(C299,xySpace_Type_Details,8,FALSE),'General Information'!$P$15:$AG$28,14,FALSE)))),"")</f>
        <v/>
      </c>
      <c r="V299" s="542" t="str">
        <f>IFERROR(VLOOKUP(INDEX(xySpace_Type_Details,MATCH($C299,'General Information'!$C$40:$C$60,0),12),Lookups!$L$8:$N$12,2,FALSE),"")</f>
        <v/>
      </c>
      <c r="W299" s="542" t="str">
        <f>IFERROR(VLOOKUP(INDEX(xySpace_Type_Details,MATCH($C299,'General Information'!$C$40:$C$60,0),12),Lookups!$L$8:$N$12,3,FALSE),"")</f>
        <v/>
      </c>
      <c r="Y299" s="542" t="str">
        <f>IFERROR(IF(C299="","",IF(INDEX(xyWattage_Table,MATCH(M299,'Fixture Identities'!$B$9:$B$997,0),2)="Exit Sign",0,IF(PRJ_Type="Retrofit",VLOOKUP(I299,xySVG_Factors,2,FALSE),IF(AND(PRJ_Type="New Construction",Inventory!C296="N"),VLOOKUP(VLOOKUP(Building_Type,xyLPD_BuildingArea,5,FALSE),xySVG_Factors_NC,3,FALSE),0)))),"")</f>
        <v/>
      </c>
      <c r="Z299" s="544" t="str">
        <f>IFERROR(IF(C299="","",IF(INDEX(xyWattage_Table,MATCH(M299,'Fixture Identities'!$B$9:$B$997,0),2)="Exit Sign",0,VLOOKUP(S299,xySVG_Factors,2,FALSE))),"")</f>
        <v/>
      </c>
      <c r="AA299" s="545" t="str">
        <f t="shared" si="109"/>
        <v/>
      </c>
      <c r="AB299" s="542" t="str">
        <f t="shared" si="110"/>
        <v/>
      </c>
      <c r="AC299" s="539" t="str">
        <f t="shared" si="111"/>
        <v/>
      </c>
      <c r="AD299" s="546" t="str">
        <f t="shared" si="112"/>
        <v/>
      </c>
      <c r="AE299" s="539" t="str">
        <f t="shared" si="113"/>
        <v/>
      </c>
      <c r="AF299" s="546" t="str">
        <f t="shared" si="114"/>
        <v/>
      </c>
      <c r="AG299" s="539" t="str">
        <f t="shared" si="115"/>
        <v/>
      </c>
      <c r="AH299" s="32">
        <f t="shared" si="117"/>
        <v>0</v>
      </c>
      <c r="AI299" s="32">
        <f t="shared" si="118"/>
        <v>0</v>
      </c>
      <c r="AJ299" s="32">
        <f t="shared" si="119"/>
        <v>0</v>
      </c>
      <c r="AK299" t="str">
        <f t="shared" si="120"/>
        <v/>
      </c>
      <c r="AL299" t="str">
        <f t="shared" si="121"/>
        <v/>
      </c>
      <c r="AM299" t="str">
        <f t="shared" si="122"/>
        <v/>
      </c>
      <c r="AO299" t="str">
        <f>IFERROR(VLOOKUP(M299,'Fixture Identities'!$B$9:$O$1045,14,FALSE),"")</f>
        <v/>
      </c>
      <c r="AP299" t="str">
        <f t="shared" si="116"/>
        <v/>
      </c>
    </row>
    <row r="300" spans="1:42">
      <c r="A300" s="71">
        <f t="shared" si="124"/>
        <v>0</v>
      </c>
      <c r="B300" s="513">
        <f t="shared" si="123"/>
        <v>288</v>
      </c>
      <c r="C300" s="530" t="str">
        <f>IF(Inventory!E297="","",Inventory!E297)</f>
        <v/>
      </c>
      <c r="D300" s="531">
        <f>IF(Inventory!D297="",0,Inventory!D297)</f>
        <v>0</v>
      </c>
      <c r="E300" s="532" t="str">
        <f>IF(Inventory!I297=0,"",Inventory!I297)</f>
        <v/>
      </c>
      <c r="F300" s="533" t="str">
        <f t="shared" si="103"/>
        <v/>
      </c>
      <c r="G300" s="534" t="str">
        <f>IF(Inventory!G297="","",Inventory!G297)</f>
        <v/>
      </c>
      <c r="H300" s="535" t="str">
        <f t="shared" si="104"/>
        <v/>
      </c>
      <c r="I300" s="536" t="str">
        <f>IF(Inventory!J297="","",Inventory!J297)</f>
        <v/>
      </c>
      <c r="J300" s="537" t="str">
        <f>IFERROR(IF(PRJ_Type="New Construction",IF(Inventory!C297="N",INDEX(xyLPD_BuildingArea,MATCH(Building_Type,Lookups!$F$37:$F$75,0),4),INDEX(xyLPD_SpaceBySpace,MATCH(INDEX(xyNCEx,MATCH(I300,yNCExArea,0),2),ySpace_by_Space_Type,0),2)),VLOOKUP(E300,xyWattage_Table,11,FALSE)),"")</f>
        <v/>
      </c>
      <c r="K300" s="538" t="str">
        <f>IFERROR(IF(AND(NC_Type="Building Area Method",Inventory!C297="N"),IF(ISERROR(INDEX('Usage Groups (&gt;120 MWh only)'!$N$8:$N$12,MATCH(C300,'Usage Groups (&gt;120 MWh only)'!$B$8:$B$12,0),1))=TRUE,SqFt/COUNTIFS(Inventory!$C$10:$C$1009,"N",$Q$13:$Q$1012,"&gt;=0"),INDEX('Usage Groups (&gt;120 MWh only)'!$N$8:$N$12,MATCH(C300,'Usage Groups (&gt;120 MWh only)'!$B$8:$B$12,0),1)/COUNTIF($C$13:$C$1012,C300)),IF(AND(NC_Type="Building Area Method",Inventory!C297="Y"),INDEX(xyNCEx,MATCH(I300,yNCExArea,0),3)/COUNTIF($I$13:$I$1012,I300),VLOOKUP(J300,xyWattage_Table,10,FALSE))),"")</f>
        <v/>
      </c>
      <c r="L300" s="539" t="str">
        <f t="shared" si="105"/>
        <v/>
      </c>
      <c r="M300" s="540">
        <f>IF(Inventory!N297="","",Inventory!N297)</f>
        <v>0</v>
      </c>
      <c r="N300" s="533" t="str">
        <f t="shared" si="106"/>
        <v/>
      </c>
      <c r="O300" s="534"/>
      <c r="P300" s="533" t="str">
        <f t="shared" si="107"/>
        <v/>
      </c>
      <c r="Q300" s="534" t="str">
        <f>IF(Inventory!L297="","",Inventory!L297)</f>
        <v/>
      </c>
      <c r="R300" s="535" t="str">
        <f t="shared" si="108"/>
        <v/>
      </c>
      <c r="S300" s="536" t="str">
        <f>IF(Inventory!O297="","",Inventory!O297)</f>
        <v/>
      </c>
      <c r="T300" s="541" t="str">
        <f>IFERROR(IF(C300="","",IF(INDEX(xyWattage_Table,MATCH(M300,'Fixture Identities'!$B$9:$B$997,0),2)="Exit Sign",8760,IF(VLOOKUP(C300,xySpace_Type_Details,8,FALSE)="TRM",INDEX('General Information'!$AF$17:$AG$28,11,MATCH(N300,'General Information'!$AF$16:$AG$16,0)),HLOOKUP(VLOOKUP(C300,xySpace_Type_Details,8,FALSE),'General Information'!$P$15:$AG$28,13,FALSE)))),"")</f>
        <v/>
      </c>
      <c r="U300" s="542" t="str">
        <f>IFERROR(IF(C300="","",IF(INDEX(xyWattage_Table,MATCH(M300,'Fixture Identities'!$B$9:$B$997,0),2)="Exit Sign",1,IF(VLOOKUP(C300,xySpace_Type_Details,8,FALSE)="TRM",INDEX('General Information'!$AF$17:$AG$28,12,MATCH(N300,'General Information'!$AF$16:$AG$16,0)),HLOOKUP(VLOOKUP(C300,xySpace_Type_Details,8,FALSE),'General Information'!$P$15:$AG$28,14,FALSE)))),"")</f>
        <v/>
      </c>
      <c r="V300" s="542" t="str">
        <f>IFERROR(VLOOKUP(INDEX(xySpace_Type_Details,MATCH($C300,'General Information'!$C$40:$C$60,0),12),Lookups!$L$8:$N$12,2,FALSE),"")</f>
        <v/>
      </c>
      <c r="W300" s="542" t="str">
        <f>IFERROR(VLOOKUP(INDEX(xySpace_Type_Details,MATCH($C300,'General Information'!$C$40:$C$60,0),12),Lookups!$L$8:$N$12,3,FALSE),"")</f>
        <v/>
      </c>
      <c r="Y300" s="542" t="str">
        <f>IFERROR(IF(C300="","",IF(INDEX(xyWattage_Table,MATCH(M300,'Fixture Identities'!$B$9:$B$997,0),2)="Exit Sign",0,IF(PRJ_Type="Retrofit",VLOOKUP(I300,xySVG_Factors,2,FALSE),IF(AND(PRJ_Type="New Construction",Inventory!C297="N"),VLOOKUP(VLOOKUP(Building_Type,xyLPD_BuildingArea,5,FALSE),xySVG_Factors_NC,3,FALSE),0)))),"")</f>
        <v/>
      </c>
      <c r="Z300" s="544" t="str">
        <f>IFERROR(IF(C300="","",IF(INDEX(xyWattage_Table,MATCH(M300,'Fixture Identities'!$B$9:$B$997,0),2)="Exit Sign",0,VLOOKUP(S300,xySVG_Factors,2,FALSE))),"")</f>
        <v/>
      </c>
      <c r="AA300" s="545" t="str">
        <f t="shared" si="109"/>
        <v/>
      </c>
      <c r="AB300" s="542" t="str">
        <f t="shared" si="110"/>
        <v/>
      </c>
      <c r="AC300" s="539" t="str">
        <f t="shared" si="111"/>
        <v/>
      </c>
      <c r="AD300" s="546" t="str">
        <f t="shared" si="112"/>
        <v/>
      </c>
      <c r="AE300" s="539" t="str">
        <f t="shared" si="113"/>
        <v/>
      </c>
      <c r="AF300" s="546" t="str">
        <f t="shared" si="114"/>
        <v/>
      </c>
      <c r="AG300" s="539" t="str">
        <f t="shared" si="115"/>
        <v/>
      </c>
      <c r="AH300" s="32">
        <f t="shared" si="117"/>
        <v>0</v>
      </c>
      <c r="AI300" s="32">
        <f t="shared" si="118"/>
        <v>0</v>
      </c>
      <c r="AJ300" s="32">
        <f t="shared" si="119"/>
        <v>0</v>
      </c>
      <c r="AK300" t="str">
        <f t="shared" si="120"/>
        <v/>
      </c>
      <c r="AL300" t="str">
        <f t="shared" si="121"/>
        <v/>
      </c>
      <c r="AM300" t="str">
        <f t="shared" si="122"/>
        <v/>
      </c>
      <c r="AO300" t="str">
        <f>IFERROR(VLOOKUP(M300,'Fixture Identities'!$B$9:$O$1045,14,FALSE),"")</f>
        <v/>
      </c>
      <c r="AP300" t="str">
        <f t="shared" si="116"/>
        <v/>
      </c>
    </row>
    <row r="301" spans="1:42">
      <c r="A301" s="71">
        <f t="shared" si="124"/>
        <v>0</v>
      </c>
      <c r="B301" s="513">
        <f t="shared" si="123"/>
        <v>289</v>
      </c>
      <c r="C301" s="530" t="str">
        <f>IF(Inventory!E298="","",Inventory!E298)</f>
        <v/>
      </c>
      <c r="D301" s="531">
        <f>IF(Inventory!D298="",0,Inventory!D298)</f>
        <v>0</v>
      </c>
      <c r="E301" s="532" t="str">
        <f>IF(Inventory!I298=0,"",Inventory!I298)</f>
        <v/>
      </c>
      <c r="F301" s="533" t="str">
        <f t="shared" si="103"/>
        <v/>
      </c>
      <c r="G301" s="534" t="str">
        <f>IF(Inventory!G298="","",Inventory!G298)</f>
        <v/>
      </c>
      <c r="H301" s="535" t="str">
        <f t="shared" si="104"/>
        <v/>
      </c>
      <c r="I301" s="536" t="str">
        <f>IF(Inventory!J298="","",Inventory!J298)</f>
        <v/>
      </c>
      <c r="J301" s="537" t="str">
        <f>IFERROR(IF(PRJ_Type="New Construction",IF(Inventory!C298="N",INDEX(xyLPD_BuildingArea,MATCH(Building_Type,Lookups!$F$37:$F$75,0),4),INDEX(xyLPD_SpaceBySpace,MATCH(INDEX(xyNCEx,MATCH(I301,yNCExArea,0),2),ySpace_by_Space_Type,0),2)),VLOOKUP(E301,xyWattage_Table,11,FALSE)),"")</f>
        <v/>
      </c>
      <c r="K301" s="538" t="str">
        <f>IFERROR(IF(AND(NC_Type="Building Area Method",Inventory!C298="N"),IF(ISERROR(INDEX('Usage Groups (&gt;120 MWh only)'!$N$8:$N$12,MATCH(C301,'Usage Groups (&gt;120 MWh only)'!$B$8:$B$12,0),1))=TRUE,SqFt/COUNTIFS(Inventory!$C$10:$C$1009,"N",$Q$13:$Q$1012,"&gt;=0"),INDEX('Usage Groups (&gt;120 MWh only)'!$N$8:$N$12,MATCH(C301,'Usage Groups (&gt;120 MWh only)'!$B$8:$B$12,0),1)/COUNTIF($C$13:$C$1012,C301)),IF(AND(NC_Type="Building Area Method",Inventory!C298="Y"),INDEX(xyNCEx,MATCH(I301,yNCExArea,0),3)/COUNTIF($I$13:$I$1012,I301),VLOOKUP(J301,xyWattage_Table,10,FALSE))),"")</f>
        <v/>
      </c>
      <c r="L301" s="539" t="str">
        <f t="shared" si="105"/>
        <v/>
      </c>
      <c r="M301" s="540">
        <f>IF(Inventory!N298="","",Inventory!N298)</f>
        <v>0</v>
      </c>
      <c r="N301" s="533" t="str">
        <f t="shared" si="106"/>
        <v/>
      </c>
      <c r="O301" s="534"/>
      <c r="P301" s="533" t="str">
        <f t="shared" si="107"/>
        <v/>
      </c>
      <c r="Q301" s="534" t="str">
        <f>IF(Inventory!L298="","",Inventory!L298)</f>
        <v/>
      </c>
      <c r="R301" s="535" t="str">
        <f t="shared" si="108"/>
        <v/>
      </c>
      <c r="S301" s="536" t="str">
        <f>IF(Inventory!O298="","",Inventory!O298)</f>
        <v/>
      </c>
      <c r="T301" s="541" t="str">
        <f>IFERROR(IF(C301="","",IF(INDEX(xyWattage_Table,MATCH(M301,'Fixture Identities'!$B$9:$B$997,0),2)="Exit Sign",8760,IF(VLOOKUP(C301,xySpace_Type_Details,8,FALSE)="TRM",INDEX('General Information'!$AF$17:$AG$28,11,MATCH(N301,'General Information'!$AF$16:$AG$16,0)),HLOOKUP(VLOOKUP(C301,xySpace_Type_Details,8,FALSE),'General Information'!$P$15:$AG$28,13,FALSE)))),"")</f>
        <v/>
      </c>
      <c r="U301" s="542" t="str">
        <f>IFERROR(IF(C301="","",IF(INDEX(xyWattage_Table,MATCH(M301,'Fixture Identities'!$B$9:$B$997,0),2)="Exit Sign",1,IF(VLOOKUP(C301,xySpace_Type_Details,8,FALSE)="TRM",INDEX('General Information'!$AF$17:$AG$28,12,MATCH(N301,'General Information'!$AF$16:$AG$16,0)),HLOOKUP(VLOOKUP(C301,xySpace_Type_Details,8,FALSE),'General Information'!$P$15:$AG$28,14,FALSE)))),"")</f>
        <v/>
      </c>
      <c r="V301" s="542" t="str">
        <f>IFERROR(VLOOKUP(INDEX(xySpace_Type_Details,MATCH($C301,'General Information'!$C$40:$C$60,0),12),Lookups!$L$8:$N$12,2,FALSE),"")</f>
        <v/>
      </c>
      <c r="W301" s="542" t="str">
        <f>IFERROR(VLOOKUP(INDEX(xySpace_Type_Details,MATCH($C301,'General Information'!$C$40:$C$60,0),12),Lookups!$L$8:$N$12,3,FALSE),"")</f>
        <v/>
      </c>
      <c r="Y301" s="542" t="str">
        <f>IFERROR(IF(C301="","",IF(INDEX(xyWattage_Table,MATCH(M301,'Fixture Identities'!$B$9:$B$997,0),2)="Exit Sign",0,IF(PRJ_Type="Retrofit",VLOOKUP(I301,xySVG_Factors,2,FALSE),IF(AND(PRJ_Type="New Construction",Inventory!C298="N"),VLOOKUP(VLOOKUP(Building_Type,xyLPD_BuildingArea,5,FALSE),xySVG_Factors_NC,3,FALSE),0)))),"")</f>
        <v/>
      </c>
      <c r="Z301" s="544" t="str">
        <f>IFERROR(IF(C301="","",IF(INDEX(xyWattage_Table,MATCH(M301,'Fixture Identities'!$B$9:$B$997,0),2)="Exit Sign",0,VLOOKUP(S301,xySVG_Factors,2,FALSE))),"")</f>
        <v/>
      </c>
      <c r="AA301" s="545" t="str">
        <f t="shared" si="109"/>
        <v/>
      </c>
      <c r="AB301" s="542" t="str">
        <f t="shared" si="110"/>
        <v/>
      </c>
      <c r="AC301" s="539" t="str">
        <f t="shared" si="111"/>
        <v/>
      </c>
      <c r="AD301" s="546" t="str">
        <f t="shared" si="112"/>
        <v/>
      </c>
      <c r="AE301" s="539" t="str">
        <f t="shared" si="113"/>
        <v/>
      </c>
      <c r="AF301" s="546" t="str">
        <f t="shared" si="114"/>
        <v/>
      </c>
      <c r="AG301" s="539" t="str">
        <f t="shared" si="115"/>
        <v/>
      </c>
      <c r="AH301" s="32">
        <f t="shared" si="117"/>
        <v>0</v>
      </c>
      <c r="AI301" s="32">
        <f t="shared" si="118"/>
        <v>0</v>
      </c>
      <c r="AJ301" s="32">
        <f t="shared" si="119"/>
        <v>0</v>
      </c>
      <c r="AK301" t="str">
        <f t="shared" si="120"/>
        <v/>
      </c>
      <c r="AL301" t="str">
        <f t="shared" si="121"/>
        <v/>
      </c>
      <c r="AM301" t="str">
        <f t="shared" si="122"/>
        <v/>
      </c>
      <c r="AO301" t="str">
        <f>IFERROR(VLOOKUP(M301,'Fixture Identities'!$B$9:$O$1045,14,FALSE),"")</f>
        <v/>
      </c>
      <c r="AP301" t="str">
        <f t="shared" si="116"/>
        <v/>
      </c>
    </row>
    <row r="302" spans="1:42">
      <c r="A302" s="71">
        <f t="shared" si="124"/>
        <v>0</v>
      </c>
      <c r="B302" s="513">
        <f t="shared" si="123"/>
        <v>290</v>
      </c>
      <c r="C302" s="530" t="str">
        <f>IF(Inventory!E299="","",Inventory!E299)</f>
        <v/>
      </c>
      <c r="D302" s="531">
        <f>IF(Inventory!D299="",0,Inventory!D299)</f>
        <v>0</v>
      </c>
      <c r="E302" s="532" t="str">
        <f>IF(Inventory!I299=0,"",Inventory!I299)</f>
        <v/>
      </c>
      <c r="F302" s="533" t="str">
        <f t="shared" si="103"/>
        <v/>
      </c>
      <c r="G302" s="534" t="str">
        <f>IF(Inventory!G299="","",Inventory!G299)</f>
        <v/>
      </c>
      <c r="H302" s="535" t="str">
        <f t="shared" si="104"/>
        <v/>
      </c>
      <c r="I302" s="536" t="str">
        <f>IF(Inventory!J299="","",Inventory!J299)</f>
        <v/>
      </c>
      <c r="J302" s="537" t="str">
        <f>IFERROR(IF(PRJ_Type="New Construction",IF(Inventory!C299="N",INDEX(xyLPD_BuildingArea,MATCH(Building_Type,Lookups!$F$37:$F$75,0),4),INDEX(xyLPD_SpaceBySpace,MATCH(INDEX(xyNCEx,MATCH(I302,yNCExArea,0),2),ySpace_by_Space_Type,0),2)),VLOOKUP(E302,xyWattage_Table,11,FALSE)),"")</f>
        <v/>
      </c>
      <c r="K302" s="538" t="str">
        <f>IFERROR(IF(AND(NC_Type="Building Area Method",Inventory!C299="N"),IF(ISERROR(INDEX('Usage Groups (&gt;120 MWh only)'!$N$8:$N$12,MATCH(C302,'Usage Groups (&gt;120 MWh only)'!$B$8:$B$12,0),1))=TRUE,SqFt/COUNTIFS(Inventory!$C$10:$C$1009,"N",$Q$13:$Q$1012,"&gt;=0"),INDEX('Usage Groups (&gt;120 MWh only)'!$N$8:$N$12,MATCH(C302,'Usage Groups (&gt;120 MWh only)'!$B$8:$B$12,0),1)/COUNTIF($C$13:$C$1012,C302)),IF(AND(NC_Type="Building Area Method",Inventory!C299="Y"),INDEX(xyNCEx,MATCH(I302,yNCExArea,0),3)/COUNTIF($I$13:$I$1012,I302),VLOOKUP(J302,xyWattage_Table,10,FALSE))),"")</f>
        <v/>
      </c>
      <c r="L302" s="539" t="str">
        <f t="shared" si="105"/>
        <v/>
      </c>
      <c r="M302" s="540">
        <f>IF(Inventory!N299="","",Inventory!N299)</f>
        <v>0</v>
      </c>
      <c r="N302" s="533" t="str">
        <f t="shared" si="106"/>
        <v/>
      </c>
      <c r="O302" s="534"/>
      <c r="P302" s="533" t="str">
        <f t="shared" si="107"/>
        <v/>
      </c>
      <c r="Q302" s="534" t="str">
        <f>IF(Inventory!L299="","",Inventory!L299)</f>
        <v/>
      </c>
      <c r="R302" s="535" t="str">
        <f t="shared" si="108"/>
        <v/>
      </c>
      <c r="S302" s="536" t="str">
        <f>IF(Inventory!O299="","",Inventory!O299)</f>
        <v/>
      </c>
      <c r="T302" s="541" t="str">
        <f>IFERROR(IF(C302="","",IF(INDEX(xyWattage_Table,MATCH(M302,'Fixture Identities'!$B$9:$B$997,0),2)="Exit Sign",8760,IF(VLOOKUP(C302,xySpace_Type_Details,8,FALSE)="TRM",INDEX('General Information'!$AF$17:$AG$28,11,MATCH(N302,'General Information'!$AF$16:$AG$16,0)),HLOOKUP(VLOOKUP(C302,xySpace_Type_Details,8,FALSE),'General Information'!$P$15:$AG$28,13,FALSE)))),"")</f>
        <v/>
      </c>
      <c r="U302" s="542" t="str">
        <f>IFERROR(IF(C302="","",IF(INDEX(xyWattage_Table,MATCH(M302,'Fixture Identities'!$B$9:$B$997,0),2)="Exit Sign",1,IF(VLOOKUP(C302,xySpace_Type_Details,8,FALSE)="TRM",INDEX('General Information'!$AF$17:$AG$28,12,MATCH(N302,'General Information'!$AF$16:$AG$16,0)),HLOOKUP(VLOOKUP(C302,xySpace_Type_Details,8,FALSE),'General Information'!$P$15:$AG$28,14,FALSE)))),"")</f>
        <v/>
      </c>
      <c r="V302" s="542" t="str">
        <f>IFERROR(VLOOKUP(INDEX(xySpace_Type_Details,MATCH($C302,'General Information'!$C$40:$C$60,0),12),Lookups!$L$8:$N$12,2,FALSE),"")</f>
        <v/>
      </c>
      <c r="W302" s="542" t="str">
        <f>IFERROR(VLOOKUP(INDEX(xySpace_Type_Details,MATCH($C302,'General Information'!$C$40:$C$60,0),12),Lookups!$L$8:$N$12,3,FALSE),"")</f>
        <v/>
      </c>
      <c r="Y302" s="542" t="str">
        <f>IFERROR(IF(C302="","",IF(INDEX(xyWattage_Table,MATCH(M302,'Fixture Identities'!$B$9:$B$997,0),2)="Exit Sign",0,IF(PRJ_Type="Retrofit",VLOOKUP(I302,xySVG_Factors,2,FALSE),IF(AND(PRJ_Type="New Construction",Inventory!C299="N"),VLOOKUP(VLOOKUP(Building_Type,xyLPD_BuildingArea,5,FALSE),xySVG_Factors_NC,3,FALSE),0)))),"")</f>
        <v/>
      </c>
      <c r="Z302" s="544" t="str">
        <f>IFERROR(IF(C302="","",IF(INDEX(xyWattage_Table,MATCH(M302,'Fixture Identities'!$B$9:$B$997,0),2)="Exit Sign",0,VLOOKUP(S302,xySVG_Factors,2,FALSE))),"")</f>
        <v/>
      </c>
      <c r="AA302" s="545" t="str">
        <f t="shared" si="109"/>
        <v/>
      </c>
      <c r="AB302" s="542" t="str">
        <f t="shared" si="110"/>
        <v/>
      </c>
      <c r="AC302" s="539" t="str">
        <f t="shared" si="111"/>
        <v/>
      </c>
      <c r="AD302" s="546" t="str">
        <f t="shared" si="112"/>
        <v/>
      </c>
      <c r="AE302" s="539" t="str">
        <f t="shared" si="113"/>
        <v/>
      </c>
      <c r="AF302" s="546" t="str">
        <f t="shared" si="114"/>
        <v/>
      </c>
      <c r="AG302" s="539" t="str">
        <f t="shared" si="115"/>
        <v/>
      </c>
      <c r="AH302" s="32">
        <f t="shared" si="117"/>
        <v>0</v>
      </c>
      <c r="AI302" s="32">
        <f t="shared" si="118"/>
        <v>0</v>
      </c>
      <c r="AJ302" s="32">
        <f t="shared" si="119"/>
        <v>0</v>
      </c>
      <c r="AK302" t="str">
        <f t="shared" si="120"/>
        <v/>
      </c>
      <c r="AL302" t="str">
        <f t="shared" si="121"/>
        <v/>
      </c>
      <c r="AM302" t="str">
        <f t="shared" si="122"/>
        <v/>
      </c>
      <c r="AO302" t="str">
        <f>IFERROR(VLOOKUP(M302,'Fixture Identities'!$B$9:$O$1045,14,FALSE),"")</f>
        <v/>
      </c>
      <c r="AP302" t="str">
        <f t="shared" si="116"/>
        <v/>
      </c>
    </row>
    <row r="303" spans="1:42">
      <c r="A303" s="71">
        <f t="shared" si="124"/>
        <v>0</v>
      </c>
      <c r="B303" s="513">
        <f t="shared" si="123"/>
        <v>291</v>
      </c>
      <c r="C303" s="530" t="str">
        <f>IF(Inventory!E300="","",Inventory!E300)</f>
        <v/>
      </c>
      <c r="D303" s="531">
        <f>IF(Inventory!D300="",0,Inventory!D300)</f>
        <v>0</v>
      </c>
      <c r="E303" s="532" t="str">
        <f>IF(Inventory!I300=0,"",Inventory!I300)</f>
        <v/>
      </c>
      <c r="F303" s="533" t="str">
        <f t="shared" si="103"/>
        <v/>
      </c>
      <c r="G303" s="534" t="str">
        <f>IF(Inventory!G300="","",Inventory!G300)</f>
        <v/>
      </c>
      <c r="H303" s="535" t="str">
        <f t="shared" si="104"/>
        <v/>
      </c>
      <c r="I303" s="536" t="str">
        <f>IF(Inventory!J300="","",Inventory!J300)</f>
        <v/>
      </c>
      <c r="J303" s="537" t="str">
        <f>IFERROR(IF(PRJ_Type="New Construction",IF(Inventory!C300="N",INDEX(xyLPD_BuildingArea,MATCH(Building_Type,Lookups!$F$37:$F$75,0),4),INDEX(xyLPD_SpaceBySpace,MATCH(INDEX(xyNCEx,MATCH(I303,yNCExArea,0),2),ySpace_by_Space_Type,0),2)),VLOOKUP(E303,xyWattage_Table,11,FALSE)),"")</f>
        <v/>
      </c>
      <c r="K303" s="538" t="str">
        <f>IFERROR(IF(AND(NC_Type="Building Area Method",Inventory!C300="N"),IF(ISERROR(INDEX('Usage Groups (&gt;120 MWh only)'!$N$8:$N$12,MATCH(C303,'Usage Groups (&gt;120 MWh only)'!$B$8:$B$12,0),1))=TRUE,SqFt/COUNTIFS(Inventory!$C$10:$C$1009,"N",$Q$13:$Q$1012,"&gt;=0"),INDEX('Usage Groups (&gt;120 MWh only)'!$N$8:$N$12,MATCH(C303,'Usage Groups (&gt;120 MWh only)'!$B$8:$B$12,0),1)/COUNTIF($C$13:$C$1012,C303)),IF(AND(NC_Type="Building Area Method",Inventory!C300="Y"),INDEX(xyNCEx,MATCH(I303,yNCExArea,0),3)/COUNTIF($I$13:$I$1012,I303),VLOOKUP(J303,xyWattage_Table,10,FALSE))),"")</f>
        <v/>
      </c>
      <c r="L303" s="539" t="str">
        <f t="shared" si="105"/>
        <v/>
      </c>
      <c r="M303" s="540">
        <f>IF(Inventory!N300="","",Inventory!N300)</f>
        <v>0</v>
      </c>
      <c r="N303" s="533" t="str">
        <f t="shared" si="106"/>
        <v/>
      </c>
      <c r="O303" s="534"/>
      <c r="P303" s="533" t="str">
        <f t="shared" si="107"/>
        <v/>
      </c>
      <c r="Q303" s="534" t="str">
        <f>IF(Inventory!L300="","",Inventory!L300)</f>
        <v/>
      </c>
      <c r="R303" s="535" t="str">
        <f t="shared" si="108"/>
        <v/>
      </c>
      <c r="S303" s="536" t="str">
        <f>IF(Inventory!O300="","",Inventory!O300)</f>
        <v/>
      </c>
      <c r="T303" s="541" t="str">
        <f>IFERROR(IF(C303="","",IF(INDEX(xyWattage_Table,MATCH(M303,'Fixture Identities'!$B$9:$B$997,0),2)="Exit Sign",8760,IF(VLOOKUP(C303,xySpace_Type_Details,8,FALSE)="TRM",INDEX('General Information'!$AF$17:$AG$28,11,MATCH(N303,'General Information'!$AF$16:$AG$16,0)),HLOOKUP(VLOOKUP(C303,xySpace_Type_Details,8,FALSE),'General Information'!$P$15:$AG$28,13,FALSE)))),"")</f>
        <v/>
      </c>
      <c r="U303" s="542" t="str">
        <f>IFERROR(IF(C303="","",IF(INDEX(xyWattage_Table,MATCH(M303,'Fixture Identities'!$B$9:$B$997,0),2)="Exit Sign",1,IF(VLOOKUP(C303,xySpace_Type_Details,8,FALSE)="TRM",INDEX('General Information'!$AF$17:$AG$28,12,MATCH(N303,'General Information'!$AF$16:$AG$16,0)),HLOOKUP(VLOOKUP(C303,xySpace_Type_Details,8,FALSE),'General Information'!$P$15:$AG$28,14,FALSE)))),"")</f>
        <v/>
      </c>
      <c r="V303" s="542" t="str">
        <f>IFERROR(VLOOKUP(INDEX(xySpace_Type_Details,MATCH($C303,'General Information'!$C$40:$C$60,0),12),Lookups!$L$8:$N$12,2,FALSE),"")</f>
        <v/>
      </c>
      <c r="W303" s="542" t="str">
        <f>IFERROR(VLOOKUP(INDEX(xySpace_Type_Details,MATCH($C303,'General Information'!$C$40:$C$60,0),12),Lookups!$L$8:$N$12,3,FALSE),"")</f>
        <v/>
      </c>
      <c r="Y303" s="542" t="str">
        <f>IFERROR(IF(C303="","",IF(INDEX(xyWattage_Table,MATCH(M303,'Fixture Identities'!$B$9:$B$997,0),2)="Exit Sign",0,IF(PRJ_Type="Retrofit",VLOOKUP(I303,xySVG_Factors,2,FALSE),IF(AND(PRJ_Type="New Construction",Inventory!C300="N"),VLOOKUP(VLOOKUP(Building_Type,xyLPD_BuildingArea,5,FALSE),xySVG_Factors_NC,3,FALSE),0)))),"")</f>
        <v/>
      </c>
      <c r="Z303" s="544" t="str">
        <f>IFERROR(IF(C303="","",IF(INDEX(xyWattage_Table,MATCH(M303,'Fixture Identities'!$B$9:$B$997,0),2)="Exit Sign",0,VLOOKUP(S303,xySVG_Factors,2,FALSE))),"")</f>
        <v/>
      </c>
      <c r="AA303" s="545" t="str">
        <f t="shared" si="109"/>
        <v/>
      </c>
      <c r="AB303" s="542" t="str">
        <f t="shared" si="110"/>
        <v/>
      </c>
      <c r="AC303" s="539" t="str">
        <f t="shared" si="111"/>
        <v/>
      </c>
      <c r="AD303" s="546" t="str">
        <f t="shared" si="112"/>
        <v/>
      </c>
      <c r="AE303" s="539" t="str">
        <f t="shared" si="113"/>
        <v/>
      </c>
      <c r="AF303" s="546" t="str">
        <f t="shared" si="114"/>
        <v/>
      </c>
      <c r="AG303" s="539" t="str">
        <f t="shared" si="115"/>
        <v/>
      </c>
      <c r="AH303" s="32">
        <f t="shared" si="117"/>
        <v>0</v>
      </c>
      <c r="AI303" s="32">
        <f t="shared" si="118"/>
        <v>0</v>
      </c>
      <c r="AJ303" s="32">
        <f t="shared" si="119"/>
        <v>0</v>
      </c>
      <c r="AK303" t="str">
        <f t="shared" si="120"/>
        <v/>
      </c>
      <c r="AL303" t="str">
        <f t="shared" si="121"/>
        <v/>
      </c>
      <c r="AM303" t="str">
        <f t="shared" si="122"/>
        <v/>
      </c>
      <c r="AO303" t="str">
        <f>IFERROR(VLOOKUP(M303,'Fixture Identities'!$B$9:$O$1045,14,FALSE),"")</f>
        <v/>
      </c>
      <c r="AP303" t="str">
        <f t="shared" si="116"/>
        <v/>
      </c>
    </row>
    <row r="304" spans="1:42">
      <c r="A304" s="71">
        <f t="shared" si="124"/>
        <v>0</v>
      </c>
      <c r="B304" s="513">
        <f t="shared" si="123"/>
        <v>292</v>
      </c>
      <c r="C304" s="530" t="str">
        <f>IF(Inventory!E301="","",Inventory!E301)</f>
        <v/>
      </c>
      <c r="D304" s="531">
        <f>IF(Inventory!D301="",0,Inventory!D301)</f>
        <v>0</v>
      </c>
      <c r="E304" s="532" t="str">
        <f>IF(Inventory!I301=0,"",Inventory!I301)</f>
        <v/>
      </c>
      <c r="F304" s="533" t="str">
        <f t="shared" si="103"/>
        <v/>
      </c>
      <c r="G304" s="534" t="str">
        <f>IF(Inventory!G301="","",Inventory!G301)</f>
        <v/>
      </c>
      <c r="H304" s="535" t="str">
        <f t="shared" si="104"/>
        <v/>
      </c>
      <c r="I304" s="536" t="str">
        <f>IF(Inventory!J301="","",Inventory!J301)</f>
        <v/>
      </c>
      <c r="J304" s="537" t="str">
        <f>IFERROR(IF(PRJ_Type="New Construction",IF(Inventory!C301="N",INDEX(xyLPD_BuildingArea,MATCH(Building_Type,Lookups!$F$37:$F$75,0),4),INDEX(xyLPD_SpaceBySpace,MATCH(INDEX(xyNCEx,MATCH(I304,yNCExArea,0),2),ySpace_by_Space_Type,0),2)),VLOOKUP(E304,xyWattage_Table,11,FALSE)),"")</f>
        <v/>
      </c>
      <c r="K304" s="538" t="str">
        <f>IFERROR(IF(AND(NC_Type="Building Area Method",Inventory!C301="N"),IF(ISERROR(INDEX('Usage Groups (&gt;120 MWh only)'!$N$8:$N$12,MATCH(C304,'Usage Groups (&gt;120 MWh only)'!$B$8:$B$12,0),1))=TRUE,SqFt/COUNTIFS(Inventory!$C$10:$C$1009,"N",$Q$13:$Q$1012,"&gt;=0"),INDEX('Usage Groups (&gt;120 MWh only)'!$N$8:$N$12,MATCH(C304,'Usage Groups (&gt;120 MWh only)'!$B$8:$B$12,0),1)/COUNTIF($C$13:$C$1012,C304)),IF(AND(NC_Type="Building Area Method",Inventory!C301="Y"),INDEX(xyNCEx,MATCH(I304,yNCExArea,0),3)/COUNTIF($I$13:$I$1012,I304),VLOOKUP(J304,xyWattage_Table,10,FALSE))),"")</f>
        <v/>
      </c>
      <c r="L304" s="539" t="str">
        <f t="shared" si="105"/>
        <v/>
      </c>
      <c r="M304" s="540">
        <f>IF(Inventory!N301="","",Inventory!N301)</f>
        <v>0</v>
      </c>
      <c r="N304" s="533" t="str">
        <f t="shared" si="106"/>
        <v/>
      </c>
      <c r="O304" s="534"/>
      <c r="P304" s="533" t="str">
        <f t="shared" si="107"/>
        <v/>
      </c>
      <c r="Q304" s="534" t="str">
        <f>IF(Inventory!L301="","",Inventory!L301)</f>
        <v/>
      </c>
      <c r="R304" s="535" t="str">
        <f t="shared" si="108"/>
        <v/>
      </c>
      <c r="S304" s="536" t="str">
        <f>IF(Inventory!O301="","",Inventory!O301)</f>
        <v/>
      </c>
      <c r="T304" s="541" t="str">
        <f>IFERROR(IF(C304="","",IF(INDEX(xyWattage_Table,MATCH(M304,'Fixture Identities'!$B$9:$B$997,0),2)="Exit Sign",8760,IF(VLOOKUP(C304,xySpace_Type_Details,8,FALSE)="TRM",INDEX('General Information'!$AF$17:$AG$28,11,MATCH(N304,'General Information'!$AF$16:$AG$16,0)),HLOOKUP(VLOOKUP(C304,xySpace_Type_Details,8,FALSE),'General Information'!$P$15:$AG$28,13,FALSE)))),"")</f>
        <v/>
      </c>
      <c r="U304" s="542" t="str">
        <f>IFERROR(IF(C304="","",IF(INDEX(xyWattage_Table,MATCH(M304,'Fixture Identities'!$B$9:$B$997,0),2)="Exit Sign",1,IF(VLOOKUP(C304,xySpace_Type_Details,8,FALSE)="TRM",INDEX('General Information'!$AF$17:$AG$28,12,MATCH(N304,'General Information'!$AF$16:$AG$16,0)),HLOOKUP(VLOOKUP(C304,xySpace_Type_Details,8,FALSE),'General Information'!$P$15:$AG$28,14,FALSE)))),"")</f>
        <v/>
      </c>
      <c r="V304" s="542" t="str">
        <f>IFERROR(VLOOKUP(INDEX(xySpace_Type_Details,MATCH($C304,'General Information'!$C$40:$C$60,0),12),Lookups!$L$8:$N$12,2,FALSE),"")</f>
        <v/>
      </c>
      <c r="W304" s="542" t="str">
        <f>IFERROR(VLOOKUP(INDEX(xySpace_Type_Details,MATCH($C304,'General Information'!$C$40:$C$60,0),12),Lookups!$L$8:$N$12,3,FALSE),"")</f>
        <v/>
      </c>
      <c r="Y304" s="542" t="str">
        <f>IFERROR(IF(C304="","",IF(INDEX(xyWattage_Table,MATCH(M304,'Fixture Identities'!$B$9:$B$997,0),2)="Exit Sign",0,IF(PRJ_Type="Retrofit",VLOOKUP(I304,xySVG_Factors,2,FALSE),IF(AND(PRJ_Type="New Construction",Inventory!C301="N"),VLOOKUP(VLOOKUP(Building_Type,xyLPD_BuildingArea,5,FALSE),xySVG_Factors_NC,3,FALSE),0)))),"")</f>
        <v/>
      </c>
      <c r="Z304" s="544" t="str">
        <f>IFERROR(IF(C304="","",IF(INDEX(xyWattage_Table,MATCH(M304,'Fixture Identities'!$B$9:$B$997,0),2)="Exit Sign",0,VLOOKUP(S304,xySVG_Factors,2,FALSE))),"")</f>
        <v/>
      </c>
      <c r="AA304" s="545" t="str">
        <f t="shared" si="109"/>
        <v/>
      </c>
      <c r="AB304" s="542" t="str">
        <f t="shared" si="110"/>
        <v/>
      </c>
      <c r="AC304" s="539" t="str">
        <f t="shared" si="111"/>
        <v/>
      </c>
      <c r="AD304" s="546" t="str">
        <f t="shared" si="112"/>
        <v/>
      </c>
      <c r="AE304" s="539" t="str">
        <f t="shared" si="113"/>
        <v/>
      </c>
      <c r="AF304" s="546" t="str">
        <f t="shared" si="114"/>
        <v/>
      </c>
      <c r="AG304" s="539" t="str">
        <f t="shared" si="115"/>
        <v/>
      </c>
      <c r="AH304" s="32">
        <f t="shared" si="117"/>
        <v>0</v>
      </c>
      <c r="AI304" s="32">
        <f t="shared" si="118"/>
        <v>0</v>
      </c>
      <c r="AJ304" s="32">
        <f t="shared" si="119"/>
        <v>0</v>
      </c>
      <c r="AK304" t="str">
        <f t="shared" si="120"/>
        <v/>
      </c>
      <c r="AL304" t="str">
        <f t="shared" si="121"/>
        <v/>
      </c>
      <c r="AM304" t="str">
        <f t="shared" si="122"/>
        <v/>
      </c>
      <c r="AO304" t="str">
        <f>IFERROR(VLOOKUP(M304,'Fixture Identities'!$B$9:$O$1045,14,FALSE),"")</f>
        <v/>
      </c>
      <c r="AP304" t="str">
        <f t="shared" si="116"/>
        <v/>
      </c>
    </row>
    <row r="305" spans="1:42">
      <c r="A305" s="71">
        <f t="shared" si="124"/>
        <v>0</v>
      </c>
      <c r="B305" s="513">
        <f t="shared" si="123"/>
        <v>293</v>
      </c>
      <c r="C305" s="530" t="str">
        <f>IF(Inventory!E302="","",Inventory!E302)</f>
        <v/>
      </c>
      <c r="D305" s="531">
        <f>IF(Inventory!D302="",0,Inventory!D302)</f>
        <v>0</v>
      </c>
      <c r="E305" s="532" t="str">
        <f>IF(Inventory!I302=0,"",Inventory!I302)</f>
        <v/>
      </c>
      <c r="F305" s="533" t="str">
        <f t="shared" si="103"/>
        <v/>
      </c>
      <c r="G305" s="534" t="str">
        <f>IF(Inventory!G302="","",Inventory!G302)</f>
        <v/>
      </c>
      <c r="H305" s="535" t="str">
        <f t="shared" si="104"/>
        <v/>
      </c>
      <c r="I305" s="536" t="str">
        <f>IF(Inventory!J302="","",Inventory!J302)</f>
        <v/>
      </c>
      <c r="J305" s="537" t="str">
        <f>IFERROR(IF(PRJ_Type="New Construction",IF(Inventory!C302="N",INDEX(xyLPD_BuildingArea,MATCH(Building_Type,Lookups!$F$37:$F$75,0),4),INDEX(xyLPD_SpaceBySpace,MATCH(INDEX(xyNCEx,MATCH(I305,yNCExArea,0),2),ySpace_by_Space_Type,0),2)),VLOOKUP(E305,xyWattage_Table,11,FALSE)),"")</f>
        <v/>
      </c>
      <c r="K305" s="538" t="str">
        <f>IFERROR(IF(AND(NC_Type="Building Area Method",Inventory!C302="N"),IF(ISERROR(INDEX('Usage Groups (&gt;120 MWh only)'!$N$8:$N$12,MATCH(C305,'Usage Groups (&gt;120 MWh only)'!$B$8:$B$12,0),1))=TRUE,SqFt/COUNTIFS(Inventory!$C$10:$C$1009,"N",$Q$13:$Q$1012,"&gt;=0"),INDEX('Usage Groups (&gt;120 MWh only)'!$N$8:$N$12,MATCH(C305,'Usage Groups (&gt;120 MWh only)'!$B$8:$B$12,0),1)/COUNTIF($C$13:$C$1012,C305)),IF(AND(NC_Type="Building Area Method",Inventory!C302="Y"),INDEX(xyNCEx,MATCH(I305,yNCExArea,0),3)/COUNTIF($I$13:$I$1012,I305),VLOOKUP(J305,xyWattage_Table,10,FALSE))),"")</f>
        <v/>
      </c>
      <c r="L305" s="539" t="str">
        <f t="shared" si="105"/>
        <v/>
      </c>
      <c r="M305" s="540">
        <f>IF(Inventory!N302="","",Inventory!N302)</f>
        <v>0</v>
      </c>
      <c r="N305" s="533" t="str">
        <f t="shared" si="106"/>
        <v/>
      </c>
      <c r="O305" s="534"/>
      <c r="P305" s="533" t="str">
        <f t="shared" si="107"/>
        <v/>
      </c>
      <c r="Q305" s="534" t="str">
        <f>IF(Inventory!L302="","",Inventory!L302)</f>
        <v/>
      </c>
      <c r="R305" s="535" t="str">
        <f t="shared" si="108"/>
        <v/>
      </c>
      <c r="S305" s="536" t="str">
        <f>IF(Inventory!O302="","",Inventory!O302)</f>
        <v/>
      </c>
      <c r="T305" s="541" t="str">
        <f>IFERROR(IF(C305="","",IF(INDEX(xyWattage_Table,MATCH(M305,'Fixture Identities'!$B$9:$B$997,0),2)="Exit Sign",8760,IF(VLOOKUP(C305,xySpace_Type_Details,8,FALSE)="TRM",INDEX('General Information'!$AF$17:$AG$28,11,MATCH(N305,'General Information'!$AF$16:$AG$16,0)),HLOOKUP(VLOOKUP(C305,xySpace_Type_Details,8,FALSE),'General Information'!$P$15:$AG$28,13,FALSE)))),"")</f>
        <v/>
      </c>
      <c r="U305" s="542" t="str">
        <f>IFERROR(IF(C305="","",IF(INDEX(xyWattage_Table,MATCH(M305,'Fixture Identities'!$B$9:$B$997,0),2)="Exit Sign",1,IF(VLOOKUP(C305,xySpace_Type_Details,8,FALSE)="TRM",INDEX('General Information'!$AF$17:$AG$28,12,MATCH(N305,'General Information'!$AF$16:$AG$16,0)),HLOOKUP(VLOOKUP(C305,xySpace_Type_Details,8,FALSE),'General Information'!$P$15:$AG$28,14,FALSE)))),"")</f>
        <v/>
      </c>
      <c r="V305" s="542" t="str">
        <f>IFERROR(VLOOKUP(INDEX(xySpace_Type_Details,MATCH($C305,'General Information'!$C$40:$C$60,0),12),Lookups!$L$8:$N$12,2,FALSE),"")</f>
        <v/>
      </c>
      <c r="W305" s="542" t="str">
        <f>IFERROR(VLOOKUP(INDEX(xySpace_Type_Details,MATCH($C305,'General Information'!$C$40:$C$60,0),12),Lookups!$L$8:$N$12,3,FALSE),"")</f>
        <v/>
      </c>
      <c r="Y305" s="542" t="str">
        <f>IFERROR(IF(C305="","",IF(INDEX(xyWattage_Table,MATCH(M305,'Fixture Identities'!$B$9:$B$997,0),2)="Exit Sign",0,IF(PRJ_Type="Retrofit",VLOOKUP(I305,xySVG_Factors,2,FALSE),IF(AND(PRJ_Type="New Construction",Inventory!C302="N"),VLOOKUP(VLOOKUP(Building_Type,xyLPD_BuildingArea,5,FALSE),xySVG_Factors_NC,3,FALSE),0)))),"")</f>
        <v/>
      </c>
      <c r="Z305" s="544" t="str">
        <f>IFERROR(IF(C305="","",IF(INDEX(xyWattage_Table,MATCH(M305,'Fixture Identities'!$B$9:$B$997,0),2)="Exit Sign",0,VLOOKUP(S305,xySVG_Factors,2,FALSE))),"")</f>
        <v/>
      </c>
      <c r="AA305" s="545" t="str">
        <f t="shared" si="109"/>
        <v/>
      </c>
      <c r="AB305" s="542" t="str">
        <f t="shared" si="110"/>
        <v/>
      </c>
      <c r="AC305" s="539" t="str">
        <f t="shared" si="111"/>
        <v/>
      </c>
      <c r="AD305" s="546" t="str">
        <f t="shared" si="112"/>
        <v/>
      </c>
      <c r="AE305" s="539" t="str">
        <f t="shared" si="113"/>
        <v/>
      </c>
      <c r="AF305" s="546" t="str">
        <f t="shared" si="114"/>
        <v/>
      </c>
      <c r="AG305" s="539" t="str">
        <f t="shared" si="115"/>
        <v/>
      </c>
      <c r="AH305" s="32">
        <f t="shared" si="117"/>
        <v>0</v>
      </c>
      <c r="AI305" s="32">
        <f t="shared" si="118"/>
        <v>0</v>
      </c>
      <c r="AJ305" s="32">
        <f t="shared" si="119"/>
        <v>0</v>
      </c>
      <c r="AK305" t="str">
        <f t="shared" si="120"/>
        <v/>
      </c>
      <c r="AL305" t="str">
        <f t="shared" si="121"/>
        <v/>
      </c>
      <c r="AM305" t="str">
        <f t="shared" si="122"/>
        <v/>
      </c>
      <c r="AO305" t="str">
        <f>IFERROR(VLOOKUP(M305,'Fixture Identities'!$B$9:$O$1045,14,FALSE),"")</f>
        <v/>
      </c>
      <c r="AP305" t="str">
        <f t="shared" si="116"/>
        <v/>
      </c>
    </row>
    <row r="306" spans="1:42">
      <c r="A306" s="71">
        <f t="shared" si="124"/>
        <v>0</v>
      </c>
      <c r="B306" s="513">
        <f t="shared" si="123"/>
        <v>294</v>
      </c>
      <c r="C306" s="530" t="str">
        <f>IF(Inventory!E303="","",Inventory!E303)</f>
        <v/>
      </c>
      <c r="D306" s="531">
        <f>IF(Inventory!D303="",0,Inventory!D303)</f>
        <v>0</v>
      </c>
      <c r="E306" s="532" t="str">
        <f>IF(Inventory!I303=0,"",Inventory!I303)</f>
        <v/>
      </c>
      <c r="F306" s="533" t="str">
        <f t="shared" si="103"/>
        <v/>
      </c>
      <c r="G306" s="534" t="str">
        <f>IF(Inventory!G303="","",Inventory!G303)</f>
        <v/>
      </c>
      <c r="H306" s="535" t="str">
        <f t="shared" si="104"/>
        <v/>
      </c>
      <c r="I306" s="536" t="str">
        <f>IF(Inventory!J303="","",Inventory!J303)</f>
        <v/>
      </c>
      <c r="J306" s="537" t="str">
        <f>IFERROR(IF(PRJ_Type="New Construction",IF(Inventory!C303="N",INDEX(xyLPD_BuildingArea,MATCH(Building_Type,Lookups!$F$37:$F$75,0),4),INDEX(xyLPD_SpaceBySpace,MATCH(INDEX(xyNCEx,MATCH(I306,yNCExArea,0),2),ySpace_by_Space_Type,0),2)),VLOOKUP(E306,xyWattage_Table,11,FALSE)),"")</f>
        <v/>
      </c>
      <c r="K306" s="538" t="str">
        <f>IFERROR(IF(AND(NC_Type="Building Area Method",Inventory!C303="N"),IF(ISERROR(INDEX('Usage Groups (&gt;120 MWh only)'!$N$8:$N$12,MATCH(C306,'Usage Groups (&gt;120 MWh only)'!$B$8:$B$12,0),1))=TRUE,SqFt/COUNTIFS(Inventory!$C$10:$C$1009,"N",$Q$13:$Q$1012,"&gt;=0"),INDEX('Usage Groups (&gt;120 MWh only)'!$N$8:$N$12,MATCH(C306,'Usage Groups (&gt;120 MWh only)'!$B$8:$B$12,0),1)/COUNTIF($C$13:$C$1012,C306)),IF(AND(NC_Type="Building Area Method",Inventory!C303="Y"),INDEX(xyNCEx,MATCH(I306,yNCExArea,0),3)/COUNTIF($I$13:$I$1012,I306),VLOOKUP(J306,xyWattage_Table,10,FALSE))),"")</f>
        <v/>
      </c>
      <c r="L306" s="539" t="str">
        <f t="shared" si="105"/>
        <v/>
      </c>
      <c r="M306" s="540">
        <f>IF(Inventory!N303="","",Inventory!N303)</f>
        <v>0</v>
      </c>
      <c r="N306" s="533" t="str">
        <f t="shared" si="106"/>
        <v/>
      </c>
      <c r="O306" s="534"/>
      <c r="P306" s="533" t="str">
        <f t="shared" si="107"/>
        <v/>
      </c>
      <c r="Q306" s="534" t="str">
        <f>IF(Inventory!L303="","",Inventory!L303)</f>
        <v/>
      </c>
      <c r="R306" s="535" t="str">
        <f t="shared" si="108"/>
        <v/>
      </c>
      <c r="S306" s="536" t="str">
        <f>IF(Inventory!O303="","",Inventory!O303)</f>
        <v/>
      </c>
      <c r="T306" s="541" t="str">
        <f>IFERROR(IF(C306="","",IF(INDEX(xyWattage_Table,MATCH(M306,'Fixture Identities'!$B$9:$B$997,0),2)="Exit Sign",8760,IF(VLOOKUP(C306,xySpace_Type_Details,8,FALSE)="TRM",INDEX('General Information'!$AF$17:$AG$28,11,MATCH(N306,'General Information'!$AF$16:$AG$16,0)),HLOOKUP(VLOOKUP(C306,xySpace_Type_Details,8,FALSE),'General Information'!$P$15:$AG$28,13,FALSE)))),"")</f>
        <v/>
      </c>
      <c r="U306" s="542" t="str">
        <f>IFERROR(IF(C306="","",IF(INDEX(xyWattage_Table,MATCH(M306,'Fixture Identities'!$B$9:$B$997,0),2)="Exit Sign",1,IF(VLOOKUP(C306,xySpace_Type_Details,8,FALSE)="TRM",INDEX('General Information'!$AF$17:$AG$28,12,MATCH(N306,'General Information'!$AF$16:$AG$16,0)),HLOOKUP(VLOOKUP(C306,xySpace_Type_Details,8,FALSE),'General Information'!$P$15:$AG$28,14,FALSE)))),"")</f>
        <v/>
      </c>
      <c r="V306" s="542" t="str">
        <f>IFERROR(VLOOKUP(INDEX(xySpace_Type_Details,MATCH($C306,'General Information'!$C$40:$C$60,0),12),Lookups!$L$8:$N$12,2,FALSE),"")</f>
        <v/>
      </c>
      <c r="W306" s="542" t="str">
        <f>IFERROR(VLOOKUP(INDEX(xySpace_Type_Details,MATCH($C306,'General Information'!$C$40:$C$60,0),12),Lookups!$L$8:$N$12,3,FALSE),"")</f>
        <v/>
      </c>
      <c r="Y306" s="542" t="str">
        <f>IFERROR(IF(C306="","",IF(INDEX(xyWattage_Table,MATCH(M306,'Fixture Identities'!$B$9:$B$997,0),2)="Exit Sign",0,IF(PRJ_Type="Retrofit",VLOOKUP(I306,xySVG_Factors,2,FALSE),IF(AND(PRJ_Type="New Construction",Inventory!C303="N"),VLOOKUP(VLOOKUP(Building_Type,xyLPD_BuildingArea,5,FALSE),xySVG_Factors_NC,3,FALSE),0)))),"")</f>
        <v/>
      </c>
      <c r="Z306" s="544" t="str">
        <f>IFERROR(IF(C306="","",IF(INDEX(xyWattage_Table,MATCH(M306,'Fixture Identities'!$B$9:$B$997,0),2)="Exit Sign",0,VLOOKUP(S306,xySVG_Factors,2,FALSE))),"")</f>
        <v/>
      </c>
      <c r="AA306" s="545" t="str">
        <f t="shared" si="109"/>
        <v/>
      </c>
      <c r="AB306" s="542" t="str">
        <f t="shared" si="110"/>
        <v/>
      </c>
      <c r="AC306" s="539" t="str">
        <f t="shared" si="111"/>
        <v/>
      </c>
      <c r="AD306" s="546" t="str">
        <f t="shared" si="112"/>
        <v/>
      </c>
      <c r="AE306" s="539" t="str">
        <f t="shared" si="113"/>
        <v/>
      </c>
      <c r="AF306" s="546" t="str">
        <f t="shared" si="114"/>
        <v/>
      </c>
      <c r="AG306" s="539" t="str">
        <f t="shared" si="115"/>
        <v/>
      </c>
      <c r="AH306" s="32">
        <f t="shared" si="117"/>
        <v>0</v>
      </c>
      <c r="AI306" s="32">
        <f t="shared" si="118"/>
        <v>0</v>
      </c>
      <c r="AJ306" s="32">
        <f t="shared" si="119"/>
        <v>0</v>
      </c>
      <c r="AK306" t="str">
        <f t="shared" si="120"/>
        <v/>
      </c>
      <c r="AL306" t="str">
        <f t="shared" si="121"/>
        <v/>
      </c>
      <c r="AM306" t="str">
        <f t="shared" si="122"/>
        <v/>
      </c>
      <c r="AO306" t="str">
        <f>IFERROR(VLOOKUP(M306,'Fixture Identities'!$B$9:$O$1045,14,FALSE),"")</f>
        <v/>
      </c>
      <c r="AP306" t="str">
        <f t="shared" si="116"/>
        <v/>
      </c>
    </row>
    <row r="307" spans="1:42">
      <c r="A307" s="71">
        <f t="shared" si="124"/>
        <v>0</v>
      </c>
      <c r="B307" s="513">
        <f t="shared" si="123"/>
        <v>295</v>
      </c>
      <c r="C307" s="530" t="str">
        <f>IF(Inventory!E304="","",Inventory!E304)</f>
        <v/>
      </c>
      <c r="D307" s="531">
        <f>IF(Inventory!D304="",0,Inventory!D304)</f>
        <v>0</v>
      </c>
      <c r="E307" s="532" t="str">
        <f>IF(Inventory!I304=0,"",Inventory!I304)</f>
        <v/>
      </c>
      <c r="F307" s="533" t="str">
        <f t="shared" si="103"/>
        <v/>
      </c>
      <c r="G307" s="534" t="str">
        <f>IF(Inventory!G304="","",Inventory!G304)</f>
        <v/>
      </c>
      <c r="H307" s="535" t="str">
        <f t="shared" si="104"/>
        <v/>
      </c>
      <c r="I307" s="536" t="str">
        <f>IF(Inventory!J304="","",Inventory!J304)</f>
        <v/>
      </c>
      <c r="J307" s="537" t="str">
        <f>IFERROR(IF(PRJ_Type="New Construction",IF(Inventory!C304="N",INDEX(xyLPD_BuildingArea,MATCH(Building_Type,Lookups!$F$37:$F$75,0),4),INDEX(xyLPD_SpaceBySpace,MATCH(INDEX(xyNCEx,MATCH(I307,yNCExArea,0),2),ySpace_by_Space_Type,0),2)),VLOOKUP(E307,xyWattage_Table,11,FALSE)),"")</f>
        <v/>
      </c>
      <c r="K307" s="538" t="str">
        <f>IFERROR(IF(AND(NC_Type="Building Area Method",Inventory!C304="N"),IF(ISERROR(INDEX('Usage Groups (&gt;120 MWh only)'!$N$8:$N$12,MATCH(C307,'Usage Groups (&gt;120 MWh only)'!$B$8:$B$12,0),1))=TRUE,SqFt/COUNTIFS(Inventory!$C$10:$C$1009,"N",$Q$13:$Q$1012,"&gt;=0"),INDEX('Usage Groups (&gt;120 MWh only)'!$N$8:$N$12,MATCH(C307,'Usage Groups (&gt;120 MWh only)'!$B$8:$B$12,0),1)/COUNTIF($C$13:$C$1012,C307)),IF(AND(NC_Type="Building Area Method",Inventory!C304="Y"),INDEX(xyNCEx,MATCH(I307,yNCExArea,0),3)/COUNTIF($I$13:$I$1012,I307),VLOOKUP(J307,xyWattage_Table,10,FALSE))),"")</f>
        <v/>
      </c>
      <c r="L307" s="539" t="str">
        <f t="shared" si="105"/>
        <v/>
      </c>
      <c r="M307" s="540">
        <f>IF(Inventory!N304="","",Inventory!N304)</f>
        <v>0</v>
      </c>
      <c r="N307" s="533" t="str">
        <f t="shared" si="106"/>
        <v/>
      </c>
      <c r="O307" s="534"/>
      <c r="P307" s="533" t="str">
        <f t="shared" si="107"/>
        <v/>
      </c>
      <c r="Q307" s="534" t="str">
        <f>IF(Inventory!L304="","",Inventory!L304)</f>
        <v/>
      </c>
      <c r="R307" s="535" t="str">
        <f t="shared" si="108"/>
        <v/>
      </c>
      <c r="S307" s="536" t="str">
        <f>IF(Inventory!O304="","",Inventory!O304)</f>
        <v/>
      </c>
      <c r="T307" s="541" t="str">
        <f>IFERROR(IF(C307="","",IF(INDEX(xyWattage_Table,MATCH(M307,'Fixture Identities'!$B$9:$B$997,0),2)="Exit Sign",8760,IF(VLOOKUP(C307,xySpace_Type_Details,8,FALSE)="TRM",INDEX('General Information'!$AF$17:$AG$28,11,MATCH(N307,'General Information'!$AF$16:$AG$16,0)),HLOOKUP(VLOOKUP(C307,xySpace_Type_Details,8,FALSE),'General Information'!$P$15:$AG$28,13,FALSE)))),"")</f>
        <v/>
      </c>
      <c r="U307" s="542" t="str">
        <f>IFERROR(IF(C307="","",IF(INDEX(xyWattage_Table,MATCH(M307,'Fixture Identities'!$B$9:$B$997,0),2)="Exit Sign",1,IF(VLOOKUP(C307,xySpace_Type_Details,8,FALSE)="TRM",INDEX('General Information'!$AF$17:$AG$28,12,MATCH(N307,'General Information'!$AF$16:$AG$16,0)),HLOOKUP(VLOOKUP(C307,xySpace_Type_Details,8,FALSE),'General Information'!$P$15:$AG$28,14,FALSE)))),"")</f>
        <v/>
      </c>
      <c r="V307" s="542" t="str">
        <f>IFERROR(VLOOKUP(INDEX(xySpace_Type_Details,MATCH($C307,'General Information'!$C$40:$C$60,0),12),Lookups!$L$8:$N$12,2,FALSE),"")</f>
        <v/>
      </c>
      <c r="W307" s="542" t="str">
        <f>IFERROR(VLOOKUP(INDEX(xySpace_Type_Details,MATCH($C307,'General Information'!$C$40:$C$60,0),12),Lookups!$L$8:$N$12,3,FALSE),"")</f>
        <v/>
      </c>
      <c r="Y307" s="542" t="str">
        <f>IFERROR(IF(C307="","",IF(INDEX(xyWattage_Table,MATCH(M307,'Fixture Identities'!$B$9:$B$997,0),2)="Exit Sign",0,IF(PRJ_Type="Retrofit",VLOOKUP(I307,xySVG_Factors,2,FALSE),IF(AND(PRJ_Type="New Construction",Inventory!C304="N"),VLOOKUP(VLOOKUP(Building_Type,xyLPD_BuildingArea,5,FALSE),xySVG_Factors_NC,3,FALSE),0)))),"")</f>
        <v/>
      </c>
      <c r="Z307" s="544" t="str">
        <f>IFERROR(IF(C307="","",IF(INDEX(xyWattage_Table,MATCH(M307,'Fixture Identities'!$B$9:$B$997,0),2)="Exit Sign",0,VLOOKUP(S307,xySVG_Factors,2,FALSE))),"")</f>
        <v/>
      </c>
      <c r="AA307" s="545" t="str">
        <f t="shared" si="109"/>
        <v/>
      </c>
      <c r="AB307" s="542" t="str">
        <f t="shared" si="110"/>
        <v/>
      </c>
      <c r="AC307" s="539" t="str">
        <f t="shared" si="111"/>
        <v/>
      </c>
      <c r="AD307" s="546" t="str">
        <f t="shared" si="112"/>
        <v/>
      </c>
      <c r="AE307" s="539" t="str">
        <f t="shared" si="113"/>
        <v/>
      </c>
      <c r="AF307" s="546" t="str">
        <f t="shared" si="114"/>
        <v/>
      </c>
      <c r="AG307" s="539" t="str">
        <f t="shared" si="115"/>
        <v/>
      </c>
      <c r="AH307" s="32">
        <f t="shared" si="117"/>
        <v>0</v>
      </c>
      <c r="AI307" s="32">
        <f t="shared" si="118"/>
        <v>0</v>
      </c>
      <c r="AJ307" s="32">
        <f t="shared" si="119"/>
        <v>0</v>
      </c>
      <c r="AK307" t="str">
        <f t="shared" si="120"/>
        <v/>
      </c>
      <c r="AL307" t="str">
        <f t="shared" si="121"/>
        <v/>
      </c>
      <c r="AM307" t="str">
        <f t="shared" si="122"/>
        <v/>
      </c>
      <c r="AO307" t="str">
        <f>IFERROR(VLOOKUP(M307,'Fixture Identities'!$B$9:$O$1045,14,FALSE),"")</f>
        <v/>
      </c>
      <c r="AP307" t="str">
        <f t="shared" si="116"/>
        <v/>
      </c>
    </row>
    <row r="308" spans="1:42">
      <c r="A308" s="71">
        <f t="shared" si="124"/>
        <v>0</v>
      </c>
      <c r="B308" s="513">
        <f t="shared" si="123"/>
        <v>296</v>
      </c>
      <c r="C308" s="530" t="str">
        <f>IF(Inventory!E305="","",Inventory!E305)</f>
        <v/>
      </c>
      <c r="D308" s="531">
        <f>IF(Inventory!D305="",0,Inventory!D305)</f>
        <v>0</v>
      </c>
      <c r="E308" s="532" t="str">
        <f>IF(Inventory!I305=0,"",Inventory!I305)</f>
        <v/>
      </c>
      <c r="F308" s="533" t="str">
        <f t="shared" si="103"/>
        <v/>
      </c>
      <c r="G308" s="534" t="str">
        <f>IF(Inventory!G305="","",Inventory!G305)</f>
        <v/>
      </c>
      <c r="H308" s="535" t="str">
        <f t="shared" si="104"/>
        <v/>
      </c>
      <c r="I308" s="536" t="str">
        <f>IF(Inventory!J305="","",Inventory!J305)</f>
        <v/>
      </c>
      <c r="J308" s="537" t="str">
        <f>IFERROR(IF(PRJ_Type="New Construction",IF(Inventory!C305="N",INDEX(xyLPD_BuildingArea,MATCH(Building_Type,Lookups!$F$37:$F$75,0),4),INDEX(xyLPD_SpaceBySpace,MATCH(INDEX(xyNCEx,MATCH(I308,yNCExArea,0),2),ySpace_by_Space_Type,0),2)),VLOOKUP(E308,xyWattage_Table,11,FALSE)),"")</f>
        <v/>
      </c>
      <c r="K308" s="538" t="str">
        <f>IFERROR(IF(AND(NC_Type="Building Area Method",Inventory!C305="N"),IF(ISERROR(INDEX('Usage Groups (&gt;120 MWh only)'!$N$8:$N$12,MATCH(C308,'Usage Groups (&gt;120 MWh only)'!$B$8:$B$12,0),1))=TRUE,SqFt/COUNTIFS(Inventory!$C$10:$C$1009,"N",$Q$13:$Q$1012,"&gt;=0"),INDEX('Usage Groups (&gt;120 MWh only)'!$N$8:$N$12,MATCH(C308,'Usage Groups (&gt;120 MWh only)'!$B$8:$B$12,0),1)/COUNTIF($C$13:$C$1012,C308)),IF(AND(NC_Type="Building Area Method",Inventory!C305="Y"),INDEX(xyNCEx,MATCH(I308,yNCExArea,0),3)/COUNTIF($I$13:$I$1012,I308),VLOOKUP(J308,xyWattage_Table,10,FALSE))),"")</f>
        <v/>
      </c>
      <c r="L308" s="539" t="str">
        <f t="shared" si="105"/>
        <v/>
      </c>
      <c r="M308" s="540">
        <f>IF(Inventory!N305="","",Inventory!N305)</f>
        <v>0</v>
      </c>
      <c r="N308" s="533" t="str">
        <f t="shared" si="106"/>
        <v/>
      </c>
      <c r="O308" s="534"/>
      <c r="P308" s="533" t="str">
        <f t="shared" si="107"/>
        <v/>
      </c>
      <c r="Q308" s="534" t="str">
        <f>IF(Inventory!L305="","",Inventory!L305)</f>
        <v/>
      </c>
      <c r="R308" s="535" t="str">
        <f t="shared" si="108"/>
        <v/>
      </c>
      <c r="S308" s="536" t="str">
        <f>IF(Inventory!O305="","",Inventory!O305)</f>
        <v/>
      </c>
      <c r="T308" s="541" t="str">
        <f>IFERROR(IF(C308="","",IF(INDEX(xyWattage_Table,MATCH(M308,'Fixture Identities'!$B$9:$B$997,0),2)="Exit Sign",8760,IF(VLOOKUP(C308,xySpace_Type_Details,8,FALSE)="TRM",INDEX('General Information'!$AF$17:$AG$28,11,MATCH(N308,'General Information'!$AF$16:$AG$16,0)),HLOOKUP(VLOOKUP(C308,xySpace_Type_Details,8,FALSE),'General Information'!$P$15:$AG$28,13,FALSE)))),"")</f>
        <v/>
      </c>
      <c r="U308" s="542" t="str">
        <f>IFERROR(IF(C308="","",IF(INDEX(xyWattage_Table,MATCH(M308,'Fixture Identities'!$B$9:$B$997,0),2)="Exit Sign",1,IF(VLOOKUP(C308,xySpace_Type_Details,8,FALSE)="TRM",INDEX('General Information'!$AF$17:$AG$28,12,MATCH(N308,'General Information'!$AF$16:$AG$16,0)),HLOOKUP(VLOOKUP(C308,xySpace_Type_Details,8,FALSE),'General Information'!$P$15:$AG$28,14,FALSE)))),"")</f>
        <v/>
      </c>
      <c r="V308" s="542" t="str">
        <f>IFERROR(VLOOKUP(INDEX(xySpace_Type_Details,MATCH($C308,'General Information'!$C$40:$C$60,0),12),Lookups!$L$8:$N$12,2,FALSE),"")</f>
        <v/>
      </c>
      <c r="W308" s="542" t="str">
        <f>IFERROR(VLOOKUP(INDEX(xySpace_Type_Details,MATCH($C308,'General Information'!$C$40:$C$60,0),12),Lookups!$L$8:$N$12,3,FALSE),"")</f>
        <v/>
      </c>
      <c r="Y308" s="542" t="str">
        <f>IFERROR(IF(C308="","",IF(INDEX(xyWattage_Table,MATCH(M308,'Fixture Identities'!$B$9:$B$997,0),2)="Exit Sign",0,IF(PRJ_Type="Retrofit",VLOOKUP(I308,xySVG_Factors,2,FALSE),IF(AND(PRJ_Type="New Construction",Inventory!C305="N"),VLOOKUP(VLOOKUP(Building_Type,xyLPD_BuildingArea,5,FALSE),xySVG_Factors_NC,3,FALSE),0)))),"")</f>
        <v/>
      </c>
      <c r="Z308" s="544" t="str">
        <f>IFERROR(IF(C308="","",IF(INDEX(xyWattage_Table,MATCH(M308,'Fixture Identities'!$B$9:$B$997,0),2)="Exit Sign",0,VLOOKUP(S308,xySVG_Factors,2,FALSE))),"")</f>
        <v/>
      </c>
      <c r="AA308" s="545" t="str">
        <f t="shared" si="109"/>
        <v/>
      </c>
      <c r="AB308" s="542" t="str">
        <f t="shared" si="110"/>
        <v/>
      </c>
      <c r="AC308" s="539" t="str">
        <f t="shared" si="111"/>
        <v/>
      </c>
      <c r="AD308" s="546" t="str">
        <f t="shared" si="112"/>
        <v/>
      </c>
      <c r="AE308" s="539" t="str">
        <f t="shared" si="113"/>
        <v/>
      </c>
      <c r="AF308" s="546" t="str">
        <f t="shared" si="114"/>
        <v/>
      </c>
      <c r="AG308" s="539" t="str">
        <f t="shared" si="115"/>
        <v/>
      </c>
      <c r="AH308" s="32">
        <f t="shared" si="117"/>
        <v>0</v>
      </c>
      <c r="AI308" s="32">
        <f t="shared" si="118"/>
        <v>0</v>
      </c>
      <c r="AJ308" s="32">
        <f t="shared" si="119"/>
        <v>0</v>
      </c>
      <c r="AK308" t="str">
        <f t="shared" si="120"/>
        <v/>
      </c>
      <c r="AL308" t="str">
        <f t="shared" si="121"/>
        <v/>
      </c>
      <c r="AM308" t="str">
        <f t="shared" si="122"/>
        <v/>
      </c>
      <c r="AO308" t="str">
        <f>IFERROR(VLOOKUP(M308,'Fixture Identities'!$B$9:$O$1045,14,FALSE),"")</f>
        <v/>
      </c>
      <c r="AP308" t="str">
        <f t="shared" si="116"/>
        <v/>
      </c>
    </row>
    <row r="309" spans="1:42">
      <c r="A309" s="71">
        <f t="shared" si="124"/>
        <v>0</v>
      </c>
      <c r="B309" s="513">
        <f t="shared" si="123"/>
        <v>297</v>
      </c>
      <c r="C309" s="530" t="str">
        <f>IF(Inventory!E306="","",Inventory!E306)</f>
        <v/>
      </c>
      <c r="D309" s="531">
        <f>IF(Inventory!D306="",0,Inventory!D306)</f>
        <v>0</v>
      </c>
      <c r="E309" s="532" t="str">
        <f>IF(Inventory!I306=0,"",Inventory!I306)</f>
        <v/>
      </c>
      <c r="F309" s="533" t="str">
        <f t="shared" si="103"/>
        <v/>
      </c>
      <c r="G309" s="534" t="str">
        <f>IF(Inventory!G306="","",Inventory!G306)</f>
        <v/>
      </c>
      <c r="H309" s="535" t="str">
        <f t="shared" si="104"/>
        <v/>
      </c>
      <c r="I309" s="536" t="str">
        <f>IF(Inventory!J306="","",Inventory!J306)</f>
        <v/>
      </c>
      <c r="J309" s="537" t="str">
        <f>IFERROR(IF(PRJ_Type="New Construction",IF(Inventory!C306="N",INDEX(xyLPD_BuildingArea,MATCH(Building_Type,Lookups!$F$37:$F$75,0),4),INDEX(xyLPD_SpaceBySpace,MATCH(INDEX(xyNCEx,MATCH(I309,yNCExArea,0),2),ySpace_by_Space_Type,0),2)),VLOOKUP(E309,xyWattage_Table,11,FALSE)),"")</f>
        <v/>
      </c>
      <c r="K309" s="538" t="str">
        <f>IFERROR(IF(AND(NC_Type="Building Area Method",Inventory!C306="N"),IF(ISERROR(INDEX('Usage Groups (&gt;120 MWh only)'!$N$8:$N$12,MATCH(C309,'Usage Groups (&gt;120 MWh only)'!$B$8:$B$12,0),1))=TRUE,SqFt/COUNTIFS(Inventory!$C$10:$C$1009,"N",$Q$13:$Q$1012,"&gt;=0"),INDEX('Usage Groups (&gt;120 MWh only)'!$N$8:$N$12,MATCH(C309,'Usage Groups (&gt;120 MWh only)'!$B$8:$B$12,0),1)/COUNTIF($C$13:$C$1012,C309)),IF(AND(NC_Type="Building Area Method",Inventory!C306="Y"),INDEX(xyNCEx,MATCH(I309,yNCExArea,0),3)/COUNTIF($I$13:$I$1012,I309),VLOOKUP(J309,xyWattage_Table,10,FALSE))),"")</f>
        <v/>
      </c>
      <c r="L309" s="539" t="str">
        <f t="shared" si="105"/>
        <v/>
      </c>
      <c r="M309" s="540">
        <f>IF(Inventory!N306="","",Inventory!N306)</f>
        <v>0</v>
      </c>
      <c r="N309" s="533" t="str">
        <f t="shared" si="106"/>
        <v/>
      </c>
      <c r="O309" s="534"/>
      <c r="P309" s="533" t="str">
        <f t="shared" si="107"/>
        <v/>
      </c>
      <c r="Q309" s="534" t="str">
        <f>IF(Inventory!L306="","",Inventory!L306)</f>
        <v/>
      </c>
      <c r="R309" s="535" t="str">
        <f t="shared" si="108"/>
        <v/>
      </c>
      <c r="S309" s="536" t="str">
        <f>IF(Inventory!O306="","",Inventory!O306)</f>
        <v/>
      </c>
      <c r="T309" s="541" t="str">
        <f>IFERROR(IF(C309="","",IF(INDEX(xyWattage_Table,MATCH(M309,'Fixture Identities'!$B$9:$B$997,0),2)="Exit Sign",8760,IF(VLOOKUP(C309,xySpace_Type_Details,8,FALSE)="TRM",INDEX('General Information'!$AF$17:$AG$28,11,MATCH(N309,'General Information'!$AF$16:$AG$16,0)),HLOOKUP(VLOOKUP(C309,xySpace_Type_Details,8,FALSE),'General Information'!$P$15:$AG$28,13,FALSE)))),"")</f>
        <v/>
      </c>
      <c r="U309" s="542" t="str">
        <f>IFERROR(IF(C309="","",IF(INDEX(xyWattage_Table,MATCH(M309,'Fixture Identities'!$B$9:$B$997,0),2)="Exit Sign",1,IF(VLOOKUP(C309,xySpace_Type_Details,8,FALSE)="TRM",INDEX('General Information'!$AF$17:$AG$28,12,MATCH(N309,'General Information'!$AF$16:$AG$16,0)),HLOOKUP(VLOOKUP(C309,xySpace_Type_Details,8,FALSE),'General Information'!$P$15:$AG$28,14,FALSE)))),"")</f>
        <v/>
      </c>
      <c r="V309" s="542" t="str">
        <f>IFERROR(VLOOKUP(INDEX(xySpace_Type_Details,MATCH($C309,'General Information'!$C$40:$C$60,0),12),Lookups!$L$8:$N$12,2,FALSE),"")</f>
        <v/>
      </c>
      <c r="W309" s="542" t="str">
        <f>IFERROR(VLOOKUP(INDEX(xySpace_Type_Details,MATCH($C309,'General Information'!$C$40:$C$60,0),12),Lookups!$L$8:$N$12,3,FALSE),"")</f>
        <v/>
      </c>
      <c r="Y309" s="542" t="str">
        <f>IFERROR(IF(C309="","",IF(INDEX(xyWattage_Table,MATCH(M309,'Fixture Identities'!$B$9:$B$997,0),2)="Exit Sign",0,IF(PRJ_Type="Retrofit",VLOOKUP(I309,xySVG_Factors,2,FALSE),IF(AND(PRJ_Type="New Construction",Inventory!C306="N"),VLOOKUP(VLOOKUP(Building_Type,xyLPD_BuildingArea,5,FALSE),xySVG_Factors_NC,3,FALSE),0)))),"")</f>
        <v/>
      </c>
      <c r="Z309" s="544" t="str">
        <f>IFERROR(IF(C309="","",IF(INDEX(xyWattage_Table,MATCH(M309,'Fixture Identities'!$B$9:$B$997,0),2)="Exit Sign",0,VLOOKUP(S309,xySVG_Factors,2,FALSE))),"")</f>
        <v/>
      </c>
      <c r="AA309" s="545" t="str">
        <f t="shared" si="109"/>
        <v/>
      </c>
      <c r="AB309" s="542" t="str">
        <f t="shared" si="110"/>
        <v/>
      </c>
      <c r="AC309" s="539" t="str">
        <f t="shared" si="111"/>
        <v/>
      </c>
      <c r="AD309" s="546" t="str">
        <f t="shared" si="112"/>
        <v/>
      </c>
      <c r="AE309" s="539" t="str">
        <f t="shared" si="113"/>
        <v/>
      </c>
      <c r="AF309" s="546" t="str">
        <f t="shared" si="114"/>
        <v/>
      </c>
      <c r="AG309" s="539" t="str">
        <f t="shared" si="115"/>
        <v/>
      </c>
      <c r="AH309" s="32">
        <f t="shared" si="117"/>
        <v>0</v>
      </c>
      <c r="AI309" s="32">
        <f t="shared" si="118"/>
        <v>0</v>
      </c>
      <c r="AJ309" s="32">
        <f t="shared" si="119"/>
        <v>0</v>
      </c>
      <c r="AK309" t="str">
        <f t="shared" si="120"/>
        <v/>
      </c>
      <c r="AL309" t="str">
        <f t="shared" si="121"/>
        <v/>
      </c>
      <c r="AM309" t="str">
        <f t="shared" si="122"/>
        <v/>
      </c>
      <c r="AO309" t="str">
        <f>IFERROR(VLOOKUP(M309,'Fixture Identities'!$B$9:$O$1045,14,FALSE),"")</f>
        <v/>
      </c>
      <c r="AP309" t="str">
        <f t="shared" si="116"/>
        <v/>
      </c>
    </row>
    <row r="310" spans="1:42">
      <c r="A310" s="71">
        <f t="shared" si="124"/>
        <v>0</v>
      </c>
      <c r="B310" s="513">
        <f t="shared" si="123"/>
        <v>298</v>
      </c>
      <c r="C310" s="530" t="str">
        <f>IF(Inventory!E307="","",Inventory!E307)</f>
        <v/>
      </c>
      <c r="D310" s="531">
        <f>IF(Inventory!D307="",0,Inventory!D307)</f>
        <v>0</v>
      </c>
      <c r="E310" s="532" t="str">
        <f>IF(Inventory!I307=0,"",Inventory!I307)</f>
        <v/>
      </c>
      <c r="F310" s="533" t="str">
        <f t="shared" si="103"/>
        <v/>
      </c>
      <c r="G310" s="534" t="str">
        <f>IF(Inventory!G307="","",Inventory!G307)</f>
        <v/>
      </c>
      <c r="H310" s="535" t="str">
        <f t="shared" si="104"/>
        <v/>
      </c>
      <c r="I310" s="536" t="str">
        <f>IF(Inventory!J307="","",Inventory!J307)</f>
        <v/>
      </c>
      <c r="J310" s="537" t="str">
        <f>IFERROR(IF(PRJ_Type="New Construction",IF(Inventory!C307="N",INDEX(xyLPD_BuildingArea,MATCH(Building_Type,Lookups!$F$37:$F$75,0),4),INDEX(xyLPD_SpaceBySpace,MATCH(INDEX(xyNCEx,MATCH(I310,yNCExArea,0),2),ySpace_by_Space_Type,0),2)),VLOOKUP(E310,xyWattage_Table,11,FALSE)),"")</f>
        <v/>
      </c>
      <c r="K310" s="538" t="str">
        <f>IFERROR(IF(AND(NC_Type="Building Area Method",Inventory!C307="N"),IF(ISERROR(INDEX('Usage Groups (&gt;120 MWh only)'!$N$8:$N$12,MATCH(C310,'Usage Groups (&gt;120 MWh only)'!$B$8:$B$12,0),1))=TRUE,SqFt/COUNTIFS(Inventory!$C$10:$C$1009,"N",$Q$13:$Q$1012,"&gt;=0"),INDEX('Usage Groups (&gt;120 MWh only)'!$N$8:$N$12,MATCH(C310,'Usage Groups (&gt;120 MWh only)'!$B$8:$B$12,0),1)/COUNTIF($C$13:$C$1012,C310)),IF(AND(NC_Type="Building Area Method",Inventory!C307="Y"),INDEX(xyNCEx,MATCH(I310,yNCExArea,0),3)/COUNTIF($I$13:$I$1012,I310),VLOOKUP(J310,xyWattage_Table,10,FALSE))),"")</f>
        <v/>
      </c>
      <c r="L310" s="539" t="str">
        <f t="shared" si="105"/>
        <v/>
      </c>
      <c r="M310" s="540">
        <f>IF(Inventory!N307="","",Inventory!N307)</f>
        <v>0</v>
      </c>
      <c r="N310" s="533" t="str">
        <f t="shared" si="106"/>
        <v/>
      </c>
      <c r="O310" s="534"/>
      <c r="P310" s="533" t="str">
        <f t="shared" si="107"/>
        <v/>
      </c>
      <c r="Q310" s="534" t="str">
        <f>IF(Inventory!L307="","",Inventory!L307)</f>
        <v/>
      </c>
      <c r="R310" s="535" t="str">
        <f t="shared" si="108"/>
        <v/>
      </c>
      <c r="S310" s="536" t="str">
        <f>IF(Inventory!O307="","",Inventory!O307)</f>
        <v/>
      </c>
      <c r="T310" s="541" t="str">
        <f>IFERROR(IF(C310="","",IF(INDEX(xyWattage_Table,MATCH(M310,'Fixture Identities'!$B$9:$B$997,0),2)="Exit Sign",8760,IF(VLOOKUP(C310,xySpace_Type_Details,8,FALSE)="TRM",INDEX('General Information'!$AF$17:$AG$28,11,MATCH(N310,'General Information'!$AF$16:$AG$16,0)),HLOOKUP(VLOOKUP(C310,xySpace_Type_Details,8,FALSE),'General Information'!$P$15:$AG$28,13,FALSE)))),"")</f>
        <v/>
      </c>
      <c r="U310" s="542" t="str">
        <f>IFERROR(IF(C310="","",IF(INDEX(xyWattage_Table,MATCH(M310,'Fixture Identities'!$B$9:$B$997,0),2)="Exit Sign",1,IF(VLOOKUP(C310,xySpace_Type_Details,8,FALSE)="TRM",INDEX('General Information'!$AF$17:$AG$28,12,MATCH(N310,'General Information'!$AF$16:$AG$16,0)),HLOOKUP(VLOOKUP(C310,xySpace_Type_Details,8,FALSE),'General Information'!$P$15:$AG$28,14,FALSE)))),"")</f>
        <v/>
      </c>
      <c r="V310" s="542" t="str">
        <f>IFERROR(VLOOKUP(INDEX(xySpace_Type_Details,MATCH($C310,'General Information'!$C$40:$C$60,0),12),Lookups!$L$8:$N$12,2,FALSE),"")</f>
        <v/>
      </c>
      <c r="W310" s="542" t="str">
        <f>IFERROR(VLOOKUP(INDEX(xySpace_Type_Details,MATCH($C310,'General Information'!$C$40:$C$60,0),12),Lookups!$L$8:$N$12,3,FALSE),"")</f>
        <v/>
      </c>
      <c r="Y310" s="542" t="str">
        <f>IFERROR(IF(C310="","",IF(INDEX(xyWattage_Table,MATCH(M310,'Fixture Identities'!$B$9:$B$997,0),2)="Exit Sign",0,IF(PRJ_Type="Retrofit",VLOOKUP(I310,xySVG_Factors,2,FALSE),IF(AND(PRJ_Type="New Construction",Inventory!C307="N"),VLOOKUP(VLOOKUP(Building_Type,xyLPD_BuildingArea,5,FALSE),xySVG_Factors_NC,3,FALSE),0)))),"")</f>
        <v/>
      </c>
      <c r="Z310" s="544" t="str">
        <f>IFERROR(IF(C310="","",IF(INDEX(xyWattage_Table,MATCH(M310,'Fixture Identities'!$B$9:$B$997,0),2)="Exit Sign",0,VLOOKUP(S310,xySVG_Factors,2,FALSE))),"")</f>
        <v/>
      </c>
      <c r="AA310" s="545" t="str">
        <f t="shared" si="109"/>
        <v/>
      </c>
      <c r="AB310" s="542" t="str">
        <f t="shared" si="110"/>
        <v/>
      </c>
      <c r="AC310" s="539" t="str">
        <f t="shared" si="111"/>
        <v/>
      </c>
      <c r="AD310" s="546" t="str">
        <f t="shared" si="112"/>
        <v/>
      </c>
      <c r="AE310" s="539" t="str">
        <f t="shared" si="113"/>
        <v/>
      </c>
      <c r="AF310" s="546" t="str">
        <f t="shared" si="114"/>
        <v/>
      </c>
      <c r="AG310" s="539" t="str">
        <f t="shared" si="115"/>
        <v/>
      </c>
      <c r="AH310" s="32">
        <f t="shared" si="117"/>
        <v>0</v>
      </c>
      <c r="AI310" s="32">
        <f t="shared" si="118"/>
        <v>0</v>
      </c>
      <c r="AJ310" s="32">
        <f t="shared" si="119"/>
        <v>0</v>
      </c>
      <c r="AK310" t="str">
        <f t="shared" si="120"/>
        <v/>
      </c>
      <c r="AL310" t="str">
        <f t="shared" si="121"/>
        <v/>
      </c>
      <c r="AM310" t="str">
        <f t="shared" si="122"/>
        <v/>
      </c>
      <c r="AO310" t="str">
        <f>IFERROR(VLOOKUP(M310,'Fixture Identities'!$B$9:$O$1045,14,FALSE),"")</f>
        <v/>
      </c>
      <c r="AP310" t="str">
        <f t="shared" si="116"/>
        <v/>
      </c>
    </row>
    <row r="311" spans="1:42">
      <c r="A311" s="71">
        <f t="shared" si="124"/>
        <v>0</v>
      </c>
      <c r="B311" s="513">
        <f t="shared" si="123"/>
        <v>299</v>
      </c>
      <c r="C311" s="530" t="str">
        <f>IF(Inventory!E308="","",Inventory!E308)</f>
        <v/>
      </c>
      <c r="D311" s="531">
        <f>IF(Inventory!D308="",0,Inventory!D308)</f>
        <v>0</v>
      </c>
      <c r="E311" s="532" t="str">
        <f>IF(Inventory!I308=0,"",Inventory!I308)</f>
        <v/>
      </c>
      <c r="F311" s="533" t="str">
        <f t="shared" si="103"/>
        <v/>
      </c>
      <c r="G311" s="534" t="str">
        <f>IF(Inventory!G308="","",Inventory!G308)</f>
        <v/>
      </c>
      <c r="H311" s="535" t="str">
        <f t="shared" si="104"/>
        <v/>
      </c>
      <c r="I311" s="536" t="str">
        <f>IF(Inventory!J308="","",Inventory!J308)</f>
        <v/>
      </c>
      <c r="J311" s="537" t="str">
        <f>IFERROR(IF(PRJ_Type="New Construction",IF(Inventory!C308="N",INDEX(xyLPD_BuildingArea,MATCH(Building_Type,Lookups!$F$37:$F$75,0),4),INDEX(xyLPD_SpaceBySpace,MATCH(INDEX(xyNCEx,MATCH(I311,yNCExArea,0),2),ySpace_by_Space_Type,0),2)),VLOOKUP(E311,xyWattage_Table,11,FALSE)),"")</f>
        <v/>
      </c>
      <c r="K311" s="538" t="str">
        <f>IFERROR(IF(AND(NC_Type="Building Area Method",Inventory!C308="N"),IF(ISERROR(INDEX('Usage Groups (&gt;120 MWh only)'!$N$8:$N$12,MATCH(C311,'Usage Groups (&gt;120 MWh only)'!$B$8:$B$12,0),1))=TRUE,SqFt/COUNTIFS(Inventory!$C$10:$C$1009,"N",$Q$13:$Q$1012,"&gt;=0"),INDEX('Usage Groups (&gt;120 MWh only)'!$N$8:$N$12,MATCH(C311,'Usage Groups (&gt;120 MWh only)'!$B$8:$B$12,0),1)/COUNTIF($C$13:$C$1012,C311)),IF(AND(NC_Type="Building Area Method",Inventory!C308="Y"),INDEX(xyNCEx,MATCH(I311,yNCExArea,0),3)/COUNTIF($I$13:$I$1012,I311),VLOOKUP(J311,xyWattage_Table,10,FALSE))),"")</f>
        <v/>
      </c>
      <c r="L311" s="539" t="str">
        <f t="shared" si="105"/>
        <v/>
      </c>
      <c r="M311" s="540">
        <f>IF(Inventory!N308="","",Inventory!N308)</f>
        <v>0</v>
      </c>
      <c r="N311" s="533" t="str">
        <f t="shared" si="106"/>
        <v/>
      </c>
      <c r="O311" s="534"/>
      <c r="P311" s="533" t="str">
        <f t="shared" si="107"/>
        <v/>
      </c>
      <c r="Q311" s="534" t="str">
        <f>IF(Inventory!L308="","",Inventory!L308)</f>
        <v/>
      </c>
      <c r="R311" s="535" t="str">
        <f t="shared" si="108"/>
        <v/>
      </c>
      <c r="S311" s="536" t="str">
        <f>IF(Inventory!O308="","",Inventory!O308)</f>
        <v/>
      </c>
      <c r="T311" s="541" t="str">
        <f>IFERROR(IF(C311="","",IF(INDEX(xyWattage_Table,MATCH(M311,'Fixture Identities'!$B$9:$B$997,0),2)="Exit Sign",8760,IF(VLOOKUP(C311,xySpace_Type_Details,8,FALSE)="TRM",INDEX('General Information'!$AF$17:$AG$28,11,MATCH(N311,'General Information'!$AF$16:$AG$16,0)),HLOOKUP(VLOOKUP(C311,xySpace_Type_Details,8,FALSE),'General Information'!$P$15:$AG$28,13,FALSE)))),"")</f>
        <v/>
      </c>
      <c r="U311" s="542" t="str">
        <f>IFERROR(IF(C311="","",IF(INDEX(xyWattage_Table,MATCH(M311,'Fixture Identities'!$B$9:$B$997,0),2)="Exit Sign",1,IF(VLOOKUP(C311,xySpace_Type_Details,8,FALSE)="TRM",INDEX('General Information'!$AF$17:$AG$28,12,MATCH(N311,'General Information'!$AF$16:$AG$16,0)),HLOOKUP(VLOOKUP(C311,xySpace_Type_Details,8,FALSE),'General Information'!$P$15:$AG$28,14,FALSE)))),"")</f>
        <v/>
      </c>
      <c r="V311" s="542" t="str">
        <f>IFERROR(VLOOKUP(INDEX(xySpace_Type_Details,MATCH($C311,'General Information'!$C$40:$C$60,0),12),Lookups!$L$8:$N$12,2,FALSE),"")</f>
        <v/>
      </c>
      <c r="W311" s="542" t="str">
        <f>IFERROR(VLOOKUP(INDEX(xySpace_Type_Details,MATCH($C311,'General Information'!$C$40:$C$60,0),12),Lookups!$L$8:$N$12,3,FALSE),"")</f>
        <v/>
      </c>
      <c r="Y311" s="542" t="str">
        <f>IFERROR(IF(C311="","",IF(INDEX(xyWattage_Table,MATCH(M311,'Fixture Identities'!$B$9:$B$997,0),2)="Exit Sign",0,IF(PRJ_Type="Retrofit",VLOOKUP(I311,xySVG_Factors,2,FALSE),IF(AND(PRJ_Type="New Construction",Inventory!C308="N"),VLOOKUP(VLOOKUP(Building_Type,xyLPD_BuildingArea,5,FALSE),xySVG_Factors_NC,3,FALSE),0)))),"")</f>
        <v/>
      </c>
      <c r="Z311" s="544" t="str">
        <f>IFERROR(IF(C311="","",IF(INDEX(xyWattage_Table,MATCH(M311,'Fixture Identities'!$B$9:$B$997,0),2)="Exit Sign",0,VLOOKUP(S311,xySVG_Factors,2,FALSE))),"")</f>
        <v/>
      </c>
      <c r="AA311" s="545" t="str">
        <f t="shared" si="109"/>
        <v/>
      </c>
      <c r="AB311" s="542" t="str">
        <f t="shared" si="110"/>
        <v/>
      </c>
      <c r="AC311" s="539" t="str">
        <f t="shared" si="111"/>
        <v/>
      </c>
      <c r="AD311" s="546" t="str">
        <f t="shared" si="112"/>
        <v/>
      </c>
      <c r="AE311" s="539" t="str">
        <f t="shared" si="113"/>
        <v/>
      </c>
      <c r="AF311" s="546" t="str">
        <f t="shared" si="114"/>
        <v/>
      </c>
      <c r="AG311" s="539" t="str">
        <f t="shared" si="115"/>
        <v/>
      </c>
      <c r="AH311" s="32">
        <f t="shared" si="117"/>
        <v>0</v>
      </c>
      <c r="AI311" s="32">
        <f t="shared" si="118"/>
        <v>0</v>
      </c>
      <c r="AJ311" s="32">
        <f t="shared" si="119"/>
        <v>0</v>
      </c>
      <c r="AK311" t="str">
        <f t="shared" si="120"/>
        <v/>
      </c>
      <c r="AL311" t="str">
        <f t="shared" si="121"/>
        <v/>
      </c>
      <c r="AM311" t="str">
        <f t="shared" si="122"/>
        <v/>
      </c>
      <c r="AO311" t="str">
        <f>IFERROR(VLOOKUP(M311,'Fixture Identities'!$B$9:$O$1045,14,FALSE),"")</f>
        <v/>
      </c>
      <c r="AP311" t="str">
        <f t="shared" si="116"/>
        <v/>
      </c>
    </row>
    <row r="312" spans="1:42">
      <c r="A312" s="71">
        <f t="shared" si="124"/>
        <v>0</v>
      </c>
      <c r="B312" s="513">
        <f t="shared" si="123"/>
        <v>300</v>
      </c>
      <c r="C312" s="530" t="str">
        <f>IF(Inventory!E309="","",Inventory!E309)</f>
        <v/>
      </c>
      <c r="D312" s="531">
        <f>IF(Inventory!D309="",0,Inventory!D309)</f>
        <v>0</v>
      </c>
      <c r="E312" s="532" t="str">
        <f>IF(Inventory!I309=0,"",Inventory!I309)</f>
        <v/>
      </c>
      <c r="F312" s="533" t="str">
        <f t="shared" si="103"/>
        <v/>
      </c>
      <c r="G312" s="534" t="str">
        <f>IF(Inventory!G309="","",Inventory!G309)</f>
        <v/>
      </c>
      <c r="H312" s="535" t="str">
        <f t="shared" si="104"/>
        <v/>
      </c>
      <c r="I312" s="536" t="str">
        <f>IF(Inventory!J309="","",Inventory!J309)</f>
        <v/>
      </c>
      <c r="J312" s="537" t="str">
        <f>IFERROR(IF(PRJ_Type="New Construction",IF(Inventory!C309="N",INDEX(xyLPD_BuildingArea,MATCH(Building_Type,Lookups!$F$37:$F$75,0),4),INDEX(xyLPD_SpaceBySpace,MATCH(INDEX(xyNCEx,MATCH(I312,yNCExArea,0),2),ySpace_by_Space_Type,0),2)),VLOOKUP(E312,xyWattage_Table,11,FALSE)),"")</f>
        <v/>
      </c>
      <c r="K312" s="538" t="str">
        <f>IFERROR(IF(AND(NC_Type="Building Area Method",Inventory!C309="N"),IF(ISERROR(INDEX('Usage Groups (&gt;120 MWh only)'!$N$8:$N$12,MATCH(C312,'Usage Groups (&gt;120 MWh only)'!$B$8:$B$12,0),1))=TRUE,SqFt/COUNTIFS(Inventory!$C$10:$C$1009,"N",$Q$13:$Q$1012,"&gt;=0"),INDEX('Usage Groups (&gt;120 MWh only)'!$N$8:$N$12,MATCH(C312,'Usage Groups (&gt;120 MWh only)'!$B$8:$B$12,0),1)/COUNTIF($C$13:$C$1012,C312)),IF(AND(NC_Type="Building Area Method",Inventory!C309="Y"),INDEX(xyNCEx,MATCH(I312,yNCExArea,0),3)/COUNTIF($I$13:$I$1012,I312),VLOOKUP(J312,xyWattage_Table,10,FALSE))),"")</f>
        <v/>
      </c>
      <c r="L312" s="539" t="str">
        <f t="shared" si="105"/>
        <v/>
      </c>
      <c r="M312" s="540">
        <f>IF(Inventory!N309="","",Inventory!N309)</f>
        <v>0</v>
      </c>
      <c r="N312" s="533" t="str">
        <f t="shared" si="106"/>
        <v/>
      </c>
      <c r="O312" s="534"/>
      <c r="P312" s="533" t="str">
        <f t="shared" si="107"/>
        <v/>
      </c>
      <c r="Q312" s="534" t="str">
        <f>IF(Inventory!L309="","",Inventory!L309)</f>
        <v/>
      </c>
      <c r="R312" s="535" t="str">
        <f t="shared" si="108"/>
        <v/>
      </c>
      <c r="S312" s="536" t="str">
        <f>IF(Inventory!O309="","",Inventory!O309)</f>
        <v/>
      </c>
      <c r="T312" s="541" t="str">
        <f>IFERROR(IF(C312="","",IF(INDEX(xyWattage_Table,MATCH(M312,'Fixture Identities'!$B$9:$B$997,0),2)="Exit Sign",8760,IF(VLOOKUP(C312,xySpace_Type_Details,8,FALSE)="TRM",INDEX('General Information'!$AF$17:$AG$28,11,MATCH(N312,'General Information'!$AF$16:$AG$16,0)),HLOOKUP(VLOOKUP(C312,xySpace_Type_Details,8,FALSE),'General Information'!$P$15:$AG$28,13,FALSE)))),"")</f>
        <v/>
      </c>
      <c r="U312" s="542" t="str">
        <f>IFERROR(IF(C312="","",IF(INDEX(xyWattage_Table,MATCH(M312,'Fixture Identities'!$B$9:$B$997,0),2)="Exit Sign",1,IF(VLOOKUP(C312,xySpace_Type_Details,8,FALSE)="TRM",INDEX('General Information'!$AF$17:$AG$28,12,MATCH(N312,'General Information'!$AF$16:$AG$16,0)),HLOOKUP(VLOOKUP(C312,xySpace_Type_Details,8,FALSE),'General Information'!$P$15:$AG$28,14,FALSE)))),"")</f>
        <v/>
      </c>
      <c r="V312" s="542" t="str">
        <f>IFERROR(VLOOKUP(INDEX(xySpace_Type_Details,MATCH($C312,'General Information'!$C$40:$C$60,0),12),Lookups!$L$8:$N$12,2,FALSE),"")</f>
        <v/>
      </c>
      <c r="W312" s="542" t="str">
        <f>IFERROR(VLOOKUP(INDEX(xySpace_Type_Details,MATCH($C312,'General Information'!$C$40:$C$60,0),12),Lookups!$L$8:$N$12,3,FALSE),"")</f>
        <v/>
      </c>
      <c r="Y312" s="542" t="str">
        <f>IFERROR(IF(C312="","",IF(INDEX(xyWattage_Table,MATCH(M312,'Fixture Identities'!$B$9:$B$997,0),2)="Exit Sign",0,IF(PRJ_Type="Retrofit",VLOOKUP(I312,xySVG_Factors,2,FALSE),IF(AND(PRJ_Type="New Construction",Inventory!C309="N"),VLOOKUP(VLOOKUP(Building_Type,xyLPD_BuildingArea,5,FALSE),xySVG_Factors_NC,3,FALSE),0)))),"")</f>
        <v/>
      </c>
      <c r="Z312" s="544" t="str">
        <f>IFERROR(IF(C312="","",IF(INDEX(xyWattage_Table,MATCH(M312,'Fixture Identities'!$B$9:$B$997,0),2)="Exit Sign",0,VLOOKUP(S312,xySVG_Factors,2,FALSE))),"")</f>
        <v/>
      </c>
      <c r="AA312" s="545" t="str">
        <f t="shared" si="109"/>
        <v/>
      </c>
      <c r="AB312" s="542" t="str">
        <f t="shared" si="110"/>
        <v/>
      </c>
      <c r="AC312" s="539" t="str">
        <f t="shared" si="111"/>
        <v/>
      </c>
      <c r="AD312" s="546" t="str">
        <f t="shared" si="112"/>
        <v/>
      </c>
      <c r="AE312" s="539" t="str">
        <f t="shared" si="113"/>
        <v/>
      </c>
      <c r="AF312" s="546" t="str">
        <f t="shared" si="114"/>
        <v/>
      </c>
      <c r="AG312" s="539" t="str">
        <f t="shared" si="115"/>
        <v/>
      </c>
      <c r="AH312" s="32">
        <f t="shared" si="117"/>
        <v>0</v>
      </c>
      <c r="AI312" s="32">
        <f t="shared" si="118"/>
        <v>0</v>
      </c>
      <c r="AJ312" s="32">
        <f t="shared" si="119"/>
        <v>0</v>
      </c>
      <c r="AK312" t="str">
        <f t="shared" si="120"/>
        <v/>
      </c>
      <c r="AL312" t="str">
        <f t="shared" si="121"/>
        <v/>
      </c>
      <c r="AM312" t="str">
        <f t="shared" si="122"/>
        <v/>
      </c>
      <c r="AO312" t="str">
        <f>IFERROR(VLOOKUP(M312,'Fixture Identities'!$B$9:$O$1045,14,FALSE),"")</f>
        <v/>
      </c>
      <c r="AP312" t="str">
        <f t="shared" si="116"/>
        <v/>
      </c>
    </row>
    <row r="313" spans="1:42">
      <c r="A313" s="71">
        <f t="shared" si="124"/>
        <v>0</v>
      </c>
      <c r="B313" s="513">
        <f t="shared" si="123"/>
        <v>301</v>
      </c>
      <c r="C313" s="530" t="str">
        <f>IF(Inventory!E310="","",Inventory!E310)</f>
        <v/>
      </c>
      <c r="D313" s="531">
        <f>IF(Inventory!D310="",0,Inventory!D310)</f>
        <v>0</v>
      </c>
      <c r="E313" s="532" t="str">
        <f>IF(Inventory!I310=0,"",Inventory!I310)</f>
        <v/>
      </c>
      <c r="F313" s="533" t="str">
        <f t="shared" si="103"/>
        <v/>
      </c>
      <c r="G313" s="534" t="str">
        <f>IF(Inventory!G310="","",Inventory!G310)</f>
        <v/>
      </c>
      <c r="H313" s="535" t="str">
        <f t="shared" si="104"/>
        <v/>
      </c>
      <c r="I313" s="536" t="str">
        <f>IF(Inventory!J310="","",Inventory!J310)</f>
        <v/>
      </c>
      <c r="J313" s="537" t="str">
        <f>IFERROR(IF(PRJ_Type="New Construction",IF(Inventory!C310="N",INDEX(xyLPD_BuildingArea,MATCH(Building_Type,Lookups!$F$37:$F$75,0),4),INDEX(xyLPD_SpaceBySpace,MATCH(INDEX(xyNCEx,MATCH(I313,yNCExArea,0),2),ySpace_by_Space_Type,0),2)),VLOOKUP(E313,xyWattage_Table,11,FALSE)),"")</f>
        <v/>
      </c>
      <c r="K313" s="538" t="str">
        <f>IFERROR(IF(AND(NC_Type="Building Area Method",Inventory!C310="N"),IF(ISERROR(INDEX('Usage Groups (&gt;120 MWh only)'!$N$8:$N$12,MATCH(C313,'Usage Groups (&gt;120 MWh only)'!$B$8:$B$12,0),1))=TRUE,SqFt/COUNTIFS(Inventory!$C$10:$C$1009,"N",$Q$13:$Q$1012,"&gt;=0"),INDEX('Usage Groups (&gt;120 MWh only)'!$N$8:$N$12,MATCH(C313,'Usage Groups (&gt;120 MWh only)'!$B$8:$B$12,0),1)/COUNTIF($C$13:$C$1012,C313)),IF(AND(NC_Type="Building Area Method",Inventory!C310="Y"),INDEX(xyNCEx,MATCH(I313,yNCExArea,0),3)/COUNTIF($I$13:$I$1012,I313),VLOOKUP(J313,xyWattage_Table,10,FALSE))),"")</f>
        <v/>
      </c>
      <c r="L313" s="539" t="str">
        <f t="shared" si="105"/>
        <v/>
      </c>
      <c r="M313" s="540">
        <f>IF(Inventory!N310="","",Inventory!N310)</f>
        <v>0</v>
      </c>
      <c r="N313" s="533" t="str">
        <f t="shared" si="106"/>
        <v/>
      </c>
      <c r="O313" s="534"/>
      <c r="P313" s="533" t="str">
        <f t="shared" si="107"/>
        <v/>
      </c>
      <c r="Q313" s="534" t="str">
        <f>IF(Inventory!L310="","",Inventory!L310)</f>
        <v/>
      </c>
      <c r="R313" s="535" t="str">
        <f t="shared" si="108"/>
        <v/>
      </c>
      <c r="S313" s="536" t="str">
        <f>IF(Inventory!O310="","",Inventory!O310)</f>
        <v/>
      </c>
      <c r="T313" s="541" t="str">
        <f>IFERROR(IF(C313="","",IF(INDEX(xyWattage_Table,MATCH(M313,'Fixture Identities'!$B$9:$B$997,0),2)="Exit Sign",8760,IF(VLOOKUP(C313,xySpace_Type_Details,8,FALSE)="TRM",INDEX('General Information'!$AF$17:$AG$28,11,MATCH(N313,'General Information'!$AF$16:$AG$16,0)),HLOOKUP(VLOOKUP(C313,xySpace_Type_Details,8,FALSE),'General Information'!$P$15:$AG$28,13,FALSE)))),"")</f>
        <v/>
      </c>
      <c r="U313" s="542" t="str">
        <f>IFERROR(IF(C313="","",IF(INDEX(xyWattage_Table,MATCH(M313,'Fixture Identities'!$B$9:$B$997,0),2)="Exit Sign",1,IF(VLOOKUP(C313,xySpace_Type_Details,8,FALSE)="TRM",INDEX('General Information'!$AF$17:$AG$28,12,MATCH(N313,'General Information'!$AF$16:$AG$16,0)),HLOOKUP(VLOOKUP(C313,xySpace_Type_Details,8,FALSE),'General Information'!$P$15:$AG$28,14,FALSE)))),"")</f>
        <v/>
      </c>
      <c r="V313" s="542" t="str">
        <f>IFERROR(VLOOKUP(INDEX(xySpace_Type_Details,MATCH($C313,'General Information'!$C$40:$C$60,0),12),Lookups!$L$8:$N$12,2,FALSE),"")</f>
        <v/>
      </c>
      <c r="W313" s="542" t="str">
        <f>IFERROR(VLOOKUP(INDEX(xySpace_Type_Details,MATCH($C313,'General Information'!$C$40:$C$60,0),12),Lookups!$L$8:$N$12,3,FALSE),"")</f>
        <v/>
      </c>
      <c r="Y313" s="542" t="str">
        <f>IFERROR(IF(C313="","",IF(INDEX(xyWattage_Table,MATCH(M313,'Fixture Identities'!$B$9:$B$997,0),2)="Exit Sign",0,IF(PRJ_Type="Retrofit",VLOOKUP(I313,xySVG_Factors,2,FALSE),IF(AND(PRJ_Type="New Construction",Inventory!C310="N"),VLOOKUP(VLOOKUP(Building_Type,xyLPD_BuildingArea,5,FALSE),xySVG_Factors_NC,3,FALSE),0)))),"")</f>
        <v/>
      </c>
      <c r="Z313" s="544" t="str">
        <f>IFERROR(IF(C313="","",IF(INDEX(xyWattage_Table,MATCH(M313,'Fixture Identities'!$B$9:$B$997,0),2)="Exit Sign",0,VLOOKUP(S313,xySVG_Factors,2,FALSE))),"")</f>
        <v/>
      </c>
      <c r="AA313" s="545" t="str">
        <f t="shared" si="109"/>
        <v/>
      </c>
      <c r="AB313" s="542" t="str">
        <f t="shared" si="110"/>
        <v/>
      </c>
      <c r="AC313" s="539" t="str">
        <f t="shared" si="111"/>
        <v/>
      </c>
      <c r="AD313" s="546" t="str">
        <f t="shared" si="112"/>
        <v/>
      </c>
      <c r="AE313" s="539" t="str">
        <f t="shared" si="113"/>
        <v/>
      </c>
      <c r="AF313" s="546" t="str">
        <f t="shared" si="114"/>
        <v/>
      </c>
      <c r="AG313" s="539" t="str">
        <f t="shared" si="115"/>
        <v/>
      </c>
      <c r="AH313" s="32">
        <f t="shared" si="117"/>
        <v>0</v>
      </c>
      <c r="AI313" s="32">
        <f t="shared" si="118"/>
        <v>0</v>
      </c>
      <c r="AJ313" s="32">
        <f t="shared" si="119"/>
        <v>0</v>
      </c>
      <c r="AK313" t="str">
        <f t="shared" si="120"/>
        <v/>
      </c>
      <c r="AL313" t="str">
        <f t="shared" si="121"/>
        <v/>
      </c>
      <c r="AM313" t="str">
        <f t="shared" si="122"/>
        <v/>
      </c>
      <c r="AO313" t="str">
        <f>IFERROR(VLOOKUP(M313,'Fixture Identities'!$B$9:$O$1045,14,FALSE),"")</f>
        <v/>
      </c>
      <c r="AP313" t="str">
        <f t="shared" si="116"/>
        <v/>
      </c>
    </row>
    <row r="314" spans="1:42">
      <c r="A314" s="71">
        <f t="shared" si="124"/>
        <v>0</v>
      </c>
      <c r="B314" s="513">
        <f t="shared" si="123"/>
        <v>302</v>
      </c>
      <c r="C314" s="530" t="str">
        <f>IF(Inventory!E311="","",Inventory!E311)</f>
        <v/>
      </c>
      <c r="D314" s="531">
        <f>IF(Inventory!D311="",0,Inventory!D311)</f>
        <v>0</v>
      </c>
      <c r="E314" s="532" t="str">
        <f>IF(Inventory!I311=0,"",Inventory!I311)</f>
        <v/>
      </c>
      <c r="F314" s="533" t="str">
        <f t="shared" si="103"/>
        <v/>
      </c>
      <c r="G314" s="534" t="str">
        <f>IF(Inventory!G311="","",Inventory!G311)</f>
        <v/>
      </c>
      <c r="H314" s="535" t="str">
        <f t="shared" si="104"/>
        <v/>
      </c>
      <c r="I314" s="536" t="str">
        <f>IF(Inventory!J311="","",Inventory!J311)</f>
        <v/>
      </c>
      <c r="J314" s="537" t="str">
        <f>IFERROR(IF(PRJ_Type="New Construction",IF(Inventory!C311="N",INDEX(xyLPD_BuildingArea,MATCH(Building_Type,Lookups!$F$37:$F$75,0),4),INDEX(xyLPD_SpaceBySpace,MATCH(INDEX(xyNCEx,MATCH(I314,yNCExArea,0),2),ySpace_by_Space_Type,0),2)),VLOOKUP(E314,xyWattage_Table,11,FALSE)),"")</f>
        <v/>
      </c>
      <c r="K314" s="538" t="str">
        <f>IFERROR(IF(AND(NC_Type="Building Area Method",Inventory!C311="N"),IF(ISERROR(INDEX('Usage Groups (&gt;120 MWh only)'!$N$8:$N$12,MATCH(C314,'Usage Groups (&gt;120 MWh only)'!$B$8:$B$12,0),1))=TRUE,SqFt/COUNTIFS(Inventory!$C$10:$C$1009,"N",$Q$13:$Q$1012,"&gt;=0"),INDEX('Usage Groups (&gt;120 MWh only)'!$N$8:$N$12,MATCH(C314,'Usage Groups (&gt;120 MWh only)'!$B$8:$B$12,0),1)/COUNTIF($C$13:$C$1012,C314)),IF(AND(NC_Type="Building Area Method",Inventory!C311="Y"),INDEX(xyNCEx,MATCH(I314,yNCExArea,0),3)/COUNTIF($I$13:$I$1012,I314),VLOOKUP(J314,xyWattage_Table,10,FALSE))),"")</f>
        <v/>
      </c>
      <c r="L314" s="539" t="str">
        <f t="shared" si="105"/>
        <v/>
      </c>
      <c r="M314" s="540">
        <f>IF(Inventory!N311="","",Inventory!N311)</f>
        <v>0</v>
      </c>
      <c r="N314" s="533" t="str">
        <f t="shared" si="106"/>
        <v/>
      </c>
      <c r="O314" s="534"/>
      <c r="P314" s="533" t="str">
        <f t="shared" si="107"/>
        <v/>
      </c>
      <c r="Q314" s="534" t="str">
        <f>IF(Inventory!L311="","",Inventory!L311)</f>
        <v/>
      </c>
      <c r="R314" s="535" t="str">
        <f t="shared" si="108"/>
        <v/>
      </c>
      <c r="S314" s="536" t="str">
        <f>IF(Inventory!O311="","",Inventory!O311)</f>
        <v/>
      </c>
      <c r="T314" s="541" t="str">
        <f>IFERROR(IF(C314="","",IF(INDEX(xyWattage_Table,MATCH(M314,'Fixture Identities'!$B$9:$B$997,0),2)="Exit Sign",8760,IF(VLOOKUP(C314,xySpace_Type_Details,8,FALSE)="TRM",INDEX('General Information'!$AF$17:$AG$28,11,MATCH(N314,'General Information'!$AF$16:$AG$16,0)),HLOOKUP(VLOOKUP(C314,xySpace_Type_Details,8,FALSE),'General Information'!$P$15:$AG$28,13,FALSE)))),"")</f>
        <v/>
      </c>
      <c r="U314" s="542" t="str">
        <f>IFERROR(IF(C314="","",IF(INDEX(xyWattage_Table,MATCH(M314,'Fixture Identities'!$B$9:$B$997,0),2)="Exit Sign",1,IF(VLOOKUP(C314,xySpace_Type_Details,8,FALSE)="TRM",INDEX('General Information'!$AF$17:$AG$28,12,MATCH(N314,'General Information'!$AF$16:$AG$16,0)),HLOOKUP(VLOOKUP(C314,xySpace_Type_Details,8,FALSE),'General Information'!$P$15:$AG$28,14,FALSE)))),"")</f>
        <v/>
      </c>
      <c r="V314" s="542" t="str">
        <f>IFERROR(VLOOKUP(INDEX(xySpace_Type_Details,MATCH($C314,'General Information'!$C$40:$C$60,0),12),Lookups!$L$8:$N$12,2,FALSE),"")</f>
        <v/>
      </c>
      <c r="W314" s="542" t="str">
        <f>IFERROR(VLOOKUP(INDEX(xySpace_Type_Details,MATCH($C314,'General Information'!$C$40:$C$60,0),12),Lookups!$L$8:$N$12,3,FALSE),"")</f>
        <v/>
      </c>
      <c r="Y314" s="542" t="str">
        <f>IFERROR(IF(C314="","",IF(INDEX(xyWattage_Table,MATCH(M314,'Fixture Identities'!$B$9:$B$997,0),2)="Exit Sign",0,IF(PRJ_Type="Retrofit",VLOOKUP(I314,xySVG_Factors,2,FALSE),IF(AND(PRJ_Type="New Construction",Inventory!C311="N"),VLOOKUP(VLOOKUP(Building_Type,xyLPD_BuildingArea,5,FALSE),xySVG_Factors_NC,3,FALSE),0)))),"")</f>
        <v/>
      </c>
      <c r="Z314" s="544" t="str">
        <f>IFERROR(IF(C314="","",IF(INDEX(xyWattage_Table,MATCH(M314,'Fixture Identities'!$B$9:$B$997,0),2)="Exit Sign",0,VLOOKUP(S314,xySVG_Factors,2,FALSE))),"")</f>
        <v/>
      </c>
      <c r="AA314" s="545" t="str">
        <f t="shared" si="109"/>
        <v/>
      </c>
      <c r="AB314" s="542" t="str">
        <f t="shared" si="110"/>
        <v/>
      </c>
      <c r="AC314" s="539" t="str">
        <f t="shared" si="111"/>
        <v/>
      </c>
      <c r="AD314" s="546" t="str">
        <f t="shared" si="112"/>
        <v/>
      </c>
      <c r="AE314" s="539" t="str">
        <f t="shared" si="113"/>
        <v/>
      </c>
      <c r="AF314" s="546" t="str">
        <f t="shared" si="114"/>
        <v/>
      </c>
      <c r="AG314" s="539" t="str">
        <f t="shared" si="115"/>
        <v/>
      </c>
      <c r="AH314" s="32">
        <f t="shared" si="117"/>
        <v>0</v>
      </c>
      <c r="AI314" s="32">
        <f t="shared" si="118"/>
        <v>0</v>
      </c>
      <c r="AJ314" s="32">
        <f t="shared" si="119"/>
        <v>0</v>
      </c>
      <c r="AK314" t="str">
        <f t="shared" si="120"/>
        <v/>
      </c>
      <c r="AL314" t="str">
        <f t="shared" si="121"/>
        <v/>
      </c>
      <c r="AM314" t="str">
        <f t="shared" si="122"/>
        <v/>
      </c>
      <c r="AO314" t="str">
        <f>IFERROR(VLOOKUP(M314,'Fixture Identities'!$B$9:$O$1045,14,FALSE),"")</f>
        <v/>
      </c>
      <c r="AP314" t="str">
        <f t="shared" si="116"/>
        <v/>
      </c>
    </row>
    <row r="315" spans="1:42">
      <c r="A315" s="71">
        <f t="shared" si="124"/>
        <v>0</v>
      </c>
      <c r="B315" s="513">
        <f t="shared" si="123"/>
        <v>303</v>
      </c>
      <c r="C315" s="530" t="str">
        <f>IF(Inventory!E312="","",Inventory!E312)</f>
        <v/>
      </c>
      <c r="D315" s="531">
        <f>IF(Inventory!D312="",0,Inventory!D312)</f>
        <v>0</v>
      </c>
      <c r="E315" s="532" t="str">
        <f>IF(Inventory!I312=0,"",Inventory!I312)</f>
        <v/>
      </c>
      <c r="F315" s="533" t="str">
        <f t="shared" si="103"/>
        <v/>
      </c>
      <c r="G315" s="534" t="str">
        <f>IF(Inventory!G312="","",Inventory!G312)</f>
        <v/>
      </c>
      <c r="H315" s="535" t="str">
        <f t="shared" si="104"/>
        <v/>
      </c>
      <c r="I315" s="536" t="str">
        <f>IF(Inventory!J312="","",Inventory!J312)</f>
        <v/>
      </c>
      <c r="J315" s="537" t="str">
        <f>IFERROR(IF(PRJ_Type="New Construction",IF(Inventory!C312="N",INDEX(xyLPD_BuildingArea,MATCH(Building_Type,Lookups!$F$37:$F$75,0),4),INDEX(xyLPD_SpaceBySpace,MATCH(INDEX(xyNCEx,MATCH(I315,yNCExArea,0),2),ySpace_by_Space_Type,0),2)),VLOOKUP(E315,xyWattage_Table,11,FALSE)),"")</f>
        <v/>
      </c>
      <c r="K315" s="538" t="str">
        <f>IFERROR(IF(AND(NC_Type="Building Area Method",Inventory!C312="N"),IF(ISERROR(INDEX('Usage Groups (&gt;120 MWh only)'!$N$8:$N$12,MATCH(C315,'Usage Groups (&gt;120 MWh only)'!$B$8:$B$12,0),1))=TRUE,SqFt/COUNTIFS(Inventory!$C$10:$C$1009,"N",$Q$13:$Q$1012,"&gt;=0"),INDEX('Usage Groups (&gt;120 MWh only)'!$N$8:$N$12,MATCH(C315,'Usage Groups (&gt;120 MWh only)'!$B$8:$B$12,0),1)/COUNTIF($C$13:$C$1012,C315)),IF(AND(NC_Type="Building Area Method",Inventory!C312="Y"),INDEX(xyNCEx,MATCH(I315,yNCExArea,0),3)/COUNTIF($I$13:$I$1012,I315),VLOOKUP(J315,xyWattage_Table,10,FALSE))),"")</f>
        <v/>
      </c>
      <c r="L315" s="539" t="str">
        <f t="shared" si="105"/>
        <v/>
      </c>
      <c r="M315" s="540">
        <f>IF(Inventory!N312="","",Inventory!N312)</f>
        <v>0</v>
      </c>
      <c r="N315" s="533" t="str">
        <f t="shared" si="106"/>
        <v/>
      </c>
      <c r="O315" s="534"/>
      <c r="P315" s="533" t="str">
        <f t="shared" si="107"/>
        <v/>
      </c>
      <c r="Q315" s="534" t="str">
        <f>IF(Inventory!L312="","",Inventory!L312)</f>
        <v/>
      </c>
      <c r="R315" s="535" t="str">
        <f t="shared" si="108"/>
        <v/>
      </c>
      <c r="S315" s="536" t="str">
        <f>IF(Inventory!O312="","",Inventory!O312)</f>
        <v/>
      </c>
      <c r="T315" s="541" t="str">
        <f>IFERROR(IF(C315="","",IF(INDEX(xyWattage_Table,MATCH(M315,'Fixture Identities'!$B$9:$B$997,0),2)="Exit Sign",8760,IF(VLOOKUP(C315,xySpace_Type_Details,8,FALSE)="TRM",INDEX('General Information'!$AF$17:$AG$28,11,MATCH(N315,'General Information'!$AF$16:$AG$16,0)),HLOOKUP(VLOOKUP(C315,xySpace_Type_Details,8,FALSE),'General Information'!$P$15:$AG$28,13,FALSE)))),"")</f>
        <v/>
      </c>
      <c r="U315" s="542" t="str">
        <f>IFERROR(IF(C315="","",IF(INDEX(xyWattage_Table,MATCH(M315,'Fixture Identities'!$B$9:$B$997,0),2)="Exit Sign",1,IF(VLOOKUP(C315,xySpace_Type_Details,8,FALSE)="TRM",INDEX('General Information'!$AF$17:$AG$28,12,MATCH(N315,'General Information'!$AF$16:$AG$16,0)),HLOOKUP(VLOOKUP(C315,xySpace_Type_Details,8,FALSE),'General Information'!$P$15:$AG$28,14,FALSE)))),"")</f>
        <v/>
      </c>
      <c r="V315" s="542" t="str">
        <f>IFERROR(VLOOKUP(INDEX(xySpace_Type_Details,MATCH($C315,'General Information'!$C$40:$C$60,0),12),Lookups!$L$8:$N$12,2,FALSE),"")</f>
        <v/>
      </c>
      <c r="W315" s="542" t="str">
        <f>IFERROR(VLOOKUP(INDEX(xySpace_Type_Details,MATCH($C315,'General Information'!$C$40:$C$60,0),12),Lookups!$L$8:$N$12,3,FALSE),"")</f>
        <v/>
      </c>
      <c r="Y315" s="542" t="str">
        <f>IFERROR(IF(C315="","",IF(INDEX(xyWattage_Table,MATCH(M315,'Fixture Identities'!$B$9:$B$997,0),2)="Exit Sign",0,IF(PRJ_Type="Retrofit",VLOOKUP(I315,xySVG_Factors,2,FALSE),IF(AND(PRJ_Type="New Construction",Inventory!C312="N"),VLOOKUP(VLOOKUP(Building_Type,xyLPD_BuildingArea,5,FALSE),xySVG_Factors_NC,3,FALSE),0)))),"")</f>
        <v/>
      </c>
      <c r="Z315" s="544" t="str">
        <f>IFERROR(IF(C315="","",IF(INDEX(xyWattage_Table,MATCH(M315,'Fixture Identities'!$B$9:$B$997,0),2)="Exit Sign",0,VLOOKUP(S315,xySVG_Factors,2,FALSE))),"")</f>
        <v/>
      </c>
      <c r="AA315" s="545" t="str">
        <f t="shared" si="109"/>
        <v/>
      </c>
      <c r="AB315" s="542" t="str">
        <f t="shared" si="110"/>
        <v/>
      </c>
      <c r="AC315" s="539" t="str">
        <f t="shared" si="111"/>
        <v/>
      </c>
      <c r="AD315" s="546" t="str">
        <f t="shared" si="112"/>
        <v/>
      </c>
      <c r="AE315" s="539" t="str">
        <f t="shared" si="113"/>
        <v/>
      </c>
      <c r="AF315" s="546" t="str">
        <f t="shared" si="114"/>
        <v/>
      </c>
      <c r="AG315" s="539" t="str">
        <f t="shared" si="115"/>
        <v/>
      </c>
      <c r="AH315" s="32">
        <f t="shared" si="117"/>
        <v>0</v>
      </c>
      <c r="AI315" s="32">
        <f t="shared" si="118"/>
        <v>0</v>
      </c>
      <c r="AJ315" s="32">
        <f t="shared" si="119"/>
        <v>0</v>
      </c>
      <c r="AK315" t="str">
        <f t="shared" si="120"/>
        <v/>
      </c>
      <c r="AL315" t="str">
        <f t="shared" si="121"/>
        <v/>
      </c>
      <c r="AM315" t="str">
        <f t="shared" si="122"/>
        <v/>
      </c>
      <c r="AO315" t="str">
        <f>IFERROR(VLOOKUP(M315,'Fixture Identities'!$B$9:$O$1045,14,FALSE),"")</f>
        <v/>
      </c>
      <c r="AP315" t="str">
        <f t="shared" si="116"/>
        <v/>
      </c>
    </row>
    <row r="316" spans="1:42">
      <c r="A316" s="71">
        <f t="shared" si="124"/>
        <v>0</v>
      </c>
      <c r="B316" s="513">
        <f t="shared" si="123"/>
        <v>304</v>
      </c>
      <c r="C316" s="530" t="str">
        <f>IF(Inventory!E313="","",Inventory!E313)</f>
        <v/>
      </c>
      <c r="D316" s="531">
        <f>IF(Inventory!D313="",0,Inventory!D313)</f>
        <v>0</v>
      </c>
      <c r="E316" s="532" t="str">
        <f>IF(Inventory!I313=0,"",Inventory!I313)</f>
        <v/>
      </c>
      <c r="F316" s="533" t="str">
        <f t="shared" si="103"/>
        <v/>
      </c>
      <c r="G316" s="534" t="str">
        <f>IF(Inventory!G313="","",Inventory!G313)</f>
        <v/>
      </c>
      <c r="H316" s="535" t="str">
        <f t="shared" si="104"/>
        <v/>
      </c>
      <c r="I316" s="536" t="str">
        <f>IF(Inventory!J313="","",Inventory!J313)</f>
        <v/>
      </c>
      <c r="J316" s="537" t="str">
        <f>IFERROR(IF(PRJ_Type="New Construction",IF(Inventory!C313="N",INDEX(xyLPD_BuildingArea,MATCH(Building_Type,Lookups!$F$37:$F$75,0),4),INDEX(xyLPD_SpaceBySpace,MATCH(INDEX(xyNCEx,MATCH(I316,yNCExArea,0),2),ySpace_by_Space_Type,0),2)),VLOOKUP(E316,xyWattage_Table,11,FALSE)),"")</f>
        <v/>
      </c>
      <c r="K316" s="538" t="str">
        <f>IFERROR(IF(AND(NC_Type="Building Area Method",Inventory!C313="N"),IF(ISERROR(INDEX('Usage Groups (&gt;120 MWh only)'!$N$8:$N$12,MATCH(C316,'Usage Groups (&gt;120 MWh only)'!$B$8:$B$12,0),1))=TRUE,SqFt/COUNTIFS(Inventory!$C$10:$C$1009,"N",$Q$13:$Q$1012,"&gt;=0"),INDEX('Usage Groups (&gt;120 MWh only)'!$N$8:$N$12,MATCH(C316,'Usage Groups (&gt;120 MWh only)'!$B$8:$B$12,0),1)/COUNTIF($C$13:$C$1012,C316)),IF(AND(NC_Type="Building Area Method",Inventory!C313="Y"),INDEX(xyNCEx,MATCH(I316,yNCExArea,0),3)/COUNTIF($I$13:$I$1012,I316),VLOOKUP(J316,xyWattage_Table,10,FALSE))),"")</f>
        <v/>
      </c>
      <c r="L316" s="539" t="str">
        <f t="shared" si="105"/>
        <v/>
      </c>
      <c r="M316" s="540">
        <f>IF(Inventory!N313="","",Inventory!N313)</f>
        <v>0</v>
      </c>
      <c r="N316" s="533" t="str">
        <f t="shared" si="106"/>
        <v/>
      </c>
      <c r="O316" s="534"/>
      <c r="P316" s="533" t="str">
        <f t="shared" si="107"/>
        <v/>
      </c>
      <c r="Q316" s="534" t="str">
        <f>IF(Inventory!L313="","",Inventory!L313)</f>
        <v/>
      </c>
      <c r="R316" s="535" t="str">
        <f t="shared" si="108"/>
        <v/>
      </c>
      <c r="S316" s="536" t="str">
        <f>IF(Inventory!O313="","",Inventory!O313)</f>
        <v/>
      </c>
      <c r="T316" s="541" t="str">
        <f>IFERROR(IF(C316="","",IF(INDEX(xyWattage_Table,MATCH(M316,'Fixture Identities'!$B$9:$B$997,0),2)="Exit Sign",8760,IF(VLOOKUP(C316,xySpace_Type_Details,8,FALSE)="TRM",INDEX('General Information'!$AF$17:$AG$28,11,MATCH(N316,'General Information'!$AF$16:$AG$16,0)),HLOOKUP(VLOOKUP(C316,xySpace_Type_Details,8,FALSE),'General Information'!$P$15:$AG$28,13,FALSE)))),"")</f>
        <v/>
      </c>
      <c r="U316" s="542" t="str">
        <f>IFERROR(IF(C316="","",IF(INDEX(xyWattage_Table,MATCH(M316,'Fixture Identities'!$B$9:$B$997,0),2)="Exit Sign",1,IF(VLOOKUP(C316,xySpace_Type_Details,8,FALSE)="TRM",INDEX('General Information'!$AF$17:$AG$28,12,MATCH(N316,'General Information'!$AF$16:$AG$16,0)),HLOOKUP(VLOOKUP(C316,xySpace_Type_Details,8,FALSE),'General Information'!$P$15:$AG$28,14,FALSE)))),"")</f>
        <v/>
      </c>
      <c r="V316" s="542" t="str">
        <f>IFERROR(VLOOKUP(INDEX(xySpace_Type_Details,MATCH($C316,'General Information'!$C$40:$C$60,0),12),Lookups!$L$8:$N$12,2,FALSE),"")</f>
        <v/>
      </c>
      <c r="W316" s="542" t="str">
        <f>IFERROR(VLOOKUP(INDEX(xySpace_Type_Details,MATCH($C316,'General Information'!$C$40:$C$60,0),12),Lookups!$L$8:$N$12,3,FALSE),"")</f>
        <v/>
      </c>
      <c r="Y316" s="542" t="str">
        <f>IFERROR(IF(C316="","",IF(INDEX(xyWattage_Table,MATCH(M316,'Fixture Identities'!$B$9:$B$997,0),2)="Exit Sign",0,IF(PRJ_Type="Retrofit",VLOOKUP(I316,xySVG_Factors,2,FALSE),IF(AND(PRJ_Type="New Construction",Inventory!C313="N"),VLOOKUP(VLOOKUP(Building_Type,xyLPD_BuildingArea,5,FALSE),xySVG_Factors_NC,3,FALSE),0)))),"")</f>
        <v/>
      </c>
      <c r="Z316" s="544" t="str">
        <f>IFERROR(IF(C316="","",IF(INDEX(xyWattage_Table,MATCH(M316,'Fixture Identities'!$B$9:$B$997,0),2)="Exit Sign",0,VLOOKUP(S316,xySVG_Factors,2,FALSE))),"")</f>
        <v/>
      </c>
      <c r="AA316" s="545" t="str">
        <f t="shared" si="109"/>
        <v/>
      </c>
      <c r="AB316" s="542" t="str">
        <f t="shared" si="110"/>
        <v/>
      </c>
      <c r="AC316" s="539" t="str">
        <f t="shared" si="111"/>
        <v/>
      </c>
      <c r="AD316" s="546" t="str">
        <f t="shared" si="112"/>
        <v/>
      </c>
      <c r="AE316" s="539" t="str">
        <f t="shared" si="113"/>
        <v/>
      </c>
      <c r="AF316" s="546" t="str">
        <f t="shared" si="114"/>
        <v/>
      </c>
      <c r="AG316" s="539" t="str">
        <f t="shared" si="115"/>
        <v/>
      </c>
      <c r="AH316" s="32">
        <f t="shared" si="117"/>
        <v>0</v>
      </c>
      <c r="AI316" s="32">
        <f t="shared" si="118"/>
        <v>0</v>
      </c>
      <c r="AJ316" s="32">
        <f t="shared" si="119"/>
        <v>0</v>
      </c>
      <c r="AK316" t="str">
        <f t="shared" si="120"/>
        <v/>
      </c>
      <c r="AL316" t="str">
        <f t="shared" si="121"/>
        <v/>
      </c>
      <c r="AM316" t="str">
        <f t="shared" si="122"/>
        <v/>
      </c>
      <c r="AO316" t="str">
        <f>IFERROR(VLOOKUP(M316,'Fixture Identities'!$B$9:$O$1045,14,FALSE),"")</f>
        <v/>
      </c>
      <c r="AP316" t="str">
        <f t="shared" si="116"/>
        <v/>
      </c>
    </row>
    <row r="317" spans="1:42">
      <c r="A317" s="71">
        <f t="shared" si="124"/>
        <v>0</v>
      </c>
      <c r="B317" s="513">
        <f t="shared" si="123"/>
        <v>305</v>
      </c>
      <c r="C317" s="530" t="str">
        <f>IF(Inventory!E314="","",Inventory!E314)</f>
        <v/>
      </c>
      <c r="D317" s="531">
        <f>IF(Inventory!D314="",0,Inventory!D314)</f>
        <v>0</v>
      </c>
      <c r="E317" s="532" t="str">
        <f>IF(Inventory!I314=0,"",Inventory!I314)</f>
        <v/>
      </c>
      <c r="F317" s="533" t="str">
        <f t="shared" si="103"/>
        <v/>
      </c>
      <c r="G317" s="534" t="str">
        <f>IF(Inventory!G314="","",Inventory!G314)</f>
        <v/>
      </c>
      <c r="H317" s="535" t="str">
        <f t="shared" si="104"/>
        <v/>
      </c>
      <c r="I317" s="536" t="str">
        <f>IF(Inventory!J314="","",Inventory!J314)</f>
        <v/>
      </c>
      <c r="J317" s="537" t="str">
        <f>IFERROR(IF(PRJ_Type="New Construction",IF(Inventory!C314="N",INDEX(xyLPD_BuildingArea,MATCH(Building_Type,Lookups!$F$37:$F$75,0),4),INDEX(xyLPD_SpaceBySpace,MATCH(INDEX(xyNCEx,MATCH(I317,yNCExArea,0),2),ySpace_by_Space_Type,0),2)),VLOOKUP(E317,xyWattage_Table,11,FALSE)),"")</f>
        <v/>
      </c>
      <c r="K317" s="538" t="str">
        <f>IFERROR(IF(AND(NC_Type="Building Area Method",Inventory!C314="N"),IF(ISERROR(INDEX('Usage Groups (&gt;120 MWh only)'!$N$8:$N$12,MATCH(C317,'Usage Groups (&gt;120 MWh only)'!$B$8:$B$12,0),1))=TRUE,SqFt/COUNTIFS(Inventory!$C$10:$C$1009,"N",$Q$13:$Q$1012,"&gt;=0"),INDEX('Usage Groups (&gt;120 MWh only)'!$N$8:$N$12,MATCH(C317,'Usage Groups (&gt;120 MWh only)'!$B$8:$B$12,0),1)/COUNTIF($C$13:$C$1012,C317)),IF(AND(NC_Type="Building Area Method",Inventory!C314="Y"),INDEX(xyNCEx,MATCH(I317,yNCExArea,0),3)/COUNTIF($I$13:$I$1012,I317),VLOOKUP(J317,xyWattage_Table,10,FALSE))),"")</f>
        <v/>
      </c>
      <c r="L317" s="539" t="str">
        <f t="shared" si="105"/>
        <v/>
      </c>
      <c r="M317" s="540">
        <f>IF(Inventory!N314="","",Inventory!N314)</f>
        <v>0</v>
      </c>
      <c r="N317" s="533" t="str">
        <f t="shared" si="106"/>
        <v/>
      </c>
      <c r="O317" s="534"/>
      <c r="P317" s="533" t="str">
        <f t="shared" si="107"/>
        <v/>
      </c>
      <c r="Q317" s="534" t="str">
        <f>IF(Inventory!L314="","",Inventory!L314)</f>
        <v/>
      </c>
      <c r="R317" s="535" t="str">
        <f t="shared" si="108"/>
        <v/>
      </c>
      <c r="S317" s="536" t="str">
        <f>IF(Inventory!O314="","",Inventory!O314)</f>
        <v/>
      </c>
      <c r="T317" s="541" t="str">
        <f>IFERROR(IF(C317="","",IF(INDEX(xyWattage_Table,MATCH(M317,'Fixture Identities'!$B$9:$B$997,0),2)="Exit Sign",8760,IF(VLOOKUP(C317,xySpace_Type_Details,8,FALSE)="TRM",INDEX('General Information'!$AF$17:$AG$28,11,MATCH(N317,'General Information'!$AF$16:$AG$16,0)),HLOOKUP(VLOOKUP(C317,xySpace_Type_Details,8,FALSE),'General Information'!$P$15:$AG$28,13,FALSE)))),"")</f>
        <v/>
      </c>
      <c r="U317" s="542" t="str">
        <f>IFERROR(IF(C317="","",IF(INDEX(xyWattage_Table,MATCH(M317,'Fixture Identities'!$B$9:$B$997,0),2)="Exit Sign",1,IF(VLOOKUP(C317,xySpace_Type_Details,8,FALSE)="TRM",INDEX('General Information'!$AF$17:$AG$28,12,MATCH(N317,'General Information'!$AF$16:$AG$16,0)),HLOOKUP(VLOOKUP(C317,xySpace_Type_Details,8,FALSE),'General Information'!$P$15:$AG$28,14,FALSE)))),"")</f>
        <v/>
      </c>
      <c r="V317" s="542" t="str">
        <f>IFERROR(VLOOKUP(INDEX(xySpace_Type_Details,MATCH($C317,'General Information'!$C$40:$C$60,0),12),Lookups!$L$8:$N$12,2,FALSE),"")</f>
        <v/>
      </c>
      <c r="W317" s="542" t="str">
        <f>IFERROR(VLOOKUP(INDEX(xySpace_Type_Details,MATCH($C317,'General Information'!$C$40:$C$60,0),12),Lookups!$L$8:$N$12,3,FALSE),"")</f>
        <v/>
      </c>
      <c r="Y317" s="542" t="str">
        <f>IFERROR(IF(C317="","",IF(INDEX(xyWattage_Table,MATCH(M317,'Fixture Identities'!$B$9:$B$997,0),2)="Exit Sign",0,IF(PRJ_Type="Retrofit",VLOOKUP(I317,xySVG_Factors,2,FALSE),IF(AND(PRJ_Type="New Construction",Inventory!C314="N"),VLOOKUP(VLOOKUP(Building_Type,xyLPD_BuildingArea,5,FALSE),xySVG_Factors_NC,3,FALSE),0)))),"")</f>
        <v/>
      </c>
      <c r="Z317" s="544" t="str">
        <f>IFERROR(IF(C317="","",IF(INDEX(xyWattage_Table,MATCH(M317,'Fixture Identities'!$B$9:$B$997,0),2)="Exit Sign",0,VLOOKUP(S317,xySVG_Factors,2,FALSE))),"")</f>
        <v/>
      </c>
      <c r="AA317" s="545" t="str">
        <f t="shared" si="109"/>
        <v/>
      </c>
      <c r="AB317" s="542" t="str">
        <f t="shared" si="110"/>
        <v/>
      </c>
      <c r="AC317" s="539" t="str">
        <f t="shared" si="111"/>
        <v/>
      </c>
      <c r="AD317" s="546" t="str">
        <f t="shared" si="112"/>
        <v/>
      </c>
      <c r="AE317" s="539" t="str">
        <f t="shared" si="113"/>
        <v/>
      </c>
      <c r="AF317" s="546" t="str">
        <f t="shared" si="114"/>
        <v/>
      </c>
      <c r="AG317" s="539" t="str">
        <f t="shared" si="115"/>
        <v/>
      </c>
      <c r="AH317" s="32">
        <f t="shared" si="117"/>
        <v>0</v>
      </c>
      <c r="AI317" s="32">
        <f t="shared" si="118"/>
        <v>0</v>
      </c>
      <c r="AJ317" s="32">
        <f t="shared" si="119"/>
        <v>0</v>
      </c>
      <c r="AK317" t="str">
        <f t="shared" si="120"/>
        <v/>
      </c>
      <c r="AL317" t="str">
        <f t="shared" si="121"/>
        <v/>
      </c>
      <c r="AM317" t="str">
        <f t="shared" si="122"/>
        <v/>
      </c>
      <c r="AO317" t="str">
        <f>IFERROR(VLOOKUP(M317,'Fixture Identities'!$B$9:$O$1045,14,FALSE),"")</f>
        <v/>
      </c>
      <c r="AP317" t="str">
        <f t="shared" si="116"/>
        <v/>
      </c>
    </row>
    <row r="318" spans="1:42">
      <c r="A318" s="71">
        <f t="shared" si="124"/>
        <v>0</v>
      </c>
      <c r="B318" s="513">
        <f t="shared" si="123"/>
        <v>306</v>
      </c>
      <c r="C318" s="530" t="str">
        <f>IF(Inventory!E315="","",Inventory!E315)</f>
        <v/>
      </c>
      <c r="D318" s="531">
        <f>IF(Inventory!D315="",0,Inventory!D315)</f>
        <v>0</v>
      </c>
      <c r="E318" s="532" t="str">
        <f>IF(Inventory!I315=0,"",Inventory!I315)</f>
        <v/>
      </c>
      <c r="F318" s="533" t="str">
        <f t="shared" si="103"/>
        <v/>
      </c>
      <c r="G318" s="534" t="str">
        <f>IF(Inventory!G315="","",Inventory!G315)</f>
        <v/>
      </c>
      <c r="H318" s="535" t="str">
        <f t="shared" si="104"/>
        <v/>
      </c>
      <c r="I318" s="536" t="str">
        <f>IF(Inventory!J315="","",Inventory!J315)</f>
        <v/>
      </c>
      <c r="J318" s="537" t="str">
        <f>IFERROR(IF(PRJ_Type="New Construction",IF(Inventory!C315="N",INDEX(xyLPD_BuildingArea,MATCH(Building_Type,Lookups!$F$37:$F$75,0),4),INDEX(xyLPD_SpaceBySpace,MATCH(INDEX(xyNCEx,MATCH(I318,yNCExArea,0),2),ySpace_by_Space_Type,0),2)),VLOOKUP(E318,xyWattage_Table,11,FALSE)),"")</f>
        <v/>
      </c>
      <c r="K318" s="538" t="str">
        <f>IFERROR(IF(AND(NC_Type="Building Area Method",Inventory!C315="N"),IF(ISERROR(INDEX('Usage Groups (&gt;120 MWh only)'!$N$8:$N$12,MATCH(C318,'Usage Groups (&gt;120 MWh only)'!$B$8:$B$12,0),1))=TRUE,SqFt/COUNTIFS(Inventory!$C$10:$C$1009,"N",$Q$13:$Q$1012,"&gt;=0"),INDEX('Usage Groups (&gt;120 MWh only)'!$N$8:$N$12,MATCH(C318,'Usage Groups (&gt;120 MWh only)'!$B$8:$B$12,0),1)/COUNTIF($C$13:$C$1012,C318)),IF(AND(NC_Type="Building Area Method",Inventory!C315="Y"),INDEX(xyNCEx,MATCH(I318,yNCExArea,0),3)/COUNTIF($I$13:$I$1012,I318),VLOOKUP(J318,xyWattage_Table,10,FALSE))),"")</f>
        <v/>
      </c>
      <c r="L318" s="539" t="str">
        <f t="shared" si="105"/>
        <v/>
      </c>
      <c r="M318" s="540">
        <f>IF(Inventory!N315="","",Inventory!N315)</f>
        <v>0</v>
      </c>
      <c r="N318" s="533" t="str">
        <f t="shared" si="106"/>
        <v/>
      </c>
      <c r="O318" s="534"/>
      <c r="P318" s="533" t="str">
        <f t="shared" si="107"/>
        <v/>
      </c>
      <c r="Q318" s="534" t="str">
        <f>IF(Inventory!L315="","",Inventory!L315)</f>
        <v/>
      </c>
      <c r="R318" s="535" t="str">
        <f t="shared" si="108"/>
        <v/>
      </c>
      <c r="S318" s="536" t="str">
        <f>IF(Inventory!O315="","",Inventory!O315)</f>
        <v/>
      </c>
      <c r="T318" s="541" t="str">
        <f>IFERROR(IF(C318="","",IF(INDEX(xyWattage_Table,MATCH(M318,'Fixture Identities'!$B$9:$B$997,0),2)="Exit Sign",8760,IF(VLOOKUP(C318,xySpace_Type_Details,8,FALSE)="TRM",INDEX('General Information'!$AF$17:$AG$28,11,MATCH(N318,'General Information'!$AF$16:$AG$16,0)),HLOOKUP(VLOOKUP(C318,xySpace_Type_Details,8,FALSE),'General Information'!$P$15:$AG$28,13,FALSE)))),"")</f>
        <v/>
      </c>
      <c r="U318" s="542" t="str">
        <f>IFERROR(IF(C318="","",IF(INDEX(xyWattage_Table,MATCH(M318,'Fixture Identities'!$B$9:$B$997,0),2)="Exit Sign",1,IF(VLOOKUP(C318,xySpace_Type_Details,8,FALSE)="TRM",INDEX('General Information'!$AF$17:$AG$28,12,MATCH(N318,'General Information'!$AF$16:$AG$16,0)),HLOOKUP(VLOOKUP(C318,xySpace_Type_Details,8,FALSE),'General Information'!$P$15:$AG$28,14,FALSE)))),"")</f>
        <v/>
      </c>
      <c r="V318" s="542" t="str">
        <f>IFERROR(VLOOKUP(INDEX(xySpace_Type_Details,MATCH($C318,'General Information'!$C$40:$C$60,0),12),Lookups!$L$8:$N$12,2,FALSE),"")</f>
        <v/>
      </c>
      <c r="W318" s="542" t="str">
        <f>IFERROR(VLOOKUP(INDEX(xySpace_Type_Details,MATCH($C318,'General Information'!$C$40:$C$60,0),12),Lookups!$L$8:$N$12,3,FALSE),"")</f>
        <v/>
      </c>
      <c r="Y318" s="542" t="str">
        <f>IFERROR(IF(C318="","",IF(INDEX(xyWattage_Table,MATCH(M318,'Fixture Identities'!$B$9:$B$997,0),2)="Exit Sign",0,IF(PRJ_Type="Retrofit",VLOOKUP(I318,xySVG_Factors,2,FALSE),IF(AND(PRJ_Type="New Construction",Inventory!C315="N"),VLOOKUP(VLOOKUP(Building_Type,xyLPD_BuildingArea,5,FALSE),xySVG_Factors_NC,3,FALSE),0)))),"")</f>
        <v/>
      </c>
      <c r="Z318" s="544" t="str">
        <f>IFERROR(IF(C318="","",IF(INDEX(xyWattage_Table,MATCH(M318,'Fixture Identities'!$B$9:$B$997,0),2)="Exit Sign",0,VLOOKUP(S318,xySVG_Factors,2,FALSE))),"")</f>
        <v/>
      </c>
      <c r="AA318" s="545" t="str">
        <f t="shared" si="109"/>
        <v/>
      </c>
      <c r="AB318" s="542" t="str">
        <f t="shared" si="110"/>
        <v/>
      </c>
      <c r="AC318" s="539" t="str">
        <f t="shared" si="111"/>
        <v/>
      </c>
      <c r="AD318" s="546" t="str">
        <f t="shared" si="112"/>
        <v/>
      </c>
      <c r="AE318" s="539" t="str">
        <f t="shared" si="113"/>
        <v/>
      </c>
      <c r="AF318" s="546" t="str">
        <f t="shared" si="114"/>
        <v/>
      </c>
      <c r="AG318" s="539" t="str">
        <f t="shared" si="115"/>
        <v/>
      </c>
      <c r="AH318" s="32">
        <f t="shared" si="117"/>
        <v>0</v>
      </c>
      <c r="AI318" s="32">
        <f t="shared" si="118"/>
        <v>0</v>
      </c>
      <c r="AJ318" s="32">
        <f t="shared" si="119"/>
        <v>0</v>
      </c>
      <c r="AK318" t="str">
        <f t="shared" si="120"/>
        <v/>
      </c>
      <c r="AL318" t="str">
        <f t="shared" si="121"/>
        <v/>
      </c>
      <c r="AM318" t="str">
        <f t="shared" si="122"/>
        <v/>
      </c>
      <c r="AO318" t="str">
        <f>IFERROR(VLOOKUP(M318,'Fixture Identities'!$B$9:$O$1045,14,FALSE),"")</f>
        <v/>
      </c>
      <c r="AP318" t="str">
        <f t="shared" si="116"/>
        <v/>
      </c>
    </row>
    <row r="319" spans="1:42">
      <c r="A319" s="71">
        <f t="shared" si="124"/>
        <v>0</v>
      </c>
      <c r="B319" s="513">
        <f t="shared" si="123"/>
        <v>307</v>
      </c>
      <c r="C319" s="530" t="str">
        <f>IF(Inventory!E316="","",Inventory!E316)</f>
        <v/>
      </c>
      <c r="D319" s="531">
        <f>IF(Inventory!D316="",0,Inventory!D316)</f>
        <v>0</v>
      </c>
      <c r="E319" s="532" t="str">
        <f>IF(Inventory!I316=0,"",Inventory!I316)</f>
        <v/>
      </c>
      <c r="F319" s="533" t="str">
        <f t="shared" si="103"/>
        <v/>
      </c>
      <c r="G319" s="534" t="str">
        <f>IF(Inventory!G316="","",Inventory!G316)</f>
        <v/>
      </c>
      <c r="H319" s="535" t="str">
        <f t="shared" si="104"/>
        <v/>
      </c>
      <c r="I319" s="536" t="str">
        <f>IF(Inventory!J316="","",Inventory!J316)</f>
        <v/>
      </c>
      <c r="J319" s="537" t="str">
        <f>IFERROR(IF(PRJ_Type="New Construction",IF(Inventory!C316="N",INDEX(xyLPD_BuildingArea,MATCH(Building_Type,Lookups!$F$37:$F$75,0),4),INDEX(xyLPD_SpaceBySpace,MATCH(INDEX(xyNCEx,MATCH(I319,yNCExArea,0),2),ySpace_by_Space_Type,0),2)),VLOOKUP(E319,xyWattage_Table,11,FALSE)),"")</f>
        <v/>
      </c>
      <c r="K319" s="538" t="str">
        <f>IFERROR(IF(AND(NC_Type="Building Area Method",Inventory!C316="N"),IF(ISERROR(INDEX('Usage Groups (&gt;120 MWh only)'!$N$8:$N$12,MATCH(C319,'Usage Groups (&gt;120 MWh only)'!$B$8:$B$12,0),1))=TRUE,SqFt/COUNTIFS(Inventory!$C$10:$C$1009,"N",$Q$13:$Q$1012,"&gt;=0"),INDEX('Usage Groups (&gt;120 MWh only)'!$N$8:$N$12,MATCH(C319,'Usage Groups (&gt;120 MWh only)'!$B$8:$B$12,0),1)/COUNTIF($C$13:$C$1012,C319)),IF(AND(NC_Type="Building Area Method",Inventory!C316="Y"),INDEX(xyNCEx,MATCH(I319,yNCExArea,0),3)/COUNTIF($I$13:$I$1012,I319),VLOOKUP(J319,xyWattage_Table,10,FALSE))),"")</f>
        <v/>
      </c>
      <c r="L319" s="539" t="str">
        <f t="shared" si="105"/>
        <v/>
      </c>
      <c r="M319" s="540">
        <f>IF(Inventory!N316="","",Inventory!N316)</f>
        <v>0</v>
      </c>
      <c r="N319" s="533" t="str">
        <f t="shared" si="106"/>
        <v/>
      </c>
      <c r="O319" s="534"/>
      <c r="P319" s="533" t="str">
        <f t="shared" si="107"/>
        <v/>
      </c>
      <c r="Q319" s="534" t="str">
        <f>IF(Inventory!L316="","",Inventory!L316)</f>
        <v/>
      </c>
      <c r="R319" s="535" t="str">
        <f t="shared" si="108"/>
        <v/>
      </c>
      <c r="S319" s="536" t="str">
        <f>IF(Inventory!O316="","",Inventory!O316)</f>
        <v/>
      </c>
      <c r="T319" s="541" t="str">
        <f>IFERROR(IF(C319="","",IF(INDEX(xyWattage_Table,MATCH(M319,'Fixture Identities'!$B$9:$B$997,0),2)="Exit Sign",8760,IF(VLOOKUP(C319,xySpace_Type_Details,8,FALSE)="TRM",INDEX('General Information'!$AF$17:$AG$28,11,MATCH(N319,'General Information'!$AF$16:$AG$16,0)),HLOOKUP(VLOOKUP(C319,xySpace_Type_Details,8,FALSE),'General Information'!$P$15:$AG$28,13,FALSE)))),"")</f>
        <v/>
      </c>
      <c r="U319" s="542" t="str">
        <f>IFERROR(IF(C319="","",IF(INDEX(xyWattage_Table,MATCH(M319,'Fixture Identities'!$B$9:$B$997,0),2)="Exit Sign",1,IF(VLOOKUP(C319,xySpace_Type_Details,8,FALSE)="TRM",INDEX('General Information'!$AF$17:$AG$28,12,MATCH(N319,'General Information'!$AF$16:$AG$16,0)),HLOOKUP(VLOOKUP(C319,xySpace_Type_Details,8,FALSE),'General Information'!$P$15:$AG$28,14,FALSE)))),"")</f>
        <v/>
      </c>
      <c r="V319" s="542" t="str">
        <f>IFERROR(VLOOKUP(INDEX(xySpace_Type_Details,MATCH($C319,'General Information'!$C$40:$C$60,0),12),Lookups!$L$8:$N$12,2,FALSE),"")</f>
        <v/>
      </c>
      <c r="W319" s="542" t="str">
        <f>IFERROR(VLOOKUP(INDEX(xySpace_Type_Details,MATCH($C319,'General Information'!$C$40:$C$60,0),12),Lookups!$L$8:$N$12,3,FALSE),"")</f>
        <v/>
      </c>
      <c r="Y319" s="542" t="str">
        <f>IFERROR(IF(C319="","",IF(INDEX(xyWattage_Table,MATCH(M319,'Fixture Identities'!$B$9:$B$997,0),2)="Exit Sign",0,IF(PRJ_Type="Retrofit",VLOOKUP(I319,xySVG_Factors,2,FALSE),IF(AND(PRJ_Type="New Construction",Inventory!C316="N"),VLOOKUP(VLOOKUP(Building_Type,xyLPD_BuildingArea,5,FALSE),xySVG_Factors_NC,3,FALSE),0)))),"")</f>
        <v/>
      </c>
      <c r="Z319" s="544" t="str">
        <f>IFERROR(IF(C319="","",IF(INDEX(xyWattage_Table,MATCH(M319,'Fixture Identities'!$B$9:$B$997,0),2)="Exit Sign",0,VLOOKUP(S319,xySVG_Factors,2,FALSE))),"")</f>
        <v/>
      </c>
      <c r="AA319" s="545" t="str">
        <f t="shared" si="109"/>
        <v/>
      </c>
      <c r="AB319" s="542" t="str">
        <f t="shared" si="110"/>
        <v/>
      </c>
      <c r="AC319" s="539" t="str">
        <f t="shared" si="111"/>
        <v/>
      </c>
      <c r="AD319" s="546" t="str">
        <f t="shared" si="112"/>
        <v/>
      </c>
      <c r="AE319" s="539" t="str">
        <f t="shared" si="113"/>
        <v/>
      </c>
      <c r="AF319" s="546" t="str">
        <f t="shared" si="114"/>
        <v/>
      </c>
      <c r="AG319" s="539" t="str">
        <f t="shared" si="115"/>
        <v/>
      </c>
      <c r="AH319" s="32">
        <f t="shared" si="117"/>
        <v>0</v>
      </c>
      <c r="AI319" s="32">
        <f t="shared" si="118"/>
        <v>0</v>
      </c>
      <c r="AJ319" s="32">
        <f t="shared" si="119"/>
        <v>0</v>
      </c>
      <c r="AK319" t="str">
        <f t="shared" si="120"/>
        <v/>
      </c>
      <c r="AL319" t="str">
        <f t="shared" si="121"/>
        <v/>
      </c>
      <c r="AM319" t="str">
        <f t="shared" si="122"/>
        <v/>
      </c>
      <c r="AO319" t="str">
        <f>IFERROR(VLOOKUP(M319,'Fixture Identities'!$B$9:$O$1045,14,FALSE),"")</f>
        <v/>
      </c>
      <c r="AP319" t="str">
        <f t="shared" si="116"/>
        <v/>
      </c>
    </row>
    <row r="320" spans="1:42">
      <c r="A320" s="71">
        <f t="shared" si="124"/>
        <v>0</v>
      </c>
      <c r="B320" s="513">
        <f t="shared" si="123"/>
        <v>308</v>
      </c>
      <c r="C320" s="530" t="str">
        <f>IF(Inventory!E317="","",Inventory!E317)</f>
        <v/>
      </c>
      <c r="D320" s="531">
        <f>IF(Inventory!D317="",0,Inventory!D317)</f>
        <v>0</v>
      </c>
      <c r="E320" s="532" t="str">
        <f>IF(Inventory!I317=0,"",Inventory!I317)</f>
        <v/>
      </c>
      <c r="F320" s="533" t="str">
        <f t="shared" si="103"/>
        <v/>
      </c>
      <c r="G320" s="534" t="str">
        <f>IF(Inventory!G317="","",Inventory!G317)</f>
        <v/>
      </c>
      <c r="H320" s="535" t="str">
        <f t="shared" si="104"/>
        <v/>
      </c>
      <c r="I320" s="536" t="str">
        <f>IF(Inventory!J317="","",Inventory!J317)</f>
        <v/>
      </c>
      <c r="J320" s="537" t="str">
        <f>IFERROR(IF(PRJ_Type="New Construction",IF(Inventory!C317="N",INDEX(xyLPD_BuildingArea,MATCH(Building_Type,Lookups!$F$37:$F$75,0),4),INDEX(xyLPD_SpaceBySpace,MATCH(INDEX(xyNCEx,MATCH(I320,yNCExArea,0),2),ySpace_by_Space_Type,0),2)),VLOOKUP(E320,xyWattage_Table,11,FALSE)),"")</f>
        <v/>
      </c>
      <c r="K320" s="538" t="str">
        <f>IFERROR(IF(AND(NC_Type="Building Area Method",Inventory!C317="N"),IF(ISERROR(INDEX('Usage Groups (&gt;120 MWh only)'!$N$8:$N$12,MATCH(C320,'Usage Groups (&gt;120 MWh only)'!$B$8:$B$12,0),1))=TRUE,SqFt/COUNTIFS(Inventory!$C$10:$C$1009,"N",$Q$13:$Q$1012,"&gt;=0"),INDEX('Usage Groups (&gt;120 MWh only)'!$N$8:$N$12,MATCH(C320,'Usage Groups (&gt;120 MWh only)'!$B$8:$B$12,0),1)/COUNTIF($C$13:$C$1012,C320)),IF(AND(NC_Type="Building Area Method",Inventory!C317="Y"),INDEX(xyNCEx,MATCH(I320,yNCExArea,0),3)/COUNTIF($I$13:$I$1012,I320),VLOOKUP(J320,xyWattage_Table,10,FALSE))),"")</f>
        <v/>
      </c>
      <c r="L320" s="539" t="str">
        <f t="shared" si="105"/>
        <v/>
      </c>
      <c r="M320" s="540">
        <f>IF(Inventory!N317="","",Inventory!N317)</f>
        <v>0</v>
      </c>
      <c r="N320" s="533" t="str">
        <f t="shared" si="106"/>
        <v/>
      </c>
      <c r="O320" s="534"/>
      <c r="P320" s="533" t="str">
        <f t="shared" si="107"/>
        <v/>
      </c>
      <c r="Q320" s="534" t="str">
        <f>IF(Inventory!L317="","",Inventory!L317)</f>
        <v/>
      </c>
      <c r="R320" s="535" t="str">
        <f t="shared" si="108"/>
        <v/>
      </c>
      <c r="S320" s="536" t="str">
        <f>IF(Inventory!O317="","",Inventory!O317)</f>
        <v/>
      </c>
      <c r="T320" s="541" t="str">
        <f>IFERROR(IF(C320="","",IF(INDEX(xyWattage_Table,MATCH(M320,'Fixture Identities'!$B$9:$B$997,0),2)="Exit Sign",8760,IF(VLOOKUP(C320,xySpace_Type_Details,8,FALSE)="TRM",INDEX('General Information'!$AF$17:$AG$28,11,MATCH(N320,'General Information'!$AF$16:$AG$16,0)),HLOOKUP(VLOOKUP(C320,xySpace_Type_Details,8,FALSE),'General Information'!$P$15:$AG$28,13,FALSE)))),"")</f>
        <v/>
      </c>
      <c r="U320" s="542" t="str">
        <f>IFERROR(IF(C320="","",IF(INDEX(xyWattage_Table,MATCH(M320,'Fixture Identities'!$B$9:$B$997,0),2)="Exit Sign",1,IF(VLOOKUP(C320,xySpace_Type_Details,8,FALSE)="TRM",INDEX('General Information'!$AF$17:$AG$28,12,MATCH(N320,'General Information'!$AF$16:$AG$16,0)),HLOOKUP(VLOOKUP(C320,xySpace_Type_Details,8,FALSE),'General Information'!$P$15:$AG$28,14,FALSE)))),"")</f>
        <v/>
      </c>
      <c r="V320" s="542" t="str">
        <f>IFERROR(VLOOKUP(INDEX(xySpace_Type_Details,MATCH($C320,'General Information'!$C$40:$C$60,0),12),Lookups!$L$8:$N$12,2,FALSE),"")</f>
        <v/>
      </c>
      <c r="W320" s="542" t="str">
        <f>IFERROR(VLOOKUP(INDEX(xySpace_Type_Details,MATCH($C320,'General Information'!$C$40:$C$60,0),12),Lookups!$L$8:$N$12,3,FALSE),"")</f>
        <v/>
      </c>
      <c r="Y320" s="542" t="str">
        <f>IFERROR(IF(C320="","",IF(INDEX(xyWattage_Table,MATCH(M320,'Fixture Identities'!$B$9:$B$997,0),2)="Exit Sign",0,IF(PRJ_Type="Retrofit",VLOOKUP(I320,xySVG_Factors,2,FALSE),IF(AND(PRJ_Type="New Construction",Inventory!C317="N"),VLOOKUP(VLOOKUP(Building_Type,xyLPD_BuildingArea,5,FALSE),xySVG_Factors_NC,3,FALSE),0)))),"")</f>
        <v/>
      </c>
      <c r="Z320" s="544" t="str">
        <f>IFERROR(IF(C320="","",IF(INDEX(xyWattage_Table,MATCH(M320,'Fixture Identities'!$B$9:$B$997,0),2)="Exit Sign",0,VLOOKUP(S320,xySVG_Factors,2,FALSE))),"")</f>
        <v/>
      </c>
      <c r="AA320" s="545" t="str">
        <f t="shared" si="109"/>
        <v/>
      </c>
      <c r="AB320" s="542" t="str">
        <f t="shared" si="110"/>
        <v/>
      </c>
      <c r="AC320" s="539" t="str">
        <f t="shared" si="111"/>
        <v/>
      </c>
      <c r="AD320" s="546" t="str">
        <f t="shared" si="112"/>
        <v/>
      </c>
      <c r="AE320" s="539" t="str">
        <f t="shared" si="113"/>
        <v/>
      </c>
      <c r="AF320" s="546" t="str">
        <f t="shared" si="114"/>
        <v/>
      </c>
      <c r="AG320" s="539" t="str">
        <f t="shared" si="115"/>
        <v/>
      </c>
      <c r="AH320" s="32">
        <f t="shared" si="117"/>
        <v>0</v>
      </c>
      <c r="AI320" s="32">
        <f t="shared" si="118"/>
        <v>0</v>
      </c>
      <c r="AJ320" s="32">
        <f t="shared" si="119"/>
        <v>0</v>
      </c>
      <c r="AK320" t="str">
        <f t="shared" si="120"/>
        <v/>
      </c>
      <c r="AL320" t="str">
        <f t="shared" si="121"/>
        <v/>
      </c>
      <c r="AM320" t="str">
        <f t="shared" si="122"/>
        <v/>
      </c>
      <c r="AO320" t="str">
        <f>IFERROR(VLOOKUP(M320,'Fixture Identities'!$B$9:$O$1045,14,FALSE),"")</f>
        <v/>
      </c>
      <c r="AP320" t="str">
        <f t="shared" si="116"/>
        <v/>
      </c>
    </row>
    <row r="321" spans="1:42">
      <c r="A321" s="71">
        <f t="shared" si="124"/>
        <v>0</v>
      </c>
      <c r="B321" s="513">
        <f t="shared" si="123"/>
        <v>309</v>
      </c>
      <c r="C321" s="530" t="str">
        <f>IF(Inventory!E318="","",Inventory!E318)</f>
        <v/>
      </c>
      <c r="D321" s="531">
        <f>IF(Inventory!D318="",0,Inventory!D318)</f>
        <v>0</v>
      </c>
      <c r="E321" s="532" t="str">
        <f>IF(Inventory!I318=0,"",Inventory!I318)</f>
        <v/>
      </c>
      <c r="F321" s="533" t="str">
        <f t="shared" si="103"/>
        <v/>
      </c>
      <c r="G321" s="534" t="str">
        <f>IF(Inventory!G318="","",Inventory!G318)</f>
        <v/>
      </c>
      <c r="H321" s="535" t="str">
        <f t="shared" si="104"/>
        <v/>
      </c>
      <c r="I321" s="536" t="str">
        <f>IF(Inventory!J318="","",Inventory!J318)</f>
        <v/>
      </c>
      <c r="J321" s="537" t="str">
        <f>IFERROR(IF(PRJ_Type="New Construction",IF(Inventory!C318="N",INDEX(xyLPD_BuildingArea,MATCH(Building_Type,Lookups!$F$37:$F$75,0),4),INDEX(xyLPD_SpaceBySpace,MATCH(INDEX(xyNCEx,MATCH(I321,yNCExArea,0),2),ySpace_by_Space_Type,0),2)),VLOOKUP(E321,xyWattage_Table,11,FALSE)),"")</f>
        <v/>
      </c>
      <c r="K321" s="538" t="str">
        <f>IFERROR(IF(AND(NC_Type="Building Area Method",Inventory!C318="N"),IF(ISERROR(INDEX('Usage Groups (&gt;120 MWh only)'!$N$8:$N$12,MATCH(C321,'Usage Groups (&gt;120 MWh only)'!$B$8:$B$12,0),1))=TRUE,SqFt/COUNTIFS(Inventory!$C$10:$C$1009,"N",$Q$13:$Q$1012,"&gt;=0"),INDEX('Usage Groups (&gt;120 MWh only)'!$N$8:$N$12,MATCH(C321,'Usage Groups (&gt;120 MWh only)'!$B$8:$B$12,0),1)/COUNTIF($C$13:$C$1012,C321)),IF(AND(NC_Type="Building Area Method",Inventory!C318="Y"),INDEX(xyNCEx,MATCH(I321,yNCExArea,0),3)/COUNTIF($I$13:$I$1012,I321),VLOOKUP(J321,xyWattage_Table,10,FALSE))),"")</f>
        <v/>
      </c>
      <c r="L321" s="539" t="str">
        <f t="shared" si="105"/>
        <v/>
      </c>
      <c r="M321" s="540">
        <f>IF(Inventory!N318="","",Inventory!N318)</f>
        <v>0</v>
      </c>
      <c r="N321" s="533" t="str">
        <f t="shared" si="106"/>
        <v/>
      </c>
      <c r="O321" s="534"/>
      <c r="P321" s="533" t="str">
        <f t="shared" si="107"/>
        <v/>
      </c>
      <c r="Q321" s="534" t="str">
        <f>IF(Inventory!L318="","",Inventory!L318)</f>
        <v/>
      </c>
      <c r="R321" s="535" t="str">
        <f t="shared" si="108"/>
        <v/>
      </c>
      <c r="S321" s="536" t="str">
        <f>IF(Inventory!O318="","",Inventory!O318)</f>
        <v/>
      </c>
      <c r="T321" s="541" t="str">
        <f>IFERROR(IF(C321="","",IF(INDEX(xyWattage_Table,MATCH(M321,'Fixture Identities'!$B$9:$B$997,0),2)="Exit Sign",8760,IF(VLOOKUP(C321,xySpace_Type_Details,8,FALSE)="TRM",INDEX('General Information'!$AF$17:$AG$28,11,MATCH(N321,'General Information'!$AF$16:$AG$16,0)),HLOOKUP(VLOOKUP(C321,xySpace_Type_Details,8,FALSE),'General Information'!$P$15:$AG$28,13,FALSE)))),"")</f>
        <v/>
      </c>
      <c r="U321" s="542" t="str">
        <f>IFERROR(IF(C321="","",IF(INDEX(xyWattage_Table,MATCH(M321,'Fixture Identities'!$B$9:$B$997,0),2)="Exit Sign",1,IF(VLOOKUP(C321,xySpace_Type_Details,8,FALSE)="TRM",INDEX('General Information'!$AF$17:$AG$28,12,MATCH(N321,'General Information'!$AF$16:$AG$16,0)),HLOOKUP(VLOOKUP(C321,xySpace_Type_Details,8,FALSE),'General Information'!$P$15:$AG$28,14,FALSE)))),"")</f>
        <v/>
      </c>
      <c r="V321" s="542" t="str">
        <f>IFERROR(VLOOKUP(INDEX(xySpace_Type_Details,MATCH($C321,'General Information'!$C$40:$C$60,0),12),Lookups!$L$8:$N$12,2,FALSE),"")</f>
        <v/>
      </c>
      <c r="W321" s="542" t="str">
        <f>IFERROR(VLOOKUP(INDEX(xySpace_Type_Details,MATCH($C321,'General Information'!$C$40:$C$60,0),12),Lookups!$L$8:$N$12,3,FALSE),"")</f>
        <v/>
      </c>
      <c r="Y321" s="542" t="str">
        <f>IFERROR(IF(C321="","",IF(INDEX(xyWattage_Table,MATCH(M321,'Fixture Identities'!$B$9:$B$997,0),2)="Exit Sign",0,IF(PRJ_Type="Retrofit",VLOOKUP(I321,xySVG_Factors,2,FALSE),IF(AND(PRJ_Type="New Construction",Inventory!C318="N"),VLOOKUP(VLOOKUP(Building_Type,xyLPD_BuildingArea,5,FALSE),xySVG_Factors_NC,3,FALSE),0)))),"")</f>
        <v/>
      </c>
      <c r="Z321" s="544" t="str">
        <f>IFERROR(IF(C321="","",IF(INDEX(xyWattage_Table,MATCH(M321,'Fixture Identities'!$B$9:$B$997,0),2)="Exit Sign",0,VLOOKUP(S321,xySVG_Factors,2,FALSE))),"")</f>
        <v/>
      </c>
      <c r="AA321" s="545" t="str">
        <f t="shared" si="109"/>
        <v/>
      </c>
      <c r="AB321" s="542" t="str">
        <f t="shared" si="110"/>
        <v/>
      </c>
      <c r="AC321" s="539" t="str">
        <f t="shared" si="111"/>
        <v/>
      </c>
      <c r="AD321" s="546" t="str">
        <f t="shared" si="112"/>
        <v/>
      </c>
      <c r="AE321" s="539" t="str">
        <f t="shared" si="113"/>
        <v/>
      </c>
      <c r="AF321" s="546" t="str">
        <f t="shared" si="114"/>
        <v/>
      </c>
      <c r="AG321" s="539" t="str">
        <f t="shared" si="115"/>
        <v/>
      </c>
      <c r="AH321" s="32">
        <f t="shared" si="117"/>
        <v>0</v>
      </c>
      <c r="AI321" s="32">
        <f t="shared" si="118"/>
        <v>0</v>
      </c>
      <c r="AJ321" s="32">
        <f t="shared" si="119"/>
        <v>0</v>
      </c>
      <c r="AK321" t="str">
        <f t="shared" si="120"/>
        <v/>
      </c>
      <c r="AL321" t="str">
        <f t="shared" si="121"/>
        <v/>
      </c>
      <c r="AM321" t="str">
        <f t="shared" si="122"/>
        <v/>
      </c>
      <c r="AO321" t="str">
        <f>IFERROR(VLOOKUP(M321,'Fixture Identities'!$B$9:$O$1045,14,FALSE),"")</f>
        <v/>
      </c>
      <c r="AP321" t="str">
        <f t="shared" si="116"/>
        <v/>
      </c>
    </row>
    <row r="322" spans="1:42">
      <c r="A322" s="71">
        <f t="shared" si="124"/>
        <v>0</v>
      </c>
      <c r="B322" s="513">
        <f t="shared" si="123"/>
        <v>310</v>
      </c>
      <c r="C322" s="530" t="str">
        <f>IF(Inventory!E319="","",Inventory!E319)</f>
        <v/>
      </c>
      <c r="D322" s="531">
        <f>IF(Inventory!D319="",0,Inventory!D319)</f>
        <v>0</v>
      </c>
      <c r="E322" s="532" t="str">
        <f>IF(Inventory!I319=0,"",Inventory!I319)</f>
        <v/>
      </c>
      <c r="F322" s="533" t="str">
        <f t="shared" si="103"/>
        <v/>
      </c>
      <c r="G322" s="534" t="str">
        <f>IF(Inventory!G319="","",Inventory!G319)</f>
        <v/>
      </c>
      <c r="H322" s="535" t="str">
        <f t="shared" si="104"/>
        <v/>
      </c>
      <c r="I322" s="536" t="str">
        <f>IF(Inventory!J319="","",Inventory!J319)</f>
        <v/>
      </c>
      <c r="J322" s="537" t="str">
        <f>IFERROR(IF(PRJ_Type="New Construction",IF(Inventory!C319="N",INDEX(xyLPD_BuildingArea,MATCH(Building_Type,Lookups!$F$37:$F$75,0),4),INDEX(xyLPD_SpaceBySpace,MATCH(INDEX(xyNCEx,MATCH(I322,yNCExArea,0),2),ySpace_by_Space_Type,0),2)),VLOOKUP(E322,xyWattage_Table,11,FALSE)),"")</f>
        <v/>
      </c>
      <c r="K322" s="538" t="str">
        <f>IFERROR(IF(AND(NC_Type="Building Area Method",Inventory!C319="N"),IF(ISERROR(INDEX('Usage Groups (&gt;120 MWh only)'!$N$8:$N$12,MATCH(C322,'Usage Groups (&gt;120 MWh only)'!$B$8:$B$12,0),1))=TRUE,SqFt/COUNTIFS(Inventory!$C$10:$C$1009,"N",$Q$13:$Q$1012,"&gt;=0"),INDEX('Usage Groups (&gt;120 MWh only)'!$N$8:$N$12,MATCH(C322,'Usage Groups (&gt;120 MWh only)'!$B$8:$B$12,0),1)/COUNTIF($C$13:$C$1012,C322)),IF(AND(NC_Type="Building Area Method",Inventory!C319="Y"),INDEX(xyNCEx,MATCH(I322,yNCExArea,0),3)/COUNTIF($I$13:$I$1012,I322),VLOOKUP(J322,xyWattage_Table,10,FALSE))),"")</f>
        <v/>
      </c>
      <c r="L322" s="539" t="str">
        <f t="shared" si="105"/>
        <v/>
      </c>
      <c r="M322" s="540">
        <f>IF(Inventory!N319="","",Inventory!N319)</f>
        <v>0</v>
      </c>
      <c r="N322" s="533" t="str">
        <f t="shared" si="106"/>
        <v/>
      </c>
      <c r="O322" s="534"/>
      <c r="P322" s="533" t="str">
        <f t="shared" si="107"/>
        <v/>
      </c>
      <c r="Q322" s="534" t="str">
        <f>IF(Inventory!L319="","",Inventory!L319)</f>
        <v/>
      </c>
      <c r="R322" s="535" t="str">
        <f t="shared" si="108"/>
        <v/>
      </c>
      <c r="S322" s="536" t="str">
        <f>IF(Inventory!O319="","",Inventory!O319)</f>
        <v/>
      </c>
      <c r="T322" s="541" t="str">
        <f>IFERROR(IF(C322="","",IF(INDEX(xyWattage_Table,MATCH(M322,'Fixture Identities'!$B$9:$B$997,0),2)="Exit Sign",8760,IF(VLOOKUP(C322,xySpace_Type_Details,8,FALSE)="TRM",INDEX('General Information'!$AF$17:$AG$28,11,MATCH(N322,'General Information'!$AF$16:$AG$16,0)),HLOOKUP(VLOOKUP(C322,xySpace_Type_Details,8,FALSE),'General Information'!$P$15:$AG$28,13,FALSE)))),"")</f>
        <v/>
      </c>
      <c r="U322" s="542" t="str">
        <f>IFERROR(IF(C322="","",IF(INDEX(xyWattage_Table,MATCH(M322,'Fixture Identities'!$B$9:$B$997,0),2)="Exit Sign",1,IF(VLOOKUP(C322,xySpace_Type_Details,8,FALSE)="TRM",INDEX('General Information'!$AF$17:$AG$28,12,MATCH(N322,'General Information'!$AF$16:$AG$16,0)),HLOOKUP(VLOOKUP(C322,xySpace_Type_Details,8,FALSE),'General Information'!$P$15:$AG$28,14,FALSE)))),"")</f>
        <v/>
      </c>
      <c r="V322" s="542" t="str">
        <f>IFERROR(VLOOKUP(INDEX(xySpace_Type_Details,MATCH($C322,'General Information'!$C$40:$C$60,0),12),Lookups!$L$8:$N$12,2,FALSE),"")</f>
        <v/>
      </c>
      <c r="W322" s="542" t="str">
        <f>IFERROR(VLOOKUP(INDEX(xySpace_Type_Details,MATCH($C322,'General Information'!$C$40:$C$60,0),12),Lookups!$L$8:$N$12,3,FALSE),"")</f>
        <v/>
      </c>
      <c r="Y322" s="542" t="str">
        <f>IFERROR(IF(C322="","",IF(INDEX(xyWattage_Table,MATCH(M322,'Fixture Identities'!$B$9:$B$997,0),2)="Exit Sign",0,IF(PRJ_Type="Retrofit",VLOOKUP(I322,xySVG_Factors,2,FALSE),IF(AND(PRJ_Type="New Construction",Inventory!C319="N"),VLOOKUP(VLOOKUP(Building_Type,xyLPD_BuildingArea,5,FALSE),xySVG_Factors_NC,3,FALSE),0)))),"")</f>
        <v/>
      </c>
      <c r="Z322" s="544" t="str">
        <f>IFERROR(IF(C322="","",IF(INDEX(xyWattage_Table,MATCH(M322,'Fixture Identities'!$B$9:$B$997,0),2)="Exit Sign",0,VLOOKUP(S322,xySVG_Factors,2,FALSE))),"")</f>
        <v/>
      </c>
      <c r="AA322" s="545" t="str">
        <f t="shared" si="109"/>
        <v/>
      </c>
      <c r="AB322" s="542" t="str">
        <f t="shared" si="110"/>
        <v/>
      </c>
      <c r="AC322" s="539" t="str">
        <f t="shared" si="111"/>
        <v/>
      </c>
      <c r="AD322" s="546" t="str">
        <f t="shared" si="112"/>
        <v/>
      </c>
      <c r="AE322" s="539" t="str">
        <f t="shared" si="113"/>
        <v/>
      </c>
      <c r="AF322" s="546" t="str">
        <f t="shared" si="114"/>
        <v/>
      </c>
      <c r="AG322" s="539" t="str">
        <f t="shared" si="115"/>
        <v/>
      </c>
      <c r="AH322" s="32">
        <f t="shared" si="117"/>
        <v>0</v>
      </c>
      <c r="AI322" s="32">
        <f t="shared" si="118"/>
        <v>0</v>
      </c>
      <c r="AJ322" s="32">
        <f t="shared" si="119"/>
        <v>0</v>
      </c>
      <c r="AK322" t="str">
        <f t="shared" si="120"/>
        <v/>
      </c>
      <c r="AL322" t="str">
        <f t="shared" si="121"/>
        <v/>
      </c>
      <c r="AM322" t="str">
        <f t="shared" si="122"/>
        <v/>
      </c>
      <c r="AO322" t="str">
        <f>IFERROR(VLOOKUP(M322,'Fixture Identities'!$B$9:$O$1045,14,FALSE),"")</f>
        <v/>
      </c>
      <c r="AP322" t="str">
        <f t="shared" si="116"/>
        <v/>
      </c>
    </row>
    <row r="323" spans="1:42">
      <c r="A323" s="71">
        <f t="shared" si="124"/>
        <v>0</v>
      </c>
      <c r="B323" s="513">
        <f t="shared" si="123"/>
        <v>311</v>
      </c>
      <c r="C323" s="530" t="str">
        <f>IF(Inventory!E320="","",Inventory!E320)</f>
        <v/>
      </c>
      <c r="D323" s="531">
        <f>IF(Inventory!D320="",0,Inventory!D320)</f>
        <v>0</v>
      </c>
      <c r="E323" s="532" t="str">
        <f>IF(Inventory!I320=0,"",Inventory!I320)</f>
        <v/>
      </c>
      <c r="F323" s="533" t="str">
        <f t="shared" si="103"/>
        <v/>
      </c>
      <c r="G323" s="534" t="str">
        <f>IF(Inventory!G320="","",Inventory!G320)</f>
        <v/>
      </c>
      <c r="H323" s="535" t="str">
        <f t="shared" si="104"/>
        <v/>
      </c>
      <c r="I323" s="536" t="str">
        <f>IF(Inventory!J320="","",Inventory!J320)</f>
        <v/>
      </c>
      <c r="J323" s="537" t="str">
        <f>IFERROR(IF(PRJ_Type="New Construction",IF(Inventory!C320="N",INDEX(xyLPD_BuildingArea,MATCH(Building_Type,Lookups!$F$37:$F$75,0),4),INDEX(xyLPD_SpaceBySpace,MATCH(INDEX(xyNCEx,MATCH(I323,yNCExArea,0),2),ySpace_by_Space_Type,0),2)),VLOOKUP(E323,xyWattage_Table,11,FALSE)),"")</f>
        <v/>
      </c>
      <c r="K323" s="538" t="str">
        <f>IFERROR(IF(AND(NC_Type="Building Area Method",Inventory!C320="N"),IF(ISERROR(INDEX('Usage Groups (&gt;120 MWh only)'!$N$8:$N$12,MATCH(C323,'Usage Groups (&gt;120 MWh only)'!$B$8:$B$12,0),1))=TRUE,SqFt/COUNTIFS(Inventory!$C$10:$C$1009,"N",$Q$13:$Q$1012,"&gt;=0"),INDEX('Usage Groups (&gt;120 MWh only)'!$N$8:$N$12,MATCH(C323,'Usage Groups (&gt;120 MWh only)'!$B$8:$B$12,0),1)/COUNTIF($C$13:$C$1012,C323)),IF(AND(NC_Type="Building Area Method",Inventory!C320="Y"),INDEX(xyNCEx,MATCH(I323,yNCExArea,0),3)/COUNTIF($I$13:$I$1012,I323),VLOOKUP(J323,xyWattage_Table,10,FALSE))),"")</f>
        <v/>
      </c>
      <c r="L323" s="539" t="str">
        <f t="shared" si="105"/>
        <v/>
      </c>
      <c r="M323" s="540">
        <f>IF(Inventory!N320="","",Inventory!N320)</f>
        <v>0</v>
      </c>
      <c r="N323" s="533" t="str">
        <f t="shared" si="106"/>
        <v/>
      </c>
      <c r="O323" s="534"/>
      <c r="P323" s="533" t="str">
        <f t="shared" si="107"/>
        <v/>
      </c>
      <c r="Q323" s="534" t="str">
        <f>IF(Inventory!L320="","",Inventory!L320)</f>
        <v/>
      </c>
      <c r="R323" s="535" t="str">
        <f t="shared" si="108"/>
        <v/>
      </c>
      <c r="S323" s="536" t="str">
        <f>IF(Inventory!O320="","",Inventory!O320)</f>
        <v/>
      </c>
      <c r="T323" s="541" t="str">
        <f>IFERROR(IF(C323="","",IF(INDEX(xyWattage_Table,MATCH(M323,'Fixture Identities'!$B$9:$B$997,0),2)="Exit Sign",8760,IF(VLOOKUP(C323,xySpace_Type_Details,8,FALSE)="TRM",INDEX('General Information'!$AF$17:$AG$28,11,MATCH(N323,'General Information'!$AF$16:$AG$16,0)),HLOOKUP(VLOOKUP(C323,xySpace_Type_Details,8,FALSE),'General Information'!$P$15:$AG$28,13,FALSE)))),"")</f>
        <v/>
      </c>
      <c r="U323" s="542" t="str">
        <f>IFERROR(IF(C323="","",IF(INDEX(xyWattage_Table,MATCH(M323,'Fixture Identities'!$B$9:$B$997,0),2)="Exit Sign",1,IF(VLOOKUP(C323,xySpace_Type_Details,8,FALSE)="TRM",INDEX('General Information'!$AF$17:$AG$28,12,MATCH(N323,'General Information'!$AF$16:$AG$16,0)),HLOOKUP(VLOOKUP(C323,xySpace_Type_Details,8,FALSE),'General Information'!$P$15:$AG$28,14,FALSE)))),"")</f>
        <v/>
      </c>
      <c r="V323" s="542" t="str">
        <f>IFERROR(VLOOKUP(INDEX(xySpace_Type_Details,MATCH($C323,'General Information'!$C$40:$C$60,0),12),Lookups!$L$8:$N$12,2,FALSE),"")</f>
        <v/>
      </c>
      <c r="W323" s="542" t="str">
        <f>IFERROR(VLOOKUP(INDEX(xySpace_Type_Details,MATCH($C323,'General Information'!$C$40:$C$60,0),12),Lookups!$L$8:$N$12,3,FALSE),"")</f>
        <v/>
      </c>
      <c r="Y323" s="542" t="str">
        <f>IFERROR(IF(C323="","",IF(INDEX(xyWattage_Table,MATCH(M323,'Fixture Identities'!$B$9:$B$997,0),2)="Exit Sign",0,IF(PRJ_Type="Retrofit",VLOOKUP(I323,xySVG_Factors,2,FALSE),IF(AND(PRJ_Type="New Construction",Inventory!C320="N"),VLOOKUP(VLOOKUP(Building_Type,xyLPD_BuildingArea,5,FALSE),xySVG_Factors_NC,3,FALSE),0)))),"")</f>
        <v/>
      </c>
      <c r="Z323" s="544" t="str">
        <f>IFERROR(IF(C323="","",IF(INDEX(xyWattage_Table,MATCH(M323,'Fixture Identities'!$B$9:$B$997,0),2)="Exit Sign",0,VLOOKUP(S323,xySVG_Factors,2,FALSE))),"")</f>
        <v/>
      </c>
      <c r="AA323" s="545" t="str">
        <f t="shared" si="109"/>
        <v/>
      </c>
      <c r="AB323" s="542" t="str">
        <f t="shared" si="110"/>
        <v/>
      </c>
      <c r="AC323" s="539" t="str">
        <f t="shared" si="111"/>
        <v/>
      </c>
      <c r="AD323" s="546" t="str">
        <f t="shared" si="112"/>
        <v/>
      </c>
      <c r="AE323" s="539" t="str">
        <f t="shared" si="113"/>
        <v/>
      </c>
      <c r="AF323" s="546" t="str">
        <f t="shared" si="114"/>
        <v/>
      </c>
      <c r="AG323" s="539" t="str">
        <f t="shared" si="115"/>
        <v/>
      </c>
      <c r="AH323" s="32">
        <f t="shared" si="117"/>
        <v>0</v>
      </c>
      <c r="AI323" s="32">
        <f t="shared" si="118"/>
        <v>0</v>
      </c>
      <c r="AJ323" s="32">
        <f t="shared" si="119"/>
        <v>0</v>
      </c>
      <c r="AK323" t="str">
        <f t="shared" si="120"/>
        <v/>
      </c>
      <c r="AL323" t="str">
        <f t="shared" si="121"/>
        <v/>
      </c>
      <c r="AM323" t="str">
        <f t="shared" si="122"/>
        <v/>
      </c>
      <c r="AO323" t="str">
        <f>IFERROR(VLOOKUP(M323,'Fixture Identities'!$B$9:$O$1045,14,FALSE),"")</f>
        <v/>
      </c>
      <c r="AP323" t="str">
        <f t="shared" si="116"/>
        <v/>
      </c>
    </row>
    <row r="324" spans="1:42">
      <c r="A324" s="71">
        <f t="shared" si="124"/>
        <v>0</v>
      </c>
      <c r="B324" s="513">
        <f t="shared" si="123"/>
        <v>312</v>
      </c>
      <c r="C324" s="530" t="str">
        <f>IF(Inventory!E321="","",Inventory!E321)</f>
        <v/>
      </c>
      <c r="D324" s="531">
        <f>IF(Inventory!D321="",0,Inventory!D321)</f>
        <v>0</v>
      </c>
      <c r="E324" s="532" t="str">
        <f>IF(Inventory!I321=0,"",Inventory!I321)</f>
        <v/>
      </c>
      <c r="F324" s="533" t="str">
        <f t="shared" si="103"/>
        <v/>
      </c>
      <c r="G324" s="534" t="str">
        <f>IF(Inventory!G321="","",Inventory!G321)</f>
        <v/>
      </c>
      <c r="H324" s="535" t="str">
        <f t="shared" si="104"/>
        <v/>
      </c>
      <c r="I324" s="536" t="str">
        <f>IF(Inventory!J321="","",Inventory!J321)</f>
        <v/>
      </c>
      <c r="J324" s="537" t="str">
        <f>IFERROR(IF(PRJ_Type="New Construction",IF(Inventory!C321="N",INDEX(xyLPD_BuildingArea,MATCH(Building_Type,Lookups!$F$37:$F$75,0),4),INDEX(xyLPD_SpaceBySpace,MATCH(INDEX(xyNCEx,MATCH(I324,yNCExArea,0),2),ySpace_by_Space_Type,0),2)),VLOOKUP(E324,xyWattage_Table,11,FALSE)),"")</f>
        <v/>
      </c>
      <c r="K324" s="538" t="str">
        <f>IFERROR(IF(AND(NC_Type="Building Area Method",Inventory!C321="N"),IF(ISERROR(INDEX('Usage Groups (&gt;120 MWh only)'!$N$8:$N$12,MATCH(C324,'Usage Groups (&gt;120 MWh only)'!$B$8:$B$12,0),1))=TRUE,SqFt/COUNTIFS(Inventory!$C$10:$C$1009,"N",$Q$13:$Q$1012,"&gt;=0"),INDEX('Usage Groups (&gt;120 MWh only)'!$N$8:$N$12,MATCH(C324,'Usage Groups (&gt;120 MWh only)'!$B$8:$B$12,0),1)/COUNTIF($C$13:$C$1012,C324)),IF(AND(NC_Type="Building Area Method",Inventory!C321="Y"),INDEX(xyNCEx,MATCH(I324,yNCExArea,0),3)/COUNTIF($I$13:$I$1012,I324),VLOOKUP(J324,xyWattage_Table,10,FALSE))),"")</f>
        <v/>
      </c>
      <c r="L324" s="539" t="str">
        <f t="shared" si="105"/>
        <v/>
      </c>
      <c r="M324" s="540">
        <f>IF(Inventory!N321="","",Inventory!N321)</f>
        <v>0</v>
      </c>
      <c r="N324" s="533" t="str">
        <f t="shared" si="106"/>
        <v/>
      </c>
      <c r="O324" s="534"/>
      <c r="P324" s="533" t="str">
        <f t="shared" si="107"/>
        <v/>
      </c>
      <c r="Q324" s="534" t="str">
        <f>IF(Inventory!L321="","",Inventory!L321)</f>
        <v/>
      </c>
      <c r="R324" s="535" t="str">
        <f t="shared" si="108"/>
        <v/>
      </c>
      <c r="S324" s="536" t="str">
        <f>IF(Inventory!O321="","",Inventory!O321)</f>
        <v/>
      </c>
      <c r="T324" s="541" t="str">
        <f>IFERROR(IF(C324="","",IF(INDEX(xyWattage_Table,MATCH(M324,'Fixture Identities'!$B$9:$B$997,0),2)="Exit Sign",8760,IF(VLOOKUP(C324,xySpace_Type_Details,8,FALSE)="TRM",INDEX('General Information'!$AF$17:$AG$28,11,MATCH(N324,'General Information'!$AF$16:$AG$16,0)),HLOOKUP(VLOOKUP(C324,xySpace_Type_Details,8,FALSE),'General Information'!$P$15:$AG$28,13,FALSE)))),"")</f>
        <v/>
      </c>
      <c r="U324" s="542" t="str">
        <f>IFERROR(IF(C324="","",IF(INDEX(xyWattage_Table,MATCH(M324,'Fixture Identities'!$B$9:$B$997,0),2)="Exit Sign",1,IF(VLOOKUP(C324,xySpace_Type_Details,8,FALSE)="TRM",INDEX('General Information'!$AF$17:$AG$28,12,MATCH(N324,'General Information'!$AF$16:$AG$16,0)),HLOOKUP(VLOOKUP(C324,xySpace_Type_Details,8,FALSE),'General Information'!$P$15:$AG$28,14,FALSE)))),"")</f>
        <v/>
      </c>
      <c r="V324" s="542" t="str">
        <f>IFERROR(VLOOKUP(INDEX(xySpace_Type_Details,MATCH($C324,'General Information'!$C$40:$C$60,0),12),Lookups!$L$8:$N$12,2,FALSE),"")</f>
        <v/>
      </c>
      <c r="W324" s="542" t="str">
        <f>IFERROR(VLOOKUP(INDEX(xySpace_Type_Details,MATCH($C324,'General Information'!$C$40:$C$60,0),12),Lookups!$L$8:$N$12,3,FALSE),"")</f>
        <v/>
      </c>
      <c r="Y324" s="542" t="str">
        <f>IFERROR(IF(C324="","",IF(INDEX(xyWattage_Table,MATCH(M324,'Fixture Identities'!$B$9:$B$997,0),2)="Exit Sign",0,IF(PRJ_Type="Retrofit",VLOOKUP(I324,xySVG_Factors,2,FALSE),IF(AND(PRJ_Type="New Construction",Inventory!C321="N"),VLOOKUP(VLOOKUP(Building_Type,xyLPD_BuildingArea,5,FALSE),xySVG_Factors_NC,3,FALSE),0)))),"")</f>
        <v/>
      </c>
      <c r="Z324" s="544" t="str">
        <f>IFERROR(IF(C324="","",IF(INDEX(xyWattage_Table,MATCH(M324,'Fixture Identities'!$B$9:$B$997,0),2)="Exit Sign",0,VLOOKUP(S324,xySVG_Factors,2,FALSE))),"")</f>
        <v/>
      </c>
      <c r="AA324" s="545" t="str">
        <f t="shared" si="109"/>
        <v/>
      </c>
      <c r="AB324" s="542" t="str">
        <f t="shared" si="110"/>
        <v/>
      </c>
      <c r="AC324" s="539" t="str">
        <f t="shared" si="111"/>
        <v/>
      </c>
      <c r="AD324" s="546" t="str">
        <f t="shared" si="112"/>
        <v/>
      </c>
      <c r="AE324" s="539" t="str">
        <f t="shared" si="113"/>
        <v/>
      </c>
      <c r="AF324" s="546" t="str">
        <f t="shared" si="114"/>
        <v/>
      </c>
      <c r="AG324" s="539" t="str">
        <f t="shared" si="115"/>
        <v/>
      </c>
      <c r="AH324" s="32">
        <f t="shared" si="117"/>
        <v>0</v>
      </c>
      <c r="AI324" s="32">
        <f t="shared" si="118"/>
        <v>0</v>
      </c>
      <c r="AJ324" s="32">
        <f t="shared" si="119"/>
        <v>0</v>
      </c>
      <c r="AK324" t="str">
        <f t="shared" si="120"/>
        <v/>
      </c>
      <c r="AL324" t="str">
        <f t="shared" si="121"/>
        <v/>
      </c>
      <c r="AM324" t="str">
        <f t="shared" si="122"/>
        <v/>
      </c>
      <c r="AO324" t="str">
        <f>IFERROR(VLOOKUP(M324,'Fixture Identities'!$B$9:$O$1045,14,FALSE),"")</f>
        <v/>
      </c>
      <c r="AP324" t="str">
        <f t="shared" si="116"/>
        <v/>
      </c>
    </row>
    <row r="325" spans="1:42">
      <c r="A325" s="71">
        <f t="shared" si="124"/>
        <v>0</v>
      </c>
      <c r="B325" s="513">
        <f t="shared" si="123"/>
        <v>313</v>
      </c>
      <c r="C325" s="530" t="str">
        <f>IF(Inventory!E322="","",Inventory!E322)</f>
        <v/>
      </c>
      <c r="D325" s="531">
        <f>IF(Inventory!D322="",0,Inventory!D322)</f>
        <v>0</v>
      </c>
      <c r="E325" s="532" t="str">
        <f>IF(Inventory!I322=0,"",Inventory!I322)</f>
        <v/>
      </c>
      <c r="F325" s="533" t="str">
        <f t="shared" si="103"/>
        <v/>
      </c>
      <c r="G325" s="534" t="str">
        <f>IF(Inventory!G322="","",Inventory!G322)</f>
        <v/>
      </c>
      <c r="H325" s="535" t="str">
        <f t="shared" si="104"/>
        <v/>
      </c>
      <c r="I325" s="536" t="str">
        <f>IF(Inventory!J322="","",Inventory!J322)</f>
        <v/>
      </c>
      <c r="J325" s="537" t="str">
        <f>IFERROR(IF(PRJ_Type="New Construction",IF(Inventory!C322="N",INDEX(xyLPD_BuildingArea,MATCH(Building_Type,Lookups!$F$37:$F$75,0),4),INDEX(xyLPD_SpaceBySpace,MATCH(INDEX(xyNCEx,MATCH(I325,yNCExArea,0),2),ySpace_by_Space_Type,0),2)),VLOOKUP(E325,xyWattage_Table,11,FALSE)),"")</f>
        <v/>
      </c>
      <c r="K325" s="538" t="str">
        <f>IFERROR(IF(AND(NC_Type="Building Area Method",Inventory!C322="N"),IF(ISERROR(INDEX('Usage Groups (&gt;120 MWh only)'!$N$8:$N$12,MATCH(C325,'Usage Groups (&gt;120 MWh only)'!$B$8:$B$12,0),1))=TRUE,SqFt/COUNTIFS(Inventory!$C$10:$C$1009,"N",$Q$13:$Q$1012,"&gt;=0"),INDEX('Usage Groups (&gt;120 MWh only)'!$N$8:$N$12,MATCH(C325,'Usage Groups (&gt;120 MWh only)'!$B$8:$B$12,0),1)/COUNTIF($C$13:$C$1012,C325)),IF(AND(NC_Type="Building Area Method",Inventory!C322="Y"),INDEX(xyNCEx,MATCH(I325,yNCExArea,0),3)/COUNTIF($I$13:$I$1012,I325),VLOOKUP(J325,xyWattage_Table,10,FALSE))),"")</f>
        <v/>
      </c>
      <c r="L325" s="539" t="str">
        <f t="shared" si="105"/>
        <v/>
      </c>
      <c r="M325" s="540">
        <f>IF(Inventory!N322="","",Inventory!N322)</f>
        <v>0</v>
      </c>
      <c r="N325" s="533" t="str">
        <f t="shared" si="106"/>
        <v/>
      </c>
      <c r="O325" s="534"/>
      <c r="P325" s="533" t="str">
        <f t="shared" si="107"/>
        <v/>
      </c>
      <c r="Q325" s="534" t="str">
        <f>IF(Inventory!L322="","",Inventory!L322)</f>
        <v/>
      </c>
      <c r="R325" s="535" t="str">
        <f t="shared" si="108"/>
        <v/>
      </c>
      <c r="S325" s="536" t="str">
        <f>IF(Inventory!O322="","",Inventory!O322)</f>
        <v/>
      </c>
      <c r="T325" s="541" t="str">
        <f>IFERROR(IF(C325="","",IF(INDEX(xyWattage_Table,MATCH(M325,'Fixture Identities'!$B$9:$B$997,0),2)="Exit Sign",8760,IF(VLOOKUP(C325,xySpace_Type_Details,8,FALSE)="TRM",INDEX('General Information'!$AF$17:$AG$28,11,MATCH(N325,'General Information'!$AF$16:$AG$16,0)),HLOOKUP(VLOOKUP(C325,xySpace_Type_Details,8,FALSE),'General Information'!$P$15:$AG$28,13,FALSE)))),"")</f>
        <v/>
      </c>
      <c r="U325" s="542" t="str">
        <f>IFERROR(IF(C325="","",IF(INDEX(xyWattage_Table,MATCH(M325,'Fixture Identities'!$B$9:$B$997,0),2)="Exit Sign",1,IF(VLOOKUP(C325,xySpace_Type_Details,8,FALSE)="TRM",INDEX('General Information'!$AF$17:$AG$28,12,MATCH(N325,'General Information'!$AF$16:$AG$16,0)),HLOOKUP(VLOOKUP(C325,xySpace_Type_Details,8,FALSE),'General Information'!$P$15:$AG$28,14,FALSE)))),"")</f>
        <v/>
      </c>
      <c r="V325" s="542" t="str">
        <f>IFERROR(VLOOKUP(INDEX(xySpace_Type_Details,MATCH($C325,'General Information'!$C$40:$C$60,0),12),Lookups!$L$8:$N$12,2,FALSE),"")</f>
        <v/>
      </c>
      <c r="W325" s="542" t="str">
        <f>IFERROR(VLOOKUP(INDEX(xySpace_Type_Details,MATCH($C325,'General Information'!$C$40:$C$60,0),12),Lookups!$L$8:$N$12,3,FALSE),"")</f>
        <v/>
      </c>
      <c r="Y325" s="542" t="str">
        <f>IFERROR(IF(C325="","",IF(INDEX(xyWattage_Table,MATCH(M325,'Fixture Identities'!$B$9:$B$997,0),2)="Exit Sign",0,IF(PRJ_Type="Retrofit",VLOOKUP(I325,xySVG_Factors,2,FALSE),IF(AND(PRJ_Type="New Construction",Inventory!C322="N"),VLOOKUP(VLOOKUP(Building_Type,xyLPD_BuildingArea,5,FALSE),xySVG_Factors_NC,3,FALSE),0)))),"")</f>
        <v/>
      </c>
      <c r="Z325" s="544" t="str">
        <f>IFERROR(IF(C325="","",IF(INDEX(xyWattage_Table,MATCH(M325,'Fixture Identities'!$B$9:$B$997,0),2)="Exit Sign",0,VLOOKUP(S325,xySVG_Factors,2,FALSE))),"")</f>
        <v/>
      </c>
      <c r="AA325" s="545" t="str">
        <f t="shared" si="109"/>
        <v/>
      </c>
      <c r="AB325" s="542" t="str">
        <f t="shared" si="110"/>
        <v/>
      </c>
      <c r="AC325" s="539" t="str">
        <f t="shared" si="111"/>
        <v/>
      </c>
      <c r="AD325" s="546" t="str">
        <f t="shared" si="112"/>
        <v/>
      </c>
      <c r="AE325" s="539" t="str">
        <f t="shared" si="113"/>
        <v/>
      </c>
      <c r="AF325" s="546" t="str">
        <f t="shared" si="114"/>
        <v/>
      </c>
      <c r="AG325" s="539" t="str">
        <f t="shared" si="115"/>
        <v/>
      </c>
      <c r="AH325" s="32">
        <f t="shared" si="117"/>
        <v>0</v>
      </c>
      <c r="AI325" s="32">
        <f t="shared" si="118"/>
        <v>0</v>
      </c>
      <c r="AJ325" s="32">
        <f t="shared" si="119"/>
        <v>0</v>
      </c>
      <c r="AK325" t="str">
        <f t="shared" si="120"/>
        <v/>
      </c>
      <c r="AL325" t="str">
        <f t="shared" si="121"/>
        <v/>
      </c>
      <c r="AM325" t="str">
        <f t="shared" si="122"/>
        <v/>
      </c>
      <c r="AO325" t="str">
        <f>IFERROR(VLOOKUP(M325,'Fixture Identities'!$B$9:$O$1045,14,FALSE),"")</f>
        <v/>
      </c>
      <c r="AP325" t="str">
        <f t="shared" si="116"/>
        <v/>
      </c>
    </row>
    <row r="326" spans="1:42">
      <c r="A326" s="71">
        <f t="shared" si="124"/>
        <v>0</v>
      </c>
      <c r="B326" s="513">
        <f t="shared" si="123"/>
        <v>314</v>
      </c>
      <c r="C326" s="530" t="str">
        <f>IF(Inventory!E323="","",Inventory!E323)</f>
        <v/>
      </c>
      <c r="D326" s="531">
        <f>IF(Inventory!D323="",0,Inventory!D323)</f>
        <v>0</v>
      </c>
      <c r="E326" s="532" t="str">
        <f>IF(Inventory!I323=0,"",Inventory!I323)</f>
        <v/>
      </c>
      <c r="F326" s="533" t="str">
        <f t="shared" si="103"/>
        <v/>
      </c>
      <c r="G326" s="534" t="str">
        <f>IF(Inventory!G323="","",Inventory!G323)</f>
        <v/>
      </c>
      <c r="H326" s="535" t="str">
        <f t="shared" si="104"/>
        <v/>
      </c>
      <c r="I326" s="536" t="str">
        <f>IF(Inventory!J323="","",Inventory!J323)</f>
        <v/>
      </c>
      <c r="J326" s="537" t="str">
        <f>IFERROR(IF(PRJ_Type="New Construction",IF(Inventory!C323="N",INDEX(xyLPD_BuildingArea,MATCH(Building_Type,Lookups!$F$37:$F$75,0),4),INDEX(xyLPD_SpaceBySpace,MATCH(INDEX(xyNCEx,MATCH(I326,yNCExArea,0),2),ySpace_by_Space_Type,0),2)),VLOOKUP(E326,xyWattage_Table,11,FALSE)),"")</f>
        <v/>
      </c>
      <c r="K326" s="538" t="str">
        <f>IFERROR(IF(AND(NC_Type="Building Area Method",Inventory!C323="N"),IF(ISERROR(INDEX('Usage Groups (&gt;120 MWh only)'!$N$8:$N$12,MATCH(C326,'Usage Groups (&gt;120 MWh only)'!$B$8:$B$12,0),1))=TRUE,SqFt/COUNTIFS(Inventory!$C$10:$C$1009,"N",$Q$13:$Q$1012,"&gt;=0"),INDEX('Usage Groups (&gt;120 MWh only)'!$N$8:$N$12,MATCH(C326,'Usage Groups (&gt;120 MWh only)'!$B$8:$B$12,0),1)/COUNTIF($C$13:$C$1012,C326)),IF(AND(NC_Type="Building Area Method",Inventory!C323="Y"),INDEX(xyNCEx,MATCH(I326,yNCExArea,0),3)/COUNTIF($I$13:$I$1012,I326),VLOOKUP(J326,xyWattage_Table,10,FALSE))),"")</f>
        <v/>
      </c>
      <c r="L326" s="539" t="str">
        <f t="shared" si="105"/>
        <v/>
      </c>
      <c r="M326" s="540">
        <f>IF(Inventory!N323="","",Inventory!N323)</f>
        <v>0</v>
      </c>
      <c r="N326" s="533" t="str">
        <f t="shared" si="106"/>
        <v/>
      </c>
      <c r="O326" s="534"/>
      <c r="P326" s="533" t="str">
        <f t="shared" si="107"/>
        <v/>
      </c>
      <c r="Q326" s="534" t="str">
        <f>IF(Inventory!L323="","",Inventory!L323)</f>
        <v/>
      </c>
      <c r="R326" s="535" t="str">
        <f t="shared" si="108"/>
        <v/>
      </c>
      <c r="S326" s="536" t="str">
        <f>IF(Inventory!O323="","",Inventory!O323)</f>
        <v/>
      </c>
      <c r="T326" s="541" t="str">
        <f>IFERROR(IF(C326="","",IF(INDEX(xyWattage_Table,MATCH(M326,'Fixture Identities'!$B$9:$B$997,0),2)="Exit Sign",8760,IF(VLOOKUP(C326,xySpace_Type_Details,8,FALSE)="TRM",INDEX('General Information'!$AF$17:$AG$28,11,MATCH(N326,'General Information'!$AF$16:$AG$16,0)),HLOOKUP(VLOOKUP(C326,xySpace_Type_Details,8,FALSE),'General Information'!$P$15:$AG$28,13,FALSE)))),"")</f>
        <v/>
      </c>
      <c r="U326" s="542" t="str">
        <f>IFERROR(IF(C326="","",IF(INDEX(xyWattage_Table,MATCH(M326,'Fixture Identities'!$B$9:$B$997,0),2)="Exit Sign",1,IF(VLOOKUP(C326,xySpace_Type_Details,8,FALSE)="TRM",INDEX('General Information'!$AF$17:$AG$28,12,MATCH(N326,'General Information'!$AF$16:$AG$16,0)),HLOOKUP(VLOOKUP(C326,xySpace_Type_Details,8,FALSE),'General Information'!$P$15:$AG$28,14,FALSE)))),"")</f>
        <v/>
      </c>
      <c r="V326" s="542" t="str">
        <f>IFERROR(VLOOKUP(INDEX(xySpace_Type_Details,MATCH($C326,'General Information'!$C$40:$C$60,0),12),Lookups!$L$8:$N$12,2,FALSE),"")</f>
        <v/>
      </c>
      <c r="W326" s="542" t="str">
        <f>IFERROR(VLOOKUP(INDEX(xySpace_Type_Details,MATCH($C326,'General Information'!$C$40:$C$60,0),12),Lookups!$L$8:$N$12,3,FALSE),"")</f>
        <v/>
      </c>
      <c r="Y326" s="542" t="str">
        <f>IFERROR(IF(C326="","",IF(INDEX(xyWattage_Table,MATCH(M326,'Fixture Identities'!$B$9:$B$997,0),2)="Exit Sign",0,IF(PRJ_Type="Retrofit",VLOOKUP(I326,xySVG_Factors,2,FALSE),IF(AND(PRJ_Type="New Construction",Inventory!C323="N"),VLOOKUP(VLOOKUP(Building_Type,xyLPD_BuildingArea,5,FALSE),xySVG_Factors_NC,3,FALSE),0)))),"")</f>
        <v/>
      </c>
      <c r="Z326" s="544" t="str">
        <f>IFERROR(IF(C326="","",IF(INDEX(xyWattage_Table,MATCH(M326,'Fixture Identities'!$B$9:$B$997,0),2)="Exit Sign",0,VLOOKUP(S326,xySVG_Factors,2,FALSE))),"")</f>
        <v/>
      </c>
      <c r="AA326" s="545" t="str">
        <f t="shared" si="109"/>
        <v/>
      </c>
      <c r="AB326" s="542" t="str">
        <f t="shared" si="110"/>
        <v/>
      </c>
      <c r="AC326" s="539" t="str">
        <f t="shared" si="111"/>
        <v/>
      </c>
      <c r="AD326" s="546" t="str">
        <f t="shared" si="112"/>
        <v/>
      </c>
      <c r="AE326" s="539" t="str">
        <f t="shared" si="113"/>
        <v/>
      </c>
      <c r="AF326" s="546" t="str">
        <f t="shared" si="114"/>
        <v/>
      </c>
      <c r="AG326" s="539" t="str">
        <f t="shared" si="115"/>
        <v/>
      </c>
      <c r="AH326" s="32">
        <f t="shared" si="117"/>
        <v>0</v>
      </c>
      <c r="AI326" s="32">
        <f t="shared" si="118"/>
        <v>0</v>
      </c>
      <c r="AJ326" s="32">
        <f t="shared" si="119"/>
        <v>0</v>
      </c>
      <c r="AK326" t="str">
        <f t="shared" si="120"/>
        <v/>
      </c>
      <c r="AL326" t="str">
        <f t="shared" si="121"/>
        <v/>
      </c>
      <c r="AM326" t="str">
        <f t="shared" si="122"/>
        <v/>
      </c>
      <c r="AO326" t="str">
        <f>IFERROR(VLOOKUP(M326,'Fixture Identities'!$B$9:$O$1045,14,FALSE),"")</f>
        <v/>
      </c>
      <c r="AP326" t="str">
        <f t="shared" si="116"/>
        <v/>
      </c>
    </row>
    <row r="327" spans="1:42">
      <c r="A327" s="71">
        <f t="shared" si="124"/>
        <v>0</v>
      </c>
      <c r="B327" s="513">
        <f t="shared" si="123"/>
        <v>315</v>
      </c>
      <c r="C327" s="530" t="str">
        <f>IF(Inventory!E324="","",Inventory!E324)</f>
        <v/>
      </c>
      <c r="D327" s="531">
        <f>IF(Inventory!D324="",0,Inventory!D324)</f>
        <v>0</v>
      </c>
      <c r="E327" s="532" t="str">
        <f>IF(Inventory!I324=0,"",Inventory!I324)</f>
        <v/>
      </c>
      <c r="F327" s="533" t="str">
        <f t="shared" ref="F327:F390" si="125">IFERROR(VLOOKUP(E327,xyWattage_Table,10,FALSE),"")</f>
        <v/>
      </c>
      <c r="G327" s="534" t="str">
        <f>IF(Inventory!G324="","",Inventory!G324)</f>
        <v/>
      </c>
      <c r="H327" s="535" t="str">
        <f t="shared" ref="H327:H390" si="126">IF(G327="","",G327*F327)</f>
        <v/>
      </c>
      <c r="I327" s="536" t="str">
        <f>IF(Inventory!J324="","",Inventory!J324)</f>
        <v/>
      </c>
      <c r="J327" s="537" t="str">
        <f>IFERROR(IF(PRJ_Type="New Construction",IF(Inventory!C324="N",INDEX(xyLPD_BuildingArea,MATCH(Building_Type,Lookups!$F$37:$F$75,0),4),INDEX(xyLPD_SpaceBySpace,MATCH(INDEX(xyNCEx,MATCH(I327,yNCExArea,0),2),ySpace_by_Space_Type,0),2)),VLOOKUP(E327,xyWattage_Table,11,FALSE)),"")</f>
        <v/>
      </c>
      <c r="K327" s="538" t="str">
        <f>IFERROR(IF(AND(NC_Type="Building Area Method",Inventory!C324="N"),IF(ISERROR(INDEX('Usage Groups (&gt;120 MWh only)'!$N$8:$N$12,MATCH(C327,'Usage Groups (&gt;120 MWh only)'!$B$8:$B$12,0),1))=TRUE,SqFt/COUNTIFS(Inventory!$C$10:$C$1009,"N",$Q$13:$Q$1012,"&gt;=0"),INDEX('Usage Groups (&gt;120 MWh only)'!$N$8:$N$12,MATCH(C327,'Usage Groups (&gt;120 MWh only)'!$B$8:$B$12,0),1)/COUNTIF($C$13:$C$1012,C327)),IF(AND(NC_Type="Building Area Method",Inventory!C324="Y"),INDEX(xyNCEx,MATCH(I327,yNCExArea,0),3)/COUNTIF($I$13:$I$1012,I327),VLOOKUP(J327,xyWattage_Table,10,FALSE))),"")</f>
        <v/>
      </c>
      <c r="L327" s="539" t="str">
        <f t="shared" ref="L327:L390" si="127">IFERROR(IF(PRJ_Type="New Construction",J327*K327,IF(G327="","",K327*G327)),"")</f>
        <v/>
      </c>
      <c r="M327" s="540">
        <f>IF(Inventory!N324="","",Inventory!N324)</f>
        <v>0</v>
      </c>
      <c r="N327" s="533" t="str">
        <f t="shared" ref="N327:N390" si="128">IFERROR(VLOOKUP(M327,xyWattage_Table,12,FALSE),"")</f>
        <v/>
      </c>
      <c r="O327" s="534"/>
      <c r="P327" s="533" t="str">
        <f t="shared" ref="P327:P390" si="129">IFERROR(VLOOKUP(M327,xyWattage_Table,10,FALSE),"")</f>
        <v/>
      </c>
      <c r="Q327" s="534" t="str">
        <f>IF(Inventory!L324="","",Inventory!L324)</f>
        <v/>
      </c>
      <c r="R327" s="535" t="str">
        <f t="shared" ref="R327:R390" si="130">IF(P327="","",Q327*P327)</f>
        <v/>
      </c>
      <c r="S327" s="536" t="str">
        <f>IF(Inventory!O324="","",Inventory!O324)</f>
        <v/>
      </c>
      <c r="T327" s="541" t="str">
        <f>IFERROR(IF(C327="","",IF(INDEX(xyWattage_Table,MATCH(M327,'Fixture Identities'!$B$9:$B$997,0),2)="Exit Sign",8760,IF(VLOOKUP(C327,xySpace_Type_Details,8,FALSE)="TRM",INDEX('General Information'!$AF$17:$AG$28,11,MATCH(N327,'General Information'!$AF$16:$AG$16,0)),HLOOKUP(VLOOKUP(C327,xySpace_Type_Details,8,FALSE),'General Information'!$P$15:$AG$28,13,FALSE)))),"")</f>
        <v/>
      </c>
      <c r="U327" s="542" t="str">
        <f>IFERROR(IF(C327="","",IF(INDEX(xyWattage_Table,MATCH(M327,'Fixture Identities'!$B$9:$B$997,0),2)="Exit Sign",1,IF(VLOOKUP(C327,xySpace_Type_Details,8,FALSE)="TRM",INDEX('General Information'!$AF$17:$AG$28,12,MATCH(N327,'General Information'!$AF$16:$AG$16,0)),HLOOKUP(VLOOKUP(C327,xySpace_Type_Details,8,FALSE),'General Information'!$P$15:$AG$28,14,FALSE)))),"")</f>
        <v/>
      </c>
      <c r="V327" s="542" t="str">
        <f>IFERROR(VLOOKUP(INDEX(xySpace_Type_Details,MATCH($C327,'General Information'!$C$40:$C$60,0),12),Lookups!$L$8:$N$12,2,FALSE),"")</f>
        <v/>
      </c>
      <c r="W327" s="542" t="str">
        <f>IFERROR(VLOOKUP(INDEX(xySpace_Type_Details,MATCH($C327,'General Information'!$C$40:$C$60,0),12),Lookups!$L$8:$N$12,3,FALSE),"")</f>
        <v/>
      </c>
      <c r="Y327" s="542" t="str">
        <f>IFERROR(IF(C327="","",IF(INDEX(xyWattage_Table,MATCH(M327,'Fixture Identities'!$B$9:$B$997,0),2)="Exit Sign",0,IF(PRJ_Type="Retrofit",VLOOKUP(I327,xySVG_Factors,2,FALSE),IF(AND(PRJ_Type="New Construction",Inventory!C324="N"),VLOOKUP(VLOOKUP(Building_Type,xyLPD_BuildingArea,5,FALSE),xySVG_Factors_NC,3,FALSE),0)))),"")</f>
        <v/>
      </c>
      <c r="Z327" s="544" t="str">
        <f>IFERROR(IF(C327="","",IF(INDEX(xyWattage_Table,MATCH(M327,'Fixture Identities'!$B$9:$B$997,0),2)="Exit Sign",0,VLOOKUP(S327,xySVG_Factors,2,FALSE))),"")</f>
        <v/>
      </c>
      <c r="AA327" s="545" t="str">
        <f t="shared" ref="AA327:AA390" si="131">IFERROR((L327-R327)/1000,"")</f>
        <v/>
      </c>
      <c r="AB327" s="542" t="str">
        <f t="shared" ref="AB327:AB390" si="132">IFERROR(AA327*U327*(1+W327)*(1-Y327),"")</f>
        <v/>
      </c>
      <c r="AC327" s="539" t="str">
        <f t="shared" ref="AC327:AC390" si="133">IFERROR(AA327*T327*(1+V327)*(1-Y327),"")</f>
        <v/>
      </c>
      <c r="AD327" s="546" t="str">
        <f t="shared" ref="AD327:AD390" si="134">IFERROR(R327/1000*(Z327-Y327)*(1+W327)*U327,"")</f>
        <v/>
      </c>
      <c r="AE327" s="539" t="str">
        <f t="shared" ref="AE327:AE390" si="135">IFERROR(R327/1000*T327*(Z327-Y327)*(1+V327),"")</f>
        <v/>
      </c>
      <c r="AF327" s="546" t="str">
        <f t="shared" ref="AF327:AF390" si="136">IFERROR(AB327+AD327,"")</f>
        <v/>
      </c>
      <c r="AG327" s="539" t="str">
        <f t="shared" ref="AG327:AG390" si="137">IFERROR(AC327+AE327,"")</f>
        <v/>
      </c>
      <c r="AH327" s="32">
        <f t="shared" si="117"/>
        <v>0</v>
      </c>
      <c r="AI327" s="32">
        <f t="shared" si="118"/>
        <v>0</v>
      </c>
      <c r="AJ327" s="32">
        <f t="shared" si="119"/>
        <v>0</v>
      </c>
      <c r="AK327" t="str">
        <f t="shared" si="120"/>
        <v/>
      </c>
      <c r="AL327" t="str">
        <f t="shared" si="121"/>
        <v/>
      </c>
      <c r="AM327" t="str">
        <f t="shared" si="122"/>
        <v/>
      </c>
      <c r="AO327" t="str">
        <f>IFERROR(VLOOKUP(M327,'Fixture Identities'!$B$9:$O$1045,14,FALSE),"")</f>
        <v/>
      </c>
      <c r="AP327" t="str">
        <f t="shared" si="116"/>
        <v/>
      </c>
    </row>
    <row r="328" spans="1:42">
      <c r="A328" s="71">
        <f t="shared" si="124"/>
        <v>0</v>
      </c>
      <c r="B328" s="513">
        <f t="shared" si="123"/>
        <v>316</v>
      </c>
      <c r="C328" s="530" t="str">
        <f>IF(Inventory!E325="","",Inventory!E325)</f>
        <v/>
      </c>
      <c r="D328" s="531">
        <f>IF(Inventory!D325="",0,Inventory!D325)</f>
        <v>0</v>
      </c>
      <c r="E328" s="532" t="str">
        <f>IF(Inventory!I325=0,"",Inventory!I325)</f>
        <v/>
      </c>
      <c r="F328" s="533" t="str">
        <f t="shared" si="125"/>
        <v/>
      </c>
      <c r="G328" s="534" t="str">
        <f>IF(Inventory!G325="","",Inventory!G325)</f>
        <v/>
      </c>
      <c r="H328" s="535" t="str">
        <f t="shared" si="126"/>
        <v/>
      </c>
      <c r="I328" s="536" t="str">
        <f>IF(Inventory!J325="","",Inventory!J325)</f>
        <v/>
      </c>
      <c r="J328" s="537" t="str">
        <f>IFERROR(IF(PRJ_Type="New Construction",IF(Inventory!C325="N",INDEX(xyLPD_BuildingArea,MATCH(Building_Type,Lookups!$F$37:$F$75,0),4),INDEX(xyLPD_SpaceBySpace,MATCH(INDEX(xyNCEx,MATCH(I328,yNCExArea,0),2),ySpace_by_Space_Type,0),2)),VLOOKUP(E328,xyWattage_Table,11,FALSE)),"")</f>
        <v/>
      </c>
      <c r="K328" s="538" t="str">
        <f>IFERROR(IF(AND(NC_Type="Building Area Method",Inventory!C325="N"),IF(ISERROR(INDEX('Usage Groups (&gt;120 MWh only)'!$N$8:$N$12,MATCH(C328,'Usage Groups (&gt;120 MWh only)'!$B$8:$B$12,0),1))=TRUE,SqFt/COUNTIFS(Inventory!$C$10:$C$1009,"N",$Q$13:$Q$1012,"&gt;=0"),INDEX('Usage Groups (&gt;120 MWh only)'!$N$8:$N$12,MATCH(C328,'Usage Groups (&gt;120 MWh only)'!$B$8:$B$12,0),1)/COUNTIF($C$13:$C$1012,C328)),IF(AND(NC_Type="Building Area Method",Inventory!C325="Y"),INDEX(xyNCEx,MATCH(I328,yNCExArea,0),3)/COUNTIF($I$13:$I$1012,I328),VLOOKUP(J328,xyWattage_Table,10,FALSE))),"")</f>
        <v/>
      </c>
      <c r="L328" s="539" t="str">
        <f t="shared" si="127"/>
        <v/>
      </c>
      <c r="M328" s="540">
        <f>IF(Inventory!N325="","",Inventory!N325)</f>
        <v>0</v>
      </c>
      <c r="N328" s="533" t="str">
        <f t="shared" si="128"/>
        <v/>
      </c>
      <c r="O328" s="534"/>
      <c r="P328" s="533" t="str">
        <f t="shared" si="129"/>
        <v/>
      </c>
      <c r="Q328" s="534" t="str">
        <f>IF(Inventory!L325="","",Inventory!L325)</f>
        <v/>
      </c>
      <c r="R328" s="535" t="str">
        <f t="shared" si="130"/>
        <v/>
      </c>
      <c r="S328" s="536" t="str">
        <f>IF(Inventory!O325="","",Inventory!O325)</f>
        <v/>
      </c>
      <c r="T328" s="541" t="str">
        <f>IFERROR(IF(C328="","",IF(INDEX(xyWattage_Table,MATCH(M328,'Fixture Identities'!$B$9:$B$997,0),2)="Exit Sign",8760,IF(VLOOKUP(C328,xySpace_Type_Details,8,FALSE)="TRM",INDEX('General Information'!$AF$17:$AG$28,11,MATCH(N328,'General Information'!$AF$16:$AG$16,0)),HLOOKUP(VLOOKUP(C328,xySpace_Type_Details,8,FALSE),'General Information'!$P$15:$AG$28,13,FALSE)))),"")</f>
        <v/>
      </c>
      <c r="U328" s="542" t="str">
        <f>IFERROR(IF(C328="","",IF(INDEX(xyWattage_Table,MATCH(M328,'Fixture Identities'!$B$9:$B$997,0),2)="Exit Sign",1,IF(VLOOKUP(C328,xySpace_Type_Details,8,FALSE)="TRM",INDEX('General Information'!$AF$17:$AG$28,12,MATCH(N328,'General Information'!$AF$16:$AG$16,0)),HLOOKUP(VLOOKUP(C328,xySpace_Type_Details,8,FALSE),'General Information'!$P$15:$AG$28,14,FALSE)))),"")</f>
        <v/>
      </c>
      <c r="V328" s="542" t="str">
        <f>IFERROR(VLOOKUP(INDEX(xySpace_Type_Details,MATCH($C328,'General Information'!$C$40:$C$60,0),12),Lookups!$L$8:$N$12,2,FALSE),"")</f>
        <v/>
      </c>
      <c r="W328" s="542" t="str">
        <f>IFERROR(VLOOKUP(INDEX(xySpace_Type_Details,MATCH($C328,'General Information'!$C$40:$C$60,0),12),Lookups!$L$8:$N$12,3,FALSE),"")</f>
        <v/>
      </c>
      <c r="Y328" s="542" t="str">
        <f>IFERROR(IF(C328="","",IF(INDEX(xyWattage_Table,MATCH(M328,'Fixture Identities'!$B$9:$B$997,0),2)="Exit Sign",0,IF(PRJ_Type="Retrofit",VLOOKUP(I328,xySVG_Factors,2,FALSE),IF(AND(PRJ_Type="New Construction",Inventory!C325="N"),VLOOKUP(VLOOKUP(Building_Type,xyLPD_BuildingArea,5,FALSE),xySVG_Factors_NC,3,FALSE),0)))),"")</f>
        <v/>
      </c>
      <c r="Z328" s="544" t="str">
        <f>IFERROR(IF(C328="","",IF(INDEX(xyWattage_Table,MATCH(M328,'Fixture Identities'!$B$9:$B$997,0),2)="Exit Sign",0,VLOOKUP(S328,xySVG_Factors,2,FALSE))),"")</f>
        <v/>
      </c>
      <c r="AA328" s="545" t="str">
        <f t="shared" si="131"/>
        <v/>
      </c>
      <c r="AB328" s="542" t="str">
        <f t="shared" si="132"/>
        <v/>
      </c>
      <c r="AC328" s="539" t="str">
        <f t="shared" si="133"/>
        <v/>
      </c>
      <c r="AD328" s="546" t="str">
        <f t="shared" si="134"/>
        <v/>
      </c>
      <c r="AE328" s="539" t="str">
        <f t="shared" si="135"/>
        <v/>
      </c>
      <c r="AF328" s="546" t="str">
        <f t="shared" si="136"/>
        <v/>
      </c>
      <c r="AG328" s="539" t="str">
        <f t="shared" si="137"/>
        <v/>
      </c>
      <c r="AH328" s="32">
        <f t="shared" si="117"/>
        <v>0</v>
      </c>
      <c r="AI328" s="32">
        <f t="shared" si="118"/>
        <v>0</v>
      </c>
      <c r="AJ328" s="32">
        <f t="shared" si="119"/>
        <v>0</v>
      </c>
      <c r="AK328" t="str">
        <f t="shared" si="120"/>
        <v/>
      </c>
      <c r="AL328" t="str">
        <f t="shared" si="121"/>
        <v/>
      </c>
      <c r="AM328" t="str">
        <f t="shared" si="122"/>
        <v/>
      </c>
      <c r="AO328" t="str">
        <f>IFERROR(VLOOKUP(M328,'Fixture Identities'!$B$9:$O$1045,14,FALSE),"")</f>
        <v/>
      </c>
      <c r="AP328" t="str">
        <f t="shared" si="116"/>
        <v/>
      </c>
    </row>
    <row r="329" spans="1:42">
      <c r="A329" s="71">
        <f t="shared" si="124"/>
        <v>0</v>
      </c>
      <c r="B329" s="513">
        <f t="shared" si="123"/>
        <v>317</v>
      </c>
      <c r="C329" s="530" t="str">
        <f>IF(Inventory!E326="","",Inventory!E326)</f>
        <v/>
      </c>
      <c r="D329" s="531">
        <f>IF(Inventory!D326="",0,Inventory!D326)</f>
        <v>0</v>
      </c>
      <c r="E329" s="532" t="str">
        <f>IF(Inventory!I326=0,"",Inventory!I326)</f>
        <v/>
      </c>
      <c r="F329" s="533" t="str">
        <f t="shared" si="125"/>
        <v/>
      </c>
      <c r="G329" s="534" t="str">
        <f>IF(Inventory!G326="","",Inventory!G326)</f>
        <v/>
      </c>
      <c r="H329" s="535" t="str">
        <f t="shared" si="126"/>
        <v/>
      </c>
      <c r="I329" s="536" t="str">
        <f>IF(Inventory!J326="","",Inventory!J326)</f>
        <v/>
      </c>
      <c r="J329" s="537" t="str">
        <f>IFERROR(IF(PRJ_Type="New Construction",IF(Inventory!C326="N",INDEX(xyLPD_BuildingArea,MATCH(Building_Type,Lookups!$F$37:$F$75,0),4),INDEX(xyLPD_SpaceBySpace,MATCH(INDEX(xyNCEx,MATCH(I329,yNCExArea,0),2),ySpace_by_Space_Type,0),2)),VLOOKUP(E329,xyWattage_Table,11,FALSE)),"")</f>
        <v/>
      </c>
      <c r="K329" s="538" t="str">
        <f>IFERROR(IF(AND(NC_Type="Building Area Method",Inventory!C326="N"),IF(ISERROR(INDEX('Usage Groups (&gt;120 MWh only)'!$N$8:$N$12,MATCH(C329,'Usage Groups (&gt;120 MWh only)'!$B$8:$B$12,0),1))=TRUE,SqFt/COUNTIFS(Inventory!$C$10:$C$1009,"N",$Q$13:$Q$1012,"&gt;=0"),INDEX('Usage Groups (&gt;120 MWh only)'!$N$8:$N$12,MATCH(C329,'Usage Groups (&gt;120 MWh only)'!$B$8:$B$12,0),1)/COUNTIF($C$13:$C$1012,C329)),IF(AND(NC_Type="Building Area Method",Inventory!C326="Y"),INDEX(xyNCEx,MATCH(I329,yNCExArea,0),3)/COUNTIF($I$13:$I$1012,I329),VLOOKUP(J329,xyWattage_Table,10,FALSE))),"")</f>
        <v/>
      </c>
      <c r="L329" s="539" t="str">
        <f t="shared" si="127"/>
        <v/>
      </c>
      <c r="M329" s="540">
        <f>IF(Inventory!N326="","",Inventory!N326)</f>
        <v>0</v>
      </c>
      <c r="N329" s="533" t="str">
        <f t="shared" si="128"/>
        <v/>
      </c>
      <c r="O329" s="534"/>
      <c r="P329" s="533" t="str">
        <f t="shared" si="129"/>
        <v/>
      </c>
      <c r="Q329" s="534" t="str">
        <f>IF(Inventory!L326="","",Inventory!L326)</f>
        <v/>
      </c>
      <c r="R329" s="535" t="str">
        <f t="shared" si="130"/>
        <v/>
      </c>
      <c r="S329" s="536" t="str">
        <f>IF(Inventory!O326="","",Inventory!O326)</f>
        <v/>
      </c>
      <c r="T329" s="541" t="str">
        <f>IFERROR(IF(C329="","",IF(INDEX(xyWattage_Table,MATCH(M329,'Fixture Identities'!$B$9:$B$997,0),2)="Exit Sign",8760,IF(VLOOKUP(C329,xySpace_Type_Details,8,FALSE)="TRM",INDEX('General Information'!$AF$17:$AG$28,11,MATCH(N329,'General Information'!$AF$16:$AG$16,0)),HLOOKUP(VLOOKUP(C329,xySpace_Type_Details,8,FALSE),'General Information'!$P$15:$AG$28,13,FALSE)))),"")</f>
        <v/>
      </c>
      <c r="U329" s="542" t="str">
        <f>IFERROR(IF(C329="","",IF(INDEX(xyWattage_Table,MATCH(M329,'Fixture Identities'!$B$9:$B$997,0),2)="Exit Sign",1,IF(VLOOKUP(C329,xySpace_Type_Details,8,FALSE)="TRM",INDEX('General Information'!$AF$17:$AG$28,12,MATCH(N329,'General Information'!$AF$16:$AG$16,0)),HLOOKUP(VLOOKUP(C329,xySpace_Type_Details,8,FALSE),'General Information'!$P$15:$AG$28,14,FALSE)))),"")</f>
        <v/>
      </c>
      <c r="V329" s="542" t="str">
        <f>IFERROR(VLOOKUP(INDEX(xySpace_Type_Details,MATCH($C329,'General Information'!$C$40:$C$60,0),12),Lookups!$L$8:$N$12,2,FALSE),"")</f>
        <v/>
      </c>
      <c r="W329" s="542" t="str">
        <f>IFERROR(VLOOKUP(INDEX(xySpace_Type_Details,MATCH($C329,'General Information'!$C$40:$C$60,0),12),Lookups!$L$8:$N$12,3,FALSE),"")</f>
        <v/>
      </c>
      <c r="Y329" s="542" t="str">
        <f>IFERROR(IF(C329="","",IF(INDEX(xyWattage_Table,MATCH(M329,'Fixture Identities'!$B$9:$B$997,0),2)="Exit Sign",0,IF(PRJ_Type="Retrofit",VLOOKUP(I329,xySVG_Factors,2,FALSE),IF(AND(PRJ_Type="New Construction",Inventory!C326="N"),VLOOKUP(VLOOKUP(Building_Type,xyLPD_BuildingArea,5,FALSE),xySVG_Factors_NC,3,FALSE),0)))),"")</f>
        <v/>
      </c>
      <c r="Z329" s="544" t="str">
        <f>IFERROR(IF(C329="","",IF(INDEX(xyWattage_Table,MATCH(M329,'Fixture Identities'!$B$9:$B$997,0),2)="Exit Sign",0,VLOOKUP(S329,xySVG_Factors,2,FALSE))),"")</f>
        <v/>
      </c>
      <c r="AA329" s="545" t="str">
        <f t="shared" si="131"/>
        <v/>
      </c>
      <c r="AB329" s="542" t="str">
        <f t="shared" si="132"/>
        <v/>
      </c>
      <c r="AC329" s="539" t="str">
        <f t="shared" si="133"/>
        <v/>
      </c>
      <c r="AD329" s="546" t="str">
        <f t="shared" si="134"/>
        <v/>
      </c>
      <c r="AE329" s="539" t="str">
        <f t="shared" si="135"/>
        <v/>
      </c>
      <c r="AF329" s="546" t="str">
        <f t="shared" si="136"/>
        <v/>
      </c>
      <c r="AG329" s="539" t="str">
        <f t="shared" si="137"/>
        <v/>
      </c>
      <c r="AH329" s="32">
        <f t="shared" si="117"/>
        <v>0</v>
      </c>
      <c r="AI329" s="32">
        <f t="shared" si="118"/>
        <v>0</v>
      </c>
      <c r="AJ329" s="32">
        <f t="shared" si="119"/>
        <v>0</v>
      </c>
      <c r="AK329" t="str">
        <f t="shared" si="120"/>
        <v/>
      </c>
      <c r="AL329" t="str">
        <f t="shared" si="121"/>
        <v/>
      </c>
      <c r="AM329" t="str">
        <f t="shared" si="122"/>
        <v/>
      </c>
      <c r="AO329" t="str">
        <f>IFERROR(VLOOKUP(M329,'Fixture Identities'!$B$9:$O$1045,14,FALSE),"")</f>
        <v/>
      </c>
      <c r="AP329" t="str">
        <f t="shared" si="116"/>
        <v/>
      </c>
    </row>
    <row r="330" spans="1:42">
      <c r="A330" s="71">
        <f t="shared" si="124"/>
        <v>0</v>
      </c>
      <c r="B330" s="513">
        <f t="shared" si="123"/>
        <v>318</v>
      </c>
      <c r="C330" s="530" t="str">
        <f>IF(Inventory!E327="","",Inventory!E327)</f>
        <v/>
      </c>
      <c r="D330" s="531">
        <f>IF(Inventory!D327="",0,Inventory!D327)</f>
        <v>0</v>
      </c>
      <c r="E330" s="532" t="str">
        <f>IF(Inventory!I327=0,"",Inventory!I327)</f>
        <v/>
      </c>
      <c r="F330" s="533" t="str">
        <f t="shared" si="125"/>
        <v/>
      </c>
      <c r="G330" s="534" t="str">
        <f>IF(Inventory!G327="","",Inventory!G327)</f>
        <v/>
      </c>
      <c r="H330" s="535" t="str">
        <f t="shared" si="126"/>
        <v/>
      </c>
      <c r="I330" s="536" t="str">
        <f>IF(Inventory!J327="","",Inventory!J327)</f>
        <v/>
      </c>
      <c r="J330" s="537" t="str">
        <f>IFERROR(IF(PRJ_Type="New Construction",IF(Inventory!C327="N",INDEX(xyLPD_BuildingArea,MATCH(Building_Type,Lookups!$F$37:$F$75,0),4),INDEX(xyLPD_SpaceBySpace,MATCH(INDEX(xyNCEx,MATCH(I330,yNCExArea,0),2),ySpace_by_Space_Type,0),2)),VLOOKUP(E330,xyWattage_Table,11,FALSE)),"")</f>
        <v/>
      </c>
      <c r="K330" s="538" t="str">
        <f>IFERROR(IF(AND(NC_Type="Building Area Method",Inventory!C327="N"),IF(ISERROR(INDEX('Usage Groups (&gt;120 MWh only)'!$N$8:$N$12,MATCH(C330,'Usage Groups (&gt;120 MWh only)'!$B$8:$B$12,0),1))=TRUE,SqFt/COUNTIFS(Inventory!$C$10:$C$1009,"N",$Q$13:$Q$1012,"&gt;=0"),INDEX('Usage Groups (&gt;120 MWh only)'!$N$8:$N$12,MATCH(C330,'Usage Groups (&gt;120 MWh only)'!$B$8:$B$12,0),1)/COUNTIF($C$13:$C$1012,C330)),IF(AND(NC_Type="Building Area Method",Inventory!C327="Y"),INDEX(xyNCEx,MATCH(I330,yNCExArea,0),3)/COUNTIF($I$13:$I$1012,I330),VLOOKUP(J330,xyWattage_Table,10,FALSE))),"")</f>
        <v/>
      </c>
      <c r="L330" s="539" t="str">
        <f t="shared" si="127"/>
        <v/>
      </c>
      <c r="M330" s="540">
        <f>IF(Inventory!N327="","",Inventory!N327)</f>
        <v>0</v>
      </c>
      <c r="N330" s="533" t="str">
        <f t="shared" si="128"/>
        <v/>
      </c>
      <c r="O330" s="534"/>
      <c r="P330" s="533" t="str">
        <f t="shared" si="129"/>
        <v/>
      </c>
      <c r="Q330" s="534" t="str">
        <f>IF(Inventory!L327="","",Inventory!L327)</f>
        <v/>
      </c>
      <c r="R330" s="535" t="str">
        <f t="shared" si="130"/>
        <v/>
      </c>
      <c r="S330" s="536" t="str">
        <f>IF(Inventory!O327="","",Inventory!O327)</f>
        <v/>
      </c>
      <c r="T330" s="541" t="str">
        <f>IFERROR(IF(C330="","",IF(INDEX(xyWattage_Table,MATCH(M330,'Fixture Identities'!$B$9:$B$997,0),2)="Exit Sign",8760,IF(VLOOKUP(C330,xySpace_Type_Details,8,FALSE)="TRM",INDEX('General Information'!$AF$17:$AG$28,11,MATCH(N330,'General Information'!$AF$16:$AG$16,0)),HLOOKUP(VLOOKUP(C330,xySpace_Type_Details,8,FALSE),'General Information'!$P$15:$AG$28,13,FALSE)))),"")</f>
        <v/>
      </c>
      <c r="U330" s="542" t="str">
        <f>IFERROR(IF(C330="","",IF(INDEX(xyWattage_Table,MATCH(M330,'Fixture Identities'!$B$9:$B$997,0),2)="Exit Sign",1,IF(VLOOKUP(C330,xySpace_Type_Details,8,FALSE)="TRM",INDEX('General Information'!$AF$17:$AG$28,12,MATCH(N330,'General Information'!$AF$16:$AG$16,0)),HLOOKUP(VLOOKUP(C330,xySpace_Type_Details,8,FALSE),'General Information'!$P$15:$AG$28,14,FALSE)))),"")</f>
        <v/>
      </c>
      <c r="V330" s="542" t="str">
        <f>IFERROR(VLOOKUP(INDEX(xySpace_Type_Details,MATCH($C330,'General Information'!$C$40:$C$60,0),12),Lookups!$L$8:$N$12,2,FALSE),"")</f>
        <v/>
      </c>
      <c r="W330" s="542" t="str">
        <f>IFERROR(VLOOKUP(INDEX(xySpace_Type_Details,MATCH($C330,'General Information'!$C$40:$C$60,0),12),Lookups!$L$8:$N$12,3,FALSE),"")</f>
        <v/>
      </c>
      <c r="Y330" s="542" t="str">
        <f>IFERROR(IF(C330="","",IF(INDEX(xyWattage_Table,MATCH(M330,'Fixture Identities'!$B$9:$B$997,0),2)="Exit Sign",0,IF(PRJ_Type="Retrofit",VLOOKUP(I330,xySVG_Factors,2,FALSE),IF(AND(PRJ_Type="New Construction",Inventory!C327="N"),VLOOKUP(VLOOKUP(Building_Type,xyLPD_BuildingArea,5,FALSE),xySVG_Factors_NC,3,FALSE),0)))),"")</f>
        <v/>
      </c>
      <c r="Z330" s="544" t="str">
        <f>IFERROR(IF(C330="","",IF(INDEX(xyWattage_Table,MATCH(M330,'Fixture Identities'!$B$9:$B$997,0),2)="Exit Sign",0,VLOOKUP(S330,xySVG_Factors,2,FALSE))),"")</f>
        <v/>
      </c>
      <c r="AA330" s="545" t="str">
        <f t="shared" si="131"/>
        <v/>
      </c>
      <c r="AB330" s="542" t="str">
        <f t="shared" si="132"/>
        <v/>
      </c>
      <c r="AC330" s="539" t="str">
        <f t="shared" si="133"/>
        <v/>
      </c>
      <c r="AD330" s="546" t="str">
        <f t="shared" si="134"/>
        <v/>
      </c>
      <c r="AE330" s="539" t="str">
        <f t="shared" si="135"/>
        <v/>
      </c>
      <c r="AF330" s="546" t="str">
        <f t="shared" si="136"/>
        <v/>
      </c>
      <c r="AG330" s="539" t="str">
        <f t="shared" si="137"/>
        <v/>
      </c>
      <c r="AH330" s="32">
        <f t="shared" si="117"/>
        <v>0</v>
      </c>
      <c r="AI330" s="32">
        <f t="shared" si="118"/>
        <v>0</v>
      </c>
      <c r="AJ330" s="32">
        <f t="shared" si="119"/>
        <v>0</v>
      </c>
      <c r="AK330" t="str">
        <f t="shared" si="120"/>
        <v/>
      </c>
      <c r="AL330" t="str">
        <f t="shared" si="121"/>
        <v/>
      </c>
      <c r="AM330" t="str">
        <f t="shared" si="122"/>
        <v/>
      </c>
      <c r="AO330" t="str">
        <f>IFERROR(VLOOKUP(M330,'Fixture Identities'!$B$9:$O$1045,14,FALSE),"")</f>
        <v/>
      </c>
      <c r="AP330" t="str">
        <f t="shared" si="116"/>
        <v/>
      </c>
    </row>
    <row r="331" spans="1:42">
      <c r="A331" s="71">
        <f t="shared" si="124"/>
        <v>0</v>
      </c>
      <c r="B331" s="513">
        <f t="shared" si="123"/>
        <v>319</v>
      </c>
      <c r="C331" s="530" t="str">
        <f>IF(Inventory!E328="","",Inventory!E328)</f>
        <v/>
      </c>
      <c r="D331" s="531">
        <f>IF(Inventory!D328="",0,Inventory!D328)</f>
        <v>0</v>
      </c>
      <c r="E331" s="532" t="str">
        <f>IF(Inventory!I328=0,"",Inventory!I328)</f>
        <v/>
      </c>
      <c r="F331" s="533" t="str">
        <f t="shared" si="125"/>
        <v/>
      </c>
      <c r="G331" s="534" t="str">
        <f>IF(Inventory!G328="","",Inventory!G328)</f>
        <v/>
      </c>
      <c r="H331" s="535" t="str">
        <f t="shared" si="126"/>
        <v/>
      </c>
      <c r="I331" s="536" t="str">
        <f>IF(Inventory!J328="","",Inventory!J328)</f>
        <v/>
      </c>
      <c r="J331" s="537" t="str">
        <f>IFERROR(IF(PRJ_Type="New Construction",IF(Inventory!C328="N",INDEX(xyLPD_BuildingArea,MATCH(Building_Type,Lookups!$F$37:$F$75,0),4),INDEX(xyLPD_SpaceBySpace,MATCH(INDEX(xyNCEx,MATCH(I331,yNCExArea,0),2),ySpace_by_Space_Type,0),2)),VLOOKUP(E331,xyWattage_Table,11,FALSE)),"")</f>
        <v/>
      </c>
      <c r="K331" s="538" t="str">
        <f>IFERROR(IF(AND(NC_Type="Building Area Method",Inventory!C328="N"),IF(ISERROR(INDEX('Usage Groups (&gt;120 MWh only)'!$N$8:$N$12,MATCH(C331,'Usage Groups (&gt;120 MWh only)'!$B$8:$B$12,0),1))=TRUE,SqFt/COUNTIFS(Inventory!$C$10:$C$1009,"N",$Q$13:$Q$1012,"&gt;=0"),INDEX('Usage Groups (&gt;120 MWh only)'!$N$8:$N$12,MATCH(C331,'Usage Groups (&gt;120 MWh only)'!$B$8:$B$12,0),1)/COUNTIF($C$13:$C$1012,C331)),IF(AND(NC_Type="Building Area Method",Inventory!C328="Y"),INDEX(xyNCEx,MATCH(I331,yNCExArea,0),3)/COUNTIF($I$13:$I$1012,I331),VLOOKUP(J331,xyWattage_Table,10,FALSE))),"")</f>
        <v/>
      </c>
      <c r="L331" s="539" t="str">
        <f t="shared" si="127"/>
        <v/>
      </c>
      <c r="M331" s="540">
        <f>IF(Inventory!N328="","",Inventory!N328)</f>
        <v>0</v>
      </c>
      <c r="N331" s="533" t="str">
        <f t="shared" si="128"/>
        <v/>
      </c>
      <c r="O331" s="534"/>
      <c r="P331" s="533" t="str">
        <f t="shared" si="129"/>
        <v/>
      </c>
      <c r="Q331" s="534" t="str">
        <f>IF(Inventory!L328="","",Inventory!L328)</f>
        <v/>
      </c>
      <c r="R331" s="535" t="str">
        <f t="shared" si="130"/>
        <v/>
      </c>
      <c r="S331" s="536" t="str">
        <f>IF(Inventory!O328="","",Inventory!O328)</f>
        <v/>
      </c>
      <c r="T331" s="541" t="str">
        <f>IFERROR(IF(C331="","",IF(INDEX(xyWattage_Table,MATCH(M331,'Fixture Identities'!$B$9:$B$997,0),2)="Exit Sign",8760,IF(VLOOKUP(C331,xySpace_Type_Details,8,FALSE)="TRM",INDEX('General Information'!$AF$17:$AG$28,11,MATCH(N331,'General Information'!$AF$16:$AG$16,0)),HLOOKUP(VLOOKUP(C331,xySpace_Type_Details,8,FALSE),'General Information'!$P$15:$AG$28,13,FALSE)))),"")</f>
        <v/>
      </c>
      <c r="U331" s="542" t="str">
        <f>IFERROR(IF(C331="","",IF(INDEX(xyWattage_Table,MATCH(M331,'Fixture Identities'!$B$9:$B$997,0),2)="Exit Sign",1,IF(VLOOKUP(C331,xySpace_Type_Details,8,FALSE)="TRM",INDEX('General Information'!$AF$17:$AG$28,12,MATCH(N331,'General Information'!$AF$16:$AG$16,0)),HLOOKUP(VLOOKUP(C331,xySpace_Type_Details,8,FALSE),'General Information'!$P$15:$AG$28,14,FALSE)))),"")</f>
        <v/>
      </c>
      <c r="V331" s="542" t="str">
        <f>IFERROR(VLOOKUP(INDEX(xySpace_Type_Details,MATCH($C331,'General Information'!$C$40:$C$60,0),12),Lookups!$L$8:$N$12,2,FALSE),"")</f>
        <v/>
      </c>
      <c r="W331" s="542" t="str">
        <f>IFERROR(VLOOKUP(INDEX(xySpace_Type_Details,MATCH($C331,'General Information'!$C$40:$C$60,0),12),Lookups!$L$8:$N$12,3,FALSE),"")</f>
        <v/>
      </c>
      <c r="Y331" s="542" t="str">
        <f>IFERROR(IF(C331="","",IF(INDEX(xyWattage_Table,MATCH(M331,'Fixture Identities'!$B$9:$B$997,0),2)="Exit Sign",0,IF(PRJ_Type="Retrofit",VLOOKUP(I331,xySVG_Factors,2,FALSE),IF(AND(PRJ_Type="New Construction",Inventory!C328="N"),VLOOKUP(VLOOKUP(Building_Type,xyLPD_BuildingArea,5,FALSE),xySVG_Factors_NC,3,FALSE),0)))),"")</f>
        <v/>
      </c>
      <c r="Z331" s="544" t="str">
        <f>IFERROR(IF(C331="","",IF(INDEX(xyWattage_Table,MATCH(M331,'Fixture Identities'!$B$9:$B$997,0),2)="Exit Sign",0,VLOOKUP(S331,xySVG_Factors,2,FALSE))),"")</f>
        <v/>
      </c>
      <c r="AA331" s="545" t="str">
        <f t="shared" si="131"/>
        <v/>
      </c>
      <c r="AB331" s="542" t="str">
        <f t="shared" si="132"/>
        <v/>
      </c>
      <c r="AC331" s="539" t="str">
        <f t="shared" si="133"/>
        <v/>
      </c>
      <c r="AD331" s="546" t="str">
        <f t="shared" si="134"/>
        <v/>
      </c>
      <c r="AE331" s="539" t="str">
        <f t="shared" si="135"/>
        <v/>
      </c>
      <c r="AF331" s="546" t="str">
        <f t="shared" si="136"/>
        <v/>
      </c>
      <c r="AG331" s="539" t="str">
        <f t="shared" si="137"/>
        <v/>
      </c>
      <c r="AH331" s="32">
        <f t="shared" si="117"/>
        <v>0</v>
      </c>
      <c r="AI331" s="32">
        <f t="shared" si="118"/>
        <v>0</v>
      </c>
      <c r="AJ331" s="32">
        <f t="shared" si="119"/>
        <v>0</v>
      </c>
      <c r="AK331" t="str">
        <f t="shared" si="120"/>
        <v/>
      </c>
      <c r="AL331" t="str">
        <f t="shared" si="121"/>
        <v/>
      </c>
      <c r="AM331" t="str">
        <f t="shared" si="122"/>
        <v/>
      </c>
      <c r="AO331" t="str">
        <f>IFERROR(VLOOKUP(M331,'Fixture Identities'!$B$9:$O$1045,14,FALSE),"")</f>
        <v/>
      </c>
      <c r="AP331" t="str">
        <f t="shared" si="116"/>
        <v/>
      </c>
    </row>
    <row r="332" spans="1:42">
      <c r="A332" s="71">
        <f t="shared" si="124"/>
        <v>0</v>
      </c>
      <c r="B332" s="513">
        <f t="shared" si="123"/>
        <v>320</v>
      </c>
      <c r="C332" s="530" t="str">
        <f>IF(Inventory!E329="","",Inventory!E329)</f>
        <v/>
      </c>
      <c r="D332" s="531">
        <f>IF(Inventory!D329="",0,Inventory!D329)</f>
        <v>0</v>
      </c>
      <c r="E332" s="532" t="str">
        <f>IF(Inventory!I329=0,"",Inventory!I329)</f>
        <v/>
      </c>
      <c r="F332" s="533" t="str">
        <f t="shared" si="125"/>
        <v/>
      </c>
      <c r="G332" s="534" t="str">
        <f>IF(Inventory!G329="","",Inventory!G329)</f>
        <v/>
      </c>
      <c r="H332" s="535" t="str">
        <f t="shared" si="126"/>
        <v/>
      </c>
      <c r="I332" s="536" t="str">
        <f>IF(Inventory!J329="","",Inventory!J329)</f>
        <v/>
      </c>
      <c r="J332" s="537" t="str">
        <f>IFERROR(IF(PRJ_Type="New Construction",IF(Inventory!C329="N",INDEX(xyLPD_BuildingArea,MATCH(Building_Type,Lookups!$F$37:$F$75,0),4),INDEX(xyLPD_SpaceBySpace,MATCH(INDEX(xyNCEx,MATCH(I332,yNCExArea,0),2),ySpace_by_Space_Type,0),2)),VLOOKUP(E332,xyWattage_Table,11,FALSE)),"")</f>
        <v/>
      </c>
      <c r="K332" s="538" t="str">
        <f>IFERROR(IF(AND(NC_Type="Building Area Method",Inventory!C329="N"),IF(ISERROR(INDEX('Usage Groups (&gt;120 MWh only)'!$N$8:$N$12,MATCH(C332,'Usage Groups (&gt;120 MWh only)'!$B$8:$B$12,0),1))=TRUE,SqFt/COUNTIFS(Inventory!$C$10:$C$1009,"N",$Q$13:$Q$1012,"&gt;=0"),INDEX('Usage Groups (&gt;120 MWh only)'!$N$8:$N$12,MATCH(C332,'Usage Groups (&gt;120 MWh only)'!$B$8:$B$12,0),1)/COUNTIF($C$13:$C$1012,C332)),IF(AND(NC_Type="Building Area Method",Inventory!C329="Y"),INDEX(xyNCEx,MATCH(I332,yNCExArea,0),3)/COUNTIF($I$13:$I$1012,I332),VLOOKUP(J332,xyWattage_Table,10,FALSE))),"")</f>
        <v/>
      </c>
      <c r="L332" s="539" t="str">
        <f t="shared" si="127"/>
        <v/>
      </c>
      <c r="M332" s="540">
        <f>IF(Inventory!N329="","",Inventory!N329)</f>
        <v>0</v>
      </c>
      <c r="N332" s="533" t="str">
        <f t="shared" si="128"/>
        <v/>
      </c>
      <c r="O332" s="534"/>
      <c r="P332" s="533" t="str">
        <f t="shared" si="129"/>
        <v/>
      </c>
      <c r="Q332" s="534" t="str">
        <f>IF(Inventory!L329="","",Inventory!L329)</f>
        <v/>
      </c>
      <c r="R332" s="535" t="str">
        <f t="shared" si="130"/>
        <v/>
      </c>
      <c r="S332" s="536" t="str">
        <f>IF(Inventory!O329="","",Inventory!O329)</f>
        <v/>
      </c>
      <c r="T332" s="541" t="str">
        <f>IFERROR(IF(C332="","",IF(INDEX(xyWattage_Table,MATCH(M332,'Fixture Identities'!$B$9:$B$997,0),2)="Exit Sign",8760,IF(VLOOKUP(C332,xySpace_Type_Details,8,FALSE)="TRM",INDEX('General Information'!$AF$17:$AG$28,11,MATCH(N332,'General Information'!$AF$16:$AG$16,0)),HLOOKUP(VLOOKUP(C332,xySpace_Type_Details,8,FALSE),'General Information'!$P$15:$AG$28,13,FALSE)))),"")</f>
        <v/>
      </c>
      <c r="U332" s="542" t="str">
        <f>IFERROR(IF(C332="","",IF(INDEX(xyWattage_Table,MATCH(M332,'Fixture Identities'!$B$9:$B$997,0),2)="Exit Sign",1,IF(VLOOKUP(C332,xySpace_Type_Details,8,FALSE)="TRM",INDEX('General Information'!$AF$17:$AG$28,12,MATCH(N332,'General Information'!$AF$16:$AG$16,0)),HLOOKUP(VLOOKUP(C332,xySpace_Type_Details,8,FALSE),'General Information'!$P$15:$AG$28,14,FALSE)))),"")</f>
        <v/>
      </c>
      <c r="V332" s="542" t="str">
        <f>IFERROR(VLOOKUP(INDEX(xySpace_Type_Details,MATCH($C332,'General Information'!$C$40:$C$60,0),12),Lookups!$L$8:$N$12,2,FALSE),"")</f>
        <v/>
      </c>
      <c r="W332" s="542" t="str">
        <f>IFERROR(VLOOKUP(INDEX(xySpace_Type_Details,MATCH($C332,'General Information'!$C$40:$C$60,0),12),Lookups!$L$8:$N$12,3,FALSE),"")</f>
        <v/>
      </c>
      <c r="Y332" s="542" t="str">
        <f>IFERROR(IF(C332="","",IF(INDEX(xyWattage_Table,MATCH(M332,'Fixture Identities'!$B$9:$B$997,0),2)="Exit Sign",0,IF(PRJ_Type="Retrofit",VLOOKUP(I332,xySVG_Factors,2,FALSE),IF(AND(PRJ_Type="New Construction",Inventory!C329="N"),VLOOKUP(VLOOKUP(Building_Type,xyLPD_BuildingArea,5,FALSE),xySVG_Factors_NC,3,FALSE),0)))),"")</f>
        <v/>
      </c>
      <c r="Z332" s="544" t="str">
        <f>IFERROR(IF(C332="","",IF(INDEX(xyWattage_Table,MATCH(M332,'Fixture Identities'!$B$9:$B$997,0),2)="Exit Sign",0,VLOOKUP(S332,xySVG_Factors,2,FALSE))),"")</f>
        <v/>
      </c>
      <c r="AA332" s="545" t="str">
        <f t="shared" si="131"/>
        <v/>
      </c>
      <c r="AB332" s="542" t="str">
        <f t="shared" si="132"/>
        <v/>
      </c>
      <c r="AC332" s="539" t="str">
        <f t="shared" si="133"/>
        <v/>
      </c>
      <c r="AD332" s="546" t="str">
        <f t="shared" si="134"/>
        <v/>
      </c>
      <c r="AE332" s="539" t="str">
        <f t="shared" si="135"/>
        <v/>
      </c>
      <c r="AF332" s="546" t="str">
        <f t="shared" si="136"/>
        <v/>
      </c>
      <c r="AG332" s="539" t="str">
        <f t="shared" si="137"/>
        <v/>
      </c>
      <c r="AH332" s="32">
        <f t="shared" si="117"/>
        <v>0</v>
      </c>
      <c r="AI332" s="32">
        <f t="shared" si="118"/>
        <v>0</v>
      </c>
      <c r="AJ332" s="32">
        <f t="shared" si="119"/>
        <v>0</v>
      </c>
      <c r="AK332" t="str">
        <f t="shared" si="120"/>
        <v/>
      </c>
      <c r="AL332" t="str">
        <f t="shared" si="121"/>
        <v/>
      </c>
      <c r="AM332" t="str">
        <f t="shared" si="122"/>
        <v/>
      </c>
      <c r="AO332" t="str">
        <f>IFERROR(VLOOKUP(M332,'Fixture Identities'!$B$9:$O$1045,14,FALSE),"")</f>
        <v/>
      </c>
      <c r="AP332" t="str">
        <f t="shared" si="116"/>
        <v/>
      </c>
    </row>
    <row r="333" spans="1:42">
      <c r="A333" s="71">
        <f t="shared" si="124"/>
        <v>0</v>
      </c>
      <c r="B333" s="513">
        <f t="shared" si="123"/>
        <v>321</v>
      </c>
      <c r="C333" s="530" t="str">
        <f>IF(Inventory!E330="","",Inventory!E330)</f>
        <v/>
      </c>
      <c r="D333" s="531">
        <f>IF(Inventory!D330="",0,Inventory!D330)</f>
        <v>0</v>
      </c>
      <c r="E333" s="532" t="str">
        <f>IF(Inventory!I330=0,"",Inventory!I330)</f>
        <v/>
      </c>
      <c r="F333" s="533" t="str">
        <f t="shared" si="125"/>
        <v/>
      </c>
      <c r="G333" s="534" t="str">
        <f>IF(Inventory!G330="","",Inventory!G330)</f>
        <v/>
      </c>
      <c r="H333" s="535" t="str">
        <f t="shared" si="126"/>
        <v/>
      </c>
      <c r="I333" s="536" t="str">
        <f>IF(Inventory!J330="","",Inventory!J330)</f>
        <v/>
      </c>
      <c r="J333" s="537" t="str">
        <f>IFERROR(IF(PRJ_Type="New Construction",IF(Inventory!C330="N",INDEX(xyLPD_BuildingArea,MATCH(Building_Type,Lookups!$F$37:$F$75,0),4),INDEX(xyLPD_SpaceBySpace,MATCH(INDEX(xyNCEx,MATCH(I333,yNCExArea,0),2),ySpace_by_Space_Type,0),2)),VLOOKUP(E333,xyWattage_Table,11,FALSE)),"")</f>
        <v/>
      </c>
      <c r="K333" s="538" t="str">
        <f>IFERROR(IF(AND(NC_Type="Building Area Method",Inventory!C330="N"),IF(ISERROR(INDEX('Usage Groups (&gt;120 MWh only)'!$N$8:$N$12,MATCH(C333,'Usage Groups (&gt;120 MWh only)'!$B$8:$B$12,0),1))=TRUE,SqFt/COUNTIFS(Inventory!$C$10:$C$1009,"N",$Q$13:$Q$1012,"&gt;=0"),INDEX('Usage Groups (&gt;120 MWh only)'!$N$8:$N$12,MATCH(C333,'Usage Groups (&gt;120 MWh only)'!$B$8:$B$12,0),1)/COUNTIF($C$13:$C$1012,C333)),IF(AND(NC_Type="Building Area Method",Inventory!C330="Y"),INDEX(xyNCEx,MATCH(I333,yNCExArea,0),3)/COUNTIF($I$13:$I$1012,I333),VLOOKUP(J333,xyWattage_Table,10,FALSE))),"")</f>
        <v/>
      </c>
      <c r="L333" s="539" t="str">
        <f t="shared" si="127"/>
        <v/>
      </c>
      <c r="M333" s="540">
        <f>IF(Inventory!N330="","",Inventory!N330)</f>
        <v>0</v>
      </c>
      <c r="N333" s="533" t="str">
        <f t="shared" si="128"/>
        <v/>
      </c>
      <c r="O333" s="534"/>
      <c r="P333" s="533" t="str">
        <f t="shared" si="129"/>
        <v/>
      </c>
      <c r="Q333" s="534" t="str">
        <f>IF(Inventory!L330="","",Inventory!L330)</f>
        <v/>
      </c>
      <c r="R333" s="535" t="str">
        <f t="shared" si="130"/>
        <v/>
      </c>
      <c r="S333" s="536" t="str">
        <f>IF(Inventory!O330="","",Inventory!O330)</f>
        <v/>
      </c>
      <c r="T333" s="541" t="str">
        <f>IFERROR(IF(C333="","",IF(INDEX(xyWattage_Table,MATCH(M333,'Fixture Identities'!$B$9:$B$997,0),2)="Exit Sign",8760,IF(VLOOKUP(C333,xySpace_Type_Details,8,FALSE)="TRM",INDEX('General Information'!$AF$17:$AG$28,11,MATCH(N333,'General Information'!$AF$16:$AG$16,0)),HLOOKUP(VLOOKUP(C333,xySpace_Type_Details,8,FALSE),'General Information'!$P$15:$AG$28,13,FALSE)))),"")</f>
        <v/>
      </c>
      <c r="U333" s="542" t="str">
        <f>IFERROR(IF(C333="","",IF(INDEX(xyWattage_Table,MATCH(M333,'Fixture Identities'!$B$9:$B$997,0),2)="Exit Sign",1,IF(VLOOKUP(C333,xySpace_Type_Details,8,FALSE)="TRM",INDEX('General Information'!$AF$17:$AG$28,12,MATCH(N333,'General Information'!$AF$16:$AG$16,0)),HLOOKUP(VLOOKUP(C333,xySpace_Type_Details,8,FALSE),'General Information'!$P$15:$AG$28,14,FALSE)))),"")</f>
        <v/>
      </c>
      <c r="V333" s="542" t="str">
        <f>IFERROR(VLOOKUP(INDEX(xySpace_Type_Details,MATCH($C333,'General Information'!$C$40:$C$60,0),12),Lookups!$L$8:$N$12,2,FALSE),"")</f>
        <v/>
      </c>
      <c r="W333" s="542" t="str">
        <f>IFERROR(VLOOKUP(INDEX(xySpace_Type_Details,MATCH($C333,'General Information'!$C$40:$C$60,0),12),Lookups!$L$8:$N$12,3,FALSE),"")</f>
        <v/>
      </c>
      <c r="Y333" s="542" t="str">
        <f>IFERROR(IF(C333="","",IF(INDEX(xyWattage_Table,MATCH(M333,'Fixture Identities'!$B$9:$B$997,0),2)="Exit Sign",0,IF(PRJ_Type="Retrofit",VLOOKUP(I333,xySVG_Factors,2,FALSE),IF(AND(PRJ_Type="New Construction",Inventory!C330="N"),VLOOKUP(VLOOKUP(Building_Type,xyLPD_BuildingArea,5,FALSE),xySVG_Factors_NC,3,FALSE),0)))),"")</f>
        <v/>
      </c>
      <c r="Z333" s="544" t="str">
        <f>IFERROR(IF(C333="","",IF(INDEX(xyWattage_Table,MATCH(M333,'Fixture Identities'!$B$9:$B$997,0),2)="Exit Sign",0,VLOOKUP(S333,xySVG_Factors,2,FALSE))),"")</f>
        <v/>
      </c>
      <c r="AA333" s="545" t="str">
        <f t="shared" si="131"/>
        <v/>
      </c>
      <c r="AB333" s="542" t="str">
        <f t="shared" si="132"/>
        <v/>
      </c>
      <c r="AC333" s="539" t="str">
        <f t="shared" si="133"/>
        <v/>
      </c>
      <c r="AD333" s="546" t="str">
        <f t="shared" si="134"/>
        <v/>
      </c>
      <c r="AE333" s="539" t="str">
        <f t="shared" si="135"/>
        <v/>
      </c>
      <c r="AF333" s="546" t="str">
        <f t="shared" si="136"/>
        <v/>
      </c>
      <c r="AG333" s="539" t="str">
        <f t="shared" si="137"/>
        <v/>
      </c>
      <c r="AH333" s="32">
        <f t="shared" si="117"/>
        <v>0</v>
      </c>
      <c r="AI333" s="32">
        <f t="shared" si="118"/>
        <v>0</v>
      </c>
      <c r="AJ333" s="32">
        <f t="shared" si="119"/>
        <v>0</v>
      </c>
      <c r="AK333" t="str">
        <f t="shared" si="120"/>
        <v/>
      </c>
      <c r="AL333" t="str">
        <f t="shared" si="121"/>
        <v/>
      </c>
      <c r="AM333" t="str">
        <f t="shared" si="122"/>
        <v/>
      </c>
      <c r="AO333" t="str">
        <f>IFERROR(VLOOKUP(M333,'Fixture Identities'!$B$9:$O$1045,14,FALSE),"")</f>
        <v/>
      </c>
      <c r="AP333" t="str">
        <f t="shared" ref="AP333:AP396" si="138">IF(M334="Signage",G334,"")</f>
        <v/>
      </c>
    </row>
    <row r="334" spans="1:42">
      <c r="A334" s="71">
        <f t="shared" si="124"/>
        <v>0</v>
      </c>
      <c r="B334" s="513">
        <f t="shared" si="123"/>
        <v>322</v>
      </c>
      <c r="C334" s="530" t="str">
        <f>IF(Inventory!E331="","",Inventory!E331)</f>
        <v/>
      </c>
      <c r="D334" s="531">
        <f>IF(Inventory!D331="",0,Inventory!D331)</f>
        <v>0</v>
      </c>
      <c r="E334" s="532" t="str">
        <f>IF(Inventory!I331=0,"",Inventory!I331)</f>
        <v/>
      </c>
      <c r="F334" s="533" t="str">
        <f t="shared" si="125"/>
        <v/>
      </c>
      <c r="G334" s="534" t="str">
        <f>IF(Inventory!G331="","",Inventory!G331)</f>
        <v/>
      </c>
      <c r="H334" s="535" t="str">
        <f t="shared" si="126"/>
        <v/>
      </c>
      <c r="I334" s="536" t="str">
        <f>IF(Inventory!J331="","",Inventory!J331)</f>
        <v/>
      </c>
      <c r="J334" s="537" t="str">
        <f>IFERROR(IF(PRJ_Type="New Construction",IF(Inventory!C331="N",INDEX(xyLPD_BuildingArea,MATCH(Building_Type,Lookups!$F$37:$F$75,0),4),INDEX(xyLPD_SpaceBySpace,MATCH(INDEX(xyNCEx,MATCH(I334,yNCExArea,0),2),ySpace_by_Space_Type,0),2)),VLOOKUP(E334,xyWattage_Table,11,FALSE)),"")</f>
        <v/>
      </c>
      <c r="K334" s="538" t="str">
        <f>IFERROR(IF(AND(NC_Type="Building Area Method",Inventory!C331="N"),IF(ISERROR(INDEX('Usage Groups (&gt;120 MWh only)'!$N$8:$N$12,MATCH(C334,'Usage Groups (&gt;120 MWh only)'!$B$8:$B$12,0),1))=TRUE,SqFt/COUNTIFS(Inventory!$C$10:$C$1009,"N",$Q$13:$Q$1012,"&gt;=0"),INDEX('Usage Groups (&gt;120 MWh only)'!$N$8:$N$12,MATCH(C334,'Usage Groups (&gt;120 MWh only)'!$B$8:$B$12,0),1)/COUNTIF($C$13:$C$1012,C334)),IF(AND(NC_Type="Building Area Method",Inventory!C331="Y"),INDEX(xyNCEx,MATCH(I334,yNCExArea,0),3)/COUNTIF($I$13:$I$1012,I334),VLOOKUP(J334,xyWattage_Table,10,FALSE))),"")</f>
        <v/>
      </c>
      <c r="L334" s="539" t="str">
        <f t="shared" si="127"/>
        <v/>
      </c>
      <c r="M334" s="540">
        <f>IF(Inventory!N331="","",Inventory!N331)</f>
        <v>0</v>
      </c>
      <c r="N334" s="533" t="str">
        <f t="shared" si="128"/>
        <v/>
      </c>
      <c r="O334" s="534"/>
      <c r="P334" s="533" t="str">
        <f t="shared" si="129"/>
        <v/>
      </c>
      <c r="Q334" s="534" t="str">
        <f>IF(Inventory!L331="","",Inventory!L331)</f>
        <v/>
      </c>
      <c r="R334" s="535" t="str">
        <f t="shared" si="130"/>
        <v/>
      </c>
      <c r="S334" s="536" t="str">
        <f>IF(Inventory!O331="","",Inventory!O331)</f>
        <v/>
      </c>
      <c r="T334" s="541" t="str">
        <f>IFERROR(IF(C334="","",IF(INDEX(xyWattage_Table,MATCH(M334,'Fixture Identities'!$B$9:$B$997,0),2)="Exit Sign",8760,IF(VLOOKUP(C334,xySpace_Type_Details,8,FALSE)="TRM",INDEX('General Information'!$AF$17:$AG$28,11,MATCH(N334,'General Information'!$AF$16:$AG$16,0)),HLOOKUP(VLOOKUP(C334,xySpace_Type_Details,8,FALSE),'General Information'!$P$15:$AG$28,13,FALSE)))),"")</f>
        <v/>
      </c>
      <c r="U334" s="542" t="str">
        <f>IFERROR(IF(C334="","",IF(INDEX(xyWattage_Table,MATCH(M334,'Fixture Identities'!$B$9:$B$997,0),2)="Exit Sign",1,IF(VLOOKUP(C334,xySpace_Type_Details,8,FALSE)="TRM",INDEX('General Information'!$AF$17:$AG$28,12,MATCH(N334,'General Information'!$AF$16:$AG$16,0)),HLOOKUP(VLOOKUP(C334,xySpace_Type_Details,8,FALSE),'General Information'!$P$15:$AG$28,14,FALSE)))),"")</f>
        <v/>
      </c>
      <c r="V334" s="542" t="str">
        <f>IFERROR(VLOOKUP(INDEX(xySpace_Type_Details,MATCH($C334,'General Information'!$C$40:$C$60,0),12),Lookups!$L$8:$N$12,2,FALSE),"")</f>
        <v/>
      </c>
      <c r="W334" s="542" t="str">
        <f>IFERROR(VLOOKUP(INDEX(xySpace_Type_Details,MATCH($C334,'General Information'!$C$40:$C$60,0),12),Lookups!$L$8:$N$12,3,FALSE),"")</f>
        <v/>
      </c>
      <c r="Y334" s="542" t="str">
        <f>IFERROR(IF(C334="","",IF(INDEX(xyWattage_Table,MATCH(M334,'Fixture Identities'!$B$9:$B$997,0),2)="Exit Sign",0,IF(PRJ_Type="Retrofit",VLOOKUP(I334,xySVG_Factors,2,FALSE),IF(AND(PRJ_Type="New Construction",Inventory!C331="N"),VLOOKUP(VLOOKUP(Building_Type,xyLPD_BuildingArea,5,FALSE),xySVG_Factors_NC,3,FALSE),0)))),"")</f>
        <v/>
      </c>
      <c r="Z334" s="544" t="str">
        <f>IFERROR(IF(C334="","",IF(INDEX(xyWattage_Table,MATCH(M334,'Fixture Identities'!$B$9:$B$997,0),2)="Exit Sign",0,VLOOKUP(S334,xySVG_Factors,2,FALSE))),"")</f>
        <v/>
      </c>
      <c r="AA334" s="545" t="str">
        <f t="shared" si="131"/>
        <v/>
      </c>
      <c r="AB334" s="542" t="str">
        <f t="shared" si="132"/>
        <v/>
      </c>
      <c r="AC334" s="539" t="str">
        <f t="shared" si="133"/>
        <v/>
      </c>
      <c r="AD334" s="546" t="str">
        <f t="shared" si="134"/>
        <v/>
      </c>
      <c r="AE334" s="539" t="str">
        <f t="shared" si="135"/>
        <v/>
      </c>
      <c r="AF334" s="546" t="str">
        <f t="shared" si="136"/>
        <v/>
      </c>
      <c r="AG334" s="539" t="str">
        <f t="shared" si="137"/>
        <v/>
      </c>
      <c r="AH334" s="32">
        <f t="shared" ref="AH334:AH397" si="139">IF(I334&lt;&gt;S334,R334,0)</f>
        <v>0</v>
      </c>
      <c r="AI334" s="32">
        <f t="shared" ref="AI334:AI397" si="140">IFERROR(VLOOKUP(E334,xyWattage_Table,8,FALSE)*G334,0)</f>
        <v>0</v>
      </c>
      <c r="AJ334" s="32">
        <f t="shared" ref="AJ334:AJ397" si="141">IFERROR(VLOOKUP(M334,xyWattage_Table,8,FALSE)*Q334,0)</f>
        <v>0</v>
      </c>
      <c r="AK334" t="str">
        <f t="shared" ref="AK334:AK397" si="142">IFERROR((L334)/1000,"")</f>
        <v/>
      </c>
      <c r="AL334" t="str">
        <f t="shared" ref="AL334:AL397" si="143">IFERROR(AK334*U334*(1+W334)*(1-Y334),"")</f>
        <v/>
      </c>
      <c r="AM334" t="str">
        <f t="shared" ref="AM334:AM397" si="144">IFERROR(AK334*T334*(1+V334)*(1-Y334),"")</f>
        <v/>
      </c>
      <c r="AO334" t="str">
        <f>IFERROR(VLOOKUP(M334,'Fixture Identities'!$B$9:$O$1045,14,FALSE),"")</f>
        <v/>
      </c>
      <c r="AP334" t="str">
        <f t="shared" si="138"/>
        <v/>
      </c>
    </row>
    <row r="335" spans="1:42">
      <c r="A335" s="71">
        <f t="shared" si="124"/>
        <v>0</v>
      </c>
      <c r="B335" s="513">
        <f t="shared" ref="B335:B398" si="145">B334+1</f>
        <v>323</v>
      </c>
      <c r="C335" s="530" t="str">
        <f>IF(Inventory!E332="","",Inventory!E332)</f>
        <v/>
      </c>
      <c r="D335" s="531">
        <f>IF(Inventory!D332="",0,Inventory!D332)</f>
        <v>0</v>
      </c>
      <c r="E335" s="532" t="str">
        <f>IF(Inventory!I332=0,"",Inventory!I332)</f>
        <v/>
      </c>
      <c r="F335" s="533" t="str">
        <f t="shared" si="125"/>
        <v/>
      </c>
      <c r="G335" s="534" t="str">
        <f>IF(Inventory!G332="","",Inventory!G332)</f>
        <v/>
      </c>
      <c r="H335" s="535" t="str">
        <f t="shared" si="126"/>
        <v/>
      </c>
      <c r="I335" s="536" t="str">
        <f>IF(Inventory!J332="","",Inventory!J332)</f>
        <v/>
      </c>
      <c r="J335" s="537" t="str">
        <f>IFERROR(IF(PRJ_Type="New Construction",IF(Inventory!C332="N",INDEX(xyLPD_BuildingArea,MATCH(Building_Type,Lookups!$F$37:$F$75,0),4),INDEX(xyLPD_SpaceBySpace,MATCH(INDEX(xyNCEx,MATCH(I335,yNCExArea,0),2),ySpace_by_Space_Type,0),2)),VLOOKUP(E335,xyWattage_Table,11,FALSE)),"")</f>
        <v/>
      </c>
      <c r="K335" s="538" t="str">
        <f>IFERROR(IF(AND(NC_Type="Building Area Method",Inventory!C332="N"),IF(ISERROR(INDEX('Usage Groups (&gt;120 MWh only)'!$N$8:$N$12,MATCH(C335,'Usage Groups (&gt;120 MWh only)'!$B$8:$B$12,0),1))=TRUE,SqFt/COUNTIFS(Inventory!$C$10:$C$1009,"N",$Q$13:$Q$1012,"&gt;=0"),INDEX('Usage Groups (&gt;120 MWh only)'!$N$8:$N$12,MATCH(C335,'Usage Groups (&gt;120 MWh only)'!$B$8:$B$12,0),1)/COUNTIF($C$13:$C$1012,C335)),IF(AND(NC_Type="Building Area Method",Inventory!C332="Y"),INDEX(xyNCEx,MATCH(I335,yNCExArea,0),3)/COUNTIF($I$13:$I$1012,I335),VLOOKUP(J335,xyWattage_Table,10,FALSE))),"")</f>
        <v/>
      </c>
      <c r="L335" s="539" t="str">
        <f t="shared" si="127"/>
        <v/>
      </c>
      <c r="M335" s="540">
        <f>IF(Inventory!N332="","",Inventory!N332)</f>
        <v>0</v>
      </c>
      <c r="N335" s="533" t="str">
        <f t="shared" si="128"/>
        <v/>
      </c>
      <c r="O335" s="534"/>
      <c r="P335" s="533" t="str">
        <f t="shared" si="129"/>
        <v/>
      </c>
      <c r="Q335" s="534" t="str">
        <f>IF(Inventory!L332="","",Inventory!L332)</f>
        <v/>
      </c>
      <c r="R335" s="535" t="str">
        <f t="shared" si="130"/>
        <v/>
      </c>
      <c r="S335" s="536" t="str">
        <f>IF(Inventory!O332="","",Inventory!O332)</f>
        <v/>
      </c>
      <c r="T335" s="541" t="str">
        <f>IFERROR(IF(C335="","",IF(INDEX(xyWattage_Table,MATCH(M335,'Fixture Identities'!$B$9:$B$997,0),2)="Exit Sign",8760,IF(VLOOKUP(C335,xySpace_Type_Details,8,FALSE)="TRM",INDEX('General Information'!$AF$17:$AG$28,11,MATCH(N335,'General Information'!$AF$16:$AG$16,0)),HLOOKUP(VLOOKUP(C335,xySpace_Type_Details,8,FALSE),'General Information'!$P$15:$AG$28,13,FALSE)))),"")</f>
        <v/>
      </c>
      <c r="U335" s="542" t="str">
        <f>IFERROR(IF(C335="","",IF(INDEX(xyWattage_Table,MATCH(M335,'Fixture Identities'!$B$9:$B$997,0),2)="Exit Sign",1,IF(VLOOKUP(C335,xySpace_Type_Details,8,FALSE)="TRM",INDEX('General Information'!$AF$17:$AG$28,12,MATCH(N335,'General Information'!$AF$16:$AG$16,0)),HLOOKUP(VLOOKUP(C335,xySpace_Type_Details,8,FALSE),'General Information'!$P$15:$AG$28,14,FALSE)))),"")</f>
        <v/>
      </c>
      <c r="V335" s="542" t="str">
        <f>IFERROR(VLOOKUP(INDEX(xySpace_Type_Details,MATCH($C335,'General Information'!$C$40:$C$60,0),12),Lookups!$L$8:$N$12,2,FALSE),"")</f>
        <v/>
      </c>
      <c r="W335" s="542" t="str">
        <f>IFERROR(VLOOKUP(INDEX(xySpace_Type_Details,MATCH($C335,'General Information'!$C$40:$C$60,0),12),Lookups!$L$8:$N$12,3,FALSE),"")</f>
        <v/>
      </c>
      <c r="Y335" s="542" t="str">
        <f>IFERROR(IF(C335="","",IF(INDEX(xyWattage_Table,MATCH(M335,'Fixture Identities'!$B$9:$B$997,0),2)="Exit Sign",0,IF(PRJ_Type="Retrofit",VLOOKUP(I335,xySVG_Factors,2,FALSE),IF(AND(PRJ_Type="New Construction",Inventory!C332="N"),VLOOKUP(VLOOKUP(Building_Type,xyLPD_BuildingArea,5,FALSE),xySVG_Factors_NC,3,FALSE),0)))),"")</f>
        <v/>
      </c>
      <c r="Z335" s="544" t="str">
        <f>IFERROR(IF(C335="","",IF(INDEX(xyWattage_Table,MATCH(M335,'Fixture Identities'!$B$9:$B$997,0),2)="Exit Sign",0,VLOOKUP(S335,xySVG_Factors,2,FALSE))),"")</f>
        <v/>
      </c>
      <c r="AA335" s="545" t="str">
        <f t="shared" si="131"/>
        <v/>
      </c>
      <c r="AB335" s="542" t="str">
        <f t="shared" si="132"/>
        <v/>
      </c>
      <c r="AC335" s="539" t="str">
        <f t="shared" si="133"/>
        <v/>
      </c>
      <c r="AD335" s="546" t="str">
        <f t="shared" si="134"/>
        <v/>
      </c>
      <c r="AE335" s="539" t="str">
        <f t="shared" si="135"/>
        <v/>
      </c>
      <c r="AF335" s="546" t="str">
        <f t="shared" si="136"/>
        <v/>
      </c>
      <c r="AG335" s="539" t="str">
        <f t="shared" si="137"/>
        <v/>
      </c>
      <c r="AH335" s="32">
        <f t="shared" si="139"/>
        <v>0</v>
      </c>
      <c r="AI335" s="32">
        <f t="shared" si="140"/>
        <v>0</v>
      </c>
      <c r="AJ335" s="32">
        <f t="shared" si="141"/>
        <v>0</v>
      </c>
      <c r="AK335" t="str">
        <f t="shared" si="142"/>
        <v/>
      </c>
      <c r="AL335" t="str">
        <f t="shared" si="143"/>
        <v/>
      </c>
      <c r="AM335" t="str">
        <f t="shared" si="144"/>
        <v/>
      </c>
      <c r="AO335" t="str">
        <f>IFERROR(VLOOKUP(M335,'Fixture Identities'!$B$9:$O$1045,14,FALSE),"")</f>
        <v/>
      </c>
      <c r="AP335" t="str">
        <f t="shared" si="138"/>
        <v/>
      </c>
    </row>
    <row r="336" spans="1:42">
      <c r="A336" s="71">
        <f t="shared" si="124"/>
        <v>0</v>
      </c>
      <c r="B336" s="513">
        <f t="shared" si="145"/>
        <v>324</v>
      </c>
      <c r="C336" s="530" t="str">
        <f>IF(Inventory!E333="","",Inventory!E333)</f>
        <v/>
      </c>
      <c r="D336" s="531">
        <f>IF(Inventory!D333="",0,Inventory!D333)</f>
        <v>0</v>
      </c>
      <c r="E336" s="532" t="str">
        <f>IF(Inventory!I333=0,"",Inventory!I333)</f>
        <v/>
      </c>
      <c r="F336" s="533" t="str">
        <f t="shared" si="125"/>
        <v/>
      </c>
      <c r="G336" s="534" t="str">
        <f>IF(Inventory!G333="","",Inventory!G333)</f>
        <v/>
      </c>
      <c r="H336" s="535" t="str">
        <f t="shared" si="126"/>
        <v/>
      </c>
      <c r="I336" s="536" t="str">
        <f>IF(Inventory!J333="","",Inventory!J333)</f>
        <v/>
      </c>
      <c r="J336" s="537" t="str">
        <f>IFERROR(IF(PRJ_Type="New Construction",IF(Inventory!C333="N",INDEX(xyLPD_BuildingArea,MATCH(Building_Type,Lookups!$F$37:$F$75,0),4),INDEX(xyLPD_SpaceBySpace,MATCH(INDEX(xyNCEx,MATCH(I336,yNCExArea,0),2),ySpace_by_Space_Type,0),2)),VLOOKUP(E336,xyWattage_Table,11,FALSE)),"")</f>
        <v/>
      </c>
      <c r="K336" s="538" t="str">
        <f>IFERROR(IF(AND(NC_Type="Building Area Method",Inventory!C333="N"),IF(ISERROR(INDEX('Usage Groups (&gt;120 MWh only)'!$N$8:$N$12,MATCH(C336,'Usage Groups (&gt;120 MWh only)'!$B$8:$B$12,0),1))=TRUE,SqFt/COUNTIFS(Inventory!$C$10:$C$1009,"N",$Q$13:$Q$1012,"&gt;=0"),INDEX('Usage Groups (&gt;120 MWh only)'!$N$8:$N$12,MATCH(C336,'Usage Groups (&gt;120 MWh only)'!$B$8:$B$12,0),1)/COUNTIF($C$13:$C$1012,C336)),IF(AND(NC_Type="Building Area Method",Inventory!C333="Y"),INDEX(xyNCEx,MATCH(I336,yNCExArea,0),3)/COUNTIF($I$13:$I$1012,I336),VLOOKUP(J336,xyWattage_Table,10,FALSE))),"")</f>
        <v/>
      </c>
      <c r="L336" s="539" t="str">
        <f t="shared" si="127"/>
        <v/>
      </c>
      <c r="M336" s="540">
        <f>IF(Inventory!N333="","",Inventory!N333)</f>
        <v>0</v>
      </c>
      <c r="N336" s="533" t="str">
        <f t="shared" si="128"/>
        <v/>
      </c>
      <c r="O336" s="534"/>
      <c r="P336" s="533" t="str">
        <f t="shared" si="129"/>
        <v/>
      </c>
      <c r="Q336" s="534" t="str">
        <f>IF(Inventory!L333="","",Inventory!L333)</f>
        <v/>
      </c>
      <c r="R336" s="535" t="str">
        <f t="shared" si="130"/>
        <v/>
      </c>
      <c r="S336" s="536" t="str">
        <f>IF(Inventory!O333="","",Inventory!O333)</f>
        <v/>
      </c>
      <c r="T336" s="541" t="str">
        <f>IFERROR(IF(C336="","",IF(INDEX(xyWattage_Table,MATCH(M336,'Fixture Identities'!$B$9:$B$997,0),2)="Exit Sign",8760,IF(VLOOKUP(C336,xySpace_Type_Details,8,FALSE)="TRM",INDEX('General Information'!$AF$17:$AG$28,11,MATCH(N336,'General Information'!$AF$16:$AG$16,0)),HLOOKUP(VLOOKUP(C336,xySpace_Type_Details,8,FALSE),'General Information'!$P$15:$AG$28,13,FALSE)))),"")</f>
        <v/>
      </c>
      <c r="U336" s="542" t="str">
        <f>IFERROR(IF(C336="","",IF(INDEX(xyWattage_Table,MATCH(M336,'Fixture Identities'!$B$9:$B$997,0),2)="Exit Sign",1,IF(VLOOKUP(C336,xySpace_Type_Details,8,FALSE)="TRM",INDEX('General Information'!$AF$17:$AG$28,12,MATCH(N336,'General Information'!$AF$16:$AG$16,0)),HLOOKUP(VLOOKUP(C336,xySpace_Type_Details,8,FALSE),'General Information'!$P$15:$AG$28,14,FALSE)))),"")</f>
        <v/>
      </c>
      <c r="V336" s="542" t="str">
        <f>IFERROR(VLOOKUP(INDEX(xySpace_Type_Details,MATCH($C336,'General Information'!$C$40:$C$60,0),12),Lookups!$L$8:$N$12,2,FALSE),"")</f>
        <v/>
      </c>
      <c r="W336" s="542" t="str">
        <f>IFERROR(VLOOKUP(INDEX(xySpace_Type_Details,MATCH($C336,'General Information'!$C$40:$C$60,0),12),Lookups!$L$8:$N$12,3,FALSE),"")</f>
        <v/>
      </c>
      <c r="Y336" s="542" t="str">
        <f>IFERROR(IF(C336="","",IF(INDEX(xyWattage_Table,MATCH(M336,'Fixture Identities'!$B$9:$B$997,0),2)="Exit Sign",0,IF(PRJ_Type="Retrofit",VLOOKUP(I336,xySVG_Factors,2,FALSE),IF(AND(PRJ_Type="New Construction",Inventory!C333="N"),VLOOKUP(VLOOKUP(Building_Type,xyLPD_BuildingArea,5,FALSE),xySVG_Factors_NC,3,FALSE),0)))),"")</f>
        <v/>
      </c>
      <c r="Z336" s="544" t="str">
        <f>IFERROR(IF(C336="","",IF(INDEX(xyWattage_Table,MATCH(M336,'Fixture Identities'!$B$9:$B$997,0),2)="Exit Sign",0,VLOOKUP(S336,xySVG_Factors,2,FALSE))),"")</f>
        <v/>
      </c>
      <c r="AA336" s="545" t="str">
        <f t="shared" si="131"/>
        <v/>
      </c>
      <c r="AB336" s="542" t="str">
        <f t="shared" si="132"/>
        <v/>
      </c>
      <c r="AC336" s="539" t="str">
        <f t="shared" si="133"/>
        <v/>
      </c>
      <c r="AD336" s="546" t="str">
        <f t="shared" si="134"/>
        <v/>
      </c>
      <c r="AE336" s="539" t="str">
        <f t="shared" si="135"/>
        <v/>
      </c>
      <c r="AF336" s="546" t="str">
        <f t="shared" si="136"/>
        <v/>
      </c>
      <c r="AG336" s="539" t="str">
        <f t="shared" si="137"/>
        <v/>
      </c>
      <c r="AH336" s="32">
        <f t="shared" si="139"/>
        <v>0</v>
      </c>
      <c r="AI336" s="32">
        <f t="shared" si="140"/>
        <v>0</v>
      </c>
      <c r="AJ336" s="32">
        <f t="shared" si="141"/>
        <v>0</v>
      </c>
      <c r="AK336" t="str">
        <f t="shared" si="142"/>
        <v/>
      </c>
      <c r="AL336" t="str">
        <f t="shared" si="143"/>
        <v/>
      </c>
      <c r="AM336" t="str">
        <f t="shared" si="144"/>
        <v/>
      </c>
      <c r="AO336" t="str">
        <f>IFERROR(VLOOKUP(M336,'Fixture Identities'!$B$9:$O$1045,14,FALSE),"")</f>
        <v/>
      </c>
      <c r="AP336" t="str">
        <f t="shared" si="138"/>
        <v/>
      </c>
    </row>
    <row r="337" spans="1:42">
      <c r="A337" s="71">
        <f t="shared" si="124"/>
        <v>0</v>
      </c>
      <c r="B337" s="513">
        <f t="shared" si="145"/>
        <v>325</v>
      </c>
      <c r="C337" s="530" t="str">
        <f>IF(Inventory!E334="","",Inventory!E334)</f>
        <v/>
      </c>
      <c r="D337" s="531">
        <f>IF(Inventory!D334="",0,Inventory!D334)</f>
        <v>0</v>
      </c>
      <c r="E337" s="532" t="str">
        <f>IF(Inventory!I334=0,"",Inventory!I334)</f>
        <v/>
      </c>
      <c r="F337" s="533" t="str">
        <f t="shared" si="125"/>
        <v/>
      </c>
      <c r="G337" s="534" t="str">
        <f>IF(Inventory!G334="","",Inventory!G334)</f>
        <v/>
      </c>
      <c r="H337" s="535" t="str">
        <f t="shared" si="126"/>
        <v/>
      </c>
      <c r="I337" s="536" t="str">
        <f>IF(Inventory!J334="","",Inventory!J334)</f>
        <v/>
      </c>
      <c r="J337" s="537" t="str">
        <f>IFERROR(IF(PRJ_Type="New Construction",IF(Inventory!C334="N",INDEX(xyLPD_BuildingArea,MATCH(Building_Type,Lookups!$F$37:$F$75,0),4),INDEX(xyLPD_SpaceBySpace,MATCH(INDEX(xyNCEx,MATCH(I337,yNCExArea,0),2),ySpace_by_Space_Type,0),2)),VLOOKUP(E337,xyWattage_Table,11,FALSE)),"")</f>
        <v/>
      </c>
      <c r="K337" s="538" t="str">
        <f>IFERROR(IF(AND(NC_Type="Building Area Method",Inventory!C334="N"),IF(ISERROR(INDEX('Usage Groups (&gt;120 MWh only)'!$N$8:$N$12,MATCH(C337,'Usage Groups (&gt;120 MWh only)'!$B$8:$B$12,0),1))=TRUE,SqFt/COUNTIFS(Inventory!$C$10:$C$1009,"N",$Q$13:$Q$1012,"&gt;=0"),INDEX('Usage Groups (&gt;120 MWh only)'!$N$8:$N$12,MATCH(C337,'Usage Groups (&gt;120 MWh only)'!$B$8:$B$12,0),1)/COUNTIF($C$13:$C$1012,C337)),IF(AND(NC_Type="Building Area Method",Inventory!C334="Y"),INDEX(xyNCEx,MATCH(I337,yNCExArea,0),3)/COUNTIF($I$13:$I$1012,I337),VLOOKUP(J337,xyWattage_Table,10,FALSE))),"")</f>
        <v/>
      </c>
      <c r="L337" s="539" t="str">
        <f t="shared" si="127"/>
        <v/>
      </c>
      <c r="M337" s="540">
        <f>IF(Inventory!N334="","",Inventory!N334)</f>
        <v>0</v>
      </c>
      <c r="N337" s="533" t="str">
        <f t="shared" si="128"/>
        <v/>
      </c>
      <c r="O337" s="534"/>
      <c r="P337" s="533" t="str">
        <f t="shared" si="129"/>
        <v/>
      </c>
      <c r="Q337" s="534" t="str">
        <f>IF(Inventory!L334="","",Inventory!L334)</f>
        <v/>
      </c>
      <c r="R337" s="535" t="str">
        <f t="shared" si="130"/>
        <v/>
      </c>
      <c r="S337" s="536" t="str">
        <f>IF(Inventory!O334="","",Inventory!O334)</f>
        <v/>
      </c>
      <c r="T337" s="541" t="str">
        <f>IFERROR(IF(C337="","",IF(INDEX(xyWattage_Table,MATCH(M337,'Fixture Identities'!$B$9:$B$997,0),2)="Exit Sign",8760,IF(VLOOKUP(C337,xySpace_Type_Details,8,FALSE)="TRM",INDEX('General Information'!$AF$17:$AG$28,11,MATCH(N337,'General Information'!$AF$16:$AG$16,0)),HLOOKUP(VLOOKUP(C337,xySpace_Type_Details,8,FALSE),'General Information'!$P$15:$AG$28,13,FALSE)))),"")</f>
        <v/>
      </c>
      <c r="U337" s="542" t="str">
        <f>IFERROR(IF(C337="","",IF(INDEX(xyWattage_Table,MATCH(M337,'Fixture Identities'!$B$9:$B$997,0),2)="Exit Sign",1,IF(VLOOKUP(C337,xySpace_Type_Details,8,FALSE)="TRM",INDEX('General Information'!$AF$17:$AG$28,12,MATCH(N337,'General Information'!$AF$16:$AG$16,0)),HLOOKUP(VLOOKUP(C337,xySpace_Type_Details,8,FALSE),'General Information'!$P$15:$AG$28,14,FALSE)))),"")</f>
        <v/>
      </c>
      <c r="V337" s="542" t="str">
        <f>IFERROR(VLOOKUP(INDEX(xySpace_Type_Details,MATCH($C337,'General Information'!$C$40:$C$60,0),12),Lookups!$L$8:$N$12,2,FALSE),"")</f>
        <v/>
      </c>
      <c r="W337" s="542" t="str">
        <f>IFERROR(VLOOKUP(INDEX(xySpace_Type_Details,MATCH($C337,'General Information'!$C$40:$C$60,0),12),Lookups!$L$8:$N$12,3,FALSE),"")</f>
        <v/>
      </c>
      <c r="Y337" s="542" t="str">
        <f>IFERROR(IF(C337="","",IF(INDEX(xyWattage_Table,MATCH(M337,'Fixture Identities'!$B$9:$B$997,0),2)="Exit Sign",0,IF(PRJ_Type="Retrofit",VLOOKUP(I337,xySVG_Factors,2,FALSE),IF(AND(PRJ_Type="New Construction",Inventory!C334="N"),VLOOKUP(VLOOKUP(Building_Type,xyLPD_BuildingArea,5,FALSE),xySVG_Factors_NC,3,FALSE),0)))),"")</f>
        <v/>
      </c>
      <c r="Z337" s="544" t="str">
        <f>IFERROR(IF(C337="","",IF(INDEX(xyWattage_Table,MATCH(M337,'Fixture Identities'!$B$9:$B$997,0),2)="Exit Sign",0,VLOOKUP(S337,xySVG_Factors,2,FALSE))),"")</f>
        <v/>
      </c>
      <c r="AA337" s="545" t="str">
        <f t="shared" si="131"/>
        <v/>
      </c>
      <c r="AB337" s="542" t="str">
        <f t="shared" si="132"/>
        <v/>
      </c>
      <c r="AC337" s="539" t="str">
        <f t="shared" si="133"/>
        <v/>
      </c>
      <c r="AD337" s="546" t="str">
        <f t="shared" si="134"/>
        <v/>
      </c>
      <c r="AE337" s="539" t="str">
        <f t="shared" si="135"/>
        <v/>
      </c>
      <c r="AF337" s="546" t="str">
        <f t="shared" si="136"/>
        <v/>
      </c>
      <c r="AG337" s="539" t="str">
        <f t="shared" si="137"/>
        <v/>
      </c>
      <c r="AH337" s="32">
        <f t="shared" si="139"/>
        <v>0</v>
      </c>
      <c r="AI337" s="32">
        <f t="shared" si="140"/>
        <v>0</v>
      </c>
      <c r="AJ337" s="32">
        <f t="shared" si="141"/>
        <v>0</v>
      </c>
      <c r="AK337" t="str">
        <f t="shared" si="142"/>
        <v/>
      </c>
      <c r="AL337" t="str">
        <f t="shared" si="143"/>
        <v/>
      </c>
      <c r="AM337" t="str">
        <f t="shared" si="144"/>
        <v/>
      </c>
      <c r="AO337" t="str">
        <f>IFERROR(VLOOKUP(M337,'Fixture Identities'!$B$9:$O$1045,14,FALSE),"")</f>
        <v/>
      </c>
      <c r="AP337" t="str">
        <f t="shared" si="138"/>
        <v/>
      </c>
    </row>
    <row r="338" spans="1:42">
      <c r="A338" s="71">
        <f t="shared" ref="A338:A401" si="146">IF(E338&lt;&gt;J338,1,0)</f>
        <v>0</v>
      </c>
      <c r="B338" s="513">
        <f t="shared" si="145"/>
        <v>326</v>
      </c>
      <c r="C338" s="530" t="str">
        <f>IF(Inventory!E335="","",Inventory!E335)</f>
        <v/>
      </c>
      <c r="D338" s="531">
        <f>IF(Inventory!D335="",0,Inventory!D335)</f>
        <v>0</v>
      </c>
      <c r="E338" s="532" t="str">
        <f>IF(Inventory!I335=0,"",Inventory!I335)</f>
        <v/>
      </c>
      <c r="F338" s="533" t="str">
        <f t="shared" si="125"/>
        <v/>
      </c>
      <c r="G338" s="534" t="str">
        <f>IF(Inventory!G335="","",Inventory!G335)</f>
        <v/>
      </c>
      <c r="H338" s="535" t="str">
        <f t="shared" si="126"/>
        <v/>
      </c>
      <c r="I338" s="536" t="str">
        <f>IF(Inventory!J335="","",Inventory!J335)</f>
        <v/>
      </c>
      <c r="J338" s="537" t="str">
        <f>IFERROR(IF(PRJ_Type="New Construction",IF(Inventory!C335="N",INDEX(xyLPD_BuildingArea,MATCH(Building_Type,Lookups!$F$37:$F$75,0),4),INDEX(xyLPD_SpaceBySpace,MATCH(INDEX(xyNCEx,MATCH(I338,yNCExArea,0),2),ySpace_by_Space_Type,0),2)),VLOOKUP(E338,xyWattage_Table,11,FALSE)),"")</f>
        <v/>
      </c>
      <c r="K338" s="538" t="str">
        <f>IFERROR(IF(AND(NC_Type="Building Area Method",Inventory!C335="N"),IF(ISERROR(INDEX('Usage Groups (&gt;120 MWh only)'!$N$8:$N$12,MATCH(C338,'Usage Groups (&gt;120 MWh only)'!$B$8:$B$12,0),1))=TRUE,SqFt/COUNTIFS(Inventory!$C$10:$C$1009,"N",$Q$13:$Q$1012,"&gt;=0"),INDEX('Usage Groups (&gt;120 MWh only)'!$N$8:$N$12,MATCH(C338,'Usage Groups (&gt;120 MWh only)'!$B$8:$B$12,0),1)/COUNTIF($C$13:$C$1012,C338)),IF(AND(NC_Type="Building Area Method",Inventory!C335="Y"),INDEX(xyNCEx,MATCH(I338,yNCExArea,0),3)/COUNTIF($I$13:$I$1012,I338),VLOOKUP(J338,xyWattage_Table,10,FALSE))),"")</f>
        <v/>
      </c>
      <c r="L338" s="539" t="str">
        <f t="shared" si="127"/>
        <v/>
      </c>
      <c r="M338" s="540">
        <f>IF(Inventory!N335="","",Inventory!N335)</f>
        <v>0</v>
      </c>
      <c r="N338" s="533" t="str">
        <f t="shared" si="128"/>
        <v/>
      </c>
      <c r="O338" s="534"/>
      <c r="P338" s="533" t="str">
        <f t="shared" si="129"/>
        <v/>
      </c>
      <c r="Q338" s="534" t="str">
        <f>IF(Inventory!L335="","",Inventory!L335)</f>
        <v/>
      </c>
      <c r="R338" s="535" t="str">
        <f t="shared" si="130"/>
        <v/>
      </c>
      <c r="S338" s="536" t="str">
        <f>IF(Inventory!O335="","",Inventory!O335)</f>
        <v/>
      </c>
      <c r="T338" s="541" t="str">
        <f>IFERROR(IF(C338="","",IF(INDEX(xyWattage_Table,MATCH(M338,'Fixture Identities'!$B$9:$B$997,0),2)="Exit Sign",8760,IF(VLOOKUP(C338,xySpace_Type_Details,8,FALSE)="TRM",INDEX('General Information'!$AF$17:$AG$28,11,MATCH(N338,'General Information'!$AF$16:$AG$16,0)),HLOOKUP(VLOOKUP(C338,xySpace_Type_Details,8,FALSE),'General Information'!$P$15:$AG$28,13,FALSE)))),"")</f>
        <v/>
      </c>
      <c r="U338" s="542" t="str">
        <f>IFERROR(IF(C338="","",IF(INDEX(xyWattage_Table,MATCH(M338,'Fixture Identities'!$B$9:$B$997,0),2)="Exit Sign",1,IF(VLOOKUP(C338,xySpace_Type_Details,8,FALSE)="TRM",INDEX('General Information'!$AF$17:$AG$28,12,MATCH(N338,'General Information'!$AF$16:$AG$16,0)),HLOOKUP(VLOOKUP(C338,xySpace_Type_Details,8,FALSE),'General Information'!$P$15:$AG$28,14,FALSE)))),"")</f>
        <v/>
      </c>
      <c r="V338" s="542" t="str">
        <f>IFERROR(VLOOKUP(INDEX(xySpace_Type_Details,MATCH($C338,'General Information'!$C$40:$C$60,0),12),Lookups!$L$8:$N$12,2,FALSE),"")</f>
        <v/>
      </c>
      <c r="W338" s="542" t="str">
        <f>IFERROR(VLOOKUP(INDEX(xySpace_Type_Details,MATCH($C338,'General Information'!$C$40:$C$60,0),12),Lookups!$L$8:$N$12,3,FALSE),"")</f>
        <v/>
      </c>
      <c r="Y338" s="542" t="str">
        <f>IFERROR(IF(C338="","",IF(INDEX(xyWattage_Table,MATCH(M338,'Fixture Identities'!$B$9:$B$997,0),2)="Exit Sign",0,IF(PRJ_Type="Retrofit",VLOOKUP(I338,xySVG_Factors,2,FALSE),IF(AND(PRJ_Type="New Construction",Inventory!C335="N"),VLOOKUP(VLOOKUP(Building_Type,xyLPD_BuildingArea,5,FALSE),xySVG_Factors_NC,3,FALSE),0)))),"")</f>
        <v/>
      </c>
      <c r="Z338" s="544" t="str">
        <f>IFERROR(IF(C338="","",IF(INDEX(xyWattage_Table,MATCH(M338,'Fixture Identities'!$B$9:$B$997,0),2)="Exit Sign",0,VLOOKUP(S338,xySVG_Factors,2,FALSE))),"")</f>
        <v/>
      </c>
      <c r="AA338" s="545" t="str">
        <f t="shared" si="131"/>
        <v/>
      </c>
      <c r="AB338" s="542" t="str">
        <f t="shared" si="132"/>
        <v/>
      </c>
      <c r="AC338" s="539" t="str">
        <f t="shared" si="133"/>
        <v/>
      </c>
      <c r="AD338" s="546" t="str">
        <f t="shared" si="134"/>
        <v/>
      </c>
      <c r="AE338" s="539" t="str">
        <f t="shared" si="135"/>
        <v/>
      </c>
      <c r="AF338" s="546" t="str">
        <f t="shared" si="136"/>
        <v/>
      </c>
      <c r="AG338" s="539" t="str">
        <f t="shared" si="137"/>
        <v/>
      </c>
      <c r="AH338" s="32">
        <f t="shared" si="139"/>
        <v>0</v>
      </c>
      <c r="AI338" s="32">
        <f t="shared" si="140"/>
        <v>0</v>
      </c>
      <c r="AJ338" s="32">
        <f t="shared" si="141"/>
        <v>0</v>
      </c>
      <c r="AK338" t="str">
        <f t="shared" si="142"/>
        <v/>
      </c>
      <c r="AL338" t="str">
        <f t="shared" si="143"/>
        <v/>
      </c>
      <c r="AM338" t="str">
        <f t="shared" si="144"/>
        <v/>
      </c>
      <c r="AO338" t="str">
        <f>IFERROR(VLOOKUP(M338,'Fixture Identities'!$B$9:$O$1045,14,FALSE),"")</f>
        <v/>
      </c>
      <c r="AP338" t="str">
        <f t="shared" si="138"/>
        <v/>
      </c>
    </row>
    <row r="339" spans="1:42">
      <c r="A339" s="71">
        <f t="shared" si="146"/>
        <v>0</v>
      </c>
      <c r="B339" s="513">
        <f t="shared" si="145"/>
        <v>327</v>
      </c>
      <c r="C339" s="530" t="str">
        <f>IF(Inventory!E336="","",Inventory!E336)</f>
        <v/>
      </c>
      <c r="D339" s="531">
        <f>IF(Inventory!D336="",0,Inventory!D336)</f>
        <v>0</v>
      </c>
      <c r="E339" s="532" t="str">
        <f>IF(Inventory!I336=0,"",Inventory!I336)</f>
        <v/>
      </c>
      <c r="F339" s="533" t="str">
        <f t="shared" si="125"/>
        <v/>
      </c>
      <c r="G339" s="534" t="str">
        <f>IF(Inventory!G336="","",Inventory!G336)</f>
        <v/>
      </c>
      <c r="H339" s="535" t="str">
        <f t="shared" si="126"/>
        <v/>
      </c>
      <c r="I339" s="536" t="str">
        <f>IF(Inventory!J336="","",Inventory!J336)</f>
        <v/>
      </c>
      <c r="J339" s="537" t="str">
        <f>IFERROR(IF(PRJ_Type="New Construction",IF(Inventory!C336="N",INDEX(xyLPD_BuildingArea,MATCH(Building_Type,Lookups!$F$37:$F$75,0),4),INDEX(xyLPD_SpaceBySpace,MATCH(INDEX(xyNCEx,MATCH(I339,yNCExArea,0),2),ySpace_by_Space_Type,0),2)),VLOOKUP(E339,xyWattage_Table,11,FALSE)),"")</f>
        <v/>
      </c>
      <c r="K339" s="538" t="str">
        <f>IFERROR(IF(AND(NC_Type="Building Area Method",Inventory!C336="N"),IF(ISERROR(INDEX('Usage Groups (&gt;120 MWh only)'!$N$8:$N$12,MATCH(C339,'Usage Groups (&gt;120 MWh only)'!$B$8:$B$12,0),1))=TRUE,SqFt/COUNTIFS(Inventory!$C$10:$C$1009,"N",$Q$13:$Q$1012,"&gt;=0"),INDEX('Usage Groups (&gt;120 MWh only)'!$N$8:$N$12,MATCH(C339,'Usage Groups (&gt;120 MWh only)'!$B$8:$B$12,0),1)/COUNTIF($C$13:$C$1012,C339)),IF(AND(NC_Type="Building Area Method",Inventory!C336="Y"),INDEX(xyNCEx,MATCH(I339,yNCExArea,0),3)/COUNTIF($I$13:$I$1012,I339),VLOOKUP(J339,xyWattage_Table,10,FALSE))),"")</f>
        <v/>
      </c>
      <c r="L339" s="539" t="str">
        <f t="shared" si="127"/>
        <v/>
      </c>
      <c r="M339" s="540">
        <f>IF(Inventory!N336="","",Inventory!N336)</f>
        <v>0</v>
      </c>
      <c r="N339" s="533" t="str">
        <f t="shared" si="128"/>
        <v/>
      </c>
      <c r="O339" s="534"/>
      <c r="P339" s="533" t="str">
        <f t="shared" si="129"/>
        <v/>
      </c>
      <c r="Q339" s="534" t="str">
        <f>IF(Inventory!L336="","",Inventory!L336)</f>
        <v/>
      </c>
      <c r="R339" s="535" t="str">
        <f t="shared" si="130"/>
        <v/>
      </c>
      <c r="S339" s="536" t="str">
        <f>IF(Inventory!O336="","",Inventory!O336)</f>
        <v/>
      </c>
      <c r="T339" s="541" t="str">
        <f>IFERROR(IF(C339="","",IF(INDEX(xyWattage_Table,MATCH(M339,'Fixture Identities'!$B$9:$B$997,0),2)="Exit Sign",8760,IF(VLOOKUP(C339,xySpace_Type_Details,8,FALSE)="TRM",INDEX('General Information'!$AF$17:$AG$28,11,MATCH(N339,'General Information'!$AF$16:$AG$16,0)),HLOOKUP(VLOOKUP(C339,xySpace_Type_Details,8,FALSE),'General Information'!$P$15:$AG$28,13,FALSE)))),"")</f>
        <v/>
      </c>
      <c r="U339" s="542" t="str">
        <f>IFERROR(IF(C339="","",IF(INDEX(xyWattage_Table,MATCH(M339,'Fixture Identities'!$B$9:$B$997,0),2)="Exit Sign",1,IF(VLOOKUP(C339,xySpace_Type_Details,8,FALSE)="TRM",INDEX('General Information'!$AF$17:$AG$28,12,MATCH(N339,'General Information'!$AF$16:$AG$16,0)),HLOOKUP(VLOOKUP(C339,xySpace_Type_Details,8,FALSE),'General Information'!$P$15:$AG$28,14,FALSE)))),"")</f>
        <v/>
      </c>
      <c r="V339" s="542" t="str">
        <f>IFERROR(VLOOKUP(INDEX(xySpace_Type_Details,MATCH($C339,'General Information'!$C$40:$C$60,0),12),Lookups!$L$8:$N$12,2,FALSE),"")</f>
        <v/>
      </c>
      <c r="W339" s="542" t="str">
        <f>IFERROR(VLOOKUP(INDEX(xySpace_Type_Details,MATCH($C339,'General Information'!$C$40:$C$60,0),12),Lookups!$L$8:$N$12,3,FALSE),"")</f>
        <v/>
      </c>
      <c r="Y339" s="542" t="str">
        <f>IFERROR(IF(C339="","",IF(INDEX(xyWattage_Table,MATCH(M339,'Fixture Identities'!$B$9:$B$997,0),2)="Exit Sign",0,IF(PRJ_Type="Retrofit",VLOOKUP(I339,xySVG_Factors,2,FALSE),IF(AND(PRJ_Type="New Construction",Inventory!C336="N"),VLOOKUP(VLOOKUP(Building_Type,xyLPD_BuildingArea,5,FALSE),xySVG_Factors_NC,3,FALSE),0)))),"")</f>
        <v/>
      </c>
      <c r="Z339" s="544" t="str">
        <f>IFERROR(IF(C339="","",IF(INDEX(xyWattage_Table,MATCH(M339,'Fixture Identities'!$B$9:$B$997,0),2)="Exit Sign",0,VLOOKUP(S339,xySVG_Factors,2,FALSE))),"")</f>
        <v/>
      </c>
      <c r="AA339" s="545" t="str">
        <f t="shared" si="131"/>
        <v/>
      </c>
      <c r="AB339" s="542" t="str">
        <f t="shared" si="132"/>
        <v/>
      </c>
      <c r="AC339" s="539" t="str">
        <f t="shared" si="133"/>
        <v/>
      </c>
      <c r="AD339" s="546" t="str">
        <f t="shared" si="134"/>
        <v/>
      </c>
      <c r="AE339" s="539" t="str">
        <f t="shared" si="135"/>
        <v/>
      </c>
      <c r="AF339" s="546" t="str">
        <f t="shared" si="136"/>
        <v/>
      </c>
      <c r="AG339" s="539" t="str">
        <f t="shared" si="137"/>
        <v/>
      </c>
      <c r="AH339" s="32">
        <f t="shared" si="139"/>
        <v>0</v>
      </c>
      <c r="AI339" s="32">
        <f t="shared" si="140"/>
        <v>0</v>
      </c>
      <c r="AJ339" s="32">
        <f t="shared" si="141"/>
        <v>0</v>
      </c>
      <c r="AK339" t="str">
        <f t="shared" si="142"/>
        <v/>
      </c>
      <c r="AL339" t="str">
        <f t="shared" si="143"/>
        <v/>
      </c>
      <c r="AM339" t="str">
        <f t="shared" si="144"/>
        <v/>
      </c>
      <c r="AO339" t="str">
        <f>IFERROR(VLOOKUP(M339,'Fixture Identities'!$B$9:$O$1045,14,FALSE),"")</f>
        <v/>
      </c>
      <c r="AP339" t="str">
        <f t="shared" si="138"/>
        <v/>
      </c>
    </row>
    <row r="340" spans="1:42">
      <c r="A340" s="71">
        <f t="shared" si="146"/>
        <v>0</v>
      </c>
      <c r="B340" s="513">
        <f t="shared" si="145"/>
        <v>328</v>
      </c>
      <c r="C340" s="530" t="str">
        <f>IF(Inventory!E337="","",Inventory!E337)</f>
        <v/>
      </c>
      <c r="D340" s="531">
        <f>IF(Inventory!D337="",0,Inventory!D337)</f>
        <v>0</v>
      </c>
      <c r="E340" s="532" t="str">
        <f>IF(Inventory!I337=0,"",Inventory!I337)</f>
        <v/>
      </c>
      <c r="F340" s="533" t="str">
        <f t="shared" si="125"/>
        <v/>
      </c>
      <c r="G340" s="534" t="str">
        <f>IF(Inventory!G337="","",Inventory!G337)</f>
        <v/>
      </c>
      <c r="H340" s="535" t="str">
        <f t="shared" si="126"/>
        <v/>
      </c>
      <c r="I340" s="536" t="str">
        <f>IF(Inventory!J337="","",Inventory!J337)</f>
        <v/>
      </c>
      <c r="J340" s="537" t="str">
        <f>IFERROR(IF(PRJ_Type="New Construction",IF(Inventory!C337="N",INDEX(xyLPD_BuildingArea,MATCH(Building_Type,Lookups!$F$37:$F$75,0),4),INDEX(xyLPD_SpaceBySpace,MATCH(INDEX(xyNCEx,MATCH(I340,yNCExArea,0),2),ySpace_by_Space_Type,0),2)),VLOOKUP(E340,xyWattage_Table,11,FALSE)),"")</f>
        <v/>
      </c>
      <c r="K340" s="538" t="str">
        <f>IFERROR(IF(AND(NC_Type="Building Area Method",Inventory!C337="N"),IF(ISERROR(INDEX('Usage Groups (&gt;120 MWh only)'!$N$8:$N$12,MATCH(C340,'Usage Groups (&gt;120 MWh only)'!$B$8:$B$12,0),1))=TRUE,SqFt/COUNTIFS(Inventory!$C$10:$C$1009,"N",$Q$13:$Q$1012,"&gt;=0"),INDEX('Usage Groups (&gt;120 MWh only)'!$N$8:$N$12,MATCH(C340,'Usage Groups (&gt;120 MWh only)'!$B$8:$B$12,0),1)/COUNTIF($C$13:$C$1012,C340)),IF(AND(NC_Type="Building Area Method",Inventory!C337="Y"),INDEX(xyNCEx,MATCH(I340,yNCExArea,0),3)/COUNTIF($I$13:$I$1012,I340),VLOOKUP(J340,xyWattage_Table,10,FALSE))),"")</f>
        <v/>
      </c>
      <c r="L340" s="539" t="str">
        <f t="shared" si="127"/>
        <v/>
      </c>
      <c r="M340" s="540">
        <f>IF(Inventory!N337="","",Inventory!N337)</f>
        <v>0</v>
      </c>
      <c r="N340" s="533" t="str">
        <f t="shared" si="128"/>
        <v/>
      </c>
      <c r="O340" s="534"/>
      <c r="P340" s="533" t="str">
        <f t="shared" si="129"/>
        <v/>
      </c>
      <c r="Q340" s="534" t="str">
        <f>IF(Inventory!L337="","",Inventory!L337)</f>
        <v/>
      </c>
      <c r="R340" s="535" t="str">
        <f t="shared" si="130"/>
        <v/>
      </c>
      <c r="S340" s="536" t="str">
        <f>IF(Inventory!O337="","",Inventory!O337)</f>
        <v/>
      </c>
      <c r="T340" s="541" t="str">
        <f>IFERROR(IF(C340="","",IF(INDEX(xyWattage_Table,MATCH(M340,'Fixture Identities'!$B$9:$B$997,0),2)="Exit Sign",8760,IF(VLOOKUP(C340,xySpace_Type_Details,8,FALSE)="TRM",INDEX('General Information'!$AF$17:$AG$28,11,MATCH(N340,'General Information'!$AF$16:$AG$16,0)),HLOOKUP(VLOOKUP(C340,xySpace_Type_Details,8,FALSE),'General Information'!$P$15:$AG$28,13,FALSE)))),"")</f>
        <v/>
      </c>
      <c r="U340" s="542" t="str">
        <f>IFERROR(IF(C340="","",IF(INDEX(xyWattage_Table,MATCH(M340,'Fixture Identities'!$B$9:$B$997,0),2)="Exit Sign",1,IF(VLOOKUP(C340,xySpace_Type_Details,8,FALSE)="TRM",INDEX('General Information'!$AF$17:$AG$28,12,MATCH(N340,'General Information'!$AF$16:$AG$16,0)),HLOOKUP(VLOOKUP(C340,xySpace_Type_Details,8,FALSE),'General Information'!$P$15:$AG$28,14,FALSE)))),"")</f>
        <v/>
      </c>
      <c r="V340" s="542" t="str">
        <f>IFERROR(VLOOKUP(INDEX(xySpace_Type_Details,MATCH($C340,'General Information'!$C$40:$C$60,0),12),Lookups!$L$8:$N$12,2,FALSE),"")</f>
        <v/>
      </c>
      <c r="W340" s="542" t="str">
        <f>IFERROR(VLOOKUP(INDEX(xySpace_Type_Details,MATCH($C340,'General Information'!$C$40:$C$60,0),12),Lookups!$L$8:$N$12,3,FALSE),"")</f>
        <v/>
      </c>
      <c r="Y340" s="542" t="str">
        <f>IFERROR(IF(C340="","",IF(INDEX(xyWattage_Table,MATCH(M340,'Fixture Identities'!$B$9:$B$997,0),2)="Exit Sign",0,IF(PRJ_Type="Retrofit",VLOOKUP(I340,xySVG_Factors,2,FALSE),IF(AND(PRJ_Type="New Construction",Inventory!C337="N"),VLOOKUP(VLOOKUP(Building_Type,xyLPD_BuildingArea,5,FALSE),xySVG_Factors_NC,3,FALSE),0)))),"")</f>
        <v/>
      </c>
      <c r="Z340" s="544" t="str">
        <f>IFERROR(IF(C340="","",IF(INDEX(xyWattage_Table,MATCH(M340,'Fixture Identities'!$B$9:$B$997,0),2)="Exit Sign",0,VLOOKUP(S340,xySVG_Factors,2,FALSE))),"")</f>
        <v/>
      </c>
      <c r="AA340" s="545" t="str">
        <f t="shared" si="131"/>
        <v/>
      </c>
      <c r="AB340" s="542" t="str">
        <f t="shared" si="132"/>
        <v/>
      </c>
      <c r="AC340" s="539" t="str">
        <f t="shared" si="133"/>
        <v/>
      </c>
      <c r="AD340" s="546" t="str">
        <f t="shared" si="134"/>
        <v/>
      </c>
      <c r="AE340" s="539" t="str">
        <f t="shared" si="135"/>
        <v/>
      </c>
      <c r="AF340" s="546" t="str">
        <f t="shared" si="136"/>
        <v/>
      </c>
      <c r="AG340" s="539" t="str">
        <f t="shared" si="137"/>
        <v/>
      </c>
      <c r="AH340" s="32">
        <f t="shared" si="139"/>
        <v>0</v>
      </c>
      <c r="AI340" s="32">
        <f t="shared" si="140"/>
        <v>0</v>
      </c>
      <c r="AJ340" s="32">
        <f t="shared" si="141"/>
        <v>0</v>
      </c>
      <c r="AK340" t="str">
        <f t="shared" si="142"/>
        <v/>
      </c>
      <c r="AL340" t="str">
        <f t="shared" si="143"/>
        <v/>
      </c>
      <c r="AM340" t="str">
        <f t="shared" si="144"/>
        <v/>
      </c>
      <c r="AO340" t="str">
        <f>IFERROR(VLOOKUP(M340,'Fixture Identities'!$B$9:$O$1045,14,FALSE),"")</f>
        <v/>
      </c>
      <c r="AP340" t="str">
        <f t="shared" si="138"/>
        <v/>
      </c>
    </row>
    <row r="341" spans="1:42">
      <c r="A341" s="71">
        <f t="shared" si="146"/>
        <v>0</v>
      </c>
      <c r="B341" s="513">
        <f t="shared" si="145"/>
        <v>329</v>
      </c>
      <c r="C341" s="530" t="str">
        <f>IF(Inventory!E338="","",Inventory!E338)</f>
        <v/>
      </c>
      <c r="D341" s="531">
        <f>IF(Inventory!D338="",0,Inventory!D338)</f>
        <v>0</v>
      </c>
      <c r="E341" s="532" t="str">
        <f>IF(Inventory!I338=0,"",Inventory!I338)</f>
        <v/>
      </c>
      <c r="F341" s="533" t="str">
        <f t="shared" si="125"/>
        <v/>
      </c>
      <c r="G341" s="534" t="str">
        <f>IF(Inventory!G338="","",Inventory!G338)</f>
        <v/>
      </c>
      <c r="H341" s="535" t="str">
        <f t="shared" si="126"/>
        <v/>
      </c>
      <c r="I341" s="536" t="str">
        <f>IF(Inventory!J338="","",Inventory!J338)</f>
        <v/>
      </c>
      <c r="J341" s="537" t="str">
        <f>IFERROR(IF(PRJ_Type="New Construction",IF(Inventory!C338="N",INDEX(xyLPD_BuildingArea,MATCH(Building_Type,Lookups!$F$37:$F$75,0),4),INDEX(xyLPD_SpaceBySpace,MATCH(INDEX(xyNCEx,MATCH(I341,yNCExArea,0),2),ySpace_by_Space_Type,0),2)),VLOOKUP(E341,xyWattage_Table,11,FALSE)),"")</f>
        <v/>
      </c>
      <c r="K341" s="538" t="str">
        <f>IFERROR(IF(AND(NC_Type="Building Area Method",Inventory!C338="N"),IF(ISERROR(INDEX('Usage Groups (&gt;120 MWh only)'!$N$8:$N$12,MATCH(C341,'Usage Groups (&gt;120 MWh only)'!$B$8:$B$12,0),1))=TRUE,SqFt/COUNTIFS(Inventory!$C$10:$C$1009,"N",$Q$13:$Q$1012,"&gt;=0"),INDEX('Usage Groups (&gt;120 MWh only)'!$N$8:$N$12,MATCH(C341,'Usage Groups (&gt;120 MWh only)'!$B$8:$B$12,0),1)/COUNTIF($C$13:$C$1012,C341)),IF(AND(NC_Type="Building Area Method",Inventory!C338="Y"),INDEX(xyNCEx,MATCH(I341,yNCExArea,0),3)/COUNTIF($I$13:$I$1012,I341),VLOOKUP(J341,xyWattage_Table,10,FALSE))),"")</f>
        <v/>
      </c>
      <c r="L341" s="539" t="str">
        <f t="shared" si="127"/>
        <v/>
      </c>
      <c r="M341" s="540">
        <f>IF(Inventory!N338="","",Inventory!N338)</f>
        <v>0</v>
      </c>
      <c r="N341" s="533" t="str">
        <f t="shared" si="128"/>
        <v/>
      </c>
      <c r="O341" s="534"/>
      <c r="P341" s="533" t="str">
        <f t="shared" si="129"/>
        <v/>
      </c>
      <c r="Q341" s="534" t="str">
        <f>IF(Inventory!L338="","",Inventory!L338)</f>
        <v/>
      </c>
      <c r="R341" s="535" t="str">
        <f t="shared" si="130"/>
        <v/>
      </c>
      <c r="S341" s="536" t="str">
        <f>IF(Inventory!O338="","",Inventory!O338)</f>
        <v/>
      </c>
      <c r="T341" s="541" t="str">
        <f>IFERROR(IF(C341="","",IF(INDEX(xyWattage_Table,MATCH(M341,'Fixture Identities'!$B$9:$B$997,0),2)="Exit Sign",8760,IF(VLOOKUP(C341,xySpace_Type_Details,8,FALSE)="TRM",INDEX('General Information'!$AF$17:$AG$28,11,MATCH(N341,'General Information'!$AF$16:$AG$16,0)),HLOOKUP(VLOOKUP(C341,xySpace_Type_Details,8,FALSE),'General Information'!$P$15:$AG$28,13,FALSE)))),"")</f>
        <v/>
      </c>
      <c r="U341" s="542" t="str">
        <f>IFERROR(IF(C341="","",IF(INDEX(xyWattage_Table,MATCH(M341,'Fixture Identities'!$B$9:$B$997,0),2)="Exit Sign",1,IF(VLOOKUP(C341,xySpace_Type_Details,8,FALSE)="TRM",INDEX('General Information'!$AF$17:$AG$28,12,MATCH(N341,'General Information'!$AF$16:$AG$16,0)),HLOOKUP(VLOOKUP(C341,xySpace_Type_Details,8,FALSE),'General Information'!$P$15:$AG$28,14,FALSE)))),"")</f>
        <v/>
      </c>
      <c r="V341" s="542" t="str">
        <f>IFERROR(VLOOKUP(INDEX(xySpace_Type_Details,MATCH($C341,'General Information'!$C$40:$C$60,0),12),Lookups!$L$8:$N$12,2,FALSE),"")</f>
        <v/>
      </c>
      <c r="W341" s="542" t="str">
        <f>IFERROR(VLOOKUP(INDEX(xySpace_Type_Details,MATCH($C341,'General Information'!$C$40:$C$60,0),12),Lookups!$L$8:$N$12,3,FALSE),"")</f>
        <v/>
      </c>
      <c r="Y341" s="542" t="str">
        <f>IFERROR(IF(C341="","",IF(INDEX(xyWattage_Table,MATCH(M341,'Fixture Identities'!$B$9:$B$997,0),2)="Exit Sign",0,IF(PRJ_Type="Retrofit",VLOOKUP(I341,xySVG_Factors,2,FALSE),IF(AND(PRJ_Type="New Construction",Inventory!C338="N"),VLOOKUP(VLOOKUP(Building_Type,xyLPD_BuildingArea,5,FALSE),xySVG_Factors_NC,3,FALSE),0)))),"")</f>
        <v/>
      </c>
      <c r="Z341" s="544" t="str">
        <f>IFERROR(IF(C341="","",IF(INDEX(xyWattage_Table,MATCH(M341,'Fixture Identities'!$B$9:$B$997,0),2)="Exit Sign",0,VLOOKUP(S341,xySVG_Factors,2,FALSE))),"")</f>
        <v/>
      </c>
      <c r="AA341" s="545" t="str">
        <f t="shared" si="131"/>
        <v/>
      </c>
      <c r="AB341" s="542" t="str">
        <f t="shared" si="132"/>
        <v/>
      </c>
      <c r="AC341" s="539" t="str">
        <f t="shared" si="133"/>
        <v/>
      </c>
      <c r="AD341" s="546" t="str">
        <f t="shared" si="134"/>
        <v/>
      </c>
      <c r="AE341" s="539" t="str">
        <f t="shared" si="135"/>
        <v/>
      </c>
      <c r="AF341" s="546" t="str">
        <f t="shared" si="136"/>
        <v/>
      </c>
      <c r="AG341" s="539" t="str">
        <f t="shared" si="137"/>
        <v/>
      </c>
      <c r="AH341" s="32">
        <f t="shared" si="139"/>
        <v>0</v>
      </c>
      <c r="AI341" s="32">
        <f t="shared" si="140"/>
        <v>0</v>
      </c>
      <c r="AJ341" s="32">
        <f t="shared" si="141"/>
        <v>0</v>
      </c>
      <c r="AK341" t="str">
        <f t="shared" si="142"/>
        <v/>
      </c>
      <c r="AL341" t="str">
        <f t="shared" si="143"/>
        <v/>
      </c>
      <c r="AM341" t="str">
        <f t="shared" si="144"/>
        <v/>
      </c>
      <c r="AO341" t="str">
        <f>IFERROR(VLOOKUP(M341,'Fixture Identities'!$B$9:$O$1045,14,FALSE),"")</f>
        <v/>
      </c>
      <c r="AP341" t="str">
        <f t="shared" si="138"/>
        <v/>
      </c>
    </row>
    <row r="342" spans="1:42">
      <c r="A342" s="71">
        <f t="shared" si="146"/>
        <v>0</v>
      </c>
      <c r="B342" s="513">
        <f t="shared" si="145"/>
        <v>330</v>
      </c>
      <c r="C342" s="530" t="str">
        <f>IF(Inventory!E339="","",Inventory!E339)</f>
        <v/>
      </c>
      <c r="D342" s="531">
        <f>IF(Inventory!D339="",0,Inventory!D339)</f>
        <v>0</v>
      </c>
      <c r="E342" s="532" t="str">
        <f>IF(Inventory!I339=0,"",Inventory!I339)</f>
        <v/>
      </c>
      <c r="F342" s="533" t="str">
        <f t="shared" si="125"/>
        <v/>
      </c>
      <c r="G342" s="534" t="str">
        <f>IF(Inventory!G339="","",Inventory!G339)</f>
        <v/>
      </c>
      <c r="H342" s="535" t="str">
        <f t="shared" si="126"/>
        <v/>
      </c>
      <c r="I342" s="536" t="str">
        <f>IF(Inventory!J339="","",Inventory!J339)</f>
        <v/>
      </c>
      <c r="J342" s="537" t="str">
        <f>IFERROR(IF(PRJ_Type="New Construction",IF(Inventory!C339="N",INDEX(xyLPD_BuildingArea,MATCH(Building_Type,Lookups!$F$37:$F$75,0),4),INDEX(xyLPD_SpaceBySpace,MATCH(INDEX(xyNCEx,MATCH(I342,yNCExArea,0),2),ySpace_by_Space_Type,0),2)),VLOOKUP(E342,xyWattage_Table,11,FALSE)),"")</f>
        <v/>
      </c>
      <c r="K342" s="538" t="str">
        <f>IFERROR(IF(AND(NC_Type="Building Area Method",Inventory!C339="N"),IF(ISERROR(INDEX('Usage Groups (&gt;120 MWh only)'!$N$8:$N$12,MATCH(C342,'Usage Groups (&gt;120 MWh only)'!$B$8:$B$12,0),1))=TRUE,SqFt/COUNTIFS(Inventory!$C$10:$C$1009,"N",$Q$13:$Q$1012,"&gt;=0"),INDEX('Usage Groups (&gt;120 MWh only)'!$N$8:$N$12,MATCH(C342,'Usage Groups (&gt;120 MWh only)'!$B$8:$B$12,0),1)/COUNTIF($C$13:$C$1012,C342)),IF(AND(NC_Type="Building Area Method",Inventory!C339="Y"),INDEX(xyNCEx,MATCH(I342,yNCExArea,0),3)/COUNTIF($I$13:$I$1012,I342),VLOOKUP(J342,xyWattage_Table,10,FALSE))),"")</f>
        <v/>
      </c>
      <c r="L342" s="539" t="str">
        <f t="shared" si="127"/>
        <v/>
      </c>
      <c r="M342" s="540">
        <f>IF(Inventory!N339="","",Inventory!N339)</f>
        <v>0</v>
      </c>
      <c r="N342" s="533" t="str">
        <f t="shared" si="128"/>
        <v/>
      </c>
      <c r="O342" s="534"/>
      <c r="P342" s="533" t="str">
        <f t="shared" si="129"/>
        <v/>
      </c>
      <c r="Q342" s="534" t="str">
        <f>IF(Inventory!L339="","",Inventory!L339)</f>
        <v/>
      </c>
      <c r="R342" s="535" t="str">
        <f t="shared" si="130"/>
        <v/>
      </c>
      <c r="S342" s="536" t="str">
        <f>IF(Inventory!O339="","",Inventory!O339)</f>
        <v/>
      </c>
      <c r="T342" s="541" t="str">
        <f>IFERROR(IF(C342="","",IF(INDEX(xyWattage_Table,MATCH(M342,'Fixture Identities'!$B$9:$B$997,0),2)="Exit Sign",8760,IF(VLOOKUP(C342,xySpace_Type_Details,8,FALSE)="TRM",INDEX('General Information'!$AF$17:$AG$28,11,MATCH(N342,'General Information'!$AF$16:$AG$16,0)),HLOOKUP(VLOOKUP(C342,xySpace_Type_Details,8,FALSE),'General Information'!$P$15:$AG$28,13,FALSE)))),"")</f>
        <v/>
      </c>
      <c r="U342" s="542" t="str">
        <f>IFERROR(IF(C342="","",IF(INDEX(xyWattage_Table,MATCH(M342,'Fixture Identities'!$B$9:$B$997,0),2)="Exit Sign",1,IF(VLOOKUP(C342,xySpace_Type_Details,8,FALSE)="TRM",INDEX('General Information'!$AF$17:$AG$28,12,MATCH(N342,'General Information'!$AF$16:$AG$16,0)),HLOOKUP(VLOOKUP(C342,xySpace_Type_Details,8,FALSE),'General Information'!$P$15:$AG$28,14,FALSE)))),"")</f>
        <v/>
      </c>
      <c r="V342" s="542" t="str">
        <f>IFERROR(VLOOKUP(INDEX(xySpace_Type_Details,MATCH($C342,'General Information'!$C$40:$C$60,0),12),Lookups!$L$8:$N$12,2,FALSE),"")</f>
        <v/>
      </c>
      <c r="W342" s="542" t="str">
        <f>IFERROR(VLOOKUP(INDEX(xySpace_Type_Details,MATCH($C342,'General Information'!$C$40:$C$60,0),12),Lookups!$L$8:$N$12,3,FALSE),"")</f>
        <v/>
      </c>
      <c r="Y342" s="542" t="str">
        <f>IFERROR(IF(C342="","",IF(INDEX(xyWattage_Table,MATCH(M342,'Fixture Identities'!$B$9:$B$997,0),2)="Exit Sign",0,IF(PRJ_Type="Retrofit",VLOOKUP(I342,xySVG_Factors,2,FALSE),IF(AND(PRJ_Type="New Construction",Inventory!C339="N"),VLOOKUP(VLOOKUP(Building_Type,xyLPD_BuildingArea,5,FALSE),xySVG_Factors_NC,3,FALSE),0)))),"")</f>
        <v/>
      </c>
      <c r="Z342" s="544" t="str">
        <f>IFERROR(IF(C342="","",IF(INDEX(xyWattage_Table,MATCH(M342,'Fixture Identities'!$B$9:$B$997,0),2)="Exit Sign",0,VLOOKUP(S342,xySVG_Factors,2,FALSE))),"")</f>
        <v/>
      </c>
      <c r="AA342" s="545" t="str">
        <f t="shared" si="131"/>
        <v/>
      </c>
      <c r="AB342" s="542" t="str">
        <f t="shared" si="132"/>
        <v/>
      </c>
      <c r="AC342" s="539" t="str">
        <f t="shared" si="133"/>
        <v/>
      </c>
      <c r="AD342" s="546" t="str">
        <f t="shared" si="134"/>
        <v/>
      </c>
      <c r="AE342" s="539" t="str">
        <f t="shared" si="135"/>
        <v/>
      </c>
      <c r="AF342" s="546" t="str">
        <f t="shared" si="136"/>
        <v/>
      </c>
      <c r="AG342" s="539" t="str">
        <f t="shared" si="137"/>
        <v/>
      </c>
      <c r="AH342" s="32">
        <f t="shared" si="139"/>
        <v>0</v>
      </c>
      <c r="AI342" s="32">
        <f t="shared" si="140"/>
        <v>0</v>
      </c>
      <c r="AJ342" s="32">
        <f t="shared" si="141"/>
        <v>0</v>
      </c>
      <c r="AK342" t="str">
        <f t="shared" si="142"/>
        <v/>
      </c>
      <c r="AL342" t="str">
        <f t="shared" si="143"/>
        <v/>
      </c>
      <c r="AM342" t="str">
        <f t="shared" si="144"/>
        <v/>
      </c>
      <c r="AO342" t="str">
        <f>IFERROR(VLOOKUP(M342,'Fixture Identities'!$B$9:$O$1045,14,FALSE),"")</f>
        <v/>
      </c>
      <c r="AP342" t="str">
        <f t="shared" si="138"/>
        <v/>
      </c>
    </row>
    <row r="343" spans="1:42">
      <c r="A343" s="71">
        <f t="shared" si="146"/>
        <v>0</v>
      </c>
      <c r="B343" s="513">
        <f t="shared" si="145"/>
        <v>331</v>
      </c>
      <c r="C343" s="530" t="str">
        <f>IF(Inventory!E340="","",Inventory!E340)</f>
        <v/>
      </c>
      <c r="D343" s="531">
        <f>IF(Inventory!D340="",0,Inventory!D340)</f>
        <v>0</v>
      </c>
      <c r="E343" s="532" t="str">
        <f>IF(Inventory!I340=0,"",Inventory!I340)</f>
        <v/>
      </c>
      <c r="F343" s="533" t="str">
        <f t="shared" si="125"/>
        <v/>
      </c>
      <c r="G343" s="534" t="str">
        <f>IF(Inventory!G340="","",Inventory!G340)</f>
        <v/>
      </c>
      <c r="H343" s="535" t="str">
        <f t="shared" si="126"/>
        <v/>
      </c>
      <c r="I343" s="536" t="str">
        <f>IF(Inventory!J340="","",Inventory!J340)</f>
        <v/>
      </c>
      <c r="J343" s="537" t="str">
        <f>IFERROR(IF(PRJ_Type="New Construction",IF(Inventory!C340="N",INDEX(xyLPD_BuildingArea,MATCH(Building_Type,Lookups!$F$37:$F$75,0),4),INDEX(xyLPD_SpaceBySpace,MATCH(INDEX(xyNCEx,MATCH(I343,yNCExArea,0),2),ySpace_by_Space_Type,0),2)),VLOOKUP(E343,xyWattage_Table,11,FALSE)),"")</f>
        <v/>
      </c>
      <c r="K343" s="538" t="str">
        <f>IFERROR(IF(AND(NC_Type="Building Area Method",Inventory!C340="N"),IF(ISERROR(INDEX('Usage Groups (&gt;120 MWh only)'!$N$8:$N$12,MATCH(C343,'Usage Groups (&gt;120 MWh only)'!$B$8:$B$12,0),1))=TRUE,SqFt/COUNTIFS(Inventory!$C$10:$C$1009,"N",$Q$13:$Q$1012,"&gt;=0"),INDEX('Usage Groups (&gt;120 MWh only)'!$N$8:$N$12,MATCH(C343,'Usage Groups (&gt;120 MWh only)'!$B$8:$B$12,0),1)/COUNTIF($C$13:$C$1012,C343)),IF(AND(NC_Type="Building Area Method",Inventory!C340="Y"),INDEX(xyNCEx,MATCH(I343,yNCExArea,0),3)/COUNTIF($I$13:$I$1012,I343),VLOOKUP(J343,xyWattage_Table,10,FALSE))),"")</f>
        <v/>
      </c>
      <c r="L343" s="539" t="str">
        <f t="shared" si="127"/>
        <v/>
      </c>
      <c r="M343" s="540">
        <f>IF(Inventory!N340="","",Inventory!N340)</f>
        <v>0</v>
      </c>
      <c r="N343" s="533" t="str">
        <f t="shared" si="128"/>
        <v/>
      </c>
      <c r="O343" s="534"/>
      <c r="P343" s="533" t="str">
        <f t="shared" si="129"/>
        <v/>
      </c>
      <c r="Q343" s="534" t="str">
        <f>IF(Inventory!L340="","",Inventory!L340)</f>
        <v/>
      </c>
      <c r="R343" s="535" t="str">
        <f t="shared" si="130"/>
        <v/>
      </c>
      <c r="S343" s="536" t="str">
        <f>IF(Inventory!O340="","",Inventory!O340)</f>
        <v/>
      </c>
      <c r="T343" s="541" t="str">
        <f>IFERROR(IF(C343="","",IF(INDEX(xyWattage_Table,MATCH(M343,'Fixture Identities'!$B$9:$B$997,0),2)="Exit Sign",8760,IF(VLOOKUP(C343,xySpace_Type_Details,8,FALSE)="TRM",INDEX('General Information'!$AF$17:$AG$28,11,MATCH(N343,'General Information'!$AF$16:$AG$16,0)),HLOOKUP(VLOOKUP(C343,xySpace_Type_Details,8,FALSE),'General Information'!$P$15:$AG$28,13,FALSE)))),"")</f>
        <v/>
      </c>
      <c r="U343" s="542" t="str">
        <f>IFERROR(IF(C343="","",IF(INDEX(xyWattage_Table,MATCH(M343,'Fixture Identities'!$B$9:$B$997,0),2)="Exit Sign",1,IF(VLOOKUP(C343,xySpace_Type_Details,8,FALSE)="TRM",INDEX('General Information'!$AF$17:$AG$28,12,MATCH(N343,'General Information'!$AF$16:$AG$16,0)),HLOOKUP(VLOOKUP(C343,xySpace_Type_Details,8,FALSE),'General Information'!$P$15:$AG$28,14,FALSE)))),"")</f>
        <v/>
      </c>
      <c r="V343" s="542" t="str">
        <f>IFERROR(VLOOKUP(INDEX(xySpace_Type_Details,MATCH($C343,'General Information'!$C$40:$C$60,0),12),Lookups!$L$8:$N$12,2,FALSE),"")</f>
        <v/>
      </c>
      <c r="W343" s="542" t="str">
        <f>IFERROR(VLOOKUP(INDEX(xySpace_Type_Details,MATCH($C343,'General Information'!$C$40:$C$60,0),12),Lookups!$L$8:$N$12,3,FALSE),"")</f>
        <v/>
      </c>
      <c r="Y343" s="542" t="str">
        <f>IFERROR(IF(C343="","",IF(INDEX(xyWattage_Table,MATCH(M343,'Fixture Identities'!$B$9:$B$997,0),2)="Exit Sign",0,IF(PRJ_Type="Retrofit",VLOOKUP(I343,xySVG_Factors,2,FALSE),IF(AND(PRJ_Type="New Construction",Inventory!C340="N"),VLOOKUP(VLOOKUP(Building_Type,xyLPD_BuildingArea,5,FALSE),xySVG_Factors_NC,3,FALSE),0)))),"")</f>
        <v/>
      </c>
      <c r="Z343" s="544" t="str">
        <f>IFERROR(IF(C343="","",IF(INDEX(xyWattage_Table,MATCH(M343,'Fixture Identities'!$B$9:$B$997,0),2)="Exit Sign",0,VLOOKUP(S343,xySVG_Factors,2,FALSE))),"")</f>
        <v/>
      </c>
      <c r="AA343" s="545" t="str">
        <f t="shared" si="131"/>
        <v/>
      </c>
      <c r="AB343" s="542" t="str">
        <f t="shared" si="132"/>
        <v/>
      </c>
      <c r="AC343" s="539" t="str">
        <f t="shared" si="133"/>
        <v/>
      </c>
      <c r="AD343" s="546" t="str">
        <f t="shared" si="134"/>
        <v/>
      </c>
      <c r="AE343" s="539" t="str">
        <f t="shared" si="135"/>
        <v/>
      </c>
      <c r="AF343" s="546" t="str">
        <f t="shared" si="136"/>
        <v/>
      </c>
      <c r="AG343" s="539" t="str">
        <f t="shared" si="137"/>
        <v/>
      </c>
      <c r="AH343" s="32">
        <f t="shared" si="139"/>
        <v>0</v>
      </c>
      <c r="AI343" s="32">
        <f t="shared" si="140"/>
        <v>0</v>
      </c>
      <c r="AJ343" s="32">
        <f t="shared" si="141"/>
        <v>0</v>
      </c>
      <c r="AK343" t="str">
        <f t="shared" si="142"/>
        <v/>
      </c>
      <c r="AL343" t="str">
        <f t="shared" si="143"/>
        <v/>
      </c>
      <c r="AM343" t="str">
        <f t="shared" si="144"/>
        <v/>
      </c>
      <c r="AO343" t="str">
        <f>IFERROR(VLOOKUP(M343,'Fixture Identities'!$B$9:$O$1045,14,FALSE),"")</f>
        <v/>
      </c>
      <c r="AP343" t="str">
        <f t="shared" si="138"/>
        <v/>
      </c>
    </row>
    <row r="344" spans="1:42">
      <c r="A344" s="71">
        <f t="shared" si="146"/>
        <v>0</v>
      </c>
      <c r="B344" s="513">
        <f t="shared" si="145"/>
        <v>332</v>
      </c>
      <c r="C344" s="530" t="str">
        <f>IF(Inventory!E341="","",Inventory!E341)</f>
        <v/>
      </c>
      <c r="D344" s="531">
        <f>IF(Inventory!D341="",0,Inventory!D341)</f>
        <v>0</v>
      </c>
      <c r="E344" s="532" t="str">
        <f>IF(Inventory!I341=0,"",Inventory!I341)</f>
        <v/>
      </c>
      <c r="F344" s="533" t="str">
        <f t="shared" si="125"/>
        <v/>
      </c>
      <c r="G344" s="534" t="str">
        <f>IF(Inventory!G341="","",Inventory!G341)</f>
        <v/>
      </c>
      <c r="H344" s="535" t="str">
        <f t="shared" si="126"/>
        <v/>
      </c>
      <c r="I344" s="536" t="str">
        <f>IF(Inventory!J341="","",Inventory!J341)</f>
        <v/>
      </c>
      <c r="J344" s="537" t="str">
        <f>IFERROR(IF(PRJ_Type="New Construction",IF(Inventory!C341="N",INDEX(xyLPD_BuildingArea,MATCH(Building_Type,Lookups!$F$37:$F$75,0),4),INDEX(xyLPD_SpaceBySpace,MATCH(INDEX(xyNCEx,MATCH(I344,yNCExArea,0),2),ySpace_by_Space_Type,0),2)),VLOOKUP(E344,xyWattage_Table,11,FALSE)),"")</f>
        <v/>
      </c>
      <c r="K344" s="538" t="str">
        <f>IFERROR(IF(AND(NC_Type="Building Area Method",Inventory!C341="N"),IF(ISERROR(INDEX('Usage Groups (&gt;120 MWh only)'!$N$8:$N$12,MATCH(C344,'Usage Groups (&gt;120 MWh only)'!$B$8:$B$12,0),1))=TRUE,SqFt/COUNTIFS(Inventory!$C$10:$C$1009,"N",$Q$13:$Q$1012,"&gt;=0"),INDEX('Usage Groups (&gt;120 MWh only)'!$N$8:$N$12,MATCH(C344,'Usage Groups (&gt;120 MWh only)'!$B$8:$B$12,0),1)/COUNTIF($C$13:$C$1012,C344)),IF(AND(NC_Type="Building Area Method",Inventory!C341="Y"),INDEX(xyNCEx,MATCH(I344,yNCExArea,0),3)/COUNTIF($I$13:$I$1012,I344),VLOOKUP(J344,xyWattage_Table,10,FALSE))),"")</f>
        <v/>
      </c>
      <c r="L344" s="539" t="str">
        <f t="shared" si="127"/>
        <v/>
      </c>
      <c r="M344" s="540">
        <f>IF(Inventory!N341="","",Inventory!N341)</f>
        <v>0</v>
      </c>
      <c r="N344" s="533" t="str">
        <f t="shared" si="128"/>
        <v/>
      </c>
      <c r="O344" s="534"/>
      <c r="P344" s="533" t="str">
        <f t="shared" si="129"/>
        <v/>
      </c>
      <c r="Q344" s="534" t="str">
        <f>IF(Inventory!L341="","",Inventory!L341)</f>
        <v/>
      </c>
      <c r="R344" s="535" t="str">
        <f t="shared" si="130"/>
        <v/>
      </c>
      <c r="S344" s="536" t="str">
        <f>IF(Inventory!O341="","",Inventory!O341)</f>
        <v/>
      </c>
      <c r="T344" s="541" t="str">
        <f>IFERROR(IF(C344="","",IF(INDEX(xyWattage_Table,MATCH(M344,'Fixture Identities'!$B$9:$B$997,0),2)="Exit Sign",8760,IF(VLOOKUP(C344,xySpace_Type_Details,8,FALSE)="TRM",INDEX('General Information'!$AF$17:$AG$28,11,MATCH(N344,'General Information'!$AF$16:$AG$16,0)),HLOOKUP(VLOOKUP(C344,xySpace_Type_Details,8,FALSE),'General Information'!$P$15:$AG$28,13,FALSE)))),"")</f>
        <v/>
      </c>
      <c r="U344" s="542" t="str">
        <f>IFERROR(IF(C344="","",IF(INDEX(xyWattage_Table,MATCH(M344,'Fixture Identities'!$B$9:$B$997,0),2)="Exit Sign",1,IF(VLOOKUP(C344,xySpace_Type_Details,8,FALSE)="TRM",INDEX('General Information'!$AF$17:$AG$28,12,MATCH(N344,'General Information'!$AF$16:$AG$16,0)),HLOOKUP(VLOOKUP(C344,xySpace_Type_Details,8,FALSE),'General Information'!$P$15:$AG$28,14,FALSE)))),"")</f>
        <v/>
      </c>
      <c r="V344" s="542" t="str">
        <f>IFERROR(VLOOKUP(INDEX(xySpace_Type_Details,MATCH($C344,'General Information'!$C$40:$C$60,0),12),Lookups!$L$8:$N$12,2,FALSE),"")</f>
        <v/>
      </c>
      <c r="W344" s="542" t="str">
        <f>IFERROR(VLOOKUP(INDEX(xySpace_Type_Details,MATCH($C344,'General Information'!$C$40:$C$60,0),12),Lookups!$L$8:$N$12,3,FALSE),"")</f>
        <v/>
      </c>
      <c r="Y344" s="542" t="str">
        <f>IFERROR(IF(C344="","",IF(INDEX(xyWattage_Table,MATCH(M344,'Fixture Identities'!$B$9:$B$997,0),2)="Exit Sign",0,IF(PRJ_Type="Retrofit",VLOOKUP(I344,xySVG_Factors,2,FALSE),IF(AND(PRJ_Type="New Construction",Inventory!C341="N"),VLOOKUP(VLOOKUP(Building_Type,xyLPD_BuildingArea,5,FALSE),xySVG_Factors_NC,3,FALSE),0)))),"")</f>
        <v/>
      </c>
      <c r="Z344" s="544" t="str">
        <f>IFERROR(IF(C344="","",IF(INDEX(xyWattage_Table,MATCH(M344,'Fixture Identities'!$B$9:$B$997,0),2)="Exit Sign",0,VLOOKUP(S344,xySVG_Factors,2,FALSE))),"")</f>
        <v/>
      </c>
      <c r="AA344" s="545" t="str">
        <f t="shared" si="131"/>
        <v/>
      </c>
      <c r="AB344" s="542" t="str">
        <f t="shared" si="132"/>
        <v/>
      </c>
      <c r="AC344" s="539" t="str">
        <f t="shared" si="133"/>
        <v/>
      </c>
      <c r="AD344" s="546" t="str">
        <f t="shared" si="134"/>
        <v/>
      </c>
      <c r="AE344" s="539" t="str">
        <f t="shared" si="135"/>
        <v/>
      </c>
      <c r="AF344" s="546" t="str">
        <f t="shared" si="136"/>
        <v/>
      </c>
      <c r="AG344" s="539" t="str">
        <f t="shared" si="137"/>
        <v/>
      </c>
      <c r="AH344" s="32">
        <f t="shared" si="139"/>
        <v>0</v>
      </c>
      <c r="AI344" s="32">
        <f t="shared" si="140"/>
        <v>0</v>
      </c>
      <c r="AJ344" s="32">
        <f t="shared" si="141"/>
        <v>0</v>
      </c>
      <c r="AK344" t="str">
        <f t="shared" si="142"/>
        <v/>
      </c>
      <c r="AL344" t="str">
        <f t="shared" si="143"/>
        <v/>
      </c>
      <c r="AM344" t="str">
        <f t="shared" si="144"/>
        <v/>
      </c>
      <c r="AO344" t="str">
        <f>IFERROR(VLOOKUP(M344,'Fixture Identities'!$B$9:$O$1045,14,FALSE),"")</f>
        <v/>
      </c>
      <c r="AP344" t="str">
        <f t="shared" si="138"/>
        <v/>
      </c>
    </row>
    <row r="345" spans="1:42">
      <c r="A345" s="71">
        <f t="shared" si="146"/>
        <v>0</v>
      </c>
      <c r="B345" s="513">
        <f t="shared" si="145"/>
        <v>333</v>
      </c>
      <c r="C345" s="530" t="str">
        <f>IF(Inventory!E342="","",Inventory!E342)</f>
        <v/>
      </c>
      <c r="D345" s="531">
        <f>IF(Inventory!D342="",0,Inventory!D342)</f>
        <v>0</v>
      </c>
      <c r="E345" s="532" t="str">
        <f>IF(Inventory!I342=0,"",Inventory!I342)</f>
        <v/>
      </c>
      <c r="F345" s="533" t="str">
        <f t="shared" si="125"/>
        <v/>
      </c>
      <c r="G345" s="534" t="str">
        <f>IF(Inventory!G342="","",Inventory!G342)</f>
        <v/>
      </c>
      <c r="H345" s="535" t="str">
        <f t="shared" si="126"/>
        <v/>
      </c>
      <c r="I345" s="536" t="str">
        <f>IF(Inventory!J342="","",Inventory!J342)</f>
        <v/>
      </c>
      <c r="J345" s="537" t="str">
        <f>IFERROR(IF(PRJ_Type="New Construction",IF(Inventory!C342="N",INDEX(xyLPD_BuildingArea,MATCH(Building_Type,Lookups!$F$37:$F$75,0),4),INDEX(xyLPD_SpaceBySpace,MATCH(INDEX(xyNCEx,MATCH(I345,yNCExArea,0),2),ySpace_by_Space_Type,0),2)),VLOOKUP(E345,xyWattage_Table,11,FALSE)),"")</f>
        <v/>
      </c>
      <c r="K345" s="538" t="str">
        <f>IFERROR(IF(AND(NC_Type="Building Area Method",Inventory!C342="N"),IF(ISERROR(INDEX('Usage Groups (&gt;120 MWh only)'!$N$8:$N$12,MATCH(C345,'Usage Groups (&gt;120 MWh only)'!$B$8:$B$12,0),1))=TRUE,SqFt/COUNTIFS(Inventory!$C$10:$C$1009,"N",$Q$13:$Q$1012,"&gt;=0"),INDEX('Usage Groups (&gt;120 MWh only)'!$N$8:$N$12,MATCH(C345,'Usage Groups (&gt;120 MWh only)'!$B$8:$B$12,0),1)/COUNTIF($C$13:$C$1012,C345)),IF(AND(NC_Type="Building Area Method",Inventory!C342="Y"),INDEX(xyNCEx,MATCH(I345,yNCExArea,0),3)/COUNTIF($I$13:$I$1012,I345),VLOOKUP(J345,xyWattage_Table,10,FALSE))),"")</f>
        <v/>
      </c>
      <c r="L345" s="539" t="str">
        <f t="shared" si="127"/>
        <v/>
      </c>
      <c r="M345" s="540">
        <f>IF(Inventory!N342="","",Inventory!N342)</f>
        <v>0</v>
      </c>
      <c r="N345" s="533" t="str">
        <f t="shared" si="128"/>
        <v/>
      </c>
      <c r="O345" s="534"/>
      <c r="P345" s="533" t="str">
        <f t="shared" si="129"/>
        <v/>
      </c>
      <c r="Q345" s="534" t="str">
        <f>IF(Inventory!L342="","",Inventory!L342)</f>
        <v/>
      </c>
      <c r="R345" s="535" t="str">
        <f t="shared" si="130"/>
        <v/>
      </c>
      <c r="S345" s="536" t="str">
        <f>IF(Inventory!O342="","",Inventory!O342)</f>
        <v/>
      </c>
      <c r="T345" s="541" t="str">
        <f>IFERROR(IF(C345="","",IF(INDEX(xyWattage_Table,MATCH(M345,'Fixture Identities'!$B$9:$B$997,0),2)="Exit Sign",8760,IF(VLOOKUP(C345,xySpace_Type_Details,8,FALSE)="TRM",INDEX('General Information'!$AF$17:$AG$28,11,MATCH(N345,'General Information'!$AF$16:$AG$16,0)),HLOOKUP(VLOOKUP(C345,xySpace_Type_Details,8,FALSE),'General Information'!$P$15:$AG$28,13,FALSE)))),"")</f>
        <v/>
      </c>
      <c r="U345" s="542" t="str">
        <f>IFERROR(IF(C345="","",IF(INDEX(xyWattage_Table,MATCH(M345,'Fixture Identities'!$B$9:$B$997,0),2)="Exit Sign",1,IF(VLOOKUP(C345,xySpace_Type_Details,8,FALSE)="TRM",INDEX('General Information'!$AF$17:$AG$28,12,MATCH(N345,'General Information'!$AF$16:$AG$16,0)),HLOOKUP(VLOOKUP(C345,xySpace_Type_Details,8,FALSE),'General Information'!$P$15:$AG$28,14,FALSE)))),"")</f>
        <v/>
      </c>
      <c r="V345" s="542" t="str">
        <f>IFERROR(VLOOKUP(INDEX(xySpace_Type_Details,MATCH($C345,'General Information'!$C$40:$C$60,0),12),Lookups!$L$8:$N$12,2,FALSE),"")</f>
        <v/>
      </c>
      <c r="W345" s="542" t="str">
        <f>IFERROR(VLOOKUP(INDEX(xySpace_Type_Details,MATCH($C345,'General Information'!$C$40:$C$60,0),12),Lookups!$L$8:$N$12,3,FALSE),"")</f>
        <v/>
      </c>
      <c r="Y345" s="542" t="str">
        <f>IFERROR(IF(C345="","",IF(INDEX(xyWattage_Table,MATCH(M345,'Fixture Identities'!$B$9:$B$997,0),2)="Exit Sign",0,IF(PRJ_Type="Retrofit",VLOOKUP(I345,xySVG_Factors,2,FALSE),IF(AND(PRJ_Type="New Construction",Inventory!C342="N"),VLOOKUP(VLOOKUP(Building_Type,xyLPD_BuildingArea,5,FALSE),xySVG_Factors_NC,3,FALSE),0)))),"")</f>
        <v/>
      </c>
      <c r="Z345" s="544" t="str">
        <f>IFERROR(IF(C345="","",IF(INDEX(xyWattage_Table,MATCH(M345,'Fixture Identities'!$B$9:$B$997,0),2)="Exit Sign",0,VLOOKUP(S345,xySVG_Factors,2,FALSE))),"")</f>
        <v/>
      </c>
      <c r="AA345" s="545" t="str">
        <f t="shared" si="131"/>
        <v/>
      </c>
      <c r="AB345" s="542" t="str">
        <f t="shared" si="132"/>
        <v/>
      </c>
      <c r="AC345" s="539" t="str">
        <f t="shared" si="133"/>
        <v/>
      </c>
      <c r="AD345" s="546" t="str">
        <f t="shared" si="134"/>
        <v/>
      </c>
      <c r="AE345" s="539" t="str">
        <f t="shared" si="135"/>
        <v/>
      </c>
      <c r="AF345" s="546" t="str">
        <f t="shared" si="136"/>
        <v/>
      </c>
      <c r="AG345" s="539" t="str">
        <f t="shared" si="137"/>
        <v/>
      </c>
      <c r="AH345" s="32">
        <f t="shared" si="139"/>
        <v>0</v>
      </c>
      <c r="AI345" s="32">
        <f t="shared" si="140"/>
        <v>0</v>
      </c>
      <c r="AJ345" s="32">
        <f t="shared" si="141"/>
        <v>0</v>
      </c>
      <c r="AK345" t="str">
        <f t="shared" si="142"/>
        <v/>
      </c>
      <c r="AL345" t="str">
        <f t="shared" si="143"/>
        <v/>
      </c>
      <c r="AM345" t="str">
        <f t="shared" si="144"/>
        <v/>
      </c>
      <c r="AO345" t="str">
        <f>IFERROR(VLOOKUP(M345,'Fixture Identities'!$B$9:$O$1045,14,FALSE),"")</f>
        <v/>
      </c>
      <c r="AP345" t="str">
        <f t="shared" si="138"/>
        <v/>
      </c>
    </row>
    <row r="346" spans="1:42">
      <c r="A346" s="71">
        <f t="shared" si="146"/>
        <v>0</v>
      </c>
      <c r="B346" s="513">
        <f t="shared" si="145"/>
        <v>334</v>
      </c>
      <c r="C346" s="530" t="str">
        <f>IF(Inventory!E343="","",Inventory!E343)</f>
        <v/>
      </c>
      <c r="D346" s="531">
        <f>IF(Inventory!D343="",0,Inventory!D343)</f>
        <v>0</v>
      </c>
      <c r="E346" s="532" t="str">
        <f>IF(Inventory!I343=0,"",Inventory!I343)</f>
        <v/>
      </c>
      <c r="F346" s="533" t="str">
        <f t="shared" si="125"/>
        <v/>
      </c>
      <c r="G346" s="534" t="str">
        <f>IF(Inventory!G343="","",Inventory!G343)</f>
        <v/>
      </c>
      <c r="H346" s="535" t="str">
        <f t="shared" si="126"/>
        <v/>
      </c>
      <c r="I346" s="536" t="str">
        <f>IF(Inventory!J343="","",Inventory!J343)</f>
        <v/>
      </c>
      <c r="J346" s="537" t="str">
        <f>IFERROR(IF(PRJ_Type="New Construction",IF(Inventory!C343="N",INDEX(xyLPD_BuildingArea,MATCH(Building_Type,Lookups!$F$37:$F$75,0),4),INDEX(xyLPD_SpaceBySpace,MATCH(INDEX(xyNCEx,MATCH(I346,yNCExArea,0),2),ySpace_by_Space_Type,0),2)),VLOOKUP(E346,xyWattage_Table,11,FALSE)),"")</f>
        <v/>
      </c>
      <c r="K346" s="538" t="str">
        <f>IFERROR(IF(AND(NC_Type="Building Area Method",Inventory!C343="N"),IF(ISERROR(INDEX('Usage Groups (&gt;120 MWh only)'!$N$8:$N$12,MATCH(C346,'Usage Groups (&gt;120 MWh only)'!$B$8:$B$12,0),1))=TRUE,SqFt/COUNTIFS(Inventory!$C$10:$C$1009,"N",$Q$13:$Q$1012,"&gt;=0"),INDEX('Usage Groups (&gt;120 MWh only)'!$N$8:$N$12,MATCH(C346,'Usage Groups (&gt;120 MWh only)'!$B$8:$B$12,0),1)/COUNTIF($C$13:$C$1012,C346)),IF(AND(NC_Type="Building Area Method",Inventory!C343="Y"),INDEX(xyNCEx,MATCH(I346,yNCExArea,0),3)/COUNTIF($I$13:$I$1012,I346),VLOOKUP(J346,xyWattage_Table,10,FALSE))),"")</f>
        <v/>
      </c>
      <c r="L346" s="539" t="str">
        <f t="shared" si="127"/>
        <v/>
      </c>
      <c r="M346" s="540">
        <f>IF(Inventory!N343="","",Inventory!N343)</f>
        <v>0</v>
      </c>
      <c r="N346" s="533" t="str">
        <f t="shared" si="128"/>
        <v/>
      </c>
      <c r="O346" s="534"/>
      <c r="P346" s="533" t="str">
        <f t="shared" si="129"/>
        <v/>
      </c>
      <c r="Q346" s="534" t="str">
        <f>IF(Inventory!L343="","",Inventory!L343)</f>
        <v/>
      </c>
      <c r="R346" s="535" t="str">
        <f t="shared" si="130"/>
        <v/>
      </c>
      <c r="S346" s="536" t="str">
        <f>IF(Inventory!O343="","",Inventory!O343)</f>
        <v/>
      </c>
      <c r="T346" s="541" t="str">
        <f>IFERROR(IF(C346="","",IF(INDEX(xyWattage_Table,MATCH(M346,'Fixture Identities'!$B$9:$B$997,0),2)="Exit Sign",8760,IF(VLOOKUP(C346,xySpace_Type_Details,8,FALSE)="TRM",INDEX('General Information'!$AF$17:$AG$28,11,MATCH(N346,'General Information'!$AF$16:$AG$16,0)),HLOOKUP(VLOOKUP(C346,xySpace_Type_Details,8,FALSE),'General Information'!$P$15:$AG$28,13,FALSE)))),"")</f>
        <v/>
      </c>
      <c r="U346" s="542" t="str">
        <f>IFERROR(IF(C346="","",IF(INDEX(xyWattage_Table,MATCH(M346,'Fixture Identities'!$B$9:$B$997,0),2)="Exit Sign",1,IF(VLOOKUP(C346,xySpace_Type_Details,8,FALSE)="TRM",INDEX('General Information'!$AF$17:$AG$28,12,MATCH(N346,'General Information'!$AF$16:$AG$16,0)),HLOOKUP(VLOOKUP(C346,xySpace_Type_Details,8,FALSE),'General Information'!$P$15:$AG$28,14,FALSE)))),"")</f>
        <v/>
      </c>
      <c r="V346" s="542" t="str">
        <f>IFERROR(VLOOKUP(INDEX(xySpace_Type_Details,MATCH($C346,'General Information'!$C$40:$C$60,0),12),Lookups!$L$8:$N$12,2,FALSE),"")</f>
        <v/>
      </c>
      <c r="W346" s="542" t="str">
        <f>IFERROR(VLOOKUP(INDEX(xySpace_Type_Details,MATCH($C346,'General Information'!$C$40:$C$60,0),12),Lookups!$L$8:$N$12,3,FALSE),"")</f>
        <v/>
      </c>
      <c r="Y346" s="542" t="str">
        <f>IFERROR(IF(C346="","",IF(INDEX(xyWattage_Table,MATCH(M346,'Fixture Identities'!$B$9:$B$997,0),2)="Exit Sign",0,IF(PRJ_Type="Retrofit",VLOOKUP(I346,xySVG_Factors,2,FALSE),IF(AND(PRJ_Type="New Construction",Inventory!C343="N"),VLOOKUP(VLOOKUP(Building_Type,xyLPD_BuildingArea,5,FALSE),xySVG_Factors_NC,3,FALSE),0)))),"")</f>
        <v/>
      </c>
      <c r="Z346" s="544" t="str">
        <f>IFERROR(IF(C346="","",IF(INDEX(xyWattage_Table,MATCH(M346,'Fixture Identities'!$B$9:$B$997,0),2)="Exit Sign",0,VLOOKUP(S346,xySVG_Factors,2,FALSE))),"")</f>
        <v/>
      </c>
      <c r="AA346" s="545" t="str">
        <f t="shared" si="131"/>
        <v/>
      </c>
      <c r="AB346" s="542" t="str">
        <f t="shared" si="132"/>
        <v/>
      </c>
      <c r="AC346" s="539" t="str">
        <f t="shared" si="133"/>
        <v/>
      </c>
      <c r="AD346" s="546" t="str">
        <f t="shared" si="134"/>
        <v/>
      </c>
      <c r="AE346" s="539" t="str">
        <f t="shared" si="135"/>
        <v/>
      </c>
      <c r="AF346" s="546" t="str">
        <f t="shared" si="136"/>
        <v/>
      </c>
      <c r="AG346" s="539" t="str">
        <f t="shared" si="137"/>
        <v/>
      </c>
      <c r="AH346" s="32">
        <f t="shared" si="139"/>
        <v>0</v>
      </c>
      <c r="AI346" s="32">
        <f t="shared" si="140"/>
        <v>0</v>
      </c>
      <c r="AJ346" s="32">
        <f t="shared" si="141"/>
        <v>0</v>
      </c>
      <c r="AK346" t="str">
        <f t="shared" si="142"/>
        <v/>
      </c>
      <c r="AL346" t="str">
        <f t="shared" si="143"/>
        <v/>
      </c>
      <c r="AM346" t="str">
        <f t="shared" si="144"/>
        <v/>
      </c>
      <c r="AO346" t="str">
        <f>IFERROR(VLOOKUP(M346,'Fixture Identities'!$B$9:$O$1045,14,FALSE),"")</f>
        <v/>
      </c>
      <c r="AP346" t="str">
        <f t="shared" si="138"/>
        <v/>
      </c>
    </row>
    <row r="347" spans="1:42">
      <c r="A347" s="71">
        <f t="shared" si="146"/>
        <v>0</v>
      </c>
      <c r="B347" s="513">
        <f t="shared" si="145"/>
        <v>335</v>
      </c>
      <c r="C347" s="530" t="str">
        <f>IF(Inventory!E344="","",Inventory!E344)</f>
        <v/>
      </c>
      <c r="D347" s="531">
        <f>IF(Inventory!D344="",0,Inventory!D344)</f>
        <v>0</v>
      </c>
      <c r="E347" s="532" t="str">
        <f>IF(Inventory!I344=0,"",Inventory!I344)</f>
        <v/>
      </c>
      <c r="F347" s="533" t="str">
        <f t="shared" si="125"/>
        <v/>
      </c>
      <c r="G347" s="534" t="str">
        <f>IF(Inventory!G344="","",Inventory!G344)</f>
        <v/>
      </c>
      <c r="H347" s="535" t="str">
        <f t="shared" si="126"/>
        <v/>
      </c>
      <c r="I347" s="536" t="str">
        <f>IF(Inventory!J344="","",Inventory!J344)</f>
        <v/>
      </c>
      <c r="J347" s="537" t="str">
        <f>IFERROR(IF(PRJ_Type="New Construction",IF(Inventory!C344="N",INDEX(xyLPD_BuildingArea,MATCH(Building_Type,Lookups!$F$37:$F$75,0),4),INDEX(xyLPD_SpaceBySpace,MATCH(INDEX(xyNCEx,MATCH(I347,yNCExArea,0),2),ySpace_by_Space_Type,0),2)),VLOOKUP(E347,xyWattage_Table,11,FALSE)),"")</f>
        <v/>
      </c>
      <c r="K347" s="538" t="str">
        <f>IFERROR(IF(AND(NC_Type="Building Area Method",Inventory!C344="N"),IF(ISERROR(INDEX('Usage Groups (&gt;120 MWh only)'!$N$8:$N$12,MATCH(C347,'Usage Groups (&gt;120 MWh only)'!$B$8:$B$12,0),1))=TRUE,SqFt/COUNTIFS(Inventory!$C$10:$C$1009,"N",$Q$13:$Q$1012,"&gt;=0"),INDEX('Usage Groups (&gt;120 MWh only)'!$N$8:$N$12,MATCH(C347,'Usage Groups (&gt;120 MWh only)'!$B$8:$B$12,0),1)/COUNTIF($C$13:$C$1012,C347)),IF(AND(NC_Type="Building Area Method",Inventory!C344="Y"),INDEX(xyNCEx,MATCH(I347,yNCExArea,0),3)/COUNTIF($I$13:$I$1012,I347),VLOOKUP(J347,xyWattage_Table,10,FALSE))),"")</f>
        <v/>
      </c>
      <c r="L347" s="539" t="str">
        <f t="shared" si="127"/>
        <v/>
      </c>
      <c r="M347" s="540">
        <f>IF(Inventory!N344="","",Inventory!N344)</f>
        <v>0</v>
      </c>
      <c r="N347" s="533" t="str">
        <f t="shared" si="128"/>
        <v/>
      </c>
      <c r="O347" s="534"/>
      <c r="P347" s="533" t="str">
        <f t="shared" si="129"/>
        <v/>
      </c>
      <c r="Q347" s="534" t="str">
        <f>IF(Inventory!L344="","",Inventory!L344)</f>
        <v/>
      </c>
      <c r="R347" s="535" t="str">
        <f t="shared" si="130"/>
        <v/>
      </c>
      <c r="S347" s="536" t="str">
        <f>IF(Inventory!O344="","",Inventory!O344)</f>
        <v/>
      </c>
      <c r="T347" s="541" t="str">
        <f>IFERROR(IF(C347="","",IF(INDEX(xyWattage_Table,MATCH(M347,'Fixture Identities'!$B$9:$B$997,0),2)="Exit Sign",8760,IF(VLOOKUP(C347,xySpace_Type_Details,8,FALSE)="TRM",INDEX('General Information'!$AF$17:$AG$28,11,MATCH(N347,'General Information'!$AF$16:$AG$16,0)),HLOOKUP(VLOOKUP(C347,xySpace_Type_Details,8,FALSE),'General Information'!$P$15:$AG$28,13,FALSE)))),"")</f>
        <v/>
      </c>
      <c r="U347" s="542" t="str">
        <f>IFERROR(IF(C347="","",IF(INDEX(xyWattage_Table,MATCH(M347,'Fixture Identities'!$B$9:$B$997,0),2)="Exit Sign",1,IF(VLOOKUP(C347,xySpace_Type_Details,8,FALSE)="TRM",INDEX('General Information'!$AF$17:$AG$28,12,MATCH(N347,'General Information'!$AF$16:$AG$16,0)),HLOOKUP(VLOOKUP(C347,xySpace_Type_Details,8,FALSE),'General Information'!$P$15:$AG$28,14,FALSE)))),"")</f>
        <v/>
      </c>
      <c r="V347" s="542" t="str">
        <f>IFERROR(VLOOKUP(INDEX(xySpace_Type_Details,MATCH($C347,'General Information'!$C$40:$C$60,0),12),Lookups!$L$8:$N$12,2,FALSE),"")</f>
        <v/>
      </c>
      <c r="W347" s="542" t="str">
        <f>IFERROR(VLOOKUP(INDEX(xySpace_Type_Details,MATCH($C347,'General Information'!$C$40:$C$60,0),12),Lookups!$L$8:$N$12,3,FALSE),"")</f>
        <v/>
      </c>
      <c r="Y347" s="542" t="str">
        <f>IFERROR(IF(C347="","",IF(INDEX(xyWattage_Table,MATCH(M347,'Fixture Identities'!$B$9:$B$997,0),2)="Exit Sign",0,IF(PRJ_Type="Retrofit",VLOOKUP(I347,xySVG_Factors,2,FALSE),IF(AND(PRJ_Type="New Construction",Inventory!C344="N"),VLOOKUP(VLOOKUP(Building_Type,xyLPD_BuildingArea,5,FALSE),xySVG_Factors_NC,3,FALSE),0)))),"")</f>
        <v/>
      </c>
      <c r="Z347" s="544" t="str">
        <f>IFERROR(IF(C347="","",IF(INDEX(xyWattage_Table,MATCH(M347,'Fixture Identities'!$B$9:$B$997,0),2)="Exit Sign",0,VLOOKUP(S347,xySVG_Factors,2,FALSE))),"")</f>
        <v/>
      </c>
      <c r="AA347" s="545" t="str">
        <f t="shared" si="131"/>
        <v/>
      </c>
      <c r="AB347" s="542" t="str">
        <f t="shared" si="132"/>
        <v/>
      </c>
      <c r="AC347" s="539" t="str">
        <f t="shared" si="133"/>
        <v/>
      </c>
      <c r="AD347" s="546" t="str">
        <f t="shared" si="134"/>
        <v/>
      </c>
      <c r="AE347" s="539" t="str">
        <f t="shared" si="135"/>
        <v/>
      </c>
      <c r="AF347" s="546" t="str">
        <f t="shared" si="136"/>
        <v/>
      </c>
      <c r="AG347" s="539" t="str">
        <f t="shared" si="137"/>
        <v/>
      </c>
      <c r="AH347" s="32">
        <f t="shared" si="139"/>
        <v>0</v>
      </c>
      <c r="AI347" s="32">
        <f t="shared" si="140"/>
        <v>0</v>
      </c>
      <c r="AJ347" s="32">
        <f t="shared" si="141"/>
        <v>0</v>
      </c>
      <c r="AK347" t="str">
        <f t="shared" si="142"/>
        <v/>
      </c>
      <c r="AL347" t="str">
        <f t="shared" si="143"/>
        <v/>
      </c>
      <c r="AM347" t="str">
        <f t="shared" si="144"/>
        <v/>
      </c>
      <c r="AO347" t="str">
        <f>IFERROR(VLOOKUP(M347,'Fixture Identities'!$B$9:$O$1045,14,FALSE),"")</f>
        <v/>
      </c>
      <c r="AP347" t="str">
        <f t="shared" si="138"/>
        <v/>
      </c>
    </row>
    <row r="348" spans="1:42">
      <c r="A348" s="71">
        <f t="shared" si="146"/>
        <v>0</v>
      </c>
      <c r="B348" s="513">
        <f t="shared" si="145"/>
        <v>336</v>
      </c>
      <c r="C348" s="530" t="str">
        <f>IF(Inventory!E345="","",Inventory!E345)</f>
        <v/>
      </c>
      <c r="D348" s="531">
        <f>IF(Inventory!D345="",0,Inventory!D345)</f>
        <v>0</v>
      </c>
      <c r="E348" s="532" t="str">
        <f>IF(Inventory!I345=0,"",Inventory!I345)</f>
        <v/>
      </c>
      <c r="F348" s="533" t="str">
        <f t="shared" si="125"/>
        <v/>
      </c>
      <c r="G348" s="534" t="str">
        <f>IF(Inventory!G345="","",Inventory!G345)</f>
        <v/>
      </c>
      <c r="H348" s="535" t="str">
        <f t="shared" si="126"/>
        <v/>
      </c>
      <c r="I348" s="536" t="str">
        <f>IF(Inventory!J345="","",Inventory!J345)</f>
        <v/>
      </c>
      <c r="J348" s="537" t="str">
        <f>IFERROR(IF(PRJ_Type="New Construction",IF(Inventory!C345="N",INDEX(xyLPD_BuildingArea,MATCH(Building_Type,Lookups!$F$37:$F$75,0),4),INDEX(xyLPD_SpaceBySpace,MATCH(INDEX(xyNCEx,MATCH(I348,yNCExArea,0),2),ySpace_by_Space_Type,0),2)),VLOOKUP(E348,xyWattage_Table,11,FALSE)),"")</f>
        <v/>
      </c>
      <c r="K348" s="538" t="str">
        <f>IFERROR(IF(AND(NC_Type="Building Area Method",Inventory!C345="N"),IF(ISERROR(INDEX('Usage Groups (&gt;120 MWh only)'!$N$8:$N$12,MATCH(C348,'Usage Groups (&gt;120 MWh only)'!$B$8:$B$12,0),1))=TRUE,SqFt/COUNTIFS(Inventory!$C$10:$C$1009,"N",$Q$13:$Q$1012,"&gt;=0"),INDEX('Usage Groups (&gt;120 MWh only)'!$N$8:$N$12,MATCH(C348,'Usage Groups (&gt;120 MWh only)'!$B$8:$B$12,0),1)/COUNTIF($C$13:$C$1012,C348)),IF(AND(NC_Type="Building Area Method",Inventory!C345="Y"),INDEX(xyNCEx,MATCH(I348,yNCExArea,0),3)/COUNTIF($I$13:$I$1012,I348),VLOOKUP(J348,xyWattage_Table,10,FALSE))),"")</f>
        <v/>
      </c>
      <c r="L348" s="539" t="str">
        <f t="shared" si="127"/>
        <v/>
      </c>
      <c r="M348" s="540">
        <f>IF(Inventory!N345="","",Inventory!N345)</f>
        <v>0</v>
      </c>
      <c r="N348" s="533" t="str">
        <f t="shared" si="128"/>
        <v/>
      </c>
      <c r="O348" s="534"/>
      <c r="P348" s="533" t="str">
        <f t="shared" si="129"/>
        <v/>
      </c>
      <c r="Q348" s="534" t="str">
        <f>IF(Inventory!L345="","",Inventory!L345)</f>
        <v/>
      </c>
      <c r="R348" s="535" t="str">
        <f t="shared" si="130"/>
        <v/>
      </c>
      <c r="S348" s="536" t="str">
        <f>IF(Inventory!O345="","",Inventory!O345)</f>
        <v/>
      </c>
      <c r="T348" s="541" t="str">
        <f>IFERROR(IF(C348="","",IF(INDEX(xyWattage_Table,MATCH(M348,'Fixture Identities'!$B$9:$B$997,0),2)="Exit Sign",8760,IF(VLOOKUP(C348,xySpace_Type_Details,8,FALSE)="TRM",INDEX('General Information'!$AF$17:$AG$28,11,MATCH(N348,'General Information'!$AF$16:$AG$16,0)),HLOOKUP(VLOOKUP(C348,xySpace_Type_Details,8,FALSE),'General Information'!$P$15:$AG$28,13,FALSE)))),"")</f>
        <v/>
      </c>
      <c r="U348" s="542" t="str">
        <f>IFERROR(IF(C348="","",IF(INDEX(xyWattage_Table,MATCH(M348,'Fixture Identities'!$B$9:$B$997,0),2)="Exit Sign",1,IF(VLOOKUP(C348,xySpace_Type_Details,8,FALSE)="TRM",INDEX('General Information'!$AF$17:$AG$28,12,MATCH(N348,'General Information'!$AF$16:$AG$16,0)),HLOOKUP(VLOOKUP(C348,xySpace_Type_Details,8,FALSE),'General Information'!$P$15:$AG$28,14,FALSE)))),"")</f>
        <v/>
      </c>
      <c r="V348" s="542" t="str">
        <f>IFERROR(VLOOKUP(INDEX(xySpace_Type_Details,MATCH($C348,'General Information'!$C$40:$C$60,0),12),Lookups!$L$8:$N$12,2,FALSE),"")</f>
        <v/>
      </c>
      <c r="W348" s="542" t="str">
        <f>IFERROR(VLOOKUP(INDEX(xySpace_Type_Details,MATCH($C348,'General Information'!$C$40:$C$60,0),12),Lookups!$L$8:$N$12,3,FALSE),"")</f>
        <v/>
      </c>
      <c r="Y348" s="542" t="str">
        <f>IFERROR(IF(C348="","",IF(INDEX(xyWattage_Table,MATCH(M348,'Fixture Identities'!$B$9:$B$997,0),2)="Exit Sign",0,IF(PRJ_Type="Retrofit",VLOOKUP(I348,xySVG_Factors,2,FALSE),IF(AND(PRJ_Type="New Construction",Inventory!C345="N"),VLOOKUP(VLOOKUP(Building_Type,xyLPD_BuildingArea,5,FALSE),xySVG_Factors_NC,3,FALSE),0)))),"")</f>
        <v/>
      </c>
      <c r="Z348" s="544" t="str">
        <f>IFERROR(IF(C348="","",IF(INDEX(xyWattage_Table,MATCH(M348,'Fixture Identities'!$B$9:$B$997,0),2)="Exit Sign",0,VLOOKUP(S348,xySVG_Factors,2,FALSE))),"")</f>
        <v/>
      </c>
      <c r="AA348" s="545" t="str">
        <f t="shared" si="131"/>
        <v/>
      </c>
      <c r="AB348" s="542" t="str">
        <f t="shared" si="132"/>
        <v/>
      </c>
      <c r="AC348" s="539" t="str">
        <f t="shared" si="133"/>
        <v/>
      </c>
      <c r="AD348" s="546" t="str">
        <f t="shared" si="134"/>
        <v/>
      </c>
      <c r="AE348" s="539" t="str">
        <f t="shared" si="135"/>
        <v/>
      </c>
      <c r="AF348" s="546" t="str">
        <f t="shared" si="136"/>
        <v/>
      </c>
      <c r="AG348" s="539" t="str">
        <f t="shared" si="137"/>
        <v/>
      </c>
      <c r="AH348" s="32">
        <f t="shared" si="139"/>
        <v>0</v>
      </c>
      <c r="AI348" s="32">
        <f t="shared" si="140"/>
        <v>0</v>
      </c>
      <c r="AJ348" s="32">
        <f t="shared" si="141"/>
        <v>0</v>
      </c>
      <c r="AK348" t="str">
        <f t="shared" si="142"/>
        <v/>
      </c>
      <c r="AL348" t="str">
        <f t="shared" si="143"/>
        <v/>
      </c>
      <c r="AM348" t="str">
        <f t="shared" si="144"/>
        <v/>
      </c>
      <c r="AO348" t="str">
        <f>IFERROR(VLOOKUP(M348,'Fixture Identities'!$B$9:$O$1045,14,FALSE),"")</f>
        <v/>
      </c>
      <c r="AP348" t="str">
        <f t="shared" si="138"/>
        <v/>
      </c>
    </row>
    <row r="349" spans="1:42">
      <c r="A349" s="71">
        <f t="shared" si="146"/>
        <v>0</v>
      </c>
      <c r="B349" s="513">
        <f t="shared" si="145"/>
        <v>337</v>
      </c>
      <c r="C349" s="530" t="str">
        <f>IF(Inventory!E346="","",Inventory!E346)</f>
        <v/>
      </c>
      <c r="D349" s="531">
        <f>IF(Inventory!D346="",0,Inventory!D346)</f>
        <v>0</v>
      </c>
      <c r="E349" s="532" t="str">
        <f>IF(Inventory!I346=0,"",Inventory!I346)</f>
        <v/>
      </c>
      <c r="F349" s="533" t="str">
        <f t="shared" si="125"/>
        <v/>
      </c>
      <c r="G349" s="534" t="str">
        <f>IF(Inventory!G346="","",Inventory!G346)</f>
        <v/>
      </c>
      <c r="H349" s="535" t="str">
        <f t="shared" si="126"/>
        <v/>
      </c>
      <c r="I349" s="536" t="str">
        <f>IF(Inventory!J346="","",Inventory!J346)</f>
        <v/>
      </c>
      <c r="J349" s="537" t="str">
        <f>IFERROR(IF(PRJ_Type="New Construction",IF(Inventory!C346="N",INDEX(xyLPD_BuildingArea,MATCH(Building_Type,Lookups!$F$37:$F$75,0),4),INDEX(xyLPD_SpaceBySpace,MATCH(INDEX(xyNCEx,MATCH(I349,yNCExArea,0),2),ySpace_by_Space_Type,0),2)),VLOOKUP(E349,xyWattage_Table,11,FALSE)),"")</f>
        <v/>
      </c>
      <c r="K349" s="538" t="str">
        <f>IFERROR(IF(AND(NC_Type="Building Area Method",Inventory!C346="N"),IF(ISERROR(INDEX('Usage Groups (&gt;120 MWh only)'!$N$8:$N$12,MATCH(C349,'Usage Groups (&gt;120 MWh only)'!$B$8:$B$12,0),1))=TRUE,SqFt/COUNTIFS(Inventory!$C$10:$C$1009,"N",$Q$13:$Q$1012,"&gt;=0"),INDEX('Usage Groups (&gt;120 MWh only)'!$N$8:$N$12,MATCH(C349,'Usage Groups (&gt;120 MWh only)'!$B$8:$B$12,0),1)/COUNTIF($C$13:$C$1012,C349)),IF(AND(NC_Type="Building Area Method",Inventory!C346="Y"),INDEX(xyNCEx,MATCH(I349,yNCExArea,0),3)/COUNTIF($I$13:$I$1012,I349),VLOOKUP(J349,xyWattage_Table,10,FALSE))),"")</f>
        <v/>
      </c>
      <c r="L349" s="539" t="str">
        <f t="shared" si="127"/>
        <v/>
      </c>
      <c r="M349" s="540">
        <f>IF(Inventory!N346="","",Inventory!N346)</f>
        <v>0</v>
      </c>
      <c r="N349" s="533" t="str">
        <f t="shared" si="128"/>
        <v/>
      </c>
      <c r="O349" s="534"/>
      <c r="P349" s="533" t="str">
        <f t="shared" si="129"/>
        <v/>
      </c>
      <c r="Q349" s="534" t="str">
        <f>IF(Inventory!L346="","",Inventory!L346)</f>
        <v/>
      </c>
      <c r="R349" s="535" t="str">
        <f t="shared" si="130"/>
        <v/>
      </c>
      <c r="S349" s="536" t="str">
        <f>IF(Inventory!O346="","",Inventory!O346)</f>
        <v/>
      </c>
      <c r="T349" s="541" t="str">
        <f>IFERROR(IF(C349="","",IF(INDEX(xyWattage_Table,MATCH(M349,'Fixture Identities'!$B$9:$B$997,0),2)="Exit Sign",8760,IF(VLOOKUP(C349,xySpace_Type_Details,8,FALSE)="TRM",INDEX('General Information'!$AF$17:$AG$28,11,MATCH(N349,'General Information'!$AF$16:$AG$16,0)),HLOOKUP(VLOOKUP(C349,xySpace_Type_Details,8,FALSE),'General Information'!$P$15:$AG$28,13,FALSE)))),"")</f>
        <v/>
      </c>
      <c r="U349" s="542" t="str">
        <f>IFERROR(IF(C349="","",IF(INDEX(xyWattage_Table,MATCH(M349,'Fixture Identities'!$B$9:$B$997,0),2)="Exit Sign",1,IF(VLOOKUP(C349,xySpace_Type_Details,8,FALSE)="TRM",INDEX('General Information'!$AF$17:$AG$28,12,MATCH(N349,'General Information'!$AF$16:$AG$16,0)),HLOOKUP(VLOOKUP(C349,xySpace_Type_Details,8,FALSE),'General Information'!$P$15:$AG$28,14,FALSE)))),"")</f>
        <v/>
      </c>
      <c r="V349" s="542" t="str">
        <f>IFERROR(VLOOKUP(INDEX(xySpace_Type_Details,MATCH($C349,'General Information'!$C$40:$C$60,0),12),Lookups!$L$8:$N$12,2,FALSE),"")</f>
        <v/>
      </c>
      <c r="W349" s="542" t="str">
        <f>IFERROR(VLOOKUP(INDEX(xySpace_Type_Details,MATCH($C349,'General Information'!$C$40:$C$60,0),12),Lookups!$L$8:$N$12,3,FALSE),"")</f>
        <v/>
      </c>
      <c r="Y349" s="542" t="str">
        <f>IFERROR(IF(C349="","",IF(INDEX(xyWattage_Table,MATCH(M349,'Fixture Identities'!$B$9:$B$997,0),2)="Exit Sign",0,IF(PRJ_Type="Retrofit",VLOOKUP(I349,xySVG_Factors,2,FALSE),IF(AND(PRJ_Type="New Construction",Inventory!C346="N"),VLOOKUP(VLOOKUP(Building_Type,xyLPD_BuildingArea,5,FALSE),xySVG_Factors_NC,3,FALSE),0)))),"")</f>
        <v/>
      </c>
      <c r="Z349" s="544" t="str">
        <f>IFERROR(IF(C349="","",IF(INDEX(xyWattage_Table,MATCH(M349,'Fixture Identities'!$B$9:$B$997,0),2)="Exit Sign",0,VLOOKUP(S349,xySVG_Factors,2,FALSE))),"")</f>
        <v/>
      </c>
      <c r="AA349" s="545" t="str">
        <f t="shared" si="131"/>
        <v/>
      </c>
      <c r="AB349" s="542" t="str">
        <f t="shared" si="132"/>
        <v/>
      </c>
      <c r="AC349" s="539" t="str">
        <f t="shared" si="133"/>
        <v/>
      </c>
      <c r="AD349" s="546" t="str">
        <f t="shared" si="134"/>
        <v/>
      </c>
      <c r="AE349" s="539" t="str">
        <f t="shared" si="135"/>
        <v/>
      </c>
      <c r="AF349" s="546" t="str">
        <f t="shared" si="136"/>
        <v/>
      </c>
      <c r="AG349" s="539" t="str">
        <f t="shared" si="137"/>
        <v/>
      </c>
      <c r="AH349" s="32">
        <f t="shared" si="139"/>
        <v>0</v>
      </c>
      <c r="AI349" s="32">
        <f t="shared" si="140"/>
        <v>0</v>
      </c>
      <c r="AJ349" s="32">
        <f t="shared" si="141"/>
        <v>0</v>
      </c>
      <c r="AK349" t="str">
        <f t="shared" si="142"/>
        <v/>
      </c>
      <c r="AL349" t="str">
        <f t="shared" si="143"/>
        <v/>
      </c>
      <c r="AM349" t="str">
        <f t="shared" si="144"/>
        <v/>
      </c>
      <c r="AO349" t="str">
        <f>IFERROR(VLOOKUP(M349,'Fixture Identities'!$B$9:$O$1045,14,FALSE),"")</f>
        <v/>
      </c>
      <c r="AP349" t="str">
        <f t="shared" si="138"/>
        <v/>
      </c>
    </row>
    <row r="350" spans="1:42">
      <c r="A350" s="71">
        <f t="shared" si="146"/>
        <v>0</v>
      </c>
      <c r="B350" s="513">
        <f t="shared" si="145"/>
        <v>338</v>
      </c>
      <c r="C350" s="530" t="str">
        <f>IF(Inventory!E347="","",Inventory!E347)</f>
        <v/>
      </c>
      <c r="D350" s="531">
        <f>IF(Inventory!D347="",0,Inventory!D347)</f>
        <v>0</v>
      </c>
      <c r="E350" s="532" t="str">
        <f>IF(Inventory!I347=0,"",Inventory!I347)</f>
        <v/>
      </c>
      <c r="F350" s="533" t="str">
        <f t="shared" si="125"/>
        <v/>
      </c>
      <c r="G350" s="534" t="str">
        <f>IF(Inventory!G347="","",Inventory!G347)</f>
        <v/>
      </c>
      <c r="H350" s="535" t="str">
        <f t="shared" si="126"/>
        <v/>
      </c>
      <c r="I350" s="536" t="str">
        <f>IF(Inventory!J347="","",Inventory!J347)</f>
        <v/>
      </c>
      <c r="J350" s="537" t="str">
        <f>IFERROR(IF(PRJ_Type="New Construction",IF(Inventory!C347="N",INDEX(xyLPD_BuildingArea,MATCH(Building_Type,Lookups!$F$37:$F$75,0),4),INDEX(xyLPD_SpaceBySpace,MATCH(INDEX(xyNCEx,MATCH(I350,yNCExArea,0),2),ySpace_by_Space_Type,0),2)),VLOOKUP(E350,xyWattage_Table,11,FALSE)),"")</f>
        <v/>
      </c>
      <c r="K350" s="538" t="str">
        <f>IFERROR(IF(AND(NC_Type="Building Area Method",Inventory!C347="N"),IF(ISERROR(INDEX('Usage Groups (&gt;120 MWh only)'!$N$8:$N$12,MATCH(C350,'Usage Groups (&gt;120 MWh only)'!$B$8:$B$12,0),1))=TRUE,SqFt/COUNTIFS(Inventory!$C$10:$C$1009,"N",$Q$13:$Q$1012,"&gt;=0"),INDEX('Usage Groups (&gt;120 MWh only)'!$N$8:$N$12,MATCH(C350,'Usage Groups (&gt;120 MWh only)'!$B$8:$B$12,0),1)/COUNTIF($C$13:$C$1012,C350)),IF(AND(NC_Type="Building Area Method",Inventory!C347="Y"),INDEX(xyNCEx,MATCH(I350,yNCExArea,0),3)/COUNTIF($I$13:$I$1012,I350),VLOOKUP(J350,xyWattage_Table,10,FALSE))),"")</f>
        <v/>
      </c>
      <c r="L350" s="539" t="str">
        <f t="shared" si="127"/>
        <v/>
      </c>
      <c r="M350" s="540">
        <f>IF(Inventory!N347="","",Inventory!N347)</f>
        <v>0</v>
      </c>
      <c r="N350" s="533" t="str">
        <f t="shared" si="128"/>
        <v/>
      </c>
      <c r="O350" s="534"/>
      <c r="P350" s="533" t="str">
        <f t="shared" si="129"/>
        <v/>
      </c>
      <c r="Q350" s="534" t="str">
        <f>IF(Inventory!L347="","",Inventory!L347)</f>
        <v/>
      </c>
      <c r="R350" s="535" t="str">
        <f t="shared" si="130"/>
        <v/>
      </c>
      <c r="S350" s="536" t="str">
        <f>IF(Inventory!O347="","",Inventory!O347)</f>
        <v/>
      </c>
      <c r="T350" s="541" t="str">
        <f>IFERROR(IF(C350="","",IF(INDEX(xyWattage_Table,MATCH(M350,'Fixture Identities'!$B$9:$B$997,0),2)="Exit Sign",8760,IF(VLOOKUP(C350,xySpace_Type_Details,8,FALSE)="TRM",INDEX('General Information'!$AF$17:$AG$28,11,MATCH(N350,'General Information'!$AF$16:$AG$16,0)),HLOOKUP(VLOOKUP(C350,xySpace_Type_Details,8,FALSE),'General Information'!$P$15:$AG$28,13,FALSE)))),"")</f>
        <v/>
      </c>
      <c r="U350" s="542" t="str">
        <f>IFERROR(IF(C350="","",IF(INDEX(xyWattage_Table,MATCH(M350,'Fixture Identities'!$B$9:$B$997,0),2)="Exit Sign",1,IF(VLOOKUP(C350,xySpace_Type_Details,8,FALSE)="TRM",INDEX('General Information'!$AF$17:$AG$28,12,MATCH(N350,'General Information'!$AF$16:$AG$16,0)),HLOOKUP(VLOOKUP(C350,xySpace_Type_Details,8,FALSE),'General Information'!$P$15:$AG$28,14,FALSE)))),"")</f>
        <v/>
      </c>
      <c r="V350" s="542" t="str">
        <f>IFERROR(VLOOKUP(INDEX(xySpace_Type_Details,MATCH($C350,'General Information'!$C$40:$C$60,0),12),Lookups!$L$8:$N$12,2,FALSE),"")</f>
        <v/>
      </c>
      <c r="W350" s="542" t="str">
        <f>IFERROR(VLOOKUP(INDEX(xySpace_Type_Details,MATCH($C350,'General Information'!$C$40:$C$60,0),12),Lookups!$L$8:$N$12,3,FALSE),"")</f>
        <v/>
      </c>
      <c r="Y350" s="542" t="str">
        <f>IFERROR(IF(C350="","",IF(INDEX(xyWattage_Table,MATCH(M350,'Fixture Identities'!$B$9:$B$997,0),2)="Exit Sign",0,IF(PRJ_Type="Retrofit",VLOOKUP(I350,xySVG_Factors,2,FALSE),IF(AND(PRJ_Type="New Construction",Inventory!C347="N"),VLOOKUP(VLOOKUP(Building_Type,xyLPD_BuildingArea,5,FALSE),xySVG_Factors_NC,3,FALSE),0)))),"")</f>
        <v/>
      </c>
      <c r="Z350" s="544" t="str">
        <f>IFERROR(IF(C350="","",IF(INDEX(xyWattage_Table,MATCH(M350,'Fixture Identities'!$B$9:$B$997,0),2)="Exit Sign",0,VLOOKUP(S350,xySVG_Factors,2,FALSE))),"")</f>
        <v/>
      </c>
      <c r="AA350" s="545" t="str">
        <f t="shared" si="131"/>
        <v/>
      </c>
      <c r="AB350" s="542" t="str">
        <f t="shared" si="132"/>
        <v/>
      </c>
      <c r="AC350" s="539" t="str">
        <f t="shared" si="133"/>
        <v/>
      </c>
      <c r="AD350" s="546" t="str">
        <f t="shared" si="134"/>
        <v/>
      </c>
      <c r="AE350" s="539" t="str">
        <f t="shared" si="135"/>
        <v/>
      </c>
      <c r="AF350" s="546" t="str">
        <f t="shared" si="136"/>
        <v/>
      </c>
      <c r="AG350" s="539" t="str">
        <f t="shared" si="137"/>
        <v/>
      </c>
      <c r="AH350" s="32">
        <f t="shared" si="139"/>
        <v>0</v>
      </c>
      <c r="AI350" s="32">
        <f t="shared" si="140"/>
        <v>0</v>
      </c>
      <c r="AJ350" s="32">
        <f t="shared" si="141"/>
        <v>0</v>
      </c>
      <c r="AK350" t="str">
        <f t="shared" si="142"/>
        <v/>
      </c>
      <c r="AL350" t="str">
        <f t="shared" si="143"/>
        <v/>
      </c>
      <c r="AM350" t="str">
        <f t="shared" si="144"/>
        <v/>
      </c>
      <c r="AO350" t="str">
        <f>IFERROR(VLOOKUP(M350,'Fixture Identities'!$B$9:$O$1045,14,FALSE),"")</f>
        <v/>
      </c>
      <c r="AP350" t="str">
        <f t="shared" si="138"/>
        <v/>
      </c>
    </row>
    <row r="351" spans="1:42">
      <c r="A351" s="71">
        <f t="shared" si="146"/>
        <v>0</v>
      </c>
      <c r="B351" s="513">
        <f t="shared" si="145"/>
        <v>339</v>
      </c>
      <c r="C351" s="530" t="str">
        <f>IF(Inventory!E348="","",Inventory!E348)</f>
        <v/>
      </c>
      <c r="D351" s="531">
        <f>IF(Inventory!D348="",0,Inventory!D348)</f>
        <v>0</v>
      </c>
      <c r="E351" s="532" t="str">
        <f>IF(Inventory!I348=0,"",Inventory!I348)</f>
        <v/>
      </c>
      <c r="F351" s="533" t="str">
        <f t="shared" si="125"/>
        <v/>
      </c>
      <c r="G351" s="534" t="str">
        <f>IF(Inventory!G348="","",Inventory!G348)</f>
        <v/>
      </c>
      <c r="H351" s="535" t="str">
        <f t="shared" si="126"/>
        <v/>
      </c>
      <c r="I351" s="536" t="str">
        <f>IF(Inventory!J348="","",Inventory!J348)</f>
        <v/>
      </c>
      <c r="J351" s="537" t="str">
        <f>IFERROR(IF(PRJ_Type="New Construction",IF(Inventory!C348="N",INDEX(xyLPD_BuildingArea,MATCH(Building_Type,Lookups!$F$37:$F$75,0),4),INDEX(xyLPD_SpaceBySpace,MATCH(INDEX(xyNCEx,MATCH(I351,yNCExArea,0),2),ySpace_by_Space_Type,0),2)),VLOOKUP(E351,xyWattage_Table,11,FALSE)),"")</f>
        <v/>
      </c>
      <c r="K351" s="538" t="str">
        <f>IFERROR(IF(AND(NC_Type="Building Area Method",Inventory!C348="N"),IF(ISERROR(INDEX('Usage Groups (&gt;120 MWh only)'!$N$8:$N$12,MATCH(C351,'Usage Groups (&gt;120 MWh only)'!$B$8:$B$12,0),1))=TRUE,SqFt/COUNTIFS(Inventory!$C$10:$C$1009,"N",$Q$13:$Q$1012,"&gt;=0"),INDEX('Usage Groups (&gt;120 MWh only)'!$N$8:$N$12,MATCH(C351,'Usage Groups (&gt;120 MWh only)'!$B$8:$B$12,0),1)/COUNTIF($C$13:$C$1012,C351)),IF(AND(NC_Type="Building Area Method",Inventory!C348="Y"),INDEX(xyNCEx,MATCH(I351,yNCExArea,0),3)/COUNTIF($I$13:$I$1012,I351),VLOOKUP(J351,xyWattage_Table,10,FALSE))),"")</f>
        <v/>
      </c>
      <c r="L351" s="539" t="str">
        <f t="shared" si="127"/>
        <v/>
      </c>
      <c r="M351" s="540">
        <f>IF(Inventory!N348="","",Inventory!N348)</f>
        <v>0</v>
      </c>
      <c r="N351" s="533" t="str">
        <f t="shared" si="128"/>
        <v/>
      </c>
      <c r="O351" s="534"/>
      <c r="P351" s="533" t="str">
        <f t="shared" si="129"/>
        <v/>
      </c>
      <c r="Q351" s="534" t="str">
        <f>IF(Inventory!L348="","",Inventory!L348)</f>
        <v/>
      </c>
      <c r="R351" s="535" t="str">
        <f t="shared" si="130"/>
        <v/>
      </c>
      <c r="S351" s="536" t="str">
        <f>IF(Inventory!O348="","",Inventory!O348)</f>
        <v/>
      </c>
      <c r="T351" s="541" t="str">
        <f>IFERROR(IF(C351="","",IF(INDEX(xyWattage_Table,MATCH(M351,'Fixture Identities'!$B$9:$B$997,0),2)="Exit Sign",8760,IF(VLOOKUP(C351,xySpace_Type_Details,8,FALSE)="TRM",INDEX('General Information'!$AF$17:$AG$28,11,MATCH(N351,'General Information'!$AF$16:$AG$16,0)),HLOOKUP(VLOOKUP(C351,xySpace_Type_Details,8,FALSE),'General Information'!$P$15:$AG$28,13,FALSE)))),"")</f>
        <v/>
      </c>
      <c r="U351" s="542" t="str">
        <f>IFERROR(IF(C351="","",IF(INDEX(xyWattage_Table,MATCH(M351,'Fixture Identities'!$B$9:$B$997,0),2)="Exit Sign",1,IF(VLOOKUP(C351,xySpace_Type_Details,8,FALSE)="TRM",INDEX('General Information'!$AF$17:$AG$28,12,MATCH(N351,'General Information'!$AF$16:$AG$16,0)),HLOOKUP(VLOOKUP(C351,xySpace_Type_Details,8,FALSE),'General Information'!$P$15:$AG$28,14,FALSE)))),"")</f>
        <v/>
      </c>
      <c r="V351" s="542" t="str">
        <f>IFERROR(VLOOKUP(INDEX(xySpace_Type_Details,MATCH($C351,'General Information'!$C$40:$C$60,0),12),Lookups!$L$8:$N$12,2,FALSE),"")</f>
        <v/>
      </c>
      <c r="W351" s="542" t="str">
        <f>IFERROR(VLOOKUP(INDEX(xySpace_Type_Details,MATCH($C351,'General Information'!$C$40:$C$60,0),12),Lookups!$L$8:$N$12,3,FALSE),"")</f>
        <v/>
      </c>
      <c r="Y351" s="542" t="str">
        <f>IFERROR(IF(C351="","",IF(INDEX(xyWattage_Table,MATCH(M351,'Fixture Identities'!$B$9:$B$997,0),2)="Exit Sign",0,IF(PRJ_Type="Retrofit",VLOOKUP(I351,xySVG_Factors,2,FALSE),IF(AND(PRJ_Type="New Construction",Inventory!C348="N"),VLOOKUP(VLOOKUP(Building_Type,xyLPD_BuildingArea,5,FALSE),xySVG_Factors_NC,3,FALSE),0)))),"")</f>
        <v/>
      </c>
      <c r="Z351" s="544" t="str">
        <f>IFERROR(IF(C351="","",IF(INDEX(xyWattage_Table,MATCH(M351,'Fixture Identities'!$B$9:$B$997,0),2)="Exit Sign",0,VLOOKUP(S351,xySVG_Factors,2,FALSE))),"")</f>
        <v/>
      </c>
      <c r="AA351" s="545" t="str">
        <f t="shared" si="131"/>
        <v/>
      </c>
      <c r="AB351" s="542" t="str">
        <f t="shared" si="132"/>
        <v/>
      </c>
      <c r="AC351" s="539" t="str">
        <f t="shared" si="133"/>
        <v/>
      </c>
      <c r="AD351" s="546" t="str">
        <f t="shared" si="134"/>
        <v/>
      </c>
      <c r="AE351" s="539" t="str">
        <f t="shared" si="135"/>
        <v/>
      </c>
      <c r="AF351" s="546" t="str">
        <f t="shared" si="136"/>
        <v/>
      </c>
      <c r="AG351" s="539" t="str">
        <f t="shared" si="137"/>
        <v/>
      </c>
      <c r="AH351" s="32">
        <f t="shared" si="139"/>
        <v>0</v>
      </c>
      <c r="AI351" s="32">
        <f t="shared" si="140"/>
        <v>0</v>
      </c>
      <c r="AJ351" s="32">
        <f t="shared" si="141"/>
        <v>0</v>
      </c>
      <c r="AK351" t="str">
        <f t="shared" si="142"/>
        <v/>
      </c>
      <c r="AL351" t="str">
        <f t="shared" si="143"/>
        <v/>
      </c>
      <c r="AM351" t="str">
        <f t="shared" si="144"/>
        <v/>
      </c>
      <c r="AO351" t="str">
        <f>IFERROR(VLOOKUP(M351,'Fixture Identities'!$B$9:$O$1045,14,FALSE),"")</f>
        <v/>
      </c>
      <c r="AP351" t="str">
        <f t="shared" si="138"/>
        <v/>
      </c>
    </row>
    <row r="352" spans="1:42">
      <c r="A352" s="71">
        <f t="shared" si="146"/>
        <v>0</v>
      </c>
      <c r="B352" s="513">
        <f t="shared" si="145"/>
        <v>340</v>
      </c>
      <c r="C352" s="530" t="str">
        <f>IF(Inventory!E349="","",Inventory!E349)</f>
        <v/>
      </c>
      <c r="D352" s="531">
        <f>IF(Inventory!D349="",0,Inventory!D349)</f>
        <v>0</v>
      </c>
      <c r="E352" s="532" t="str">
        <f>IF(Inventory!I349=0,"",Inventory!I349)</f>
        <v/>
      </c>
      <c r="F352" s="533" t="str">
        <f t="shared" si="125"/>
        <v/>
      </c>
      <c r="G352" s="534" t="str">
        <f>IF(Inventory!G349="","",Inventory!G349)</f>
        <v/>
      </c>
      <c r="H352" s="535" t="str">
        <f t="shared" si="126"/>
        <v/>
      </c>
      <c r="I352" s="536" t="str">
        <f>IF(Inventory!J349="","",Inventory!J349)</f>
        <v/>
      </c>
      <c r="J352" s="537" t="str">
        <f>IFERROR(IF(PRJ_Type="New Construction",IF(Inventory!C349="N",INDEX(xyLPD_BuildingArea,MATCH(Building_Type,Lookups!$F$37:$F$75,0),4),INDEX(xyLPD_SpaceBySpace,MATCH(INDEX(xyNCEx,MATCH(I352,yNCExArea,0),2),ySpace_by_Space_Type,0),2)),VLOOKUP(E352,xyWattage_Table,11,FALSE)),"")</f>
        <v/>
      </c>
      <c r="K352" s="538" t="str">
        <f>IFERROR(IF(AND(NC_Type="Building Area Method",Inventory!C349="N"),IF(ISERROR(INDEX('Usage Groups (&gt;120 MWh only)'!$N$8:$N$12,MATCH(C352,'Usage Groups (&gt;120 MWh only)'!$B$8:$B$12,0),1))=TRUE,SqFt/COUNTIFS(Inventory!$C$10:$C$1009,"N",$Q$13:$Q$1012,"&gt;=0"),INDEX('Usage Groups (&gt;120 MWh only)'!$N$8:$N$12,MATCH(C352,'Usage Groups (&gt;120 MWh only)'!$B$8:$B$12,0),1)/COUNTIF($C$13:$C$1012,C352)),IF(AND(NC_Type="Building Area Method",Inventory!C349="Y"),INDEX(xyNCEx,MATCH(I352,yNCExArea,0),3)/COUNTIF($I$13:$I$1012,I352),VLOOKUP(J352,xyWattage_Table,10,FALSE))),"")</f>
        <v/>
      </c>
      <c r="L352" s="539" t="str">
        <f t="shared" si="127"/>
        <v/>
      </c>
      <c r="M352" s="540">
        <f>IF(Inventory!N349="","",Inventory!N349)</f>
        <v>0</v>
      </c>
      <c r="N352" s="533" t="str">
        <f t="shared" si="128"/>
        <v/>
      </c>
      <c r="O352" s="534"/>
      <c r="P352" s="533" t="str">
        <f t="shared" si="129"/>
        <v/>
      </c>
      <c r="Q352" s="534" t="str">
        <f>IF(Inventory!L349="","",Inventory!L349)</f>
        <v/>
      </c>
      <c r="R352" s="535" t="str">
        <f t="shared" si="130"/>
        <v/>
      </c>
      <c r="S352" s="536" t="str">
        <f>IF(Inventory!O349="","",Inventory!O349)</f>
        <v/>
      </c>
      <c r="T352" s="541" t="str">
        <f>IFERROR(IF(C352="","",IF(INDEX(xyWattage_Table,MATCH(M352,'Fixture Identities'!$B$9:$B$997,0),2)="Exit Sign",8760,IF(VLOOKUP(C352,xySpace_Type_Details,8,FALSE)="TRM",INDEX('General Information'!$AF$17:$AG$28,11,MATCH(N352,'General Information'!$AF$16:$AG$16,0)),HLOOKUP(VLOOKUP(C352,xySpace_Type_Details,8,FALSE),'General Information'!$P$15:$AG$28,13,FALSE)))),"")</f>
        <v/>
      </c>
      <c r="U352" s="542" t="str">
        <f>IFERROR(IF(C352="","",IF(INDEX(xyWattage_Table,MATCH(M352,'Fixture Identities'!$B$9:$B$997,0),2)="Exit Sign",1,IF(VLOOKUP(C352,xySpace_Type_Details,8,FALSE)="TRM",INDEX('General Information'!$AF$17:$AG$28,12,MATCH(N352,'General Information'!$AF$16:$AG$16,0)),HLOOKUP(VLOOKUP(C352,xySpace_Type_Details,8,FALSE),'General Information'!$P$15:$AG$28,14,FALSE)))),"")</f>
        <v/>
      </c>
      <c r="V352" s="542" t="str">
        <f>IFERROR(VLOOKUP(INDEX(xySpace_Type_Details,MATCH($C352,'General Information'!$C$40:$C$60,0),12),Lookups!$L$8:$N$12,2,FALSE),"")</f>
        <v/>
      </c>
      <c r="W352" s="542" t="str">
        <f>IFERROR(VLOOKUP(INDEX(xySpace_Type_Details,MATCH($C352,'General Information'!$C$40:$C$60,0),12),Lookups!$L$8:$N$12,3,FALSE),"")</f>
        <v/>
      </c>
      <c r="Y352" s="542" t="str">
        <f>IFERROR(IF(C352="","",IF(INDEX(xyWattage_Table,MATCH(M352,'Fixture Identities'!$B$9:$B$997,0),2)="Exit Sign",0,IF(PRJ_Type="Retrofit",VLOOKUP(I352,xySVG_Factors,2,FALSE),IF(AND(PRJ_Type="New Construction",Inventory!C349="N"),VLOOKUP(VLOOKUP(Building_Type,xyLPD_BuildingArea,5,FALSE),xySVG_Factors_NC,3,FALSE),0)))),"")</f>
        <v/>
      </c>
      <c r="Z352" s="544" t="str">
        <f>IFERROR(IF(C352="","",IF(INDEX(xyWattage_Table,MATCH(M352,'Fixture Identities'!$B$9:$B$997,0),2)="Exit Sign",0,VLOOKUP(S352,xySVG_Factors,2,FALSE))),"")</f>
        <v/>
      </c>
      <c r="AA352" s="545" t="str">
        <f t="shared" si="131"/>
        <v/>
      </c>
      <c r="AB352" s="542" t="str">
        <f t="shared" si="132"/>
        <v/>
      </c>
      <c r="AC352" s="539" t="str">
        <f t="shared" si="133"/>
        <v/>
      </c>
      <c r="AD352" s="546" t="str">
        <f t="shared" si="134"/>
        <v/>
      </c>
      <c r="AE352" s="539" t="str">
        <f t="shared" si="135"/>
        <v/>
      </c>
      <c r="AF352" s="546" t="str">
        <f t="shared" si="136"/>
        <v/>
      </c>
      <c r="AG352" s="539" t="str">
        <f t="shared" si="137"/>
        <v/>
      </c>
      <c r="AH352" s="32">
        <f t="shared" si="139"/>
        <v>0</v>
      </c>
      <c r="AI352" s="32">
        <f t="shared" si="140"/>
        <v>0</v>
      </c>
      <c r="AJ352" s="32">
        <f t="shared" si="141"/>
        <v>0</v>
      </c>
      <c r="AK352" t="str">
        <f t="shared" si="142"/>
        <v/>
      </c>
      <c r="AL352" t="str">
        <f t="shared" si="143"/>
        <v/>
      </c>
      <c r="AM352" t="str">
        <f t="shared" si="144"/>
        <v/>
      </c>
      <c r="AO352" t="str">
        <f>IFERROR(VLOOKUP(M352,'Fixture Identities'!$B$9:$O$1045,14,FALSE),"")</f>
        <v/>
      </c>
      <c r="AP352" t="str">
        <f t="shared" si="138"/>
        <v/>
      </c>
    </row>
    <row r="353" spans="1:42">
      <c r="A353" s="71">
        <f t="shared" si="146"/>
        <v>0</v>
      </c>
      <c r="B353" s="513">
        <f t="shared" si="145"/>
        <v>341</v>
      </c>
      <c r="C353" s="530" t="str">
        <f>IF(Inventory!E350="","",Inventory!E350)</f>
        <v/>
      </c>
      <c r="D353" s="531">
        <f>IF(Inventory!D350="",0,Inventory!D350)</f>
        <v>0</v>
      </c>
      <c r="E353" s="532" t="str">
        <f>IF(Inventory!I350=0,"",Inventory!I350)</f>
        <v/>
      </c>
      <c r="F353" s="533" t="str">
        <f t="shared" si="125"/>
        <v/>
      </c>
      <c r="G353" s="534" t="str">
        <f>IF(Inventory!G350="","",Inventory!G350)</f>
        <v/>
      </c>
      <c r="H353" s="535" t="str">
        <f t="shared" si="126"/>
        <v/>
      </c>
      <c r="I353" s="536" t="str">
        <f>IF(Inventory!J350="","",Inventory!J350)</f>
        <v/>
      </c>
      <c r="J353" s="537" t="str">
        <f>IFERROR(IF(PRJ_Type="New Construction",IF(Inventory!C350="N",INDEX(xyLPD_BuildingArea,MATCH(Building_Type,Lookups!$F$37:$F$75,0),4),INDEX(xyLPD_SpaceBySpace,MATCH(INDEX(xyNCEx,MATCH(I353,yNCExArea,0),2),ySpace_by_Space_Type,0),2)),VLOOKUP(E353,xyWattage_Table,11,FALSE)),"")</f>
        <v/>
      </c>
      <c r="K353" s="538" t="str">
        <f>IFERROR(IF(AND(NC_Type="Building Area Method",Inventory!C350="N"),IF(ISERROR(INDEX('Usage Groups (&gt;120 MWh only)'!$N$8:$N$12,MATCH(C353,'Usage Groups (&gt;120 MWh only)'!$B$8:$B$12,0),1))=TRUE,SqFt/COUNTIFS(Inventory!$C$10:$C$1009,"N",$Q$13:$Q$1012,"&gt;=0"),INDEX('Usage Groups (&gt;120 MWh only)'!$N$8:$N$12,MATCH(C353,'Usage Groups (&gt;120 MWh only)'!$B$8:$B$12,0),1)/COUNTIF($C$13:$C$1012,C353)),IF(AND(NC_Type="Building Area Method",Inventory!C350="Y"),INDEX(xyNCEx,MATCH(I353,yNCExArea,0),3)/COUNTIF($I$13:$I$1012,I353),VLOOKUP(J353,xyWattage_Table,10,FALSE))),"")</f>
        <v/>
      </c>
      <c r="L353" s="539" t="str">
        <f t="shared" si="127"/>
        <v/>
      </c>
      <c r="M353" s="540">
        <f>IF(Inventory!N350="","",Inventory!N350)</f>
        <v>0</v>
      </c>
      <c r="N353" s="533" t="str">
        <f t="shared" si="128"/>
        <v/>
      </c>
      <c r="O353" s="534"/>
      <c r="P353" s="533" t="str">
        <f t="shared" si="129"/>
        <v/>
      </c>
      <c r="Q353" s="534" t="str">
        <f>IF(Inventory!L350="","",Inventory!L350)</f>
        <v/>
      </c>
      <c r="R353" s="535" t="str">
        <f t="shared" si="130"/>
        <v/>
      </c>
      <c r="S353" s="536" t="str">
        <f>IF(Inventory!O350="","",Inventory!O350)</f>
        <v/>
      </c>
      <c r="T353" s="541" t="str">
        <f>IFERROR(IF(C353="","",IF(INDEX(xyWattage_Table,MATCH(M353,'Fixture Identities'!$B$9:$B$997,0),2)="Exit Sign",8760,IF(VLOOKUP(C353,xySpace_Type_Details,8,FALSE)="TRM",INDEX('General Information'!$AF$17:$AG$28,11,MATCH(N353,'General Information'!$AF$16:$AG$16,0)),HLOOKUP(VLOOKUP(C353,xySpace_Type_Details,8,FALSE),'General Information'!$P$15:$AG$28,13,FALSE)))),"")</f>
        <v/>
      </c>
      <c r="U353" s="542" t="str">
        <f>IFERROR(IF(C353="","",IF(INDEX(xyWattage_Table,MATCH(M353,'Fixture Identities'!$B$9:$B$997,0),2)="Exit Sign",1,IF(VLOOKUP(C353,xySpace_Type_Details,8,FALSE)="TRM",INDEX('General Information'!$AF$17:$AG$28,12,MATCH(N353,'General Information'!$AF$16:$AG$16,0)),HLOOKUP(VLOOKUP(C353,xySpace_Type_Details,8,FALSE),'General Information'!$P$15:$AG$28,14,FALSE)))),"")</f>
        <v/>
      </c>
      <c r="V353" s="542" t="str">
        <f>IFERROR(VLOOKUP(INDEX(xySpace_Type_Details,MATCH($C353,'General Information'!$C$40:$C$60,0),12),Lookups!$L$8:$N$12,2,FALSE),"")</f>
        <v/>
      </c>
      <c r="W353" s="542" t="str">
        <f>IFERROR(VLOOKUP(INDEX(xySpace_Type_Details,MATCH($C353,'General Information'!$C$40:$C$60,0),12),Lookups!$L$8:$N$12,3,FALSE),"")</f>
        <v/>
      </c>
      <c r="Y353" s="542" t="str">
        <f>IFERROR(IF(C353="","",IF(INDEX(xyWattage_Table,MATCH(M353,'Fixture Identities'!$B$9:$B$997,0),2)="Exit Sign",0,IF(PRJ_Type="Retrofit",VLOOKUP(I353,xySVG_Factors,2,FALSE),IF(AND(PRJ_Type="New Construction",Inventory!C350="N"),VLOOKUP(VLOOKUP(Building_Type,xyLPD_BuildingArea,5,FALSE),xySVG_Factors_NC,3,FALSE),0)))),"")</f>
        <v/>
      </c>
      <c r="Z353" s="544" t="str">
        <f>IFERROR(IF(C353="","",IF(INDEX(xyWattage_Table,MATCH(M353,'Fixture Identities'!$B$9:$B$997,0),2)="Exit Sign",0,VLOOKUP(S353,xySVG_Factors,2,FALSE))),"")</f>
        <v/>
      </c>
      <c r="AA353" s="545" t="str">
        <f t="shared" si="131"/>
        <v/>
      </c>
      <c r="AB353" s="542" t="str">
        <f t="shared" si="132"/>
        <v/>
      </c>
      <c r="AC353" s="539" t="str">
        <f t="shared" si="133"/>
        <v/>
      </c>
      <c r="AD353" s="546" t="str">
        <f t="shared" si="134"/>
        <v/>
      </c>
      <c r="AE353" s="539" t="str">
        <f t="shared" si="135"/>
        <v/>
      </c>
      <c r="AF353" s="546" t="str">
        <f t="shared" si="136"/>
        <v/>
      </c>
      <c r="AG353" s="539" t="str">
        <f t="shared" si="137"/>
        <v/>
      </c>
      <c r="AH353" s="32">
        <f t="shared" si="139"/>
        <v>0</v>
      </c>
      <c r="AI353" s="32">
        <f t="shared" si="140"/>
        <v>0</v>
      </c>
      <c r="AJ353" s="32">
        <f t="shared" si="141"/>
        <v>0</v>
      </c>
      <c r="AK353" t="str">
        <f t="shared" si="142"/>
        <v/>
      </c>
      <c r="AL353" t="str">
        <f t="shared" si="143"/>
        <v/>
      </c>
      <c r="AM353" t="str">
        <f t="shared" si="144"/>
        <v/>
      </c>
      <c r="AO353" t="str">
        <f>IFERROR(VLOOKUP(M353,'Fixture Identities'!$B$9:$O$1045,14,FALSE),"")</f>
        <v/>
      </c>
      <c r="AP353" t="str">
        <f t="shared" si="138"/>
        <v/>
      </c>
    </row>
    <row r="354" spans="1:42">
      <c r="A354" s="71">
        <f t="shared" si="146"/>
        <v>0</v>
      </c>
      <c r="B354" s="513">
        <f t="shared" si="145"/>
        <v>342</v>
      </c>
      <c r="C354" s="530" t="str">
        <f>IF(Inventory!E351="","",Inventory!E351)</f>
        <v/>
      </c>
      <c r="D354" s="531">
        <f>IF(Inventory!D351="",0,Inventory!D351)</f>
        <v>0</v>
      </c>
      <c r="E354" s="532" t="str">
        <f>IF(Inventory!I351=0,"",Inventory!I351)</f>
        <v/>
      </c>
      <c r="F354" s="533" t="str">
        <f t="shared" si="125"/>
        <v/>
      </c>
      <c r="G354" s="534" t="str">
        <f>IF(Inventory!G351="","",Inventory!G351)</f>
        <v/>
      </c>
      <c r="H354" s="535" t="str">
        <f t="shared" si="126"/>
        <v/>
      </c>
      <c r="I354" s="536" t="str">
        <f>IF(Inventory!J351="","",Inventory!J351)</f>
        <v/>
      </c>
      <c r="J354" s="537" t="str">
        <f>IFERROR(IF(PRJ_Type="New Construction",IF(Inventory!C351="N",INDEX(xyLPD_BuildingArea,MATCH(Building_Type,Lookups!$F$37:$F$75,0),4),INDEX(xyLPD_SpaceBySpace,MATCH(INDEX(xyNCEx,MATCH(I354,yNCExArea,0),2),ySpace_by_Space_Type,0),2)),VLOOKUP(E354,xyWattage_Table,11,FALSE)),"")</f>
        <v/>
      </c>
      <c r="K354" s="538" t="str">
        <f>IFERROR(IF(AND(NC_Type="Building Area Method",Inventory!C351="N"),IF(ISERROR(INDEX('Usage Groups (&gt;120 MWh only)'!$N$8:$N$12,MATCH(C354,'Usage Groups (&gt;120 MWh only)'!$B$8:$B$12,0),1))=TRUE,SqFt/COUNTIFS(Inventory!$C$10:$C$1009,"N",$Q$13:$Q$1012,"&gt;=0"),INDEX('Usage Groups (&gt;120 MWh only)'!$N$8:$N$12,MATCH(C354,'Usage Groups (&gt;120 MWh only)'!$B$8:$B$12,0),1)/COUNTIF($C$13:$C$1012,C354)),IF(AND(NC_Type="Building Area Method",Inventory!C351="Y"),INDEX(xyNCEx,MATCH(I354,yNCExArea,0),3)/COUNTIF($I$13:$I$1012,I354),VLOOKUP(J354,xyWattage_Table,10,FALSE))),"")</f>
        <v/>
      </c>
      <c r="L354" s="539" t="str">
        <f t="shared" si="127"/>
        <v/>
      </c>
      <c r="M354" s="540">
        <f>IF(Inventory!N351="","",Inventory!N351)</f>
        <v>0</v>
      </c>
      <c r="N354" s="533" t="str">
        <f t="shared" si="128"/>
        <v/>
      </c>
      <c r="O354" s="534"/>
      <c r="P354" s="533" t="str">
        <f t="shared" si="129"/>
        <v/>
      </c>
      <c r="Q354" s="534" t="str">
        <f>IF(Inventory!L351="","",Inventory!L351)</f>
        <v/>
      </c>
      <c r="R354" s="535" t="str">
        <f t="shared" si="130"/>
        <v/>
      </c>
      <c r="S354" s="536" t="str">
        <f>IF(Inventory!O351="","",Inventory!O351)</f>
        <v/>
      </c>
      <c r="T354" s="541" t="str">
        <f>IFERROR(IF(C354="","",IF(INDEX(xyWattage_Table,MATCH(M354,'Fixture Identities'!$B$9:$B$997,0),2)="Exit Sign",8760,IF(VLOOKUP(C354,xySpace_Type_Details,8,FALSE)="TRM",INDEX('General Information'!$AF$17:$AG$28,11,MATCH(N354,'General Information'!$AF$16:$AG$16,0)),HLOOKUP(VLOOKUP(C354,xySpace_Type_Details,8,FALSE),'General Information'!$P$15:$AG$28,13,FALSE)))),"")</f>
        <v/>
      </c>
      <c r="U354" s="542" t="str">
        <f>IFERROR(IF(C354="","",IF(INDEX(xyWattage_Table,MATCH(M354,'Fixture Identities'!$B$9:$B$997,0),2)="Exit Sign",1,IF(VLOOKUP(C354,xySpace_Type_Details,8,FALSE)="TRM",INDEX('General Information'!$AF$17:$AG$28,12,MATCH(N354,'General Information'!$AF$16:$AG$16,0)),HLOOKUP(VLOOKUP(C354,xySpace_Type_Details,8,FALSE),'General Information'!$P$15:$AG$28,14,FALSE)))),"")</f>
        <v/>
      </c>
      <c r="V354" s="542" t="str">
        <f>IFERROR(VLOOKUP(INDEX(xySpace_Type_Details,MATCH($C354,'General Information'!$C$40:$C$60,0),12),Lookups!$L$8:$N$12,2,FALSE),"")</f>
        <v/>
      </c>
      <c r="W354" s="542" t="str">
        <f>IFERROR(VLOOKUP(INDEX(xySpace_Type_Details,MATCH($C354,'General Information'!$C$40:$C$60,0),12),Lookups!$L$8:$N$12,3,FALSE),"")</f>
        <v/>
      </c>
      <c r="Y354" s="542" t="str">
        <f>IFERROR(IF(C354="","",IF(INDEX(xyWattage_Table,MATCH(M354,'Fixture Identities'!$B$9:$B$997,0),2)="Exit Sign",0,IF(PRJ_Type="Retrofit",VLOOKUP(I354,xySVG_Factors,2,FALSE),IF(AND(PRJ_Type="New Construction",Inventory!C351="N"),VLOOKUP(VLOOKUP(Building_Type,xyLPD_BuildingArea,5,FALSE),xySVG_Factors_NC,3,FALSE),0)))),"")</f>
        <v/>
      </c>
      <c r="Z354" s="544" t="str">
        <f>IFERROR(IF(C354="","",IF(INDEX(xyWattage_Table,MATCH(M354,'Fixture Identities'!$B$9:$B$997,0),2)="Exit Sign",0,VLOOKUP(S354,xySVG_Factors,2,FALSE))),"")</f>
        <v/>
      </c>
      <c r="AA354" s="545" t="str">
        <f t="shared" si="131"/>
        <v/>
      </c>
      <c r="AB354" s="542" t="str">
        <f t="shared" si="132"/>
        <v/>
      </c>
      <c r="AC354" s="539" t="str">
        <f t="shared" si="133"/>
        <v/>
      </c>
      <c r="AD354" s="546" t="str">
        <f t="shared" si="134"/>
        <v/>
      </c>
      <c r="AE354" s="539" t="str">
        <f t="shared" si="135"/>
        <v/>
      </c>
      <c r="AF354" s="546" t="str">
        <f t="shared" si="136"/>
        <v/>
      </c>
      <c r="AG354" s="539" t="str">
        <f t="shared" si="137"/>
        <v/>
      </c>
      <c r="AH354" s="32">
        <f t="shared" si="139"/>
        <v>0</v>
      </c>
      <c r="AI354" s="32">
        <f t="shared" si="140"/>
        <v>0</v>
      </c>
      <c r="AJ354" s="32">
        <f t="shared" si="141"/>
        <v>0</v>
      </c>
      <c r="AK354" t="str">
        <f t="shared" si="142"/>
        <v/>
      </c>
      <c r="AL354" t="str">
        <f t="shared" si="143"/>
        <v/>
      </c>
      <c r="AM354" t="str">
        <f t="shared" si="144"/>
        <v/>
      </c>
      <c r="AO354" t="str">
        <f>IFERROR(VLOOKUP(M354,'Fixture Identities'!$B$9:$O$1045,14,FALSE),"")</f>
        <v/>
      </c>
      <c r="AP354" t="str">
        <f t="shared" si="138"/>
        <v/>
      </c>
    </row>
    <row r="355" spans="1:42">
      <c r="A355" s="71">
        <f t="shared" si="146"/>
        <v>0</v>
      </c>
      <c r="B355" s="513">
        <f t="shared" si="145"/>
        <v>343</v>
      </c>
      <c r="C355" s="530" t="str">
        <f>IF(Inventory!E352="","",Inventory!E352)</f>
        <v/>
      </c>
      <c r="D355" s="531">
        <f>IF(Inventory!D352="",0,Inventory!D352)</f>
        <v>0</v>
      </c>
      <c r="E355" s="532" t="str">
        <f>IF(Inventory!I352=0,"",Inventory!I352)</f>
        <v/>
      </c>
      <c r="F355" s="533" t="str">
        <f t="shared" si="125"/>
        <v/>
      </c>
      <c r="G355" s="534" t="str">
        <f>IF(Inventory!G352="","",Inventory!G352)</f>
        <v/>
      </c>
      <c r="H355" s="535" t="str">
        <f t="shared" si="126"/>
        <v/>
      </c>
      <c r="I355" s="536" t="str">
        <f>IF(Inventory!J352="","",Inventory!J352)</f>
        <v/>
      </c>
      <c r="J355" s="537" t="str">
        <f>IFERROR(IF(PRJ_Type="New Construction",IF(Inventory!C352="N",INDEX(xyLPD_BuildingArea,MATCH(Building_Type,Lookups!$F$37:$F$75,0),4),INDEX(xyLPD_SpaceBySpace,MATCH(INDEX(xyNCEx,MATCH(I355,yNCExArea,0),2),ySpace_by_Space_Type,0),2)),VLOOKUP(E355,xyWattage_Table,11,FALSE)),"")</f>
        <v/>
      </c>
      <c r="K355" s="538" t="str">
        <f>IFERROR(IF(AND(NC_Type="Building Area Method",Inventory!C352="N"),IF(ISERROR(INDEX('Usage Groups (&gt;120 MWh only)'!$N$8:$N$12,MATCH(C355,'Usage Groups (&gt;120 MWh only)'!$B$8:$B$12,0),1))=TRUE,SqFt/COUNTIFS(Inventory!$C$10:$C$1009,"N",$Q$13:$Q$1012,"&gt;=0"),INDEX('Usage Groups (&gt;120 MWh only)'!$N$8:$N$12,MATCH(C355,'Usage Groups (&gt;120 MWh only)'!$B$8:$B$12,0),1)/COUNTIF($C$13:$C$1012,C355)),IF(AND(NC_Type="Building Area Method",Inventory!C352="Y"),INDEX(xyNCEx,MATCH(I355,yNCExArea,0),3)/COUNTIF($I$13:$I$1012,I355),VLOOKUP(J355,xyWattage_Table,10,FALSE))),"")</f>
        <v/>
      </c>
      <c r="L355" s="539" t="str">
        <f t="shared" si="127"/>
        <v/>
      </c>
      <c r="M355" s="540">
        <f>IF(Inventory!N352="","",Inventory!N352)</f>
        <v>0</v>
      </c>
      <c r="N355" s="533" t="str">
        <f t="shared" si="128"/>
        <v/>
      </c>
      <c r="O355" s="534"/>
      <c r="P355" s="533" t="str">
        <f t="shared" si="129"/>
        <v/>
      </c>
      <c r="Q355" s="534" t="str">
        <f>IF(Inventory!L352="","",Inventory!L352)</f>
        <v/>
      </c>
      <c r="R355" s="535" t="str">
        <f t="shared" si="130"/>
        <v/>
      </c>
      <c r="S355" s="536" t="str">
        <f>IF(Inventory!O352="","",Inventory!O352)</f>
        <v/>
      </c>
      <c r="T355" s="541" t="str">
        <f>IFERROR(IF(C355="","",IF(INDEX(xyWattage_Table,MATCH(M355,'Fixture Identities'!$B$9:$B$997,0),2)="Exit Sign",8760,IF(VLOOKUP(C355,xySpace_Type_Details,8,FALSE)="TRM",INDEX('General Information'!$AF$17:$AG$28,11,MATCH(N355,'General Information'!$AF$16:$AG$16,0)),HLOOKUP(VLOOKUP(C355,xySpace_Type_Details,8,FALSE),'General Information'!$P$15:$AG$28,13,FALSE)))),"")</f>
        <v/>
      </c>
      <c r="U355" s="542" t="str">
        <f>IFERROR(IF(C355="","",IF(INDEX(xyWattage_Table,MATCH(M355,'Fixture Identities'!$B$9:$B$997,0),2)="Exit Sign",1,IF(VLOOKUP(C355,xySpace_Type_Details,8,FALSE)="TRM",INDEX('General Information'!$AF$17:$AG$28,12,MATCH(N355,'General Information'!$AF$16:$AG$16,0)),HLOOKUP(VLOOKUP(C355,xySpace_Type_Details,8,FALSE),'General Information'!$P$15:$AG$28,14,FALSE)))),"")</f>
        <v/>
      </c>
      <c r="V355" s="542" t="str">
        <f>IFERROR(VLOOKUP(INDEX(xySpace_Type_Details,MATCH($C355,'General Information'!$C$40:$C$60,0),12),Lookups!$L$8:$N$12,2,FALSE),"")</f>
        <v/>
      </c>
      <c r="W355" s="542" t="str">
        <f>IFERROR(VLOOKUP(INDEX(xySpace_Type_Details,MATCH($C355,'General Information'!$C$40:$C$60,0),12),Lookups!$L$8:$N$12,3,FALSE),"")</f>
        <v/>
      </c>
      <c r="Y355" s="542" t="str">
        <f>IFERROR(IF(C355="","",IF(INDEX(xyWattage_Table,MATCH(M355,'Fixture Identities'!$B$9:$B$997,0),2)="Exit Sign",0,IF(PRJ_Type="Retrofit",VLOOKUP(I355,xySVG_Factors,2,FALSE),IF(AND(PRJ_Type="New Construction",Inventory!C352="N"),VLOOKUP(VLOOKUP(Building_Type,xyLPD_BuildingArea,5,FALSE),xySVG_Factors_NC,3,FALSE),0)))),"")</f>
        <v/>
      </c>
      <c r="Z355" s="544" t="str">
        <f>IFERROR(IF(C355="","",IF(INDEX(xyWattage_Table,MATCH(M355,'Fixture Identities'!$B$9:$B$997,0),2)="Exit Sign",0,VLOOKUP(S355,xySVG_Factors,2,FALSE))),"")</f>
        <v/>
      </c>
      <c r="AA355" s="545" t="str">
        <f t="shared" si="131"/>
        <v/>
      </c>
      <c r="AB355" s="542" t="str">
        <f t="shared" si="132"/>
        <v/>
      </c>
      <c r="AC355" s="539" t="str">
        <f t="shared" si="133"/>
        <v/>
      </c>
      <c r="AD355" s="546" t="str">
        <f t="shared" si="134"/>
        <v/>
      </c>
      <c r="AE355" s="539" t="str">
        <f t="shared" si="135"/>
        <v/>
      </c>
      <c r="AF355" s="546" t="str">
        <f t="shared" si="136"/>
        <v/>
      </c>
      <c r="AG355" s="539" t="str">
        <f t="shared" si="137"/>
        <v/>
      </c>
      <c r="AH355" s="32">
        <f t="shared" si="139"/>
        <v>0</v>
      </c>
      <c r="AI355" s="32">
        <f t="shared" si="140"/>
        <v>0</v>
      </c>
      <c r="AJ355" s="32">
        <f t="shared" si="141"/>
        <v>0</v>
      </c>
      <c r="AK355" t="str">
        <f t="shared" si="142"/>
        <v/>
      </c>
      <c r="AL355" t="str">
        <f t="shared" si="143"/>
        <v/>
      </c>
      <c r="AM355" t="str">
        <f t="shared" si="144"/>
        <v/>
      </c>
      <c r="AO355" t="str">
        <f>IFERROR(VLOOKUP(M355,'Fixture Identities'!$B$9:$O$1045,14,FALSE),"")</f>
        <v/>
      </c>
      <c r="AP355" t="str">
        <f t="shared" si="138"/>
        <v/>
      </c>
    </row>
    <row r="356" spans="1:42">
      <c r="A356" s="71">
        <f t="shared" si="146"/>
        <v>0</v>
      </c>
      <c r="B356" s="513">
        <f t="shared" si="145"/>
        <v>344</v>
      </c>
      <c r="C356" s="530" t="str">
        <f>IF(Inventory!E353="","",Inventory!E353)</f>
        <v/>
      </c>
      <c r="D356" s="531">
        <f>IF(Inventory!D353="",0,Inventory!D353)</f>
        <v>0</v>
      </c>
      <c r="E356" s="532" t="str">
        <f>IF(Inventory!I353=0,"",Inventory!I353)</f>
        <v/>
      </c>
      <c r="F356" s="533" t="str">
        <f t="shared" si="125"/>
        <v/>
      </c>
      <c r="G356" s="534" t="str">
        <f>IF(Inventory!G353="","",Inventory!G353)</f>
        <v/>
      </c>
      <c r="H356" s="535" t="str">
        <f t="shared" si="126"/>
        <v/>
      </c>
      <c r="I356" s="536" t="str">
        <f>IF(Inventory!J353="","",Inventory!J353)</f>
        <v/>
      </c>
      <c r="J356" s="537" t="str">
        <f>IFERROR(IF(PRJ_Type="New Construction",IF(Inventory!C353="N",INDEX(xyLPD_BuildingArea,MATCH(Building_Type,Lookups!$F$37:$F$75,0),4),INDEX(xyLPD_SpaceBySpace,MATCH(INDEX(xyNCEx,MATCH(I356,yNCExArea,0),2),ySpace_by_Space_Type,0),2)),VLOOKUP(E356,xyWattage_Table,11,FALSE)),"")</f>
        <v/>
      </c>
      <c r="K356" s="538" t="str">
        <f>IFERROR(IF(AND(NC_Type="Building Area Method",Inventory!C353="N"),IF(ISERROR(INDEX('Usage Groups (&gt;120 MWh only)'!$N$8:$N$12,MATCH(C356,'Usage Groups (&gt;120 MWh only)'!$B$8:$B$12,0),1))=TRUE,SqFt/COUNTIFS(Inventory!$C$10:$C$1009,"N",$Q$13:$Q$1012,"&gt;=0"),INDEX('Usage Groups (&gt;120 MWh only)'!$N$8:$N$12,MATCH(C356,'Usage Groups (&gt;120 MWh only)'!$B$8:$B$12,0),1)/COUNTIF($C$13:$C$1012,C356)),IF(AND(NC_Type="Building Area Method",Inventory!C353="Y"),INDEX(xyNCEx,MATCH(I356,yNCExArea,0),3)/COUNTIF($I$13:$I$1012,I356),VLOOKUP(J356,xyWattage_Table,10,FALSE))),"")</f>
        <v/>
      </c>
      <c r="L356" s="539" t="str">
        <f t="shared" si="127"/>
        <v/>
      </c>
      <c r="M356" s="540">
        <f>IF(Inventory!N353="","",Inventory!N353)</f>
        <v>0</v>
      </c>
      <c r="N356" s="533" t="str">
        <f t="shared" si="128"/>
        <v/>
      </c>
      <c r="O356" s="534"/>
      <c r="P356" s="533" t="str">
        <f t="shared" si="129"/>
        <v/>
      </c>
      <c r="Q356" s="534" t="str">
        <f>IF(Inventory!L353="","",Inventory!L353)</f>
        <v/>
      </c>
      <c r="R356" s="535" t="str">
        <f t="shared" si="130"/>
        <v/>
      </c>
      <c r="S356" s="536" t="str">
        <f>IF(Inventory!O353="","",Inventory!O353)</f>
        <v/>
      </c>
      <c r="T356" s="541" t="str">
        <f>IFERROR(IF(C356="","",IF(INDEX(xyWattage_Table,MATCH(M356,'Fixture Identities'!$B$9:$B$997,0),2)="Exit Sign",8760,IF(VLOOKUP(C356,xySpace_Type_Details,8,FALSE)="TRM",INDEX('General Information'!$AF$17:$AG$28,11,MATCH(N356,'General Information'!$AF$16:$AG$16,0)),HLOOKUP(VLOOKUP(C356,xySpace_Type_Details,8,FALSE),'General Information'!$P$15:$AG$28,13,FALSE)))),"")</f>
        <v/>
      </c>
      <c r="U356" s="542" t="str">
        <f>IFERROR(IF(C356="","",IF(INDEX(xyWattage_Table,MATCH(M356,'Fixture Identities'!$B$9:$B$997,0),2)="Exit Sign",1,IF(VLOOKUP(C356,xySpace_Type_Details,8,FALSE)="TRM",INDEX('General Information'!$AF$17:$AG$28,12,MATCH(N356,'General Information'!$AF$16:$AG$16,0)),HLOOKUP(VLOOKUP(C356,xySpace_Type_Details,8,FALSE),'General Information'!$P$15:$AG$28,14,FALSE)))),"")</f>
        <v/>
      </c>
      <c r="V356" s="542" t="str">
        <f>IFERROR(VLOOKUP(INDEX(xySpace_Type_Details,MATCH($C356,'General Information'!$C$40:$C$60,0),12),Lookups!$L$8:$N$12,2,FALSE),"")</f>
        <v/>
      </c>
      <c r="W356" s="542" t="str">
        <f>IFERROR(VLOOKUP(INDEX(xySpace_Type_Details,MATCH($C356,'General Information'!$C$40:$C$60,0),12),Lookups!$L$8:$N$12,3,FALSE),"")</f>
        <v/>
      </c>
      <c r="Y356" s="542" t="str">
        <f>IFERROR(IF(C356="","",IF(INDEX(xyWattage_Table,MATCH(M356,'Fixture Identities'!$B$9:$B$997,0),2)="Exit Sign",0,IF(PRJ_Type="Retrofit",VLOOKUP(I356,xySVG_Factors,2,FALSE),IF(AND(PRJ_Type="New Construction",Inventory!C353="N"),VLOOKUP(VLOOKUP(Building_Type,xyLPD_BuildingArea,5,FALSE),xySVG_Factors_NC,3,FALSE),0)))),"")</f>
        <v/>
      </c>
      <c r="Z356" s="544" t="str">
        <f>IFERROR(IF(C356="","",IF(INDEX(xyWattage_Table,MATCH(M356,'Fixture Identities'!$B$9:$B$997,0),2)="Exit Sign",0,VLOOKUP(S356,xySVG_Factors,2,FALSE))),"")</f>
        <v/>
      </c>
      <c r="AA356" s="545" t="str">
        <f t="shared" si="131"/>
        <v/>
      </c>
      <c r="AB356" s="542" t="str">
        <f t="shared" si="132"/>
        <v/>
      </c>
      <c r="AC356" s="539" t="str">
        <f t="shared" si="133"/>
        <v/>
      </c>
      <c r="AD356" s="546" t="str">
        <f t="shared" si="134"/>
        <v/>
      </c>
      <c r="AE356" s="539" t="str">
        <f t="shared" si="135"/>
        <v/>
      </c>
      <c r="AF356" s="546" t="str">
        <f t="shared" si="136"/>
        <v/>
      </c>
      <c r="AG356" s="539" t="str">
        <f t="shared" si="137"/>
        <v/>
      </c>
      <c r="AH356" s="32">
        <f t="shared" si="139"/>
        <v>0</v>
      </c>
      <c r="AI356" s="32">
        <f t="shared" si="140"/>
        <v>0</v>
      </c>
      <c r="AJ356" s="32">
        <f t="shared" si="141"/>
        <v>0</v>
      </c>
      <c r="AK356" t="str">
        <f t="shared" si="142"/>
        <v/>
      </c>
      <c r="AL356" t="str">
        <f t="shared" si="143"/>
        <v/>
      </c>
      <c r="AM356" t="str">
        <f t="shared" si="144"/>
        <v/>
      </c>
      <c r="AO356" t="str">
        <f>IFERROR(VLOOKUP(M356,'Fixture Identities'!$B$9:$O$1045,14,FALSE),"")</f>
        <v/>
      </c>
      <c r="AP356" t="str">
        <f t="shared" si="138"/>
        <v/>
      </c>
    </row>
    <row r="357" spans="1:42">
      <c r="A357" s="71">
        <f t="shared" si="146"/>
        <v>0</v>
      </c>
      <c r="B357" s="513">
        <f t="shared" si="145"/>
        <v>345</v>
      </c>
      <c r="C357" s="530" t="str">
        <f>IF(Inventory!E354="","",Inventory!E354)</f>
        <v/>
      </c>
      <c r="D357" s="531">
        <f>IF(Inventory!D354="",0,Inventory!D354)</f>
        <v>0</v>
      </c>
      <c r="E357" s="532" t="str">
        <f>IF(Inventory!I354=0,"",Inventory!I354)</f>
        <v/>
      </c>
      <c r="F357" s="533" t="str">
        <f t="shared" si="125"/>
        <v/>
      </c>
      <c r="G357" s="534" t="str">
        <f>IF(Inventory!G354="","",Inventory!G354)</f>
        <v/>
      </c>
      <c r="H357" s="535" t="str">
        <f t="shared" si="126"/>
        <v/>
      </c>
      <c r="I357" s="536" t="str">
        <f>IF(Inventory!J354="","",Inventory!J354)</f>
        <v/>
      </c>
      <c r="J357" s="537" t="str">
        <f>IFERROR(IF(PRJ_Type="New Construction",IF(Inventory!C354="N",INDEX(xyLPD_BuildingArea,MATCH(Building_Type,Lookups!$F$37:$F$75,0),4),INDEX(xyLPD_SpaceBySpace,MATCH(INDEX(xyNCEx,MATCH(I357,yNCExArea,0),2),ySpace_by_Space_Type,0),2)),VLOOKUP(E357,xyWattage_Table,11,FALSE)),"")</f>
        <v/>
      </c>
      <c r="K357" s="538" t="str">
        <f>IFERROR(IF(AND(NC_Type="Building Area Method",Inventory!C354="N"),IF(ISERROR(INDEX('Usage Groups (&gt;120 MWh only)'!$N$8:$N$12,MATCH(C357,'Usage Groups (&gt;120 MWh only)'!$B$8:$B$12,0),1))=TRUE,SqFt/COUNTIFS(Inventory!$C$10:$C$1009,"N",$Q$13:$Q$1012,"&gt;=0"),INDEX('Usage Groups (&gt;120 MWh only)'!$N$8:$N$12,MATCH(C357,'Usage Groups (&gt;120 MWh only)'!$B$8:$B$12,0),1)/COUNTIF($C$13:$C$1012,C357)),IF(AND(NC_Type="Building Area Method",Inventory!C354="Y"),INDEX(xyNCEx,MATCH(I357,yNCExArea,0),3)/COUNTIF($I$13:$I$1012,I357),VLOOKUP(J357,xyWattage_Table,10,FALSE))),"")</f>
        <v/>
      </c>
      <c r="L357" s="539" t="str">
        <f t="shared" si="127"/>
        <v/>
      </c>
      <c r="M357" s="540">
        <f>IF(Inventory!N354="","",Inventory!N354)</f>
        <v>0</v>
      </c>
      <c r="N357" s="533" t="str">
        <f t="shared" si="128"/>
        <v/>
      </c>
      <c r="O357" s="534"/>
      <c r="P357" s="533" t="str">
        <f t="shared" si="129"/>
        <v/>
      </c>
      <c r="Q357" s="534" t="str">
        <f>IF(Inventory!L354="","",Inventory!L354)</f>
        <v/>
      </c>
      <c r="R357" s="535" t="str">
        <f t="shared" si="130"/>
        <v/>
      </c>
      <c r="S357" s="536" t="str">
        <f>IF(Inventory!O354="","",Inventory!O354)</f>
        <v/>
      </c>
      <c r="T357" s="541" t="str">
        <f>IFERROR(IF(C357="","",IF(INDEX(xyWattage_Table,MATCH(M357,'Fixture Identities'!$B$9:$B$997,0),2)="Exit Sign",8760,IF(VLOOKUP(C357,xySpace_Type_Details,8,FALSE)="TRM",INDEX('General Information'!$AF$17:$AG$28,11,MATCH(N357,'General Information'!$AF$16:$AG$16,0)),HLOOKUP(VLOOKUP(C357,xySpace_Type_Details,8,FALSE),'General Information'!$P$15:$AG$28,13,FALSE)))),"")</f>
        <v/>
      </c>
      <c r="U357" s="542" t="str">
        <f>IFERROR(IF(C357="","",IF(INDEX(xyWattage_Table,MATCH(M357,'Fixture Identities'!$B$9:$B$997,0),2)="Exit Sign",1,IF(VLOOKUP(C357,xySpace_Type_Details,8,FALSE)="TRM",INDEX('General Information'!$AF$17:$AG$28,12,MATCH(N357,'General Information'!$AF$16:$AG$16,0)),HLOOKUP(VLOOKUP(C357,xySpace_Type_Details,8,FALSE),'General Information'!$P$15:$AG$28,14,FALSE)))),"")</f>
        <v/>
      </c>
      <c r="V357" s="542" t="str">
        <f>IFERROR(VLOOKUP(INDEX(xySpace_Type_Details,MATCH($C357,'General Information'!$C$40:$C$60,0),12),Lookups!$L$8:$N$12,2,FALSE),"")</f>
        <v/>
      </c>
      <c r="W357" s="542" t="str">
        <f>IFERROR(VLOOKUP(INDEX(xySpace_Type_Details,MATCH($C357,'General Information'!$C$40:$C$60,0),12),Lookups!$L$8:$N$12,3,FALSE),"")</f>
        <v/>
      </c>
      <c r="Y357" s="542" t="str">
        <f>IFERROR(IF(C357="","",IF(INDEX(xyWattage_Table,MATCH(M357,'Fixture Identities'!$B$9:$B$997,0),2)="Exit Sign",0,IF(PRJ_Type="Retrofit",VLOOKUP(I357,xySVG_Factors,2,FALSE),IF(AND(PRJ_Type="New Construction",Inventory!C354="N"),VLOOKUP(VLOOKUP(Building_Type,xyLPD_BuildingArea,5,FALSE),xySVG_Factors_NC,3,FALSE),0)))),"")</f>
        <v/>
      </c>
      <c r="Z357" s="544" t="str">
        <f>IFERROR(IF(C357="","",IF(INDEX(xyWattage_Table,MATCH(M357,'Fixture Identities'!$B$9:$B$997,0),2)="Exit Sign",0,VLOOKUP(S357,xySVG_Factors,2,FALSE))),"")</f>
        <v/>
      </c>
      <c r="AA357" s="545" t="str">
        <f t="shared" si="131"/>
        <v/>
      </c>
      <c r="AB357" s="542" t="str">
        <f t="shared" si="132"/>
        <v/>
      </c>
      <c r="AC357" s="539" t="str">
        <f t="shared" si="133"/>
        <v/>
      </c>
      <c r="AD357" s="546" t="str">
        <f t="shared" si="134"/>
        <v/>
      </c>
      <c r="AE357" s="539" t="str">
        <f t="shared" si="135"/>
        <v/>
      </c>
      <c r="AF357" s="546" t="str">
        <f t="shared" si="136"/>
        <v/>
      </c>
      <c r="AG357" s="539" t="str">
        <f t="shared" si="137"/>
        <v/>
      </c>
      <c r="AH357" s="32">
        <f t="shared" si="139"/>
        <v>0</v>
      </c>
      <c r="AI357" s="32">
        <f t="shared" si="140"/>
        <v>0</v>
      </c>
      <c r="AJ357" s="32">
        <f t="shared" si="141"/>
        <v>0</v>
      </c>
      <c r="AK357" t="str">
        <f t="shared" si="142"/>
        <v/>
      </c>
      <c r="AL357" t="str">
        <f t="shared" si="143"/>
        <v/>
      </c>
      <c r="AM357" t="str">
        <f t="shared" si="144"/>
        <v/>
      </c>
      <c r="AO357" t="str">
        <f>IFERROR(VLOOKUP(M357,'Fixture Identities'!$B$9:$O$1045,14,FALSE),"")</f>
        <v/>
      </c>
      <c r="AP357" t="str">
        <f t="shared" si="138"/>
        <v/>
      </c>
    </row>
    <row r="358" spans="1:42">
      <c r="A358" s="71">
        <f t="shared" si="146"/>
        <v>0</v>
      </c>
      <c r="B358" s="513">
        <f t="shared" si="145"/>
        <v>346</v>
      </c>
      <c r="C358" s="530" t="str">
        <f>IF(Inventory!E355="","",Inventory!E355)</f>
        <v/>
      </c>
      <c r="D358" s="531">
        <f>IF(Inventory!D355="",0,Inventory!D355)</f>
        <v>0</v>
      </c>
      <c r="E358" s="532" t="str">
        <f>IF(Inventory!I355=0,"",Inventory!I355)</f>
        <v/>
      </c>
      <c r="F358" s="533" t="str">
        <f t="shared" si="125"/>
        <v/>
      </c>
      <c r="G358" s="534" t="str">
        <f>IF(Inventory!G355="","",Inventory!G355)</f>
        <v/>
      </c>
      <c r="H358" s="535" t="str">
        <f t="shared" si="126"/>
        <v/>
      </c>
      <c r="I358" s="536" t="str">
        <f>IF(Inventory!J355="","",Inventory!J355)</f>
        <v/>
      </c>
      <c r="J358" s="537" t="str">
        <f>IFERROR(IF(PRJ_Type="New Construction",IF(Inventory!C355="N",INDEX(xyLPD_BuildingArea,MATCH(Building_Type,Lookups!$F$37:$F$75,0),4),INDEX(xyLPD_SpaceBySpace,MATCH(INDEX(xyNCEx,MATCH(I358,yNCExArea,0),2),ySpace_by_Space_Type,0),2)),VLOOKUP(E358,xyWattage_Table,11,FALSE)),"")</f>
        <v/>
      </c>
      <c r="K358" s="538" t="str">
        <f>IFERROR(IF(AND(NC_Type="Building Area Method",Inventory!C355="N"),IF(ISERROR(INDEX('Usage Groups (&gt;120 MWh only)'!$N$8:$N$12,MATCH(C358,'Usage Groups (&gt;120 MWh only)'!$B$8:$B$12,0),1))=TRUE,SqFt/COUNTIFS(Inventory!$C$10:$C$1009,"N",$Q$13:$Q$1012,"&gt;=0"),INDEX('Usage Groups (&gt;120 MWh only)'!$N$8:$N$12,MATCH(C358,'Usage Groups (&gt;120 MWh only)'!$B$8:$B$12,0),1)/COUNTIF($C$13:$C$1012,C358)),IF(AND(NC_Type="Building Area Method",Inventory!C355="Y"),INDEX(xyNCEx,MATCH(I358,yNCExArea,0),3)/COUNTIF($I$13:$I$1012,I358),VLOOKUP(J358,xyWattage_Table,10,FALSE))),"")</f>
        <v/>
      </c>
      <c r="L358" s="539" t="str">
        <f t="shared" si="127"/>
        <v/>
      </c>
      <c r="M358" s="540">
        <f>IF(Inventory!N355="","",Inventory!N355)</f>
        <v>0</v>
      </c>
      <c r="N358" s="533" t="str">
        <f t="shared" si="128"/>
        <v/>
      </c>
      <c r="O358" s="534"/>
      <c r="P358" s="533" t="str">
        <f t="shared" si="129"/>
        <v/>
      </c>
      <c r="Q358" s="534" t="str">
        <f>IF(Inventory!L355="","",Inventory!L355)</f>
        <v/>
      </c>
      <c r="R358" s="535" t="str">
        <f t="shared" si="130"/>
        <v/>
      </c>
      <c r="S358" s="536" t="str">
        <f>IF(Inventory!O355="","",Inventory!O355)</f>
        <v/>
      </c>
      <c r="T358" s="541" t="str">
        <f>IFERROR(IF(C358="","",IF(INDEX(xyWattage_Table,MATCH(M358,'Fixture Identities'!$B$9:$B$997,0),2)="Exit Sign",8760,IF(VLOOKUP(C358,xySpace_Type_Details,8,FALSE)="TRM",INDEX('General Information'!$AF$17:$AG$28,11,MATCH(N358,'General Information'!$AF$16:$AG$16,0)),HLOOKUP(VLOOKUP(C358,xySpace_Type_Details,8,FALSE),'General Information'!$P$15:$AG$28,13,FALSE)))),"")</f>
        <v/>
      </c>
      <c r="U358" s="542" t="str">
        <f>IFERROR(IF(C358="","",IF(INDEX(xyWattage_Table,MATCH(M358,'Fixture Identities'!$B$9:$B$997,0),2)="Exit Sign",1,IF(VLOOKUP(C358,xySpace_Type_Details,8,FALSE)="TRM",INDEX('General Information'!$AF$17:$AG$28,12,MATCH(N358,'General Information'!$AF$16:$AG$16,0)),HLOOKUP(VLOOKUP(C358,xySpace_Type_Details,8,FALSE),'General Information'!$P$15:$AG$28,14,FALSE)))),"")</f>
        <v/>
      </c>
      <c r="V358" s="542" t="str">
        <f>IFERROR(VLOOKUP(INDEX(xySpace_Type_Details,MATCH($C358,'General Information'!$C$40:$C$60,0),12),Lookups!$L$8:$N$12,2,FALSE),"")</f>
        <v/>
      </c>
      <c r="W358" s="542" t="str">
        <f>IFERROR(VLOOKUP(INDEX(xySpace_Type_Details,MATCH($C358,'General Information'!$C$40:$C$60,0),12),Lookups!$L$8:$N$12,3,FALSE),"")</f>
        <v/>
      </c>
      <c r="Y358" s="542" t="str">
        <f>IFERROR(IF(C358="","",IF(INDEX(xyWattage_Table,MATCH(M358,'Fixture Identities'!$B$9:$B$997,0),2)="Exit Sign",0,IF(PRJ_Type="Retrofit",VLOOKUP(I358,xySVG_Factors,2,FALSE),IF(AND(PRJ_Type="New Construction",Inventory!C355="N"),VLOOKUP(VLOOKUP(Building_Type,xyLPD_BuildingArea,5,FALSE),xySVG_Factors_NC,3,FALSE),0)))),"")</f>
        <v/>
      </c>
      <c r="Z358" s="544" t="str">
        <f>IFERROR(IF(C358="","",IF(INDEX(xyWattage_Table,MATCH(M358,'Fixture Identities'!$B$9:$B$997,0),2)="Exit Sign",0,VLOOKUP(S358,xySVG_Factors,2,FALSE))),"")</f>
        <v/>
      </c>
      <c r="AA358" s="545" t="str">
        <f t="shared" si="131"/>
        <v/>
      </c>
      <c r="AB358" s="542" t="str">
        <f t="shared" si="132"/>
        <v/>
      </c>
      <c r="AC358" s="539" t="str">
        <f t="shared" si="133"/>
        <v/>
      </c>
      <c r="AD358" s="546" t="str">
        <f t="shared" si="134"/>
        <v/>
      </c>
      <c r="AE358" s="539" t="str">
        <f t="shared" si="135"/>
        <v/>
      </c>
      <c r="AF358" s="546" t="str">
        <f t="shared" si="136"/>
        <v/>
      </c>
      <c r="AG358" s="539" t="str">
        <f t="shared" si="137"/>
        <v/>
      </c>
      <c r="AH358" s="32">
        <f t="shared" si="139"/>
        <v>0</v>
      </c>
      <c r="AI358" s="32">
        <f t="shared" si="140"/>
        <v>0</v>
      </c>
      <c r="AJ358" s="32">
        <f t="shared" si="141"/>
        <v>0</v>
      </c>
      <c r="AK358" t="str">
        <f t="shared" si="142"/>
        <v/>
      </c>
      <c r="AL358" t="str">
        <f t="shared" si="143"/>
        <v/>
      </c>
      <c r="AM358" t="str">
        <f t="shared" si="144"/>
        <v/>
      </c>
      <c r="AO358" t="str">
        <f>IFERROR(VLOOKUP(M358,'Fixture Identities'!$B$9:$O$1045,14,FALSE),"")</f>
        <v/>
      </c>
      <c r="AP358" t="str">
        <f t="shared" si="138"/>
        <v/>
      </c>
    </row>
    <row r="359" spans="1:42">
      <c r="A359" s="71">
        <f t="shared" si="146"/>
        <v>0</v>
      </c>
      <c r="B359" s="513">
        <f t="shared" si="145"/>
        <v>347</v>
      </c>
      <c r="C359" s="530" t="str">
        <f>IF(Inventory!E356="","",Inventory!E356)</f>
        <v/>
      </c>
      <c r="D359" s="531">
        <f>IF(Inventory!D356="",0,Inventory!D356)</f>
        <v>0</v>
      </c>
      <c r="E359" s="532" t="str">
        <f>IF(Inventory!I356=0,"",Inventory!I356)</f>
        <v/>
      </c>
      <c r="F359" s="533" t="str">
        <f t="shared" si="125"/>
        <v/>
      </c>
      <c r="G359" s="534" t="str">
        <f>IF(Inventory!G356="","",Inventory!G356)</f>
        <v/>
      </c>
      <c r="H359" s="535" t="str">
        <f t="shared" si="126"/>
        <v/>
      </c>
      <c r="I359" s="536" t="str">
        <f>IF(Inventory!J356="","",Inventory!J356)</f>
        <v/>
      </c>
      <c r="J359" s="537" t="str">
        <f>IFERROR(IF(PRJ_Type="New Construction",IF(Inventory!C356="N",INDEX(xyLPD_BuildingArea,MATCH(Building_Type,Lookups!$F$37:$F$75,0),4),INDEX(xyLPD_SpaceBySpace,MATCH(INDEX(xyNCEx,MATCH(I359,yNCExArea,0),2),ySpace_by_Space_Type,0),2)),VLOOKUP(E359,xyWattage_Table,11,FALSE)),"")</f>
        <v/>
      </c>
      <c r="K359" s="538" t="str">
        <f>IFERROR(IF(AND(NC_Type="Building Area Method",Inventory!C356="N"),IF(ISERROR(INDEX('Usage Groups (&gt;120 MWh only)'!$N$8:$N$12,MATCH(C359,'Usage Groups (&gt;120 MWh only)'!$B$8:$B$12,0),1))=TRUE,SqFt/COUNTIFS(Inventory!$C$10:$C$1009,"N",$Q$13:$Q$1012,"&gt;=0"),INDEX('Usage Groups (&gt;120 MWh only)'!$N$8:$N$12,MATCH(C359,'Usage Groups (&gt;120 MWh only)'!$B$8:$B$12,0),1)/COUNTIF($C$13:$C$1012,C359)),IF(AND(NC_Type="Building Area Method",Inventory!C356="Y"),INDEX(xyNCEx,MATCH(I359,yNCExArea,0),3)/COUNTIF($I$13:$I$1012,I359),VLOOKUP(J359,xyWattage_Table,10,FALSE))),"")</f>
        <v/>
      </c>
      <c r="L359" s="539" t="str">
        <f t="shared" si="127"/>
        <v/>
      </c>
      <c r="M359" s="540">
        <f>IF(Inventory!N356="","",Inventory!N356)</f>
        <v>0</v>
      </c>
      <c r="N359" s="533" t="str">
        <f t="shared" si="128"/>
        <v/>
      </c>
      <c r="O359" s="534"/>
      <c r="P359" s="533" t="str">
        <f t="shared" si="129"/>
        <v/>
      </c>
      <c r="Q359" s="534" t="str">
        <f>IF(Inventory!L356="","",Inventory!L356)</f>
        <v/>
      </c>
      <c r="R359" s="535" t="str">
        <f t="shared" si="130"/>
        <v/>
      </c>
      <c r="S359" s="536" t="str">
        <f>IF(Inventory!O356="","",Inventory!O356)</f>
        <v/>
      </c>
      <c r="T359" s="541" t="str">
        <f>IFERROR(IF(C359="","",IF(INDEX(xyWattage_Table,MATCH(M359,'Fixture Identities'!$B$9:$B$997,0),2)="Exit Sign",8760,IF(VLOOKUP(C359,xySpace_Type_Details,8,FALSE)="TRM",INDEX('General Information'!$AF$17:$AG$28,11,MATCH(N359,'General Information'!$AF$16:$AG$16,0)),HLOOKUP(VLOOKUP(C359,xySpace_Type_Details,8,FALSE),'General Information'!$P$15:$AG$28,13,FALSE)))),"")</f>
        <v/>
      </c>
      <c r="U359" s="542" t="str">
        <f>IFERROR(IF(C359="","",IF(INDEX(xyWattage_Table,MATCH(M359,'Fixture Identities'!$B$9:$B$997,0),2)="Exit Sign",1,IF(VLOOKUP(C359,xySpace_Type_Details,8,FALSE)="TRM",INDEX('General Information'!$AF$17:$AG$28,12,MATCH(N359,'General Information'!$AF$16:$AG$16,0)),HLOOKUP(VLOOKUP(C359,xySpace_Type_Details,8,FALSE),'General Information'!$P$15:$AG$28,14,FALSE)))),"")</f>
        <v/>
      </c>
      <c r="V359" s="542" t="str">
        <f>IFERROR(VLOOKUP(INDEX(xySpace_Type_Details,MATCH($C359,'General Information'!$C$40:$C$60,0),12),Lookups!$L$8:$N$12,2,FALSE),"")</f>
        <v/>
      </c>
      <c r="W359" s="542" t="str">
        <f>IFERROR(VLOOKUP(INDEX(xySpace_Type_Details,MATCH($C359,'General Information'!$C$40:$C$60,0),12),Lookups!$L$8:$N$12,3,FALSE),"")</f>
        <v/>
      </c>
      <c r="Y359" s="542" t="str">
        <f>IFERROR(IF(C359="","",IF(INDEX(xyWattage_Table,MATCH(M359,'Fixture Identities'!$B$9:$B$997,0),2)="Exit Sign",0,IF(PRJ_Type="Retrofit",VLOOKUP(I359,xySVG_Factors,2,FALSE),IF(AND(PRJ_Type="New Construction",Inventory!C356="N"),VLOOKUP(VLOOKUP(Building_Type,xyLPD_BuildingArea,5,FALSE),xySVG_Factors_NC,3,FALSE),0)))),"")</f>
        <v/>
      </c>
      <c r="Z359" s="544" t="str">
        <f>IFERROR(IF(C359="","",IF(INDEX(xyWattage_Table,MATCH(M359,'Fixture Identities'!$B$9:$B$997,0),2)="Exit Sign",0,VLOOKUP(S359,xySVG_Factors,2,FALSE))),"")</f>
        <v/>
      </c>
      <c r="AA359" s="545" t="str">
        <f t="shared" si="131"/>
        <v/>
      </c>
      <c r="AB359" s="542" t="str">
        <f t="shared" si="132"/>
        <v/>
      </c>
      <c r="AC359" s="539" t="str">
        <f t="shared" si="133"/>
        <v/>
      </c>
      <c r="AD359" s="546" t="str">
        <f t="shared" si="134"/>
        <v/>
      </c>
      <c r="AE359" s="539" t="str">
        <f t="shared" si="135"/>
        <v/>
      </c>
      <c r="AF359" s="546" t="str">
        <f t="shared" si="136"/>
        <v/>
      </c>
      <c r="AG359" s="539" t="str">
        <f t="shared" si="137"/>
        <v/>
      </c>
      <c r="AH359" s="32">
        <f t="shared" si="139"/>
        <v>0</v>
      </c>
      <c r="AI359" s="32">
        <f t="shared" si="140"/>
        <v>0</v>
      </c>
      <c r="AJ359" s="32">
        <f t="shared" si="141"/>
        <v>0</v>
      </c>
      <c r="AK359" t="str">
        <f t="shared" si="142"/>
        <v/>
      </c>
      <c r="AL359" t="str">
        <f t="shared" si="143"/>
        <v/>
      </c>
      <c r="AM359" t="str">
        <f t="shared" si="144"/>
        <v/>
      </c>
      <c r="AO359" t="str">
        <f>IFERROR(VLOOKUP(M359,'Fixture Identities'!$B$9:$O$1045,14,FALSE),"")</f>
        <v/>
      </c>
      <c r="AP359" t="str">
        <f t="shared" si="138"/>
        <v/>
      </c>
    </row>
    <row r="360" spans="1:42">
      <c r="A360" s="71">
        <f t="shared" si="146"/>
        <v>0</v>
      </c>
      <c r="B360" s="513">
        <f t="shared" si="145"/>
        <v>348</v>
      </c>
      <c r="C360" s="530" t="str">
        <f>IF(Inventory!E357="","",Inventory!E357)</f>
        <v/>
      </c>
      <c r="D360" s="531">
        <f>IF(Inventory!D357="",0,Inventory!D357)</f>
        <v>0</v>
      </c>
      <c r="E360" s="532" t="str">
        <f>IF(Inventory!I357=0,"",Inventory!I357)</f>
        <v/>
      </c>
      <c r="F360" s="533" t="str">
        <f t="shared" si="125"/>
        <v/>
      </c>
      <c r="G360" s="534" t="str">
        <f>IF(Inventory!G357="","",Inventory!G357)</f>
        <v/>
      </c>
      <c r="H360" s="535" t="str">
        <f t="shared" si="126"/>
        <v/>
      </c>
      <c r="I360" s="536" t="str">
        <f>IF(Inventory!J357="","",Inventory!J357)</f>
        <v/>
      </c>
      <c r="J360" s="537" t="str">
        <f>IFERROR(IF(PRJ_Type="New Construction",IF(Inventory!C357="N",INDEX(xyLPD_BuildingArea,MATCH(Building_Type,Lookups!$F$37:$F$75,0),4),INDEX(xyLPD_SpaceBySpace,MATCH(INDEX(xyNCEx,MATCH(I360,yNCExArea,0),2),ySpace_by_Space_Type,0),2)),VLOOKUP(E360,xyWattage_Table,11,FALSE)),"")</f>
        <v/>
      </c>
      <c r="K360" s="538" t="str">
        <f>IFERROR(IF(AND(NC_Type="Building Area Method",Inventory!C357="N"),IF(ISERROR(INDEX('Usage Groups (&gt;120 MWh only)'!$N$8:$N$12,MATCH(C360,'Usage Groups (&gt;120 MWh only)'!$B$8:$B$12,0),1))=TRUE,SqFt/COUNTIFS(Inventory!$C$10:$C$1009,"N",$Q$13:$Q$1012,"&gt;=0"),INDEX('Usage Groups (&gt;120 MWh only)'!$N$8:$N$12,MATCH(C360,'Usage Groups (&gt;120 MWh only)'!$B$8:$B$12,0),1)/COUNTIF($C$13:$C$1012,C360)),IF(AND(NC_Type="Building Area Method",Inventory!C357="Y"),INDEX(xyNCEx,MATCH(I360,yNCExArea,0),3)/COUNTIF($I$13:$I$1012,I360),VLOOKUP(J360,xyWattage_Table,10,FALSE))),"")</f>
        <v/>
      </c>
      <c r="L360" s="539" t="str">
        <f t="shared" si="127"/>
        <v/>
      </c>
      <c r="M360" s="540">
        <f>IF(Inventory!N357="","",Inventory!N357)</f>
        <v>0</v>
      </c>
      <c r="N360" s="533" t="str">
        <f t="shared" si="128"/>
        <v/>
      </c>
      <c r="O360" s="534"/>
      <c r="P360" s="533" t="str">
        <f t="shared" si="129"/>
        <v/>
      </c>
      <c r="Q360" s="534" t="str">
        <f>IF(Inventory!L357="","",Inventory!L357)</f>
        <v/>
      </c>
      <c r="R360" s="535" t="str">
        <f t="shared" si="130"/>
        <v/>
      </c>
      <c r="S360" s="536" t="str">
        <f>IF(Inventory!O357="","",Inventory!O357)</f>
        <v/>
      </c>
      <c r="T360" s="541" t="str">
        <f>IFERROR(IF(C360="","",IF(INDEX(xyWattage_Table,MATCH(M360,'Fixture Identities'!$B$9:$B$997,0),2)="Exit Sign",8760,IF(VLOOKUP(C360,xySpace_Type_Details,8,FALSE)="TRM",INDEX('General Information'!$AF$17:$AG$28,11,MATCH(N360,'General Information'!$AF$16:$AG$16,0)),HLOOKUP(VLOOKUP(C360,xySpace_Type_Details,8,FALSE),'General Information'!$P$15:$AG$28,13,FALSE)))),"")</f>
        <v/>
      </c>
      <c r="U360" s="542" t="str">
        <f>IFERROR(IF(C360="","",IF(INDEX(xyWattage_Table,MATCH(M360,'Fixture Identities'!$B$9:$B$997,0),2)="Exit Sign",1,IF(VLOOKUP(C360,xySpace_Type_Details,8,FALSE)="TRM",INDEX('General Information'!$AF$17:$AG$28,12,MATCH(N360,'General Information'!$AF$16:$AG$16,0)),HLOOKUP(VLOOKUP(C360,xySpace_Type_Details,8,FALSE),'General Information'!$P$15:$AG$28,14,FALSE)))),"")</f>
        <v/>
      </c>
      <c r="V360" s="542" t="str">
        <f>IFERROR(VLOOKUP(INDEX(xySpace_Type_Details,MATCH($C360,'General Information'!$C$40:$C$60,0),12),Lookups!$L$8:$N$12,2,FALSE),"")</f>
        <v/>
      </c>
      <c r="W360" s="542" t="str">
        <f>IFERROR(VLOOKUP(INDEX(xySpace_Type_Details,MATCH($C360,'General Information'!$C$40:$C$60,0),12),Lookups!$L$8:$N$12,3,FALSE),"")</f>
        <v/>
      </c>
      <c r="Y360" s="542" t="str">
        <f>IFERROR(IF(C360="","",IF(INDEX(xyWattage_Table,MATCH(M360,'Fixture Identities'!$B$9:$B$997,0),2)="Exit Sign",0,IF(PRJ_Type="Retrofit",VLOOKUP(I360,xySVG_Factors,2,FALSE),IF(AND(PRJ_Type="New Construction",Inventory!C357="N"),VLOOKUP(VLOOKUP(Building_Type,xyLPD_BuildingArea,5,FALSE),xySVG_Factors_NC,3,FALSE),0)))),"")</f>
        <v/>
      </c>
      <c r="Z360" s="544" t="str">
        <f>IFERROR(IF(C360="","",IF(INDEX(xyWattage_Table,MATCH(M360,'Fixture Identities'!$B$9:$B$997,0),2)="Exit Sign",0,VLOOKUP(S360,xySVG_Factors,2,FALSE))),"")</f>
        <v/>
      </c>
      <c r="AA360" s="545" t="str">
        <f t="shared" si="131"/>
        <v/>
      </c>
      <c r="AB360" s="542" t="str">
        <f t="shared" si="132"/>
        <v/>
      </c>
      <c r="AC360" s="539" t="str">
        <f t="shared" si="133"/>
        <v/>
      </c>
      <c r="AD360" s="546" t="str">
        <f t="shared" si="134"/>
        <v/>
      </c>
      <c r="AE360" s="539" t="str">
        <f t="shared" si="135"/>
        <v/>
      </c>
      <c r="AF360" s="546" t="str">
        <f t="shared" si="136"/>
        <v/>
      </c>
      <c r="AG360" s="539" t="str">
        <f t="shared" si="137"/>
        <v/>
      </c>
      <c r="AH360" s="32">
        <f t="shared" si="139"/>
        <v>0</v>
      </c>
      <c r="AI360" s="32">
        <f t="shared" si="140"/>
        <v>0</v>
      </c>
      <c r="AJ360" s="32">
        <f t="shared" si="141"/>
        <v>0</v>
      </c>
      <c r="AK360" t="str">
        <f t="shared" si="142"/>
        <v/>
      </c>
      <c r="AL360" t="str">
        <f t="shared" si="143"/>
        <v/>
      </c>
      <c r="AM360" t="str">
        <f t="shared" si="144"/>
        <v/>
      </c>
      <c r="AO360" t="str">
        <f>IFERROR(VLOOKUP(M360,'Fixture Identities'!$B$9:$O$1045,14,FALSE),"")</f>
        <v/>
      </c>
      <c r="AP360" t="str">
        <f t="shared" si="138"/>
        <v/>
      </c>
    </row>
    <row r="361" spans="1:42">
      <c r="A361" s="71">
        <f t="shared" si="146"/>
        <v>0</v>
      </c>
      <c r="B361" s="513">
        <f t="shared" si="145"/>
        <v>349</v>
      </c>
      <c r="C361" s="530" t="str">
        <f>IF(Inventory!E358="","",Inventory!E358)</f>
        <v/>
      </c>
      <c r="D361" s="531">
        <f>IF(Inventory!D358="",0,Inventory!D358)</f>
        <v>0</v>
      </c>
      <c r="E361" s="532" t="str">
        <f>IF(Inventory!I358=0,"",Inventory!I358)</f>
        <v/>
      </c>
      <c r="F361" s="533" t="str">
        <f t="shared" si="125"/>
        <v/>
      </c>
      <c r="G361" s="534" t="str">
        <f>IF(Inventory!G358="","",Inventory!G358)</f>
        <v/>
      </c>
      <c r="H361" s="535" t="str">
        <f t="shared" si="126"/>
        <v/>
      </c>
      <c r="I361" s="536" t="str">
        <f>IF(Inventory!J358="","",Inventory!J358)</f>
        <v/>
      </c>
      <c r="J361" s="537" t="str">
        <f>IFERROR(IF(PRJ_Type="New Construction",IF(Inventory!C358="N",INDEX(xyLPD_BuildingArea,MATCH(Building_Type,Lookups!$F$37:$F$75,0),4),INDEX(xyLPD_SpaceBySpace,MATCH(INDEX(xyNCEx,MATCH(I361,yNCExArea,0),2),ySpace_by_Space_Type,0),2)),VLOOKUP(E361,xyWattage_Table,11,FALSE)),"")</f>
        <v/>
      </c>
      <c r="K361" s="538" t="str">
        <f>IFERROR(IF(AND(NC_Type="Building Area Method",Inventory!C358="N"),IF(ISERROR(INDEX('Usage Groups (&gt;120 MWh only)'!$N$8:$N$12,MATCH(C361,'Usage Groups (&gt;120 MWh only)'!$B$8:$B$12,0),1))=TRUE,SqFt/COUNTIFS(Inventory!$C$10:$C$1009,"N",$Q$13:$Q$1012,"&gt;=0"),INDEX('Usage Groups (&gt;120 MWh only)'!$N$8:$N$12,MATCH(C361,'Usage Groups (&gt;120 MWh only)'!$B$8:$B$12,0),1)/COUNTIF($C$13:$C$1012,C361)),IF(AND(NC_Type="Building Area Method",Inventory!C358="Y"),INDEX(xyNCEx,MATCH(I361,yNCExArea,0),3)/COUNTIF($I$13:$I$1012,I361),VLOOKUP(J361,xyWattage_Table,10,FALSE))),"")</f>
        <v/>
      </c>
      <c r="L361" s="539" t="str">
        <f t="shared" si="127"/>
        <v/>
      </c>
      <c r="M361" s="540">
        <f>IF(Inventory!N358="","",Inventory!N358)</f>
        <v>0</v>
      </c>
      <c r="N361" s="533" t="str">
        <f t="shared" si="128"/>
        <v/>
      </c>
      <c r="O361" s="534"/>
      <c r="P361" s="533" t="str">
        <f t="shared" si="129"/>
        <v/>
      </c>
      <c r="Q361" s="534" t="str">
        <f>IF(Inventory!L358="","",Inventory!L358)</f>
        <v/>
      </c>
      <c r="R361" s="535" t="str">
        <f t="shared" si="130"/>
        <v/>
      </c>
      <c r="S361" s="536" t="str">
        <f>IF(Inventory!O358="","",Inventory!O358)</f>
        <v/>
      </c>
      <c r="T361" s="541" t="str">
        <f>IFERROR(IF(C361="","",IF(INDEX(xyWattage_Table,MATCH(M361,'Fixture Identities'!$B$9:$B$997,0),2)="Exit Sign",8760,IF(VLOOKUP(C361,xySpace_Type_Details,8,FALSE)="TRM",INDEX('General Information'!$AF$17:$AG$28,11,MATCH(N361,'General Information'!$AF$16:$AG$16,0)),HLOOKUP(VLOOKUP(C361,xySpace_Type_Details,8,FALSE),'General Information'!$P$15:$AG$28,13,FALSE)))),"")</f>
        <v/>
      </c>
      <c r="U361" s="542" t="str">
        <f>IFERROR(IF(C361="","",IF(INDEX(xyWattage_Table,MATCH(M361,'Fixture Identities'!$B$9:$B$997,0),2)="Exit Sign",1,IF(VLOOKUP(C361,xySpace_Type_Details,8,FALSE)="TRM",INDEX('General Information'!$AF$17:$AG$28,12,MATCH(N361,'General Information'!$AF$16:$AG$16,0)),HLOOKUP(VLOOKUP(C361,xySpace_Type_Details,8,FALSE),'General Information'!$P$15:$AG$28,14,FALSE)))),"")</f>
        <v/>
      </c>
      <c r="V361" s="542" t="str">
        <f>IFERROR(VLOOKUP(INDEX(xySpace_Type_Details,MATCH($C361,'General Information'!$C$40:$C$60,0),12),Lookups!$L$8:$N$12,2,FALSE),"")</f>
        <v/>
      </c>
      <c r="W361" s="542" t="str">
        <f>IFERROR(VLOOKUP(INDEX(xySpace_Type_Details,MATCH($C361,'General Information'!$C$40:$C$60,0),12),Lookups!$L$8:$N$12,3,FALSE),"")</f>
        <v/>
      </c>
      <c r="Y361" s="542" t="str">
        <f>IFERROR(IF(C361="","",IF(INDEX(xyWattage_Table,MATCH(M361,'Fixture Identities'!$B$9:$B$997,0),2)="Exit Sign",0,IF(PRJ_Type="Retrofit",VLOOKUP(I361,xySVG_Factors,2,FALSE),IF(AND(PRJ_Type="New Construction",Inventory!C358="N"),VLOOKUP(VLOOKUP(Building_Type,xyLPD_BuildingArea,5,FALSE),xySVG_Factors_NC,3,FALSE),0)))),"")</f>
        <v/>
      </c>
      <c r="Z361" s="544" t="str">
        <f>IFERROR(IF(C361="","",IF(INDEX(xyWattage_Table,MATCH(M361,'Fixture Identities'!$B$9:$B$997,0),2)="Exit Sign",0,VLOOKUP(S361,xySVG_Factors,2,FALSE))),"")</f>
        <v/>
      </c>
      <c r="AA361" s="545" t="str">
        <f t="shared" si="131"/>
        <v/>
      </c>
      <c r="AB361" s="542" t="str">
        <f t="shared" si="132"/>
        <v/>
      </c>
      <c r="AC361" s="539" t="str">
        <f t="shared" si="133"/>
        <v/>
      </c>
      <c r="AD361" s="546" t="str">
        <f t="shared" si="134"/>
        <v/>
      </c>
      <c r="AE361" s="539" t="str">
        <f t="shared" si="135"/>
        <v/>
      </c>
      <c r="AF361" s="546" t="str">
        <f t="shared" si="136"/>
        <v/>
      </c>
      <c r="AG361" s="539" t="str">
        <f t="shared" si="137"/>
        <v/>
      </c>
      <c r="AH361" s="32">
        <f t="shared" si="139"/>
        <v>0</v>
      </c>
      <c r="AI361" s="32">
        <f t="shared" si="140"/>
        <v>0</v>
      </c>
      <c r="AJ361" s="32">
        <f t="shared" si="141"/>
        <v>0</v>
      </c>
      <c r="AK361" t="str">
        <f t="shared" si="142"/>
        <v/>
      </c>
      <c r="AL361" t="str">
        <f t="shared" si="143"/>
        <v/>
      </c>
      <c r="AM361" t="str">
        <f t="shared" si="144"/>
        <v/>
      </c>
      <c r="AO361" t="str">
        <f>IFERROR(VLOOKUP(M361,'Fixture Identities'!$B$9:$O$1045,14,FALSE),"")</f>
        <v/>
      </c>
      <c r="AP361" t="str">
        <f t="shared" si="138"/>
        <v/>
      </c>
    </row>
    <row r="362" spans="1:42">
      <c r="A362" s="71">
        <f t="shared" si="146"/>
        <v>0</v>
      </c>
      <c r="B362" s="513">
        <f t="shared" si="145"/>
        <v>350</v>
      </c>
      <c r="C362" s="530" t="str">
        <f>IF(Inventory!E359="","",Inventory!E359)</f>
        <v/>
      </c>
      <c r="D362" s="531">
        <f>IF(Inventory!D359="",0,Inventory!D359)</f>
        <v>0</v>
      </c>
      <c r="E362" s="532" t="str">
        <f>IF(Inventory!I359=0,"",Inventory!I359)</f>
        <v/>
      </c>
      <c r="F362" s="533" t="str">
        <f t="shared" si="125"/>
        <v/>
      </c>
      <c r="G362" s="534" t="str">
        <f>IF(Inventory!G359="","",Inventory!G359)</f>
        <v/>
      </c>
      <c r="H362" s="535" t="str">
        <f t="shared" si="126"/>
        <v/>
      </c>
      <c r="I362" s="536" t="str">
        <f>IF(Inventory!J359="","",Inventory!J359)</f>
        <v/>
      </c>
      <c r="J362" s="537" t="str">
        <f>IFERROR(IF(PRJ_Type="New Construction",IF(Inventory!C359="N",INDEX(xyLPD_BuildingArea,MATCH(Building_Type,Lookups!$F$37:$F$75,0),4),INDEX(xyLPD_SpaceBySpace,MATCH(INDEX(xyNCEx,MATCH(I362,yNCExArea,0),2),ySpace_by_Space_Type,0),2)),VLOOKUP(E362,xyWattage_Table,11,FALSE)),"")</f>
        <v/>
      </c>
      <c r="K362" s="538" t="str">
        <f>IFERROR(IF(AND(NC_Type="Building Area Method",Inventory!C359="N"),IF(ISERROR(INDEX('Usage Groups (&gt;120 MWh only)'!$N$8:$N$12,MATCH(C362,'Usage Groups (&gt;120 MWh only)'!$B$8:$B$12,0),1))=TRUE,SqFt/COUNTIFS(Inventory!$C$10:$C$1009,"N",$Q$13:$Q$1012,"&gt;=0"),INDEX('Usage Groups (&gt;120 MWh only)'!$N$8:$N$12,MATCH(C362,'Usage Groups (&gt;120 MWh only)'!$B$8:$B$12,0),1)/COUNTIF($C$13:$C$1012,C362)),IF(AND(NC_Type="Building Area Method",Inventory!C359="Y"),INDEX(xyNCEx,MATCH(I362,yNCExArea,0),3)/COUNTIF($I$13:$I$1012,I362),VLOOKUP(J362,xyWattage_Table,10,FALSE))),"")</f>
        <v/>
      </c>
      <c r="L362" s="539" t="str">
        <f t="shared" si="127"/>
        <v/>
      </c>
      <c r="M362" s="540">
        <f>IF(Inventory!N359="","",Inventory!N359)</f>
        <v>0</v>
      </c>
      <c r="N362" s="533" t="str">
        <f t="shared" si="128"/>
        <v/>
      </c>
      <c r="O362" s="534"/>
      <c r="P362" s="533" t="str">
        <f t="shared" si="129"/>
        <v/>
      </c>
      <c r="Q362" s="534" t="str">
        <f>IF(Inventory!L359="","",Inventory!L359)</f>
        <v/>
      </c>
      <c r="R362" s="535" t="str">
        <f t="shared" si="130"/>
        <v/>
      </c>
      <c r="S362" s="536" t="str">
        <f>IF(Inventory!O359="","",Inventory!O359)</f>
        <v/>
      </c>
      <c r="T362" s="541" t="str">
        <f>IFERROR(IF(C362="","",IF(INDEX(xyWattage_Table,MATCH(M362,'Fixture Identities'!$B$9:$B$997,0),2)="Exit Sign",8760,IF(VLOOKUP(C362,xySpace_Type_Details,8,FALSE)="TRM",INDEX('General Information'!$AF$17:$AG$28,11,MATCH(N362,'General Information'!$AF$16:$AG$16,0)),HLOOKUP(VLOOKUP(C362,xySpace_Type_Details,8,FALSE),'General Information'!$P$15:$AG$28,13,FALSE)))),"")</f>
        <v/>
      </c>
      <c r="U362" s="542" t="str">
        <f>IFERROR(IF(C362="","",IF(INDEX(xyWattage_Table,MATCH(M362,'Fixture Identities'!$B$9:$B$997,0),2)="Exit Sign",1,IF(VLOOKUP(C362,xySpace_Type_Details,8,FALSE)="TRM",INDEX('General Information'!$AF$17:$AG$28,12,MATCH(N362,'General Information'!$AF$16:$AG$16,0)),HLOOKUP(VLOOKUP(C362,xySpace_Type_Details,8,FALSE),'General Information'!$P$15:$AG$28,14,FALSE)))),"")</f>
        <v/>
      </c>
      <c r="V362" s="542" t="str">
        <f>IFERROR(VLOOKUP(INDEX(xySpace_Type_Details,MATCH($C362,'General Information'!$C$40:$C$60,0),12),Lookups!$L$8:$N$12,2,FALSE),"")</f>
        <v/>
      </c>
      <c r="W362" s="542" t="str">
        <f>IFERROR(VLOOKUP(INDEX(xySpace_Type_Details,MATCH($C362,'General Information'!$C$40:$C$60,0),12),Lookups!$L$8:$N$12,3,FALSE),"")</f>
        <v/>
      </c>
      <c r="Y362" s="542" t="str">
        <f>IFERROR(IF(C362="","",IF(INDEX(xyWattage_Table,MATCH(M362,'Fixture Identities'!$B$9:$B$997,0),2)="Exit Sign",0,IF(PRJ_Type="Retrofit",VLOOKUP(I362,xySVG_Factors,2,FALSE),IF(AND(PRJ_Type="New Construction",Inventory!C359="N"),VLOOKUP(VLOOKUP(Building_Type,xyLPD_BuildingArea,5,FALSE),xySVG_Factors_NC,3,FALSE),0)))),"")</f>
        <v/>
      </c>
      <c r="Z362" s="544" t="str">
        <f>IFERROR(IF(C362="","",IF(INDEX(xyWattage_Table,MATCH(M362,'Fixture Identities'!$B$9:$B$997,0),2)="Exit Sign",0,VLOOKUP(S362,xySVG_Factors,2,FALSE))),"")</f>
        <v/>
      </c>
      <c r="AA362" s="545" t="str">
        <f t="shared" si="131"/>
        <v/>
      </c>
      <c r="AB362" s="542" t="str">
        <f t="shared" si="132"/>
        <v/>
      </c>
      <c r="AC362" s="539" t="str">
        <f t="shared" si="133"/>
        <v/>
      </c>
      <c r="AD362" s="546" t="str">
        <f t="shared" si="134"/>
        <v/>
      </c>
      <c r="AE362" s="539" t="str">
        <f t="shared" si="135"/>
        <v/>
      </c>
      <c r="AF362" s="546" t="str">
        <f t="shared" si="136"/>
        <v/>
      </c>
      <c r="AG362" s="539" t="str">
        <f t="shared" si="137"/>
        <v/>
      </c>
      <c r="AH362" s="32">
        <f t="shared" si="139"/>
        <v>0</v>
      </c>
      <c r="AI362" s="32">
        <f t="shared" si="140"/>
        <v>0</v>
      </c>
      <c r="AJ362" s="32">
        <f t="shared" si="141"/>
        <v>0</v>
      </c>
      <c r="AK362" t="str">
        <f t="shared" si="142"/>
        <v/>
      </c>
      <c r="AL362" t="str">
        <f t="shared" si="143"/>
        <v/>
      </c>
      <c r="AM362" t="str">
        <f t="shared" si="144"/>
        <v/>
      </c>
      <c r="AO362" t="str">
        <f>IFERROR(VLOOKUP(M362,'Fixture Identities'!$B$9:$O$1045,14,FALSE),"")</f>
        <v/>
      </c>
      <c r="AP362" t="str">
        <f t="shared" si="138"/>
        <v/>
      </c>
    </row>
    <row r="363" spans="1:42">
      <c r="A363" s="71">
        <f t="shared" si="146"/>
        <v>0</v>
      </c>
      <c r="B363" s="513">
        <f t="shared" si="145"/>
        <v>351</v>
      </c>
      <c r="C363" s="530" t="str">
        <f>IF(Inventory!E360="","",Inventory!E360)</f>
        <v/>
      </c>
      <c r="D363" s="531">
        <f>IF(Inventory!D360="",0,Inventory!D360)</f>
        <v>0</v>
      </c>
      <c r="E363" s="532" t="str">
        <f>IF(Inventory!I360=0,"",Inventory!I360)</f>
        <v/>
      </c>
      <c r="F363" s="533" t="str">
        <f t="shared" si="125"/>
        <v/>
      </c>
      <c r="G363" s="534" t="str">
        <f>IF(Inventory!G360="","",Inventory!G360)</f>
        <v/>
      </c>
      <c r="H363" s="535" t="str">
        <f t="shared" si="126"/>
        <v/>
      </c>
      <c r="I363" s="536" t="str">
        <f>IF(Inventory!J360="","",Inventory!J360)</f>
        <v/>
      </c>
      <c r="J363" s="537" t="str">
        <f>IFERROR(IF(PRJ_Type="New Construction",IF(Inventory!C360="N",INDEX(xyLPD_BuildingArea,MATCH(Building_Type,Lookups!$F$37:$F$75,0),4),INDEX(xyLPD_SpaceBySpace,MATCH(INDEX(xyNCEx,MATCH(I363,yNCExArea,0),2),ySpace_by_Space_Type,0),2)),VLOOKUP(E363,xyWattage_Table,11,FALSE)),"")</f>
        <v/>
      </c>
      <c r="K363" s="538" t="str">
        <f>IFERROR(IF(AND(NC_Type="Building Area Method",Inventory!C360="N"),IF(ISERROR(INDEX('Usage Groups (&gt;120 MWh only)'!$N$8:$N$12,MATCH(C363,'Usage Groups (&gt;120 MWh only)'!$B$8:$B$12,0),1))=TRUE,SqFt/COUNTIFS(Inventory!$C$10:$C$1009,"N",$Q$13:$Q$1012,"&gt;=0"),INDEX('Usage Groups (&gt;120 MWh only)'!$N$8:$N$12,MATCH(C363,'Usage Groups (&gt;120 MWh only)'!$B$8:$B$12,0),1)/COUNTIF($C$13:$C$1012,C363)),IF(AND(NC_Type="Building Area Method",Inventory!C360="Y"),INDEX(xyNCEx,MATCH(I363,yNCExArea,0),3)/COUNTIF($I$13:$I$1012,I363),VLOOKUP(J363,xyWattage_Table,10,FALSE))),"")</f>
        <v/>
      </c>
      <c r="L363" s="539" t="str">
        <f t="shared" si="127"/>
        <v/>
      </c>
      <c r="M363" s="540">
        <f>IF(Inventory!N360="","",Inventory!N360)</f>
        <v>0</v>
      </c>
      <c r="N363" s="533" t="str">
        <f t="shared" si="128"/>
        <v/>
      </c>
      <c r="O363" s="534"/>
      <c r="P363" s="533" t="str">
        <f t="shared" si="129"/>
        <v/>
      </c>
      <c r="Q363" s="534" t="str">
        <f>IF(Inventory!L360="","",Inventory!L360)</f>
        <v/>
      </c>
      <c r="R363" s="535" t="str">
        <f t="shared" si="130"/>
        <v/>
      </c>
      <c r="S363" s="536" t="str">
        <f>IF(Inventory!O360="","",Inventory!O360)</f>
        <v/>
      </c>
      <c r="T363" s="541" t="str">
        <f>IFERROR(IF(C363="","",IF(INDEX(xyWattage_Table,MATCH(M363,'Fixture Identities'!$B$9:$B$997,0),2)="Exit Sign",8760,IF(VLOOKUP(C363,xySpace_Type_Details,8,FALSE)="TRM",INDEX('General Information'!$AF$17:$AG$28,11,MATCH(N363,'General Information'!$AF$16:$AG$16,0)),HLOOKUP(VLOOKUP(C363,xySpace_Type_Details,8,FALSE),'General Information'!$P$15:$AG$28,13,FALSE)))),"")</f>
        <v/>
      </c>
      <c r="U363" s="542" t="str">
        <f>IFERROR(IF(C363="","",IF(INDEX(xyWattage_Table,MATCH(M363,'Fixture Identities'!$B$9:$B$997,0),2)="Exit Sign",1,IF(VLOOKUP(C363,xySpace_Type_Details,8,FALSE)="TRM",INDEX('General Information'!$AF$17:$AG$28,12,MATCH(N363,'General Information'!$AF$16:$AG$16,0)),HLOOKUP(VLOOKUP(C363,xySpace_Type_Details,8,FALSE),'General Information'!$P$15:$AG$28,14,FALSE)))),"")</f>
        <v/>
      </c>
      <c r="V363" s="542" t="str">
        <f>IFERROR(VLOOKUP(INDEX(xySpace_Type_Details,MATCH($C363,'General Information'!$C$40:$C$60,0),12),Lookups!$L$8:$N$12,2,FALSE),"")</f>
        <v/>
      </c>
      <c r="W363" s="542" t="str">
        <f>IFERROR(VLOOKUP(INDEX(xySpace_Type_Details,MATCH($C363,'General Information'!$C$40:$C$60,0),12),Lookups!$L$8:$N$12,3,FALSE),"")</f>
        <v/>
      </c>
      <c r="Y363" s="542" t="str">
        <f>IFERROR(IF(C363="","",IF(INDEX(xyWattage_Table,MATCH(M363,'Fixture Identities'!$B$9:$B$997,0),2)="Exit Sign",0,IF(PRJ_Type="Retrofit",VLOOKUP(I363,xySVG_Factors,2,FALSE),IF(AND(PRJ_Type="New Construction",Inventory!C360="N"),VLOOKUP(VLOOKUP(Building_Type,xyLPD_BuildingArea,5,FALSE),xySVG_Factors_NC,3,FALSE),0)))),"")</f>
        <v/>
      </c>
      <c r="Z363" s="544" t="str">
        <f>IFERROR(IF(C363="","",IF(INDEX(xyWattage_Table,MATCH(M363,'Fixture Identities'!$B$9:$B$997,0),2)="Exit Sign",0,VLOOKUP(S363,xySVG_Factors,2,FALSE))),"")</f>
        <v/>
      </c>
      <c r="AA363" s="545" t="str">
        <f t="shared" si="131"/>
        <v/>
      </c>
      <c r="AB363" s="542" t="str">
        <f t="shared" si="132"/>
        <v/>
      </c>
      <c r="AC363" s="539" t="str">
        <f t="shared" si="133"/>
        <v/>
      </c>
      <c r="AD363" s="546" t="str">
        <f t="shared" si="134"/>
        <v/>
      </c>
      <c r="AE363" s="539" t="str">
        <f t="shared" si="135"/>
        <v/>
      </c>
      <c r="AF363" s="546" t="str">
        <f t="shared" si="136"/>
        <v/>
      </c>
      <c r="AG363" s="539" t="str">
        <f t="shared" si="137"/>
        <v/>
      </c>
      <c r="AH363" s="32">
        <f t="shared" si="139"/>
        <v>0</v>
      </c>
      <c r="AI363" s="32">
        <f t="shared" si="140"/>
        <v>0</v>
      </c>
      <c r="AJ363" s="32">
        <f t="shared" si="141"/>
        <v>0</v>
      </c>
      <c r="AK363" t="str">
        <f t="shared" si="142"/>
        <v/>
      </c>
      <c r="AL363" t="str">
        <f t="shared" si="143"/>
        <v/>
      </c>
      <c r="AM363" t="str">
        <f t="shared" si="144"/>
        <v/>
      </c>
      <c r="AO363" t="str">
        <f>IFERROR(VLOOKUP(M363,'Fixture Identities'!$B$9:$O$1045,14,FALSE),"")</f>
        <v/>
      </c>
      <c r="AP363" t="str">
        <f t="shared" si="138"/>
        <v/>
      </c>
    </row>
    <row r="364" spans="1:42">
      <c r="A364" s="71">
        <f t="shared" si="146"/>
        <v>0</v>
      </c>
      <c r="B364" s="513">
        <f t="shared" si="145"/>
        <v>352</v>
      </c>
      <c r="C364" s="530" t="str">
        <f>IF(Inventory!E361="","",Inventory!E361)</f>
        <v/>
      </c>
      <c r="D364" s="531">
        <f>IF(Inventory!D361="",0,Inventory!D361)</f>
        <v>0</v>
      </c>
      <c r="E364" s="532" t="str">
        <f>IF(Inventory!I361=0,"",Inventory!I361)</f>
        <v/>
      </c>
      <c r="F364" s="533" t="str">
        <f t="shared" si="125"/>
        <v/>
      </c>
      <c r="G364" s="534" t="str">
        <f>IF(Inventory!G361="","",Inventory!G361)</f>
        <v/>
      </c>
      <c r="H364" s="535" t="str">
        <f t="shared" si="126"/>
        <v/>
      </c>
      <c r="I364" s="536" t="str">
        <f>IF(Inventory!J361="","",Inventory!J361)</f>
        <v/>
      </c>
      <c r="J364" s="537" t="str">
        <f>IFERROR(IF(PRJ_Type="New Construction",IF(Inventory!C361="N",INDEX(xyLPD_BuildingArea,MATCH(Building_Type,Lookups!$F$37:$F$75,0),4),INDEX(xyLPD_SpaceBySpace,MATCH(INDEX(xyNCEx,MATCH(I364,yNCExArea,0),2),ySpace_by_Space_Type,0),2)),VLOOKUP(E364,xyWattage_Table,11,FALSE)),"")</f>
        <v/>
      </c>
      <c r="K364" s="538" t="str">
        <f>IFERROR(IF(AND(NC_Type="Building Area Method",Inventory!C361="N"),IF(ISERROR(INDEX('Usage Groups (&gt;120 MWh only)'!$N$8:$N$12,MATCH(C364,'Usage Groups (&gt;120 MWh only)'!$B$8:$B$12,0),1))=TRUE,SqFt/COUNTIFS(Inventory!$C$10:$C$1009,"N",$Q$13:$Q$1012,"&gt;=0"),INDEX('Usage Groups (&gt;120 MWh only)'!$N$8:$N$12,MATCH(C364,'Usage Groups (&gt;120 MWh only)'!$B$8:$B$12,0),1)/COUNTIF($C$13:$C$1012,C364)),IF(AND(NC_Type="Building Area Method",Inventory!C361="Y"),INDEX(xyNCEx,MATCH(I364,yNCExArea,0),3)/COUNTIF($I$13:$I$1012,I364),VLOOKUP(J364,xyWattage_Table,10,FALSE))),"")</f>
        <v/>
      </c>
      <c r="L364" s="539" t="str">
        <f t="shared" si="127"/>
        <v/>
      </c>
      <c r="M364" s="540">
        <f>IF(Inventory!N361="","",Inventory!N361)</f>
        <v>0</v>
      </c>
      <c r="N364" s="533" t="str">
        <f t="shared" si="128"/>
        <v/>
      </c>
      <c r="O364" s="534"/>
      <c r="P364" s="533" t="str">
        <f t="shared" si="129"/>
        <v/>
      </c>
      <c r="Q364" s="534" t="str">
        <f>IF(Inventory!L361="","",Inventory!L361)</f>
        <v/>
      </c>
      <c r="R364" s="535" t="str">
        <f t="shared" si="130"/>
        <v/>
      </c>
      <c r="S364" s="536" t="str">
        <f>IF(Inventory!O361="","",Inventory!O361)</f>
        <v/>
      </c>
      <c r="T364" s="541" t="str">
        <f>IFERROR(IF(C364="","",IF(INDEX(xyWattage_Table,MATCH(M364,'Fixture Identities'!$B$9:$B$997,0),2)="Exit Sign",8760,IF(VLOOKUP(C364,xySpace_Type_Details,8,FALSE)="TRM",INDEX('General Information'!$AF$17:$AG$28,11,MATCH(N364,'General Information'!$AF$16:$AG$16,0)),HLOOKUP(VLOOKUP(C364,xySpace_Type_Details,8,FALSE),'General Information'!$P$15:$AG$28,13,FALSE)))),"")</f>
        <v/>
      </c>
      <c r="U364" s="542" t="str">
        <f>IFERROR(IF(C364="","",IF(INDEX(xyWattage_Table,MATCH(M364,'Fixture Identities'!$B$9:$B$997,0),2)="Exit Sign",1,IF(VLOOKUP(C364,xySpace_Type_Details,8,FALSE)="TRM",INDEX('General Information'!$AF$17:$AG$28,12,MATCH(N364,'General Information'!$AF$16:$AG$16,0)),HLOOKUP(VLOOKUP(C364,xySpace_Type_Details,8,FALSE),'General Information'!$P$15:$AG$28,14,FALSE)))),"")</f>
        <v/>
      </c>
      <c r="V364" s="542" t="str">
        <f>IFERROR(VLOOKUP(INDEX(xySpace_Type_Details,MATCH($C364,'General Information'!$C$40:$C$60,0),12),Lookups!$L$8:$N$12,2,FALSE),"")</f>
        <v/>
      </c>
      <c r="W364" s="542" t="str">
        <f>IFERROR(VLOOKUP(INDEX(xySpace_Type_Details,MATCH($C364,'General Information'!$C$40:$C$60,0),12),Lookups!$L$8:$N$12,3,FALSE),"")</f>
        <v/>
      </c>
      <c r="Y364" s="542" t="str">
        <f>IFERROR(IF(C364="","",IF(INDEX(xyWattage_Table,MATCH(M364,'Fixture Identities'!$B$9:$B$997,0),2)="Exit Sign",0,IF(PRJ_Type="Retrofit",VLOOKUP(I364,xySVG_Factors,2,FALSE),IF(AND(PRJ_Type="New Construction",Inventory!C361="N"),VLOOKUP(VLOOKUP(Building_Type,xyLPD_BuildingArea,5,FALSE),xySVG_Factors_NC,3,FALSE),0)))),"")</f>
        <v/>
      </c>
      <c r="Z364" s="544" t="str">
        <f>IFERROR(IF(C364="","",IF(INDEX(xyWattage_Table,MATCH(M364,'Fixture Identities'!$B$9:$B$997,0),2)="Exit Sign",0,VLOOKUP(S364,xySVG_Factors,2,FALSE))),"")</f>
        <v/>
      </c>
      <c r="AA364" s="545" t="str">
        <f t="shared" si="131"/>
        <v/>
      </c>
      <c r="AB364" s="542" t="str">
        <f t="shared" si="132"/>
        <v/>
      </c>
      <c r="AC364" s="539" t="str">
        <f t="shared" si="133"/>
        <v/>
      </c>
      <c r="AD364" s="546" t="str">
        <f t="shared" si="134"/>
        <v/>
      </c>
      <c r="AE364" s="539" t="str">
        <f t="shared" si="135"/>
        <v/>
      </c>
      <c r="AF364" s="546" t="str">
        <f t="shared" si="136"/>
        <v/>
      </c>
      <c r="AG364" s="539" t="str">
        <f t="shared" si="137"/>
        <v/>
      </c>
      <c r="AH364" s="32">
        <f t="shared" si="139"/>
        <v>0</v>
      </c>
      <c r="AI364" s="32">
        <f t="shared" si="140"/>
        <v>0</v>
      </c>
      <c r="AJ364" s="32">
        <f t="shared" si="141"/>
        <v>0</v>
      </c>
      <c r="AK364" t="str">
        <f t="shared" si="142"/>
        <v/>
      </c>
      <c r="AL364" t="str">
        <f t="shared" si="143"/>
        <v/>
      </c>
      <c r="AM364" t="str">
        <f t="shared" si="144"/>
        <v/>
      </c>
      <c r="AO364" t="str">
        <f>IFERROR(VLOOKUP(M364,'Fixture Identities'!$B$9:$O$1045,14,FALSE),"")</f>
        <v/>
      </c>
      <c r="AP364" t="str">
        <f t="shared" si="138"/>
        <v/>
      </c>
    </row>
    <row r="365" spans="1:42">
      <c r="A365" s="71">
        <f t="shared" si="146"/>
        <v>0</v>
      </c>
      <c r="B365" s="513">
        <f t="shared" si="145"/>
        <v>353</v>
      </c>
      <c r="C365" s="530" t="str">
        <f>IF(Inventory!E362="","",Inventory!E362)</f>
        <v/>
      </c>
      <c r="D365" s="531">
        <f>IF(Inventory!D362="",0,Inventory!D362)</f>
        <v>0</v>
      </c>
      <c r="E365" s="532" t="str">
        <f>IF(Inventory!I362=0,"",Inventory!I362)</f>
        <v/>
      </c>
      <c r="F365" s="533" t="str">
        <f t="shared" si="125"/>
        <v/>
      </c>
      <c r="G365" s="534" t="str">
        <f>IF(Inventory!G362="","",Inventory!G362)</f>
        <v/>
      </c>
      <c r="H365" s="535" t="str">
        <f t="shared" si="126"/>
        <v/>
      </c>
      <c r="I365" s="536" t="str">
        <f>IF(Inventory!J362="","",Inventory!J362)</f>
        <v/>
      </c>
      <c r="J365" s="537" t="str">
        <f>IFERROR(IF(PRJ_Type="New Construction",IF(Inventory!C362="N",INDEX(xyLPD_BuildingArea,MATCH(Building_Type,Lookups!$F$37:$F$75,0),4),INDEX(xyLPD_SpaceBySpace,MATCH(INDEX(xyNCEx,MATCH(I365,yNCExArea,0),2),ySpace_by_Space_Type,0),2)),VLOOKUP(E365,xyWattage_Table,11,FALSE)),"")</f>
        <v/>
      </c>
      <c r="K365" s="538" t="str">
        <f>IFERROR(IF(AND(NC_Type="Building Area Method",Inventory!C362="N"),IF(ISERROR(INDEX('Usage Groups (&gt;120 MWh only)'!$N$8:$N$12,MATCH(C365,'Usage Groups (&gt;120 MWh only)'!$B$8:$B$12,0),1))=TRUE,SqFt/COUNTIFS(Inventory!$C$10:$C$1009,"N",$Q$13:$Q$1012,"&gt;=0"),INDEX('Usage Groups (&gt;120 MWh only)'!$N$8:$N$12,MATCH(C365,'Usage Groups (&gt;120 MWh only)'!$B$8:$B$12,0),1)/COUNTIF($C$13:$C$1012,C365)),IF(AND(NC_Type="Building Area Method",Inventory!C362="Y"),INDEX(xyNCEx,MATCH(I365,yNCExArea,0),3)/COUNTIF($I$13:$I$1012,I365),VLOOKUP(J365,xyWattage_Table,10,FALSE))),"")</f>
        <v/>
      </c>
      <c r="L365" s="539" t="str">
        <f t="shared" si="127"/>
        <v/>
      </c>
      <c r="M365" s="540">
        <f>IF(Inventory!N362="","",Inventory!N362)</f>
        <v>0</v>
      </c>
      <c r="N365" s="533" t="str">
        <f t="shared" si="128"/>
        <v/>
      </c>
      <c r="O365" s="534"/>
      <c r="P365" s="533" t="str">
        <f t="shared" si="129"/>
        <v/>
      </c>
      <c r="Q365" s="534" t="str">
        <f>IF(Inventory!L362="","",Inventory!L362)</f>
        <v/>
      </c>
      <c r="R365" s="535" t="str">
        <f t="shared" si="130"/>
        <v/>
      </c>
      <c r="S365" s="536" t="str">
        <f>IF(Inventory!O362="","",Inventory!O362)</f>
        <v/>
      </c>
      <c r="T365" s="541" t="str">
        <f>IFERROR(IF(C365="","",IF(INDEX(xyWattage_Table,MATCH(M365,'Fixture Identities'!$B$9:$B$997,0),2)="Exit Sign",8760,IF(VLOOKUP(C365,xySpace_Type_Details,8,FALSE)="TRM",INDEX('General Information'!$AF$17:$AG$28,11,MATCH(N365,'General Information'!$AF$16:$AG$16,0)),HLOOKUP(VLOOKUP(C365,xySpace_Type_Details,8,FALSE),'General Information'!$P$15:$AG$28,13,FALSE)))),"")</f>
        <v/>
      </c>
      <c r="U365" s="542" t="str">
        <f>IFERROR(IF(C365="","",IF(INDEX(xyWattage_Table,MATCH(M365,'Fixture Identities'!$B$9:$B$997,0),2)="Exit Sign",1,IF(VLOOKUP(C365,xySpace_Type_Details,8,FALSE)="TRM",INDEX('General Information'!$AF$17:$AG$28,12,MATCH(N365,'General Information'!$AF$16:$AG$16,0)),HLOOKUP(VLOOKUP(C365,xySpace_Type_Details,8,FALSE),'General Information'!$P$15:$AG$28,14,FALSE)))),"")</f>
        <v/>
      </c>
      <c r="V365" s="542" t="str">
        <f>IFERROR(VLOOKUP(INDEX(xySpace_Type_Details,MATCH($C365,'General Information'!$C$40:$C$60,0),12),Lookups!$L$8:$N$12,2,FALSE),"")</f>
        <v/>
      </c>
      <c r="W365" s="542" t="str">
        <f>IFERROR(VLOOKUP(INDEX(xySpace_Type_Details,MATCH($C365,'General Information'!$C$40:$C$60,0),12),Lookups!$L$8:$N$12,3,FALSE),"")</f>
        <v/>
      </c>
      <c r="Y365" s="542" t="str">
        <f>IFERROR(IF(C365="","",IF(INDEX(xyWattage_Table,MATCH(M365,'Fixture Identities'!$B$9:$B$997,0),2)="Exit Sign",0,IF(PRJ_Type="Retrofit",VLOOKUP(I365,xySVG_Factors,2,FALSE),IF(AND(PRJ_Type="New Construction",Inventory!C362="N"),VLOOKUP(VLOOKUP(Building_Type,xyLPD_BuildingArea,5,FALSE),xySVG_Factors_NC,3,FALSE),0)))),"")</f>
        <v/>
      </c>
      <c r="Z365" s="544" t="str">
        <f>IFERROR(IF(C365="","",IF(INDEX(xyWattage_Table,MATCH(M365,'Fixture Identities'!$B$9:$B$997,0),2)="Exit Sign",0,VLOOKUP(S365,xySVG_Factors,2,FALSE))),"")</f>
        <v/>
      </c>
      <c r="AA365" s="545" t="str">
        <f t="shared" si="131"/>
        <v/>
      </c>
      <c r="AB365" s="542" t="str">
        <f t="shared" si="132"/>
        <v/>
      </c>
      <c r="AC365" s="539" t="str">
        <f t="shared" si="133"/>
        <v/>
      </c>
      <c r="AD365" s="546" t="str">
        <f t="shared" si="134"/>
        <v/>
      </c>
      <c r="AE365" s="539" t="str">
        <f t="shared" si="135"/>
        <v/>
      </c>
      <c r="AF365" s="546" t="str">
        <f t="shared" si="136"/>
        <v/>
      </c>
      <c r="AG365" s="539" t="str">
        <f t="shared" si="137"/>
        <v/>
      </c>
      <c r="AH365" s="32">
        <f t="shared" si="139"/>
        <v>0</v>
      </c>
      <c r="AI365" s="32">
        <f t="shared" si="140"/>
        <v>0</v>
      </c>
      <c r="AJ365" s="32">
        <f t="shared" si="141"/>
        <v>0</v>
      </c>
      <c r="AK365" t="str">
        <f t="shared" si="142"/>
        <v/>
      </c>
      <c r="AL365" t="str">
        <f t="shared" si="143"/>
        <v/>
      </c>
      <c r="AM365" t="str">
        <f t="shared" si="144"/>
        <v/>
      </c>
      <c r="AO365" t="str">
        <f>IFERROR(VLOOKUP(M365,'Fixture Identities'!$B$9:$O$1045,14,FALSE),"")</f>
        <v/>
      </c>
      <c r="AP365" t="str">
        <f t="shared" si="138"/>
        <v/>
      </c>
    </row>
    <row r="366" spans="1:42">
      <c r="A366" s="71">
        <f t="shared" si="146"/>
        <v>0</v>
      </c>
      <c r="B366" s="513">
        <f t="shared" si="145"/>
        <v>354</v>
      </c>
      <c r="C366" s="530" t="str">
        <f>IF(Inventory!E363="","",Inventory!E363)</f>
        <v/>
      </c>
      <c r="D366" s="531">
        <f>IF(Inventory!D363="",0,Inventory!D363)</f>
        <v>0</v>
      </c>
      <c r="E366" s="532" t="str">
        <f>IF(Inventory!I363=0,"",Inventory!I363)</f>
        <v/>
      </c>
      <c r="F366" s="533" t="str">
        <f t="shared" si="125"/>
        <v/>
      </c>
      <c r="G366" s="534" t="str">
        <f>IF(Inventory!G363="","",Inventory!G363)</f>
        <v/>
      </c>
      <c r="H366" s="535" t="str">
        <f t="shared" si="126"/>
        <v/>
      </c>
      <c r="I366" s="536" t="str">
        <f>IF(Inventory!J363="","",Inventory!J363)</f>
        <v/>
      </c>
      <c r="J366" s="537" t="str">
        <f>IFERROR(IF(PRJ_Type="New Construction",IF(Inventory!C363="N",INDEX(xyLPD_BuildingArea,MATCH(Building_Type,Lookups!$F$37:$F$75,0),4),INDEX(xyLPD_SpaceBySpace,MATCH(INDEX(xyNCEx,MATCH(I366,yNCExArea,0),2),ySpace_by_Space_Type,0),2)),VLOOKUP(E366,xyWattage_Table,11,FALSE)),"")</f>
        <v/>
      </c>
      <c r="K366" s="538" t="str">
        <f>IFERROR(IF(AND(NC_Type="Building Area Method",Inventory!C363="N"),IF(ISERROR(INDEX('Usage Groups (&gt;120 MWh only)'!$N$8:$N$12,MATCH(C366,'Usage Groups (&gt;120 MWh only)'!$B$8:$B$12,0),1))=TRUE,SqFt/COUNTIFS(Inventory!$C$10:$C$1009,"N",$Q$13:$Q$1012,"&gt;=0"),INDEX('Usage Groups (&gt;120 MWh only)'!$N$8:$N$12,MATCH(C366,'Usage Groups (&gt;120 MWh only)'!$B$8:$B$12,0),1)/COUNTIF($C$13:$C$1012,C366)),IF(AND(NC_Type="Building Area Method",Inventory!C363="Y"),INDEX(xyNCEx,MATCH(I366,yNCExArea,0),3)/COUNTIF($I$13:$I$1012,I366),VLOOKUP(J366,xyWattage_Table,10,FALSE))),"")</f>
        <v/>
      </c>
      <c r="L366" s="539" t="str">
        <f t="shared" si="127"/>
        <v/>
      </c>
      <c r="M366" s="540">
        <f>IF(Inventory!N363="","",Inventory!N363)</f>
        <v>0</v>
      </c>
      <c r="N366" s="533" t="str">
        <f t="shared" si="128"/>
        <v/>
      </c>
      <c r="O366" s="534"/>
      <c r="P366" s="533" t="str">
        <f t="shared" si="129"/>
        <v/>
      </c>
      <c r="Q366" s="534" t="str">
        <f>IF(Inventory!L363="","",Inventory!L363)</f>
        <v/>
      </c>
      <c r="R366" s="535" t="str">
        <f t="shared" si="130"/>
        <v/>
      </c>
      <c r="S366" s="536" t="str">
        <f>IF(Inventory!O363="","",Inventory!O363)</f>
        <v/>
      </c>
      <c r="T366" s="541" t="str">
        <f>IFERROR(IF(C366="","",IF(INDEX(xyWattage_Table,MATCH(M366,'Fixture Identities'!$B$9:$B$997,0),2)="Exit Sign",8760,IF(VLOOKUP(C366,xySpace_Type_Details,8,FALSE)="TRM",INDEX('General Information'!$AF$17:$AG$28,11,MATCH(N366,'General Information'!$AF$16:$AG$16,0)),HLOOKUP(VLOOKUP(C366,xySpace_Type_Details,8,FALSE),'General Information'!$P$15:$AG$28,13,FALSE)))),"")</f>
        <v/>
      </c>
      <c r="U366" s="542" t="str">
        <f>IFERROR(IF(C366="","",IF(INDEX(xyWattage_Table,MATCH(M366,'Fixture Identities'!$B$9:$B$997,0),2)="Exit Sign",1,IF(VLOOKUP(C366,xySpace_Type_Details,8,FALSE)="TRM",INDEX('General Information'!$AF$17:$AG$28,12,MATCH(N366,'General Information'!$AF$16:$AG$16,0)),HLOOKUP(VLOOKUP(C366,xySpace_Type_Details,8,FALSE),'General Information'!$P$15:$AG$28,14,FALSE)))),"")</f>
        <v/>
      </c>
      <c r="V366" s="542" t="str">
        <f>IFERROR(VLOOKUP(INDEX(xySpace_Type_Details,MATCH($C366,'General Information'!$C$40:$C$60,0),12),Lookups!$L$8:$N$12,2,FALSE),"")</f>
        <v/>
      </c>
      <c r="W366" s="542" t="str">
        <f>IFERROR(VLOOKUP(INDEX(xySpace_Type_Details,MATCH($C366,'General Information'!$C$40:$C$60,0),12),Lookups!$L$8:$N$12,3,FALSE),"")</f>
        <v/>
      </c>
      <c r="Y366" s="542" t="str">
        <f>IFERROR(IF(C366="","",IF(INDEX(xyWattage_Table,MATCH(M366,'Fixture Identities'!$B$9:$B$997,0),2)="Exit Sign",0,IF(PRJ_Type="Retrofit",VLOOKUP(I366,xySVG_Factors,2,FALSE),IF(AND(PRJ_Type="New Construction",Inventory!C363="N"),VLOOKUP(VLOOKUP(Building_Type,xyLPD_BuildingArea,5,FALSE),xySVG_Factors_NC,3,FALSE),0)))),"")</f>
        <v/>
      </c>
      <c r="Z366" s="544" t="str">
        <f>IFERROR(IF(C366="","",IF(INDEX(xyWattage_Table,MATCH(M366,'Fixture Identities'!$B$9:$B$997,0),2)="Exit Sign",0,VLOOKUP(S366,xySVG_Factors,2,FALSE))),"")</f>
        <v/>
      </c>
      <c r="AA366" s="545" t="str">
        <f t="shared" si="131"/>
        <v/>
      </c>
      <c r="AB366" s="542" t="str">
        <f t="shared" si="132"/>
        <v/>
      </c>
      <c r="AC366" s="539" t="str">
        <f t="shared" si="133"/>
        <v/>
      </c>
      <c r="AD366" s="546" t="str">
        <f t="shared" si="134"/>
        <v/>
      </c>
      <c r="AE366" s="539" t="str">
        <f t="shared" si="135"/>
        <v/>
      </c>
      <c r="AF366" s="546" t="str">
        <f t="shared" si="136"/>
        <v/>
      </c>
      <c r="AG366" s="539" t="str">
        <f t="shared" si="137"/>
        <v/>
      </c>
      <c r="AH366" s="32">
        <f t="shared" si="139"/>
        <v>0</v>
      </c>
      <c r="AI366" s="32">
        <f t="shared" si="140"/>
        <v>0</v>
      </c>
      <c r="AJ366" s="32">
        <f t="shared" si="141"/>
        <v>0</v>
      </c>
      <c r="AK366" t="str">
        <f t="shared" si="142"/>
        <v/>
      </c>
      <c r="AL366" t="str">
        <f t="shared" si="143"/>
        <v/>
      </c>
      <c r="AM366" t="str">
        <f t="shared" si="144"/>
        <v/>
      </c>
      <c r="AO366" t="str">
        <f>IFERROR(VLOOKUP(M366,'Fixture Identities'!$B$9:$O$1045,14,FALSE),"")</f>
        <v/>
      </c>
      <c r="AP366" t="str">
        <f t="shared" si="138"/>
        <v/>
      </c>
    </row>
    <row r="367" spans="1:42">
      <c r="A367" s="71">
        <f t="shared" si="146"/>
        <v>0</v>
      </c>
      <c r="B367" s="513">
        <f t="shared" si="145"/>
        <v>355</v>
      </c>
      <c r="C367" s="530" t="str">
        <f>IF(Inventory!E364="","",Inventory!E364)</f>
        <v/>
      </c>
      <c r="D367" s="531">
        <f>IF(Inventory!D364="",0,Inventory!D364)</f>
        <v>0</v>
      </c>
      <c r="E367" s="532" t="str">
        <f>IF(Inventory!I364=0,"",Inventory!I364)</f>
        <v/>
      </c>
      <c r="F367" s="533" t="str">
        <f t="shared" si="125"/>
        <v/>
      </c>
      <c r="G367" s="534" t="str">
        <f>IF(Inventory!G364="","",Inventory!G364)</f>
        <v/>
      </c>
      <c r="H367" s="535" t="str">
        <f t="shared" si="126"/>
        <v/>
      </c>
      <c r="I367" s="536" t="str">
        <f>IF(Inventory!J364="","",Inventory!J364)</f>
        <v/>
      </c>
      <c r="J367" s="537" t="str">
        <f>IFERROR(IF(PRJ_Type="New Construction",IF(Inventory!C364="N",INDEX(xyLPD_BuildingArea,MATCH(Building_Type,Lookups!$F$37:$F$75,0),4),INDEX(xyLPD_SpaceBySpace,MATCH(INDEX(xyNCEx,MATCH(I367,yNCExArea,0),2),ySpace_by_Space_Type,0),2)),VLOOKUP(E367,xyWattage_Table,11,FALSE)),"")</f>
        <v/>
      </c>
      <c r="K367" s="538" t="str">
        <f>IFERROR(IF(AND(NC_Type="Building Area Method",Inventory!C364="N"),IF(ISERROR(INDEX('Usage Groups (&gt;120 MWh only)'!$N$8:$N$12,MATCH(C367,'Usage Groups (&gt;120 MWh only)'!$B$8:$B$12,0),1))=TRUE,SqFt/COUNTIFS(Inventory!$C$10:$C$1009,"N",$Q$13:$Q$1012,"&gt;=0"),INDEX('Usage Groups (&gt;120 MWh only)'!$N$8:$N$12,MATCH(C367,'Usage Groups (&gt;120 MWh only)'!$B$8:$B$12,0),1)/COUNTIF($C$13:$C$1012,C367)),IF(AND(NC_Type="Building Area Method",Inventory!C364="Y"),INDEX(xyNCEx,MATCH(I367,yNCExArea,0),3)/COUNTIF($I$13:$I$1012,I367),VLOOKUP(J367,xyWattage_Table,10,FALSE))),"")</f>
        <v/>
      </c>
      <c r="L367" s="539" t="str">
        <f t="shared" si="127"/>
        <v/>
      </c>
      <c r="M367" s="540">
        <f>IF(Inventory!N364="","",Inventory!N364)</f>
        <v>0</v>
      </c>
      <c r="N367" s="533" t="str">
        <f t="shared" si="128"/>
        <v/>
      </c>
      <c r="O367" s="534"/>
      <c r="P367" s="533" t="str">
        <f t="shared" si="129"/>
        <v/>
      </c>
      <c r="Q367" s="534" t="str">
        <f>IF(Inventory!L364="","",Inventory!L364)</f>
        <v/>
      </c>
      <c r="R367" s="535" t="str">
        <f t="shared" si="130"/>
        <v/>
      </c>
      <c r="S367" s="536" t="str">
        <f>IF(Inventory!O364="","",Inventory!O364)</f>
        <v/>
      </c>
      <c r="T367" s="541" t="str">
        <f>IFERROR(IF(C367="","",IF(INDEX(xyWattage_Table,MATCH(M367,'Fixture Identities'!$B$9:$B$997,0),2)="Exit Sign",8760,IF(VLOOKUP(C367,xySpace_Type_Details,8,FALSE)="TRM",INDEX('General Information'!$AF$17:$AG$28,11,MATCH(N367,'General Information'!$AF$16:$AG$16,0)),HLOOKUP(VLOOKUP(C367,xySpace_Type_Details,8,FALSE),'General Information'!$P$15:$AG$28,13,FALSE)))),"")</f>
        <v/>
      </c>
      <c r="U367" s="542" t="str">
        <f>IFERROR(IF(C367="","",IF(INDEX(xyWattage_Table,MATCH(M367,'Fixture Identities'!$B$9:$B$997,0),2)="Exit Sign",1,IF(VLOOKUP(C367,xySpace_Type_Details,8,FALSE)="TRM",INDEX('General Information'!$AF$17:$AG$28,12,MATCH(N367,'General Information'!$AF$16:$AG$16,0)),HLOOKUP(VLOOKUP(C367,xySpace_Type_Details,8,FALSE),'General Information'!$P$15:$AG$28,14,FALSE)))),"")</f>
        <v/>
      </c>
      <c r="V367" s="542" t="str">
        <f>IFERROR(VLOOKUP(INDEX(xySpace_Type_Details,MATCH($C367,'General Information'!$C$40:$C$60,0),12),Lookups!$L$8:$N$12,2,FALSE),"")</f>
        <v/>
      </c>
      <c r="W367" s="542" t="str">
        <f>IFERROR(VLOOKUP(INDEX(xySpace_Type_Details,MATCH($C367,'General Information'!$C$40:$C$60,0),12),Lookups!$L$8:$N$12,3,FALSE),"")</f>
        <v/>
      </c>
      <c r="Y367" s="542" t="str">
        <f>IFERROR(IF(C367="","",IF(INDEX(xyWattage_Table,MATCH(M367,'Fixture Identities'!$B$9:$B$997,0),2)="Exit Sign",0,IF(PRJ_Type="Retrofit",VLOOKUP(I367,xySVG_Factors,2,FALSE),IF(AND(PRJ_Type="New Construction",Inventory!C364="N"),VLOOKUP(VLOOKUP(Building_Type,xyLPD_BuildingArea,5,FALSE),xySVG_Factors_NC,3,FALSE),0)))),"")</f>
        <v/>
      </c>
      <c r="Z367" s="544" t="str">
        <f>IFERROR(IF(C367="","",IF(INDEX(xyWattage_Table,MATCH(M367,'Fixture Identities'!$B$9:$B$997,0),2)="Exit Sign",0,VLOOKUP(S367,xySVG_Factors,2,FALSE))),"")</f>
        <v/>
      </c>
      <c r="AA367" s="545" t="str">
        <f t="shared" si="131"/>
        <v/>
      </c>
      <c r="AB367" s="542" t="str">
        <f t="shared" si="132"/>
        <v/>
      </c>
      <c r="AC367" s="539" t="str">
        <f t="shared" si="133"/>
        <v/>
      </c>
      <c r="AD367" s="546" t="str">
        <f t="shared" si="134"/>
        <v/>
      </c>
      <c r="AE367" s="539" t="str">
        <f t="shared" si="135"/>
        <v/>
      </c>
      <c r="AF367" s="546" t="str">
        <f t="shared" si="136"/>
        <v/>
      </c>
      <c r="AG367" s="539" t="str">
        <f t="shared" si="137"/>
        <v/>
      </c>
      <c r="AH367" s="32">
        <f t="shared" si="139"/>
        <v>0</v>
      </c>
      <c r="AI367" s="32">
        <f t="shared" si="140"/>
        <v>0</v>
      </c>
      <c r="AJ367" s="32">
        <f t="shared" si="141"/>
        <v>0</v>
      </c>
      <c r="AK367" t="str">
        <f t="shared" si="142"/>
        <v/>
      </c>
      <c r="AL367" t="str">
        <f t="shared" si="143"/>
        <v/>
      </c>
      <c r="AM367" t="str">
        <f t="shared" si="144"/>
        <v/>
      </c>
      <c r="AO367" t="str">
        <f>IFERROR(VLOOKUP(M367,'Fixture Identities'!$B$9:$O$1045,14,FALSE),"")</f>
        <v/>
      </c>
      <c r="AP367" t="str">
        <f t="shared" si="138"/>
        <v/>
      </c>
    </row>
    <row r="368" spans="1:42">
      <c r="A368" s="71">
        <f t="shared" si="146"/>
        <v>0</v>
      </c>
      <c r="B368" s="513">
        <f t="shared" si="145"/>
        <v>356</v>
      </c>
      <c r="C368" s="530" t="str">
        <f>IF(Inventory!E365="","",Inventory!E365)</f>
        <v/>
      </c>
      <c r="D368" s="531">
        <f>IF(Inventory!D365="",0,Inventory!D365)</f>
        <v>0</v>
      </c>
      <c r="E368" s="532" t="str">
        <f>IF(Inventory!I365=0,"",Inventory!I365)</f>
        <v/>
      </c>
      <c r="F368" s="533" t="str">
        <f t="shared" si="125"/>
        <v/>
      </c>
      <c r="G368" s="534" t="str">
        <f>IF(Inventory!G365="","",Inventory!G365)</f>
        <v/>
      </c>
      <c r="H368" s="535" t="str">
        <f t="shared" si="126"/>
        <v/>
      </c>
      <c r="I368" s="536" t="str">
        <f>IF(Inventory!J365="","",Inventory!J365)</f>
        <v/>
      </c>
      <c r="J368" s="537" t="str">
        <f>IFERROR(IF(PRJ_Type="New Construction",IF(Inventory!C365="N",INDEX(xyLPD_BuildingArea,MATCH(Building_Type,Lookups!$F$37:$F$75,0),4),INDEX(xyLPD_SpaceBySpace,MATCH(INDEX(xyNCEx,MATCH(I368,yNCExArea,0),2),ySpace_by_Space_Type,0),2)),VLOOKUP(E368,xyWattage_Table,11,FALSE)),"")</f>
        <v/>
      </c>
      <c r="K368" s="538" t="str">
        <f>IFERROR(IF(AND(NC_Type="Building Area Method",Inventory!C365="N"),IF(ISERROR(INDEX('Usage Groups (&gt;120 MWh only)'!$N$8:$N$12,MATCH(C368,'Usage Groups (&gt;120 MWh only)'!$B$8:$B$12,0),1))=TRUE,SqFt/COUNTIFS(Inventory!$C$10:$C$1009,"N",$Q$13:$Q$1012,"&gt;=0"),INDEX('Usage Groups (&gt;120 MWh only)'!$N$8:$N$12,MATCH(C368,'Usage Groups (&gt;120 MWh only)'!$B$8:$B$12,0),1)/COUNTIF($C$13:$C$1012,C368)),IF(AND(NC_Type="Building Area Method",Inventory!C365="Y"),INDEX(xyNCEx,MATCH(I368,yNCExArea,0),3)/COUNTIF($I$13:$I$1012,I368),VLOOKUP(J368,xyWattage_Table,10,FALSE))),"")</f>
        <v/>
      </c>
      <c r="L368" s="539" t="str">
        <f t="shared" si="127"/>
        <v/>
      </c>
      <c r="M368" s="540">
        <f>IF(Inventory!N365="","",Inventory!N365)</f>
        <v>0</v>
      </c>
      <c r="N368" s="533" t="str">
        <f t="shared" si="128"/>
        <v/>
      </c>
      <c r="O368" s="534"/>
      <c r="P368" s="533" t="str">
        <f t="shared" si="129"/>
        <v/>
      </c>
      <c r="Q368" s="534" t="str">
        <f>IF(Inventory!L365="","",Inventory!L365)</f>
        <v/>
      </c>
      <c r="R368" s="535" t="str">
        <f t="shared" si="130"/>
        <v/>
      </c>
      <c r="S368" s="536" t="str">
        <f>IF(Inventory!O365="","",Inventory!O365)</f>
        <v/>
      </c>
      <c r="T368" s="541" t="str">
        <f>IFERROR(IF(C368="","",IF(INDEX(xyWattage_Table,MATCH(M368,'Fixture Identities'!$B$9:$B$997,0),2)="Exit Sign",8760,IF(VLOOKUP(C368,xySpace_Type_Details,8,FALSE)="TRM",INDEX('General Information'!$AF$17:$AG$28,11,MATCH(N368,'General Information'!$AF$16:$AG$16,0)),HLOOKUP(VLOOKUP(C368,xySpace_Type_Details,8,FALSE),'General Information'!$P$15:$AG$28,13,FALSE)))),"")</f>
        <v/>
      </c>
      <c r="U368" s="542" t="str">
        <f>IFERROR(IF(C368="","",IF(INDEX(xyWattage_Table,MATCH(M368,'Fixture Identities'!$B$9:$B$997,0),2)="Exit Sign",1,IF(VLOOKUP(C368,xySpace_Type_Details,8,FALSE)="TRM",INDEX('General Information'!$AF$17:$AG$28,12,MATCH(N368,'General Information'!$AF$16:$AG$16,0)),HLOOKUP(VLOOKUP(C368,xySpace_Type_Details,8,FALSE),'General Information'!$P$15:$AG$28,14,FALSE)))),"")</f>
        <v/>
      </c>
      <c r="V368" s="542" t="str">
        <f>IFERROR(VLOOKUP(INDEX(xySpace_Type_Details,MATCH($C368,'General Information'!$C$40:$C$60,0),12),Lookups!$L$8:$N$12,2,FALSE),"")</f>
        <v/>
      </c>
      <c r="W368" s="542" t="str">
        <f>IFERROR(VLOOKUP(INDEX(xySpace_Type_Details,MATCH($C368,'General Information'!$C$40:$C$60,0),12),Lookups!$L$8:$N$12,3,FALSE),"")</f>
        <v/>
      </c>
      <c r="Y368" s="542" t="str">
        <f>IFERROR(IF(C368="","",IF(INDEX(xyWattage_Table,MATCH(M368,'Fixture Identities'!$B$9:$B$997,0),2)="Exit Sign",0,IF(PRJ_Type="Retrofit",VLOOKUP(I368,xySVG_Factors,2,FALSE),IF(AND(PRJ_Type="New Construction",Inventory!C365="N"),VLOOKUP(VLOOKUP(Building_Type,xyLPD_BuildingArea,5,FALSE),xySVG_Factors_NC,3,FALSE),0)))),"")</f>
        <v/>
      </c>
      <c r="Z368" s="544" t="str">
        <f>IFERROR(IF(C368="","",IF(INDEX(xyWattage_Table,MATCH(M368,'Fixture Identities'!$B$9:$B$997,0),2)="Exit Sign",0,VLOOKUP(S368,xySVG_Factors,2,FALSE))),"")</f>
        <v/>
      </c>
      <c r="AA368" s="545" t="str">
        <f t="shared" si="131"/>
        <v/>
      </c>
      <c r="AB368" s="542" t="str">
        <f t="shared" si="132"/>
        <v/>
      </c>
      <c r="AC368" s="539" t="str">
        <f t="shared" si="133"/>
        <v/>
      </c>
      <c r="AD368" s="546" t="str">
        <f t="shared" si="134"/>
        <v/>
      </c>
      <c r="AE368" s="539" t="str">
        <f t="shared" si="135"/>
        <v/>
      </c>
      <c r="AF368" s="546" t="str">
        <f t="shared" si="136"/>
        <v/>
      </c>
      <c r="AG368" s="539" t="str">
        <f t="shared" si="137"/>
        <v/>
      </c>
      <c r="AH368" s="32">
        <f t="shared" si="139"/>
        <v>0</v>
      </c>
      <c r="AI368" s="32">
        <f t="shared" si="140"/>
        <v>0</v>
      </c>
      <c r="AJ368" s="32">
        <f t="shared" si="141"/>
        <v>0</v>
      </c>
      <c r="AK368" t="str">
        <f t="shared" si="142"/>
        <v/>
      </c>
      <c r="AL368" t="str">
        <f t="shared" si="143"/>
        <v/>
      </c>
      <c r="AM368" t="str">
        <f t="shared" si="144"/>
        <v/>
      </c>
      <c r="AO368" t="str">
        <f>IFERROR(VLOOKUP(M368,'Fixture Identities'!$B$9:$O$1045,14,FALSE),"")</f>
        <v/>
      </c>
      <c r="AP368" t="str">
        <f t="shared" si="138"/>
        <v/>
      </c>
    </row>
    <row r="369" spans="1:42">
      <c r="A369" s="71">
        <f t="shared" si="146"/>
        <v>0</v>
      </c>
      <c r="B369" s="513">
        <f t="shared" si="145"/>
        <v>357</v>
      </c>
      <c r="C369" s="530" t="str">
        <f>IF(Inventory!E366="","",Inventory!E366)</f>
        <v/>
      </c>
      <c r="D369" s="531">
        <f>IF(Inventory!D366="",0,Inventory!D366)</f>
        <v>0</v>
      </c>
      <c r="E369" s="532" t="str">
        <f>IF(Inventory!I366=0,"",Inventory!I366)</f>
        <v/>
      </c>
      <c r="F369" s="533" t="str">
        <f t="shared" si="125"/>
        <v/>
      </c>
      <c r="G369" s="534" t="str">
        <f>IF(Inventory!G366="","",Inventory!G366)</f>
        <v/>
      </c>
      <c r="H369" s="535" t="str">
        <f t="shared" si="126"/>
        <v/>
      </c>
      <c r="I369" s="536" t="str">
        <f>IF(Inventory!J366="","",Inventory!J366)</f>
        <v/>
      </c>
      <c r="J369" s="537" t="str">
        <f>IFERROR(IF(PRJ_Type="New Construction",IF(Inventory!C366="N",INDEX(xyLPD_BuildingArea,MATCH(Building_Type,Lookups!$F$37:$F$75,0),4),INDEX(xyLPD_SpaceBySpace,MATCH(INDEX(xyNCEx,MATCH(I369,yNCExArea,0),2),ySpace_by_Space_Type,0),2)),VLOOKUP(E369,xyWattage_Table,11,FALSE)),"")</f>
        <v/>
      </c>
      <c r="K369" s="538" t="str">
        <f>IFERROR(IF(AND(NC_Type="Building Area Method",Inventory!C366="N"),IF(ISERROR(INDEX('Usage Groups (&gt;120 MWh only)'!$N$8:$N$12,MATCH(C369,'Usage Groups (&gt;120 MWh only)'!$B$8:$B$12,0),1))=TRUE,SqFt/COUNTIFS(Inventory!$C$10:$C$1009,"N",$Q$13:$Q$1012,"&gt;=0"),INDEX('Usage Groups (&gt;120 MWh only)'!$N$8:$N$12,MATCH(C369,'Usage Groups (&gt;120 MWh only)'!$B$8:$B$12,0),1)/COUNTIF($C$13:$C$1012,C369)),IF(AND(NC_Type="Building Area Method",Inventory!C366="Y"),INDEX(xyNCEx,MATCH(I369,yNCExArea,0),3)/COUNTIF($I$13:$I$1012,I369),VLOOKUP(J369,xyWattage_Table,10,FALSE))),"")</f>
        <v/>
      </c>
      <c r="L369" s="539" t="str">
        <f t="shared" si="127"/>
        <v/>
      </c>
      <c r="M369" s="540">
        <f>IF(Inventory!N366="","",Inventory!N366)</f>
        <v>0</v>
      </c>
      <c r="N369" s="533" t="str">
        <f t="shared" si="128"/>
        <v/>
      </c>
      <c r="O369" s="534"/>
      <c r="P369" s="533" t="str">
        <f t="shared" si="129"/>
        <v/>
      </c>
      <c r="Q369" s="534" t="str">
        <f>IF(Inventory!L366="","",Inventory!L366)</f>
        <v/>
      </c>
      <c r="R369" s="535" t="str">
        <f t="shared" si="130"/>
        <v/>
      </c>
      <c r="S369" s="536" t="str">
        <f>IF(Inventory!O366="","",Inventory!O366)</f>
        <v/>
      </c>
      <c r="T369" s="541" t="str">
        <f>IFERROR(IF(C369="","",IF(INDEX(xyWattage_Table,MATCH(M369,'Fixture Identities'!$B$9:$B$997,0),2)="Exit Sign",8760,IF(VLOOKUP(C369,xySpace_Type_Details,8,FALSE)="TRM",INDEX('General Information'!$AF$17:$AG$28,11,MATCH(N369,'General Information'!$AF$16:$AG$16,0)),HLOOKUP(VLOOKUP(C369,xySpace_Type_Details,8,FALSE),'General Information'!$P$15:$AG$28,13,FALSE)))),"")</f>
        <v/>
      </c>
      <c r="U369" s="542" t="str">
        <f>IFERROR(IF(C369="","",IF(INDEX(xyWattage_Table,MATCH(M369,'Fixture Identities'!$B$9:$B$997,0),2)="Exit Sign",1,IF(VLOOKUP(C369,xySpace_Type_Details,8,FALSE)="TRM",INDEX('General Information'!$AF$17:$AG$28,12,MATCH(N369,'General Information'!$AF$16:$AG$16,0)),HLOOKUP(VLOOKUP(C369,xySpace_Type_Details,8,FALSE),'General Information'!$P$15:$AG$28,14,FALSE)))),"")</f>
        <v/>
      </c>
      <c r="V369" s="542" t="str">
        <f>IFERROR(VLOOKUP(INDEX(xySpace_Type_Details,MATCH($C369,'General Information'!$C$40:$C$60,0),12),Lookups!$L$8:$N$12,2,FALSE),"")</f>
        <v/>
      </c>
      <c r="W369" s="542" t="str">
        <f>IFERROR(VLOOKUP(INDEX(xySpace_Type_Details,MATCH($C369,'General Information'!$C$40:$C$60,0),12),Lookups!$L$8:$N$12,3,FALSE),"")</f>
        <v/>
      </c>
      <c r="Y369" s="542" t="str">
        <f>IFERROR(IF(C369="","",IF(INDEX(xyWattage_Table,MATCH(M369,'Fixture Identities'!$B$9:$B$997,0),2)="Exit Sign",0,IF(PRJ_Type="Retrofit",VLOOKUP(I369,xySVG_Factors,2,FALSE),IF(AND(PRJ_Type="New Construction",Inventory!C366="N"),VLOOKUP(VLOOKUP(Building_Type,xyLPD_BuildingArea,5,FALSE),xySVG_Factors_NC,3,FALSE),0)))),"")</f>
        <v/>
      </c>
      <c r="Z369" s="544" t="str">
        <f>IFERROR(IF(C369="","",IF(INDEX(xyWattage_Table,MATCH(M369,'Fixture Identities'!$B$9:$B$997,0),2)="Exit Sign",0,VLOOKUP(S369,xySVG_Factors,2,FALSE))),"")</f>
        <v/>
      </c>
      <c r="AA369" s="545" t="str">
        <f t="shared" si="131"/>
        <v/>
      </c>
      <c r="AB369" s="542" t="str">
        <f t="shared" si="132"/>
        <v/>
      </c>
      <c r="AC369" s="539" t="str">
        <f t="shared" si="133"/>
        <v/>
      </c>
      <c r="AD369" s="546" t="str">
        <f t="shared" si="134"/>
        <v/>
      </c>
      <c r="AE369" s="539" t="str">
        <f t="shared" si="135"/>
        <v/>
      </c>
      <c r="AF369" s="546" t="str">
        <f t="shared" si="136"/>
        <v/>
      </c>
      <c r="AG369" s="539" t="str">
        <f t="shared" si="137"/>
        <v/>
      </c>
      <c r="AH369" s="32">
        <f t="shared" si="139"/>
        <v>0</v>
      </c>
      <c r="AI369" s="32">
        <f t="shared" si="140"/>
        <v>0</v>
      </c>
      <c r="AJ369" s="32">
        <f t="shared" si="141"/>
        <v>0</v>
      </c>
      <c r="AK369" t="str">
        <f t="shared" si="142"/>
        <v/>
      </c>
      <c r="AL369" t="str">
        <f t="shared" si="143"/>
        <v/>
      </c>
      <c r="AM369" t="str">
        <f t="shared" si="144"/>
        <v/>
      </c>
      <c r="AO369" t="str">
        <f>IFERROR(VLOOKUP(M369,'Fixture Identities'!$B$9:$O$1045,14,FALSE),"")</f>
        <v/>
      </c>
      <c r="AP369" t="str">
        <f t="shared" si="138"/>
        <v/>
      </c>
    </row>
    <row r="370" spans="1:42">
      <c r="A370" s="71">
        <f t="shared" si="146"/>
        <v>0</v>
      </c>
      <c r="B370" s="513">
        <f t="shared" si="145"/>
        <v>358</v>
      </c>
      <c r="C370" s="530" t="str">
        <f>IF(Inventory!E367="","",Inventory!E367)</f>
        <v/>
      </c>
      <c r="D370" s="531">
        <f>IF(Inventory!D367="",0,Inventory!D367)</f>
        <v>0</v>
      </c>
      <c r="E370" s="532" t="str">
        <f>IF(Inventory!I367=0,"",Inventory!I367)</f>
        <v/>
      </c>
      <c r="F370" s="533" t="str">
        <f t="shared" si="125"/>
        <v/>
      </c>
      <c r="G370" s="534" t="str">
        <f>IF(Inventory!G367="","",Inventory!G367)</f>
        <v/>
      </c>
      <c r="H370" s="535" t="str">
        <f t="shared" si="126"/>
        <v/>
      </c>
      <c r="I370" s="536" t="str">
        <f>IF(Inventory!J367="","",Inventory!J367)</f>
        <v/>
      </c>
      <c r="J370" s="537" t="str">
        <f>IFERROR(IF(PRJ_Type="New Construction",IF(Inventory!C367="N",INDEX(xyLPD_BuildingArea,MATCH(Building_Type,Lookups!$F$37:$F$75,0),4),INDEX(xyLPD_SpaceBySpace,MATCH(INDEX(xyNCEx,MATCH(I370,yNCExArea,0),2),ySpace_by_Space_Type,0),2)),VLOOKUP(E370,xyWattage_Table,11,FALSE)),"")</f>
        <v/>
      </c>
      <c r="K370" s="538" t="str">
        <f>IFERROR(IF(AND(NC_Type="Building Area Method",Inventory!C367="N"),IF(ISERROR(INDEX('Usage Groups (&gt;120 MWh only)'!$N$8:$N$12,MATCH(C370,'Usage Groups (&gt;120 MWh only)'!$B$8:$B$12,0),1))=TRUE,SqFt/COUNTIFS(Inventory!$C$10:$C$1009,"N",$Q$13:$Q$1012,"&gt;=0"),INDEX('Usage Groups (&gt;120 MWh only)'!$N$8:$N$12,MATCH(C370,'Usage Groups (&gt;120 MWh only)'!$B$8:$B$12,0),1)/COUNTIF($C$13:$C$1012,C370)),IF(AND(NC_Type="Building Area Method",Inventory!C367="Y"),INDEX(xyNCEx,MATCH(I370,yNCExArea,0),3)/COUNTIF($I$13:$I$1012,I370),VLOOKUP(J370,xyWattage_Table,10,FALSE))),"")</f>
        <v/>
      </c>
      <c r="L370" s="539" t="str">
        <f t="shared" si="127"/>
        <v/>
      </c>
      <c r="M370" s="540">
        <f>IF(Inventory!N367="","",Inventory!N367)</f>
        <v>0</v>
      </c>
      <c r="N370" s="533" t="str">
        <f t="shared" si="128"/>
        <v/>
      </c>
      <c r="O370" s="534"/>
      <c r="P370" s="533" t="str">
        <f t="shared" si="129"/>
        <v/>
      </c>
      <c r="Q370" s="534" t="str">
        <f>IF(Inventory!L367="","",Inventory!L367)</f>
        <v/>
      </c>
      <c r="R370" s="535" t="str">
        <f t="shared" si="130"/>
        <v/>
      </c>
      <c r="S370" s="536" t="str">
        <f>IF(Inventory!O367="","",Inventory!O367)</f>
        <v/>
      </c>
      <c r="T370" s="541" t="str">
        <f>IFERROR(IF(C370="","",IF(INDEX(xyWattage_Table,MATCH(M370,'Fixture Identities'!$B$9:$B$997,0),2)="Exit Sign",8760,IF(VLOOKUP(C370,xySpace_Type_Details,8,FALSE)="TRM",INDEX('General Information'!$AF$17:$AG$28,11,MATCH(N370,'General Information'!$AF$16:$AG$16,0)),HLOOKUP(VLOOKUP(C370,xySpace_Type_Details,8,FALSE),'General Information'!$P$15:$AG$28,13,FALSE)))),"")</f>
        <v/>
      </c>
      <c r="U370" s="542" t="str">
        <f>IFERROR(IF(C370="","",IF(INDEX(xyWattage_Table,MATCH(M370,'Fixture Identities'!$B$9:$B$997,0),2)="Exit Sign",1,IF(VLOOKUP(C370,xySpace_Type_Details,8,FALSE)="TRM",INDEX('General Information'!$AF$17:$AG$28,12,MATCH(N370,'General Information'!$AF$16:$AG$16,0)),HLOOKUP(VLOOKUP(C370,xySpace_Type_Details,8,FALSE),'General Information'!$P$15:$AG$28,14,FALSE)))),"")</f>
        <v/>
      </c>
      <c r="V370" s="542" t="str">
        <f>IFERROR(VLOOKUP(INDEX(xySpace_Type_Details,MATCH($C370,'General Information'!$C$40:$C$60,0),12),Lookups!$L$8:$N$12,2,FALSE),"")</f>
        <v/>
      </c>
      <c r="W370" s="542" t="str">
        <f>IFERROR(VLOOKUP(INDEX(xySpace_Type_Details,MATCH($C370,'General Information'!$C$40:$C$60,0),12),Lookups!$L$8:$N$12,3,FALSE),"")</f>
        <v/>
      </c>
      <c r="Y370" s="542" t="str">
        <f>IFERROR(IF(C370="","",IF(INDEX(xyWattage_Table,MATCH(M370,'Fixture Identities'!$B$9:$B$997,0),2)="Exit Sign",0,IF(PRJ_Type="Retrofit",VLOOKUP(I370,xySVG_Factors,2,FALSE),IF(AND(PRJ_Type="New Construction",Inventory!C367="N"),VLOOKUP(VLOOKUP(Building_Type,xyLPD_BuildingArea,5,FALSE),xySVG_Factors_NC,3,FALSE),0)))),"")</f>
        <v/>
      </c>
      <c r="Z370" s="544" t="str">
        <f>IFERROR(IF(C370="","",IF(INDEX(xyWattage_Table,MATCH(M370,'Fixture Identities'!$B$9:$B$997,0),2)="Exit Sign",0,VLOOKUP(S370,xySVG_Factors,2,FALSE))),"")</f>
        <v/>
      </c>
      <c r="AA370" s="545" t="str">
        <f t="shared" si="131"/>
        <v/>
      </c>
      <c r="AB370" s="542" t="str">
        <f t="shared" si="132"/>
        <v/>
      </c>
      <c r="AC370" s="539" t="str">
        <f t="shared" si="133"/>
        <v/>
      </c>
      <c r="AD370" s="546" t="str">
        <f t="shared" si="134"/>
        <v/>
      </c>
      <c r="AE370" s="539" t="str">
        <f t="shared" si="135"/>
        <v/>
      </c>
      <c r="AF370" s="546" t="str">
        <f t="shared" si="136"/>
        <v/>
      </c>
      <c r="AG370" s="539" t="str">
        <f t="shared" si="137"/>
        <v/>
      </c>
      <c r="AH370" s="32">
        <f t="shared" si="139"/>
        <v>0</v>
      </c>
      <c r="AI370" s="32">
        <f t="shared" si="140"/>
        <v>0</v>
      </c>
      <c r="AJ370" s="32">
        <f t="shared" si="141"/>
        <v>0</v>
      </c>
      <c r="AK370" t="str">
        <f t="shared" si="142"/>
        <v/>
      </c>
      <c r="AL370" t="str">
        <f t="shared" si="143"/>
        <v/>
      </c>
      <c r="AM370" t="str">
        <f t="shared" si="144"/>
        <v/>
      </c>
      <c r="AO370" t="str">
        <f>IFERROR(VLOOKUP(M370,'Fixture Identities'!$B$9:$O$1045,14,FALSE),"")</f>
        <v/>
      </c>
      <c r="AP370" t="str">
        <f t="shared" si="138"/>
        <v/>
      </c>
    </row>
    <row r="371" spans="1:42">
      <c r="A371" s="71">
        <f t="shared" si="146"/>
        <v>0</v>
      </c>
      <c r="B371" s="513">
        <f t="shared" si="145"/>
        <v>359</v>
      </c>
      <c r="C371" s="530" t="str">
        <f>IF(Inventory!E368="","",Inventory!E368)</f>
        <v/>
      </c>
      <c r="D371" s="531">
        <f>IF(Inventory!D368="",0,Inventory!D368)</f>
        <v>0</v>
      </c>
      <c r="E371" s="532" t="str">
        <f>IF(Inventory!I368=0,"",Inventory!I368)</f>
        <v/>
      </c>
      <c r="F371" s="533" t="str">
        <f t="shared" si="125"/>
        <v/>
      </c>
      <c r="G371" s="534" t="str">
        <f>IF(Inventory!G368="","",Inventory!G368)</f>
        <v/>
      </c>
      <c r="H371" s="535" t="str">
        <f t="shared" si="126"/>
        <v/>
      </c>
      <c r="I371" s="536" t="str">
        <f>IF(Inventory!J368="","",Inventory!J368)</f>
        <v/>
      </c>
      <c r="J371" s="537" t="str">
        <f>IFERROR(IF(PRJ_Type="New Construction",IF(Inventory!C368="N",INDEX(xyLPD_BuildingArea,MATCH(Building_Type,Lookups!$F$37:$F$75,0),4),INDEX(xyLPD_SpaceBySpace,MATCH(INDEX(xyNCEx,MATCH(I371,yNCExArea,0),2),ySpace_by_Space_Type,0),2)),VLOOKUP(E371,xyWattage_Table,11,FALSE)),"")</f>
        <v/>
      </c>
      <c r="K371" s="538" t="str">
        <f>IFERROR(IF(AND(NC_Type="Building Area Method",Inventory!C368="N"),IF(ISERROR(INDEX('Usage Groups (&gt;120 MWh only)'!$N$8:$N$12,MATCH(C371,'Usage Groups (&gt;120 MWh only)'!$B$8:$B$12,0),1))=TRUE,SqFt/COUNTIFS(Inventory!$C$10:$C$1009,"N",$Q$13:$Q$1012,"&gt;=0"),INDEX('Usage Groups (&gt;120 MWh only)'!$N$8:$N$12,MATCH(C371,'Usage Groups (&gt;120 MWh only)'!$B$8:$B$12,0),1)/COUNTIF($C$13:$C$1012,C371)),IF(AND(NC_Type="Building Area Method",Inventory!C368="Y"),INDEX(xyNCEx,MATCH(I371,yNCExArea,0),3)/COUNTIF($I$13:$I$1012,I371),VLOOKUP(J371,xyWattage_Table,10,FALSE))),"")</f>
        <v/>
      </c>
      <c r="L371" s="539" t="str">
        <f t="shared" si="127"/>
        <v/>
      </c>
      <c r="M371" s="540">
        <f>IF(Inventory!N368="","",Inventory!N368)</f>
        <v>0</v>
      </c>
      <c r="N371" s="533" t="str">
        <f t="shared" si="128"/>
        <v/>
      </c>
      <c r="O371" s="534"/>
      <c r="P371" s="533" t="str">
        <f t="shared" si="129"/>
        <v/>
      </c>
      <c r="Q371" s="534" t="str">
        <f>IF(Inventory!L368="","",Inventory!L368)</f>
        <v/>
      </c>
      <c r="R371" s="535" t="str">
        <f t="shared" si="130"/>
        <v/>
      </c>
      <c r="S371" s="536" t="str">
        <f>IF(Inventory!O368="","",Inventory!O368)</f>
        <v/>
      </c>
      <c r="T371" s="541" t="str">
        <f>IFERROR(IF(C371="","",IF(INDEX(xyWattage_Table,MATCH(M371,'Fixture Identities'!$B$9:$B$997,0),2)="Exit Sign",8760,IF(VLOOKUP(C371,xySpace_Type_Details,8,FALSE)="TRM",INDEX('General Information'!$AF$17:$AG$28,11,MATCH(N371,'General Information'!$AF$16:$AG$16,0)),HLOOKUP(VLOOKUP(C371,xySpace_Type_Details,8,FALSE),'General Information'!$P$15:$AG$28,13,FALSE)))),"")</f>
        <v/>
      </c>
      <c r="U371" s="542" t="str">
        <f>IFERROR(IF(C371="","",IF(INDEX(xyWattage_Table,MATCH(M371,'Fixture Identities'!$B$9:$B$997,0),2)="Exit Sign",1,IF(VLOOKUP(C371,xySpace_Type_Details,8,FALSE)="TRM",INDEX('General Information'!$AF$17:$AG$28,12,MATCH(N371,'General Information'!$AF$16:$AG$16,0)),HLOOKUP(VLOOKUP(C371,xySpace_Type_Details,8,FALSE),'General Information'!$P$15:$AG$28,14,FALSE)))),"")</f>
        <v/>
      </c>
      <c r="V371" s="542" t="str">
        <f>IFERROR(VLOOKUP(INDEX(xySpace_Type_Details,MATCH($C371,'General Information'!$C$40:$C$60,0),12),Lookups!$L$8:$N$12,2,FALSE),"")</f>
        <v/>
      </c>
      <c r="W371" s="542" t="str">
        <f>IFERROR(VLOOKUP(INDEX(xySpace_Type_Details,MATCH($C371,'General Information'!$C$40:$C$60,0),12),Lookups!$L$8:$N$12,3,FALSE),"")</f>
        <v/>
      </c>
      <c r="Y371" s="542" t="str">
        <f>IFERROR(IF(C371="","",IF(INDEX(xyWattage_Table,MATCH(M371,'Fixture Identities'!$B$9:$B$997,0),2)="Exit Sign",0,IF(PRJ_Type="Retrofit",VLOOKUP(I371,xySVG_Factors,2,FALSE),IF(AND(PRJ_Type="New Construction",Inventory!C368="N"),VLOOKUP(VLOOKUP(Building_Type,xyLPD_BuildingArea,5,FALSE),xySVG_Factors_NC,3,FALSE),0)))),"")</f>
        <v/>
      </c>
      <c r="Z371" s="544" t="str">
        <f>IFERROR(IF(C371="","",IF(INDEX(xyWattage_Table,MATCH(M371,'Fixture Identities'!$B$9:$B$997,0),2)="Exit Sign",0,VLOOKUP(S371,xySVG_Factors,2,FALSE))),"")</f>
        <v/>
      </c>
      <c r="AA371" s="545" t="str">
        <f t="shared" si="131"/>
        <v/>
      </c>
      <c r="AB371" s="542" t="str">
        <f t="shared" si="132"/>
        <v/>
      </c>
      <c r="AC371" s="539" t="str">
        <f t="shared" si="133"/>
        <v/>
      </c>
      <c r="AD371" s="546" t="str">
        <f t="shared" si="134"/>
        <v/>
      </c>
      <c r="AE371" s="539" t="str">
        <f t="shared" si="135"/>
        <v/>
      </c>
      <c r="AF371" s="546" t="str">
        <f t="shared" si="136"/>
        <v/>
      </c>
      <c r="AG371" s="539" t="str">
        <f t="shared" si="137"/>
        <v/>
      </c>
      <c r="AH371" s="32">
        <f t="shared" si="139"/>
        <v>0</v>
      </c>
      <c r="AI371" s="32">
        <f t="shared" si="140"/>
        <v>0</v>
      </c>
      <c r="AJ371" s="32">
        <f t="shared" si="141"/>
        <v>0</v>
      </c>
      <c r="AK371" t="str">
        <f t="shared" si="142"/>
        <v/>
      </c>
      <c r="AL371" t="str">
        <f t="shared" si="143"/>
        <v/>
      </c>
      <c r="AM371" t="str">
        <f t="shared" si="144"/>
        <v/>
      </c>
      <c r="AO371" t="str">
        <f>IFERROR(VLOOKUP(M371,'Fixture Identities'!$B$9:$O$1045,14,FALSE),"")</f>
        <v/>
      </c>
      <c r="AP371" t="str">
        <f t="shared" si="138"/>
        <v/>
      </c>
    </row>
    <row r="372" spans="1:42">
      <c r="A372" s="71">
        <f t="shared" si="146"/>
        <v>0</v>
      </c>
      <c r="B372" s="513">
        <f t="shared" si="145"/>
        <v>360</v>
      </c>
      <c r="C372" s="530" t="str">
        <f>IF(Inventory!E369="","",Inventory!E369)</f>
        <v/>
      </c>
      <c r="D372" s="531">
        <f>IF(Inventory!D369="",0,Inventory!D369)</f>
        <v>0</v>
      </c>
      <c r="E372" s="532" t="str">
        <f>IF(Inventory!I369=0,"",Inventory!I369)</f>
        <v/>
      </c>
      <c r="F372" s="533" t="str">
        <f t="shared" si="125"/>
        <v/>
      </c>
      <c r="G372" s="534" t="str">
        <f>IF(Inventory!G369="","",Inventory!G369)</f>
        <v/>
      </c>
      <c r="H372" s="535" t="str">
        <f t="shared" si="126"/>
        <v/>
      </c>
      <c r="I372" s="536" t="str">
        <f>IF(Inventory!J369="","",Inventory!J369)</f>
        <v/>
      </c>
      <c r="J372" s="537" t="str">
        <f>IFERROR(IF(PRJ_Type="New Construction",IF(Inventory!C369="N",INDEX(xyLPD_BuildingArea,MATCH(Building_Type,Lookups!$F$37:$F$75,0),4),INDEX(xyLPD_SpaceBySpace,MATCH(INDEX(xyNCEx,MATCH(I372,yNCExArea,0),2),ySpace_by_Space_Type,0),2)),VLOOKUP(E372,xyWattage_Table,11,FALSE)),"")</f>
        <v/>
      </c>
      <c r="K372" s="538" t="str">
        <f>IFERROR(IF(AND(NC_Type="Building Area Method",Inventory!C369="N"),IF(ISERROR(INDEX('Usage Groups (&gt;120 MWh only)'!$N$8:$N$12,MATCH(C372,'Usage Groups (&gt;120 MWh only)'!$B$8:$B$12,0),1))=TRUE,SqFt/COUNTIFS(Inventory!$C$10:$C$1009,"N",$Q$13:$Q$1012,"&gt;=0"),INDEX('Usage Groups (&gt;120 MWh only)'!$N$8:$N$12,MATCH(C372,'Usage Groups (&gt;120 MWh only)'!$B$8:$B$12,0),1)/COUNTIF($C$13:$C$1012,C372)),IF(AND(NC_Type="Building Area Method",Inventory!C369="Y"),INDEX(xyNCEx,MATCH(I372,yNCExArea,0),3)/COUNTIF($I$13:$I$1012,I372),VLOOKUP(J372,xyWattage_Table,10,FALSE))),"")</f>
        <v/>
      </c>
      <c r="L372" s="539" t="str">
        <f t="shared" si="127"/>
        <v/>
      </c>
      <c r="M372" s="540">
        <f>IF(Inventory!N369="","",Inventory!N369)</f>
        <v>0</v>
      </c>
      <c r="N372" s="533" t="str">
        <f t="shared" si="128"/>
        <v/>
      </c>
      <c r="O372" s="534"/>
      <c r="P372" s="533" t="str">
        <f t="shared" si="129"/>
        <v/>
      </c>
      <c r="Q372" s="534" t="str">
        <f>IF(Inventory!L369="","",Inventory!L369)</f>
        <v/>
      </c>
      <c r="R372" s="535" t="str">
        <f t="shared" si="130"/>
        <v/>
      </c>
      <c r="S372" s="536" t="str">
        <f>IF(Inventory!O369="","",Inventory!O369)</f>
        <v/>
      </c>
      <c r="T372" s="541" t="str">
        <f>IFERROR(IF(C372="","",IF(INDEX(xyWattage_Table,MATCH(M372,'Fixture Identities'!$B$9:$B$997,0),2)="Exit Sign",8760,IF(VLOOKUP(C372,xySpace_Type_Details,8,FALSE)="TRM",INDEX('General Information'!$AF$17:$AG$28,11,MATCH(N372,'General Information'!$AF$16:$AG$16,0)),HLOOKUP(VLOOKUP(C372,xySpace_Type_Details,8,FALSE),'General Information'!$P$15:$AG$28,13,FALSE)))),"")</f>
        <v/>
      </c>
      <c r="U372" s="542" t="str">
        <f>IFERROR(IF(C372="","",IF(INDEX(xyWattage_Table,MATCH(M372,'Fixture Identities'!$B$9:$B$997,0),2)="Exit Sign",1,IF(VLOOKUP(C372,xySpace_Type_Details,8,FALSE)="TRM",INDEX('General Information'!$AF$17:$AG$28,12,MATCH(N372,'General Information'!$AF$16:$AG$16,0)),HLOOKUP(VLOOKUP(C372,xySpace_Type_Details,8,FALSE),'General Information'!$P$15:$AG$28,14,FALSE)))),"")</f>
        <v/>
      </c>
      <c r="V372" s="542" t="str">
        <f>IFERROR(VLOOKUP(INDEX(xySpace_Type_Details,MATCH($C372,'General Information'!$C$40:$C$60,0),12),Lookups!$L$8:$N$12,2,FALSE),"")</f>
        <v/>
      </c>
      <c r="W372" s="542" t="str">
        <f>IFERROR(VLOOKUP(INDEX(xySpace_Type_Details,MATCH($C372,'General Information'!$C$40:$C$60,0),12),Lookups!$L$8:$N$12,3,FALSE),"")</f>
        <v/>
      </c>
      <c r="Y372" s="542" t="str">
        <f>IFERROR(IF(C372="","",IF(INDEX(xyWattage_Table,MATCH(M372,'Fixture Identities'!$B$9:$B$997,0),2)="Exit Sign",0,IF(PRJ_Type="Retrofit",VLOOKUP(I372,xySVG_Factors,2,FALSE),IF(AND(PRJ_Type="New Construction",Inventory!C369="N"),VLOOKUP(VLOOKUP(Building_Type,xyLPD_BuildingArea,5,FALSE),xySVG_Factors_NC,3,FALSE),0)))),"")</f>
        <v/>
      </c>
      <c r="Z372" s="544" t="str">
        <f>IFERROR(IF(C372="","",IF(INDEX(xyWattage_Table,MATCH(M372,'Fixture Identities'!$B$9:$B$997,0),2)="Exit Sign",0,VLOOKUP(S372,xySVG_Factors,2,FALSE))),"")</f>
        <v/>
      </c>
      <c r="AA372" s="545" t="str">
        <f t="shared" si="131"/>
        <v/>
      </c>
      <c r="AB372" s="542" t="str">
        <f t="shared" si="132"/>
        <v/>
      </c>
      <c r="AC372" s="539" t="str">
        <f t="shared" si="133"/>
        <v/>
      </c>
      <c r="AD372" s="546" t="str">
        <f t="shared" si="134"/>
        <v/>
      </c>
      <c r="AE372" s="539" t="str">
        <f t="shared" si="135"/>
        <v/>
      </c>
      <c r="AF372" s="546" t="str">
        <f t="shared" si="136"/>
        <v/>
      </c>
      <c r="AG372" s="539" t="str">
        <f t="shared" si="137"/>
        <v/>
      </c>
      <c r="AH372" s="32">
        <f t="shared" si="139"/>
        <v>0</v>
      </c>
      <c r="AI372" s="32">
        <f t="shared" si="140"/>
        <v>0</v>
      </c>
      <c r="AJ372" s="32">
        <f t="shared" si="141"/>
        <v>0</v>
      </c>
      <c r="AK372" t="str">
        <f t="shared" si="142"/>
        <v/>
      </c>
      <c r="AL372" t="str">
        <f t="shared" si="143"/>
        <v/>
      </c>
      <c r="AM372" t="str">
        <f t="shared" si="144"/>
        <v/>
      </c>
      <c r="AO372" t="str">
        <f>IFERROR(VLOOKUP(M372,'Fixture Identities'!$B$9:$O$1045,14,FALSE),"")</f>
        <v/>
      </c>
      <c r="AP372" t="str">
        <f t="shared" si="138"/>
        <v/>
      </c>
    </row>
    <row r="373" spans="1:42">
      <c r="A373" s="71">
        <f t="shared" si="146"/>
        <v>0</v>
      </c>
      <c r="B373" s="513">
        <f t="shared" si="145"/>
        <v>361</v>
      </c>
      <c r="C373" s="530" t="str">
        <f>IF(Inventory!E370="","",Inventory!E370)</f>
        <v/>
      </c>
      <c r="D373" s="531">
        <f>IF(Inventory!D370="",0,Inventory!D370)</f>
        <v>0</v>
      </c>
      <c r="E373" s="532" t="str">
        <f>IF(Inventory!I370=0,"",Inventory!I370)</f>
        <v/>
      </c>
      <c r="F373" s="533" t="str">
        <f t="shared" si="125"/>
        <v/>
      </c>
      <c r="G373" s="534" t="str">
        <f>IF(Inventory!G370="","",Inventory!G370)</f>
        <v/>
      </c>
      <c r="H373" s="535" t="str">
        <f t="shared" si="126"/>
        <v/>
      </c>
      <c r="I373" s="536" t="str">
        <f>IF(Inventory!J370="","",Inventory!J370)</f>
        <v/>
      </c>
      <c r="J373" s="537" t="str">
        <f>IFERROR(IF(PRJ_Type="New Construction",IF(Inventory!C370="N",INDEX(xyLPD_BuildingArea,MATCH(Building_Type,Lookups!$F$37:$F$75,0),4),INDEX(xyLPD_SpaceBySpace,MATCH(INDEX(xyNCEx,MATCH(I373,yNCExArea,0),2),ySpace_by_Space_Type,0),2)),VLOOKUP(E373,xyWattage_Table,11,FALSE)),"")</f>
        <v/>
      </c>
      <c r="K373" s="538" t="str">
        <f>IFERROR(IF(AND(NC_Type="Building Area Method",Inventory!C370="N"),IF(ISERROR(INDEX('Usage Groups (&gt;120 MWh only)'!$N$8:$N$12,MATCH(C373,'Usage Groups (&gt;120 MWh only)'!$B$8:$B$12,0),1))=TRUE,SqFt/COUNTIFS(Inventory!$C$10:$C$1009,"N",$Q$13:$Q$1012,"&gt;=0"),INDEX('Usage Groups (&gt;120 MWh only)'!$N$8:$N$12,MATCH(C373,'Usage Groups (&gt;120 MWh only)'!$B$8:$B$12,0),1)/COUNTIF($C$13:$C$1012,C373)),IF(AND(NC_Type="Building Area Method",Inventory!C370="Y"),INDEX(xyNCEx,MATCH(I373,yNCExArea,0),3)/COUNTIF($I$13:$I$1012,I373),VLOOKUP(J373,xyWattage_Table,10,FALSE))),"")</f>
        <v/>
      </c>
      <c r="L373" s="539" t="str">
        <f t="shared" si="127"/>
        <v/>
      </c>
      <c r="M373" s="540">
        <f>IF(Inventory!N370="","",Inventory!N370)</f>
        <v>0</v>
      </c>
      <c r="N373" s="533" t="str">
        <f t="shared" si="128"/>
        <v/>
      </c>
      <c r="O373" s="534"/>
      <c r="P373" s="533" t="str">
        <f t="shared" si="129"/>
        <v/>
      </c>
      <c r="Q373" s="534" t="str">
        <f>IF(Inventory!L370="","",Inventory!L370)</f>
        <v/>
      </c>
      <c r="R373" s="535" t="str">
        <f t="shared" si="130"/>
        <v/>
      </c>
      <c r="S373" s="536" t="str">
        <f>IF(Inventory!O370="","",Inventory!O370)</f>
        <v/>
      </c>
      <c r="T373" s="541" t="str">
        <f>IFERROR(IF(C373="","",IF(INDEX(xyWattage_Table,MATCH(M373,'Fixture Identities'!$B$9:$B$997,0),2)="Exit Sign",8760,IF(VLOOKUP(C373,xySpace_Type_Details,8,FALSE)="TRM",INDEX('General Information'!$AF$17:$AG$28,11,MATCH(N373,'General Information'!$AF$16:$AG$16,0)),HLOOKUP(VLOOKUP(C373,xySpace_Type_Details,8,FALSE),'General Information'!$P$15:$AG$28,13,FALSE)))),"")</f>
        <v/>
      </c>
      <c r="U373" s="542" t="str">
        <f>IFERROR(IF(C373="","",IF(INDEX(xyWattage_Table,MATCH(M373,'Fixture Identities'!$B$9:$B$997,0),2)="Exit Sign",1,IF(VLOOKUP(C373,xySpace_Type_Details,8,FALSE)="TRM",INDEX('General Information'!$AF$17:$AG$28,12,MATCH(N373,'General Information'!$AF$16:$AG$16,0)),HLOOKUP(VLOOKUP(C373,xySpace_Type_Details,8,FALSE),'General Information'!$P$15:$AG$28,14,FALSE)))),"")</f>
        <v/>
      </c>
      <c r="V373" s="542" t="str">
        <f>IFERROR(VLOOKUP(INDEX(xySpace_Type_Details,MATCH($C373,'General Information'!$C$40:$C$60,0),12),Lookups!$L$8:$N$12,2,FALSE),"")</f>
        <v/>
      </c>
      <c r="W373" s="542" t="str">
        <f>IFERROR(VLOOKUP(INDEX(xySpace_Type_Details,MATCH($C373,'General Information'!$C$40:$C$60,0),12),Lookups!$L$8:$N$12,3,FALSE),"")</f>
        <v/>
      </c>
      <c r="Y373" s="542" t="str">
        <f>IFERROR(IF(C373="","",IF(INDEX(xyWattage_Table,MATCH(M373,'Fixture Identities'!$B$9:$B$997,0),2)="Exit Sign",0,IF(PRJ_Type="Retrofit",VLOOKUP(I373,xySVG_Factors,2,FALSE),IF(AND(PRJ_Type="New Construction",Inventory!C370="N"),VLOOKUP(VLOOKUP(Building_Type,xyLPD_BuildingArea,5,FALSE),xySVG_Factors_NC,3,FALSE),0)))),"")</f>
        <v/>
      </c>
      <c r="Z373" s="544" t="str">
        <f>IFERROR(IF(C373="","",IF(INDEX(xyWattage_Table,MATCH(M373,'Fixture Identities'!$B$9:$B$997,0),2)="Exit Sign",0,VLOOKUP(S373,xySVG_Factors,2,FALSE))),"")</f>
        <v/>
      </c>
      <c r="AA373" s="545" t="str">
        <f t="shared" si="131"/>
        <v/>
      </c>
      <c r="AB373" s="542" t="str">
        <f t="shared" si="132"/>
        <v/>
      </c>
      <c r="AC373" s="539" t="str">
        <f t="shared" si="133"/>
        <v/>
      </c>
      <c r="AD373" s="546" t="str">
        <f t="shared" si="134"/>
        <v/>
      </c>
      <c r="AE373" s="539" t="str">
        <f t="shared" si="135"/>
        <v/>
      </c>
      <c r="AF373" s="546" t="str">
        <f t="shared" si="136"/>
        <v/>
      </c>
      <c r="AG373" s="539" t="str">
        <f t="shared" si="137"/>
        <v/>
      </c>
      <c r="AH373" s="32">
        <f t="shared" si="139"/>
        <v>0</v>
      </c>
      <c r="AI373" s="32">
        <f t="shared" si="140"/>
        <v>0</v>
      </c>
      <c r="AJ373" s="32">
        <f t="shared" si="141"/>
        <v>0</v>
      </c>
      <c r="AK373" t="str">
        <f t="shared" si="142"/>
        <v/>
      </c>
      <c r="AL373" t="str">
        <f t="shared" si="143"/>
        <v/>
      </c>
      <c r="AM373" t="str">
        <f t="shared" si="144"/>
        <v/>
      </c>
      <c r="AO373" t="str">
        <f>IFERROR(VLOOKUP(M373,'Fixture Identities'!$B$9:$O$1045,14,FALSE),"")</f>
        <v/>
      </c>
      <c r="AP373" t="str">
        <f t="shared" si="138"/>
        <v/>
      </c>
    </row>
    <row r="374" spans="1:42">
      <c r="A374" s="71">
        <f t="shared" si="146"/>
        <v>0</v>
      </c>
      <c r="B374" s="513">
        <f t="shared" si="145"/>
        <v>362</v>
      </c>
      <c r="C374" s="530" t="str">
        <f>IF(Inventory!E371="","",Inventory!E371)</f>
        <v/>
      </c>
      <c r="D374" s="531">
        <f>IF(Inventory!D371="",0,Inventory!D371)</f>
        <v>0</v>
      </c>
      <c r="E374" s="532" t="str">
        <f>IF(Inventory!I371=0,"",Inventory!I371)</f>
        <v/>
      </c>
      <c r="F374" s="533" t="str">
        <f t="shared" si="125"/>
        <v/>
      </c>
      <c r="G374" s="534" t="str">
        <f>IF(Inventory!G371="","",Inventory!G371)</f>
        <v/>
      </c>
      <c r="H374" s="535" t="str">
        <f t="shared" si="126"/>
        <v/>
      </c>
      <c r="I374" s="536" t="str">
        <f>IF(Inventory!J371="","",Inventory!J371)</f>
        <v/>
      </c>
      <c r="J374" s="537" t="str">
        <f>IFERROR(IF(PRJ_Type="New Construction",IF(Inventory!C371="N",INDEX(xyLPD_BuildingArea,MATCH(Building_Type,Lookups!$F$37:$F$75,0),4),INDEX(xyLPD_SpaceBySpace,MATCH(INDEX(xyNCEx,MATCH(I374,yNCExArea,0),2),ySpace_by_Space_Type,0),2)),VLOOKUP(E374,xyWattage_Table,11,FALSE)),"")</f>
        <v/>
      </c>
      <c r="K374" s="538" t="str">
        <f>IFERROR(IF(AND(NC_Type="Building Area Method",Inventory!C371="N"),IF(ISERROR(INDEX('Usage Groups (&gt;120 MWh only)'!$N$8:$N$12,MATCH(C374,'Usage Groups (&gt;120 MWh only)'!$B$8:$B$12,0),1))=TRUE,SqFt/COUNTIFS(Inventory!$C$10:$C$1009,"N",$Q$13:$Q$1012,"&gt;=0"),INDEX('Usage Groups (&gt;120 MWh only)'!$N$8:$N$12,MATCH(C374,'Usage Groups (&gt;120 MWh only)'!$B$8:$B$12,0),1)/COUNTIF($C$13:$C$1012,C374)),IF(AND(NC_Type="Building Area Method",Inventory!C371="Y"),INDEX(xyNCEx,MATCH(I374,yNCExArea,0),3)/COUNTIF($I$13:$I$1012,I374),VLOOKUP(J374,xyWattage_Table,10,FALSE))),"")</f>
        <v/>
      </c>
      <c r="L374" s="539" t="str">
        <f t="shared" si="127"/>
        <v/>
      </c>
      <c r="M374" s="540">
        <f>IF(Inventory!N371="","",Inventory!N371)</f>
        <v>0</v>
      </c>
      <c r="N374" s="533" t="str">
        <f t="shared" si="128"/>
        <v/>
      </c>
      <c r="O374" s="534"/>
      <c r="P374" s="533" t="str">
        <f t="shared" si="129"/>
        <v/>
      </c>
      <c r="Q374" s="534" t="str">
        <f>IF(Inventory!L371="","",Inventory!L371)</f>
        <v/>
      </c>
      <c r="R374" s="535" t="str">
        <f t="shared" si="130"/>
        <v/>
      </c>
      <c r="S374" s="536" t="str">
        <f>IF(Inventory!O371="","",Inventory!O371)</f>
        <v/>
      </c>
      <c r="T374" s="541" t="str">
        <f>IFERROR(IF(C374="","",IF(INDEX(xyWattage_Table,MATCH(M374,'Fixture Identities'!$B$9:$B$997,0),2)="Exit Sign",8760,IF(VLOOKUP(C374,xySpace_Type_Details,8,FALSE)="TRM",INDEX('General Information'!$AF$17:$AG$28,11,MATCH(N374,'General Information'!$AF$16:$AG$16,0)),HLOOKUP(VLOOKUP(C374,xySpace_Type_Details,8,FALSE),'General Information'!$P$15:$AG$28,13,FALSE)))),"")</f>
        <v/>
      </c>
      <c r="U374" s="542" t="str">
        <f>IFERROR(IF(C374="","",IF(INDEX(xyWattage_Table,MATCH(M374,'Fixture Identities'!$B$9:$B$997,0),2)="Exit Sign",1,IF(VLOOKUP(C374,xySpace_Type_Details,8,FALSE)="TRM",INDEX('General Information'!$AF$17:$AG$28,12,MATCH(N374,'General Information'!$AF$16:$AG$16,0)),HLOOKUP(VLOOKUP(C374,xySpace_Type_Details,8,FALSE),'General Information'!$P$15:$AG$28,14,FALSE)))),"")</f>
        <v/>
      </c>
      <c r="V374" s="542" t="str">
        <f>IFERROR(VLOOKUP(INDEX(xySpace_Type_Details,MATCH($C374,'General Information'!$C$40:$C$60,0),12),Lookups!$L$8:$N$12,2,FALSE),"")</f>
        <v/>
      </c>
      <c r="W374" s="542" t="str">
        <f>IFERROR(VLOOKUP(INDEX(xySpace_Type_Details,MATCH($C374,'General Information'!$C$40:$C$60,0),12),Lookups!$L$8:$N$12,3,FALSE),"")</f>
        <v/>
      </c>
      <c r="Y374" s="542" t="str">
        <f>IFERROR(IF(C374="","",IF(INDEX(xyWattage_Table,MATCH(M374,'Fixture Identities'!$B$9:$B$997,0),2)="Exit Sign",0,IF(PRJ_Type="Retrofit",VLOOKUP(I374,xySVG_Factors,2,FALSE),IF(AND(PRJ_Type="New Construction",Inventory!C371="N"),VLOOKUP(VLOOKUP(Building_Type,xyLPD_BuildingArea,5,FALSE),xySVG_Factors_NC,3,FALSE),0)))),"")</f>
        <v/>
      </c>
      <c r="Z374" s="544" t="str">
        <f>IFERROR(IF(C374="","",IF(INDEX(xyWattage_Table,MATCH(M374,'Fixture Identities'!$B$9:$B$997,0),2)="Exit Sign",0,VLOOKUP(S374,xySVG_Factors,2,FALSE))),"")</f>
        <v/>
      </c>
      <c r="AA374" s="545" t="str">
        <f t="shared" si="131"/>
        <v/>
      </c>
      <c r="AB374" s="542" t="str">
        <f t="shared" si="132"/>
        <v/>
      </c>
      <c r="AC374" s="539" t="str">
        <f t="shared" si="133"/>
        <v/>
      </c>
      <c r="AD374" s="546" t="str">
        <f t="shared" si="134"/>
        <v/>
      </c>
      <c r="AE374" s="539" t="str">
        <f t="shared" si="135"/>
        <v/>
      </c>
      <c r="AF374" s="546" t="str">
        <f t="shared" si="136"/>
        <v/>
      </c>
      <c r="AG374" s="539" t="str">
        <f t="shared" si="137"/>
        <v/>
      </c>
      <c r="AH374" s="32">
        <f t="shared" si="139"/>
        <v>0</v>
      </c>
      <c r="AI374" s="32">
        <f t="shared" si="140"/>
        <v>0</v>
      </c>
      <c r="AJ374" s="32">
        <f t="shared" si="141"/>
        <v>0</v>
      </c>
      <c r="AK374" t="str">
        <f t="shared" si="142"/>
        <v/>
      </c>
      <c r="AL374" t="str">
        <f t="shared" si="143"/>
        <v/>
      </c>
      <c r="AM374" t="str">
        <f t="shared" si="144"/>
        <v/>
      </c>
      <c r="AO374" t="str">
        <f>IFERROR(VLOOKUP(M374,'Fixture Identities'!$B$9:$O$1045,14,FALSE),"")</f>
        <v/>
      </c>
      <c r="AP374" t="str">
        <f t="shared" si="138"/>
        <v/>
      </c>
    </row>
    <row r="375" spans="1:42">
      <c r="A375" s="71">
        <f t="shared" si="146"/>
        <v>0</v>
      </c>
      <c r="B375" s="513">
        <f t="shared" si="145"/>
        <v>363</v>
      </c>
      <c r="C375" s="530" t="str">
        <f>IF(Inventory!E372="","",Inventory!E372)</f>
        <v/>
      </c>
      <c r="D375" s="531">
        <f>IF(Inventory!D372="",0,Inventory!D372)</f>
        <v>0</v>
      </c>
      <c r="E375" s="532" t="str">
        <f>IF(Inventory!I372=0,"",Inventory!I372)</f>
        <v/>
      </c>
      <c r="F375" s="533" t="str">
        <f t="shared" si="125"/>
        <v/>
      </c>
      <c r="G375" s="534" t="str">
        <f>IF(Inventory!G372="","",Inventory!G372)</f>
        <v/>
      </c>
      <c r="H375" s="535" t="str">
        <f t="shared" si="126"/>
        <v/>
      </c>
      <c r="I375" s="536" t="str">
        <f>IF(Inventory!J372="","",Inventory!J372)</f>
        <v/>
      </c>
      <c r="J375" s="537" t="str">
        <f>IFERROR(IF(PRJ_Type="New Construction",IF(Inventory!C372="N",INDEX(xyLPD_BuildingArea,MATCH(Building_Type,Lookups!$F$37:$F$75,0),4),INDEX(xyLPD_SpaceBySpace,MATCH(INDEX(xyNCEx,MATCH(I375,yNCExArea,0),2),ySpace_by_Space_Type,0),2)),VLOOKUP(E375,xyWattage_Table,11,FALSE)),"")</f>
        <v/>
      </c>
      <c r="K375" s="538" t="str">
        <f>IFERROR(IF(AND(NC_Type="Building Area Method",Inventory!C372="N"),IF(ISERROR(INDEX('Usage Groups (&gt;120 MWh only)'!$N$8:$N$12,MATCH(C375,'Usage Groups (&gt;120 MWh only)'!$B$8:$B$12,0),1))=TRUE,SqFt/COUNTIFS(Inventory!$C$10:$C$1009,"N",$Q$13:$Q$1012,"&gt;=0"),INDEX('Usage Groups (&gt;120 MWh only)'!$N$8:$N$12,MATCH(C375,'Usage Groups (&gt;120 MWh only)'!$B$8:$B$12,0),1)/COUNTIF($C$13:$C$1012,C375)),IF(AND(NC_Type="Building Area Method",Inventory!C372="Y"),INDEX(xyNCEx,MATCH(I375,yNCExArea,0),3)/COUNTIF($I$13:$I$1012,I375),VLOOKUP(J375,xyWattage_Table,10,FALSE))),"")</f>
        <v/>
      </c>
      <c r="L375" s="539" t="str">
        <f t="shared" si="127"/>
        <v/>
      </c>
      <c r="M375" s="540">
        <f>IF(Inventory!N372="","",Inventory!N372)</f>
        <v>0</v>
      </c>
      <c r="N375" s="533" t="str">
        <f t="shared" si="128"/>
        <v/>
      </c>
      <c r="O375" s="534"/>
      <c r="P375" s="533" t="str">
        <f t="shared" si="129"/>
        <v/>
      </c>
      <c r="Q375" s="534" t="str">
        <f>IF(Inventory!L372="","",Inventory!L372)</f>
        <v/>
      </c>
      <c r="R375" s="535" t="str">
        <f t="shared" si="130"/>
        <v/>
      </c>
      <c r="S375" s="536" t="str">
        <f>IF(Inventory!O372="","",Inventory!O372)</f>
        <v/>
      </c>
      <c r="T375" s="541" t="str">
        <f>IFERROR(IF(C375="","",IF(INDEX(xyWattage_Table,MATCH(M375,'Fixture Identities'!$B$9:$B$997,0),2)="Exit Sign",8760,IF(VLOOKUP(C375,xySpace_Type_Details,8,FALSE)="TRM",INDEX('General Information'!$AF$17:$AG$28,11,MATCH(N375,'General Information'!$AF$16:$AG$16,0)),HLOOKUP(VLOOKUP(C375,xySpace_Type_Details,8,FALSE),'General Information'!$P$15:$AG$28,13,FALSE)))),"")</f>
        <v/>
      </c>
      <c r="U375" s="542" t="str">
        <f>IFERROR(IF(C375="","",IF(INDEX(xyWattage_Table,MATCH(M375,'Fixture Identities'!$B$9:$B$997,0),2)="Exit Sign",1,IF(VLOOKUP(C375,xySpace_Type_Details,8,FALSE)="TRM",INDEX('General Information'!$AF$17:$AG$28,12,MATCH(N375,'General Information'!$AF$16:$AG$16,0)),HLOOKUP(VLOOKUP(C375,xySpace_Type_Details,8,FALSE),'General Information'!$P$15:$AG$28,14,FALSE)))),"")</f>
        <v/>
      </c>
      <c r="V375" s="542" t="str">
        <f>IFERROR(VLOOKUP(INDEX(xySpace_Type_Details,MATCH($C375,'General Information'!$C$40:$C$60,0),12),Lookups!$L$8:$N$12,2,FALSE),"")</f>
        <v/>
      </c>
      <c r="W375" s="542" t="str">
        <f>IFERROR(VLOOKUP(INDEX(xySpace_Type_Details,MATCH($C375,'General Information'!$C$40:$C$60,0),12),Lookups!$L$8:$N$12,3,FALSE),"")</f>
        <v/>
      </c>
      <c r="Y375" s="542" t="str">
        <f>IFERROR(IF(C375="","",IF(INDEX(xyWattage_Table,MATCH(M375,'Fixture Identities'!$B$9:$B$997,0),2)="Exit Sign",0,IF(PRJ_Type="Retrofit",VLOOKUP(I375,xySVG_Factors,2,FALSE),IF(AND(PRJ_Type="New Construction",Inventory!C372="N"),VLOOKUP(VLOOKUP(Building_Type,xyLPD_BuildingArea,5,FALSE),xySVG_Factors_NC,3,FALSE),0)))),"")</f>
        <v/>
      </c>
      <c r="Z375" s="544" t="str">
        <f>IFERROR(IF(C375="","",IF(INDEX(xyWattage_Table,MATCH(M375,'Fixture Identities'!$B$9:$B$997,0),2)="Exit Sign",0,VLOOKUP(S375,xySVG_Factors,2,FALSE))),"")</f>
        <v/>
      </c>
      <c r="AA375" s="545" t="str">
        <f t="shared" si="131"/>
        <v/>
      </c>
      <c r="AB375" s="542" t="str">
        <f t="shared" si="132"/>
        <v/>
      </c>
      <c r="AC375" s="539" t="str">
        <f t="shared" si="133"/>
        <v/>
      </c>
      <c r="AD375" s="546" t="str">
        <f t="shared" si="134"/>
        <v/>
      </c>
      <c r="AE375" s="539" t="str">
        <f t="shared" si="135"/>
        <v/>
      </c>
      <c r="AF375" s="546" t="str">
        <f t="shared" si="136"/>
        <v/>
      </c>
      <c r="AG375" s="539" t="str">
        <f t="shared" si="137"/>
        <v/>
      </c>
      <c r="AH375" s="32">
        <f t="shared" si="139"/>
        <v>0</v>
      </c>
      <c r="AI375" s="32">
        <f t="shared" si="140"/>
        <v>0</v>
      </c>
      <c r="AJ375" s="32">
        <f t="shared" si="141"/>
        <v>0</v>
      </c>
      <c r="AK375" t="str">
        <f t="shared" si="142"/>
        <v/>
      </c>
      <c r="AL375" t="str">
        <f t="shared" si="143"/>
        <v/>
      </c>
      <c r="AM375" t="str">
        <f t="shared" si="144"/>
        <v/>
      </c>
      <c r="AO375" t="str">
        <f>IFERROR(VLOOKUP(M375,'Fixture Identities'!$B$9:$O$1045,14,FALSE),"")</f>
        <v/>
      </c>
      <c r="AP375" t="str">
        <f t="shared" si="138"/>
        <v/>
      </c>
    </row>
    <row r="376" spans="1:42">
      <c r="A376" s="71">
        <f t="shared" si="146"/>
        <v>0</v>
      </c>
      <c r="B376" s="513">
        <f t="shared" si="145"/>
        <v>364</v>
      </c>
      <c r="C376" s="530" t="str">
        <f>IF(Inventory!E373="","",Inventory!E373)</f>
        <v/>
      </c>
      <c r="D376" s="531">
        <f>IF(Inventory!D373="",0,Inventory!D373)</f>
        <v>0</v>
      </c>
      <c r="E376" s="532" t="str">
        <f>IF(Inventory!I373=0,"",Inventory!I373)</f>
        <v/>
      </c>
      <c r="F376" s="533" t="str">
        <f t="shared" si="125"/>
        <v/>
      </c>
      <c r="G376" s="534" t="str">
        <f>IF(Inventory!G373="","",Inventory!G373)</f>
        <v/>
      </c>
      <c r="H376" s="535" t="str">
        <f t="shared" si="126"/>
        <v/>
      </c>
      <c r="I376" s="536" t="str">
        <f>IF(Inventory!J373="","",Inventory!J373)</f>
        <v/>
      </c>
      <c r="J376" s="537" t="str">
        <f>IFERROR(IF(PRJ_Type="New Construction",IF(Inventory!C373="N",INDEX(xyLPD_BuildingArea,MATCH(Building_Type,Lookups!$F$37:$F$75,0),4),INDEX(xyLPD_SpaceBySpace,MATCH(INDEX(xyNCEx,MATCH(I376,yNCExArea,0),2),ySpace_by_Space_Type,0),2)),VLOOKUP(E376,xyWattage_Table,11,FALSE)),"")</f>
        <v/>
      </c>
      <c r="K376" s="538" t="str">
        <f>IFERROR(IF(AND(NC_Type="Building Area Method",Inventory!C373="N"),IF(ISERROR(INDEX('Usage Groups (&gt;120 MWh only)'!$N$8:$N$12,MATCH(C376,'Usage Groups (&gt;120 MWh only)'!$B$8:$B$12,0),1))=TRUE,SqFt/COUNTIFS(Inventory!$C$10:$C$1009,"N",$Q$13:$Q$1012,"&gt;=0"),INDEX('Usage Groups (&gt;120 MWh only)'!$N$8:$N$12,MATCH(C376,'Usage Groups (&gt;120 MWh only)'!$B$8:$B$12,0),1)/COUNTIF($C$13:$C$1012,C376)),IF(AND(NC_Type="Building Area Method",Inventory!C373="Y"),INDEX(xyNCEx,MATCH(I376,yNCExArea,0),3)/COUNTIF($I$13:$I$1012,I376),VLOOKUP(J376,xyWattage_Table,10,FALSE))),"")</f>
        <v/>
      </c>
      <c r="L376" s="539" t="str">
        <f t="shared" si="127"/>
        <v/>
      </c>
      <c r="M376" s="540">
        <f>IF(Inventory!N373="","",Inventory!N373)</f>
        <v>0</v>
      </c>
      <c r="N376" s="533" t="str">
        <f t="shared" si="128"/>
        <v/>
      </c>
      <c r="O376" s="534"/>
      <c r="P376" s="533" t="str">
        <f t="shared" si="129"/>
        <v/>
      </c>
      <c r="Q376" s="534" t="str">
        <f>IF(Inventory!L373="","",Inventory!L373)</f>
        <v/>
      </c>
      <c r="R376" s="535" t="str">
        <f t="shared" si="130"/>
        <v/>
      </c>
      <c r="S376" s="536" t="str">
        <f>IF(Inventory!O373="","",Inventory!O373)</f>
        <v/>
      </c>
      <c r="T376" s="541" t="str">
        <f>IFERROR(IF(C376="","",IF(INDEX(xyWattage_Table,MATCH(M376,'Fixture Identities'!$B$9:$B$997,0),2)="Exit Sign",8760,IF(VLOOKUP(C376,xySpace_Type_Details,8,FALSE)="TRM",INDEX('General Information'!$AF$17:$AG$28,11,MATCH(N376,'General Information'!$AF$16:$AG$16,0)),HLOOKUP(VLOOKUP(C376,xySpace_Type_Details,8,FALSE),'General Information'!$P$15:$AG$28,13,FALSE)))),"")</f>
        <v/>
      </c>
      <c r="U376" s="542" t="str">
        <f>IFERROR(IF(C376="","",IF(INDEX(xyWattage_Table,MATCH(M376,'Fixture Identities'!$B$9:$B$997,0),2)="Exit Sign",1,IF(VLOOKUP(C376,xySpace_Type_Details,8,FALSE)="TRM",INDEX('General Information'!$AF$17:$AG$28,12,MATCH(N376,'General Information'!$AF$16:$AG$16,0)),HLOOKUP(VLOOKUP(C376,xySpace_Type_Details,8,FALSE),'General Information'!$P$15:$AG$28,14,FALSE)))),"")</f>
        <v/>
      </c>
      <c r="V376" s="542" t="str">
        <f>IFERROR(VLOOKUP(INDEX(xySpace_Type_Details,MATCH($C376,'General Information'!$C$40:$C$60,0),12),Lookups!$L$8:$N$12,2,FALSE),"")</f>
        <v/>
      </c>
      <c r="W376" s="542" t="str">
        <f>IFERROR(VLOOKUP(INDEX(xySpace_Type_Details,MATCH($C376,'General Information'!$C$40:$C$60,0),12),Lookups!$L$8:$N$12,3,FALSE),"")</f>
        <v/>
      </c>
      <c r="Y376" s="542" t="str">
        <f>IFERROR(IF(C376="","",IF(INDEX(xyWattage_Table,MATCH(M376,'Fixture Identities'!$B$9:$B$997,0),2)="Exit Sign",0,IF(PRJ_Type="Retrofit",VLOOKUP(I376,xySVG_Factors,2,FALSE),IF(AND(PRJ_Type="New Construction",Inventory!C373="N"),VLOOKUP(VLOOKUP(Building_Type,xyLPD_BuildingArea,5,FALSE),xySVG_Factors_NC,3,FALSE),0)))),"")</f>
        <v/>
      </c>
      <c r="Z376" s="544" t="str">
        <f>IFERROR(IF(C376="","",IF(INDEX(xyWattage_Table,MATCH(M376,'Fixture Identities'!$B$9:$B$997,0),2)="Exit Sign",0,VLOOKUP(S376,xySVG_Factors,2,FALSE))),"")</f>
        <v/>
      </c>
      <c r="AA376" s="545" t="str">
        <f t="shared" si="131"/>
        <v/>
      </c>
      <c r="AB376" s="542" t="str">
        <f t="shared" si="132"/>
        <v/>
      </c>
      <c r="AC376" s="539" t="str">
        <f t="shared" si="133"/>
        <v/>
      </c>
      <c r="AD376" s="546" t="str">
        <f t="shared" si="134"/>
        <v/>
      </c>
      <c r="AE376" s="539" t="str">
        <f t="shared" si="135"/>
        <v/>
      </c>
      <c r="AF376" s="546" t="str">
        <f t="shared" si="136"/>
        <v/>
      </c>
      <c r="AG376" s="539" t="str">
        <f t="shared" si="137"/>
        <v/>
      </c>
      <c r="AH376" s="32">
        <f t="shared" si="139"/>
        <v>0</v>
      </c>
      <c r="AI376" s="32">
        <f t="shared" si="140"/>
        <v>0</v>
      </c>
      <c r="AJ376" s="32">
        <f t="shared" si="141"/>
        <v>0</v>
      </c>
      <c r="AK376" t="str">
        <f t="shared" si="142"/>
        <v/>
      </c>
      <c r="AL376" t="str">
        <f t="shared" si="143"/>
        <v/>
      </c>
      <c r="AM376" t="str">
        <f t="shared" si="144"/>
        <v/>
      </c>
      <c r="AO376" t="str">
        <f>IFERROR(VLOOKUP(M376,'Fixture Identities'!$B$9:$O$1045,14,FALSE),"")</f>
        <v/>
      </c>
      <c r="AP376" t="str">
        <f t="shared" si="138"/>
        <v/>
      </c>
    </row>
    <row r="377" spans="1:42">
      <c r="A377" s="71">
        <f t="shared" si="146"/>
        <v>0</v>
      </c>
      <c r="B377" s="513">
        <f t="shared" si="145"/>
        <v>365</v>
      </c>
      <c r="C377" s="530" t="str">
        <f>IF(Inventory!E374="","",Inventory!E374)</f>
        <v/>
      </c>
      <c r="D377" s="531">
        <f>IF(Inventory!D374="",0,Inventory!D374)</f>
        <v>0</v>
      </c>
      <c r="E377" s="532" t="str">
        <f>IF(Inventory!I374=0,"",Inventory!I374)</f>
        <v/>
      </c>
      <c r="F377" s="533" t="str">
        <f t="shared" si="125"/>
        <v/>
      </c>
      <c r="G377" s="534" t="str">
        <f>IF(Inventory!G374="","",Inventory!G374)</f>
        <v/>
      </c>
      <c r="H377" s="535" t="str">
        <f t="shared" si="126"/>
        <v/>
      </c>
      <c r="I377" s="536" t="str">
        <f>IF(Inventory!J374="","",Inventory!J374)</f>
        <v/>
      </c>
      <c r="J377" s="537" t="str">
        <f>IFERROR(IF(PRJ_Type="New Construction",IF(Inventory!C374="N",INDEX(xyLPD_BuildingArea,MATCH(Building_Type,Lookups!$F$37:$F$75,0),4),INDEX(xyLPD_SpaceBySpace,MATCH(INDEX(xyNCEx,MATCH(I377,yNCExArea,0),2),ySpace_by_Space_Type,0),2)),VLOOKUP(E377,xyWattage_Table,11,FALSE)),"")</f>
        <v/>
      </c>
      <c r="K377" s="538" t="str">
        <f>IFERROR(IF(AND(NC_Type="Building Area Method",Inventory!C374="N"),IF(ISERROR(INDEX('Usage Groups (&gt;120 MWh only)'!$N$8:$N$12,MATCH(C377,'Usage Groups (&gt;120 MWh only)'!$B$8:$B$12,0),1))=TRUE,SqFt/COUNTIFS(Inventory!$C$10:$C$1009,"N",$Q$13:$Q$1012,"&gt;=0"),INDEX('Usage Groups (&gt;120 MWh only)'!$N$8:$N$12,MATCH(C377,'Usage Groups (&gt;120 MWh only)'!$B$8:$B$12,0),1)/COUNTIF($C$13:$C$1012,C377)),IF(AND(NC_Type="Building Area Method",Inventory!C374="Y"),INDEX(xyNCEx,MATCH(I377,yNCExArea,0),3)/COUNTIF($I$13:$I$1012,I377),VLOOKUP(J377,xyWattage_Table,10,FALSE))),"")</f>
        <v/>
      </c>
      <c r="L377" s="539" t="str">
        <f t="shared" si="127"/>
        <v/>
      </c>
      <c r="M377" s="540">
        <f>IF(Inventory!N374="","",Inventory!N374)</f>
        <v>0</v>
      </c>
      <c r="N377" s="533" t="str">
        <f t="shared" si="128"/>
        <v/>
      </c>
      <c r="O377" s="534"/>
      <c r="P377" s="533" t="str">
        <f t="shared" si="129"/>
        <v/>
      </c>
      <c r="Q377" s="534" t="str">
        <f>IF(Inventory!L374="","",Inventory!L374)</f>
        <v/>
      </c>
      <c r="R377" s="535" t="str">
        <f t="shared" si="130"/>
        <v/>
      </c>
      <c r="S377" s="536" t="str">
        <f>IF(Inventory!O374="","",Inventory!O374)</f>
        <v/>
      </c>
      <c r="T377" s="541" t="str">
        <f>IFERROR(IF(C377="","",IF(INDEX(xyWattage_Table,MATCH(M377,'Fixture Identities'!$B$9:$B$997,0),2)="Exit Sign",8760,IF(VLOOKUP(C377,xySpace_Type_Details,8,FALSE)="TRM",INDEX('General Information'!$AF$17:$AG$28,11,MATCH(N377,'General Information'!$AF$16:$AG$16,0)),HLOOKUP(VLOOKUP(C377,xySpace_Type_Details,8,FALSE),'General Information'!$P$15:$AG$28,13,FALSE)))),"")</f>
        <v/>
      </c>
      <c r="U377" s="542" t="str">
        <f>IFERROR(IF(C377="","",IF(INDEX(xyWattage_Table,MATCH(M377,'Fixture Identities'!$B$9:$B$997,0),2)="Exit Sign",1,IF(VLOOKUP(C377,xySpace_Type_Details,8,FALSE)="TRM",INDEX('General Information'!$AF$17:$AG$28,12,MATCH(N377,'General Information'!$AF$16:$AG$16,0)),HLOOKUP(VLOOKUP(C377,xySpace_Type_Details,8,FALSE),'General Information'!$P$15:$AG$28,14,FALSE)))),"")</f>
        <v/>
      </c>
      <c r="V377" s="542" t="str">
        <f>IFERROR(VLOOKUP(INDEX(xySpace_Type_Details,MATCH($C377,'General Information'!$C$40:$C$60,0),12),Lookups!$L$8:$N$12,2,FALSE),"")</f>
        <v/>
      </c>
      <c r="W377" s="542" t="str">
        <f>IFERROR(VLOOKUP(INDEX(xySpace_Type_Details,MATCH($C377,'General Information'!$C$40:$C$60,0),12),Lookups!$L$8:$N$12,3,FALSE),"")</f>
        <v/>
      </c>
      <c r="Y377" s="542" t="str">
        <f>IFERROR(IF(C377="","",IF(INDEX(xyWattage_Table,MATCH(M377,'Fixture Identities'!$B$9:$B$997,0),2)="Exit Sign",0,IF(PRJ_Type="Retrofit",VLOOKUP(I377,xySVG_Factors,2,FALSE),IF(AND(PRJ_Type="New Construction",Inventory!C374="N"),VLOOKUP(VLOOKUP(Building_Type,xyLPD_BuildingArea,5,FALSE),xySVG_Factors_NC,3,FALSE),0)))),"")</f>
        <v/>
      </c>
      <c r="Z377" s="544" t="str">
        <f>IFERROR(IF(C377="","",IF(INDEX(xyWattage_Table,MATCH(M377,'Fixture Identities'!$B$9:$B$997,0),2)="Exit Sign",0,VLOOKUP(S377,xySVG_Factors,2,FALSE))),"")</f>
        <v/>
      </c>
      <c r="AA377" s="545" t="str">
        <f t="shared" si="131"/>
        <v/>
      </c>
      <c r="AB377" s="542" t="str">
        <f t="shared" si="132"/>
        <v/>
      </c>
      <c r="AC377" s="539" t="str">
        <f t="shared" si="133"/>
        <v/>
      </c>
      <c r="AD377" s="546" t="str">
        <f t="shared" si="134"/>
        <v/>
      </c>
      <c r="AE377" s="539" t="str">
        <f t="shared" si="135"/>
        <v/>
      </c>
      <c r="AF377" s="546" t="str">
        <f t="shared" si="136"/>
        <v/>
      </c>
      <c r="AG377" s="539" t="str">
        <f t="shared" si="137"/>
        <v/>
      </c>
      <c r="AH377" s="32">
        <f t="shared" si="139"/>
        <v>0</v>
      </c>
      <c r="AI377" s="32">
        <f t="shared" si="140"/>
        <v>0</v>
      </c>
      <c r="AJ377" s="32">
        <f t="shared" si="141"/>
        <v>0</v>
      </c>
      <c r="AK377" t="str">
        <f t="shared" si="142"/>
        <v/>
      </c>
      <c r="AL377" t="str">
        <f t="shared" si="143"/>
        <v/>
      </c>
      <c r="AM377" t="str">
        <f t="shared" si="144"/>
        <v/>
      </c>
      <c r="AO377" t="str">
        <f>IFERROR(VLOOKUP(M377,'Fixture Identities'!$B$9:$O$1045,14,FALSE),"")</f>
        <v/>
      </c>
      <c r="AP377" t="str">
        <f t="shared" si="138"/>
        <v/>
      </c>
    </row>
    <row r="378" spans="1:42">
      <c r="A378" s="71">
        <f t="shared" si="146"/>
        <v>0</v>
      </c>
      <c r="B378" s="513">
        <f t="shared" si="145"/>
        <v>366</v>
      </c>
      <c r="C378" s="530" t="str">
        <f>IF(Inventory!E375="","",Inventory!E375)</f>
        <v/>
      </c>
      <c r="D378" s="531">
        <f>IF(Inventory!D375="",0,Inventory!D375)</f>
        <v>0</v>
      </c>
      <c r="E378" s="532" t="str">
        <f>IF(Inventory!I375=0,"",Inventory!I375)</f>
        <v/>
      </c>
      <c r="F378" s="533" t="str">
        <f t="shared" si="125"/>
        <v/>
      </c>
      <c r="G378" s="534" t="str">
        <f>IF(Inventory!G375="","",Inventory!G375)</f>
        <v/>
      </c>
      <c r="H378" s="535" t="str">
        <f t="shared" si="126"/>
        <v/>
      </c>
      <c r="I378" s="536" t="str">
        <f>IF(Inventory!J375="","",Inventory!J375)</f>
        <v/>
      </c>
      <c r="J378" s="537" t="str">
        <f>IFERROR(IF(PRJ_Type="New Construction",IF(Inventory!C375="N",INDEX(xyLPD_BuildingArea,MATCH(Building_Type,Lookups!$F$37:$F$75,0),4),INDEX(xyLPD_SpaceBySpace,MATCH(INDEX(xyNCEx,MATCH(I378,yNCExArea,0),2),ySpace_by_Space_Type,0),2)),VLOOKUP(E378,xyWattage_Table,11,FALSE)),"")</f>
        <v/>
      </c>
      <c r="K378" s="538" t="str">
        <f>IFERROR(IF(AND(NC_Type="Building Area Method",Inventory!C375="N"),IF(ISERROR(INDEX('Usage Groups (&gt;120 MWh only)'!$N$8:$N$12,MATCH(C378,'Usage Groups (&gt;120 MWh only)'!$B$8:$B$12,0),1))=TRUE,SqFt/COUNTIFS(Inventory!$C$10:$C$1009,"N",$Q$13:$Q$1012,"&gt;=0"),INDEX('Usage Groups (&gt;120 MWh only)'!$N$8:$N$12,MATCH(C378,'Usage Groups (&gt;120 MWh only)'!$B$8:$B$12,0),1)/COUNTIF($C$13:$C$1012,C378)),IF(AND(NC_Type="Building Area Method",Inventory!C375="Y"),INDEX(xyNCEx,MATCH(I378,yNCExArea,0),3)/COUNTIF($I$13:$I$1012,I378),VLOOKUP(J378,xyWattage_Table,10,FALSE))),"")</f>
        <v/>
      </c>
      <c r="L378" s="539" t="str">
        <f t="shared" si="127"/>
        <v/>
      </c>
      <c r="M378" s="540">
        <f>IF(Inventory!N375="","",Inventory!N375)</f>
        <v>0</v>
      </c>
      <c r="N378" s="533" t="str">
        <f t="shared" si="128"/>
        <v/>
      </c>
      <c r="O378" s="534"/>
      <c r="P378" s="533" t="str">
        <f t="shared" si="129"/>
        <v/>
      </c>
      <c r="Q378" s="534" t="str">
        <f>IF(Inventory!L375="","",Inventory!L375)</f>
        <v/>
      </c>
      <c r="R378" s="535" t="str">
        <f t="shared" si="130"/>
        <v/>
      </c>
      <c r="S378" s="536" t="str">
        <f>IF(Inventory!O375="","",Inventory!O375)</f>
        <v/>
      </c>
      <c r="T378" s="541" t="str">
        <f>IFERROR(IF(C378="","",IF(INDEX(xyWattage_Table,MATCH(M378,'Fixture Identities'!$B$9:$B$997,0),2)="Exit Sign",8760,IF(VLOOKUP(C378,xySpace_Type_Details,8,FALSE)="TRM",INDEX('General Information'!$AF$17:$AG$28,11,MATCH(N378,'General Information'!$AF$16:$AG$16,0)),HLOOKUP(VLOOKUP(C378,xySpace_Type_Details,8,FALSE),'General Information'!$P$15:$AG$28,13,FALSE)))),"")</f>
        <v/>
      </c>
      <c r="U378" s="542" t="str">
        <f>IFERROR(IF(C378="","",IF(INDEX(xyWattage_Table,MATCH(M378,'Fixture Identities'!$B$9:$B$997,0),2)="Exit Sign",1,IF(VLOOKUP(C378,xySpace_Type_Details,8,FALSE)="TRM",INDEX('General Information'!$AF$17:$AG$28,12,MATCH(N378,'General Information'!$AF$16:$AG$16,0)),HLOOKUP(VLOOKUP(C378,xySpace_Type_Details,8,FALSE),'General Information'!$P$15:$AG$28,14,FALSE)))),"")</f>
        <v/>
      </c>
      <c r="V378" s="542" t="str">
        <f>IFERROR(VLOOKUP(INDEX(xySpace_Type_Details,MATCH($C378,'General Information'!$C$40:$C$60,0),12),Lookups!$L$8:$N$12,2,FALSE),"")</f>
        <v/>
      </c>
      <c r="W378" s="542" t="str">
        <f>IFERROR(VLOOKUP(INDEX(xySpace_Type_Details,MATCH($C378,'General Information'!$C$40:$C$60,0),12),Lookups!$L$8:$N$12,3,FALSE),"")</f>
        <v/>
      </c>
      <c r="Y378" s="542" t="str">
        <f>IFERROR(IF(C378="","",IF(INDEX(xyWattage_Table,MATCH(M378,'Fixture Identities'!$B$9:$B$997,0),2)="Exit Sign",0,IF(PRJ_Type="Retrofit",VLOOKUP(I378,xySVG_Factors,2,FALSE),IF(AND(PRJ_Type="New Construction",Inventory!C375="N"),VLOOKUP(VLOOKUP(Building_Type,xyLPD_BuildingArea,5,FALSE),xySVG_Factors_NC,3,FALSE),0)))),"")</f>
        <v/>
      </c>
      <c r="Z378" s="544" t="str">
        <f>IFERROR(IF(C378="","",IF(INDEX(xyWattage_Table,MATCH(M378,'Fixture Identities'!$B$9:$B$997,0),2)="Exit Sign",0,VLOOKUP(S378,xySVG_Factors,2,FALSE))),"")</f>
        <v/>
      </c>
      <c r="AA378" s="545" t="str">
        <f t="shared" si="131"/>
        <v/>
      </c>
      <c r="AB378" s="542" t="str">
        <f t="shared" si="132"/>
        <v/>
      </c>
      <c r="AC378" s="539" t="str">
        <f t="shared" si="133"/>
        <v/>
      </c>
      <c r="AD378" s="546" t="str">
        <f t="shared" si="134"/>
        <v/>
      </c>
      <c r="AE378" s="539" t="str">
        <f t="shared" si="135"/>
        <v/>
      </c>
      <c r="AF378" s="546" t="str">
        <f t="shared" si="136"/>
        <v/>
      </c>
      <c r="AG378" s="539" t="str">
        <f t="shared" si="137"/>
        <v/>
      </c>
      <c r="AH378" s="32">
        <f t="shared" si="139"/>
        <v>0</v>
      </c>
      <c r="AI378" s="32">
        <f t="shared" si="140"/>
        <v>0</v>
      </c>
      <c r="AJ378" s="32">
        <f t="shared" si="141"/>
        <v>0</v>
      </c>
      <c r="AK378" t="str">
        <f t="shared" si="142"/>
        <v/>
      </c>
      <c r="AL378" t="str">
        <f t="shared" si="143"/>
        <v/>
      </c>
      <c r="AM378" t="str">
        <f t="shared" si="144"/>
        <v/>
      </c>
      <c r="AO378" t="str">
        <f>IFERROR(VLOOKUP(M378,'Fixture Identities'!$B$9:$O$1045,14,FALSE),"")</f>
        <v/>
      </c>
      <c r="AP378" t="str">
        <f t="shared" si="138"/>
        <v/>
      </c>
    </row>
    <row r="379" spans="1:42">
      <c r="A379" s="71">
        <f t="shared" si="146"/>
        <v>0</v>
      </c>
      <c r="B379" s="513">
        <f t="shared" si="145"/>
        <v>367</v>
      </c>
      <c r="C379" s="530" t="str">
        <f>IF(Inventory!E376="","",Inventory!E376)</f>
        <v/>
      </c>
      <c r="D379" s="531">
        <f>IF(Inventory!D376="",0,Inventory!D376)</f>
        <v>0</v>
      </c>
      <c r="E379" s="532" t="str">
        <f>IF(Inventory!I376=0,"",Inventory!I376)</f>
        <v/>
      </c>
      <c r="F379" s="533" t="str">
        <f t="shared" si="125"/>
        <v/>
      </c>
      <c r="G379" s="534" t="str">
        <f>IF(Inventory!G376="","",Inventory!G376)</f>
        <v/>
      </c>
      <c r="H379" s="535" t="str">
        <f t="shared" si="126"/>
        <v/>
      </c>
      <c r="I379" s="536" t="str">
        <f>IF(Inventory!J376="","",Inventory!J376)</f>
        <v/>
      </c>
      <c r="J379" s="537" t="str">
        <f>IFERROR(IF(PRJ_Type="New Construction",IF(Inventory!C376="N",INDEX(xyLPD_BuildingArea,MATCH(Building_Type,Lookups!$F$37:$F$75,0),4),INDEX(xyLPD_SpaceBySpace,MATCH(INDEX(xyNCEx,MATCH(I379,yNCExArea,0),2),ySpace_by_Space_Type,0),2)),VLOOKUP(E379,xyWattage_Table,11,FALSE)),"")</f>
        <v/>
      </c>
      <c r="K379" s="538" t="str">
        <f>IFERROR(IF(AND(NC_Type="Building Area Method",Inventory!C376="N"),IF(ISERROR(INDEX('Usage Groups (&gt;120 MWh only)'!$N$8:$N$12,MATCH(C379,'Usage Groups (&gt;120 MWh only)'!$B$8:$B$12,0),1))=TRUE,SqFt/COUNTIFS(Inventory!$C$10:$C$1009,"N",$Q$13:$Q$1012,"&gt;=0"),INDEX('Usage Groups (&gt;120 MWh only)'!$N$8:$N$12,MATCH(C379,'Usage Groups (&gt;120 MWh only)'!$B$8:$B$12,0),1)/COUNTIF($C$13:$C$1012,C379)),IF(AND(NC_Type="Building Area Method",Inventory!C376="Y"),INDEX(xyNCEx,MATCH(I379,yNCExArea,0),3)/COUNTIF($I$13:$I$1012,I379),VLOOKUP(J379,xyWattage_Table,10,FALSE))),"")</f>
        <v/>
      </c>
      <c r="L379" s="539" t="str">
        <f t="shared" si="127"/>
        <v/>
      </c>
      <c r="M379" s="540">
        <f>IF(Inventory!N376="","",Inventory!N376)</f>
        <v>0</v>
      </c>
      <c r="N379" s="533" t="str">
        <f t="shared" si="128"/>
        <v/>
      </c>
      <c r="O379" s="534"/>
      <c r="P379" s="533" t="str">
        <f t="shared" si="129"/>
        <v/>
      </c>
      <c r="Q379" s="534" t="str">
        <f>IF(Inventory!L376="","",Inventory!L376)</f>
        <v/>
      </c>
      <c r="R379" s="535" t="str">
        <f t="shared" si="130"/>
        <v/>
      </c>
      <c r="S379" s="536" t="str">
        <f>IF(Inventory!O376="","",Inventory!O376)</f>
        <v/>
      </c>
      <c r="T379" s="541" t="str">
        <f>IFERROR(IF(C379="","",IF(INDEX(xyWattage_Table,MATCH(M379,'Fixture Identities'!$B$9:$B$997,0),2)="Exit Sign",8760,IF(VLOOKUP(C379,xySpace_Type_Details,8,FALSE)="TRM",INDEX('General Information'!$AF$17:$AG$28,11,MATCH(N379,'General Information'!$AF$16:$AG$16,0)),HLOOKUP(VLOOKUP(C379,xySpace_Type_Details,8,FALSE),'General Information'!$P$15:$AG$28,13,FALSE)))),"")</f>
        <v/>
      </c>
      <c r="U379" s="542" t="str">
        <f>IFERROR(IF(C379="","",IF(INDEX(xyWattage_Table,MATCH(M379,'Fixture Identities'!$B$9:$B$997,0),2)="Exit Sign",1,IF(VLOOKUP(C379,xySpace_Type_Details,8,FALSE)="TRM",INDEX('General Information'!$AF$17:$AG$28,12,MATCH(N379,'General Information'!$AF$16:$AG$16,0)),HLOOKUP(VLOOKUP(C379,xySpace_Type_Details,8,FALSE),'General Information'!$P$15:$AG$28,14,FALSE)))),"")</f>
        <v/>
      </c>
      <c r="V379" s="542" t="str">
        <f>IFERROR(VLOOKUP(INDEX(xySpace_Type_Details,MATCH($C379,'General Information'!$C$40:$C$60,0),12),Lookups!$L$8:$N$12,2,FALSE),"")</f>
        <v/>
      </c>
      <c r="W379" s="542" t="str">
        <f>IFERROR(VLOOKUP(INDEX(xySpace_Type_Details,MATCH($C379,'General Information'!$C$40:$C$60,0),12),Lookups!$L$8:$N$12,3,FALSE),"")</f>
        <v/>
      </c>
      <c r="Y379" s="542" t="str">
        <f>IFERROR(IF(C379="","",IF(INDEX(xyWattage_Table,MATCH(M379,'Fixture Identities'!$B$9:$B$997,0),2)="Exit Sign",0,IF(PRJ_Type="Retrofit",VLOOKUP(I379,xySVG_Factors,2,FALSE),IF(AND(PRJ_Type="New Construction",Inventory!C376="N"),VLOOKUP(VLOOKUP(Building_Type,xyLPD_BuildingArea,5,FALSE),xySVG_Factors_NC,3,FALSE),0)))),"")</f>
        <v/>
      </c>
      <c r="Z379" s="544" t="str">
        <f>IFERROR(IF(C379="","",IF(INDEX(xyWattage_Table,MATCH(M379,'Fixture Identities'!$B$9:$B$997,0),2)="Exit Sign",0,VLOOKUP(S379,xySVG_Factors,2,FALSE))),"")</f>
        <v/>
      </c>
      <c r="AA379" s="545" t="str">
        <f t="shared" si="131"/>
        <v/>
      </c>
      <c r="AB379" s="542" t="str">
        <f t="shared" si="132"/>
        <v/>
      </c>
      <c r="AC379" s="539" t="str">
        <f t="shared" si="133"/>
        <v/>
      </c>
      <c r="AD379" s="546" t="str">
        <f t="shared" si="134"/>
        <v/>
      </c>
      <c r="AE379" s="539" t="str">
        <f t="shared" si="135"/>
        <v/>
      </c>
      <c r="AF379" s="546" t="str">
        <f t="shared" si="136"/>
        <v/>
      </c>
      <c r="AG379" s="539" t="str">
        <f t="shared" si="137"/>
        <v/>
      </c>
      <c r="AH379" s="32">
        <f t="shared" si="139"/>
        <v>0</v>
      </c>
      <c r="AI379" s="32">
        <f t="shared" si="140"/>
        <v>0</v>
      </c>
      <c r="AJ379" s="32">
        <f t="shared" si="141"/>
        <v>0</v>
      </c>
      <c r="AK379" t="str">
        <f t="shared" si="142"/>
        <v/>
      </c>
      <c r="AL379" t="str">
        <f t="shared" si="143"/>
        <v/>
      </c>
      <c r="AM379" t="str">
        <f t="shared" si="144"/>
        <v/>
      </c>
      <c r="AO379" t="str">
        <f>IFERROR(VLOOKUP(M379,'Fixture Identities'!$B$9:$O$1045,14,FALSE),"")</f>
        <v/>
      </c>
      <c r="AP379" t="str">
        <f t="shared" si="138"/>
        <v/>
      </c>
    </row>
    <row r="380" spans="1:42">
      <c r="A380" s="71">
        <f t="shared" si="146"/>
        <v>0</v>
      </c>
      <c r="B380" s="513">
        <f t="shared" si="145"/>
        <v>368</v>
      </c>
      <c r="C380" s="530" t="str">
        <f>IF(Inventory!E377="","",Inventory!E377)</f>
        <v/>
      </c>
      <c r="D380" s="531">
        <f>IF(Inventory!D377="",0,Inventory!D377)</f>
        <v>0</v>
      </c>
      <c r="E380" s="532" t="str">
        <f>IF(Inventory!I377=0,"",Inventory!I377)</f>
        <v/>
      </c>
      <c r="F380" s="533" t="str">
        <f t="shared" si="125"/>
        <v/>
      </c>
      <c r="G380" s="534" t="str">
        <f>IF(Inventory!G377="","",Inventory!G377)</f>
        <v/>
      </c>
      <c r="H380" s="535" t="str">
        <f t="shared" si="126"/>
        <v/>
      </c>
      <c r="I380" s="536" t="str">
        <f>IF(Inventory!J377="","",Inventory!J377)</f>
        <v/>
      </c>
      <c r="J380" s="537" t="str">
        <f>IFERROR(IF(PRJ_Type="New Construction",IF(Inventory!C377="N",INDEX(xyLPD_BuildingArea,MATCH(Building_Type,Lookups!$F$37:$F$75,0),4),INDEX(xyLPD_SpaceBySpace,MATCH(INDEX(xyNCEx,MATCH(I380,yNCExArea,0),2),ySpace_by_Space_Type,0),2)),VLOOKUP(E380,xyWattage_Table,11,FALSE)),"")</f>
        <v/>
      </c>
      <c r="K380" s="538" t="str">
        <f>IFERROR(IF(AND(NC_Type="Building Area Method",Inventory!C377="N"),IF(ISERROR(INDEX('Usage Groups (&gt;120 MWh only)'!$N$8:$N$12,MATCH(C380,'Usage Groups (&gt;120 MWh only)'!$B$8:$B$12,0),1))=TRUE,SqFt/COUNTIFS(Inventory!$C$10:$C$1009,"N",$Q$13:$Q$1012,"&gt;=0"),INDEX('Usage Groups (&gt;120 MWh only)'!$N$8:$N$12,MATCH(C380,'Usage Groups (&gt;120 MWh only)'!$B$8:$B$12,0),1)/COUNTIF($C$13:$C$1012,C380)),IF(AND(NC_Type="Building Area Method",Inventory!C377="Y"),INDEX(xyNCEx,MATCH(I380,yNCExArea,0),3)/COUNTIF($I$13:$I$1012,I380),VLOOKUP(J380,xyWattage_Table,10,FALSE))),"")</f>
        <v/>
      </c>
      <c r="L380" s="539" t="str">
        <f t="shared" si="127"/>
        <v/>
      </c>
      <c r="M380" s="540">
        <f>IF(Inventory!N377="","",Inventory!N377)</f>
        <v>0</v>
      </c>
      <c r="N380" s="533" t="str">
        <f t="shared" si="128"/>
        <v/>
      </c>
      <c r="O380" s="534"/>
      <c r="P380" s="533" t="str">
        <f t="shared" si="129"/>
        <v/>
      </c>
      <c r="Q380" s="534" t="str">
        <f>IF(Inventory!L377="","",Inventory!L377)</f>
        <v/>
      </c>
      <c r="R380" s="535" t="str">
        <f t="shared" si="130"/>
        <v/>
      </c>
      <c r="S380" s="536" t="str">
        <f>IF(Inventory!O377="","",Inventory!O377)</f>
        <v/>
      </c>
      <c r="T380" s="541" t="str">
        <f>IFERROR(IF(C380="","",IF(INDEX(xyWattage_Table,MATCH(M380,'Fixture Identities'!$B$9:$B$997,0),2)="Exit Sign",8760,IF(VLOOKUP(C380,xySpace_Type_Details,8,FALSE)="TRM",INDEX('General Information'!$AF$17:$AG$28,11,MATCH(N380,'General Information'!$AF$16:$AG$16,0)),HLOOKUP(VLOOKUP(C380,xySpace_Type_Details,8,FALSE),'General Information'!$P$15:$AG$28,13,FALSE)))),"")</f>
        <v/>
      </c>
      <c r="U380" s="542" t="str">
        <f>IFERROR(IF(C380="","",IF(INDEX(xyWattage_Table,MATCH(M380,'Fixture Identities'!$B$9:$B$997,0),2)="Exit Sign",1,IF(VLOOKUP(C380,xySpace_Type_Details,8,FALSE)="TRM",INDEX('General Information'!$AF$17:$AG$28,12,MATCH(N380,'General Information'!$AF$16:$AG$16,0)),HLOOKUP(VLOOKUP(C380,xySpace_Type_Details,8,FALSE),'General Information'!$P$15:$AG$28,14,FALSE)))),"")</f>
        <v/>
      </c>
      <c r="V380" s="542" t="str">
        <f>IFERROR(VLOOKUP(INDEX(xySpace_Type_Details,MATCH($C380,'General Information'!$C$40:$C$60,0),12),Lookups!$L$8:$N$12,2,FALSE),"")</f>
        <v/>
      </c>
      <c r="W380" s="542" t="str">
        <f>IFERROR(VLOOKUP(INDEX(xySpace_Type_Details,MATCH($C380,'General Information'!$C$40:$C$60,0),12),Lookups!$L$8:$N$12,3,FALSE),"")</f>
        <v/>
      </c>
      <c r="Y380" s="542" t="str">
        <f>IFERROR(IF(C380="","",IF(INDEX(xyWattage_Table,MATCH(M380,'Fixture Identities'!$B$9:$B$997,0),2)="Exit Sign",0,IF(PRJ_Type="Retrofit",VLOOKUP(I380,xySVG_Factors,2,FALSE),IF(AND(PRJ_Type="New Construction",Inventory!C377="N"),VLOOKUP(VLOOKUP(Building_Type,xyLPD_BuildingArea,5,FALSE),xySVG_Factors_NC,3,FALSE),0)))),"")</f>
        <v/>
      </c>
      <c r="Z380" s="544" t="str">
        <f>IFERROR(IF(C380="","",IF(INDEX(xyWattage_Table,MATCH(M380,'Fixture Identities'!$B$9:$B$997,0),2)="Exit Sign",0,VLOOKUP(S380,xySVG_Factors,2,FALSE))),"")</f>
        <v/>
      </c>
      <c r="AA380" s="545" t="str">
        <f t="shared" si="131"/>
        <v/>
      </c>
      <c r="AB380" s="542" t="str">
        <f t="shared" si="132"/>
        <v/>
      </c>
      <c r="AC380" s="539" t="str">
        <f t="shared" si="133"/>
        <v/>
      </c>
      <c r="AD380" s="546" t="str">
        <f t="shared" si="134"/>
        <v/>
      </c>
      <c r="AE380" s="539" t="str">
        <f t="shared" si="135"/>
        <v/>
      </c>
      <c r="AF380" s="546" t="str">
        <f t="shared" si="136"/>
        <v/>
      </c>
      <c r="AG380" s="539" t="str">
        <f t="shared" si="137"/>
        <v/>
      </c>
      <c r="AH380" s="32">
        <f t="shared" si="139"/>
        <v>0</v>
      </c>
      <c r="AI380" s="32">
        <f t="shared" si="140"/>
        <v>0</v>
      </c>
      <c r="AJ380" s="32">
        <f t="shared" si="141"/>
        <v>0</v>
      </c>
      <c r="AK380" t="str">
        <f t="shared" si="142"/>
        <v/>
      </c>
      <c r="AL380" t="str">
        <f t="shared" si="143"/>
        <v/>
      </c>
      <c r="AM380" t="str">
        <f t="shared" si="144"/>
        <v/>
      </c>
      <c r="AO380" t="str">
        <f>IFERROR(VLOOKUP(M380,'Fixture Identities'!$B$9:$O$1045,14,FALSE),"")</f>
        <v/>
      </c>
      <c r="AP380" t="str">
        <f t="shared" si="138"/>
        <v/>
      </c>
    </row>
    <row r="381" spans="1:42">
      <c r="A381" s="71">
        <f t="shared" si="146"/>
        <v>0</v>
      </c>
      <c r="B381" s="513">
        <f t="shared" si="145"/>
        <v>369</v>
      </c>
      <c r="C381" s="530" t="str">
        <f>IF(Inventory!E378="","",Inventory!E378)</f>
        <v/>
      </c>
      <c r="D381" s="531">
        <f>IF(Inventory!D378="",0,Inventory!D378)</f>
        <v>0</v>
      </c>
      <c r="E381" s="532" t="str">
        <f>IF(Inventory!I378=0,"",Inventory!I378)</f>
        <v/>
      </c>
      <c r="F381" s="533" t="str">
        <f t="shared" si="125"/>
        <v/>
      </c>
      <c r="G381" s="534" t="str">
        <f>IF(Inventory!G378="","",Inventory!G378)</f>
        <v/>
      </c>
      <c r="H381" s="535" t="str">
        <f t="shared" si="126"/>
        <v/>
      </c>
      <c r="I381" s="536" t="str">
        <f>IF(Inventory!J378="","",Inventory!J378)</f>
        <v/>
      </c>
      <c r="J381" s="537" t="str">
        <f>IFERROR(IF(PRJ_Type="New Construction",IF(Inventory!C378="N",INDEX(xyLPD_BuildingArea,MATCH(Building_Type,Lookups!$F$37:$F$75,0),4),INDEX(xyLPD_SpaceBySpace,MATCH(INDEX(xyNCEx,MATCH(I381,yNCExArea,0),2),ySpace_by_Space_Type,0),2)),VLOOKUP(E381,xyWattage_Table,11,FALSE)),"")</f>
        <v/>
      </c>
      <c r="K381" s="538" t="str">
        <f>IFERROR(IF(AND(NC_Type="Building Area Method",Inventory!C378="N"),IF(ISERROR(INDEX('Usage Groups (&gt;120 MWh only)'!$N$8:$N$12,MATCH(C381,'Usage Groups (&gt;120 MWh only)'!$B$8:$B$12,0),1))=TRUE,SqFt/COUNTIFS(Inventory!$C$10:$C$1009,"N",$Q$13:$Q$1012,"&gt;=0"),INDEX('Usage Groups (&gt;120 MWh only)'!$N$8:$N$12,MATCH(C381,'Usage Groups (&gt;120 MWh only)'!$B$8:$B$12,0),1)/COUNTIF($C$13:$C$1012,C381)),IF(AND(NC_Type="Building Area Method",Inventory!C378="Y"),INDEX(xyNCEx,MATCH(I381,yNCExArea,0),3)/COUNTIF($I$13:$I$1012,I381),VLOOKUP(J381,xyWattage_Table,10,FALSE))),"")</f>
        <v/>
      </c>
      <c r="L381" s="539" t="str">
        <f t="shared" si="127"/>
        <v/>
      </c>
      <c r="M381" s="540">
        <f>IF(Inventory!N378="","",Inventory!N378)</f>
        <v>0</v>
      </c>
      <c r="N381" s="533" t="str">
        <f t="shared" si="128"/>
        <v/>
      </c>
      <c r="O381" s="534"/>
      <c r="P381" s="533" t="str">
        <f t="shared" si="129"/>
        <v/>
      </c>
      <c r="Q381" s="534" t="str">
        <f>IF(Inventory!L378="","",Inventory!L378)</f>
        <v/>
      </c>
      <c r="R381" s="535" t="str">
        <f t="shared" si="130"/>
        <v/>
      </c>
      <c r="S381" s="536" t="str">
        <f>IF(Inventory!O378="","",Inventory!O378)</f>
        <v/>
      </c>
      <c r="T381" s="541" t="str">
        <f>IFERROR(IF(C381="","",IF(INDEX(xyWattage_Table,MATCH(M381,'Fixture Identities'!$B$9:$B$997,0),2)="Exit Sign",8760,IF(VLOOKUP(C381,xySpace_Type_Details,8,FALSE)="TRM",INDEX('General Information'!$AF$17:$AG$28,11,MATCH(N381,'General Information'!$AF$16:$AG$16,0)),HLOOKUP(VLOOKUP(C381,xySpace_Type_Details,8,FALSE),'General Information'!$P$15:$AG$28,13,FALSE)))),"")</f>
        <v/>
      </c>
      <c r="U381" s="542" t="str">
        <f>IFERROR(IF(C381="","",IF(INDEX(xyWattage_Table,MATCH(M381,'Fixture Identities'!$B$9:$B$997,0),2)="Exit Sign",1,IF(VLOOKUP(C381,xySpace_Type_Details,8,FALSE)="TRM",INDEX('General Information'!$AF$17:$AG$28,12,MATCH(N381,'General Information'!$AF$16:$AG$16,0)),HLOOKUP(VLOOKUP(C381,xySpace_Type_Details,8,FALSE),'General Information'!$P$15:$AG$28,14,FALSE)))),"")</f>
        <v/>
      </c>
      <c r="V381" s="542" t="str">
        <f>IFERROR(VLOOKUP(INDEX(xySpace_Type_Details,MATCH($C381,'General Information'!$C$40:$C$60,0),12),Lookups!$L$8:$N$12,2,FALSE),"")</f>
        <v/>
      </c>
      <c r="W381" s="542" t="str">
        <f>IFERROR(VLOOKUP(INDEX(xySpace_Type_Details,MATCH($C381,'General Information'!$C$40:$C$60,0),12),Lookups!$L$8:$N$12,3,FALSE),"")</f>
        <v/>
      </c>
      <c r="Y381" s="542" t="str">
        <f>IFERROR(IF(C381="","",IF(INDEX(xyWattage_Table,MATCH(M381,'Fixture Identities'!$B$9:$B$997,0),2)="Exit Sign",0,IF(PRJ_Type="Retrofit",VLOOKUP(I381,xySVG_Factors,2,FALSE),IF(AND(PRJ_Type="New Construction",Inventory!C378="N"),VLOOKUP(VLOOKUP(Building_Type,xyLPD_BuildingArea,5,FALSE),xySVG_Factors_NC,3,FALSE),0)))),"")</f>
        <v/>
      </c>
      <c r="Z381" s="544" t="str">
        <f>IFERROR(IF(C381="","",IF(INDEX(xyWattage_Table,MATCH(M381,'Fixture Identities'!$B$9:$B$997,0),2)="Exit Sign",0,VLOOKUP(S381,xySVG_Factors,2,FALSE))),"")</f>
        <v/>
      </c>
      <c r="AA381" s="545" t="str">
        <f t="shared" si="131"/>
        <v/>
      </c>
      <c r="AB381" s="542" t="str">
        <f t="shared" si="132"/>
        <v/>
      </c>
      <c r="AC381" s="539" t="str">
        <f t="shared" si="133"/>
        <v/>
      </c>
      <c r="AD381" s="546" t="str">
        <f t="shared" si="134"/>
        <v/>
      </c>
      <c r="AE381" s="539" t="str">
        <f t="shared" si="135"/>
        <v/>
      </c>
      <c r="AF381" s="546" t="str">
        <f t="shared" si="136"/>
        <v/>
      </c>
      <c r="AG381" s="539" t="str">
        <f t="shared" si="137"/>
        <v/>
      </c>
      <c r="AH381" s="32">
        <f t="shared" si="139"/>
        <v>0</v>
      </c>
      <c r="AI381" s="32">
        <f t="shared" si="140"/>
        <v>0</v>
      </c>
      <c r="AJ381" s="32">
        <f t="shared" si="141"/>
        <v>0</v>
      </c>
      <c r="AK381" t="str">
        <f t="shared" si="142"/>
        <v/>
      </c>
      <c r="AL381" t="str">
        <f t="shared" si="143"/>
        <v/>
      </c>
      <c r="AM381" t="str">
        <f t="shared" si="144"/>
        <v/>
      </c>
      <c r="AO381" t="str">
        <f>IFERROR(VLOOKUP(M381,'Fixture Identities'!$B$9:$O$1045,14,FALSE),"")</f>
        <v/>
      </c>
      <c r="AP381" t="str">
        <f t="shared" si="138"/>
        <v/>
      </c>
    </row>
    <row r="382" spans="1:42">
      <c r="A382" s="71">
        <f t="shared" si="146"/>
        <v>0</v>
      </c>
      <c r="B382" s="513">
        <f t="shared" si="145"/>
        <v>370</v>
      </c>
      <c r="C382" s="530" t="str">
        <f>IF(Inventory!E379="","",Inventory!E379)</f>
        <v/>
      </c>
      <c r="D382" s="531">
        <f>IF(Inventory!D379="",0,Inventory!D379)</f>
        <v>0</v>
      </c>
      <c r="E382" s="532" t="str">
        <f>IF(Inventory!I379=0,"",Inventory!I379)</f>
        <v/>
      </c>
      <c r="F382" s="533" t="str">
        <f t="shared" si="125"/>
        <v/>
      </c>
      <c r="G382" s="534" t="str">
        <f>IF(Inventory!G379="","",Inventory!G379)</f>
        <v/>
      </c>
      <c r="H382" s="535" t="str">
        <f t="shared" si="126"/>
        <v/>
      </c>
      <c r="I382" s="536" t="str">
        <f>IF(Inventory!J379="","",Inventory!J379)</f>
        <v/>
      </c>
      <c r="J382" s="537" t="str">
        <f>IFERROR(IF(PRJ_Type="New Construction",IF(Inventory!C379="N",INDEX(xyLPD_BuildingArea,MATCH(Building_Type,Lookups!$F$37:$F$75,0),4),INDEX(xyLPD_SpaceBySpace,MATCH(INDEX(xyNCEx,MATCH(I382,yNCExArea,0),2),ySpace_by_Space_Type,0),2)),VLOOKUP(E382,xyWattage_Table,11,FALSE)),"")</f>
        <v/>
      </c>
      <c r="K382" s="538" t="str">
        <f>IFERROR(IF(AND(NC_Type="Building Area Method",Inventory!C379="N"),IF(ISERROR(INDEX('Usage Groups (&gt;120 MWh only)'!$N$8:$N$12,MATCH(C382,'Usage Groups (&gt;120 MWh only)'!$B$8:$B$12,0),1))=TRUE,SqFt/COUNTIFS(Inventory!$C$10:$C$1009,"N",$Q$13:$Q$1012,"&gt;=0"),INDEX('Usage Groups (&gt;120 MWh only)'!$N$8:$N$12,MATCH(C382,'Usage Groups (&gt;120 MWh only)'!$B$8:$B$12,0),1)/COUNTIF($C$13:$C$1012,C382)),IF(AND(NC_Type="Building Area Method",Inventory!C379="Y"),INDEX(xyNCEx,MATCH(I382,yNCExArea,0),3)/COUNTIF($I$13:$I$1012,I382),VLOOKUP(J382,xyWattage_Table,10,FALSE))),"")</f>
        <v/>
      </c>
      <c r="L382" s="539" t="str">
        <f t="shared" si="127"/>
        <v/>
      </c>
      <c r="M382" s="540">
        <f>IF(Inventory!N379="","",Inventory!N379)</f>
        <v>0</v>
      </c>
      <c r="N382" s="533" t="str">
        <f t="shared" si="128"/>
        <v/>
      </c>
      <c r="O382" s="534"/>
      <c r="P382" s="533" t="str">
        <f t="shared" si="129"/>
        <v/>
      </c>
      <c r="Q382" s="534" t="str">
        <f>IF(Inventory!L379="","",Inventory!L379)</f>
        <v/>
      </c>
      <c r="R382" s="535" t="str">
        <f t="shared" si="130"/>
        <v/>
      </c>
      <c r="S382" s="536" t="str">
        <f>IF(Inventory!O379="","",Inventory!O379)</f>
        <v/>
      </c>
      <c r="T382" s="541" t="str">
        <f>IFERROR(IF(C382="","",IF(INDEX(xyWattage_Table,MATCH(M382,'Fixture Identities'!$B$9:$B$997,0),2)="Exit Sign",8760,IF(VLOOKUP(C382,xySpace_Type_Details,8,FALSE)="TRM",INDEX('General Information'!$AF$17:$AG$28,11,MATCH(N382,'General Information'!$AF$16:$AG$16,0)),HLOOKUP(VLOOKUP(C382,xySpace_Type_Details,8,FALSE),'General Information'!$P$15:$AG$28,13,FALSE)))),"")</f>
        <v/>
      </c>
      <c r="U382" s="542" t="str">
        <f>IFERROR(IF(C382="","",IF(INDEX(xyWattage_Table,MATCH(M382,'Fixture Identities'!$B$9:$B$997,0),2)="Exit Sign",1,IF(VLOOKUP(C382,xySpace_Type_Details,8,FALSE)="TRM",INDEX('General Information'!$AF$17:$AG$28,12,MATCH(N382,'General Information'!$AF$16:$AG$16,0)),HLOOKUP(VLOOKUP(C382,xySpace_Type_Details,8,FALSE),'General Information'!$P$15:$AG$28,14,FALSE)))),"")</f>
        <v/>
      </c>
      <c r="V382" s="542" t="str">
        <f>IFERROR(VLOOKUP(INDEX(xySpace_Type_Details,MATCH($C382,'General Information'!$C$40:$C$60,0),12),Lookups!$L$8:$N$12,2,FALSE),"")</f>
        <v/>
      </c>
      <c r="W382" s="542" t="str">
        <f>IFERROR(VLOOKUP(INDEX(xySpace_Type_Details,MATCH($C382,'General Information'!$C$40:$C$60,0),12),Lookups!$L$8:$N$12,3,FALSE),"")</f>
        <v/>
      </c>
      <c r="Y382" s="542" t="str">
        <f>IFERROR(IF(C382="","",IF(INDEX(xyWattage_Table,MATCH(M382,'Fixture Identities'!$B$9:$B$997,0),2)="Exit Sign",0,IF(PRJ_Type="Retrofit",VLOOKUP(I382,xySVG_Factors,2,FALSE),IF(AND(PRJ_Type="New Construction",Inventory!C379="N"),VLOOKUP(VLOOKUP(Building_Type,xyLPD_BuildingArea,5,FALSE),xySVG_Factors_NC,3,FALSE),0)))),"")</f>
        <v/>
      </c>
      <c r="Z382" s="544" t="str">
        <f>IFERROR(IF(C382="","",IF(INDEX(xyWattage_Table,MATCH(M382,'Fixture Identities'!$B$9:$B$997,0),2)="Exit Sign",0,VLOOKUP(S382,xySVG_Factors,2,FALSE))),"")</f>
        <v/>
      </c>
      <c r="AA382" s="545" t="str">
        <f t="shared" si="131"/>
        <v/>
      </c>
      <c r="AB382" s="542" t="str">
        <f t="shared" si="132"/>
        <v/>
      </c>
      <c r="AC382" s="539" t="str">
        <f t="shared" si="133"/>
        <v/>
      </c>
      <c r="AD382" s="546" t="str">
        <f t="shared" si="134"/>
        <v/>
      </c>
      <c r="AE382" s="539" t="str">
        <f t="shared" si="135"/>
        <v/>
      </c>
      <c r="AF382" s="546" t="str">
        <f t="shared" si="136"/>
        <v/>
      </c>
      <c r="AG382" s="539" t="str">
        <f t="shared" si="137"/>
        <v/>
      </c>
      <c r="AH382" s="32">
        <f t="shared" si="139"/>
        <v>0</v>
      </c>
      <c r="AI382" s="32">
        <f t="shared" si="140"/>
        <v>0</v>
      </c>
      <c r="AJ382" s="32">
        <f t="shared" si="141"/>
        <v>0</v>
      </c>
      <c r="AK382" t="str">
        <f t="shared" si="142"/>
        <v/>
      </c>
      <c r="AL382" t="str">
        <f t="shared" si="143"/>
        <v/>
      </c>
      <c r="AM382" t="str">
        <f t="shared" si="144"/>
        <v/>
      </c>
      <c r="AO382" t="str">
        <f>IFERROR(VLOOKUP(M382,'Fixture Identities'!$B$9:$O$1045,14,FALSE),"")</f>
        <v/>
      </c>
      <c r="AP382" t="str">
        <f t="shared" si="138"/>
        <v/>
      </c>
    </row>
    <row r="383" spans="1:42">
      <c r="A383" s="71">
        <f t="shared" si="146"/>
        <v>0</v>
      </c>
      <c r="B383" s="513">
        <f t="shared" si="145"/>
        <v>371</v>
      </c>
      <c r="C383" s="530" t="str">
        <f>IF(Inventory!E380="","",Inventory!E380)</f>
        <v/>
      </c>
      <c r="D383" s="531">
        <f>IF(Inventory!D380="",0,Inventory!D380)</f>
        <v>0</v>
      </c>
      <c r="E383" s="532" t="str">
        <f>IF(Inventory!I380=0,"",Inventory!I380)</f>
        <v/>
      </c>
      <c r="F383" s="533" t="str">
        <f t="shared" si="125"/>
        <v/>
      </c>
      <c r="G383" s="534" t="str">
        <f>IF(Inventory!G380="","",Inventory!G380)</f>
        <v/>
      </c>
      <c r="H383" s="535" t="str">
        <f t="shared" si="126"/>
        <v/>
      </c>
      <c r="I383" s="536" t="str">
        <f>IF(Inventory!J380="","",Inventory!J380)</f>
        <v/>
      </c>
      <c r="J383" s="537" t="str">
        <f>IFERROR(IF(PRJ_Type="New Construction",IF(Inventory!C380="N",INDEX(xyLPD_BuildingArea,MATCH(Building_Type,Lookups!$F$37:$F$75,0),4),INDEX(xyLPD_SpaceBySpace,MATCH(INDEX(xyNCEx,MATCH(I383,yNCExArea,0),2),ySpace_by_Space_Type,0),2)),VLOOKUP(E383,xyWattage_Table,11,FALSE)),"")</f>
        <v/>
      </c>
      <c r="K383" s="538" t="str">
        <f>IFERROR(IF(AND(NC_Type="Building Area Method",Inventory!C380="N"),IF(ISERROR(INDEX('Usage Groups (&gt;120 MWh only)'!$N$8:$N$12,MATCH(C383,'Usage Groups (&gt;120 MWh only)'!$B$8:$B$12,0),1))=TRUE,SqFt/COUNTIFS(Inventory!$C$10:$C$1009,"N",$Q$13:$Q$1012,"&gt;=0"),INDEX('Usage Groups (&gt;120 MWh only)'!$N$8:$N$12,MATCH(C383,'Usage Groups (&gt;120 MWh only)'!$B$8:$B$12,0),1)/COUNTIF($C$13:$C$1012,C383)),IF(AND(NC_Type="Building Area Method",Inventory!C380="Y"),INDEX(xyNCEx,MATCH(I383,yNCExArea,0),3)/COUNTIF($I$13:$I$1012,I383),VLOOKUP(J383,xyWattage_Table,10,FALSE))),"")</f>
        <v/>
      </c>
      <c r="L383" s="539" t="str">
        <f t="shared" si="127"/>
        <v/>
      </c>
      <c r="M383" s="540">
        <f>IF(Inventory!N380="","",Inventory!N380)</f>
        <v>0</v>
      </c>
      <c r="N383" s="533" t="str">
        <f t="shared" si="128"/>
        <v/>
      </c>
      <c r="O383" s="534"/>
      <c r="P383" s="533" t="str">
        <f t="shared" si="129"/>
        <v/>
      </c>
      <c r="Q383" s="534" t="str">
        <f>IF(Inventory!L380="","",Inventory!L380)</f>
        <v/>
      </c>
      <c r="R383" s="535" t="str">
        <f t="shared" si="130"/>
        <v/>
      </c>
      <c r="S383" s="536" t="str">
        <f>IF(Inventory!O380="","",Inventory!O380)</f>
        <v/>
      </c>
      <c r="T383" s="541" t="str">
        <f>IFERROR(IF(C383="","",IF(INDEX(xyWattage_Table,MATCH(M383,'Fixture Identities'!$B$9:$B$997,0),2)="Exit Sign",8760,IF(VLOOKUP(C383,xySpace_Type_Details,8,FALSE)="TRM",INDEX('General Information'!$AF$17:$AG$28,11,MATCH(N383,'General Information'!$AF$16:$AG$16,0)),HLOOKUP(VLOOKUP(C383,xySpace_Type_Details,8,FALSE),'General Information'!$P$15:$AG$28,13,FALSE)))),"")</f>
        <v/>
      </c>
      <c r="U383" s="542" t="str">
        <f>IFERROR(IF(C383="","",IF(INDEX(xyWattage_Table,MATCH(M383,'Fixture Identities'!$B$9:$B$997,0),2)="Exit Sign",1,IF(VLOOKUP(C383,xySpace_Type_Details,8,FALSE)="TRM",INDEX('General Information'!$AF$17:$AG$28,12,MATCH(N383,'General Information'!$AF$16:$AG$16,0)),HLOOKUP(VLOOKUP(C383,xySpace_Type_Details,8,FALSE),'General Information'!$P$15:$AG$28,14,FALSE)))),"")</f>
        <v/>
      </c>
      <c r="V383" s="542" t="str">
        <f>IFERROR(VLOOKUP(INDEX(xySpace_Type_Details,MATCH($C383,'General Information'!$C$40:$C$60,0),12),Lookups!$L$8:$N$12,2,FALSE),"")</f>
        <v/>
      </c>
      <c r="W383" s="542" t="str">
        <f>IFERROR(VLOOKUP(INDEX(xySpace_Type_Details,MATCH($C383,'General Information'!$C$40:$C$60,0),12),Lookups!$L$8:$N$12,3,FALSE),"")</f>
        <v/>
      </c>
      <c r="Y383" s="542" t="str">
        <f>IFERROR(IF(C383="","",IF(INDEX(xyWattage_Table,MATCH(M383,'Fixture Identities'!$B$9:$B$997,0),2)="Exit Sign",0,IF(PRJ_Type="Retrofit",VLOOKUP(I383,xySVG_Factors,2,FALSE),IF(AND(PRJ_Type="New Construction",Inventory!C380="N"),VLOOKUP(VLOOKUP(Building_Type,xyLPD_BuildingArea,5,FALSE),xySVG_Factors_NC,3,FALSE),0)))),"")</f>
        <v/>
      </c>
      <c r="Z383" s="544" t="str">
        <f>IFERROR(IF(C383="","",IF(INDEX(xyWattage_Table,MATCH(M383,'Fixture Identities'!$B$9:$B$997,0),2)="Exit Sign",0,VLOOKUP(S383,xySVG_Factors,2,FALSE))),"")</f>
        <v/>
      </c>
      <c r="AA383" s="545" t="str">
        <f t="shared" si="131"/>
        <v/>
      </c>
      <c r="AB383" s="542" t="str">
        <f t="shared" si="132"/>
        <v/>
      </c>
      <c r="AC383" s="539" t="str">
        <f t="shared" si="133"/>
        <v/>
      </c>
      <c r="AD383" s="546" t="str">
        <f t="shared" si="134"/>
        <v/>
      </c>
      <c r="AE383" s="539" t="str">
        <f t="shared" si="135"/>
        <v/>
      </c>
      <c r="AF383" s="546" t="str">
        <f t="shared" si="136"/>
        <v/>
      </c>
      <c r="AG383" s="539" t="str">
        <f t="shared" si="137"/>
        <v/>
      </c>
      <c r="AH383" s="32">
        <f t="shared" si="139"/>
        <v>0</v>
      </c>
      <c r="AI383" s="32">
        <f t="shared" si="140"/>
        <v>0</v>
      </c>
      <c r="AJ383" s="32">
        <f t="shared" si="141"/>
        <v>0</v>
      </c>
      <c r="AK383" t="str">
        <f t="shared" si="142"/>
        <v/>
      </c>
      <c r="AL383" t="str">
        <f t="shared" si="143"/>
        <v/>
      </c>
      <c r="AM383" t="str">
        <f t="shared" si="144"/>
        <v/>
      </c>
      <c r="AO383" t="str">
        <f>IFERROR(VLOOKUP(M383,'Fixture Identities'!$B$9:$O$1045,14,FALSE),"")</f>
        <v/>
      </c>
      <c r="AP383" t="str">
        <f t="shared" si="138"/>
        <v/>
      </c>
    </row>
    <row r="384" spans="1:42">
      <c r="A384" s="71">
        <f t="shared" si="146"/>
        <v>0</v>
      </c>
      <c r="B384" s="513">
        <f t="shared" si="145"/>
        <v>372</v>
      </c>
      <c r="C384" s="530" t="str">
        <f>IF(Inventory!E381="","",Inventory!E381)</f>
        <v/>
      </c>
      <c r="D384" s="531">
        <f>IF(Inventory!D381="",0,Inventory!D381)</f>
        <v>0</v>
      </c>
      <c r="E384" s="532" t="str">
        <f>IF(Inventory!I381=0,"",Inventory!I381)</f>
        <v/>
      </c>
      <c r="F384" s="533" t="str">
        <f t="shared" si="125"/>
        <v/>
      </c>
      <c r="G384" s="534" t="str">
        <f>IF(Inventory!G381="","",Inventory!G381)</f>
        <v/>
      </c>
      <c r="H384" s="535" t="str">
        <f t="shared" si="126"/>
        <v/>
      </c>
      <c r="I384" s="536" t="str">
        <f>IF(Inventory!J381="","",Inventory!J381)</f>
        <v/>
      </c>
      <c r="J384" s="537" t="str">
        <f>IFERROR(IF(PRJ_Type="New Construction",IF(Inventory!C381="N",INDEX(xyLPD_BuildingArea,MATCH(Building_Type,Lookups!$F$37:$F$75,0),4),INDEX(xyLPD_SpaceBySpace,MATCH(INDEX(xyNCEx,MATCH(I384,yNCExArea,0),2),ySpace_by_Space_Type,0),2)),VLOOKUP(E384,xyWattage_Table,11,FALSE)),"")</f>
        <v/>
      </c>
      <c r="K384" s="538" t="str">
        <f>IFERROR(IF(AND(NC_Type="Building Area Method",Inventory!C381="N"),IF(ISERROR(INDEX('Usage Groups (&gt;120 MWh only)'!$N$8:$N$12,MATCH(C384,'Usage Groups (&gt;120 MWh only)'!$B$8:$B$12,0),1))=TRUE,SqFt/COUNTIFS(Inventory!$C$10:$C$1009,"N",$Q$13:$Q$1012,"&gt;=0"),INDEX('Usage Groups (&gt;120 MWh only)'!$N$8:$N$12,MATCH(C384,'Usage Groups (&gt;120 MWh only)'!$B$8:$B$12,0),1)/COUNTIF($C$13:$C$1012,C384)),IF(AND(NC_Type="Building Area Method",Inventory!C381="Y"),INDEX(xyNCEx,MATCH(I384,yNCExArea,0),3)/COUNTIF($I$13:$I$1012,I384),VLOOKUP(J384,xyWattage_Table,10,FALSE))),"")</f>
        <v/>
      </c>
      <c r="L384" s="539" t="str">
        <f t="shared" si="127"/>
        <v/>
      </c>
      <c r="M384" s="540">
        <f>IF(Inventory!N381="","",Inventory!N381)</f>
        <v>0</v>
      </c>
      <c r="N384" s="533" t="str">
        <f t="shared" si="128"/>
        <v/>
      </c>
      <c r="O384" s="534"/>
      <c r="P384" s="533" t="str">
        <f t="shared" si="129"/>
        <v/>
      </c>
      <c r="Q384" s="534" t="str">
        <f>IF(Inventory!L381="","",Inventory!L381)</f>
        <v/>
      </c>
      <c r="R384" s="535" t="str">
        <f t="shared" si="130"/>
        <v/>
      </c>
      <c r="S384" s="536" t="str">
        <f>IF(Inventory!O381="","",Inventory!O381)</f>
        <v/>
      </c>
      <c r="T384" s="541" t="str">
        <f>IFERROR(IF(C384="","",IF(INDEX(xyWattage_Table,MATCH(M384,'Fixture Identities'!$B$9:$B$997,0),2)="Exit Sign",8760,IF(VLOOKUP(C384,xySpace_Type_Details,8,FALSE)="TRM",INDEX('General Information'!$AF$17:$AG$28,11,MATCH(N384,'General Information'!$AF$16:$AG$16,0)),HLOOKUP(VLOOKUP(C384,xySpace_Type_Details,8,FALSE),'General Information'!$P$15:$AG$28,13,FALSE)))),"")</f>
        <v/>
      </c>
      <c r="U384" s="542" t="str">
        <f>IFERROR(IF(C384="","",IF(INDEX(xyWattage_Table,MATCH(M384,'Fixture Identities'!$B$9:$B$997,0),2)="Exit Sign",1,IF(VLOOKUP(C384,xySpace_Type_Details,8,FALSE)="TRM",INDEX('General Information'!$AF$17:$AG$28,12,MATCH(N384,'General Information'!$AF$16:$AG$16,0)),HLOOKUP(VLOOKUP(C384,xySpace_Type_Details,8,FALSE),'General Information'!$P$15:$AG$28,14,FALSE)))),"")</f>
        <v/>
      </c>
      <c r="V384" s="542" t="str">
        <f>IFERROR(VLOOKUP(INDEX(xySpace_Type_Details,MATCH($C384,'General Information'!$C$40:$C$60,0),12),Lookups!$L$8:$N$12,2,FALSE),"")</f>
        <v/>
      </c>
      <c r="W384" s="542" t="str">
        <f>IFERROR(VLOOKUP(INDEX(xySpace_Type_Details,MATCH($C384,'General Information'!$C$40:$C$60,0),12),Lookups!$L$8:$N$12,3,FALSE),"")</f>
        <v/>
      </c>
      <c r="Y384" s="542" t="str">
        <f>IFERROR(IF(C384="","",IF(INDEX(xyWattage_Table,MATCH(M384,'Fixture Identities'!$B$9:$B$997,0),2)="Exit Sign",0,IF(PRJ_Type="Retrofit",VLOOKUP(I384,xySVG_Factors,2,FALSE),IF(AND(PRJ_Type="New Construction",Inventory!C381="N"),VLOOKUP(VLOOKUP(Building_Type,xyLPD_BuildingArea,5,FALSE),xySVG_Factors_NC,3,FALSE),0)))),"")</f>
        <v/>
      </c>
      <c r="Z384" s="544" t="str">
        <f>IFERROR(IF(C384="","",IF(INDEX(xyWattage_Table,MATCH(M384,'Fixture Identities'!$B$9:$B$997,0),2)="Exit Sign",0,VLOOKUP(S384,xySVG_Factors,2,FALSE))),"")</f>
        <v/>
      </c>
      <c r="AA384" s="545" t="str">
        <f t="shared" si="131"/>
        <v/>
      </c>
      <c r="AB384" s="542" t="str">
        <f t="shared" si="132"/>
        <v/>
      </c>
      <c r="AC384" s="539" t="str">
        <f t="shared" si="133"/>
        <v/>
      </c>
      <c r="AD384" s="546" t="str">
        <f t="shared" si="134"/>
        <v/>
      </c>
      <c r="AE384" s="539" t="str">
        <f t="shared" si="135"/>
        <v/>
      </c>
      <c r="AF384" s="546" t="str">
        <f t="shared" si="136"/>
        <v/>
      </c>
      <c r="AG384" s="539" t="str">
        <f t="shared" si="137"/>
        <v/>
      </c>
      <c r="AH384" s="32">
        <f t="shared" si="139"/>
        <v>0</v>
      </c>
      <c r="AI384" s="32">
        <f t="shared" si="140"/>
        <v>0</v>
      </c>
      <c r="AJ384" s="32">
        <f t="shared" si="141"/>
        <v>0</v>
      </c>
      <c r="AK384" t="str">
        <f t="shared" si="142"/>
        <v/>
      </c>
      <c r="AL384" t="str">
        <f t="shared" si="143"/>
        <v/>
      </c>
      <c r="AM384" t="str">
        <f t="shared" si="144"/>
        <v/>
      </c>
      <c r="AO384" t="str">
        <f>IFERROR(VLOOKUP(M384,'Fixture Identities'!$B$9:$O$1045,14,FALSE),"")</f>
        <v/>
      </c>
      <c r="AP384" t="str">
        <f t="shared" si="138"/>
        <v/>
      </c>
    </row>
    <row r="385" spans="1:42">
      <c r="A385" s="71">
        <f t="shared" si="146"/>
        <v>0</v>
      </c>
      <c r="B385" s="513">
        <f t="shared" si="145"/>
        <v>373</v>
      </c>
      <c r="C385" s="530" t="str">
        <f>IF(Inventory!E382="","",Inventory!E382)</f>
        <v/>
      </c>
      <c r="D385" s="531">
        <f>IF(Inventory!D382="",0,Inventory!D382)</f>
        <v>0</v>
      </c>
      <c r="E385" s="532" t="str">
        <f>IF(Inventory!I382=0,"",Inventory!I382)</f>
        <v/>
      </c>
      <c r="F385" s="533" t="str">
        <f t="shared" si="125"/>
        <v/>
      </c>
      <c r="G385" s="534" t="str">
        <f>IF(Inventory!G382="","",Inventory!G382)</f>
        <v/>
      </c>
      <c r="H385" s="535" t="str">
        <f t="shared" si="126"/>
        <v/>
      </c>
      <c r="I385" s="536" t="str">
        <f>IF(Inventory!J382="","",Inventory!J382)</f>
        <v/>
      </c>
      <c r="J385" s="537" t="str">
        <f>IFERROR(IF(PRJ_Type="New Construction",IF(Inventory!C382="N",INDEX(xyLPD_BuildingArea,MATCH(Building_Type,Lookups!$F$37:$F$75,0),4),INDEX(xyLPD_SpaceBySpace,MATCH(INDEX(xyNCEx,MATCH(I385,yNCExArea,0),2),ySpace_by_Space_Type,0),2)),VLOOKUP(E385,xyWattage_Table,11,FALSE)),"")</f>
        <v/>
      </c>
      <c r="K385" s="538" t="str">
        <f>IFERROR(IF(AND(NC_Type="Building Area Method",Inventory!C382="N"),IF(ISERROR(INDEX('Usage Groups (&gt;120 MWh only)'!$N$8:$N$12,MATCH(C385,'Usage Groups (&gt;120 MWh only)'!$B$8:$B$12,0),1))=TRUE,SqFt/COUNTIFS(Inventory!$C$10:$C$1009,"N",$Q$13:$Q$1012,"&gt;=0"),INDEX('Usage Groups (&gt;120 MWh only)'!$N$8:$N$12,MATCH(C385,'Usage Groups (&gt;120 MWh only)'!$B$8:$B$12,0),1)/COUNTIF($C$13:$C$1012,C385)),IF(AND(NC_Type="Building Area Method",Inventory!C382="Y"),INDEX(xyNCEx,MATCH(I385,yNCExArea,0),3)/COUNTIF($I$13:$I$1012,I385),VLOOKUP(J385,xyWattage_Table,10,FALSE))),"")</f>
        <v/>
      </c>
      <c r="L385" s="539" t="str">
        <f t="shared" si="127"/>
        <v/>
      </c>
      <c r="M385" s="540">
        <f>IF(Inventory!N382="","",Inventory!N382)</f>
        <v>0</v>
      </c>
      <c r="N385" s="533" t="str">
        <f t="shared" si="128"/>
        <v/>
      </c>
      <c r="O385" s="534"/>
      <c r="P385" s="533" t="str">
        <f t="shared" si="129"/>
        <v/>
      </c>
      <c r="Q385" s="534" t="str">
        <f>IF(Inventory!L382="","",Inventory!L382)</f>
        <v/>
      </c>
      <c r="R385" s="535" t="str">
        <f t="shared" si="130"/>
        <v/>
      </c>
      <c r="S385" s="536" t="str">
        <f>IF(Inventory!O382="","",Inventory!O382)</f>
        <v/>
      </c>
      <c r="T385" s="541" t="str">
        <f>IFERROR(IF(C385="","",IF(INDEX(xyWattage_Table,MATCH(M385,'Fixture Identities'!$B$9:$B$997,0),2)="Exit Sign",8760,IF(VLOOKUP(C385,xySpace_Type_Details,8,FALSE)="TRM",INDEX('General Information'!$AF$17:$AG$28,11,MATCH(N385,'General Information'!$AF$16:$AG$16,0)),HLOOKUP(VLOOKUP(C385,xySpace_Type_Details,8,FALSE),'General Information'!$P$15:$AG$28,13,FALSE)))),"")</f>
        <v/>
      </c>
      <c r="U385" s="542" t="str">
        <f>IFERROR(IF(C385="","",IF(INDEX(xyWattage_Table,MATCH(M385,'Fixture Identities'!$B$9:$B$997,0),2)="Exit Sign",1,IF(VLOOKUP(C385,xySpace_Type_Details,8,FALSE)="TRM",INDEX('General Information'!$AF$17:$AG$28,12,MATCH(N385,'General Information'!$AF$16:$AG$16,0)),HLOOKUP(VLOOKUP(C385,xySpace_Type_Details,8,FALSE),'General Information'!$P$15:$AG$28,14,FALSE)))),"")</f>
        <v/>
      </c>
      <c r="V385" s="542" t="str">
        <f>IFERROR(VLOOKUP(INDEX(xySpace_Type_Details,MATCH($C385,'General Information'!$C$40:$C$60,0),12),Lookups!$L$8:$N$12,2,FALSE),"")</f>
        <v/>
      </c>
      <c r="W385" s="542" t="str">
        <f>IFERROR(VLOOKUP(INDEX(xySpace_Type_Details,MATCH($C385,'General Information'!$C$40:$C$60,0),12),Lookups!$L$8:$N$12,3,FALSE),"")</f>
        <v/>
      </c>
      <c r="Y385" s="542" t="str">
        <f>IFERROR(IF(C385="","",IF(INDEX(xyWattage_Table,MATCH(M385,'Fixture Identities'!$B$9:$B$997,0),2)="Exit Sign",0,IF(PRJ_Type="Retrofit",VLOOKUP(I385,xySVG_Factors,2,FALSE),IF(AND(PRJ_Type="New Construction",Inventory!C382="N"),VLOOKUP(VLOOKUP(Building_Type,xyLPD_BuildingArea,5,FALSE),xySVG_Factors_NC,3,FALSE),0)))),"")</f>
        <v/>
      </c>
      <c r="Z385" s="544" t="str">
        <f>IFERROR(IF(C385="","",IF(INDEX(xyWattage_Table,MATCH(M385,'Fixture Identities'!$B$9:$B$997,0),2)="Exit Sign",0,VLOOKUP(S385,xySVG_Factors,2,FALSE))),"")</f>
        <v/>
      </c>
      <c r="AA385" s="545" t="str">
        <f t="shared" si="131"/>
        <v/>
      </c>
      <c r="AB385" s="542" t="str">
        <f t="shared" si="132"/>
        <v/>
      </c>
      <c r="AC385" s="539" t="str">
        <f t="shared" si="133"/>
        <v/>
      </c>
      <c r="AD385" s="546" t="str">
        <f t="shared" si="134"/>
        <v/>
      </c>
      <c r="AE385" s="539" t="str">
        <f t="shared" si="135"/>
        <v/>
      </c>
      <c r="AF385" s="546" t="str">
        <f t="shared" si="136"/>
        <v/>
      </c>
      <c r="AG385" s="539" t="str">
        <f t="shared" si="137"/>
        <v/>
      </c>
      <c r="AH385" s="32">
        <f t="shared" si="139"/>
        <v>0</v>
      </c>
      <c r="AI385" s="32">
        <f t="shared" si="140"/>
        <v>0</v>
      </c>
      <c r="AJ385" s="32">
        <f t="shared" si="141"/>
        <v>0</v>
      </c>
      <c r="AK385" t="str">
        <f t="shared" si="142"/>
        <v/>
      </c>
      <c r="AL385" t="str">
        <f t="shared" si="143"/>
        <v/>
      </c>
      <c r="AM385" t="str">
        <f t="shared" si="144"/>
        <v/>
      </c>
      <c r="AO385" t="str">
        <f>IFERROR(VLOOKUP(M385,'Fixture Identities'!$B$9:$O$1045,14,FALSE),"")</f>
        <v/>
      </c>
      <c r="AP385" t="str">
        <f t="shared" si="138"/>
        <v/>
      </c>
    </row>
    <row r="386" spans="1:42">
      <c r="A386" s="71">
        <f t="shared" si="146"/>
        <v>0</v>
      </c>
      <c r="B386" s="513">
        <f t="shared" si="145"/>
        <v>374</v>
      </c>
      <c r="C386" s="530" t="str">
        <f>IF(Inventory!E383="","",Inventory!E383)</f>
        <v/>
      </c>
      <c r="D386" s="531">
        <f>IF(Inventory!D383="",0,Inventory!D383)</f>
        <v>0</v>
      </c>
      <c r="E386" s="532" t="str">
        <f>IF(Inventory!I383=0,"",Inventory!I383)</f>
        <v/>
      </c>
      <c r="F386" s="533" t="str">
        <f t="shared" si="125"/>
        <v/>
      </c>
      <c r="G386" s="534" t="str">
        <f>IF(Inventory!G383="","",Inventory!G383)</f>
        <v/>
      </c>
      <c r="H386" s="535" t="str">
        <f t="shared" si="126"/>
        <v/>
      </c>
      <c r="I386" s="536" t="str">
        <f>IF(Inventory!J383="","",Inventory!J383)</f>
        <v/>
      </c>
      <c r="J386" s="537" t="str">
        <f>IFERROR(IF(PRJ_Type="New Construction",IF(Inventory!C383="N",INDEX(xyLPD_BuildingArea,MATCH(Building_Type,Lookups!$F$37:$F$75,0),4),INDEX(xyLPD_SpaceBySpace,MATCH(INDEX(xyNCEx,MATCH(I386,yNCExArea,0),2),ySpace_by_Space_Type,0),2)),VLOOKUP(E386,xyWattage_Table,11,FALSE)),"")</f>
        <v/>
      </c>
      <c r="K386" s="538" t="str">
        <f>IFERROR(IF(AND(NC_Type="Building Area Method",Inventory!C383="N"),IF(ISERROR(INDEX('Usage Groups (&gt;120 MWh only)'!$N$8:$N$12,MATCH(C386,'Usage Groups (&gt;120 MWh only)'!$B$8:$B$12,0),1))=TRUE,SqFt/COUNTIFS(Inventory!$C$10:$C$1009,"N",$Q$13:$Q$1012,"&gt;=0"),INDEX('Usage Groups (&gt;120 MWh only)'!$N$8:$N$12,MATCH(C386,'Usage Groups (&gt;120 MWh only)'!$B$8:$B$12,0),1)/COUNTIF($C$13:$C$1012,C386)),IF(AND(NC_Type="Building Area Method",Inventory!C383="Y"),INDEX(xyNCEx,MATCH(I386,yNCExArea,0),3)/COUNTIF($I$13:$I$1012,I386),VLOOKUP(J386,xyWattage_Table,10,FALSE))),"")</f>
        <v/>
      </c>
      <c r="L386" s="539" t="str">
        <f t="shared" si="127"/>
        <v/>
      </c>
      <c r="M386" s="540">
        <f>IF(Inventory!N383="","",Inventory!N383)</f>
        <v>0</v>
      </c>
      <c r="N386" s="533" t="str">
        <f t="shared" si="128"/>
        <v/>
      </c>
      <c r="O386" s="534"/>
      <c r="P386" s="533" t="str">
        <f t="shared" si="129"/>
        <v/>
      </c>
      <c r="Q386" s="534" t="str">
        <f>IF(Inventory!L383="","",Inventory!L383)</f>
        <v/>
      </c>
      <c r="R386" s="535" t="str">
        <f t="shared" si="130"/>
        <v/>
      </c>
      <c r="S386" s="536" t="str">
        <f>IF(Inventory!O383="","",Inventory!O383)</f>
        <v/>
      </c>
      <c r="T386" s="541" t="str">
        <f>IFERROR(IF(C386="","",IF(INDEX(xyWattage_Table,MATCH(M386,'Fixture Identities'!$B$9:$B$997,0),2)="Exit Sign",8760,IF(VLOOKUP(C386,xySpace_Type_Details,8,FALSE)="TRM",INDEX('General Information'!$AF$17:$AG$28,11,MATCH(N386,'General Information'!$AF$16:$AG$16,0)),HLOOKUP(VLOOKUP(C386,xySpace_Type_Details,8,FALSE),'General Information'!$P$15:$AG$28,13,FALSE)))),"")</f>
        <v/>
      </c>
      <c r="U386" s="542" t="str">
        <f>IFERROR(IF(C386="","",IF(INDEX(xyWattage_Table,MATCH(M386,'Fixture Identities'!$B$9:$B$997,0),2)="Exit Sign",1,IF(VLOOKUP(C386,xySpace_Type_Details,8,FALSE)="TRM",INDEX('General Information'!$AF$17:$AG$28,12,MATCH(N386,'General Information'!$AF$16:$AG$16,0)),HLOOKUP(VLOOKUP(C386,xySpace_Type_Details,8,FALSE),'General Information'!$P$15:$AG$28,14,FALSE)))),"")</f>
        <v/>
      </c>
      <c r="V386" s="542" t="str">
        <f>IFERROR(VLOOKUP(INDEX(xySpace_Type_Details,MATCH($C386,'General Information'!$C$40:$C$60,0),12),Lookups!$L$8:$N$12,2,FALSE),"")</f>
        <v/>
      </c>
      <c r="W386" s="542" t="str">
        <f>IFERROR(VLOOKUP(INDEX(xySpace_Type_Details,MATCH($C386,'General Information'!$C$40:$C$60,0),12),Lookups!$L$8:$N$12,3,FALSE),"")</f>
        <v/>
      </c>
      <c r="Y386" s="542" t="str">
        <f>IFERROR(IF(C386="","",IF(INDEX(xyWattage_Table,MATCH(M386,'Fixture Identities'!$B$9:$B$997,0),2)="Exit Sign",0,IF(PRJ_Type="Retrofit",VLOOKUP(I386,xySVG_Factors,2,FALSE),IF(AND(PRJ_Type="New Construction",Inventory!C383="N"),VLOOKUP(VLOOKUP(Building_Type,xyLPD_BuildingArea,5,FALSE),xySVG_Factors_NC,3,FALSE),0)))),"")</f>
        <v/>
      </c>
      <c r="Z386" s="544" t="str">
        <f>IFERROR(IF(C386="","",IF(INDEX(xyWattage_Table,MATCH(M386,'Fixture Identities'!$B$9:$B$997,0),2)="Exit Sign",0,VLOOKUP(S386,xySVG_Factors,2,FALSE))),"")</f>
        <v/>
      </c>
      <c r="AA386" s="545" t="str">
        <f t="shared" si="131"/>
        <v/>
      </c>
      <c r="AB386" s="542" t="str">
        <f t="shared" si="132"/>
        <v/>
      </c>
      <c r="AC386" s="539" t="str">
        <f t="shared" si="133"/>
        <v/>
      </c>
      <c r="AD386" s="546" t="str">
        <f t="shared" si="134"/>
        <v/>
      </c>
      <c r="AE386" s="539" t="str">
        <f t="shared" si="135"/>
        <v/>
      </c>
      <c r="AF386" s="546" t="str">
        <f t="shared" si="136"/>
        <v/>
      </c>
      <c r="AG386" s="539" t="str">
        <f t="shared" si="137"/>
        <v/>
      </c>
      <c r="AH386" s="32">
        <f t="shared" si="139"/>
        <v>0</v>
      </c>
      <c r="AI386" s="32">
        <f t="shared" si="140"/>
        <v>0</v>
      </c>
      <c r="AJ386" s="32">
        <f t="shared" si="141"/>
        <v>0</v>
      </c>
      <c r="AK386" t="str">
        <f t="shared" si="142"/>
        <v/>
      </c>
      <c r="AL386" t="str">
        <f t="shared" si="143"/>
        <v/>
      </c>
      <c r="AM386" t="str">
        <f t="shared" si="144"/>
        <v/>
      </c>
      <c r="AO386" t="str">
        <f>IFERROR(VLOOKUP(M386,'Fixture Identities'!$B$9:$O$1045,14,FALSE),"")</f>
        <v/>
      </c>
      <c r="AP386" t="str">
        <f t="shared" si="138"/>
        <v/>
      </c>
    </row>
    <row r="387" spans="1:42">
      <c r="A387" s="71">
        <f t="shared" si="146"/>
        <v>0</v>
      </c>
      <c r="B387" s="513">
        <f t="shared" si="145"/>
        <v>375</v>
      </c>
      <c r="C387" s="530" t="str">
        <f>IF(Inventory!E384="","",Inventory!E384)</f>
        <v/>
      </c>
      <c r="D387" s="531">
        <f>IF(Inventory!D384="",0,Inventory!D384)</f>
        <v>0</v>
      </c>
      <c r="E387" s="532" t="str">
        <f>IF(Inventory!I384=0,"",Inventory!I384)</f>
        <v/>
      </c>
      <c r="F387" s="533" t="str">
        <f t="shared" si="125"/>
        <v/>
      </c>
      <c r="G387" s="534" t="str">
        <f>IF(Inventory!G384="","",Inventory!G384)</f>
        <v/>
      </c>
      <c r="H387" s="535" t="str">
        <f t="shared" si="126"/>
        <v/>
      </c>
      <c r="I387" s="536" t="str">
        <f>IF(Inventory!J384="","",Inventory!J384)</f>
        <v/>
      </c>
      <c r="J387" s="537" t="str">
        <f>IFERROR(IF(PRJ_Type="New Construction",IF(Inventory!C384="N",INDEX(xyLPD_BuildingArea,MATCH(Building_Type,Lookups!$F$37:$F$75,0),4),INDEX(xyLPD_SpaceBySpace,MATCH(INDEX(xyNCEx,MATCH(I387,yNCExArea,0),2),ySpace_by_Space_Type,0),2)),VLOOKUP(E387,xyWattage_Table,11,FALSE)),"")</f>
        <v/>
      </c>
      <c r="K387" s="538" t="str">
        <f>IFERROR(IF(AND(NC_Type="Building Area Method",Inventory!C384="N"),IF(ISERROR(INDEX('Usage Groups (&gt;120 MWh only)'!$N$8:$N$12,MATCH(C387,'Usage Groups (&gt;120 MWh only)'!$B$8:$B$12,0),1))=TRUE,SqFt/COUNTIFS(Inventory!$C$10:$C$1009,"N",$Q$13:$Q$1012,"&gt;=0"),INDEX('Usage Groups (&gt;120 MWh only)'!$N$8:$N$12,MATCH(C387,'Usage Groups (&gt;120 MWh only)'!$B$8:$B$12,0),1)/COUNTIF($C$13:$C$1012,C387)),IF(AND(NC_Type="Building Area Method",Inventory!C384="Y"),INDEX(xyNCEx,MATCH(I387,yNCExArea,0),3)/COUNTIF($I$13:$I$1012,I387),VLOOKUP(J387,xyWattage_Table,10,FALSE))),"")</f>
        <v/>
      </c>
      <c r="L387" s="539" t="str">
        <f t="shared" si="127"/>
        <v/>
      </c>
      <c r="M387" s="540">
        <f>IF(Inventory!N384="","",Inventory!N384)</f>
        <v>0</v>
      </c>
      <c r="N387" s="533" t="str">
        <f t="shared" si="128"/>
        <v/>
      </c>
      <c r="O387" s="534"/>
      <c r="P387" s="533" t="str">
        <f t="shared" si="129"/>
        <v/>
      </c>
      <c r="Q387" s="534" t="str">
        <f>IF(Inventory!L384="","",Inventory!L384)</f>
        <v/>
      </c>
      <c r="R387" s="535" t="str">
        <f t="shared" si="130"/>
        <v/>
      </c>
      <c r="S387" s="536" t="str">
        <f>IF(Inventory!O384="","",Inventory!O384)</f>
        <v/>
      </c>
      <c r="T387" s="541" t="str">
        <f>IFERROR(IF(C387="","",IF(INDEX(xyWattage_Table,MATCH(M387,'Fixture Identities'!$B$9:$B$997,0),2)="Exit Sign",8760,IF(VLOOKUP(C387,xySpace_Type_Details,8,FALSE)="TRM",INDEX('General Information'!$AF$17:$AG$28,11,MATCH(N387,'General Information'!$AF$16:$AG$16,0)),HLOOKUP(VLOOKUP(C387,xySpace_Type_Details,8,FALSE),'General Information'!$P$15:$AG$28,13,FALSE)))),"")</f>
        <v/>
      </c>
      <c r="U387" s="542" t="str">
        <f>IFERROR(IF(C387="","",IF(INDEX(xyWattage_Table,MATCH(M387,'Fixture Identities'!$B$9:$B$997,0),2)="Exit Sign",1,IF(VLOOKUP(C387,xySpace_Type_Details,8,FALSE)="TRM",INDEX('General Information'!$AF$17:$AG$28,12,MATCH(N387,'General Information'!$AF$16:$AG$16,0)),HLOOKUP(VLOOKUP(C387,xySpace_Type_Details,8,FALSE),'General Information'!$P$15:$AG$28,14,FALSE)))),"")</f>
        <v/>
      </c>
      <c r="V387" s="542" t="str">
        <f>IFERROR(VLOOKUP(INDEX(xySpace_Type_Details,MATCH($C387,'General Information'!$C$40:$C$60,0),12),Lookups!$L$8:$N$12,2,FALSE),"")</f>
        <v/>
      </c>
      <c r="W387" s="542" t="str">
        <f>IFERROR(VLOOKUP(INDEX(xySpace_Type_Details,MATCH($C387,'General Information'!$C$40:$C$60,0),12),Lookups!$L$8:$N$12,3,FALSE),"")</f>
        <v/>
      </c>
      <c r="Y387" s="542" t="str">
        <f>IFERROR(IF(C387="","",IF(INDEX(xyWattage_Table,MATCH(M387,'Fixture Identities'!$B$9:$B$997,0),2)="Exit Sign",0,IF(PRJ_Type="Retrofit",VLOOKUP(I387,xySVG_Factors,2,FALSE),IF(AND(PRJ_Type="New Construction",Inventory!C384="N"),VLOOKUP(VLOOKUP(Building_Type,xyLPD_BuildingArea,5,FALSE),xySVG_Factors_NC,3,FALSE),0)))),"")</f>
        <v/>
      </c>
      <c r="Z387" s="544" t="str">
        <f>IFERROR(IF(C387="","",IF(INDEX(xyWattage_Table,MATCH(M387,'Fixture Identities'!$B$9:$B$997,0),2)="Exit Sign",0,VLOOKUP(S387,xySVG_Factors,2,FALSE))),"")</f>
        <v/>
      </c>
      <c r="AA387" s="545" t="str">
        <f t="shared" si="131"/>
        <v/>
      </c>
      <c r="AB387" s="542" t="str">
        <f t="shared" si="132"/>
        <v/>
      </c>
      <c r="AC387" s="539" t="str">
        <f t="shared" si="133"/>
        <v/>
      </c>
      <c r="AD387" s="546" t="str">
        <f t="shared" si="134"/>
        <v/>
      </c>
      <c r="AE387" s="539" t="str">
        <f t="shared" si="135"/>
        <v/>
      </c>
      <c r="AF387" s="546" t="str">
        <f t="shared" si="136"/>
        <v/>
      </c>
      <c r="AG387" s="539" t="str">
        <f t="shared" si="137"/>
        <v/>
      </c>
      <c r="AH387" s="32">
        <f t="shared" si="139"/>
        <v>0</v>
      </c>
      <c r="AI387" s="32">
        <f t="shared" si="140"/>
        <v>0</v>
      </c>
      <c r="AJ387" s="32">
        <f t="shared" si="141"/>
        <v>0</v>
      </c>
      <c r="AK387" t="str">
        <f t="shared" si="142"/>
        <v/>
      </c>
      <c r="AL387" t="str">
        <f t="shared" si="143"/>
        <v/>
      </c>
      <c r="AM387" t="str">
        <f t="shared" si="144"/>
        <v/>
      </c>
      <c r="AO387" t="str">
        <f>IFERROR(VLOOKUP(M387,'Fixture Identities'!$B$9:$O$1045,14,FALSE),"")</f>
        <v/>
      </c>
      <c r="AP387" t="str">
        <f t="shared" si="138"/>
        <v/>
      </c>
    </row>
    <row r="388" spans="1:42">
      <c r="A388" s="71">
        <f t="shared" si="146"/>
        <v>0</v>
      </c>
      <c r="B388" s="513">
        <f t="shared" si="145"/>
        <v>376</v>
      </c>
      <c r="C388" s="530" t="str">
        <f>IF(Inventory!E385="","",Inventory!E385)</f>
        <v/>
      </c>
      <c r="D388" s="531">
        <f>IF(Inventory!D385="",0,Inventory!D385)</f>
        <v>0</v>
      </c>
      <c r="E388" s="532" t="str">
        <f>IF(Inventory!I385=0,"",Inventory!I385)</f>
        <v/>
      </c>
      <c r="F388" s="533" t="str">
        <f t="shared" si="125"/>
        <v/>
      </c>
      <c r="G388" s="534" t="str">
        <f>IF(Inventory!G385="","",Inventory!G385)</f>
        <v/>
      </c>
      <c r="H388" s="535" t="str">
        <f t="shared" si="126"/>
        <v/>
      </c>
      <c r="I388" s="536" t="str">
        <f>IF(Inventory!J385="","",Inventory!J385)</f>
        <v/>
      </c>
      <c r="J388" s="537" t="str">
        <f>IFERROR(IF(PRJ_Type="New Construction",IF(Inventory!C385="N",INDEX(xyLPD_BuildingArea,MATCH(Building_Type,Lookups!$F$37:$F$75,0),4),INDEX(xyLPD_SpaceBySpace,MATCH(INDEX(xyNCEx,MATCH(I388,yNCExArea,0),2),ySpace_by_Space_Type,0),2)),VLOOKUP(E388,xyWattage_Table,11,FALSE)),"")</f>
        <v/>
      </c>
      <c r="K388" s="538" t="str">
        <f>IFERROR(IF(AND(NC_Type="Building Area Method",Inventory!C385="N"),IF(ISERROR(INDEX('Usage Groups (&gt;120 MWh only)'!$N$8:$N$12,MATCH(C388,'Usage Groups (&gt;120 MWh only)'!$B$8:$B$12,0),1))=TRUE,SqFt/COUNTIFS(Inventory!$C$10:$C$1009,"N",$Q$13:$Q$1012,"&gt;=0"),INDEX('Usage Groups (&gt;120 MWh only)'!$N$8:$N$12,MATCH(C388,'Usage Groups (&gt;120 MWh only)'!$B$8:$B$12,0),1)/COUNTIF($C$13:$C$1012,C388)),IF(AND(NC_Type="Building Area Method",Inventory!C385="Y"),INDEX(xyNCEx,MATCH(I388,yNCExArea,0),3)/COUNTIF($I$13:$I$1012,I388),VLOOKUP(J388,xyWattage_Table,10,FALSE))),"")</f>
        <v/>
      </c>
      <c r="L388" s="539" t="str">
        <f t="shared" si="127"/>
        <v/>
      </c>
      <c r="M388" s="540">
        <f>IF(Inventory!N385="","",Inventory!N385)</f>
        <v>0</v>
      </c>
      <c r="N388" s="533" t="str">
        <f t="shared" si="128"/>
        <v/>
      </c>
      <c r="O388" s="534"/>
      <c r="P388" s="533" t="str">
        <f t="shared" si="129"/>
        <v/>
      </c>
      <c r="Q388" s="534" t="str">
        <f>IF(Inventory!L385="","",Inventory!L385)</f>
        <v/>
      </c>
      <c r="R388" s="535" t="str">
        <f t="shared" si="130"/>
        <v/>
      </c>
      <c r="S388" s="536" t="str">
        <f>IF(Inventory!O385="","",Inventory!O385)</f>
        <v/>
      </c>
      <c r="T388" s="541" t="str">
        <f>IFERROR(IF(C388="","",IF(INDEX(xyWattage_Table,MATCH(M388,'Fixture Identities'!$B$9:$B$997,0),2)="Exit Sign",8760,IF(VLOOKUP(C388,xySpace_Type_Details,8,FALSE)="TRM",INDEX('General Information'!$AF$17:$AG$28,11,MATCH(N388,'General Information'!$AF$16:$AG$16,0)),HLOOKUP(VLOOKUP(C388,xySpace_Type_Details,8,FALSE),'General Information'!$P$15:$AG$28,13,FALSE)))),"")</f>
        <v/>
      </c>
      <c r="U388" s="542" t="str">
        <f>IFERROR(IF(C388="","",IF(INDEX(xyWattage_Table,MATCH(M388,'Fixture Identities'!$B$9:$B$997,0),2)="Exit Sign",1,IF(VLOOKUP(C388,xySpace_Type_Details,8,FALSE)="TRM",INDEX('General Information'!$AF$17:$AG$28,12,MATCH(N388,'General Information'!$AF$16:$AG$16,0)),HLOOKUP(VLOOKUP(C388,xySpace_Type_Details,8,FALSE),'General Information'!$P$15:$AG$28,14,FALSE)))),"")</f>
        <v/>
      </c>
      <c r="V388" s="542" t="str">
        <f>IFERROR(VLOOKUP(INDEX(xySpace_Type_Details,MATCH($C388,'General Information'!$C$40:$C$60,0),12),Lookups!$L$8:$N$12,2,FALSE),"")</f>
        <v/>
      </c>
      <c r="W388" s="542" t="str">
        <f>IFERROR(VLOOKUP(INDEX(xySpace_Type_Details,MATCH($C388,'General Information'!$C$40:$C$60,0),12),Lookups!$L$8:$N$12,3,FALSE),"")</f>
        <v/>
      </c>
      <c r="Y388" s="542" t="str">
        <f>IFERROR(IF(C388="","",IF(INDEX(xyWattage_Table,MATCH(M388,'Fixture Identities'!$B$9:$B$997,0),2)="Exit Sign",0,IF(PRJ_Type="Retrofit",VLOOKUP(I388,xySVG_Factors,2,FALSE),IF(AND(PRJ_Type="New Construction",Inventory!C385="N"),VLOOKUP(VLOOKUP(Building_Type,xyLPD_BuildingArea,5,FALSE),xySVG_Factors_NC,3,FALSE),0)))),"")</f>
        <v/>
      </c>
      <c r="Z388" s="544" t="str">
        <f>IFERROR(IF(C388="","",IF(INDEX(xyWattage_Table,MATCH(M388,'Fixture Identities'!$B$9:$B$997,0),2)="Exit Sign",0,VLOOKUP(S388,xySVG_Factors,2,FALSE))),"")</f>
        <v/>
      </c>
      <c r="AA388" s="545" t="str">
        <f t="shared" si="131"/>
        <v/>
      </c>
      <c r="AB388" s="542" t="str">
        <f t="shared" si="132"/>
        <v/>
      </c>
      <c r="AC388" s="539" t="str">
        <f t="shared" si="133"/>
        <v/>
      </c>
      <c r="AD388" s="546" t="str">
        <f t="shared" si="134"/>
        <v/>
      </c>
      <c r="AE388" s="539" t="str">
        <f t="shared" si="135"/>
        <v/>
      </c>
      <c r="AF388" s="546" t="str">
        <f t="shared" si="136"/>
        <v/>
      </c>
      <c r="AG388" s="539" t="str">
        <f t="shared" si="137"/>
        <v/>
      </c>
      <c r="AH388" s="32">
        <f t="shared" si="139"/>
        <v>0</v>
      </c>
      <c r="AI388" s="32">
        <f t="shared" si="140"/>
        <v>0</v>
      </c>
      <c r="AJ388" s="32">
        <f t="shared" si="141"/>
        <v>0</v>
      </c>
      <c r="AK388" t="str">
        <f t="shared" si="142"/>
        <v/>
      </c>
      <c r="AL388" t="str">
        <f t="shared" si="143"/>
        <v/>
      </c>
      <c r="AM388" t="str">
        <f t="shared" si="144"/>
        <v/>
      </c>
      <c r="AO388" t="str">
        <f>IFERROR(VLOOKUP(M388,'Fixture Identities'!$B$9:$O$1045,14,FALSE),"")</f>
        <v/>
      </c>
      <c r="AP388" t="str">
        <f t="shared" si="138"/>
        <v/>
      </c>
    </row>
    <row r="389" spans="1:42">
      <c r="A389" s="71">
        <f t="shared" si="146"/>
        <v>0</v>
      </c>
      <c r="B389" s="513">
        <f t="shared" si="145"/>
        <v>377</v>
      </c>
      <c r="C389" s="530" t="str">
        <f>IF(Inventory!E386="","",Inventory!E386)</f>
        <v/>
      </c>
      <c r="D389" s="531">
        <f>IF(Inventory!D386="",0,Inventory!D386)</f>
        <v>0</v>
      </c>
      <c r="E389" s="532" t="str">
        <f>IF(Inventory!I386=0,"",Inventory!I386)</f>
        <v/>
      </c>
      <c r="F389" s="533" t="str">
        <f t="shared" si="125"/>
        <v/>
      </c>
      <c r="G389" s="534" t="str">
        <f>IF(Inventory!G386="","",Inventory!G386)</f>
        <v/>
      </c>
      <c r="H389" s="535" t="str">
        <f t="shared" si="126"/>
        <v/>
      </c>
      <c r="I389" s="536" t="str">
        <f>IF(Inventory!J386="","",Inventory!J386)</f>
        <v/>
      </c>
      <c r="J389" s="537" t="str">
        <f>IFERROR(IF(PRJ_Type="New Construction",IF(Inventory!C386="N",INDEX(xyLPD_BuildingArea,MATCH(Building_Type,Lookups!$F$37:$F$75,0),4),INDEX(xyLPD_SpaceBySpace,MATCH(INDEX(xyNCEx,MATCH(I389,yNCExArea,0),2),ySpace_by_Space_Type,0),2)),VLOOKUP(E389,xyWattage_Table,11,FALSE)),"")</f>
        <v/>
      </c>
      <c r="K389" s="538" t="str">
        <f>IFERROR(IF(AND(NC_Type="Building Area Method",Inventory!C386="N"),IF(ISERROR(INDEX('Usage Groups (&gt;120 MWh only)'!$N$8:$N$12,MATCH(C389,'Usage Groups (&gt;120 MWh only)'!$B$8:$B$12,0),1))=TRUE,SqFt/COUNTIFS(Inventory!$C$10:$C$1009,"N",$Q$13:$Q$1012,"&gt;=0"),INDEX('Usage Groups (&gt;120 MWh only)'!$N$8:$N$12,MATCH(C389,'Usage Groups (&gt;120 MWh only)'!$B$8:$B$12,0),1)/COUNTIF($C$13:$C$1012,C389)),IF(AND(NC_Type="Building Area Method",Inventory!C386="Y"),INDEX(xyNCEx,MATCH(I389,yNCExArea,0),3)/COUNTIF($I$13:$I$1012,I389),VLOOKUP(J389,xyWattage_Table,10,FALSE))),"")</f>
        <v/>
      </c>
      <c r="L389" s="539" t="str">
        <f t="shared" si="127"/>
        <v/>
      </c>
      <c r="M389" s="540">
        <f>IF(Inventory!N386="","",Inventory!N386)</f>
        <v>0</v>
      </c>
      <c r="N389" s="533" t="str">
        <f t="shared" si="128"/>
        <v/>
      </c>
      <c r="O389" s="534"/>
      <c r="P389" s="533" t="str">
        <f t="shared" si="129"/>
        <v/>
      </c>
      <c r="Q389" s="534" t="str">
        <f>IF(Inventory!L386="","",Inventory!L386)</f>
        <v/>
      </c>
      <c r="R389" s="535" t="str">
        <f t="shared" si="130"/>
        <v/>
      </c>
      <c r="S389" s="536" t="str">
        <f>IF(Inventory!O386="","",Inventory!O386)</f>
        <v/>
      </c>
      <c r="T389" s="541" t="str">
        <f>IFERROR(IF(C389="","",IF(INDEX(xyWattage_Table,MATCH(M389,'Fixture Identities'!$B$9:$B$997,0),2)="Exit Sign",8760,IF(VLOOKUP(C389,xySpace_Type_Details,8,FALSE)="TRM",INDEX('General Information'!$AF$17:$AG$28,11,MATCH(N389,'General Information'!$AF$16:$AG$16,0)),HLOOKUP(VLOOKUP(C389,xySpace_Type_Details,8,FALSE),'General Information'!$P$15:$AG$28,13,FALSE)))),"")</f>
        <v/>
      </c>
      <c r="U389" s="542" t="str">
        <f>IFERROR(IF(C389="","",IF(INDEX(xyWattage_Table,MATCH(M389,'Fixture Identities'!$B$9:$B$997,0),2)="Exit Sign",1,IF(VLOOKUP(C389,xySpace_Type_Details,8,FALSE)="TRM",INDEX('General Information'!$AF$17:$AG$28,12,MATCH(N389,'General Information'!$AF$16:$AG$16,0)),HLOOKUP(VLOOKUP(C389,xySpace_Type_Details,8,FALSE),'General Information'!$P$15:$AG$28,14,FALSE)))),"")</f>
        <v/>
      </c>
      <c r="V389" s="542" t="str">
        <f>IFERROR(VLOOKUP(INDEX(xySpace_Type_Details,MATCH($C389,'General Information'!$C$40:$C$60,0),12),Lookups!$L$8:$N$12,2,FALSE),"")</f>
        <v/>
      </c>
      <c r="W389" s="542" t="str">
        <f>IFERROR(VLOOKUP(INDEX(xySpace_Type_Details,MATCH($C389,'General Information'!$C$40:$C$60,0),12),Lookups!$L$8:$N$12,3,FALSE),"")</f>
        <v/>
      </c>
      <c r="Y389" s="542" t="str">
        <f>IFERROR(IF(C389="","",IF(INDEX(xyWattage_Table,MATCH(M389,'Fixture Identities'!$B$9:$B$997,0),2)="Exit Sign",0,IF(PRJ_Type="Retrofit",VLOOKUP(I389,xySVG_Factors,2,FALSE),IF(AND(PRJ_Type="New Construction",Inventory!C386="N"),VLOOKUP(VLOOKUP(Building_Type,xyLPD_BuildingArea,5,FALSE),xySVG_Factors_NC,3,FALSE),0)))),"")</f>
        <v/>
      </c>
      <c r="Z389" s="544" t="str">
        <f>IFERROR(IF(C389="","",IF(INDEX(xyWattage_Table,MATCH(M389,'Fixture Identities'!$B$9:$B$997,0),2)="Exit Sign",0,VLOOKUP(S389,xySVG_Factors,2,FALSE))),"")</f>
        <v/>
      </c>
      <c r="AA389" s="545" t="str">
        <f t="shared" si="131"/>
        <v/>
      </c>
      <c r="AB389" s="542" t="str">
        <f t="shared" si="132"/>
        <v/>
      </c>
      <c r="AC389" s="539" t="str">
        <f t="shared" si="133"/>
        <v/>
      </c>
      <c r="AD389" s="546" t="str">
        <f t="shared" si="134"/>
        <v/>
      </c>
      <c r="AE389" s="539" t="str">
        <f t="shared" si="135"/>
        <v/>
      </c>
      <c r="AF389" s="546" t="str">
        <f t="shared" si="136"/>
        <v/>
      </c>
      <c r="AG389" s="539" t="str">
        <f t="shared" si="137"/>
        <v/>
      </c>
      <c r="AH389" s="32">
        <f t="shared" si="139"/>
        <v>0</v>
      </c>
      <c r="AI389" s="32">
        <f t="shared" si="140"/>
        <v>0</v>
      </c>
      <c r="AJ389" s="32">
        <f t="shared" si="141"/>
        <v>0</v>
      </c>
      <c r="AK389" t="str">
        <f t="shared" si="142"/>
        <v/>
      </c>
      <c r="AL389" t="str">
        <f t="shared" si="143"/>
        <v/>
      </c>
      <c r="AM389" t="str">
        <f t="shared" si="144"/>
        <v/>
      </c>
      <c r="AO389" t="str">
        <f>IFERROR(VLOOKUP(M389,'Fixture Identities'!$B$9:$O$1045,14,FALSE),"")</f>
        <v/>
      </c>
      <c r="AP389" t="str">
        <f t="shared" si="138"/>
        <v/>
      </c>
    </row>
    <row r="390" spans="1:42">
      <c r="A390" s="71">
        <f t="shared" si="146"/>
        <v>0</v>
      </c>
      <c r="B390" s="513">
        <f t="shared" si="145"/>
        <v>378</v>
      </c>
      <c r="C390" s="530" t="str">
        <f>IF(Inventory!E387="","",Inventory!E387)</f>
        <v/>
      </c>
      <c r="D390" s="531">
        <f>IF(Inventory!D387="",0,Inventory!D387)</f>
        <v>0</v>
      </c>
      <c r="E390" s="532" t="str">
        <f>IF(Inventory!I387=0,"",Inventory!I387)</f>
        <v/>
      </c>
      <c r="F390" s="533" t="str">
        <f t="shared" si="125"/>
        <v/>
      </c>
      <c r="G390" s="534" t="str">
        <f>IF(Inventory!G387="","",Inventory!G387)</f>
        <v/>
      </c>
      <c r="H390" s="535" t="str">
        <f t="shared" si="126"/>
        <v/>
      </c>
      <c r="I390" s="536" t="str">
        <f>IF(Inventory!J387="","",Inventory!J387)</f>
        <v/>
      </c>
      <c r="J390" s="537" t="str">
        <f>IFERROR(IF(PRJ_Type="New Construction",IF(Inventory!C387="N",INDEX(xyLPD_BuildingArea,MATCH(Building_Type,Lookups!$F$37:$F$75,0),4),INDEX(xyLPD_SpaceBySpace,MATCH(INDEX(xyNCEx,MATCH(I390,yNCExArea,0),2),ySpace_by_Space_Type,0),2)),VLOOKUP(E390,xyWattage_Table,11,FALSE)),"")</f>
        <v/>
      </c>
      <c r="K390" s="538" t="str">
        <f>IFERROR(IF(AND(NC_Type="Building Area Method",Inventory!C387="N"),IF(ISERROR(INDEX('Usage Groups (&gt;120 MWh only)'!$N$8:$N$12,MATCH(C390,'Usage Groups (&gt;120 MWh only)'!$B$8:$B$12,0),1))=TRUE,SqFt/COUNTIFS(Inventory!$C$10:$C$1009,"N",$Q$13:$Q$1012,"&gt;=0"),INDEX('Usage Groups (&gt;120 MWh only)'!$N$8:$N$12,MATCH(C390,'Usage Groups (&gt;120 MWh only)'!$B$8:$B$12,0),1)/COUNTIF($C$13:$C$1012,C390)),IF(AND(NC_Type="Building Area Method",Inventory!C387="Y"),INDEX(xyNCEx,MATCH(I390,yNCExArea,0),3)/COUNTIF($I$13:$I$1012,I390),VLOOKUP(J390,xyWattage_Table,10,FALSE))),"")</f>
        <v/>
      </c>
      <c r="L390" s="539" t="str">
        <f t="shared" si="127"/>
        <v/>
      </c>
      <c r="M390" s="540">
        <f>IF(Inventory!N387="","",Inventory!N387)</f>
        <v>0</v>
      </c>
      <c r="N390" s="533" t="str">
        <f t="shared" si="128"/>
        <v/>
      </c>
      <c r="O390" s="534"/>
      <c r="P390" s="533" t="str">
        <f t="shared" si="129"/>
        <v/>
      </c>
      <c r="Q390" s="534" t="str">
        <f>IF(Inventory!L387="","",Inventory!L387)</f>
        <v/>
      </c>
      <c r="R390" s="535" t="str">
        <f t="shared" si="130"/>
        <v/>
      </c>
      <c r="S390" s="536" t="str">
        <f>IF(Inventory!O387="","",Inventory!O387)</f>
        <v/>
      </c>
      <c r="T390" s="541" t="str">
        <f>IFERROR(IF(C390="","",IF(INDEX(xyWattage_Table,MATCH(M390,'Fixture Identities'!$B$9:$B$997,0),2)="Exit Sign",8760,IF(VLOOKUP(C390,xySpace_Type_Details,8,FALSE)="TRM",INDEX('General Information'!$AF$17:$AG$28,11,MATCH(N390,'General Information'!$AF$16:$AG$16,0)),HLOOKUP(VLOOKUP(C390,xySpace_Type_Details,8,FALSE),'General Information'!$P$15:$AG$28,13,FALSE)))),"")</f>
        <v/>
      </c>
      <c r="U390" s="542" t="str">
        <f>IFERROR(IF(C390="","",IF(INDEX(xyWattage_Table,MATCH(M390,'Fixture Identities'!$B$9:$B$997,0),2)="Exit Sign",1,IF(VLOOKUP(C390,xySpace_Type_Details,8,FALSE)="TRM",INDEX('General Information'!$AF$17:$AG$28,12,MATCH(N390,'General Information'!$AF$16:$AG$16,0)),HLOOKUP(VLOOKUP(C390,xySpace_Type_Details,8,FALSE),'General Information'!$P$15:$AG$28,14,FALSE)))),"")</f>
        <v/>
      </c>
      <c r="V390" s="542" t="str">
        <f>IFERROR(VLOOKUP(INDEX(xySpace_Type_Details,MATCH($C390,'General Information'!$C$40:$C$60,0),12),Lookups!$L$8:$N$12,2,FALSE),"")</f>
        <v/>
      </c>
      <c r="W390" s="542" t="str">
        <f>IFERROR(VLOOKUP(INDEX(xySpace_Type_Details,MATCH($C390,'General Information'!$C$40:$C$60,0),12),Lookups!$L$8:$N$12,3,FALSE),"")</f>
        <v/>
      </c>
      <c r="Y390" s="542" t="str">
        <f>IFERROR(IF(C390="","",IF(INDEX(xyWattage_Table,MATCH(M390,'Fixture Identities'!$B$9:$B$997,0),2)="Exit Sign",0,IF(PRJ_Type="Retrofit",VLOOKUP(I390,xySVG_Factors,2,FALSE),IF(AND(PRJ_Type="New Construction",Inventory!C387="N"),VLOOKUP(VLOOKUP(Building_Type,xyLPD_BuildingArea,5,FALSE),xySVG_Factors_NC,3,FALSE),0)))),"")</f>
        <v/>
      </c>
      <c r="Z390" s="544" t="str">
        <f>IFERROR(IF(C390="","",IF(INDEX(xyWattage_Table,MATCH(M390,'Fixture Identities'!$B$9:$B$997,0),2)="Exit Sign",0,VLOOKUP(S390,xySVG_Factors,2,FALSE))),"")</f>
        <v/>
      </c>
      <c r="AA390" s="545" t="str">
        <f t="shared" si="131"/>
        <v/>
      </c>
      <c r="AB390" s="542" t="str">
        <f t="shared" si="132"/>
        <v/>
      </c>
      <c r="AC390" s="539" t="str">
        <f t="shared" si="133"/>
        <v/>
      </c>
      <c r="AD390" s="546" t="str">
        <f t="shared" si="134"/>
        <v/>
      </c>
      <c r="AE390" s="539" t="str">
        <f t="shared" si="135"/>
        <v/>
      </c>
      <c r="AF390" s="546" t="str">
        <f t="shared" si="136"/>
        <v/>
      </c>
      <c r="AG390" s="539" t="str">
        <f t="shared" si="137"/>
        <v/>
      </c>
      <c r="AH390" s="32">
        <f t="shared" si="139"/>
        <v>0</v>
      </c>
      <c r="AI390" s="32">
        <f t="shared" si="140"/>
        <v>0</v>
      </c>
      <c r="AJ390" s="32">
        <f t="shared" si="141"/>
        <v>0</v>
      </c>
      <c r="AK390" t="str">
        <f t="shared" si="142"/>
        <v/>
      </c>
      <c r="AL390" t="str">
        <f t="shared" si="143"/>
        <v/>
      </c>
      <c r="AM390" t="str">
        <f t="shared" si="144"/>
        <v/>
      </c>
      <c r="AO390" t="str">
        <f>IFERROR(VLOOKUP(M390,'Fixture Identities'!$B$9:$O$1045,14,FALSE),"")</f>
        <v/>
      </c>
      <c r="AP390" t="str">
        <f t="shared" si="138"/>
        <v/>
      </c>
    </row>
    <row r="391" spans="1:42">
      <c r="A391" s="71">
        <f t="shared" si="146"/>
        <v>0</v>
      </c>
      <c r="B391" s="513">
        <f t="shared" si="145"/>
        <v>379</v>
      </c>
      <c r="C391" s="530" t="str">
        <f>IF(Inventory!E388="","",Inventory!E388)</f>
        <v/>
      </c>
      <c r="D391" s="531">
        <f>IF(Inventory!D388="",0,Inventory!D388)</f>
        <v>0</v>
      </c>
      <c r="E391" s="532" t="str">
        <f>IF(Inventory!I388=0,"",Inventory!I388)</f>
        <v/>
      </c>
      <c r="F391" s="533" t="str">
        <f t="shared" ref="F391:F454" si="147">IFERROR(VLOOKUP(E391,xyWattage_Table,10,FALSE),"")</f>
        <v/>
      </c>
      <c r="G391" s="534" t="str">
        <f>IF(Inventory!G388="","",Inventory!G388)</f>
        <v/>
      </c>
      <c r="H391" s="535" t="str">
        <f t="shared" ref="H391:H454" si="148">IF(G391="","",G391*F391)</f>
        <v/>
      </c>
      <c r="I391" s="536" t="str">
        <f>IF(Inventory!J388="","",Inventory!J388)</f>
        <v/>
      </c>
      <c r="J391" s="537" t="str">
        <f>IFERROR(IF(PRJ_Type="New Construction",IF(Inventory!C388="N",INDEX(xyLPD_BuildingArea,MATCH(Building_Type,Lookups!$F$37:$F$75,0),4),INDEX(xyLPD_SpaceBySpace,MATCH(INDEX(xyNCEx,MATCH(I391,yNCExArea,0),2),ySpace_by_Space_Type,0),2)),VLOOKUP(E391,xyWattage_Table,11,FALSE)),"")</f>
        <v/>
      </c>
      <c r="K391" s="538" t="str">
        <f>IFERROR(IF(AND(NC_Type="Building Area Method",Inventory!C388="N"),IF(ISERROR(INDEX('Usage Groups (&gt;120 MWh only)'!$N$8:$N$12,MATCH(C391,'Usage Groups (&gt;120 MWh only)'!$B$8:$B$12,0),1))=TRUE,SqFt/COUNTIFS(Inventory!$C$10:$C$1009,"N",$Q$13:$Q$1012,"&gt;=0"),INDEX('Usage Groups (&gt;120 MWh only)'!$N$8:$N$12,MATCH(C391,'Usage Groups (&gt;120 MWh only)'!$B$8:$B$12,0),1)/COUNTIF($C$13:$C$1012,C391)),IF(AND(NC_Type="Building Area Method",Inventory!C388="Y"),INDEX(xyNCEx,MATCH(I391,yNCExArea,0),3)/COUNTIF($I$13:$I$1012,I391),VLOOKUP(J391,xyWattage_Table,10,FALSE))),"")</f>
        <v/>
      </c>
      <c r="L391" s="539" t="str">
        <f t="shared" ref="L391:L454" si="149">IFERROR(IF(PRJ_Type="New Construction",J391*K391,IF(G391="","",K391*G391)),"")</f>
        <v/>
      </c>
      <c r="M391" s="540">
        <f>IF(Inventory!N388="","",Inventory!N388)</f>
        <v>0</v>
      </c>
      <c r="N391" s="533" t="str">
        <f t="shared" ref="N391:N454" si="150">IFERROR(VLOOKUP(M391,xyWattage_Table,12,FALSE),"")</f>
        <v/>
      </c>
      <c r="O391" s="534"/>
      <c r="P391" s="533" t="str">
        <f t="shared" ref="P391:P454" si="151">IFERROR(VLOOKUP(M391,xyWattage_Table,10,FALSE),"")</f>
        <v/>
      </c>
      <c r="Q391" s="534" t="str">
        <f>IF(Inventory!L388="","",Inventory!L388)</f>
        <v/>
      </c>
      <c r="R391" s="535" t="str">
        <f t="shared" ref="R391:R454" si="152">IF(P391="","",Q391*P391)</f>
        <v/>
      </c>
      <c r="S391" s="536" t="str">
        <f>IF(Inventory!O388="","",Inventory!O388)</f>
        <v/>
      </c>
      <c r="T391" s="541" t="str">
        <f>IFERROR(IF(C391="","",IF(INDEX(xyWattage_Table,MATCH(M391,'Fixture Identities'!$B$9:$B$997,0),2)="Exit Sign",8760,IF(VLOOKUP(C391,xySpace_Type_Details,8,FALSE)="TRM",INDEX('General Information'!$AF$17:$AG$28,11,MATCH(N391,'General Information'!$AF$16:$AG$16,0)),HLOOKUP(VLOOKUP(C391,xySpace_Type_Details,8,FALSE),'General Information'!$P$15:$AG$28,13,FALSE)))),"")</f>
        <v/>
      </c>
      <c r="U391" s="542" t="str">
        <f>IFERROR(IF(C391="","",IF(INDEX(xyWattage_Table,MATCH(M391,'Fixture Identities'!$B$9:$B$997,0),2)="Exit Sign",1,IF(VLOOKUP(C391,xySpace_Type_Details,8,FALSE)="TRM",INDEX('General Information'!$AF$17:$AG$28,12,MATCH(N391,'General Information'!$AF$16:$AG$16,0)),HLOOKUP(VLOOKUP(C391,xySpace_Type_Details,8,FALSE),'General Information'!$P$15:$AG$28,14,FALSE)))),"")</f>
        <v/>
      </c>
      <c r="V391" s="542" t="str">
        <f>IFERROR(VLOOKUP(INDEX(xySpace_Type_Details,MATCH($C391,'General Information'!$C$40:$C$60,0),12),Lookups!$L$8:$N$12,2,FALSE),"")</f>
        <v/>
      </c>
      <c r="W391" s="542" t="str">
        <f>IFERROR(VLOOKUP(INDEX(xySpace_Type_Details,MATCH($C391,'General Information'!$C$40:$C$60,0),12),Lookups!$L$8:$N$12,3,FALSE),"")</f>
        <v/>
      </c>
      <c r="Y391" s="542" t="str">
        <f>IFERROR(IF(C391="","",IF(INDEX(xyWattage_Table,MATCH(M391,'Fixture Identities'!$B$9:$B$997,0),2)="Exit Sign",0,IF(PRJ_Type="Retrofit",VLOOKUP(I391,xySVG_Factors,2,FALSE),IF(AND(PRJ_Type="New Construction",Inventory!C388="N"),VLOOKUP(VLOOKUP(Building_Type,xyLPD_BuildingArea,5,FALSE),xySVG_Factors_NC,3,FALSE),0)))),"")</f>
        <v/>
      </c>
      <c r="Z391" s="544" t="str">
        <f>IFERROR(IF(C391="","",IF(INDEX(xyWattage_Table,MATCH(M391,'Fixture Identities'!$B$9:$B$997,0),2)="Exit Sign",0,VLOOKUP(S391,xySVG_Factors,2,FALSE))),"")</f>
        <v/>
      </c>
      <c r="AA391" s="545" t="str">
        <f t="shared" ref="AA391:AA454" si="153">IFERROR((L391-R391)/1000,"")</f>
        <v/>
      </c>
      <c r="AB391" s="542" t="str">
        <f t="shared" ref="AB391:AB454" si="154">IFERROR(AA391*U391*(1+W391)*(1-Y391),"")</f>
        <v/>
      </c>
      <c r="AC391" s="539" t="str">
        <f t="shared" ref="AC391:AC454" si="155">IFERROR(AA391*T391*(1+V391)*(1-Y391),"")</f>
        <v/>
      </c>
      <c r="AD391" s="546" t="str">
        <f t="shared" ref="AD391:AD454" si="156">IFERROR(R391/1000*(Z391-Y391)*(1+W391)*U391,"")</f>
        <v/>
      </c>
      <c r="AE391" s="539" t="str">
        <f t="shared" ref="AE391:AE454" si="157">IFERROR(R391/1000*T391*(Z391-Y391)*(1+V391),"")</f>
        <v/>
      </c>
      <c r="AF391" s="546" t="str">
        <f t="shared" ref="AF391:AF454" si="158">IFERROR(AB391+AD391,"")</f>
        <v/>
      </c>
      <c r="AG391" s="539" t="str">
        <f t="shared" ref="AG391:AG454" si="159">IFERROR(AC391+AE391,"")</f>
        <v/>
      </c>
      <c r="AH391" s="32">
        <f t="shared" si="139"/>
        <v>0</v>
      </c>
      <c r="AI391" s="32">
        <f t="shared" si="140"/>
        <v>0</v>
      </c>
      <c r="AJ391" s="32">
        <f t="shared" si="141"/>
        <v>0</v>
      </c>
      <c r="AK391" t="str">
        <f t="shared" si="142"/>
        <v/>
      </c>
      <c r="AL391" t="str">
        <f t="shared" si="143"/>
        <v/>
      </c>
      <c r="AM391" t="str">
        <f t="shared" si="144"/>
        <v/>
      </c>
      <c r="AO391" t="str">
        <f>IFERROR(VLOOKUP(M391,'Fixture Identities'!$B$9:$O$1045,14,FALSE),"")</f>
        <v/>
      </c>
      <c r="AP391" t="str">
        <f t="shared" si="138"/>
        <v/>
      </c>
    </row>
    <row r="392" spans="1:42">
      <c r="A392" s="71">
        <f t="shared" si="146"/>
        <v>0</v>
      </c>
      <c r="B392" s="513">
        <f t="shared" si="145"/>
        <v>380</v>
      </c>
      <c r="C392" s="530" t="str">
        <f>IF(Inventory!E389="","",Inventory!E389)</f>
        <v/>
      </c>
      <c r="D392" s="531">
        <f>IF(Inventory!D389="",0,Inventory!D389)</f>
        <v>0</v>
      </c>
      <c r="E392" s="532" t="str">
        <f>IF(Inventory!I389=0,"",Inventory!I389)</f>
        <v/>
      </c>
      <c r="F392" s="533" t="str">
        <f t="shared" si="147"/>
        <v/>
      </c>
      <c r="G392" s="534" t="str">
        <f>IF(Inventory!G389="","",Inventory!G389)</f>
        <v/>
      </c>
      <c r="H392" s="535" t="str">
        <f t="shared" si="148"/>
        <v/>
      </c>
      <c r="I392" s="536" t="str">
        <f>IF(Inventory!J389="","",Inventory!J389)</f>
        <v/>
      </c>
      <c r="J392" s="537" t="str">
        <f>IFERROR(IF(PRJ_Type="New Construction",IF(Inventory!C389="N",INDEX(xyLPD_BuildingArea,MATCH(Building_Type,Lookups!$F$37:$F$75,0),4),INDEX(xyLPD_SpaceBySpace,MATCH(INDEX(xyNCEx,MATCH(I392,yNCExArea,0),2),ySpace_by_Space_Type,0),2)),VLOOKUP(E392,xyWattage_Table,11,FALSE)),"")</f>
        <v/>
      </c>
      <c r="K392" s="538" t="str">
        <f>IFERROR(IF(AND(NC_Type="Building Area Method",Inventory!C389="N"),IF(ISERROR(INDEX('Usage Groups (&gt;120 MWh only)'!$N$8:$N$12,MATCH(C392,'Usage Groups (&gt;120 MWh only)'!$B$8:$B$12,0),1))=TRUE,SqFt/COUNTIFS(Inventory!$C$10:$C$1009,"N",$Q$13:$Q$1012,"&gt;=0"),INDEX('Usage Groups (&gt;120 MWh only)'!$N$8:$N$12,MATCH(C392,'Usage Groups (&gt;120 MWh only)'!$B$8:$B$12,0),1)/COUNTIF($C$13:$C$1012,C392)),IF(AND(NC_Type="Building Area Method",Inventory!C389="Y"),INDEX(xyNCEx,MATCH(I392,yNCExArea,0),3)/COUNTIF($I$13:$I$1012,I392),VLOOKUP(J392,xyWattage_Table,10,FALSE))),"")</f>
        <v/>
      </c>
      <c r="L392" s="539" t="str">
        <f t="shared" si="149"/>
        <v/>
      </c>
      <c r="M392" s="540">
        <f>IF(Inventory!N389="","",Inventory!N389)</f>
        <v>0</v>
      </c>
      <c r="N392" s="533" t="str">
        <f t="shared" si="150"/>
        <v/>
      </c>
      <c r="O392" s="534"/>
      <c r="P392" s="533" t="str">
        <f t="shared" si="151"/>
        <v/>
      </c>
      <c r="Q392" s="534" t="str">
        <f>IF(Inventory!L389="","",Inventory!L389)</f>
        <v/>
      </c>
      <c r="R392" s="535" t="str">
        <f t="shared" si="152"/>
        <v/>
      </c>
      <c r="S392" s="536" t="str">
        <f>IF(Inventory!O389="","",Inventory!O389)</f>
        <v/>
      </c>
      <c r="T392" s="541" t="str">
        <f>IFERROR(IF(C392="","",IF(INDEX(xyWattage_Table,MATCH(M392,'Fixture Identities'!$B$9:$B$997,0),2)="Exit Sign",8760,IF(VLOOKUP(C392,xySpace_Type_Details,8,FALSE)="TRM",INDEX('General Information'!$AF$17:$AG$28,11,MATCH(N392,'General Information'!$AF$16:$AG$16,0)),HLOOKUP(VLOOKUP(C392,xySpace_Type_Details,8,FALSE),'General Information'!$P$15:$AG$28,13,FALSE)))),"")</f>
        <v/>
      </c>
      <c r="U392" s="542" t="str">
        <f>IFERROR(IF(C392="","",IF(INDEX(xyWattage_Table,MATCH(M392,'Fixture Identities'!$B$9:$B$997,0),2)="Exit Sign",1,IF(VLOOKUP(C392,xySpace_Type_Details,8,FALSE)="TRM",INDEX('General Information'!$AF$17:$AG$28,12,MATCH(N392,'General Information'!$AF$16:$AG$16,0)),HLOOKUP(VLOOKUP(C392,xySpace_Type_Details,8,FALSE),'General Information'!$P$15:$AG$28,14,FALSE)))),"")</f>
        <v/>
      </c>
      <c r="V392" s="542" t="str">
        <f>IFERROR(VLOOKUP(INDEX(xySpace_Type_Details,MATCH($C392,'General Information'!$C$40:$C$60,0),12),Lookups!$L$8:$N$12,2,FALSE),"")</f>
        <v/>
      </c>
      <c r="W392" s="542" t="str">
        <f>IFERROR(VLOOKUP(INDEX(xySpace_Type_Details,MATCH($C392,'General Information'!$C$40:$C$60,0),12),Lookups!$L$8:$N$12,3,FALSE),"")</f>
        <v/>
      </c>
      <c r="Y392" s="542" t="str">
        <f>IFERROR(IF(C392="","",IF(INDEX(xyWattage_Table,MATCH(M392,'Fixture Identities'!$B$9:$B$997,0),2)="Exit Sign",0,IF(PRJ_Type="Retrofit",VLOOKUP(I392,xySVG_Factors,2,FALSE),IF(AND(PRJ_Type="New Construction",Inventory!C389="N"),VLOOKUP(VLOOKUP(Building_Type,xyLPD_BuildingArea,5,FALSE),xySVG_Factors_NC,3,FALSE),0)))),"")</f>
        <v/>
      </c>
      <c r="Z392" s="544" t="str">
        <f>IFERROR(IF(C392="","",IF(INDEX(xyWattage_Table,MATCH(M392,'Fixture Identities'!$B$9:$B$997,0),2)="Exit Sign",0,VLOOKUP(S392,xySVG_Factors,2,FALSE))),"")</f>
        <v/>
      </c>
      <c r="AA392" s="545" t="str">
        <f t="shared" si="153"/>
        <v/>
      </c>
      <c r="AB392" s="542" t="str">
        <f t="shared" si="154"/>
        <v/>
      </c>
      <c r="AC392" s="539" t="str">
        <f t="shared" si="155"/>
        <v/>
      </c>
      <c r="AD392" s="546" t="str">
        <f t="shared" si="156"/>
        <v/>
      </c>
      <c r="AE392" s="539" t="str">
        <f t="shared" si="157"/>
        <v/>
      </c>
      <c r="AF392" s="546" t="str">
        <f t="shared" si="158"/>
        <v/>
      </c>
      <c r="AG392" s="539" t="str">
        <f t="shared" si="159"/>
        <v/>
      </c>
      <c r="AH392" s="32">
        <f t="shared" si="139"/>
        <v>0</v>
      </c>
      <c r="AI392" s="32">
        <f t="shared" si="140"/>
        <v>0</v>
      </c>
      <c r="AJ392" s="32">
        <f t="shared" si="141"/>
        <v>0</v>
      </c>
      <c r="AK392" t="str">
        <f t="shared" si="142"/>
        <v/>
      </c>
      <c r="AL392" t="str">
        <f t="shared" si="143"/>
        <v/>
      </c>
      <c r="AM392" t="str">
        <f t="shared" si="144"/>
        <v/>
      </c>
      <c r="AO392" t="str">
        <f>IFERROR(VLOOKUP(M392,'Fixture Identities'!$B$9:$O$1045,14,FALSE),"")</f>
        <v/>
      </c>
      <c r="AP392" t="str">
        <f t="shared" si="138"/>
        <v/>
      </c>
    </row>
    <row r="393" spans="1:42">
      <c r="A393" s="71">
        <f t="shared" si="146"/>
        <v>0</v>
      </c>
      <c r="B393" s="513">
        <f t="shared" si="145"/>
        <v>381</v>
      </c>
      <c r="C393" s="530" t="str">
        <f>IF(Inventory!E390="","",Inventory!E390)</f>
        <v/>
      </c>
      <c r="D393" s="531">
        <f>IF(Inventory!D390="",0,Inventory!D390)</f>
        <v>0</v>
      </c>
      <c r="E393" s="532" t="str">
        <f>IF(Inventory!I390=0,"",Inventory!I390)</f>
        <v/>
      </c>
      <c r="F393" s="533" t="str">
        <f t="shared" si="147"/>
        <v/>
      </c>
      <c r="G393" s="534" t="str">
        <f>IF(Inventory!G390="","",Inventory!G390)</f>
        <v/>
      </c>
      <c r="H393" s="535" t="str">
        <f t="shared" si="148"/>
        <v/>
      </c>
      <c r="I393" s="536" t="str">
        <f>IF(Inventory!J390="","",Inventory!J390)</f>
        <v/>
      </c>
      <c r="J393" s="537" t="str">
        <f>IFERROR(IF(PRJ_Type="New Construction",IF(Inventory!C390="N",INDEX(xyLPD_BuildingArea,MATCH(Building_Type,Lookups!$F$37:$F$75,0),4),INDEX(xyLPD_SpaceBySpace,MATCH(INDEX(xyNCEx,MATCH(I393,yNCExArea,0),2),ySpace_by_Space_Type,0),2)),VLOOKUP(E393,xyWattage_Table,11,FALSE)),"")</f>
        <v/>
      </c>
      <c r="K393" s="538" t="str">
        <f>IFERROR(IF(AND(NC_Type="Building Area Method",Inventory!C390="N"),IF(ISERROR(INDEX('Usage Groups (&gt;120 MWh only)'!$N$8:$N$12,MATCH(C393,'Usage Groups (&gt;120 MWh only)'!$B$8:$B$12,0),1))=TRUE,SqFt/COUNTIFS(Inventory!$C$10:$C$1009,"N",$Q$13:$Q$1012,"&gt;=0"),INDEX('Usage Groups (&gt;120 MWh only)'!$N$8:$N$12,MATCH(C393,'Usage Groups (&gt;120 MWh only)'!$B$8:$B$12,0),1)/COUNTIF($C$13:$C$1012,C393)),IF(AND(NC_Type="Building Area Method",Inventory!C390="Y"),INDEX(xyNCEx,MATCH(I393,yNCExArea,0),3)/COUNTIF($I$13:$I$1012,I393),VLOOKUP(J393,xyWattage_Table,10,FALSE))),"")</f>
        <v/>
      </c>
      <c r="L393" s="539" t="str">
        <f t="shared" si="149"/>
        <v/>
      </c>
      <c r="M393" s="540">
        <f>IF(Inventory!N390="","",Inventory!N390)</f>
        <v>0</v>
      </c>
      <c r="N393" s="533" t="str">
        <f t="shared" si="150"/>
        <v/>
      </c>
      <c r="O393" s="534"/>
      <c r="P393" s="533" t="str">
        <f t="shared" si="151"/>
        <v/>
      </c>
      <c r="Q393" s="534" t="str">
        <f>IF(Inventory!L390="","",Inventory!L390)</f>
        <v/>
      </c>
      <c r="R393" s="535" t="str">
        <f t="shared" si="152"/>
        <v/>
      </c>
      <c r="S393" s="536" t="str">
        <f>IF(Inventory!O390="","",Inventory!O390)</f>
        <v/>
      </c>
      <c r="T393" s="541" t="str">
        <f>IFERROR(IF(C393="","",IF(INDEX(xyWattage_Table,MATCH(M393,'Fixture Identities'!$B$9:$B$997,0),2)="Exit Sign",8760,IF(VLOOKUP(C393,xySpace_Type_Details,8,FALSE)="TRM",INDEX('General Information'!$AF$17:$AG$28,11,MATCH(N393,'General Information'!$AF$16:$AG$16,0)),HLOOKUP(VLOOKUP(C393,xySpace_Type_Details,8,FALSE),'General Information'!$P$15:$AG$28,13,FALSE)))),"")</f>
        <v/>
      </c>
      <c r="U393" s="542" t="str">
        <f>IFERROR(IF(C393="","",IF(INDEX(xyWattage_Table,MATCH(M393,'Fixture Identities'!$B$9:$B$997,0),2)="Exit Sign",1,IF(VLOOKUP(C393,xySpace_Type_Details,8,FALSE)="TRM",INDEX('General Information'!$AF$17:$AG$28,12,MATCH(N393,'General Information'!$AF$16:$AG$16,0)),HLOOKUP(VLOOKUP(C393,xySpace_Type_Details,8,FALSE),'General Information'!$P$15:$AG$28,14,FALSE)))),"")</f>
        <v/>
      </c>
      <c r="V393" s="542" t="str">
        <f>IFERROR(VLOOKUP(INDEX(xySpace_Type_Details,MATCH($C393,'General Information'!$C$40:$C$60,0),12),Lookups!$L$8:$N$12,2,FALSE),"")</f>
        <v/>
      </c>
      <c r="W393" s="542" t="str">
        <f>IFERROR(VLOOKUP(INDEX(xySpace_Type_Details,MATCH($C393,'General Information'!$C$40:$C$60,0),12),Lookups!$L$8:$N$12,3,FALSE),"")</f>
        <v/>
      </c>
      <c r="Y393" s="542" t="str">
        <f>IFERROR(IF(C393="","",IF(INDEX(xyWattage_Table,MATCH(M393,'Fixture Identities'!$B$9:$B$997,0),2)="Exit Sign",0,IF(PRJ_Type="Retrofit",VLOOKUP(I393,xySVG_Factors,2,FALSE),IF(AND(PRJ_Type="New Construction",Inventory!C390="N"),VLOOKUP(VLOOKUP(Building_Type,xyLPD_BuildingArea,5,FALSE),xySVG_Factors_NC,3,FALSE),0)))),"")</f>
        <v/>
      </c>
      <c r="Z393" s="544" t="str">
        <f>IFERROR(IF(C393="","",IF(INDEX(xyWattage_Table,MATCH(M393,'Fixture Identities'!$B$9:$B$997,0),2)="Exit Sign",0,VLOOKUP(S393,xySVG_Factors,2,FALSE))),"")</f>
        <v/>
      </c>
      <c r="AA393" s="545" t="str">
        <f t="shared" si="153"/>
        <v/>
      </c>
      <c r="AB393" s="542" t="str">
        <f t="shared" si="154"/>
        <v/>
      </c>
      <c r="AC393" s="539" t="str">
        <f t="shared" si="155"/>
        <v/>
      </c>
      <c r="AD393" s="546" t="str">
        <f t="shared" si="156"/>
        <v/>
      </c>
      <c r="AE393" s="539" t="str">
        <f t="shared" si="157"/>
        <v/>
      </c>
      <c r="AF393" s="546" t="str">
        <f t="shared" si="158"/>
        <v/>
      </c>
      <c r="AG393" s="539" t="str">
        <f t="shared" si="159"/>
        <v/>
      </c>
      <c r="AH393" s="32">
        <f t="shared" si="139"/>
        <v>0</v>
      </c>
      <c r="AI393" s="32">
        <f t="shared" si="140"/>
        <v>0</v>
      </c>
      <c r="AJ393" s="32">
        <f t="shared" si="141"/>
        <v>0</v>
      </c>
      <c r="AK393" t="str">
        <f t="shared" si="142"/>
        <v/>
      </c>
      <c r="AL393" t="str">
        <f t="shared" si="143"/>
        <v/>
      </c>
      <c r="AM393" t="str">
        <f t="shared" si="144"/>
        <v/>
      </c>
      <c r="AO393" t="str">
        <f>IFERROR(VLOOKUP(M393,'Fixture Identities'!$B$9:$O$1045,14,FALSE),"")</f>
        <v/>
      </c>
      <c r="AP393" t="str">
        <f t="shared" si="138"/>
        <v/>
      </c>
    </row>
    <row r="394" spans="1:42">
      <c r="A394" s="71">
        <f t="shared" si="146"/>
        <v>0</v>
      </c>
      <c r="B394" s="513">
        <f t="shared" si="145"/>
        <v>382</v>
      </c>
      <c r="C394" s="530" t="str">
        <f>IF(Inventory!E391="","",Inventory!E391)</f>
        <v/>
      </c>
      <c r="D394" s="531">
        <f>IF(Inventory!D391="",0,Inventory!D391)</f>
        <v>0</v>
      </c>
      <c r="E394" s="532" t="str">
        <f>IF(Inventory!I391=0,"",Inventory!I391)</f>
        <v/>
      </c>
      <c r="F394" s="533" t="str">
        <f t="shared" si="147"/>
        <v/>
      </c>
      <c r="G394" s="534" t="str">
        <f>IF(Inventory!G391="","",Inventory!G391)</f>
        <v/>
      </c>
      <c r="H394" s="535" t="str">
        <f t="shared" si="148"/>
        <v/>
      </c>
      <c r="I394" s="536" t="str">
        <f>IF(Inventory!J391="","",Inventory!J391)</f>
        <v/>
      </c>
      <c r="J394" s="537" t="str">
        <f>IFERROR(IF(PRJ_Type="New Construction",IF(Inventory!C391="N",INDEX(xyLPD_BuildingArea,MATCH(Building_Type,Lookups!$F$37:$F$75,0),4),INDEX(xyLPD_SpaceBySpace,MATCH(INDEX(xyNCEx,MATCH(I394,yNCExArea,0),2),ySpace_by_Space_Type,0),2)),VLOOKUP(E394,xyWattage_Table,11,FALSE)),"")</f>
        <v/>
      </c>
      <c r="K394" s="538" t="str">
        <f>IFERROR(IF(AND(NC_Type="Building Area Method",Inventory!C391="N"),IF(ISERROR(INDEX('Usage Groups (&gt;120 MWh only)'!$N$8:$N$12,MATCH(C394,'Usage Groups (&gt;120 MWh only)'!$B$8:$B$12,0),1))=TRUE,SqFt/COUNTIFS(Inventory!$C$10:$C$1009,"N",$Q$13:$Q$1012,"&gt;=0"),INDEX('Usage Groups (&gt;120 MWh only)'!$N$8:$N$12,MATCH(C394,'Usage Groups (&gt;120 MWh only)'!$B$8:$B$12,0),1)/COUNTIF($C$13:$C$1012,C394)),IF(AND(NC_Type="Building Area Method",Inventory!C391="Y"),INDEX(xyNCEx,MATCH(I394,yNCExArea,0),3)/COUNTIF($I$13:$I$1012,I394),VLOOKUP(J394,xyWattage_Table,10,FALSE))),"")</f>
        <v/>
      </c>
      <c r="L394" s="539" t="str">
        <f t="shared" si="149"/>
        <v/>
      </c>
      <c r="M394" s="540">
        <f>IF(Inventory!N391="","",Inventory!N391)</f>
        <v>0</v>
      </c>
      <c r="N394" s="533" t="str">
        <f t="shared" si="150"/>
        <v/>
      </c>
      <c r="O394" s="534"/>
      <c r="P394" s="533" t="str">
        <f t="shared" si="151"/>
        <v/>
      </c>
      <c r="Q394" s="534" t="str">
        <f>IF(Inventory!L391="","",Inventory!L391)</f>
        <v/>
      </c>
      <c r="R394" s="535" t="str">
        <f t="shared" si="152"/>
        <v/>
      </c>
      <c r="S394" s="536" t="str">
        <f>IF(Inventory!O391="","",Inventory!O391)</f>
        <v/>
      </c>
      <c r="T394" s="541" t="str">
        <f>IFERROR(IF(C394="","",IF(INDEX(xyWattage_Table,MATCH(M394,'Fixture Identities'!$B$9:$B$997,0),2)="Exit Sign",8760,IF(VLOOKUP(C394,xySpace_Type_Details,8,FALSE)="TRM",INDEX('General Information'!$AF$17:$AG$28,11,MATCH(N394,'General Information'!$AF$16:$AG$16,0)),HLOOKUP(VLOOKUP(C394,xySpace_Type_Details,8,FALSE),'General Information'!$P$15:$AG$28,13,FALSE)))),"")</f>
        <v/>
      </c>
      <c r="U394" s="542" t="str">
        <f>IFERROR(IF(C394="","",IF(INDEX(xyWattage_Table,MATCH(M394,'Fixture Identities'!$B$9:$B$997,0),2)="Exit Sign",1,IF(VLOOKUP(C394,xySpace_Type_Details,8,FALSE)="TRM",INDEX('General Information'!$AF$17:$AG$28,12,MATCH(N394,'General Information'!$AF$16:$AG$16,0)),HLOOKUP(VLOOKUP(C394,xySpace_Type_Details,8,FALSE),'General Information'!$P$15:$AG$28,14,FALSE)))),"")</f>
        <v/>
      </c>
      <c r="V394" s="542" t="str">
        <f>IFERROR(VLOOKUP(INDEX(xySpace_Type_Details,MATCH($C394,'General Information'!$C$40:$C$60,0),12),Lookups!$L$8:$N$12,2,FALSE),"")</f>
        <v/>
      </c>
      <c r="W394" s="542" t="str">
        <f>IFERROR(VLOOKUP(INDEX(xySpace_Type_Details,MATCH($C394,'General Information'!$C$40:$C$60,0),12),Lookups!$L$8:$N$12,3,FALSE),"")</f>
        <v/>
      </c>
      <c r="Y394" s="542" t="str">
        <f>IFERROR(IF(C394="","",IF(INDEX(xyWattage_Table,MATCH(M394,'Fixture Identities'!$B$9:$B$997,0),2)="Exit Sign",0,IF(PRJ_Type="Retrofit",VLOOKUP(I394,xySVG_Factors,2,FALSE),IF(AND(PRJ_Type="New Construction",Inventory!C391="N"),VLOOKUP(VLOOKUP(Building_Type,xyLPD_BuildingArea,5,FALSE),xySVG_Factors_NC,3,FALSE),0)))),"")</f>
        <v/>
      </c>
      <c r="Z394" s="544" t="str">
        <f>IFERROR(IF(C394="","",IF(INDEX(xyWattage_Table,MATCH(M394,'Fixture Identities'!$B$9:$B$997,0),2)="Exit Sign",0,VLOOKUP(S394,xySVG_Factors,2,FALSE))),"")</f>
        <v/>
      </c>
      <c r="AA394" s="545" t="str">
        <f t="shared" si="153"/>
        <v/>
      </c>
      <c r="AB394" s="542" t="str">
        <f t="shared" si="154"/>
        <v/>
      </c>
      <c r="AC394" s="539" t="str">
        <f t="shared" si="155"/>
        <v/>
      </c>
      <c r="AD394" s="546" t="str">
        <f t="shared" si="156"/>
        <v/>
      </c>
      <c r="AE394" s="539" t="str">
        <f t="shared" si="157"/>
        <v/>
      </c>
      <c r="AF394" s="546" t="str">
        <f t="shared" si="158"/>
        <v/>
      </c>
      <c r="AG394" s="539" t="str">
        <f t="shared" si="159"/>
        <v/>
      </c>
      <c r="AH394" s="32">
        <f t="shared" si="139"/>
        <v>0</v>
      </c>
      <c r="AI394" s="32">
        <f t="shared" si="140"/>
        <v>0</v>
      </c>
      <c r="AJ394" s="32">
        <f t="shared" si="141"/>
        <v>0</v>
      </c>
      <c r="AK394" t="str">
        <f t="shared" si="142"/>
        <v/>
      </c>
      <c r="AL394" t="str">
        <f t="shared" si="143"/>
        <v/>
      </c>
      <c r="AM394" t="str">
        <f t="shared" si="144"/>
        <v/>
      </c>
      <c r="AO394" t="str">
        <f>IFERROR(VLOOKUP(M394,'Fixture Identities'!$B$9:$O$1045,14,FALSE),"")</f>
        <v/>
      </c>
      <c r="AP394" t="str">
        <f t="shared" si="138"/>
        <v/>
      </c>
    </row>
    <row r="395" spans="1:42">
      <c r="A395" s="71">
        <f t="shared" si="146"/>
        <v>0</v>
      </c>
      <c r="B395" s="513">
        <f t="shared" si="145"/>
        <v>383</v>
      </c>
      <c r="C395" s="530" t="str">
        <f>IF(Inventory!E392="","",Inventory!E392)</f>
        <v/>
      </c>
      <c r="D395" s="531">
        <f>IF(Inventory!D392="",0,Inventory!D392)</f>
        <v>0</v>
      </c>
      <c r="E395" s="532" t="str">
        <f>IF(Inventory!I392=0,"",Inventory!I392)</f>
        <v/>
      </c>
      <c r="F395" s="533" t="str">
        <f t="shared" si="147"/>
        <v/>
      </c>
      <c r="G395" s="534" t="str">
        <f>IF(Inventory!G392="","",Inventory!G392)</f>
        <v/>
      </c>
      <c r="H395" s="535" t="str">
        <f t="shared" si="148"/>
        <v/>
      </c>
      <c r="I395" s="536" t="str">
        <f>IF(Inventory!J392="","",Inventory!J392)</f>
        <v/>
      </c>
      <c r="J395" s="537" t="str">
        <f>IFERROR(IF(PRJ_Type="New Construction",IF(Inventory!C392="N",INDEX(xyLPD_BuildingArea,MATCH(Building_Type,Lookups!$F$37:$F$75,0),4),INDEX(xyLPD_SpaceBySpace,MATCH(INDEX(xyNCEx,MATCH(I395,yNCExArea,0),2),ySpace_by_Space_Type,0),2)),VLOOKUP(E395,xyWattage_Table,11,FALSE)),"")</f>
        <v/>
      </c>
      <c r="K395" s="538" t="str">
        <f>IFERROR(IF(AND(NC_Type="Building Area Method",Inventory!C392="N"),IF(ISERROR(INDEX('Usage Groups (&gt;120 MWh only)'!$N$8:$N$12,MATCH(C395,'Usage Groups (&gt;120 MWh only)'!$B$8:$B$12,0),1))=TRUE,SqFt/COUNTIFS(Inventory!$C$10:$C$1009,"N",$Q$13:$Q$1012,"&gt;=0"),INDEX('Usage Groups (&gt;120 MWh only)'!$N$8:$N$12,MATCH(C395,'Usage Groups (&gt;120 MWh only)'!$B$8:$B$12,0),1)/COUNTIF($C$13:$C$1012,C395)),IF(AND(NC_Type="Building Area Method",Inventory!C392="Y"),INDEX(xyNCEx,MATCH(I395,yNCExArea,0),3)/COUNTIF($I$13:$I$1012,I395),VLOOKUP(J395,xyWattage_Table,10,FALSE))),"")</f>
        <v/>
      </c>
      <c r="L395" s="539" t="str">
        <f t="shared" si="149"/>
        <v/>
      </c>
      <c r="M395" s="540">
        <f>IF(Inventory!N392="","",Inventory!N392)</f>
        <v>0</v>
      </c>
      <c r="N395" s="533" t="str">
        <f t="shared" si="150"/>
        <v/>
      </c>
      <c r="O395" s="534"/>
      <c r="P395" s="533" t="str">
        <f t="shared" si="151"/>
        <v/>
      </c>
      <c r="Q395" s="534" t="str">
        <f>IF(Inventory!L392="","",Inventory!L392)</f>
        <v/>
      </c>
      <c r="R395" s="535" t="str">
        <f t="shared" si="152"/>
        <v/>
      </c>
      <c r="S395" s="536" t="str">
        <f>IF(Inventory!O392="","",Inventory!O392)</f>
        <v/>
      </c>
      <c r="T395" s="541" t="str">
        <f>IFERROR(IF(C395="","",IF(INDEX(xyWattage_Table,MATCH(M395,'Fixture Identities'!$B$9:$B$997,0),2)="Exit Sign",8760,IF(VLOOKUP(C395,xySpace_Type_Details,8,FALSE)="TRM",INDEX('General Information'!$AF$17:$AG$28,11,MATCH(N395,'General Information'!$AF$16:$AG$16,0)),HLOOKUP(VLOOKUP(C395,xySpace_Type_Details,8,FALSE),'General Information'!$P$15:$AG$28,13,FALSE)))),"")</f>
        <v/>
      </c>
      <c r="U395" s="542" t="str">
        <f>IFERROR(IF(C395="","",IF(INDEX(xyWattage_Table,MATCH(M395,'Fixture Identities'!$B$9:$B$997,0),2)="Exit Sign",1,IF(VLOOKUP(C395,xySpace_Type_Details,8,FALSE)="TRM",INDEX('General Information'!$AF$17:$AG$28,12,MATCH(N395,'General Information'!$AF$16:$AG$16,0)),HLOOKUP(VLOOKUP(C395,xySpace_Type_Details,8,FALSE),'General Information'!$P$15:$AG$28,14,FALSE)))),"")</f>
        <v/>
      </c>
      <c r="V395" s="542" t="str">
        <f>IFERROR(VLOOKUP(INDEX(xySpace_Type_Details,MATCH($C395,'General Information'!$C$40:$C$60,0),12),Lookups!$L$8:$N$12,2,FALSE),"")</f>
        <v/>
      </c>
      <c r="W395" s="542" t="str">
        <f>IFERROR(VLOOKUP(INDEX(xySpace_Type_Details,MATCH($C395,'General Information'!$C$40:$C$60,0),12),Lookups!$L$8:$N$12,3,FALSE),"")</f>
        <v/>
      </c>
      <c r="Y395" s="542" t="str">
        <f>IFERROR(IF(C395="","",IF(INDEX(xyWattage_Table,MATCH(M395,'Fixture Identities'!$B$9:$B$997,0),2)="Exit Sign",0,IF(PRJ_Type="Retrofit",VLOOKUP(I395,xySVG_Factors,2,FALSE),IF(AND(PRJ_Type="New Construction",Inventory!C392="N"),VLOOKUP(VLOOKUP(Building_Type,xyLPD_BuildingArea,5,FALSE),xySVG_Factors_NC,3,FALSE),0)))),"")</f>
        <v/>
      </c>
      <c r="Z395" s="544" t="str">
        <f>IFERROR(IF(C395="","",IF(INDEX(xyWattage_Table,MATCH(M395,'Fixture Identities'!$B$9:$B$997,0),2)="Exit Sign",0,VLOOKUP(S395,xySVG_Factors,2,FALSE))),"")</f>
        <v/>
      </c>
      <c r="AA395" s="545" t="str">
        <f t="shared" si="153"/>
        <v/>
      </c>
      <c r="AB395" s="542" t="str">
        <f t="shared" si="154"/>
        <v/>
      </c>
      <c r="AC395" s="539" t="str">
        <f t="shared" si="155"/>
        <v/>
      </c>
      <c r="AD395" s="546" t="str">
        <f t="shared" si="156"/>
        <v/>
      </c>
      <c r="AE395" s="539" t="str">
        <f t="shared" si="157"/>
        <v/>
      </c>
      <c r="AF395" s="546" t="str">
        <f t="shared" si="158"/>
        <v/>
      </c>
      <c r="AG395" s="539" t="str">
        <f t="shared" si="159"/>
        <v/>
      </c>
      <c r="AH395" s="32">
        <f t="shared" si="139"/>
        <v>0</v>
      </c>
      <c r="AI395" s="32">
        <f t="shared" si="140"/>
        <v>0</v>
      </c>
      <c r="AJ395" s="32">
        <f t="shared" si="141"/>
        <v>0</v>
      </c>
      <c r="AK395" t="str">
        <f t="shared" si="142"/>
        <v/>
      </c>
      <c r="AL395" t="str">
        <f t="shared" si="143"/>
        <v/>
      </c>
      <c r="AM395" t="str">
        <f t="shared" si="144"/>
        <v/>
      </c>
      <c r="AO395" t="str">
        <f>IFERROR(VLOOKUP(M395,'Fixture Identities'!$B$9:$O$1045,14,FALSE),"")</f>
        <v/>
      </c>
      <c r="AP395" t="str">
        <f t="shared" si="138"/>
        <v/>
      </c>
    </row>
    <row r="396" spans="1:42">
      <c r="A396" s="71">
        <f t="shared" si="146"/>
        <v>0</v>
      </c>
      <c r="B396" s="513">
        <f t="shared" si="145"/>
        <v>384</v>
      </c>
      <c r="C396" s="530" t="str">
        <f>IF(Inventory!E393="","",Inventory!E393)</f>
        <v/>
      </c>
      <c r="D396" s="531">
        <f>IF(Inventory!D393="",0,Inventory!D393)</f>
        <v>0</v>
      </c>
      <c r="E396" s="532" t="str">
        <f>IF(Inventory!I393=0,"",Inventory!I393)</f>
        <v/>
      </c>
      <c r="F396" s="533" t="str">
        <f t="shared" si="147"/>
        <v/>
      </c>
      <c r="G396" s="534" t="str">
        <f>IF(Inventory!G393="","",Inventory!G393)</f>
        <v/>
      </c>
      <c r="H396" s="535" t="str">
        <f t="shared" si="148"/>
        <v/>
      </c>
      <c r="I396" s="536" t="str">
        <f>IF(Inventory!J393="","",Inventory!J393)</f>
        <v/>
      </c>
      <c r="J396" s="537" t="str">
        <f>IFERROR(IF(PRJ_Type="New Construction",IF(Inventory!C393="N",INDEX(xyLPD_BuildingArea,MATCH(Building_Type,Lookups!$F$37:$F$75,0),4),INDEX(xyLPD_SpaceBySpace,MATCH(INDEX(xyNCEx,MATCH(I396,yNCExArea,0),2),ySpace_by_Space_Type,0),2)),VLOOKUP(E396,xyWattage_Table,11,FALSE)),"")</f>
        <v/>
      </c>
      <c r="K396" s="538" t="str">
        <f>IFERROR(IF(AND(NC_Type="Building Area Method",Inventory!C393="N"),IF(ISERROR(INDEX('Usage Groups (&gt;120 MWh only)'!$N$8:$N$12,MATCH(C396,'Usage Groups (&gt;120 MWh only)'!$B$8:$B$12,0),1))=TRUE,SqFt/COUNTIFS(Inventory!$C$10:$C$1009,"N",$Q$13:$Q$1012,"&gt;=0"),INDEX('Usage Groups (&gt;120 MWh only)'!$N$8:$N$12,MATCH(C396,'Usage Groups (&gt;120 MWh only)'!$B$8:$B$12,0),1)/COUNTIF($C$13:$C$1012,C396)),IF(AND(NC_Type="Building Area Method",Inventory!C393="Y"),INDEX(xyNCEx,MATCH(I396,yNCExArea,0),3)/COUNTIF($I$13:$I$1012,I396),VLOOKUP(J396,xyWattage_Table,10,FALSE))),"")</f>
        <v/>
      </c>
      <c r="L396" s="539" t="str">
        <f t="shared" si="149"/>
        <v/>
      </c>
      <c r="M396" s="540">
        <f>IF(Inventory!N393="","",Inventory!N393)</f>
        <v>0</v>
      </c>
      <c r="N396" s="533" t="str">
        <f t="shared" si="150"/>
        <v/>
      </c>
      <c r="O396" s="534"/>
      <c r="P396" s="533" t="str">
        <f t="shared" si="151"/>
        <v/>
      </c>
      <c r="Q396" s="534" t="str">
        <f>IF(Inventory!L393="","",Inventory!L393)</f>
        <v/>
      </c>
      <c r="R396" s="535" t="str">
        <f t="shared" si="152"/>
        <v/>
      </c>
      <c r="S396" s="536" t="str">
        <f>IF(Inventory!O393="","",Inventory!O393)</f>
        <v/>
      </c>
      <c r="T396" s="541" t="str">
        <f>IFERROR(IF(C396="","",IF(INDEX(xyWattage_Table,MATCH(M396,'Fixture Identities'!$B$9:$B$997,0),2)="Exit Sign",8760,IF(VLOOKUP(C396,xySpace_Type_Details,8,FALSE)="TRM",INDEX('General Information'!$AF$17:$AG$28,11,MATCH(N396,'General Information'!$AF$16:$AG$16,0)),HLOOKUP(VLOOKUP(C396,xySpace_Type_Details,8,FALSE),'General Information'!$P$15:$AG$28,13,FALSE)))),"")</f>
        <v/>
      </c>
      <c r="U396" s="542" t="str">
        <f>IFERROR(IF(C396="","",IF(INDEX(xyWattage_Table,MATCH(M396,'Fixture Identities'!$B$9:$B$997,0),2)="Exit Sign",1,IF(VLOOKUP(C396,xySpace_Type_Details,8,FALSE)="TRM",INDEX('General Information'!$AF$17:$AG$28,12,MATCH(N396,'General Information'!$AF$16:$AG$16,0)),HLOOKUP(VLOOKUP(C396,xySpace_Type_Details,8,FALSE),'General Information'!$P$15:$AG$28,14,FALSE)))),"")</f>
        <v/>
      </c>
      <c r="V396" s="542" t="str">
        <f>IFERROR(VLOOKUP(INDEX(xySpace_Type_Details,MATCH($C396,'General Information'!$C$40:$C$60,0),12),Lookups!$L$8:$N$12,2,FALSE),"")</f>
        <v/>
      </c>
      <c r="W396" s="542" t="str">
        <f>IFERROR(VLOOKUP(INDEX(xySpace_Type_Details,MATCH($C396,'General Information'!$C$40:$C$60,0),12),Lookups!$L$8:$N$12,3,FALSE),"")</f>
        <v/>
      </c>
      <c r="Y396" s="542" t="str">
        <f>IFERROR(IF(C396="","",IF(INDEX(xyWattage_Table,MATCH(M396,'Fixture Identities'!$B$9:$B$997,0),2)="Exit Sign",0,IF(PRJ_Type="Retrofit",VLOOKUP(I396,xySVG_Factors,2,FALSE),IF(AND(PRJ_Type="New Construction",Inventory!C393="N"),VLOOKUP(VLOOKUP(Building_Type,xyLPD_BuildingArea,5,FALSE),xySVG_Factors_NC,3,FALSE),0)))),"")</f>
        <v/>
      </c>
      <c r="Z396" s="544" t="str">
        <f>IFERROR(IF(C396="","",IF(INDEX(xyWattage_Table,MATCH(M396,'Fixture Identities'!$B$9:$B$997,0),2)="Exit Sign",0,VLOOKUP(S396,xySVG_Factors,2,FALSE))),"")</f>
        <v/>
      </c>
      <c r="AA396" s="545" t="str">
        <f t="shared" si="153"/>
        <v/>
      </c>
      <c r="AB396" s="542" t="str">
        <f t="shared" si="154"/>
        <v/>
      </c>
      <c r="AC396" s="539" t="str">
        <f t="shared" si="155"/>
        <v/>
      </c>
      <c r="AD396" s="546" t="str">
        <f t="shared" si="156"/>
        <v/>
      </c>
      <c r="AE396" s="539" t="str">
        <f t="shared" si="157"/>
        <v/>
      </c>
      <c r="AF396" s="546" t="str">
        <f t="shared" si="158"/>
        <v/>
      </c>
      <c r="AG396" s="539" t="str">
        <f t="shared" si="159"/>
        <v/>
      </c>
      <c r="AH396" s="32">
        <f t="shared" si="139"/>
        <v>0</v>
      </c>
      <c r="AI396" s="32">
        <f t="shared" si="140"/>
        <v>0</v>
      </c>
      <c r="AJ396" s="32">
        <f t="shared" si="141"/>
        <v>0</v>
      </c>
      <c r="AK396" t="str">
        <f t="shared" si="142"/>
        <v/>
      </c>
      <c r="AL396" t="str">
        <f t="shared" si="143"/>
        <v/>
      </c>
      <c r="AM396" t="str">
        <f t="shared" si="144"/>
        <v/>
      </c>
      <c r="AO396" t="str">
        <f>IFERROR(VLOOKUP(M396,'Fixture Identities'!$B$9:$O$1045,14,FALSE),"")</f>
        <v/>
      </c>
      <c r="AP396" t="str">
        <f t="shared" si="138"/>
        <v/>
      </c>
    </row>
    <row r="397" spans="1:42">
      <c r="A397" s="71">
        <f t="shared" si="146"/>
        <v>0</v>
      </c>
      <c r="B397" s="513">
        <f t="shared" si="145"/>
        <v>385</v>
      </c>
      <c r="C397" s="530" t="str">
        <f>IF(Inventory!E394="","",Inventory!E394)</f>
        <v/>
      </c>
      <c r="D397" s="531">
        <f>IF(Inventory!D394="",0,Inventory!D394)</f>
        <v>0</v>
      </c>
      <c r="E397" s="532" t="str">
        <f>IF(Inventory!I394=0,"",Inventory!I394)</f>
        <v/>
      </c>
      <c r="F397" s="533" t="str">
        <f t="shared" si="147"/>
        <v/>
      </c>
      <c r="G397" s="534" t="str">
        <f>IF(Inventory!G394="","",Inventory!G394)</f>
        <v/>
      </c>
      <c r="H397" s="535" t="str">
        <f t="shared" si="148"/>
        <v/>
      </c>
      <c r="I397" s="536" t="str">
        <f>IF(Inventory!J394="","",Inventory!J394)</f>
        <v/>
      </c>
      <c r="J397" s="537" t="str">
        <f>IFERROR(IF(PRJ_Type="New Construction",IF(Inventory!C394="N",INDEX(xyLPD_BuildingArea,MATCH(Building_Type,Lookups!$F$37:$F$75,0),4),INDEX(xyLPD_SpaceBySpace,MATCH(INDEX(xyNCEx,MATCH(I397,yNCExArea,0),2),ySpace_by_Space_Type,0),2)),VLOOKUP(E397,xyWattage_Table,11,FALSE)),"")</f>
        <v/>
      </c>
      <c r="K397" s="538" t="str">
        <f>IFERROR(IF(AND(NC_Type="Building Area Method",Inventory!C394="N"),IF(ISERROR(INDEX('Usage Groups (&gt;120 MWh only)'!$N$8:$N$12,MATCH(C397,'Usage Groups (&gt;120 MWh only)'!$B$8:$B$12,0),1))=TRUE,SqFt/COUNTIFS(Inventory!$C$10:$C$1009,"N",$Q$13:$Q$1012,"&gt;=0"),INDEX('Usage Groups (&gt;120 MWh only)'!$N$8:$N$12,MATCH(C397,'Usage Groups (&gt;120 MWh only)'!$B$8:$B$12,0),1)/COUNTIF($C$13:$C$1012,C397)),IF(AND(NC_Type="Building Area Method",Inventory!C394="Y"),INDEX(xyNCEx,MATCH(I397,yNCExArea,0),3)/COUNTIF($I$13:$I$1012,I397),VLOOKUP(J397,xyWattage_Table,10,FALSE))),"")</f>
        <v/>
      </c>
      <c r="L397" s="539" t="str">
        <f t="shared" si="149"/>
        <v/>
      </c>
      <c r="M397" s="540">
        <f>IF(Inventory!N394="","",Inventory!N394)</f>
        <v>0</v>
      </c>
      <c r="N397" s="533" t="str">
        <f t="shared" si="150"/>
        <v/>
      </c>
      <c r="O397" s="534"/>
      <c r="P397" s="533" t="str">
        <f t="shared" si="151"/>
        <v/>
      </c>
      <c r="Q397" s="534" t="str">
        <f>IF(Inventory!L394="","",Inventory!L394)</f>
        <v/>
      </c>
      <c r="R397" s="535" t="str">
        <f t="shared" si="152"/>
        <v/>
      </c>
      <c r="S397" s="536" t="str">
        <f>IF(Inventory!O394="","",Inventory!O394)</f>
        <v/>
      </c>
      <c r="T397" s="541" t="str">
        <f>IFERROR(IF(C397="","",IF(INDEX(xyWattage_Table,MATCH(M397,'Fixture Identities'!$B$9:$B$997,0),2)="Exit Sign",8760,IF(VLOOKUP(C397,xySpace_Type_Details,8,FALSE)="TRM",INDEX('General Information'!$AF$17:$AG$28,11,MATCH(N397,'General Information'!$AF$16:$AG$16,0)),HLOOKUP(VLOOKUP(C397,xySpace_Type_Details,8,FALSE),'General Information'!$P$15:$AG$28,13,FALSE)))),"")</f>
        <v/>
      </c>
      <c r="U397" s="542" t="str">
        <f>IFERROR(IF(C397="","",IF(INDEX(xyWattage_Table,MATCH(M397,'Fixture Identities'!$B$9:$B$997,0),2)="Exit Sign",1,IF(VLOOKUP(C397,xySpace_Type_Details,8,FALSE)="TRM",INDEX('General Information'!$AF$17:$AG$28,12,MATCH(N397,'General Information'!$AF$16:$AG$16,0)),HLOOKUP(VLOOKUP(C397,xySpace_Type_Details,8,FALSE),'General Information'!$P$15:$AG$28,14,FALSE)))),"")</f>
        <v/>
      </c>
      <c r="V397" s="542" t="str">
        <f>IFERROR(VLOOKUP(INDEX(xySpace_Type_Details,MATCH($C397,'General Information'!$C$40:$C$60,0),12),Lookups!$L$8:$N$12,2,FALSE),"")</f>
        <v/>
      </c>
      <c r="W397" s="542" t="str">
        <f>IFERROR(VLOOKUP(INDEX(xySpace_Type_Details,MATCH($C397,'General Information'!$C$40:$C$60,0),12),Lookups!$L$8:$N$12,3,FALSE),"")</f>
        <v/>
      </c>
      <c r="Y397" s="542" t="str">
        <f>IFERROR(IF(C397="","",IF(INDEX(xyWattage_Table,MATCH(M397,'Fixture Identities'!$B$9:$B$997,0),2)="Exit Sign",0,IF(PRJ_Type="Retrofit",VLOOKUP(I397,xySVG_Factors,2,FALSE),IF(AND(PRJ_Type="New Construction",Inventory!C394="N"),VLOOKUP(VLOOKUP(Building_Type,xyLPD_BuildingArea,5,FALSE),xySVG_Factors_NC,3,FALSE),0)))),"")</f>
        <v/>
      </c>
      <c r="Z397" s="544" t="str">
        <f>IFERROR(IF(C397="","",IF(INDEX(xyWattage_Table,MATCH(M397,'Fixture Identities'!$B$9:$B$997,0),2)="Exit Sign",0,VLOOKUP(S397,xySVG_Factors,2,FALSE))),"")</f>
        <v/>
      </c>
      <c r="AA397" s="545" t="str">
        <f t="shared" si="153"/>
        <v/>
      </c>
      <c r="AB397" s="542" t="str">
        <f t="shared" si="154"/>
        <v/>
      </c>
      <c r="AC397" s="539" t="str">
        <f t="shared" si="155"/>
        <v/>
      </c>
      <c r="AD397" s="546" t="str">
        <f t="shared" si="156"/>
        <v/>
      </c>
      <c r="AE397" s="539" t="str">
        <f t="shared" si="157"/>
        <v/>
      </c>
      <c r="AF397" s="546" t="str">
        <f t="shared" si="158"/>
        <v/>
      </c>
      <c r="AG397" s="539" t="str">
        <f t="shared" si="159"/>
        <v/>
      </c>
      <c r="AH397" s="32">
        <f t="shared" si="139"/>
        <v>0</v>
      </c>
      <c r="AI397" s="32">
        <f t="shared" si="140"/>
        <v>0</v>
      </c>
      <c r="AJ397" s="32">
        <f t="shared" si="141"/>
        <v>0</v>
      </c>
      <c r="AK397" t="str">
        <f t="shared" si="142"/>
        <v/>
      </c>
      <c r="AL397" t="str">
        <f t="shared" si="143"/>
        <v/>
      </c>
      <c r="AM397" t="str">
        <f t="shared" si="144"/>
        <v/>
      </c>
      <c r="AO397" t="str">
        <f>IFERROR(VLOOKUP(M397,'Fixture Identities'!$B$9:$O$1045,14,FALSE),"")</f>
        <v/>
      </c>
      <c r="AP397" t="str">
        <f t="shared" ref="AP397:AP460" si="160">IF(M398="Signage",G398,"")</f>
        <v/>
      </c>
    </row>
    <row r="398" spans="1:42">
      <c r="A398" s="71">
        <f t="shared" si="146"/>
        <v>0</v>
      </c>
      <c r="B398" s="513">
        <f t="shared" si="145"/>
        <v>386</v>
      </c>
      <c r="C398" s="530" t="str">
        <f>IF(Inventory!E395="","",Inventory!E395)</f>
        <v/>
      </c>
      <c r="D398" s="531">
        <f>IF(Inventory!D395="",0,Inventory!D395)</f>
        <v>0</v>
      </c>
      <c r="E398" s="532" t="str">
        <f>IF(Inventory!I395=0,"",Inventory!I395)</f>
        <v/>
      </c>
      <c r="F398" s="533" t="str">
        <f t="shared" si="147"/>
        <v/>
      </c>
      <c r="G398" s="534" t="str">
        <f>IF(Inventory!G395="","",Inventory!G395)</f>
        <v/>
      </c>
      <c r="H398" s="535" t="str">
        <f t="shared" si="148"/>
        <v/>
      </c>
      <c r="I398" s="536" t="str">
        <f>IF(Inventory!J395="","",Inventory!J395)</f>
        <v/>
      </c>
      <c r="J398" s="537" t="str">
        <f>IFERROR(IF(PRJ_Type="New Construction",IF(Inventory!C395="N",INDEX(xyLPD_BuildingArea,MATCH(Building_Type,Lookups!$F$37:$F$75,0),4),INDEX(xyLPD_SpaceBySpace,MATCH(INDEX(xyNCEx,MATCH(I398,yNCExArea,0),2),ySpace_by_Space_Type,0),2)),VLOOKUP(E398,xyWattage_Table,11,FALSE)),"")</f>
        <v/>
      </c>
      <c r="K398" s="538" t="str">
        <f>IFERROR(IF(AND(NC_Type="Building Area Method",Inventory!C395="N"),IF(ISERROR(INDEX('Usage Groups (&gt;120 MWh only)'!$N$8:$N$12,MATCH(C398,'Usage Groups (&gt;120 MWh only)'!$B$8:$B$12,0),1))=TRUE,SqFt/COUNTIFS(Inventory!$C$10:$C$1009,"N",$Q$13:$Q$1012,"&gt;=0"),INDEX('Usage Groups (&gt;120 MWh only)'!$N$8:$N$12,MATCH(C398,'Usage Groups (&gt;120 MWh only)'!$B$8:$B$12,0),1)/COUNTIF($C$13:$C$1012,C398)),IF(AND(NC_Type="Building Area Method",Inventory!C395="Y"),INDEX(xyNCEx,MATCH(I398,yNCExArea,0),3)/COUNTIF($I$13:$I$1012,I398),VLOOKUP(J398,xyWattage_Table,10,FALSE))),"")</f>
        <v/>
      </c>
      <c r="L398" s="539" t="str">
        <f t="shared" si="149"/>
        <v/>
      </c>
      <c r="M398" s="540">
        <f>IF(Inventory!N395="","",Inventory!N395)</f>
        <v>0</v>
      </c>
      <c r="N398" s="533" t="str">
        <f t="shared" si="150"/>
        <v/>
      </c>
      <c r="O398" s="534"/>
      <c r="P398" s="533" t="str">
        <f t="shared" si="151"/>
        <v/>
      </c>
      <c r="Q398" s="534" t="str">
        <f>IF(Inventory!L395="","",Inventory!L395)</f>
        <v/>
      </c>
      <c r="R398" s="535" t="str">
        <f t="shared" si="152"/>
        <v/>
      </c>
      <c r="S398" s="536" t="str">
        <f>IF(Inventory!O395="","",Inventory!O395)</f>
        <v/>
      </c>
      <c r="T398" s="541" t="str">
        <f>IFERROR(IF(C398="","",IF(INDEX(xyWattage_Table,MATCH(M398,'Fixture Identities'!$B$9:$B$997,0),2)="Exit Sign",8760,IF(VLOOKUP(C398,xySpace_Type_Details,8,FALSE)="TRM",INDEX('General Information'!$AF$17:$AG$28,11,MATCH(N398,'General Information'!$AF$16:$AG$16,0)),HLOOKUP(VLOOKUP(C398,xySpace_Type_Details,8,FALSE),'General Information'!$P$15:$AG$28,13,FALSE)))),"")</f>
        <v/>
      </c>
      <c r="U398" s="542" t="str">
        <f>IFERROR(IF(C398="","",IF(INDEX(xyWattage_Table,MATCH(M398,'Fixture Identities'!$B$9:$B$997,0),2)="Exit Sign",1,IF(VLOOKUP(C398,xySpace_Type_Details,8,FALSE)="TRM",INDEX('General Information'!$AF$17:$AG$28,12,MATCH(N398,'General Information'!$AF$16:$AG$16,0)),HLOOKUP(VLOOKUP(C398,xySpace_Type_Details,8,FALSE),'General Information'!$P$15:$AG$28,14,FALSE)))),"")</f>
        <v/>
      </c>
      <c r="V398" s="542" t="str">
        <f>IFERROR(VLOOKUP(INDEX(xySpace_Type_Details,MATCH($C398,'General Information'!$C$40:$C$60,0),12),Lookups!$L$8:$N$12,2,FALSE),"")</f>
        <v/>
      </c>
      <c r="W398" s="542" t="str">
        <f>IFERROR(VLOOKUP(INDEX(xySpace_Type_Details,MATCH($C398,'General Information'!$C$40:$C$60,0),12),Lookups!$L$8:$N$12,3,FALSE),"")</f>
        <v/>
      </c>
      <c r="Y398" s="542" t="str">
        <f>IFERROR(IF(C398="","",IF(INDEX(xyWattage_Table,MATCH(M398,'Fixture Identities'!$B$9:$B$997,0),2)="Exit Sign",0,IF(PRJ_Type="Retrofit",VLOOKUP(I398,xySVG_Factors,2,FALSE),IF(AND(PRJ_Type="New Construction",Inventory!C395="N"),VLOOKUP(VLOOKUP(Building_Type,xyLPD_BuildingArea,5,FALSE),xySVG_Factors_NC,3,FALSE),0)))),"")</f>
        <v/>
      </c>
      <c r="Z398" s="544" t="str">
        <f>IFERROR(IF(C398="","",IF(INDEX(xyWattage_Table,MATCH(M398,'Fixture Identities'!$B$9:$B$997,0),2)="Exit Sign",0,VLOOKUP(S398,xySVG_Factors,2,FALSE))),"")</f>
        <v/>
      </c>
      <c r="AA398" s="545" t="str">
        <f t="shared" si="153"/>
        <v/>
      </c>
      <c r="AB398" s="542" t="str">
        <f t="shared" si="154"/>
        <v/>
      </c>
      <c r="AC398" s="539" t="str">
        <f t="shared" si="155"/>
        <v/>
      </c>
      <c r="AD398" s="546" t="str">
        <f t="shared" si="156"/>
        <v/>
      </c>
      <c r="AE398" s="539" t="str">
        <f t="shared" si="157"/>
        <v/>
      </c>
      <c r="AF398" s="546" t="str">
        <f t="shared" si="158"/>
        <v/>
      </c>
      <c r="AG398" s="539" t="str">
        <f t="shared" si="159"/>
        <v/>
      </c>
      <c r="AH398" s="32">
        <f t="shared" ref="AH398:AH461" si="161">IF(I398&lt;&gt;S398,R398,0)</f>
        <v>0</v>
      </c>
      <c r="AI398" s="32">
        <f t="shared" ref="AI398:AI461" si="162">IFERROR(VLOOKUP(E398,xyWattage_Table,8,FALSE)*G398,0)</f>
        <v>0</v>
      </c>
      <c r="AJ398" s="32">
        <f t="shared" ref="AJ398:AJ461" si="163">IFERROR(VLOOKUP(M398,xyWattage_Table,8,FALSE)*Q398,0)</f>
        <v>0</v>
      </c>
      <c r="AK398" t="str">
        <f t="shared" ref="AK398:AK461" si="164">IFERROR((L398)/1000,"")</f>
        <v/>
      </c>
      <c r="AL398" t="str">
        <f t="shared" ref="AL398:AL461" si="165">IFERROR(AK398*U398*(1+W398)*(1-Y398),"")</f>
        <v/>
      </c>
      <c r="AM398" t="str">
        <f t="shared" ref="AM398:AM461" si="166">IFERROR(AK398*T398*(1+V398)*(1-Y398),"")</f>
        <v/>
      </c>
      <c r="AO398" t="str">
        <f>IFERROR(VLOOKUP(M398,'Fixture Identities'!$B$9:$O$1045,14,FALSE),"")</f>
        <v/>
      </c>
      <c r="AP398" t="str">
        <f t="shared" si="160"/>
        <v/>
      </c>
    </row>
    <row r="399" spans="1:42">
      <c r="A399" s="71">
        <f t="shared" si="146"/>
        <v>0</v>
      </c>
      <c r="B399" s="513">
        <f t="shared" ref="B399:B462" si="167">B398+1</f>
        <v>387</v>
      </c>
      <c r="C399" s="530" t="str">
        <f>IF(Inventory!E396="","",Inventory!E396)</f>
        <v/>
      </c>
      <c r="D399" s="531">
        <f>IF(Inventory!D396="",0,Inventory!D396)</f>
        <v>0</v>
      </c>
      <c r="E399" s="532" t="str">
        <f>IF(Inventory!I396=0,"",Inventory!I396)</f>
        <v/>
      </c>
      <c r="F399" s="533" t="str">
        <f t="shared" si="147"/>
        <v/>
      </c>
      <c r="G399" s="534" t="str">
        <f>IF(Inventory!G396="","",Inventory!G396)</f>
        <v/>
      </c>
      <c r="H399" s="535" t="str">
        <f t="shared" si="148"/>
        <v/>
      </c>
      <c r="I399" s="536" t="str">
        <f>IF(Inventory!J396="","",Inventory!J396)</f>
        <v/>
      </c>
      <c r="J399" s="537" t="str">
        <f>IFERROR(IF(PRJ_Type="New Construction",IF(Inventory!C396="N",INDEX(xyLPD_BuildingArea,MATCH(Building_Type,Lookups!$F$37:$F$75,0),4),INDEX(xyLPD_SpaceBySpace,MATCH(INDEX(xyNCEx,MATCH(I399,yNCExArea,0),2),ySpace_by_Space_Type,0),2)),VLOOKUP(E399,xyWattage_Table,11,FALSE)),"")</f>
        <v/>
      </c>
      <c r="K399" s="538" t="str">
        <f>IFERROR(IF(AND(NC_Type="Building Area Method",Inventory!C396="N"),IF(ISERROR(INDEX('Usage Groups (&gt;120 MWh only)'!$N$8:$N$12,MATCH(C399,'Usage Groups (&gt;120 MWh only)'!$B$8:$B$12,0),1))=TRUE,SqFt/COUNTIFS(Inventory!$C$10:$C$1009,"N",$Q$13:$Q$1012,"&gt;=0"),INDEX('Usage Groups (&gt;120 MWh only)'!$N$8:$N$12,MATCH(C399,'Usage Groups (&gt;120 MWh only)'!$B$8:$B$12,0),1)/COUNTIF($C$13:$C$1012,C399)),IF(AND(NC_Type="Building Area Method",Inventory!C396="Y"),INDEX(xyNCEx,MATCH(I399,yNCExArea,0),3)/COUNTIF($I$13:$I$1012,I399),VLOOKUP(J399,xyWattage_Table,10,FALSE))),"")</f>
        <v/>
      </c>
      <c r="L399" s="539" t="str">
        <f t="shared" si="149"/>
        <v/>
      </c>
      <c r="M399" s="540">
        <f>IF(Inventory!N396="","",Inventory!N396)</f>
        <v>0</v>
      </c>
      <c r="N399" s="533" t="str">
        <f t="shared" si="150"/>
        <v/>
      </c>
      <c r="O399" s="534"/>
      <c r="P399" s="533" t="str">
        <f t="shared" si="151"/>
        <v/>
      </c>
      <c r="Q399" s="534" t="str">
        <f>IF(Inventory!L396="","",Inventory!L396)</f>
        <v/>
      </c>
      <c r="R399" s="535" t="str">
        <f t="shared" si="152"/>
        <v/>
      </c>
      <c r="S399" s="536" t="str">
        <f>IF(Inventory!O396="","",Inventory!O396)</f>
        <v/>
      </c>
      <c r="T399" s="541" t="str">
        <f>IFERROR(IF(C399="","",IF(INDEX(xyWattage_Table,MATCH(M399,'Fixture Identities'!$B$9:$B$997,0),2)="Exit Sign",8760,IF(VLOOKUP(C399,xySpace_Type_Details,8,FALSE)="TRM",INDEX('General Information'!$AF$17:$AG$28,11,MATCH(N399,'General Information'!$AF$16:$AG$16,0)),HLOOKUP(VLOOKUP(C399,xySpace_Type_Details,8,FALSE),'General Information'!$P$15:$AG$28,13,FALSE)))),"")</f>
        <v/>
      </c>
      <c r="U399" s="542" t="str">
        <f>IFERROR(IF(C399="","",IF(INDEX(xyWattage_Table,MATCH(M399,'Fixture Identities'!$B$9:$B$997,0),2)="Exit Sign",1,IF(VLOOKUP(C399,xySpace_Type_Details,8,FALSE)="TRM",INDEX('General Information'!$AF$17:$AG$28,12,MATCH(N399,'General Information'!$AF$16:$AG$16,0)),HLOOKUP(VLOOKUP(C399,xySpace_Type_Details,8,FALSE),'General Information'!$P$15:$AG$28,14,FALSE)))),"")</f>
        <v/>
      </c>
      <c r="V399" s="542" t="str">
        <f>IFERROR(VLOOKUP(INDEX(xySpace_Type_Details,MATCH($C399,'General Information'!$C$40:$C$60,0),12),Lookups!$L$8:$N$12,2,FALSE),"")</f>
        <v/>
      </c>
      <c r="W399" s="542" t="str">
        <f>IFERROR(VLOOKUP(INDEX(xySpace_Type_Details,MATCH($C399,'General Information'!$C$40:$C$60,0),12),Lookups!$L$8:$N$12,3,FALSE),"")</f>
        <v/>
      </c>
      <c r="Y399" s="542" t="str">
        <f>IFERROR(IF(C399="","",IF(INDEX(xyWattage_Table,MATCH(M399,'Fixture Identities'!$B$9:$B$997,0),2)="Exit Sign",0,IF(PRJ_Type="Retrofit",VLOOKUP(I399,xySVG_Factors,2,FALSE),IF(AND(PRJ_Type="New Construction",Inventory!C396="N"),VLOOKUP(VLOOKUP(Building_Type,xyLPD_BuildingArea,5,FALSE),xySVG_Factors_NC,3,FALSE),0)))),"")</f>
        <v/>
      </c>
      <c r="Z399" s="544" t="str">
        <f>IFERROR(IF(C399="","",IF(INDEX(xyWattage_Table,MATCH(M399,'Fixture Identities'!$B$9:$B$997,0),2)="Exit Sign",0,VLOOKUP(S399,xySVG_Factors,2,FALSE))),"")</f>
        <v/>
      </c>
      <c r="AA399" s="545" t="str">
        <f t="shared" si="153"/>
        <v/>
      </c>
      <c r="AB399" s="542" t="str">
        <f t="shared" si="154"/>
        <v/>
      </c>
      <c r="AC399" s="539" t="str">
        <f t="shared" si="155"/>
        <v/>
      </c>
      <c r="AD399" s="546" t="str">
        <f t="shared" si="156"/>
        <v/>
      </c>
      <c r="AE399" s="539" t="str">
        <f t="shared" si="157"/>
        <v/>
      </c>
      <c r="AF399" s="546" t="str">
        <f t="shared" si="158"/>
        <v/>
      </c>
      <c r="AG399" s="539" t="str">
        <f t="shared" si="159"/>
        <v/>
      </c>
      <c r="AH399" s="32">
        <f t="shared" si="161"/>
        <v>0</v>
      </c>
      <c r="AI399" s="32">
        <f t="shared" si="162"/>
        <v>0</v>
      </c>
      <c r="AJ399" s="32">
        <f t="shared" si="163"/>
        <v>0</v>
      </c>
      <c r="AK399" t="str">
        <f t="shared" si="164"/>
        <v/>
      </c>
      <c r="AL399" t="str">
        <f t="shared" si="165"/>
        <v/>
      </c>
      <c r="AM399" t="str">
        <f t="shared" si="166"/>
        <v/>
      </c>
      <c r="AO399" t="str">
        <f>IFERROR(VLOOKUP(M399,'Fixture Identities'!$B$9:$O$1045,14,FALSE),"")</f>
        <v/>
      </c>
      <c r="AP399" t="str">
        <f t="shared" si="160"/>
        <v/>
      </c>
    </row>
    <row r="400" spans="1:42">
      <c r="A400" s="71">
        <f t="shared" si="146"/>
        <v>0</v>
      </c>
      <c r="B400" s="513">
        <f t="shared" si="167"/>
        <v>388</v>
      </c>
      <c r="C400" s="530" t="str">
        <f>IF(Inventory!E397="","",Inventory!E397)</f>
        <v/>
      </c>
      <c r="D400" s="531">
        <f>IF(Inventory!D397="",0,Inventory!D397)</f>
        <v>0</v>
      </c>
      <c r="E400" s="532" t="str">
        <f>IF(Inventory!I397=0,"",Inventory!I397)</f>
        <v/>
      </c>
      <c r="F400" s="533" t="str">
        <f t="shared" si="147"/>
        <v/>
      </c>
      <c r="G400" s="534" t="str">
        <f>IF(Inventory!G397="","",Inventory!G397)</f>
        <v/>
      </c>
      <c r="H400" s="535" t="str">
        <f t="shared" si="148"/>
        <v/>
      </c>
      <c r="I400" s="536" t="str">
        <f>IF(Inventory!J397="","",Inventory!J397)</f>
        <v/>
      </c>
      <c r="J400" s="537" t="str">
        <f>IFERROR(IF(PRJ_Type="New Construction",IF(Inventory!C397="N",INDEX(xyLPD_BuildingArea,MATCH(Building_Type,Lookups!$F$37:$F$75,0),4),INDEX(xyLPD_SpaceBySpace,MATCH(INDEX(xyNCEx,MATCH(I400,yNCExArea,0),2),ySpace_by_Space_Type,0),2)),VLOOKUP(E400,xyWattage_Table,11,FALSE)),"")</f>
        <v/>
      </c>
      <c r="K400" s="538" t="str">
        <f>IFERROR(IF(AND(NC_Type="Building Area Method",Inventory!C397="N"),IF(ISERROR(INDEX('Usage Groups (&gt;120 MWh only)'!$N$8:$N$12,MATCH(C400,'Usage Groups (&gt;120 MWh only)'!$B$8:$B$12,0),1))=TRUE,SqFt/COUNTIFS(Inventory!$C$10:$C$1009,"N",$Q$13:$Q$1012,"&gt;=0"),INDEX('Usage Groups (&gt;120 MWh only)'!$N$8:$N$12,MATCH(C400,'Usage Groups (&gt;120 MWh only)'!$B$8:$B$12,0),1)/COUNTIF($C$13:$C$1012,C400)),IF(AND(NC_Type="Building Area Method",Inventory!C397="Y"),INDEX(xyNCEx,MATCH(I400,yNCExArea,0),3)/COUNTIF($I$13:$I$1012,I400),VLOOKUP(J400,xyWattage_Table,10,FALSE))),"")</f>
        <v/>
      </c>
      <c r="L400" s="539" t="str">
        <f t="shared" si="149"/>
        <v/>
      </c>
      <c r="M400" s="540">
        <f>IF(Inventory!N397="","",Inventory!N397)</f>
        <v>0</v>
      </c>
      <c r="N400" s="533" t="str">
        <f t="shared" si="150"/>
        <v/>
      </c>
      <c r="O400" s="534"/>
      <c r="P400" s="533" t="str">
        <f t="shared" si="151"/>
        <v/>
      </c>
      <c r="Q400" s="534" t="str">
        <f>IF(Inventory!L397="","",Inventory!L397)</f>
        <v/>
      </c>
      <c r="R400" s="535" t="str">
        <f t="shared" si="152"/>
        <v/>
      </c>
      <c r="S400" s="536" t="str">
        <f>IF(Inventory!O397="","",Inventory!O397)</f>
        <v/>
      </c>
      <c r="T400" s="541" t="str">
        <f>IFERROR(IF(C400="","",IF(INDEX(xyWattage_Table,MATCH(M400,'Fixture Identities'!$B$9:$B$997,0),2)="Exit Sign",8760,IF(VLOOKUP(C400,xySpace_Type_Details,8,FALSE)="TRM",INDEX('General Information'!$AF$17:$AG$28,11,MATCH(N400,'General Information'!$AF$16:$AG$16,0)),HLOOKUP(VLOOKUP(C400,xySpace_Type_Details,8,FALSE),'General Information'!$P$15:$AG$28,13,FALSE)))),"")</f>
        <v/>
      </c>
      <c r="U400" s="542" t="str">
        <f>IFERROR(IF(C400="","",IF(INDEX(xyWattage_Table,MATCH(M400,'Fixture Identities'!$B$9:$B$997,0),2)="Exit Sign",1,IF(VLOOKUP(C400,xySpace_Type_Details,8,FALSE)="TRM",INDEX('General Information'!$AF$17:$AG$28,12,MATCH(N400,'General Information'!$AF$16:$AG$16,0)),HLOOKUP(VLOOKUP(C400,xySpace_Type_Details,8,FALSE),'General Information'!$P$15:$AG$28,14,FALSE)))),"")</f>
        <v/>
      </c>
      <c r="V400" s="542" t="str">
        <f>IFERROR(VLOOKUP(INDEX(xySpace_Type_Details,MATCH($C400,'General Information'!$C$40:$C$60,0),12),Lookups!$L$8:$N$12,2,FALSE),"")</f>
        <v/>
      </c>
      <c r="W400" s="542" t="str">
        <f>IFERROR(VLOOKUP(INDEX(xySpace_Type_Details,MATCH($C400,'General Information'!$C$40:$C$60,0),12),Lookups!$L$8:$N$12,3,FALSE),"")</f>
        <v/>
      </c>
      <c r="Y400" s="542" t="str">
        <f>IFERROR(IF(C400="","",IF(INDEX(xyWattage_Table,MATCH(M400,'Fixture Identities'!$B$9:$B$997,0),2)="Exit Sign",0,IF(PRJ_Type="Retrofit",VLOOKUP(I400,xySVG_Factors,2,FALSE),IF(AND(PRJ_Type="New Construction",Inventory!C397="N"),VLOOKUP(VLOOKUP(Building_Type,xyLPD_BuildingArea,5,FALSE),xySVG_Factors_NC,3,FALSE),0)))),"")</f>
        <v/>
      </c>
      <c r="Z400" s="544" t="str">
        <f>IFERROR(IF(C400="","",IF(INDEX(xyWattage_Table,MATCH(M400,'Fixture Identities'!$B$9:$B$997,0),2)="Exit Sign",0,VLOOKUP(S400,xySVG_Factors,2,FALSE))),"")</f>
        <v/>
      </c>
      <c r="AA400" s="545" t="str">
        <f t="shared" si="153"/>
        <v/>
      </c>
      <c r="AB400" s="542" t="str">
        <f t="shared" si="154"/>
        <v/>
      </c>
      <c r="AC400" s="539" t="str">
        <f t="shared" si="155"/>
        <v/>
      </c>
      <c r="AD400" s="546" t="str">
        <f t="shared" si="156"/>
        <v/>
      </c>
      <c r="AE400" s="539" t="str">
        <f t="shared" si="157"/>
        <v/>
      </c>
      <c r="AF400" s="546" t="str">
        <f t="shared" si="158"/>
        <v/>
      </c>
      <c r="AG400" s="539" t="str">
        <f t="shared" si="159"/>
        <v/>
      </c>
      <c r="AH400" s="32">
        <f t="shared" si="161"/>
        <v>0</v>
      </c>
      <c r="AI400" s="32">
        <f t="shared" si="162"/>
        <v>0</v>
      </c>
      <c r="AJ400" s="32">
        <f t="shared" si="163"/>
        <v>0</v>
      </c>
      <c r="AK400" t="str">
        <f t="shared" si="164"/>
        <v/>
      </c>
      <c r="AL400" t="str">
        <f t="shared" si="165"/>
        <v/>
      </c>
      <c r="AM400" t="str">
        <f t="shared" si="166"/>
        <v/>
      </c>
      <c r="AO400" t="str">
        <f>IFERROR(VLOOKUP(M400,'Fixture Identities'!$B$9:$O$1045,14,FALSE),"")</f>
        <v/>
      </c>
      <c r="AP400" t="str">
        <f t="shared" si="160"/>
        <v/>
      </c>
    </row>
    <row r="401" spans="1:42">
      <c r="A401" s="71">
        <f t="shared" si="146"/>
        <v>0</v>
      </c>
      <c r="B401" s="513">
        <f t="shared" si="167"/>
        <v>389</v>
      </c>
      <c r="C401" s="530" t="str">
        <f>IF(Inventory!E398="","",Inventory!E398)</f>
        <v/>
      </c>
      <c r="D401" s="531">
        <f>IF(Inventory!D398="",0,Inventory!D398)</f>
        <v>0</v>
      </c>
      <c r="E401" s="532" t="str">
        <f>IF(Inventory!I398=0,"",Inventory!I398)</f>
        <v/>
      </c>
      <c r="F401" s="533" t="str">
        <f t="shared" si="147"/>
        <v/>
      </c>
      <c r="G401" s="534" t="str">
        <f>IF(Inventory!G398="","",Inventory!G398)</f>
        <v/>
      </c>
      <c r="H401" s="535" t="str">
        <f t="shared" si="148"/>
        <v/>
      </c>
      <c r="I401" s="536" t="str">
        <f>IF(Inventory!J398="","",Inventory!J398)</f>
        <v/>
      </c>
      <c r="J401" s="537" t="str">
        <f>IFERROR(IF(PRJ_Type="New Construction",IF(Inventory!C398="N",INDEX(xyLPD_BuildingArea,MATCH(Building_Type,Lookups!$F$37:$F$75,0),4),INDEX(xyLPD_SpaceBySpace,MATCH(INDEX(xyNCEx,MATCH(I401,yNCExArea,0),2),ySpace_by_Space_Type,0),2)),VLOOKUP(E401,xyWattage_Table,11,FALSE)),"")</f>
        <v/>
      </c>
      <c r="K401" s="538" t="str">
        <f>IFERROR(IF(AND(NC_Type="Building Area Method",Inventory!C398="N"),IF(ISERROR(INDEX('Usage Groups (&gt;120 MWh only)'!$N$8:$N$12,MATCH(C401,'Usage Groups (&gt;120 MWh only)'!$B$8:$B$12,0),1))=TRUE,SqFt/COUNTIFS(Inventory!$C$10:$C$1009,"N",$Q$13:$Q$1012,"&gt;=0"),INDEX('Usage Groups (&gt;120 MWh only)'!$N$8:$N$12,MATCH(C401,'Usage Groups (&gt;120 MWh only)'!$B$8:$B$12,0),1)/COUNTIF($C$13:$C$1012,C401)),IF(AND(NC_Type="Building Area Method",Inventory!C398="Y"),INDEX(xyNCEx,MATCH(I401,yNCExArea,0),3)/COUNTIF($I$13:$I$1012,I401),VLOOKUP(J401,xyWattage_Table,10,FALSE))),"")</f>
        <v/>
      </c>
      <c r="L401" s="539" t="str">
        <f t="shared" si="149"/>
        <v/>
      </c>
      <c r="M401" s="540">
        <f>IF(Inventory!N398="","",Inventory!N398)</f>
        <v>0</v>
      </c>
      <c r="N401" s="533" t="str">
        <f t="shared" si="150"/>
        <v/>
      </c>
      <c r="O401" s="534"/>
      <c r="P401" s="533" t="str">
        <f t="shared" si="151"/>
        <v/>
      </c>
      <c r="Q401" s="534" t="str">
        <f>IF(Inventory!L398="","",Inventory!L398)</f>
        <v/>
      </c>
      <c r="R401" s="535" t="str">
        <f t="shared" si="152"/>
        <v/>
      </c>
      <c r="S401" s="536" t="str">
        <f>IF(Inventory!O398="","",Inventory!O398)</f>
        <v/>
      </c>
      <c r="T401" s="541" t="str">
        <f>IFERROR(IF(C401="","",IF(INDEX(xyWattage_Table,MATCH(M401,'Fixture Identities'!$B$9:$B$997,0),2)="Exit Sign",8760,IF(VLOOKUP(C401,xySpace_Type_Details,8,FALSE)="TRM",INDEX('General Information'!$AF$17:$AG$28,11,MATCH(N401,'General Information'!$AF$16:$AG$16,0)),HLOOKUP(VLOOKUP(C401,xySpace_Type_Details,8,FALSE),'General Information'!$P$15:$AG$28,13,FALSE)))),"")</f>
        <v/>
      </c>
      <c r="U401" s="542" t="str">
        <f>IFERROR(IF(C401="","",IF(INDEX(xyWattage_Table,MATCH(M401,'Fixture Identities'!$B$9:$B$997,0),2)="Exit Sign",1,IF(VLOOKUP(C401,xySpace_Type_Details,8,FALSE)="TRM",INDEX('General Information'!$AF$17:$AG$28,12,MATCH(N401,'General Information'!$AF$16:$AG$16,0)),HLOOKUP(VLOOKUP(C401,xySpace_Type_Details,8,FALSE),'General Information'!$P$15:$AG$28,14,FALSE)))),"")</f>
        <v/>
      </c>
      <c r="V401" s="542" t="str">
        <f>IFERROR(VLOOKUP(INDEX(xySpace_Type_Details,MATCH($C401,'General Information'!$C$40:$C$60,0),12),Lookups!$L$8:$N$12,2,FALSE),"")</f>
        <v/>
      </c>
      <c r="W401" s="542" t="str">
        <f>IFERROR(VLOOKUP(INDEX(xySpace_Type_Details,MATCH($C401,'General Information'!$C$40:$C$60,0),12),Lookups!$L$8:$N$12,3,FALSE),"")</f>
        <v/>
      </c>
      <c r="Y401" s="542" t="str">
        <f>IFERROR(IF(C401="","",IF(INDEX(xyWattage_Table,MATCH(M401,'Fixture Identities'!$B$9:$B$997,0),2)="Exit Sign",0,IF(PRJ_Type="Retrofit",VLOOKUP(I401,xySVG_Factors,2,FALSE),IF(AND(PRJ_Type="New Construction",Inventory!C398="N"),VLOOKUP(VLOOKUP(Building_Type,xyLPD_BuildingArea,5,FALSE),xySVG_Factors_NC,3,FALSE),0)))),"")</f>
        <v/>
      </c>
      <c r="Z401" s="544" t="str">
        <f>IFERROR(IF(C401="","",IF(INDEX(xyWattage_Table,MATCH(M401,'Fixture Identities'!$B$9:$B$997,0),2)="Exit Sign",0,VLOOKUP(S401,xySVG_Factors,2,FALSE))),"")</f>
        <v/>
      </c>
      <c r="AA401" s="545" t="str">
        <f t="shared" si="153"/>
        <v/>
      </c>
      <c r="AB401" s="542" t="str">
        <f t="shared" si="154"/>
        <v/>
      </c>
      <c r="AC401" s="539" t="str">
        <f t="shared" si="155"/>
        <v/>
      </c>
      <c r="AD401" s="546" t="str">
        <f t="shared" si="156"/>
        <v/>
      </c>
      <c r="AE401" s="539" t="str">
        <f t="shared" si="157"/>
        <v/>
      </c>
      <c r="AF401" s="546" t="str">
        <f t="shared" si="158"/>
        <v/>
      </c>
      <c r="AG401" s="539" t="str">
        <f t="shared" si="159"/>
        <v/>
      </c>
      <c r="AH401" s="32">
        <f t="shared" si="161"/>
        <v>0</v>
      </c>
      <c r="AI401" s="32">
        <f t="shared" si="162"/>
        <v>0</v>
      </c>
      <c r="AJ401" s="32">
        <f t="shared" si="163"/>
        <v>0</v>
      </c>
      <c r="AK401" t="str">
        <f t="shared" si="164"/>
        <v/>
      </c>
      <c r="AL401" t="str">
        <f t="shared" si="165"/>
        <v/>
      </c>
      <c r="AM401" t="str">
        <f t="shared" si="166"/>
        <v/>
      </c>
      <c r="AO401" t="str">
        <f>IFERROR(VLOOKUP(M401,'Fixture Identities'!$B$9:$O$1045,14,FALSE),"")</f>
        <v/>
      </c>
      <c r="AP401" t="str">
        <f t="shared" si="160"/>
        <v/>
      </c>
    </row>
    <row r="402" spans="1:42">
      <c r="A402" s="71">
        <f t="shared" ref="A402:A465" si="168">IF(E402&lt;&gt;J402,1,0)</f>
        <v>0</v>
      </c>
      <c r="B402" s="513">
        <f t="shared" si="167"/>
        <v>390</v>
      </c>
      <c r="C402" s="530" t="str">
        <f>IF(Inventory!E399="","",Inventory!E399)</f>
        <v/>
      </c>
      <c r="D402" s="531">
        <f>IF(Inventory!D399="",0,Inventory!D399)</f>
        <v>0</v>
      </c>
      <c r="E402" s="532" t="str">
        <f>IF(Inventory!I399=0,"",Inventory!I399)</f>
        <v/>
      </c>
      <c r="F402" s="533" t="str">
        <f t="shared" si="147"/>
        <v/>
      </c>
      <c r="G402" s="534" t="str">
        <f>IF(Inventory!G399="","",Inventory!G399)</f>
        <v/>
      </c>
      <c r="H402" s="535" t="str">
        <f t="shared" si="148"/>
        <v/>
      </c>
      <c r="I402" s="536" t="str">
        <f>IF(Inventory!J399="","",Inventory!J399)</f>
        <v/>
      </c>
      <c r="J402" s="537" t="str">
        <f>IFERROR(IF(PRJ_Type="New Construction",IF(Inventory!C399="N",INDEX(xyLPD_BuildingArea,MATCH(Building_Type,Lookups!$F$37:$F$75,0),4),INDEX(xyLPD_SpaceBySpace,MATCH(INDEX(xyNCEx,MATCH(I402,yNCExArea,0),2),ySpace_by_Space_Type,0),2)),VLOOKUP(E402,xyWattage_Table,11,FALSE)),"")</f>
        <v/>
      </c>
      <c r="K402" s="538" t="str">
        <f>IFERROR(IF(AND(NC_Type="Building Area Method",Inventory!C399="N"),IF(ISERROR(INDEX('Usage Groups (&gt;120 MWh only)'!$N$8:$N$12,MATCH(C402,'Usage Groups (&gt;120 MWh only)'!$B$8:$B$12,0),1))=TRUE,SqFt/COUNTIFS(Inventory!$C$10:$C$1009,"N",$Q$13:$Q$1012,"&gt;=0"),INDEX('Usage Groups (&gt;120 MWh only)'!$N$8:$N$12,MATCH(C402,'Usage Groups (&gt;120 MWh only)'!$B$8:$B$12,0),1)/COUNTIF($C$13:$C$1012,C402)),IF(AND(NC_Type="Building Area Method",Inventory!C399="Y"),INDEX(xyNCEx,MATCH(I402,yNCExArea,0),3)/COUNTIF($I$13:$I$1012,I402),VLOOKUP(J402,xyWattage_Table,10,FALSE))),"")</f>
        <v/>
      </c>
      <c r="L402" s="539" t="str">
        <f t="shared" si="149"/>
        <v/>
      </c>
      <c r="M402" s="540">
        <f>IF(Inventory!N399="","",Inventory!N399)</f>
        <v>0</v>
      </c>
      <c r="N402" s="533" t="str">
        <f t="shared" si="150"/>
        <v/>
      </c>
      <c r="O402" s="534"/>
      <c r="P402" s="533" t="str">
        <f t="shared" si="151"/>
        <v/>
      </c>
      <c r="Q402" s="534" t="str">
        <f>IF(Inventory!L399="","",Inventory!L399)</f>
        <v/>
      </c>
      <c r="R402" s="535" t="str">
        <f t="shared" si="152"/>
        <v/>
      </c>
      <c r="S402" s="536" t="str">
        <f>IF(Inventory!O399="","",Inventory!O399)</f>
        <v/>
      </c>
      <c r="T402" s="541" t="str">
        <f>IFERROR(IF(C402="","",IF(INDEX(xyWattage_Table,MATCH(M402,'Fixture Identities'!$B$9:$B$997,0),2)="Exit Sign",8760,IF(VLOOKUP(C402,xySpace_Type_Details,8,FALSE)="TRM",INDEX('General Information'!$AF$17:$AG$28,11,MATCH(N402,'General Information'!$AF$16:$AG$16,0)),HLOOKUP(VLOOKUP(C402,xySpace_Type_Details,8,FALSE),'General Information'!$P$15:$AG$28,13,FALSE)))),"")</f>
        <v/>
      </c>
      <c r="U402" s="542" t="str">
        <f>IFERROR(IF(C402="","",IF(INDEX(xyWattage_Table,MATCH(M402,'Fixture Identities'!$B$9:$B$997,0),2)="Exit Sign",1,IF(VLOOKUP(C402,xySpace_Type_Details,8,FALSE)="TRM",INDEX('General Information'!$AF$17:$AG$28,12,MATCH(N402,'General Information'!$AF$16:$AG$16,0)),HLOOKUP(VLOOKUP(C402,xySpace_Type_Details,8,FALSE),'General Information'!$P$15:$AG$28,14,FALSE)))),"")</f>
        <v/>
      </c>
      <c r="V402" s="542" t="str">
        <f>IFERROR(VLOOKUP(INDEX(xySpace_Type_Details,MATCH($C402,'General Information'!$C$40:$C$60,0),12),Lookups!$L$8:$N$12,2,FALSE),"")</f>
        <v/>
      </c>
      <c r="W402" s="542" t="str">
        <f>IFERROR(VLOOKUP(INDEX(xySpace_Type_Details,MATCH($C402,'General Information'!$C$40:$C$60,0),12),Lookups!$L$8:$N$12,3,FALSE),"")</f>
        <v/>
      </c>
      <c r="Y402" s="542" t="str">
        <f>IFERROR(IF(C402="","",IF(INDEX(xyWattage_Table,MATCH(M402,'Fixture Identities'!$B$9:$B$997,0),2)="Exit Sign",0,IF(PRJ_Type="Retrofit",VLOOKUP(I402,xySVG_Factors,2,FALSE),IF(AND(PRJ_Type="New Construction",Inventory!C399="N"),VLOOKUP(VLOOKUP(Building_Type,xyLPD_BuildingArea,5,FALSE),xySVG_Factors_NC,3,FALSE),0)))),"")</f>
        <v/>
      </c>
      <c r="Z402" s="544" t="str">
        <f>IFERROR(IF(C402="","",IF(INDEX(xyWattage_Table,MATCH(M402,'Fixture Identities'!$B$9:$B$997,0),2)="Exit Sign",0,VLOOKUP(S402,xySVG_Factors,2,FALSE))),"")</f>
        <v/>
      </c>
      <c r="AA402" s="545" t="str">
        <f t="shared" si="153"/>
        <v/>
      </c>
      <c r="AB402" s="542" t="str">
        <f t="shared" si="154"/>
        <v/>
      </c>
      <c r="AC402" s="539" t="str">
        <f t="shared" si="155"/>
        <v/>
      </c>
      <c r="AD402" s="546" t="str">
        <f t="shared" si="156"/>
        <v/>
      </c>
      <c r="AE402" s="539" t="str">
        <f t="shared" si="157"/>
        <v/>
      </c>
      <c r="AF402" s="546" t="str">
        <f t="shared" si="158"/>
        <v/>
      </c>
      <c r="AG402" s="539" t="str">
        <f t="shared" si="159"/>
        <v/>
      </c>
      <c r="AH402" s="32">
        <f t="shared" si="161"/>
        <v>0</v>
      </c>
      <c r="AI402" s="32">
        <f t="shared" si="162"/>
        <v>0</v>
      </c>
      <c r="AJ402" s="32">
        <f t="shared" si="163"/>
        <v>0</v>
      </c>
      <c r="AK402" t="str">
        <f t="shared" si="164"/>
        <v/>
      </c>
      <c r="AL402" t="str">
        <f t="shared" si="165"/>
        <v/>
      </c>
      <c r="AM402" t="str">
        <f t="shared" si="166"/>
        <v/>
      </c>
      <c r="AO402" t="str">
        <f>IFERROR(VLOOKUP(M402,'Fixture Identities'!$B$9:$O$1045,14,FALSE),"")</f>
        <v/>
      </c>
      <c r="AP402" t="str">
        <f t="shared" si="160"/>
        <v/>
      </c>
    </row>
    <row r="403" spans="1:42">
      <c r="A403" s="71">
        <f t="shared" si="168"/>
        <v>0</v>
      </c>
      <c r="B403" s="513">
        <f t="shared" si="167"/>
        <v>391</v>
      </c>
      <c r="C403" s="530" t="str">
        <f>IF(Inventory!E400="","",Inventory!E400)</f>
        <v/>
      </c>
      <c r="D403" s="531">
        <f>IF(Inventory!D400="",0,Inventory!D400)</f>
        <v>0</v>
      </c>
      <c r="E403" s="532" t="str">
        <f>IF(Inventory!I400=0,"",Inventory!I400)</f>
        <v/>
      </c>
      <c r="F403" s="533" t="str">
        <f t="shared" si="147"/>
        <v/>
      </c>
      <c r="G403" s="534" t="str">
        <f>IF(Inventory!G400="","",Inventory!G400)</f>
        <v/>
      </c>
      <c r="H403" s="535" t="str">
        <f t="shared" si="148"/>
        <v/>
      </c>
      <c r="I403" s="536" t="str">
        <f>IF(Inventory!J400="","",Inventory!J400)</f>
        <v/>
      </c>
      <c r="J403" s="537" t="str">
        <f>IFERROR(IF(PRJ_Type="New Construction",IF(Inventory!C400="N",INDEX(xyLPD_BuildingArea,MATCH(Building_Type,Lookups!$F$37:$F$75,0),4),INDEX(xyLPD_SpaceBySpace,MATCH(INDEX(xyNCEx,MATCH(I403,yNCExArea,0),2),ySpace_by_Space_Type,0),2)),VLOOKUP(E403,xyWattage_Table,11,FALSE)),"")</f>
        <v/>
      </c>
      <c r="K403" s="538" t="str">
        <f>IFERROR(IF(AND(NC_Type="Building Area Method",Inventory!C400="N"),IF(ISERROR(INDEX('Usage Groups (&gt;120 MWh only)'!$N$8:$N$12,MATCH(C403,'Usage Groups (&gt;120 MWh only)'!$B$8:$B$12,0),1))=TRUE,SqFt/COUNTIFS(Inventory!$C$10:$C$1009,"N",$Q$13:$Q$1012,"&gt;=0"),INDEX('Usage Groups (&gt;120 MWh only)'!$N$8:$N$12,MATCH(C403,'Usage Groups (&gt;120 MWh only)'!$B$8:$B$12,0),1)/COUNTIF($C$13:$C$1012,C403)),IF(AND(NC_Type="Building Area Method",Inventory!C400="Y"),INDEX(xyNCEx,MATCH(I403,yNCExArea,0),3)/COUNTIF($I$13:$I$1012,I403),VLOOKUP(J403,xyWattage_Table,10,FALSE))),"")</f>
        <v/>
      </c>
      <c r="L403" s="539" t="str">
        <f t="shared" si="149"/>
        <v/>
      </c>
      <c r="M403" s="540">
        <f>IF(Inventory!N400="","",Inventory!N400)</f>
        <v>0</v>
      </c>
      <c r="N403" s="533" t="str">
        <f t="shared" si="150"/>
        <v/>
      </c>
      <c r="O403" s="534"/>
      <c r="P403" s="533" t="str">
        <f t="shared" si="151"/>
        <v/>
      </c>
      <c r="Q403" s="534" t="str">
        <f>IF(Inventory!L400="","",Inventory!L400)</f>
        <v/>
      </c>
      <c r="R403" s="535" t="str">
        <f t="shared" si="152"/>
        <v/>
      </c>
      <c r="S403" s="536" t="str">
        <f>IF(Inventory!O400="","",Inventory!O400)</f>
        <v/>
      </c>
      <c r="T403" s="541" t="str">
        <f>IFERROR(IF(C403="","",IF(INDEX(xyWattage_Table,MATCH(M403,'Fixture Identities'!$B$9:$B$997,0),2)="Exit Sign",8760,IF(VLOOKUP(C403,xySpace_Type_Details,8,FALSE)="TRM",INDEX('General Information'!$AF$17:$AG$28,11,MATCH(N403,'General Information'!$AF$16:$AG$16,0)),HLOOKUP(VLOOKUP(C403,xySpace_Type_Details,8,FALSE),'General Information'!$P$15:$AG$28,13,FALSE)))),"")</f>
        <v/>
      </c>
      <c r="U403" s="542" t="str">
        <f>IFERROR(IF(C403="","",IF(INDEX(xyWattage_Table,MATCH(M403,'Fixture Identities'!$B$9:$B$997,0),2)="Exit Sign",1,IF(VLOOKUP(C403,xySpace_Type_Details,8,FALSE)="TRM",INDEX('General Information'!$AF$17:$AG$28,12,MATCH(N403,'General Information'!$AF$16:$AG$16,0)),HLOOKUP(VLOOKUP(C403,xySpace_Type_Details,8,FALSE),'General Information'!$P$15:$AG$28,14,FALSE)))),"")</f>
        <v/>
      </c>
      <c r="V403" s="542" t="str">
        <f>IFERROR(VLOOKUP(INDEX(xySpace_Type_Details,MATCH($C403,'General Information'!$C$40:$C$60,0),12),Lookups!$L$8:$N$12,2,FALSE),"")</f>
        <v/>
      </c>
      <c r="W403" s="542" t="str">
        <f>IFERROR(VLOOKUP(INDEX(xySpace_Type_Details,MATCH($C403,'General Information'!$C$40:$C$60,0),12),Lookups!$L$8:$N$12,3,FALSE),"")</f>
        <v/>
      </c>
      <c r="Y403" s="542" t="str">
        <f>IFERROR(IF(C403="","",IF(INDEX(xyWattage_Table,MATCH(M403,'Fixture Identities'!$B$9:$B$997,0),2)="Exit Sign",0,IF(PRJ_Type="Retrofit",VLOOKUP(I403,xySVG_Factors,2,FALSE),IF(AND(PRJ_Type="New Construction",Inventory!C400="N"),VLOOKUP(VLOOKUP(Building_Type,xyLPD_BuildingArea,5,FALSE),xySVG_Factors_NC,3,FALSE),0)))),"")</f>
        <v/>
      </c>
      <c r="Z403" s="544" t="str">
        <f>IFERROR(IF(C403="","",IF(INDEX(xyWattage_Table,MATCH(M403,'Fixture Identities'!$B$9:$B$997,0),2)="Exit Sign",0,VLOOKUP(S403,xySVG_Factors,2,FALSE))),"")</f>
        <v/>
      </c>
      <c r="AA403" s="545" t="str">
        <f t="shared" si="153"/>
        <v/>
      </c>
      <c r="AB403" s="542" t="str">
        <f t="shared" si="154"/>
        <v/>
      </c>
      <c r="AC403" s="539" t="str">
        <f t="shared" si="155"/>
        <v/>
      </c>
      <c r="AD403" s="546" t="str">
        <f t="shared" si="156"/>
        <v/>
      </c>
      <c r="AE403" s="539" t="str">
        <f t="shared" si="157"/>
        <v/>
      </c>
      <c r="AF403" s="546" t="str">
        <f t="shared" si="158"/>
        <v/>
      </c>
      <c r="AG403" s="539" t="str">
        <f t="shared" si="159"/>
        <v/>
      </c>
      <c r="AH403" s="32">
        <f t="shared" si="161"/>
        <v>0</v>
      </c>
      <c r="AI403" s="32">
        <f t="shared" si="162"/>
        <v>0</v>
      </c>
      <c r="AJ403" s="32">
        <f t="shared" si="163"/>
        <v>0</v>
      </c>
      <c r="AK403" t="str">
        <f t="shared" si="164"/>
        <v/>
      </c>
      <c r="AL403" t="str">
        <f t="shared" si="165"/>
        <v/>
      </c>
      <c r="AM403" t="str">
        <f t="shared" si="166"/>
        <v/>
      </c>
      <c r="AO403" t="str">
        <f>IFERROR(VLOOKUP(M403,'Fixture Identities'!$B$9:$O$1045,14,FALSE),"")</f>
        <v/>
      </c>
      <c r="AP403" t="str">
        <f t="shared" si="160"/>
        <v/>
      </c>
    </row>
    <row r="404" spans="1:42">
      <c r="A404" s="71">
        <f t="shared" si="168"/>
        <v>0</v>
      </c>
      <c r="B404" s="513">
        <f t="shared" si="167"/>
        <v>392</v>
      </c>
      <c r="C404" s="530" t="str">
        <f>IF(Inventory!E401="","",Inventory!E401)</f>
        <v/>
      </c>
      <c r="D404" s="531">
        <f>IF(Inventory!D401="",0,Inventory!D401)</f>
        <v>0</v>
      </c>
      <c r="E404" s="532" t="str">
        <f>IF(Inventory!I401=0,"",Inventory!I401)</f>
        <v/>
      </c>
      <c r="F404" s="533" t="str">
        <f t="shared" si="147"/>
        <v/>
      </c>
      <c r="G404" s="534" t="str">
        <f>IF(Inventory!G401="","",Inventory!G401)</f>
        <v/>
      </c>
      <c r="H404" s="535" t="str">
        <f t="shared" si="148"/>
        <v/>
      </c>
      <c r="I404" s="536" t="str">
        <f>IF(Inventory!J401="","",Inventory!J401)</f>
        <v/>
      </c>
      <c r="J404" s="537" t="str">
        <f>IFERROR(IF(PRJ_Type="New Construction",IF(Inventory!C401="N",INDEX(xyLPD_BuildingArea,MATCH(Building_Type,Lookups!$F$37:$F$75,0),4),INDEX(xyLPD_SpaceBySpace,MATCH(INDEX(xyNCEx,MATCH(I404,yNCExArea,0),2),ySpace_by_Space_Type,0),2)),VLOOKUP(E404,xyWattage_Table,11,FALSE)),"")</f>
        <v/>
      </c>
      <c r="K404" s="538" t="str">
        <f>IFERROR(IF(AND(NC_Type="Building Area Method",Inventory!C401="N"),IF(ISERROR(INDEX('Usage Groups (&gt;120 MWh only)'!$N$8:$N$12,MATCH(C404,'Usage Groups (&gt;120 MWh only)'!$B$8:$B$12,0),1))=TRUE,SqFt/COUNTIFS(Inventory!$C$10:$C$1009,"N",$Q$13:$Q$1012,"&gt;=0"),INDEX('Usage Groups (&gt;120 MWh only)'!$N$8:$N$12,MATCH(C404,'Usage Groups (&gt;120 MWh only)'!$B$8:$B$12,0),1)/COUNTIF($C$13:$C$1012,C404)),IF(AND(NC_Type="Building Area Method",Inventory!C401="Y"),INDEX(xyNCEx,MATCH(I404,yNCExArea,0),3)/COUNTIF($I$13:$I$1012,I404),VLOOKUP(J404,xyWattage_Table,10,FALSE))),"")</f>
        <v/>
      </c>
      <c r="L404" s="539" t="str">
        <f t="shared" si="149"/>
        <v/>
      </c>
      <c r="M404" s="540">
        <f>IF(Inventory!N401="","",Inventory!N401)</f>
        <v>0</v>
      </c>
      <c r="N404" s="533" t="str">
        <f t="shared" si="150"/>
        <v/>
      </c>
      <c r="O404" s="534"/>
      <c r="P404" s="533" t="str">
        <f t="shared" si="151"/>
        <v/>
      </c>
      <c r="Q404" s="534" t="str">
        <f>IF(Inventory!L401="","",Inventory!L401)</f>
        <v/>
      </c>
      <c r="R404" s="535" t="str">
        <f t="shared" si="152"/>
        <v/>
      </c>
      <c r="S404" s="536" t="str">
        <f>IF(Inventory!O401="","",Inventory!O401)</f>
        <v/>
      </c>
      <c r="T404" s="541" t="str">
        <f>IFERROR(IF(C404="","",IF(INDEX(xyWattage_Table,MATCH(M404,'Fixture Identities'!$B$9:$B$997,0),2)="Exit Sign",8760,IF(VLOOKUP(C404,xySpace_Type_Details,8,FALSE)="TRM",INDEX('General Information'!$AF$17:$AG$28,11,MATCH(N404,'General Information'!$AF$16:$AG$16,0)),HLOOKUP(VLOOKUP(C404,xySpace_Type_Details,8,FALSE),'General Information'!$P$15:$AG$28,13,FALSE)))),"")</f>
        <v/>
      </c>
      <c r="U404" s="542" t="str">
        <f>IFERROR(IF(C404="","",IF(INDEX(xyWattage_Table,MATCH(M404,'Fixture Identities'!$B$9:$B$997,0),2)="Exit Sign",1,IF(VLOOKUP(C404,xySpace_Type_Details,8,FALSE)="TRM",INDEX('General Information'!$AF$17:$AG$28,12,MATCH(N404,'General Information'!$AF$16:$AG$16,0)),HLOOKUP(VLOOKUP(C404,xySpace_Type_Details,8,FALSE),'General Information'!$P$15:$AG$28,14,FALSE)))),"")</f>
        <v/>
      </c>
      <c r="V404" s="542" t="str">
        <f>IFERROR(VLOOKUP(INDEX(xySpace_Type_Details,MATCH($C404,'General Information'!$C$40:$C$60,0),12),Lookups!$L$8:$N$12,2,FALSE),"")</f>
        <v/>
      </c>
      <c r="W404" s="542" t="str">
        <f>IFERROR(VLOOKUP(INDEX(xySpace_Type_Details,MATCH($C404,'General Information'!$C$40:$C$60,0),12),Lookups!$L$8:$N$12,3,FALSE),"")</f>
        <v/>
      </c>
      <c r="Y404" s="542" t="str">
        <f>IFERROR(IF(C404="","",IF(INDEX(xyWattage_Table,MATCH(M404,'Fixture Identities'!$B$9:$B$997,0),2)="Exit Sign",0,IF(PRJ_Type="Retrofit",VLOOKUP(I404,xySVG_Factors,2,FALSE),IF(AND(PRJ_Type="New Construction",Inventory!C401="N"),VLOOKUP(VLOOKUP(Building_Type,xyLPD_BuildingArea,5,FALSE),xySVG_Factors_NC,3,FALSE),0)))),"")</f>
        <v/>
      </c>
      <c r="Z404" s="544" t="str">
        <f>IFERROR(IF(C404="","",IF(INDEX(xyWattage_Table,MATCH(M404,'Fixture Identities'!$B$9:$B$997,0),2)="Exit Sign",0,VLOOKUP(S404,xySVG_Factors,2,FALSE))),"")</f>
        <v/>
      </c>
      <c r="AA404" s="545" t="str">
        <f t="shared" si="153"/>
        <v/>
      </c>
      <c r="AB404" s="542" t="str">
        <f t="shared" si="154"/>
        <v/>
      </c>
      <c r="AC404" s="539" t="str">
        <f t="shared" si="155"/>
        <v/>
      </c>
      <c r="AD404" s="546" t="str">
        <f t="shared" si="156"/>
        <v/>
      </c>
      <c r="AE404" s="539" t="str">
        <f t="shared" si="157"/>
        <v/>
      </c>
      <c r="AF404" s="546" t="str">
        <f t="shared" si="158"/>
        <v/>
      </c>
      <c r="AG404" s="539" t="str">
        <f t="shared" si="159"/>
        <v/>
      </c>
      <c r="AH404" s="32">
        <f t="shared" si="161"/>
        <v>0</v>
      </c>
      <c r="AI404" s="32">
        <f t="shared" si="162"/>
        <v>0</v>
      </c>
      <c r="AJ404" s="32">
        <f t="shared" si="163"/>
        <v>0</v>
      </c>
      <c r="AK404" t="str">
        <f t="shared" si="164"/>
        <v/>
      </c>
      <c r="AL404" t="str">
        <f t="shared" si="165"/>
        <v/>
      </c>
      <c r="AM404" t="str">
        <f t="shared" si="166"/>
        <v/>
      </c>
      <c r="AO404" t="str">
        <f>IFERROR(VLOOKUP(M404,'Fixture Identities'!$B$9:$O$1045,14,FALSE),"")</f>
        <v/>
      </c>
      <c r="AP404" t="str">
        <f t="shared" si="160"/>
        <v/>
      </c>
    </row>
    <row r="405" spans="1:42">
      <c r="A405" s="71">
        <f t="shared" si="168"/>
        <v>0</v>
      </c>
      <c r="B405" s="513">
        <f t="shared" si="167"/>
        <v>393</v>
      </c>
      <c r="C405" s="530" t="str">
        <f>IF(Inventory!E402="","",Inventory!E402)</f>
        <v/>
      </c>
      <c r="D405" s="531">
        <f>IF(Inventory!D402="",0,Inventory!D402)</f>
        <v>0</v>
      </c>
      <c r="E405" s="532" t="str">
        <f>IF(Inventory!I402=0,"",Inventory!I402)</f>
        <v/>
      </c>
      <c r="F405" s="533" t="str">
        <f t="shared" si="147"/>
        <v/>
      </c>
      <c r="G405" s="534" t="str">
        <f>IF(Inventory!G402="","",Inventory!G402)</f>
        <v/>
      </c>
      <c r="H405" s="535" t="str">
        <f t="shared" si="148"/>
        <v/>
      </c>
      <c r="I405" s="536" t="str">
        <f>IF(Inventory!J402="","",Inventory!J402)</f>
        <v/>
      </c>
      <c r="J405" s="537" t="str">
        <f>IFERROR(IF(PRJ_Type="New Construction",IF(Inventory!C402="N",INDEX(xyLPD_BuildingArea,MATCH(Building_Type,Lookups!$F$37:$F$75,0),4),INDEX(xyLPD_SpaceBySpace,MATCH(INDEX(xyNCEx,MATCH(I405,yNCExArea,0),2),ySpace_by_Space_Type,0),2)),VLOOKUP(E405,xyWattage_Table,11,FALSE)),"")</f>
        <v/>
      </c>
      <c r="K405" s="538" t="str">
        <f>IFERROR(IF(AND(NC_Type="Building Area Method",Inventory!C402="N"),IF(ISERROR(INDEX('Usage Groups (&gt;120 MWh only)'!$N$8:$N$12,MATCH(C405,'Usage Groups (&gt;120 MWh only)'!$B$8:$B$12,0),1))=TRUE,SqFt/COUNTIFS(Inventory!$C$10:$C$1009,"N",$Q$13:$Q$1012,"&gt;=0"),INDEX('Usage Groups (&gt;120 MWh only)'!$N$8:$N$12,MATCH(C405,'Usage Groups (&gt;120 MWh only)'!$B$8:$B$12,0),1)/COUNTIF($C$13:$C$1012,C405)),IF(AND(NC_Type="Building Area Method",Inventory!C402="Y"),INDEX(xyNCEx,MATCH(I405,yNCExArea,0),3)/COUNTIF($I$13:$I$1012,I405),VLOOKUP(J405,xyWattage_Table,10,FALSE))),"")</f>
        <v/>
      </c>
      <c r="L405" s="539" t="str">
        <f t="shared" si="149"/>
        <v/>
      </c>
      <c r="M405" s="540">
        <f>IF(Inventory!N402="","",Inventory!N402)</f>
        <v>0</v>
      </c>
      <c r="N405" s="533" t="str">
        <f t="shared" si="150"/>
        <v/>
      </c>
      <c r="O405" s="534"/>
      <c r="P405" s="533" t="str">
        <f t="shared" si="151"/>
        <v/>
      </c>
      <c r="Q405" s="534" t="str">
        <f>IF(Inventory!L402="","",Inventory!L402)</f>
        <v/>
      </c>
      <c r="R405" s="535" t="str">
        <f t="shared" si="152"/>
        <v/>
      </c>
      <c r="S405" s="536" t="str">
        <f>IF(Inventory!O402="","",Inventory!O402)</f>
        <v/>
      </c>
      <c r="T405" s="541" t="str">
        <f>IFERROR(IF(C405="","",IF(INDEX(xyWattage_Table,MATCH(M405,'Fixture Identities'!$B$9:$B$997,0),2)="Exit Sign",8760,IF(VLOOKUP(C405,xySpace_Type_Details,8,FALSE)="TRM",INDEX('General Information'!$AF$17:$AG$28,11,MATCH(N405,'General Information'!$AF$16:$AG$16,0)),HLOOKUP(VLOOKUP(C405,xySpace_Type_Details,8,FALSE),'General Information'!$P$15:$AG$28,13,FALSE)))),"")</f>
        <v/>
      </c>
      <c r="U405" s="542" t="str">
        <f>IFERROR(IF(C405="","",IF(INDEX(xyWattage_Table,MATCH(M405,'Fixture Identities'!$B$9:$B$997,0),2)="Exit Sign",1,IF(VLOOKUP(C405,xySpace_Type_Details,8,FALSE)="TRM",INDEX('General Information'!$AF$17:$AG$28,12,MATCH(N405,'General Information'!$AF$16:$AG$16,0)),HLOOKUP(VLOOKUP(C405,xySpace_Type_Details,8,FALSE),'General Information'!$P$15:$AG$28,14,FALSE)))),"")</f>
        <v/>
      </c>
      <c r="V405" s="542" t="str">
        <f>IFERROR(VLOOKUP(INDEX(xySpace_Type_Details,MATCH($C405,'General Information'!$C$40:$C$60,0),12),Lookups!$L$8:$N$12,2,FALSE),"")</f>
        <v/>
      </c>
      <c r="W405" s="542" t="str">
        <f>IFERROR(VLOOKUP(INDEX(xySpace_Type_Details,MATCH($C405,'General Information'!$C$40:$C$60,0),12),Lookups!$L$8:$N$12,3,FALSE),"")</f>
        <v/>
      </c>
      <c r="Y405" s="542" t="str">
        <f>IFERROR(IF(C405="","",IF(INDEX(xyWattage_Table,MATCH(M405,'Fixture Identities'!$B$9:$B$997,0),2)="Exit Sign",0,IF(PRJ_Type="Retrofit",VLOOKUP(I405,xySVG_Factors,2,FALSE),IF(AND(PRJ_Type="New Construction",Inventory!C402="N"),VLOOKUP(VLOOKUP(Building_Type,xyLPD_BuildingArea,5,FALSE),xySVG_Factors_NC,3,FALSE),0)))),"")</f>
        <v/>
      </c>
      <c r="Z405" s="544" t="str">
        <f>IFERROR(IF(C405="","",IF(INDEX(xyWattage_Table,MATCH(M405,'Fixture Identities'!$B$9:$B$997,0),2)="Exit Sign",0,VLOOKUP(S405,xySVG_Factors,2,FALSE))),"")</f>
        <v/>
      </c>
      <c r="AA405" s="545" t="str">
        <f t="shared" si="153"/>
        <v/>
      </c>
      <c r="AB405" s="542" t="str">
        <f t="shared" si="154"/>
        <v/>
      </c>
      <c r="AC405" s="539" t="str">
        <f t="shared" si="155"/>
        <v/>
      </c>
      <c r="AD405" s="546" t="str">
        <f t="shared" si="156"/>
        <v/>
      </c>
      <c r="AE405" s="539" t="str">
        <f t="shared" si="157"/>
        <v/>
      </c>
      <c r="AF405" s="546" t="str">
        <f t="shared" si="158"/>
        <v/>
      </c>
      <c r="AG405" s="539" t="str">
        <f t="shared" si="159"/>
        <v/>
      </c>
      <c r="AH405" s="32">
        <f t="shared" si="161"/>
        <v>0</v>
      </c>
      <c r="AI405" s="32">
        <f t="shared" si="162"/>
        <v>0</v>
      </c>
      <c r="AJ405" s="32">
        <f t="shared" si="163"/>
        <v>0</v>
      </c>
      <c r="AK405" t="str">
        <f t="shared" si="164"/>
        <v/>
      </c>
      <c r="AL405" t="str">
        <f t="shared" si="165"/>
        <v/>
      </c>
      <c r="AM405" t="str">
        <f t="shared" si="166"/>
        <v/>
      </c>
      <c r="AO405" t="str">
        <f>IFERROR(VLOOKUP(M405,'Fixture Identities'!$B$9:$O$1045,14,FALSE),"")</f>
        <v/>
      </c>
      <c r="AP405" t="str">
        <f t="shared" si="160"/>
        <v/>
      </c>
    </row>
    <row r="406" spans="1:42">
      <c r="A406" s="71">
        <f t="shared" si="168"/>
        <v>0</v>
      </c>
      <c r="B406" s="513">
        <f t="shared" si="167"/>
        <v>394</v>
      </c>
      <c r="C406" s="530" t="str">
        <f>IF(Inventory!E403="","",Inventory!E403)</f>
        <v/>
      </c>
      <c r="D406" s="531">
        <f>IF(Inventory!D403="",0,Inventory!D403)</f>
        <v>0</v>
      </c>
      <c r="E406" s="532" t="str">
        <f>IF(Inventory!I403=0,"",Inventory!I403)</f>
        <v/>
      </c>
      <c r="F406" s="533" t="str">
        <f t="shared" si="147"/>
        <v/>
      </c>
      <c r="G406" s="534" t="str">
        <f>IF(Inventory!G403="","",Inventory!G403)</f>
        <v/>
      </c>
      <c r="H406" s="535" t="str">
        <f t="shared" si="148"/>
        <v/>
      </c>
      <c r="I406" s="536" t="str">
        <f>IF(Inventory!J403="","",Inventory!J403)</f>
        <v/>
      </c>
      <c r="J406" s="537" t="str">
        <f>IFERROR(IF(PRJ_Type="New Construction",IF(Inventory!C403="N",INDEX(xyLPD_BuildingArea,MATCH(Building_Type,Lookups!$F$37:$F$75,0),4),INDEX(xyLPD_SpaceBySpace,MATCH(INDEX(xyNCEx,MATCH(I406,yNCExArea,0),2),ySpace_by_Space_Type,0),2)),VLOOKUP(E406,xyWattage_Table,11,FALSE)),"")</f>
        <v/>
      </c>
      <c r="K406" s="538" t="str">
        <f>IFERROR(IF(AND(NC_Type="Building Area Method",Inventory!C403="N"),IF(ISERROR(INDEX('Usage Groups (&gt;120 MWh only)'!$N$8:$N$12,MATCH(C406,'Usage Groups (&gt;120 MWh only)'!$B$8:$B$12,0),1))=TRUE,SqFt/COUNTIFS(Inventory!$C$10:$C$1009,"N",$Q$13:$Q$1012,"&gt;=0"),INDEX('Usage Groups (&gt;120 MWh only)'!$N$8:$N$12,MATCH(C406,'Usage Groups (&gt;120 MWh only)'!$B$8:$B$12,0),1)/COUNTIF($C$13:$C$1012,C406)),IF(AND(NC_Type="Building Area Method",Inventory!C403="Y"),INDEX(xyNCEx,MATCH(I406,yNCExArea,0),3)/COUNTIF($I$13:$I$1012,I406),VLOOKUP(J406,xyWattage_Table,10,FALSE))),"")</f>
        <v/>
      </c>
      <c r="L406" s="539" t="str">
        <f t="shared" si="149"/>
        <v/>
      </c>
      <c r="M406" s="540">
        <f>IF(Inventory!N403="","",Inventory!N403)</f>
        <v>0</v>
      </c>
      <c r="N406" s="533" t="str">
        <f t="shared" si="150"/>
        <v/>
      </c>
      <c r="O406" s="534"/>
      <c r="P406" s="533" t="str">
        <f t="shared" si="151"/>
        <v/>
      </c>
      <c r="Q406" s="534" t="str">
        <f>IF(Inventory!L403="","",Inventory!L403)</f>
        <v/>
      </c>
      <c r="R406" s="535" t="str">
        <f t="shared" si="152"/>
        <v/>
      </c>
      <c r="S406" s="536" t="str">
        <f>IF(Inventory!O403="","",Inventory!O403)</f>
        <v/>
      </c>
      <c r="T406" s="541" t="str">
        <f>IFERROR(IF(C406="","",IF(INDEX(xyWattage_Table,MATCH(M406,'Fixture Identities'!$B$9:$B$997,0),2)="Exit Sign",8760,IF(VLOOKUP(C406,xySpace_Type_Details,8,FALSE)="TRM",INDEX('General Information'!$AF$17:$AG$28,11,MATCH(N406,'General Information'!$AF$16:$AG$16,0)),HLOOKUP(VLOOKUP(C406,xySpace_Type_Details,8,FALSE),'General Information'!$P$15:$AG$28,13,FALSE)))),"")</f>
        <v/>
      </c>
      <c r="U406" s="542" t="str">
        <f>IFERROR(IF(C406="","",IF(INDEX(xyWattage_Table,MATCH(M406,'Fixture Identities'!$B$9:$B$997,0),2)="Exit Sign",1,IF(VLOOKUP(C406,xySpace_Type_Details,8,FALSE)="TRM",INDEX('General Information'!$AF$17:$AG$28,12,MATCH(N406,'General Information'!$AF$16:$AG$16,0)),HLOOKUP(VLOOKUP(C406,xySpace_Type_Details,8,FALSE),'General Information'!$P$15:$AG$28,14,FALSE)))),"")</f>
        <v/>
      </c>
      <c r="V406" s="542" t="str">
        <f>IFERROR(VLOOKUP(INDEX(xySpace_Type_Details,MATCH($C406,'General Information'!$C$40:$C$60,0),12),Lookups!$L$8:$N$12,2,FALSE),"")</f>
        <v/>
      </c>
      <c r="W406" s="542" t="str">
        <f>IFERROR(VLOOKUP(INDEX(xySpace_Type_Details,MATCH($C406,'General Information'!$C$40:$C$60,0),12),Lookups!$L$8:$N$12,3,FALSE),"")</f>
        <v/>
      </c>
      <c r="Y406" s="542" t="str">
        <f>IFERROR(IF(C406="","",IF(INDEX(xyWattage_Table,MATCH(M406,'Fixture Identities'!$B$9:$B$997,0),2)="Exit Sign",0,IF(PRJ_Type="Retrofit",VLOOKUP(I406,xySVG_Factors,2,FALSE),IF(AND(PRJ_Type="New Construction",Inventory!C403="N"),VLOOKUP(VLOOKUP(Building_Type,xyLPD_BuildingArea,5,FALSE),xySVG_Factors_NC,3,FALSE),0)))),"")</f>
        <v/>
      </c>
      <c r="Z406" s="544" t="str">
        <f>IFERROR(IF(C406="","",IF(INDEX(xyWattage_Table,MATCH(M406,'Fixture Identities'!$B$9:$B$997,0),2)="Exit Sign",0,VLOOKUP(S406,xySVG_Factors,2,FALSE))),"")</f>
        <v/>
      </c>
      <c r="AA406" s="545" t="str">
        <f t="shared" si="153"/>
        <v/>
      </c>
      <c r="AB406" s="542" t="str">
        <f t="shared" si="154"/>
        <v/>
      </c>
      <c r="AC406" s="539" t="str">
        <f t="shared" si="155"/>
        <v/>
      </c>
      <c r="AD406" s="546" t="str">
        <f t="shared" si="156"/>
        <v/>
      </c>
      <c r="AE406" s="539" t="str">
        <f t="shared" si="157"/>
        <v/>
      </c>
      <c r="AF406" s="546" t="str">
        <f t="shared" si="158"/>
        <v/>
      </c>
      <c r="AG406" s="539" t="str">
        <f t="shared" si="159"/>
        <v/>
      </c>
      <c r="AH406" s="32">
        <f t="shared" si="161"/>
        <v>0</v>
      </c>
      <c r="AI406" s="32">
        <f t="shared" si="162"/>
        <v>0</v>
      </c>
      <c r="AJ406" s="32">
        <f t="shared" si="163"/>
        <v>0</v>
      </c>
      <c r="AK406" t="str">
        <f t="shared" si="164"/>
        <v/>
      </c>
      <c r="AL406" t="str">
        <f t="shared" si="165"/>
        <v/>
      </c>
      <c r="AM406" t="str">
        <f t="shared" si="166"/>
        <v/>
      </c>
      <c r="AO406" t="str">
        <f>IFERROR(VLOOKUP(M406,'Fixture Identities'!$B$9:$O$1045,14,FALSE),"")</f>
        <v/>
      </c>
      <c r="AP406" t="str">
        <f t="shared" si="160"/>
        <v/>
      </c>
    </row>
    <row r="407" spans="1:42">
      <c r="A407" s="71">
        <f t="shared" si="168"/>
        <v>0</v>
      </c>
      <c r="B407" s="513">
        <f t="shared" si="167"/>
        <v>395</v>
      </c>
      <c r="C407" s="530" t="str">
        <f>IF(Inventory!E404="","",Inventory!E404)</f>
        <v/>
      </c>
      <c r="D407" s="531">
        <f>IF(Inventory!D404="",0,Inventory!D404)</f>
        <v>0</v>
      </c>
      <c r="E407" s="532" t="str">
        <f>IF(Inventory!I404=0,"",Inventory!I404)</f>
        <v/>
      </c>
      <c r="F407" s="533" t="str">
        <f t="shared" si="147"/>
        <v/>
      </c>
      <c r="G407" s="534" t="str">
        <f>IF(Inventory!G404="","",Inventory!G404)</f>
        <v/>
      </c>
      <c r="H407" s="535" t="str">
        <f t="shared" si="148"/>
        <v/>
      </c>
      <c r="I407" s="536" t="str">
        <f>IF(Inventory!J404="","",Inventory!J404)</f>
        <v/>
      </c>
      <c r="J407" s="537" t="str">
        <f>IFERROR(IF(PRJ_Type="New Construction",IF(Inventory!C404="N",INDEX(xyLPD_BuildingArea,MATCH(Building_Type,Lookups!$F$37:$F$75,0),4),INDEX(xyLPD_SpaceBySpace,MATCH(INDEX(xyNCEx,MATCH(I407,yNCExArea,0),2),ySpace_by_Space_Type,0),2)),VLOOKUP(E407,xyWattage_Table,11,FALSE)),"")</f>
        <v/>
      </c>
      <c r="K407" s="538" t="str">
        <f>IFERROR(IF(AND(NC_Type="Building Area Method",Inventory!C404="N"),IF(ISERROR(INDEX('Usage Groups (&gt;120 MWh only)'!$N$8:$N$12,MATCH(C407,'Usage Groups (&gt;120 MWh only)'!$B$8:$B$12,0),1))=TRUE,SqFt/COUNTIFS(Inventory!$C$10:$C$1009,"N",$Q$13:$Q$1012,"&gt;=0"),INDEX('Usage Groups (&gt;120 MWh only)'!$N$8:$N$12,MATCH(C407,'Usage Groups (&gt;120 MWh only)'!$B$8:$B$12,0),1)/COUNTIF($C$13:$C$1012,C407)),IF(AND(NC_Type="Building Area Method",Inventory!C404="Y"),INDEX(xyNCEx,MATCH(I407,yNCExArea,0),3)/COUNTIF($I$13:$I$1012,I407),VLOOKUP(J407,xyWattage_Table,10,FALSE))),"")</f>
        <v/>
      </c>
      <c r="L407" s="539" t="str">
        <f t="shared" si="149"/>
        <v/>
      </c>
      <c r="M407" s="540">
        <f>IF(Inventory!N404="","",Inventory!N404)</f>
        <v>0</v>
      </c>
      <c r="N407" s="533" t="str">
        <f t="shared" si="150"/>
        <v/>
      </c>
      <c r="O407" s="534"/>
      <c r="P407" s="533" t="str">
        <f t="shared" si="151"/>
        <v/>
      </c>
      <c r="Q407" s="534" t="str">
        <f>IF(Inventory!L404="","",Inventory!L404)</f>
        <v/>
      </c>
      <c r="R407" s="535" t="str">
        <f t="shared" si="152"/>
        <v/>
      </c>
      <c r="S407" s="536" t="str">
        <f>IF(Inventory!O404="","",Inventory!O404)</f>
        <v/>
      </c>
      <c r="T407" s="541" t="str">
        <f>IFERROR(IF(C407="","",IF(INDEX(xyWattage_Table,MATCH(M407,'Fixture Identities'!$B$9:$B$997,0),2)="Exit Sign",8760,IF(VLOOKUP(C407,xySpace_Type_Details,8,FALSE)="TRM",INDEX('General Information'!$AF$17:$AG$28,11,MATCH(N407,'General Information'!$AF$16:$AG$16,0)),HLOOKUP(VLOOKUP(C407,xySpace_Type_Details,8,FALSE),'General Information'!$P$15:$AG$28,13,FALSE)))),"")</f>
        <v/>
      </c>
      <c r="U407" s="542" t="str">
        <f>IFERROR(IF(C407="","",IF(INDEX(xyWattage_Table,MATCH(M407,'Fixture Identities'!$B$9:$B$997,0),2)="Exit Sign",1,IF(VLOOKUP(C407,xySpace_Type_Details,8,FALSE)="TRM",INDEX('General Information'!$AF$17:$AG$28,12,MATCH(N407,'General Information'!$AF$16:$AG$16,0)),HLOOKUP(VLOOKUP(C407,xySpace_Type_Details,8,FALSE),'General Information'!$P$15:$AG$28,14,FALSE)))),"")</f>
        <v/>
      </c>
      <c r="V407" s="542" t="str">
        <f>IFERROR(VLOOKUP(INDEX(xySpace_Type_Details,MATCH($C407,'General Information'!$C$40:$C$60,0),12),Lookups!$L$8:$N$12,2,FALSE),"")</f>
        <v/>
      </c>
      <c r="W407" s="542" t="str">
        <f>IFERROR(VLOOKUP(INDEX(xySpace_Type_Details,MATCH($C407,'General Information'!$C$40:$C$60,0),12),Lookups!$L$8:$N$12,3,FALSE),"")</f>
        <v/>
      </c>
      <c r="Y407" s="542" t="str">
        <f>IFERROR(IF(C407="","",IF(INDEX(xyWattage_Table,MATCH(M407,'Fixture Identities'!$B$9:$B$997,0),2)="Exit Sign",0,IF(PRJ_Type="Retrofit",VLOOKUP(I407,xySVG_Factors,2,FALSE),IF(AND(PRJ_Type="New Construction",Inventory!C404="N"),VLOOKUP(VLOOKUP(Building_Type,xyLPD_BuildingArea,5,FALSE),xySVG_Factors_NC,3,FALSE),0)))),"")</f>
        <v/>
      </c>
      <c r="Z407" s="544" t="str">
        <f>IFERROR(IF(C407="","",IF(INDEX(xyWattage_Table,MATCH(M407,'Fixture Identities'!$B$9:$B$997,0),2)="Exit Sign",0,VLOOKUP(S407,xySVG_Factors,2,FALSE))),"")</f>
        <v/>
      </c>
      <c r="AA407" s="545" t="str">
        <f t="shared" si="153"/>
        <v/>
      </c>
      <c r="AB407" s="542" t="str">
        <f t="shared" si="154"/>
        <v/>
      </c>
      <c r="AC407" s="539" t="str">
        <f t="shared" si="155"/>
        <v/>
      </c>
      <c r="AD407" s="546" t="str">
        <f t="shared" si="156"/>
        <v/>
      </c>
      <c r="AE407" s="539" t="str">
        <f t="shared" si="157"/>
        <v/>
      </c>
      <c r="AF407" s="546" t="str">
        <f t="shared" si="158"/>
        <v/>
      </c>
      <c r="AG407" s="539" t="str">
        <f t="shared" si="159"/>
        <v/>
      </c>
      <c r="AH407" s="32">
        <f t="shared" si="161"/>
        <v>0</v>
      </c>
      <c r="AI407" s="32">
        <f t="shared" si="162"/>
        <v>0</v>
      </c>
      <c r="AJ407" s="32">
        <f t="shared" si="163"/>
        <v>0</v>
      </c>
      <c r="AK407" t="str">
        <f t="shared" si="164"/>
        <v/>
      </c>
      <c r="AL407" t="str">
        <f t="shared" si="165"/>
        <v/>
      </c>
      <c r="AM407" t="str">
        <f t="shared" si="166"/>
        <v/>
      </c>
      <c r="AO407" t="str">
        <f>IFERROR(VLOOKUP(M407,'Fixture Identities'!$B$9:$O$1045,14,FALSE),"")</f>
        <v/>
      </c>
      <c r="AP407" t="str">
        <f t="shared" si="160"/>
        <v/>
      </c>
    </row>
    <row r="408" spans="1:42">
      <c r="A408" s="71">
        <f t="shared" si="168"/>
        <v>0</v>
      </c>
      <c r="B408" s="513">
        <f t="shared" si="167"/>
        <v>396</v>
      </c>
      <c r="C408" s="530" t="str">
        <f>IF(Inventory!E405="","",Inventory!E405)</f>
        <v/>
      </c>
      <c r="D408" s="531">
        <f>IF(Inventory!D405="",0,Inventory!D405)</f>
        <v>0</v>
      </c>
      <c r="E408" s="532" t="str">
        <f>IF(Inventory!I405=0,"",Inventory!I405)</f>
        <v/>
      </c>
      <c r="F408" s="533" t="str">
        <f t="shared" si="147"/>
        <v/>
      </c>
      <c r="G408" s="534" t="str">
        <f>IF(Inventory!G405="","",Inventory!G405)</f>
        <v/>
      </c>
      <c r="H408" s="535" t="str">
        <f t="shared" si="148"/>
        <v/>
      </c>
      <c r="I408" s="536" t="str">
        <f>IF(Inventory!J405="","",Inventory!J405)</f>
        <v/>
      </c>
      <c r="J408" s="537" t="str">
        <f>IFERROR(IF(PRJ_Type="New Construction",IF(Inventory!C405="N",INDEX(xyLPD_BuildingArea,MATCH(Building_Type,Lookups!$F$37:$F$75,0),4),INDEX(xyLPD_SpaceBySpace,MATCH(INDEX(xyNCEx,MATCH(I408,yNCExArea,0),2),ySpace_by_Space_Type,0),2)),VLOOKUP(E408,xyWattage_Table,11,FALSE)),"")</f>
        <v/>
      </c>
      <c r="K408" s="538" t="str">
        <f>IFERROR(IF(AND(NC_Type="Building Area Method",Inventory!C405="N"),IF(ISERROR(INDEX('Usage Groups (&gt;120 MWh only)'!$N$8:$N$12,MATCH(C408,'Usage Groups (&gt;120 MWh only)'!$B$8:$B$12,0),1))=TRUE,SqFt/COUNTIFS(Inventory!$C$10:$C$1009,"N",$Q$13:$Q$1012,"&gt;=0"),INDEX('Usage Groups (&gt;120 MWh only)'!$N$8:$N$12,MATCH(C408,'Usage Groups (&gt;120 MWh only)'!$B$8:$B$12,0),1)/COUNTIF($C$13:$C$1012,C408)),IF(AND(NC_Type="Building Area Method",Inventory!C405="Y"),INDEX(xyNCEx,MATCH(I408,yNCExArea,0),3)/COUNTIF($I$13:$I$1012,I408),VLOOKUP(J408,xyWattage_Table,10,FALSE))),"")</f>
        <v/>
      </c>
      <c r="L408" s="539" t="str">
        <f t="shared" si="149"/>
        <v/>
      </c>
      <c r="M408" s="540">
        <f>IF(Inventory!N405="","",Inventory!N405)</f>
        <v>0</v>
      </c>
      <c r="N408" s="533" t="str">
        <f t="shared" si="150"/>
        <v/>
      </c>
      <c r="O408" s="534"/>
      <c r="P408" s="533" t="str">
        <f t="shared" si="151"/>
        <v/>
      </c>
      <c r="Q408" s="534" t="str">
        <f>IF(Inventory!L405="","",Inventory!L405)</f>
        <v/>
      </c>
      <c r="R408" s="535" t="str">
        <f t="shared" si="152"/>
        <v/>
      </c>
      <c r="S408" s="536" t="str">
        <f>IF(Inventory!O405="","",Inventory!O405)</f>
        <v/>
      </c>
      <c r="T408" s="541" t="str">
        <f>IFERROR(IF(C408="","",IF(INDEX(xyWattage_Table,MATCH(M408,'Fixture Identities'!$B$9:$B$997,0),2)="Exit Sign",8760,IF(VLOOKUP(C408,xySpace_Type_Details,8,FALSE)="TRM",INDEX('General Information'!$AF$17:$AG$28,11,MATCH(N408,'General Information'!$AF$16:$AG$16,0)),HLOOKUP(VLOOKUP(C408,xySpace_Type_Details,8,FALSE),'General Information'!$P$15:$AG$28,13,FALSE)))),"")</f>
        <v/>
      </c>
      <c r="U408" s="542" t="str">
        <f>IFERROR(IF(C408="","",IF(INDEX(xyWattage_Table,MATCH(M408,'Fixture Identities'!$B$9:$B$997,0),2)="Exit Sign",1,IF(VLOOKUP(C408,xySpace_Type_Details,8,FALSE)="TRM",INDEX('General Information'!$AF$17:$AG$28,12,MATCH(N408,'General Information'!$AF$16:$AG$16,0)),HLOOKUP(VLOOKUP(C408,xySpace_Type_Details,8,FALSE),'General Information'!$P$15:$AG$28,14,FALSE)))),"")</f>
        <v/>
      </c>
      <c r="V408" s="542" t="str">
        <f>IFERROR(VLOOKUP(INDEX(xySpace_Type_Details,MATCH($C408,'General Information'!$C$40:$C$60,0),12),Lookups!$L$8:$N$12,2,FALSE),"")</f>
        <v/>
      </c>
      <c r="W408" s="542" t="str">
        <f>IFERROR(VLOOKUP(INDEX(xySpace_Type_Details,MATCH($C408,'General Information'!$C$40:$C$60,0),12),Lookups!$L$8:$N$12,3,FALSE),"")</f>
        <v/>
      </c>
      <c r="Y408" s="542" t="str">
        <f>IFERROR(IF(C408="","",IF(INDEX(xyWattage_Table,MATCH(M408,'Fixture Identities'!$B$9:$B$997,0),2)="Exit Sign",0,IF(PRJ_Type="Retrofit",VLOOKUP(I408,xySVG_Factors,2,FALSE),IF(AND(PRJ_Type="New Construction",Inventory!C405="N"),VLOOKUP(VLOOKUP(Building_Type,xyLPD_BuildingArea,5,FALSE),xySVG_Factors_NC,3,FALSE),0)))),"")</f>
        <v/>
      </c>
      <c r="Z408" s="544" t="str">
        <f>IFERROR(IF(C408="","",IF(INDEX(xyWattage_Table,MATCH(M408,'Fixture Identities'!$B$9:$B$997,0),2)="Exit Sign",0,VLOOKUP(S408,xySVG_Factors,2,FALSE))),"")</f>
        <v/>
      </c>
      <c r="AA408" s="545" t="str">
        <f t="shared" si="153"/>
        <v/>
      </c>
      <c r="AB408" s="542" t="str">
        <f t="shared" si="154"/>
        <v/>
      </c>
      <c r="AC408" s="539" t="str">
        <f t="shared" si="155"/>
        <v/>
      </c>
      <c r="AD408" s="546" t="str">
        <f t="shared" si="156"/>
        <v/>
      </c>
      <c r="AE408" s="539" t="str">
        <f t="shared" si="157"/>
        <v/>
      </c>
      <c r="AF408" s="546" t="str">
        <f t="shared" si="158"/>
        <v/>
      </c>
      <c r="AG408" s="539" t="str">
        <f t="shared" si="159"/>
        <v/>
      </c>
      <c r="AH408" s="32">
        <f t="shared" si="161"/>
        <v>0</v>
      </c>
      <c r="AI408" s="32">
        <f t="shared" si="162"/>
        <v>0</v>
      </c>
      <c r="AJ408" s="32">
        <f t="shared" si="163"/>
        <v>0</v>
      </c>
      <c r="AK408" t="str">
        <f t="shared" si="164"/>
        <v/>
      </c>
      <c r="AL408" t="str">
        <f t="shared" si="165"/>
        <v/>
      </c>
      <c r="AM408" t="str">
        <f t="shared" si="166"/>
        <v/>
      </c>
      <c r="AO408" t="str">
        <f>IFERROR(VLOOKUP(M408,'Fixture Identities'!$B$9:$O$1045,14,FALSE),"")</f>
        <v/>
      </c>
      <c r="AP408" t="str">
        <f t="shared" si="160"/>
        <v/>
      </c>
    </row>
    <row r="409" spans="1:42">
      <c r="A409" s="71">
        <f t="shared" si="168"/>
        <v>0</v>
      </c>
      <c r="B409" s="513">
        <f t="shared" si="167"/>
        <v>397</v>
      </c>
      <c r="C409" s="530" t="str">
        <f>IF(Inventory!E406="","",Inventory!E406)</f>
        <v/>
      </c>
      <c r="D409" s="531">
        <f>IF(Inventory!D406="",0,Inventory!D406)</f>
        <v>0</v>
      </c>
      <c r="E409" s="532" t="str">
        <f>IF(Inventory!I406=0,"",Inventory!I406)</f>
        <v/>
      </c>
      <c r="F409" s="533" t="str">
        <f t="shared" si="147"/>
        <v/>
      </c>
      <c r="G409" s="534" t="str">
        <f>IF(Inventory!G406="","",Inventory!G406)</f>
        <v/>
      </c>
      <c r="H409" s="535" t="str">
        <f t="shared" si="148"/>
        <v/>
      </c>
      <c r="I409" s="536" t="str">
        <f>IF(Inventory!J406="","",Inventory!J406)</f>
        <v/>
      </c>
      <c r="J409" s="537" t="str">
        <f>IFERROR(IF(PRJ_Type="New Construction",IF(Inventory!C406="N",INDEX(xyLPD_BuildingArea,MATCH(Building_Type,Lookups!$F$37:$F$75,0),4),INDEX(xyLPD_SpaceBySpace,MATCH(INDEX(xyNCEx,MATCH(I409,yNCExArea,0),2),ySpace_by_Space_Type,0),2)),VLOOKUP(E409,xyWattage_Table,11,FALSE)),"")</f>
        <v/>
      </c>
      <c r="K409" s="538" t="str">
        <f>IFERROR(IF(AND(NC_Type="Building Area Method",Inventory!C406="N"),IF(ISERROR(INDEX('Usage Groups (&gt;120 MWh only)'!$N$8:$N$12,MATCH(C409,'Usage Groups (&gt;120 MWh only)'!$B$8:$B$12,0),1))=TRUE,SqFt/COUNTIFS(Inventory!$C$10:$C$1009,"N",$Q$13:$Q$1012,"&gt;=0"),INDEX('Usage Groups (&gt;120 MWh only)'!$N$8:$N$12,MATCH(C409,'Usage Groups (&gt;120 MWh only)'!$B$8:$B$12,0),1)/COUNTIF($C$13:$C$1012,C409)),IF(AND(NC_Type="Building Area Method",Inventory!C406="Y"),INDEX(xyNCEx,MATCH(I409,yNCExArea,0),3)/COUNTIF($I$13:$I$1012,I409),VLOOKUP(J409,xyWattage_Table,10,FALSE))),"")</f>
        <v/>
      </c>
      <c r="L409" s="539" t="str">
        <f t="shared" si="149"/>
        <v/>
      </c>
      <c r="M409" s="540">
        <f>IF(Inventory!N406="","",Inventory!N406)</f>
        <v>0</v>
      </c>
      <c r="N409" s="533" t="str">
        <f t="shared" si="150"/>
        <v/>
      </c>
      <c r="O409" s="534"/>
      <c r="P409" s="533" t="str">
        <f t="shared" si="151"/>
        <v/>
      </c>
      <c r="Q409" s="534" t="str">
        <f>IF(Inventory!L406="","",Inventory!L406)</f>
        <v/>
      </c>
      <c r="R409" s="535" t="str">
        <f t="shared" si="152"/>
        <v/>
      </c>
      <c r="S409" s="536" t="str">
        <f>IF(Inventory!O406="","",Inventory!O406)</f>
        <v/>
      </c>
      <c r="T409" s="541" t="str">
        <f>IFERROR(IF(C409="","",IF(INDEX(xyWattage_Table,MATCH(M409,'Fixture Identities'!$B$9:$B$997,0),2)="Exit Sign",8760,IF(VLOOKUP(C409,xySpace_Type_Details,8,FALSE)="TRM",INDEX('General Information'!$AF$17:$AG$28,11,MATCH(N409,'General Information'!$AF$16:$AG$16,0)),HLOOKUP(VLOOKUP(C409,xySpace_Type_Details,8,FALSE),'General Information'!$P$15:$AG$28,13,FALSE)))),"")</f>
        <v/>
      </c>
      <c r="U409" s="542" t="str">
        <f>IFERROR(IF(C409="","",IF(INDEX(xyWattage_Table,MATCH(M409,'Fixture Identities'!$B$9:$B$997,0),2)="Exit Sign",1,IF(VLOOKUP(C409,xySpace_Type_Details,8,FALSE)="TRM",INDEX('General Information'!$AF$17:$AG$28,12,MATCH(N409,'General Information'!$AF$16:$AG$16,0)),HLOOKUP(VLOOKUP(C409,xySpace_Type_Details,8,FALSE),'General Information'!$P$15:$AG$28,14,FALSE)))),"")</f>
        <v/>
      </c>
      <c r="V409" s="542" t="str">
        <f>IFERROR(VLOOKUP(INDEX(xySpace_Type_Details,MATCH($C409,'General Information'!$C$40:$C$60,0),12),Lookups!$L$8:$N$12,2,FALSE),"")</f>
        <v/>
      </c>
      <c r="W409" s="542" t="str">
        <f>IFERROR(VLOOKUP(INDEX(xySpace_Type_Details,MATCH($C409,'General Information'!$C$40:$C$60,0),12),Lookups!$L$8:$N$12,3,FALSE),"")</f>
        <v/>
      </c>
      <c r="Y409" s="542" t="str">
        <f>IFERROR(IF(C409="","",IF(INDEX(xyWattage_Table,MATCH(M409,'Fixture Identities'!$B$9:$B$997,0),2)="Exit Sign",0,IF(PRJ_Type="Retrofit",VLOOKUP(I409,xySVG_Factors,2,FALSE),IF(AND(PRJ_Type="New Construction",Inventory!C406="N"),VLOOKUP(VLOOKUP(Building_Type,xyLPD_BuildingArea,5,FALSE),xySVG_Factors_NC,3,FALSE),0)))),"")</f>
        <v/>
      </c>
      <c r="Z409" s="544" t="str">
        <f>IFERROR(IF(C409="","",IF(INDEX(xyWattage_Table,MATCH(M409,'Fixture Identities'!$B$9:$B$997,0),2)="Exit Sign",0,VLOOKUP(S409,xySVG_Factors,2,FALSE))),"")</f>
        <v/>
      </c>
      <c r="AA409" s="545" t="str">
        <f t="shared" si="153"/>
        <v/>
      </c>
      <c r="AB409" s="542" t="str">
        <f t="shared" si="154"/>
        <v/>
      </c>
      <c r="AC409" s="539" t="str">
        <f t="shared" si="155"/>
        <v/>
      </c>
      <c r="AD409" s="546" t="str">
        <f t="shared" si="156"/>
        <v/>
      </c>
      <c r="AE409" s="539" t="str">
        <f t="shared" si="157"/>
        <v/>
      </c>
      <c r="AF409" s="546" t="str">
        <f t="shared" si="158"/>
        <v/>
      </c>
      <c r="AG409" s="539" t="str">
        <f t="shared" si="159"/>
        <v/>
      </c>
      <c r="AH409" s="32">
        <f t="shared" si="161"/>
        <v>0</v>
      </c>
      <c r="AI409" s="32">
        <f t="shared" si="162"/>
        <v>0</v>
      </c>
      <c r="AJ409" s="32">
        <f t="shared" si="163"/>
        <v>0</v>
      </c>
      <c r="AK409" t="str">
        <f t="shared" si="164"/>
        <v/>
      </c>
      <c r="AL409" t="str">
        <f t="shared" si="165"/>
        <v/>
      </c>
      <c r="AM409" t="str">
        <f t="shared" si="166"/>
        <v/>
      </c>
      <c r="AO409" t="str">
        <f>IFERROR(VLOOKUP(M409,'Fixture Identities'!$B$9:$O$1045,14,FALSE),"")</f>
        <v/>
      </c>
      <c r="AP409" t="str">
        <f t="shared" si="160"/>
        <v/>
      </c>
    </row>
    <row r="410" spans="1:42">
      <c r="A410" s="71">
        <f t="shared" si="168"/>
        <v>0</v>
      </c>
      <c r="B410" s="513">
        <f t="shared" si="167"/>
        <v>398</v>
      </c>
      <c r="C410" s="530" t="str">
        <f>IF(Inventory!E407="","",Inventory!E407)</f>
        <v/>
      </c>
      <c r="D410" s="531">
        <f>IF(Inventory!D407="",0,Inventory!D407)</f>
        <v>0</v>
      </c>
      <c r="E410" s="532" t="str">
        <f>IF(Inventory!I407=0,"",Inventory!I407)</f>
        <v/>
      </c>
      <c r="F410" s="533" t="str">
        <f t="shared" si="147"/>
        <v/>
      </c>
      <c r="G410" s="534" t="str">
        <f>IF(Inventory!G407="","",Inventory!G407)</f>
        <v/>
      </c>
      <c r="H410" s="535" t="str">
        <f t="shared" si="148"/>
        <v/>
      </c>
      <c r="I410" s="536" t="str">
        <f>IF(Inventory!J407="","",Inventory!J407)</f>
        <v/>
      </c>
      <c r="J410" s="537" t="str">
        <f>IFERROR(IF(PRJ_Type="New Construction",IF(Inventory!C407="N",INDEX(xyLPD_BuildingArea,MATCH(Building_Type,Lookups!$F$37:$F$75,0),4),INDEX(xyLPD_SpaceBySpace,MATCH(INDEX(xyNCEx,MATCH(I410,yNCExArea,0),2),ySpace_by_Space_Type,0),2)),VLOOKUP(E410,xyWattage_Table,11,FALSE)),"")</f>
        <v/>
      </c>
      <c r="K410" s="538" t="str">
        <f>IFERROR(IF(AND(NC_Type="Building Area Method",Inventory!C407="N"),IF(ISERROR(INDEX('Usage Groups (&gt;120 MWh only)'!$N$8:$N$12,MATCH(C410,'Usage Groups (&gt;120 MWh only)'!$B$8:$B$12,0),1))=TRUE,SqFt/COUNTIFS(Inventory!$C$10:$C$1009,"N",$Q$13:$Q$1012,"&gt;=0"),INDEX('Usage Groups (&gt;120 MWh only)'!$N$8:$N$12,MATCH(C410,'Usage Groups (&gt;120 MWh only)'!$B$8:$B$12,0),1)/COUNTIF($C$13:$C$1012,C410)),IF(AND(NC_Type="Building Area Method",Inventory!C407="Y"),INDEX(xyNCEx,MATCH(I410,yNCExArea,0),3)/COUNTIF($I$13:$I$1012,I410),VLOOKUP(J410,xyWattage_Table,10,FALSE))),"")</f>
        <v/>
      </c>
      <c r="L410" s="539" t="str">
        <f t="shared" si="149"/>
        <v/>
      </c>
      <c r="M410" s="540">
        <f>IF(Inventory!N407="","",Inventory!N407)</f>
        <v>0</v>
      </c>
      <c r="N410" s="533" t="str">
        <f t="shared" si="150"/>
        <v/>
      </c>
      <c r="O410" s="534"/>
      <c r="P410" s="533" t="str">
        <f t="shared" si="151"/>
        <v/>
      </c>
      <c r="Q410" s="534" t="str">
        <f>IF(Inventory!L407="","",Inventory!L407)</f>
        <v/>
      </c>
      <c r="R410" s="535" t="str">
        <f t="shared" si="152"/>
        <v/>
      </c>
      <c r="S410" s="536" t="str">
        <f>IF(Inventory!O407="","",Inventory!O407)</f>
        <v/>
      </c>
      <c r="T410" s="541" t="str">
        <f>IFERROR(IF(C410="","",IF(INDEX(xyWattage_Table,MATCH(M410,'Fixture Identities'!$B$9:$B$997,0),2)="Exit Sign",8760,IF(VLOOKUP(C410,xySpace_Type_Details,8,FALSE)="TRM",INDEX('General Information'!$AF$17:$AG$28,11,MATCH(N410,'General Information'!$AF$16:$AG$16,0)),HLOOKUP(VLOOKUP(C410,xySpace_Type_Details,8,FALSE),'General Information'!$P$15:$AG$28,13,FALSE)))),"")</f>
        <v/>
      </c>
      <c r="U410" s="542" t="str">
        <f>IFERROR(IF(C410="","",IF(INDEX(xyWattage_Table,MATCH(M410,'Fixture Identities'!$B$9:$B$997,0),2)="Exit Sign",1,IF(VLOOKUP(C410,xySpace_Type_Details,8,FALSE)="TRM",INDEX('General Information'!$AF$17:$AG$28,12,MATCH(N410,'General Information'!$AF$16:$AG$16,0)),HLOOKUP(VLOOKUP(C410,xySpace_Type_Details,8,FALSE),'General Information'!$P$15:$AG$28,14,FALSE)))),"")</f>
        <v/>
      </c>
      <c r="V410" s="542" t="str">
        <f>IFERROR(VLOOKUP(INDEX(xySpace_Type_Details,MATCH($C410,'General Information'!$C$40:$C$60,0),12),Lookups!$L$8:$N$12,2,FALSE),"")</f>
        <v/>
      </c>
      <c r="W410" s="542" t="str">
        <f>IFERROR(VLOOKUP(INDEX(xySpace_Type_Details,MATCH($C410,'General Information'!$C$40:$C$60,0),12),Lookups!$L$8:$N$12,3,FALSE),"")</f>
        <v/>
      </c>
      <c r="Y410" s="542" t="str">
        <f>IFERROR(IF(C410="","",IF(INDEX(xyWattage_Table,MATCH(M410,'Fixture Identities'!$B$9:$B$997,0),2)="Exit Sign",0,IF(PRJ_Type="Retrofit",VLOOKUP(I410,xySVG_Factors,2,FALSE),IF(AND(PRJ_Type="New Construction",Inventory!C407="N"),VLOOKUP(VLOOKUP(Building_Type,xyLPD_BuildingArea,5,FALSE),xySVG_Factors_NC,3,FALSE),0)))),"")</f>
        <v/>
      </c>
      <c r="Z410" s="544" t="str">
        <f>IFERROR(IF(C410="","",IF(INDEX(xyWattage_Table,MATCH(M410,'Fixture Identities'!$B$9:$B$997,0),2)="Exit Sign",0,VLOOKUP(S410,xySVG_Factors,2,FALSE))),"")</f>
        <v/>
      </c>
      <c r="AA410" s="545" t="str">
        <f t="shared" si="153"/>
        <v/>
      </c>
      <c r="AB410" s="542" t="str">
        <f t="shared" si="154"/>
        <v/>
      </c>
      <c r="AC410" s="539" t="str">
        <f t="shared" si="155"/>
        <v/>
      </c>
      <c r="AD410" s="546" t="str">
        <f t="shared" si="156"/>
        <v/>
      </c>
      <c r="AE410" s="539" t="str">
        <f t="shared" si="157"/>
        <v/>
      </c>
      <c r="AF410" s="546" t="str">
        <f t="shared" si="158"/>
        <v/>
      </c>
      <c r="AG410" s="539" t="str">
        <f t="shared" si="159"/>
        <v/>
      </c>
      <c r="AH410" s="32">
        <f t="shared" si="161"/>
        <v>0</v>
      </c>
      <c r="AI410" s="32">
        <f t="shared" si="162"/>
        <v>0</v>
      </c>
      <c r="AJ410" s="32">
        <f t="shared" si="163"/>
        <v>0</v>
      </c>
      <c r="AK410" t="str">
        <f t="shared" si="164"/>
        <v/>
      </c>
      <c r="AL410" t="str">
        <f t="shared" si="165"/>
        <v/>
      </c>
      <c r="AM410" t="str">
        <f t="shared" si="166"/>
        <v/>
      </c>
      <c r="AO410" t="str">
        <f>IFERROR(VLOOKUP(M410,'Fixture Identities'!$B$9:$O$1045,14,FALSE),"")</f>
        <v/>
      </c>
      <c r="AP410" t="str">
        <f t="shared" si="160"/>
        <v/>
      </c>
    </row>
    <row r="411" spans="1:42">
      <c r="A411" s="71">
        <f t="shared" si="168"/>
        <v>0</v>
      </c>
      <c r="B411" s="513">
        <f t="shared" si="167"/>
        <v>399</v>
      </c>
      <c r="C411" s="530" t="str">
        <f>IF(Inventory!E408="","",Inventory!E408)</f>
        <v/>
      </c>
      <c r="D411" s="531">
        <f>IF(Inventory!D408="",0,Inventory!D408)</f>
        <v>0</v>
      </c>
      <c r="E411" s="532" t="str">
        <f>IF(Inventory!I408=0,"",Inventory!I408)</f>
        <v/>
      </c>
      <c r="F411" s="533" t="str">
        <f t="shared" si="147"/>
        <v/>
      </c>
      <c r="G411" s="534" t="str">
        <f>IF(Inventory!G408="","",Inventory!G408)</f>
        <v/>
      </c>
      <c r="H411" s="535" t="str">
        <f t="shared" si="148"/>
        <v/>
      </c>
      <c r="I411" s="536" t="str">
        <f>IF(Inventory!J408="","",Inventory!J408)</f>
        <v/>
      </c>
      <c r="J411" s="537" t="str">
        <f>IFERROR(IF(PRJ_Type="New Construction",IF(Inventory!C408="N",INDEX(xyLPD_BuildingArea,MATCH(Building_Type,Lookups!$F$37:$F$75,0),4),INDEX(xyLPD_SpaceBySpace,MATCH(INDEX(xyNCEx,MATCH(I411,yNCExArea,0),2),ySpace_by_Space_Type,0),2)),VLOOKUP(E411,xyWattage_Table,11,FALSE)),"")</f>
        <v/>
      </c>
      <c r="K411" s="538" t="str">
        <f>IFERROR(IF(AND(NC_Type="Building Area Method",Inventory!C408="N"),IF(ISERROR(INDEX('Usage Groups (&gt;120 MWh only)'!$N$8:$N$12,MATCH(C411,'Usage Groups (&gt;120 MWh only)'!$B$8:$B$12,0),1))=TRUE,SqFt/COUNTIFS(Inventory!$C$10:$C$1009,"N",$Q$13:$Q$1012,"&gt;=0"),INDEX('Usage Groups (&gt;120 MWh only)'!$N$8:$N$12,MATCH(C411,'Usage Groups (&gt;120 MWh only)'!$B$8:$B$12,0),1)/COUNTIF($C$13:$C$1012,C411)),IF(AND(NC_Type="Building Area Method",Inventory!C408="Y"),INDEX(xyNCEx,MATCH(I411,yNCExArea,0),3)/COUNTIF($I$13:$I$1012,I411),VLOOKUP(J411,xyWattage_Table,10,FALSE))),"")</f>
        <v/>
      </c>
      <c r="L411" s="539" t="str">
        <f t="shared" si="149"/>
        <v/>
      </c>
      <c r="M411" s="540">
        <f>IF(Inventory!N408="","",Inventory!N408)</f>
        <v>0</v>
      </c>
      <c r="N411" s="533" t="str">
        <f t="shared" si="150"/>
        <v/>
      </c>
      <c r="O411" s="534"/>
      <c r="P411" s="533" t="str">
        <f t="shared" si="151"/>
        <v/>
      </c>
      <c r="Q411" s="534" t="str">
        <f>IF(Inventory!L408="","",Inventory!L408)</f>
        <v/>
      </c>
      <c r="R411" s="535" t="str">
        <f t="shared" si="152"/>
        <v/>
      </c>
      <c r="S411" s="536" t="str">
        <f>IF(Inventory!O408="","",Inventory!O408)</f>
        <v/>
      </c>
      <c r="T411" s="541" t="str">
        <f>IFERROR(IF(C411="","",IF(INDEX(xyWattage_Table,MATCH(M411,'Fixture Identities'!$B$9:$B$997,0),2)="Exit Sign",8760,IF(VLOOKUP(C411,xySpace_Type_Details,8,FALSE)="TRM",INDEX('General Information'!$AF$17:$AG$28,11,MATCH(N411,'General Information'!$AF$16:$AG$16,0)),HLOOKUP(VLOOKUP(C411,xySpace_Type_Details,8,FALSE),'General Information'!$P$15:$AG$28,13,FALSE)))),"")</f>
        <v/>
      </c>
      <c r="U411" s="542" t="str">
        <f>IFERROR(IF(C411="","",IF(INDEX(xyWattage_Table,MATCH(M411,'Fixture Identities'!$B$9:$B$997,0),2)="Exit Sign",1,IF(VLOOKUP(C411,xySpace_Type_Details,8,FALSE)="TRM",INDEX('General Information'!$AF$17:$AG$28,12,MATCH(N411,'General Information'!$AF$16:$AG$16,0)),HLOOKUP(VLOOKUP(C411,xySpace_Type_Details,8,FALSE),'General Information'!$P$15:$AG$28,14,FALSE)))),"")</f>
        <v/>
      </c>
      <c r="V411" s="542" t="str">
        <f>IFERROR(VLOOKUP(INDEX(xySpace_Type_Details,MATCH($C411,'General Information'!$C$40:$C$60,0),12),Lookups!$L$8:$N$12,2,FALSE),"")</f>
        <v/>
      </c>
      <c r="W411" s="542" t="str">
        <f>IFERROR(VLOOKUP(INDEX(xySpace_Type_Details,MATCH($C411,'General Information'!$C$40:$C$60,0),12),Lookups!$L$8:$N$12,3,FALSE),"")</f>
        <v/>
      </c>
      <c r="Y411" s="542" t="str">
        <f>IFERROR(IF(C411="","",IF(INDEX(xyWattage_Table,MATCH(M411,'Fixture Identities'!$B$9:$B$997,0),2)="Exit Sign",0,IF(PRJ_Type="Retrofit",VLOOKUP(I411,xySVG_Factors,2,FALSE),IF(AND(PRJ_Type="New Construction",Inventory!C408="N"),VLOOKUP(VLOOKUP(Building_Type,xyLPD_BuildingArea,5,FALSE),xySVG_Factors_NC,3,FALSE),0)))),"")</f>
        <v/>
      </c>
      <c r="Z411" s="544" t="str">
        <f>IFERROR(IF(C411="","",IF(INDEX(xyWattage_Table,MATCH(M411,'Fixture Identities'!$B$9:$B$997,0),2)="Exit Sign",0,VLOOKUP(S411,xySVG_Factors,2,FALSE))),"")</f>
        <v/>
      </c>
      <c r="AA411" s="545" t="str">
        <f t="shared" si="153"/>
        <v/>
      </c>
      <c r="AB411" s="542" t="str">
        <f t="shared" si="154"/>
        <v/>
      </c>
      <c r="AC411" s="539" t="str">
        <f t="shared" si="155"/>
        <v/>
      </c>
      <c r="AD411" s="546" t="str">
        <f t="shared" si="156"/>
        <v/>
      </c>
      <c r="AE411" s="539" t="str">
        <f t="shared" si="157"/>
        <v/>
      </c>
      <c r="AF411" s="546" t="str">
        <f t="shared" si="158"/>
        <v/>
      </c>
      <c r="AG411" s="539" t="str">
        <f t="shared" si="159"/>
        <v/>
      </c>
      <c r="AH411" s="32">
        <f t="shared" si="161"/>
        <v>0</v>
      </c>
      <c r="AI411" s="32">
        <f t="shared" si="162"/>
        <v>0</v>
      </c>
      <c r="AJ411" s="32">
        <f t="shared" si="163"/>
        <v>0</v>
      </c>
      <c r="AK411" t="str">
        <f t="shared" si="164"/>
        <v/>
      </c>
      <c r="AL411" t="str">
        <f t="shared" si="165"/>
        <v/>
      </c>
      <c r="AM411" t="str">
        <f t="shared" si="166"/>
        <v/>
      </c>
      <c r="AO411" t="str">
        <f>IFERROR(VLOOKUP(M411,'Fixture Identities'!$B$9:$O$1045,14,FALSE),"")</f>
        <v/>
      </c>
      <c r="AP411" t="str">
        <f t="shared" si="160"/>
        <v/>
      </c>
    </row>
    <row r="412" spans="1:42">
      <c r="A412" s="71">
        <f t="shared" si="168"/>
        <v>0</v>
      </c>
      <c r="B412" s="513">
        <f t="shared" si="167"/>
        <v>400</v>
      </c>
      <c r="C412" s="530" t="str">
        <f>IF(Inventory!E409="","",Inventory!E409)</f>
        <v/>
      </c>
      <c r="D412" s="531">
        <f>IF(Inventory!D409="",0,Inventory!D409)</f>
        <v>0</v>
      </c>
      <c r="E412" s="532" t="str">
        <f>IF(Inventory!I409=0,"",Inventory!I409)</f>
        <v/>
      </c>
      <c r="F412" s="533" t="str">
        <f t="shared" si="147"/>
        <v/>
      </c>
      <c r="G412" s="534" t="str">
        <f>IF(Inventory!G409="","",Inventory!G409)</f>
        <v/>
      </c>
      <c r="H412" s="535" t="str">
        <f t="shared" si="148"/>
        <v/>
      </c>
      <c r="I412" s="536" t="str">
        <f>IF(Inventory!J409="","",Inventory!J409)</f>
        <v/>
      </c>
      <c r="J412" s="537" t="str">
        <f>IFERROR(IF(PRJ_Type="New Construction",IF(Inventory!C409="N",INDEX(xyLPD_BuildingArea,MATCH(Building_Type,Lookups!$F$37:$F$75,0),4),INDEX(xyLPD_SpaceBySpace,MATCH(INDEX(xyNCEx,MATCH(I412,yNCExArea,0),2),ySpace_by_Space_Type,0),2)),VLOOKUP(E412,xyWattage_Table,11,FALSE)),"")</f>
        <v/>
      </c>
      <c r="K412" s="538" t="str">
        <f>IFERROR(IF(AND(NC_Type="Building Area Method",Inventory!C409="N"),IF(ISERROR(INDEX('Usage Groups (&gt;120 MWh only)'!$N$8:$N$12,MATCH(C412,'Usage Groups (&gt;120 MWh only)'!$B$8:$B$12,0),1))=TRUE,SqFt/COUNTIFS(Inventory!$C$10:$C$1009,"N",$Q$13:$Q$1012,"&gt;=0"),INDEX('Usage Groups (&gt;120 MWh only)'!$N$8:$N$12,MATCH(C412,'Usage Groups (&gt;120 MWh only)'!$B$8:$B$12,0),1)/COUNTIF($C$13:$C$1012,C412)),IF(AND(NC_Type="Building Area Method",Inventory!C409="Y"),INDEX(xyNCEx,MATCH(I412,yNCExArea,0),3)/COUNTIF($I$13:$I$1012,I412),VLOOKUP(J412,xyWattage_Table,10,FALSE))),"")</f>
        <v/>
      </c>
      <c r="L412" s="539" t="str">
        <f t="shared" si="149"/>
        <v/>
      </c>
      <c r="M412" s="540">
        <f>IF(Inventory!N409="","",Inventory!N409)</f>
        <v>0</v>
      </c>
      <c r="N412" s="533" t="str">
        <f t="shared" si="150"/>
        <v/>
      </c>
      <c r="O412" s="534"/>
      <c r="P412" s="533" t="str">
        <f t="shared" si="151"/>
        <v/>
      </c>
      <c r="Q412" s="534" t="str">
        <f>IF(Inventory!L409="","",Inventory!L409)</f>
        <v/>
      </c>
      <c r="R412" s="535" t="str">
        <f t="shared" si="152"/>
        <v/>
      </c>
      <c r="S412" s="536" t="str">
        <f>IF(Inventory!O409="","",Inventory!O409)</f>
        <v/>
      </c>
      <c r="T412" s="541" t="str">
        <f>IFERROR(IF(C412="","",IF(INDEX(xyWattage_Table,MATCH(M412,'Fixture Identities'!$B$9:$B$997,0),2)="Exit Sign",8760,IF(VLOOKUP(C412,xySpace_Type_Details,8,FALSE)="TRM",INDEX('General Information'!$AF$17:$AG$28,11,MATCH(N412,'General Information'!$AF$16:$AG$16,0)),HLOOKUP(VLOOKUP(C412,xySpace_Type_Details,8,FALSE),'General Information'!$P$15:$AG$28,13,FALSE)))),"")</f>
        <v/>
      </c>
      <c r="U412" s="542" t="str">
        <f>IFERROR(IF(C412="","",IF(INDEX(xyWattage_Table,MATCH(M412,'Fixture Identities'!$B$9:$B$997,0),2)="Exit Sign",1,IF(VLOOKUP(C412,xySpace_Type_Details,8,FALSE)="TRM",INDEX('General Information'!$AF$17:$AG$28,12,MATCH(N412,'General Information'!$AF$16:$AG$16,0)),HLOOKUP(VLOOKUP(C412,xySpace_Type_Details,8,FALSE),'General Information'!$P$15:$AG$28,14,FALSE)))),"")</f>
        <v/>
      </c>
      <c r="V412" s="542" t="str">
        <f>IFERROR(VLOOKUP(INDEX(xySpace_Type_Details,MATCH($C412,'General Information'!$C$40:$C$60,0),12),Lookups!$L$8:$N$12,2,FALSE),"")</f>
        <v/>
      </c>
      <c r="W412" s="542" t="str">
        <f>IFERROR(VLOOKUP(INDEX(xySpace_Type_Details,MATCH($C412,'General Information'!$C$40:$C$60,0),12),Lookups!$L$8:$N$12,3,FALSE),"")</f>
        <v/>
      </c>
      <c r="Y412" s="542" t="str">
        <f>IFERROR(IF(C412="","",IF(INDEX(xyWattage_Table,MATCH(M412,'Fixture Identities'!$B$9:$B$997,0),2)="Exit Sign",0,IF(PRJ_Type="Retrofit",VLOOKUP(I412,xySVG_Factors,2,FALSE),IF(AND(PRJ_Type="New Construction",Inventory!C409="N"),VLOOKUP(VLOOKUP(Building_Type,xyLPD_BuildingArea,5,FALSE),xySVG_Factors_NC,3,FALSE),0)))),"")</f>
        <v/>
      </c>
      <c r="Z412" s="544" t="str">
        <f>IFERROR(IF(C412="","",IF(INDEX(xyWattage_Table,MATCH(M412,'Fixture Identities'!$B$9:$B$997,0),2)="Exit Sign",0,VLOOKUP(S412,xySVG_Factors,2,FALSE))),"")</f>
        <v/>
      </c>
      <c r="AA412" s="545" t="str">
        <f t="shared" si="153"/>
        <v/>
      </c>
      <c r="AB412" s="542" t="str">
        <f t="shared" si="154"/>
        <v/>
      </c>
      <c r="AC412" s="539" t="str">
        <f t="shared" si="155"/>
        <v/>
      </c>
      <c r="AD412" s="546" t="str">
        <f t="shared" si="156"/>
        <v/>
      </c>
      <c r="AE412" s="539" t="str">
        <f t="shared" si="157"/>
        <v/>
      </c>
      <c r="AF412" s="546" t="str">
        <f t="shared" si="158"/>
        <v/>
      </c>
      <c r="AG412" s="539" t="str">
        <f t="shared" si="159"/>
        <v/>
      </c>
      <c r="AH412" s="32">
        <f t="shared" si="161"/>
        <v>0</v>
      </c>
      <c r="AI412" s="32">
        <f t="shared" si="162"/>
        <v>0</v>
      </c>
      <c r="AJ412" s="32">
        <f t="shared" si="163"/>
        <v>0</v>
      </c>
      <c r="AK412" t="str">
        <f t="shared" si="164"/>
        <v/>
      </c>
      <c r="AL412" t="str">
        <f t="shared" si="165"/>
        <v/>
      </c>
      <c r="AM412" t="str">
        <f t="shared" si="166"/>
        <v/>
      </c>
      <c r="AO412" t="str">
        <f>IFERROR(VLOOKUP(M412,'Fixture Identities'!$B$9:$O$1045,14,FALSE),"")</f>
        <v/>
      </c>
      <c r="AP412" t="str">
        <f t="shared" si="160"/>
        <v/>
      </c>
    </row>
    <row r="413" spans="1:42">
      <c r="A413" s="71">
        <f t="shared" si="168"/>
        <v>0</v>
      </c>
      <c r="B413" s="513">
        <f t="shared" si="167"/>
        <v>401</v>
      </c>
      <c r="C413" s="530" t="str">
        <f>IF(Inventory!E410="","",Inventory!E410)</f>
        <v/>
      </c>
      <c r="D413" s="531">
        <f>IF(Inventory!D410="",0,Inventory!D410)</f>
        <v>0</v>
      </c>
      <c r="E413" s="532" t="str">
        <f>IF(Inventory!I410=0,"",Inventory!I410)</f>
        <v/>
      </c>
      <c r="F413" s="533" t="str">
        <f t="shared" si="147"/>
        <v/>
      </c>
      <c r="G413" s="534" t="str">
        <f>IF(Inventory!G410="","",Inventory!G410)</f>
        <v/>
      </c>
      <c r="H413" s="535" t="str">
        <f t="shared" si="148"/>
        <v/>
      </c>
      <c r="I413" s="536" t="str">
        <f>IF(Inventory!J410="","",Inventory!J410)</f>
        <v/>
      </c>
      <c r="J413" s="537" t="str">
        <f>IFERROR(IF(PRJ_Type="New Construction",IF(Inventory!C410="N",INDEX(xyLPD_BuildingArea,MATCH(Building_Type,Lookups!$F$37:$F$75,0),4),INDEX(xyLPD_SpaceBySpace,MATCH(INDEX(xyNCEx,MATCH(I413,yNCExArea,0),2),ySpace_by_Space_Type,0),2)),VLOOKUP(E413,xyWattage_Table,11,FALSE)),"")</f>
        <v/>
      </c>
      <c r="K413" s="538" t="str">
        <f>IFERROR(IF(AND(NC_Type="Building Area Method",Inventory!C410="N"),IF(ISERROR(INDEX('Usage Groups (&gt;120 MWh only)'!$N$8:$N$12,MATCH(C413,'Usage Groups (&gt;120 MWh only)'!$B$8:$B$12,0),1))=TRUE,SqFt/COUNTIFS(Inventory!$C$10:$C$1009,"N",$Q$13:$Q$1012,"&gt;=0"),INDEX('Usage Groups (&gt;120 MWh only)'!$N$8:$N$12,MATCH(C413,'Usage Groups (&gt;120 MWh only)'!$B$8:$B$12,0),1)/COUNTIF($C$13:$C$1012,C413)),IF(AND(NC_Type="Building Area Method",Inventory!C410="Y"),INDEX(xyNCEx,MATCH(I413,yNCExArea,0),3)/COUNTIF($I$13:$I$1012,I413),VLOOKUP(J413,xyWattage_Table,10,FALSE))),"")</f>
        <v/>
      </c>
      <c r="L413" s="539" t="str">
        <f t="shared" si="149"/>
        <v/>
      </c>
      <c r="M413" s="540">
        <f>IF(Inventory!N410="","",Inventory!N410)</f>
        <v>0</v>
      </c>
      <c r="N413" s="533" t="str">
        <f t="shared" si="150"/>
        <v/>
      </c>
      <c r="O413" s="534"/>
      <c r="P413" s="533" t="str">
        <f t="shared" si="151"/>
        <v/>
      </c>
      <c r="Q413" s="534" t="str">
        <f>IF(Inventory!L410="","",Inventory!L410)</f>
        <v/>
      </c>
      <c r="R413" s="535" t="str">
        <f t="shared" si="152"/>
        <v/>
      </c>
      <c r="S413" s="536" t="str">
        <f>IF(Inventory!O410="","",Inventory!O410)</f>
        <v/>
      </c>
      <c r="T413" s="541" t="str">
        <f>IFERROR(IF(C413="","",IF(INDEX(xyWattage_Table,MATCH(M413,'Fixture Identities'!$B$9:$B$997,0),2)="Exit Sign",8760,IF(VLOOKUP(C413,xySpace_Type_Details,8,FALSE)="TRM",INDEX('General Information'!$AF$17:$AG$28,11,MATCH(N413,'General Information'!$AF$16:$AG$16,0)),HLOOKUP(VLOOKUP(C413,xySpace_Type_Details,8,FALSE),'General Information'!$P$15:$AG$28,13,FALSE)))),"")</f>
        <v/>
      </c>
      <c r="U413" s="542" t="str">
        <f>IFERROR(IF(C413="","",IF(INDEX(xyWattage_Table,MATCH(M413,'Fixture Identities'!$B$9:$B$997,0),2)="Exit Sign",1,IF(VLOOKUP(C413,xySpace_Type_Details,8,FALSE)="TRM",INDEX('General Information'!$AF$17:$AG$28,12,MATCH(N413,'General Information'!$AF$16:$AG$16,0)),HLOOKUP(VLOOKUP(C413,xySpace_Type_Details,8,FALSE),'General Information'!$P$15:$AG$28,14,FALSE)))),"")</f>
        <v/>
      </c>
      <c r="V413" s="542" t="str">
        <f>IFERROR(VLOOKUP(INDEX(xySpace_Type_Details,MATCH($C413,'General Information'!$C$40:$C$60,0),12),Lookups!$L$8:$N$12,2,FALSE),"")</f>
        <v/>
      </c>
      <c r="W413" s="542" t="str">
        <f>IFERROR(VLOOKUP(INDEX(xySpace_Type_Details,MATCH($C413,'General Information'!$C$40:$C$60,0),12),Lookups!$L$8:$N$12,3,FALSE),"")</f>
        <v/>
      </c>
      <c r="Y413" s="542" t="str">
        <f>IFERROR(IF(C413="","",IF(INDEX(xyWattage_Table,MATCH(M413,'Fixture Identities'!$B$9:$B$997,0),2)="Exit Sign",0,IF(PRJ_Type="Retrofit",VLOOKUP(I413,xySVG_Factors,2,FALSE),IF(AND(PRJ_Type="New Construction",Inventory!C410="N"),VLOOKUP(VLOOKUP(Building_Type,xyLPD_BuildingArea,5,FALSE),xySVG_Factors_NC,3,FALSE),0)))),"")</f>
        <v/>
      </c>
      <c r="Z413" s="544" t="str">
        <f>IFERROR(IF(C413="","",IF(INDEX(xyWattage_Table,MATCH(M413,'Fixture Identities'!$B$9:$B$997,0),2)="Exit Sign",0,VLOOKUP(S413,xySVG_Factors,2,FALSE))),"")</f>
        <v/>
      </c>
      <c r="AA413" s="545" t="str">
        <f t="shared" si="153"/>
        <v/>
      </c>
      <c r="AB413" s="542" t="str">
        <f t="shared" si="154"/>
        <v/>
      </c>
      <c r="AC413" s="539" t="str">
        <f t="shared" si="155"/>
        <v/>
      </c>
      <c r="AD413" s="546" t="str">
        <f t="shared" si="156"/>
        <v/>
      </c>
      <c r="AE413" s="539" t="str">
        <f t="shared" si="157"/>
        <v/>
      </c>
      <c r="AF413" s="546" t="str">
        <f t="shared" si="158"/>
        <v/>
      </c>
      <c r="AG413" s="539" t="str">
        <f t="shared" si="159"/>
        <v/>
      </c>
      <c r="AH413" s="32">
        <f t="shared" si="161"/>
        <v>0</v>
      </c>
      <c r="AI413" s="32">
        <f t="shared" si="162"/>
        <v>0</v>
      </c>
      <c r="AJ413" s="32">
        <f t="shared" si="163"/>
        <v>0</v>
      </c>
      <c r="AK413" t="str">
        <f t="shared" si="164"/>
        <v/>
      </c>
      <c r="AL413" t="str">
        <f t="shared" si="165"/>
        <v/>
      </c>
      <c r="AM413" t="str">
        <f t="shared" si="166"/>
        <v/>
      </c>
      <c r="AO413" t="str">
        <f>IFERROR(VLOOKUP(M413,'Fixture Identities'!$B$9:$O$1045,14,FALSE),"")</f>
        <v/>
      </c>
      <c r="AP413" t="str">
        <f t="shared" si="160"/>
        <v/>
      </c>
    </row>
    <row r="414" spans="1:42">
      <c r="A414" s="71">
        <f t="shared" si="168"/>
        <v>0</v>
      </c>
      <c r="B414" s="513">
        <f t="shared" si="167"/>
        <v>402</v>
      </c>
      <c r="C414" s="530" t="str">
        <f>IF(Inventory!E411="","",Inventory!E411)</f>
        <v/>
      </c>
      <c r="D414" s="531">
        <f>IF(Inventory!D411="",0,Inventory!D411)</f>
        <v>0</v>
      </c>
      <c r="E414" s="532" t="str">
        <f>IF(Inventory!I411=0,"",Inventory!I411)</f>
        <v/>
      </c>
      <c r="F414" s="533" t="str">
        <f t="shared" si="147"/>
        <v/>
      </c>
      <c r="G414" s="534" t="str">
        <f>IF(Inventory!G411="","",Inventory!G411)</f>
        <v/>
      </c>
      <c r="H414" s="535" t="str">
        <f t="shared" si="148"/>
        <v/>
      </c>
      <c r="I414" s="536" t="str">
        <f>IF(Inventory!J411="","",Inventory!J411)</f>
        <v/>
      </c>
      <c r="J414" s="537" t="str">
        <f>IFERROR(IF(PRJ_Type="New Construction",IF(Inventory!C411="N",INDEX(xyLPD_BuildingArea,MATCH(Building_Type,Lookups!$F$37:$F$75,0),4),INDEX(xyLPD_SpaceBySpace,MATCH(INDEX(xyNCEx,MATCH(I414,yNCExArea,0),2),ySpace_by_Space_Type,0),2)),VLOOKUP(E414,xyWattage_Table,11,FALSE)),"")</f>
        <v/>
      </c>
      <c r="K414" s="538" t="str">
        <f>IFERROR(IF(AND(NC_Type="Building Area Method",Inventory!C411="N"),IF(ISERROR(INDEX('Usage Groups (&gt;120 MWh only)'!$N$8:$N$12,MATCH(C414,'Usage Groups (&gt;120 MWh only)'!$B$8:$B$12,0),1))=TRUE,SqFt/COUNTIFS(Inventory!$C$10:$C$1009,"N",$Q$13:$Q$1012,"&gt;=0"),INDEX('Usage Groups (&gt;120 MWh only)'!$N$8:$N$12,MATCH(C414,'Usage Groups (&gt;120 MWh only)'!$B$8:$B$12,0),1)/COUNTIF($C$13:$C$1012,C414)),IF(AND(NC_Type="Building Area Method",Inventory!C411="Y"),INDEX(xyNCEx,MATCH(I414,yNCExArea,0),3)/COUNTIF($I$13:$I$1012,I414),VLOOKUP(J414,xyWattage_Table,10,FALSE))),"")</f>
        <v/>
      </c>
      <c r="L414" s="539" t="str">
        <f t="shared" si="149"/>
        <v/>
      </c>
      <c r="M414" s="540">
        <f>IF(Inventory!N411="","",Inventory!N411)</f>
        <v>0</v>
      </c>
      <c r="N414" s="533" t="str">
        <f t="shared" si="150"/>
        <v/>
      </c>
      <c r="O414" s="534"/>
      <c r="P414" s="533" t="str">
        <f t="shared" si="151"/>
        <v/>
      </c>
      <c r="Q414" s="534" t="str">
        <f>IF(Inventory!L411="","",Inventory!L411)</f>
        <v/>
      </c>
      <c r="R414" s="535" t="str">
        <f t="shared" si="152"/>
        <v/>
      </c>
      <c r="S414" s="536" t="str">
        <f>IF(Inventory!O411="","",Inventory!O411)</f>
        <v/>
      </c>
      <c r="T414" s="541" t="str">
        <f>IFERROR(IF(C414="","",IF(INDEX(xyWattage_Table,MATCH(M414,'Fixture Identities'!$B$9:$B$997,0),2)="Exit Sign",8760,IF(VLOOKUP(C414,xySpace_Type_Details,8,FALSE)="TRM",INDEX('General Information'!$AF$17:$AG$28,11,MATCH(N414,'General Information'!$AF$16:$AG$16,0)),HLOOKUP(VLOOKUP(C414,xySpace_Type_Details,8,FALSE),'General Information'!$P$15:$AG$28,13,FALSE)))),"")</f>
        <v/>
      </c>
      <c r="U414" s="542" t="str">
        <f>IFERROR(IF(C414="","",IF(INDEX(xyWattage_Table,MATCH(M414,'Fixture Identities'!$B$9:$B$997,0),2)="Exit Sign",1,IF(VLOOKUP(C414,xySpace_Type_Details,8,FALSE)="TRM",INDEX('General Information'!$AF$17:$AG$28,12,MATCH(N414,'General Information'!$AF$16:$AG$16,0)),HLOOKUP(VLOOKUP(C414,xySpace_Type_Details,8,FALSE),'General Information'!$P$15:$AG$28,14,FALSE)))),"")</f>
        <v/>
      </c>
      <c r="V414" s="542" t="str">
        <f>IFERROR(VLOOKUP(INDEX(xySpace_Type_Details,MATCH($C414,'General Information'!$C$40:$C$60,0),12),Lookups!$L$8:$N$12,2,FALSE),"")</f>
        <v/>
      </c>
      <c r="W414" s="542" t="str">
        <f>IFERROR(VLOOKUP(INDEX(xySpace_Type_Details,MATCH($C414,'General Information'!$C$40:$C$60,0),12),Lookups!$L$8:$N$12,3,FALSE),"")</f>
        <v/>
      </c>
      <c r="Y414" s="542" t="str">
        <f>IFERROR(IF(C414="","",IF(INDEX(xyWattage_Table,MATCH(M414,'Fixture Identities'!$B$9:$B$997,0),2)="Exit Sign",0,IF(PRJ_Type="Retrofit",VLOOKUP(I414,xySVG_Factors,2,FALSE),IF(AND(PRJ_Type="New Construction",Inventory!C411="N"),VLOOKUP(VLOOKUP(Building_Type,xyLPD_BuildingArea,5,FALSE),xySVG_Factors_NC,3,FALSE),0)))),"")</f>
        <v/>
      </c>
      <c r="Z414" s="544" t="str">
        <f>IFERROR(IF(C414="","",IF(INDEX(xyWattage_Table,MATCH(M414,'Fixture Identities'!$B$9:$B$997,0),2)="Exit Sign",0,VLOOKUP(S414,xySVG_Factors,2,FALSE))),"")</f>
        <v/>
      </c>
      <c r="AA414" s="545" t="str">
        <f t="shared" si="153"/>
        <v/>
      </c>
      <c r="AB414" s="542" t="str">
        <f t="shared" si="154"/>
        <v/>
      </c>
      <c r="AC414" s="539" t="str">
        <f t="shared" si="155"/>
        <v/>
      </c>
      <c r="AD414" s="546" t="str">
        <f t="shared" si="156"/>
        <v/>
      </c>
      <c r="AE414" s="539" t="str">
        <f t="shared" si="157"/>
        <v/>
      </c>
      <c r="AF414" s="546" t="str">
        <f t="shared" si="158"/>
        <v/>
      </c>
      <c r="AG414" s="539" t="str">
        <f t="shared" si="159"/>
        <v/>
      </c>
      <c r="AH414" s="32">
        <f t="shared" si="161"/>
        <v>0</v>
      </c>
      <c r="AI414" s="32">
        <f t="shared" si="162"/>
        <v>0</v>
      </c>
      <c r="AJ414" s="32">
        <f t="shared" si="163"/>
        <v>0</v>
      </c>
      <c r="AK414" t="str">
        <f t="shared" si="164"/>
        <v/>
      </c>
      <c r="AL414" t="str">
        <f t="shared" si="165"/>
        <v/>
      </c>
      <c r="AM414" t="str">
        <f t="shared" si="166"/>
        <v/>
      </c>
      <c r="AO414" t="str">
        <f>IFERROR(VLOOKUP(M414,'Fixture Identities'!$B$9:$O$1045,14,FALSE),"")</f>
        <v/>
      </c>
      <c r="AP414" t="str">
        <f t="shared" si="160"/>
        <v/>
      </c>
    </row>
    <row r="415" spans="1:42">
      <c r="A415" s="71">
        <f t="shared" si="168"/>
        <v>0</v>
      </c>
      <c r="B415" s="513">
        <f t="shared" si="167"/>
        <v>403</v>
      </c>
      <c r="C415" s="530" t="str">
        <f>IF(Inventory!E412="","",Inventory!E412)</f>
        <v/>
      </c>
      <c r="D415" s="531">
        <f>IF(Inventory!D412="",0,Inventory!D412)</f>
        <v>0</v>
      </c>
      <c r="E415" s="532" t="str">
        <f>IF(Inventory!I412=0,"",Inventory!I412)</f>
        <v/>
      </c>
      <c r="F415" s="533" t="str">
        <f t="shared" si="147"/>
        <v/>
      </c>
      <c r="G415" s="534" t="str">
        <f>IF(Inventory!G412="","",Inventory!G412)</f>
        <v/>
      </c>
      <c r="H415" s="535" t="str">
        <f t="shared" si="148"/>
        <v/>
      </c>
      <c r="I415" s="536" t="str">
        <f>IF(Inventory!J412="","",Inventory!J412)</f>
        <v/>
      </c>
      <c r="J415" s="537" t="str">
        <f>IFERROR(IF(PRJ_Type="New Construction",IF(Inventory!C412="N",INDEX(xyLPD_BuildingArea,MATCH(Building_Type,Lookups!$F$37:$F$75,0),4),INDEX(xyLPD_SpaceBySpace,MATCH(INDEX(xyNCEx,MATCH(I415,yNCExArea,0),2),ySpace_by_Space_Type,0),2)),VLOOKUP(E415,xyWattage_Table,11,FALSE)),"")</f>
        <v/>
      </c>
      <c r="K415" s="538" t="str">
        <f>IFERROR(IF(AND(NC_Type="Building Area Method",Inventory!C412="N"),IF(ISERROR(INDEX('Usage Groups (&gt;120 MWh only)'!$N$8:$N$12,MATCH(C415,'Usage Groups (&gt;120 MWh only)'!$B$8:$B$12,0),1))=TRUE,SqFt/COUNTIFS(Inventory!$C$10:$C$1009,"N",$Q$13:$Q$1012,"&gt;=0"),INDEX('Usage Groups (&gt;120 MWh only)'!$N$8:$N$12,MATCH(C415,'Usage Groups (&gt;120 MWh only)'!$B$8:$B$12,0),1)/COUNTIF($C$13:$C$1012,C415)),IF(AND(NC_Type="Building Area Method",Inventory!C412="Y"),INDEX(xyNCEx,MATCH(I415,yNCExArea,0),3)/COUNTIF($I$13:$I$1012,I415),VLOOKUP(J415,xyWattage_Table,10,FALSE))),"")</f>
        <v/>
      </c>
      <c r="L415" s="539" t="str">
        <f t="shared" si="149"/>
        <v/>
      </c>
      <c r="M415" s="540">
        <f>IF(Inventory!N412="","",Inventory!N412)</f>
        <v>0</v>
      </c>
      <c r="N415" s="533" t="str">
        <f t="shared" si="150"/>
        <v/>
      </c>
      <c r="O415" s="534"/>
      <c r="P415" s="533" t="str">
        <f t="shared" si="151"/>
        <v/>
      </c>
      <c r="Q415" s="534" t="str">
        <f>IF(Inventory!L412="","",Inventory!L412)</f>
        <v/>
      </c>
      <c r="R415" s="535" t="str">
        <f t="shared" si="152"/>
        <v/>
      </c>
      <c r="S415" s="536" t="str">
        <f>IF(Inventory!O412="","",Inventory!O412)</f>
        <v/>
      </c>
      <c r="T415" s="541" t="str">
        <f>IFERROR(IF(C415="","",IF(INDEX(xyWattage_Table,MATCH(M415,'Fixture Identities'!$B$9:$B$997,0),2)="Exit Sign",8760,IF(VLOOKUP(C415,xySpace_Type_Details,8,FALSE)="TRM",INDEX('General Information'!$AF$17:$AG$28,11,MATCH(N415,'General Information'!$AF$16:$AG$16,0)),HLOOKUP(VLOOKUP(C415,xySpace_Type_Details,8,FALSE),'General Information'!$P$15:$AG$28,13,FALSE)))),"")</f>
        <v/>
      </c>
      <c r="U415" s="542" t="str">
        <f>IFERROR(IF(C415="","",IF(INDEX(xyWattage_Table,MATCH(M415,'Fixture Identities'!$B$9:$B$997,0),2)="Exit Sign",1,IF(VLOOKUP(C415,xySpace_Type_Details,8,FALSE)="TRM",INDEX('General Information'!$AF$17:$AG$28,12,MATCH(N415,'General Information'!$AF$16:$AG$16,0)),HLOOKUP(VLOOKUP(C415,xySpace_Type_Details,8,FALSE),'General Information'!$P$15:$AG$28,14,FALSE)))),"")</f>
        <v/>
      </c>
      <c r="V415" s="542" t="str">
        <f>IFERROR(VLOOKUP(INDEX(xySpace_Type_Details,MATCH($C415,'General Information'!$C$40:$C$60,0),12),Lookups!$L$8:$N$12,2,FALSE),"")</f>
        <v/>
      </c>
      <c r="W415" s="542" t="str">
        <f>IFERROR(VLOOKUP(INDEX(xySpace_Type_Details,MATCH($C415,'General Information'!$C$40:$C$60,0),12),Lookups!$L$8:$N$12,3,FALSE),"")</f>
        <v/>
      </c>
      <c r="Y415" s="542" t="str">
        <f>IFERROR(IF(C415="","",IF(INDEX(xyWattage_Table,MATCH(M415,'Fixture Identities'!$B$9:$B$997,0),2)="Exit Sign",0,IF(PRJ_Type="Retrofit",VLOOKUP(I415,xySVG_Factors,2,FALSE),IF(AND(PRJ_Type="New Construction",Inventory!C412="N"),VLOOKUP(VLOOKUP(Building_Type,xyLPD_BuildingArea,5,FALSE),xySVG_Factors_NC,3,FALSE),0)))),"")</f>
        <v/>
      </c>
      <c r="Z415" s="544" t="str">
        <f>IFERROR(IF(C415="","",IF(INDEX(xyWattage_Table,MATCH(M415,'Fixture Identities'!$B$9:$B$997,0),2)="Exit Sign",0,VLOOKUP(S415,xySVG_Factors,2,FALSE))),"")</f>
        <v/>
      </c>
      <c r="AA415" s="545" t="str">
        <f t="shared" si="153"/>
        <v/>
      </c>
      <c r="AB415" s="542" t="str">
        <f t="shared" si="154"/>
        <v/>
      </c>
      <c r="AC415" s="539" t="str">
        <f t="shared" si="155"/>
        <v/>
      </c>
      <c r="AD415" s="546" t="str">
        <f t="shared" si="156"/>
        <v/>
      </c>
      <c r="AE415" s="539" t="str">
        <f t="shared" si="157"/>
        <v/>
      </c>
      <c r="AF415" s="546" t="str">
        <f t="shared" si="158"/>
        <v/>
      </c>
      <c r="AG415" s="539" t="str">
        <f t="shared" si="159"/>
        <v/>
      </c>
      <c r="AH415" s="32">
        <f t="shared" si="161"/>
        <v>0</v>
      </c>
      <c r="AI415" s="32">
        <f t="shared" si="162"/>
        <v>0</v>
      </c>
      <c r="AJ415" s="32">
        <f t="shared" si="163"/>
        <v>0</v>
      </c>
      <c r="AK415" t="str">
        <f t="shared" si="164"/>
        <v/>
      </c>
      <c r="AL415" t="str">
        <f t="shared" si="165"/>
        <v/>
      </c>
      <c r="AM415" t="str">
        <f t="shared" si="166"/>
        <v/>
      </c>
      <c r="AO415" t="str">
        <f>IFERROR(VLOOKUP(M415,'Fixture Identities'!$B$9:$O$1045,14,FALSE),"")</f>
        <v/>
      </c>
      <c r="AP415" t="str">
        <f t="shared" si="160"/>
        <v/>
      </c>
    </row>
    <row r="416" spans="1:42">
      <c r="A416" s="71">
        <f t="shared" si="168"/>
        <v>0</v>
      </c>
      <c r="B416" s="513">
        <f t="shared" si="167"/>
        <v>404</v>
      </c>
      <c r="C416" s="530" t="str">
        <f>IF(Inventory!E413="","",Inventory!E413)</f>
        <v/>
      </c>
      <c r="D416" s="531">
        <f>IF(Inventory!D413="",0,Inventory!D413)</f>
        <v>0</v>
      </c>
      <c r="E416" s="532" t="str">
        <f>IF(Inventory!I413=0,"",Inventory!I413)</f>
        <v/>
      </c>
      <c r="F416" s="533" t="str">
        <f t="shared" si="147"/>
        <v/>
      </c>
      <c r="G416" s="534" t="str">
        <f>IF(Inventory!G413="","",Inventory!G413)</f>
        <v/>
      </c>
      <c r="H416" s="535" t="str">
        <f t="shared" si="148"/>
        <v/>
      </c>
      <c r="I416" s="536" t="str">
        <f>IF(Inventory!J413="","",Inventory!J413)</f>
        <v/>
      </c>
      <c r="J416" s="537" t="str">
        <f>IFERROR(IF(PRJ_Type="New Construction",IF(Inventory!C413="N",INDEX(xyLPD_BuildingArea,MATCH(Building_Type,Lookups!$F$37:$F$75,0),4),INDEX(xyLPD_SpaceBySpace,MATCH(INDEX(xyNCEx,MATCH(I416,yNCExArea,0),2),ySpace_by_Space_Type,0),2)),VLOOKUP(E416,xyWattage_Table,11,FALSE)),"")</f>
        <v/>
      </c>
      <c r="K416" s="538" t="str">
        <f>IFERROR(IF(AND(NC_Type="Building Area Method",Inventory!C413="N"),IF(ISERROR(INDEX('Usage Groups (&gt;120 MWh only)'!$N$8:$N$12,MATCH(C416,'Usage Groups (&gt;120 MWh only)'!$B$8:$B$12,0),1))=TRUE,SqFt/COUNTIFS(Inventory!$C$10:$C$1009,"N",$Q$13:$Q$1012,"&gt;=0"),INDEX('Usage Groups (&gt;120 MWh only)'!$N$8:$N$12,MATCH(C416,'Usage Groups (&gt;120 MWh only)'!$B$8:$B$12,0),1)/COUNTIF($C$13:$C$1012,C416)),IF(AND(NC_Type="Building Area Method",Inventory!C413="Y"),INDEX(xyNCEx,MATCH(I416,yNCExArea,0),3)/COUNTIF($I$13:$I$1012,I416),VLOOKUP(J416,xyWattage_Table,10,FALSE))),"")</f>
        <v/>
      </c>
      <c r="L416" s="539" t="str">
        <f t="shared" si="149"/>
        <v/>
      </c>
      <c r="M416" s="540">
        <f>IF(Inventory!N413="","",Inventory!N413)</f>
        <v>0</v>
      </c>
      <c r="N416" s="533" t="str">
        <f t="shared" si="150"/>
        <v/>
      </c>
      <c r="O416" s="534"/>
      <c r="P416" s="533" t="str">
        <f t="shared" si="151"/>
        <v/>
      </c>
      <c r="Q416" s="534" t="str">
        <f>IF(Inventory!L413="","",Inventory!L413)</f>
        <v/>
      </c>
      <c r="R416" s="535" t="str">
        <f t="shared" si="152"/>
        <v/>
      </c>
      <c r="S416" s="536" t="str">
        <f>IF(Inventory!O413="","",Inventory!O413)</f>
        <v/>
      </c>
      <c r="T416" s="541" t="str">
        <f>IFERROR(IF(C416="","",IF(INDEX(xyWattage_Table,MATCH(M416,'Fixture Identities'!$B$9:$B$997,0),2)="Exit Sign",8760,IF(VLOOKUP(C416,xySpace_Type_Details,8,FALSE)="TRM",INDEX('General Information'!$AF$17:$AG$28,11,MATCH(N416,'General Information'!$AF$16:$AG$16,0)),HLOOKUP(VLOOKUP(C416,xySpace_Type_Details,8,FALSE),'General Information'!$P$15:$AG$28,13,FALSE)))),"")</f>
        <v/>
      </c>
      <c r="U416" s="542" t="str">
        <f>IFERROR(IF(C416="","",IF(INDEX(xyWattage_Table,MATCH(M416,'Fixture Identities'!$B$9:$B$997,0),2)="Exit Sign",1,IF(VLOOKUP(C416,xySpace_Type_Details,8,FALSE)="TRM",INDEX('General Information'!$AF$17:$AG$28,12,MATCH(N416,'General Information'!$AF$16:$AG$16,0)),HLOOKUP(VLOOKUP(C416,xySpace_Type_Details,8,FALSE),'General Information'!$P$15:$AG$28,14,FALSE)))),"")</f>
        <v/>
      </c>
      <c r="V416" s="542" t="str">
        <f>IFERROR(VLOOKUP(INDEX(xySpace_Type_Details,MATCH($C416,'General Information'!$C$40:$C$60,0),12),Lookups!$L$8:$N$12,2,FALSE),"")</f>
        <v/>
      </c>
      <c r="W416" s="542" t="str">
        <f>IFERROR(VLOOKUP(INDEX(xySpace_Type_Details,MATCH($C416,'General Information'!$C$40:$C$60,0),12),Lookups!$L$8:$N$12,3,FALSE),"")</f>
        <v/>
      </c>
      <c r="Y416" s="542" t="str">
        <f>IFERROR(IF(C416="","",IF(INDEX(xyWattage_Table,MATCH(M416,'Fixture Identities'!$B$9:$B$997,0),2)="Exit Sign",0,IF(PRJ_Type="Retrofit",VLOOKUP(I416,xySVG_Factors,2,FALSE),IF(AND(PRJ_Type="New Construction",Inventory!C413="N"),VLOOKUP(VLOOKUP(Building_Type,xyLPD_BuildingArea,5,FALSE),xySVG_Factors_NC,3,FALSE),0)))),"")</f>
        <v/>
      </c>
      <c r="Z416" s="544" t="str">
        <f>IFERROR(IF(C416="","",IF(INDEX(xyWattage_Table,MATCH(M416,'Fixture Identities'!$B$9:$B$997,0),2)="Exit Sign",0,VLOOKUP(S416,xySVG_Factors,2,FALSE))),"")</f>
        <v/>
      </c>
      <c r="AA416" s="545" t="str">
        <f t="shared" si="153"/>
        <v/>
      </c>
      <c r="AB416" s="542" t="str">
        <f t="shared" si="154"/>
        <v/>
      </c>
      <c r="AC416" s="539" t="str">
        <f t="shared" si="155"/>
        <v/>
      </c>
      <c r="AD416" s="546" t="str">
        <f t="shared" si="156"/>
        <v/>
      </c>
      <c r="AE416" s="539" t="str">
        <f t="shared" si="157"/>
        <v/>
      </c>
      <c r="AF416" s="546" t="str">
        <f t="shared" si="158"/>
        <v/>
      </c>
      <c r="AG416" s="539" t="str">
        <f t="shared" si="159"/>
        <v/>
      </c>
      <c r="AH416" s="32">
        <f t="shared" si="161"/>
        <v>0</v>
      </c>
      <c r="AI416" s="32">
        <f t="shared" si="162"/>
        <v>0</v>
      </c>
      <c r="AJ416" s="32">
        <f t="shared" si="163"/>
        <v>0</v>
      </c>
      <c r="AK416" t="str">
        <f t="shared" si="164"/>
        <v/>
      </c>
      <c r="AL416" t="str">
        <f t="shared" si="165"/>
        <v/>
      </c>
      <c r="AM416" t="str">
        <f t="shared" si="166"/>
        <v/>
      </c>
      <c r="AO416" t="str">
        <f>IFERROR(VLOOKUP(M416,'Fixture Identities'!$B$9:$O$1045,14,FALSE),"")</f>
        <v/>
      </c>
      <c r="AP416" t="str">
        <f t="shared" si="160"/>
        <v/>
      </c>
    </row>
    <row r="417" spans="1:42">
      <c r="A417" s="71">
        <f t="shared" si="168"/>
        <v>0</v>
      </c>
      <c r="B417" s="513">
        <f t="shared" si="167"/>
        <v>405</v>
      </c>
      <c r="C417" s="530" t="str">
        <f>IF(Inventory!E414="","",Inventory!E414)</f>
        <v/>
      </c>
      <c r="D417" s="531">
        <f>IF(Inventory!D414="",0,Inventory!D414)</f>
        <v>0</v>
      </c>
      <c r="E417" s="532" t="str">
        <f>IF(Inventory!I414=0,"",Inventory!I414)</f>
        <v/>
      </c>
      <c r="F417" s="533" t="str">
        <f t="shared" si="147"/>
        <v/>
      </c>
      <c r="G417" s="534" t="str">
        <f>IF(Inventory!G414="","",Inventory!G414)</f>
        <v/>
      </c>
      <c r="H417" s="535" t="str">
        <f t="shared" si="148"/>
        <v/>
      </c>
      <c r="I417" s="536" t="str">
        <f>IF(Inventory!J414="","",Inventory!J414)</f>
        <v/>
      </c>
      <c r="J417" s="537" t="str">
        <f>IFERROR(IF(PRJ_Type="New Construction",IF(Inventory!C414="N",INDEX(xyLPD_BuildingArea,MATCH(Building_Type,Lookups!$F$37:$F$75,0),4),INDEX(xyLPD_SpaceBySpace,MATCH(INDEX(xyNCEx,MATCH(I417,yNCExArea,0),2),ySpace_by_Space_Type,0),2)),VLOOKUP(E417,xyWattage_Table,11,FALSE)),"")</f>
        <v/>
      </c>
      <c r="K417" s="538" t="str">
        <f>IFERROR(IF(AND(NC_Type="Building Area Method",Inventory!C414="N"),IF(ISERROR(INDEX('Usage Groups (&gt;120 MWh only)'!$N$8:$N$12,MATCH(C417,'Usage Groups (&gt;120 MWh only)'!$B$8:$B$12,0),1))=TRUE,SqFt/COUNTIFS(Inventory!$C$10:$C$1009,"N",$Q$13:$Q$1012,"&gt;=0"),INDEX('Usage Groups (&gt;120 MWh only)'!$N$8:$N$12,MATCH(C417,'Usage Groups (&gt;120 MWh only)'!$B$8:$B$12,0),1)/COUNTIF($C$13:$C$1012,C417)),IF(AND(NC_Type="Building Area Method",Inventory!C414="Y"),INDEX(xyNCEx,MATCH(I417,yNCExArea,0),3)/COUNTIF($I$13:$I$1012,I417),VLOOKUP(J417,xyWattage_Table,10,FALSE))),"")</f>
        <v/>
      </c>
      <c r="L417" s="539" t="str">
        <f t="shared" si="149"/>
        <v/>
      </c>
      <c r="M417" s="540">
        <f>IF(Inventory!N414="","",Inventory!N414)</f>
        <v>0</v>
      </c>
      <c r="N417" s="533" t="str">
        <f t="shared" si="150"/>
        <v/>
      </c>
      <c r="O417" s="534"/>
      <c r="P417" s="533" t="str">
        <f t="shared" si="151"/>
        <v/>
      </c>
      <c r="Q417" s="534" t="str">
        <f>IF(Inventory!L414="","",Inventory!L414)</f>
        <v/>
      </c>
      <c r="R417" s="535" t="str">
        <f t="shared" si="152"/>
        <v/>
      </c>
      <c r="S417" s="536" t="str">
        <f>IF(Inventory!O414="","",Inventory!O414)</f>
        <v/>
      </c>
      <c r="T417" s="541" t="str">
        <f>IFERROR(IF(C417="","",IF(INDEX(xyWattage_Table,MATCH(M417,'Fixture Identities'!$B$9:$B$997,0),2)="Exit Sign",8760,IF(VLOOKUP(C417,xySpace_Type_Details,8,FALSE)="TRM",INDEX('General Information'!$AF$17:$AG$28,11,MATCH(N417,'General Information'!$AF$16:$AG$16,0)),HLOOKUP(VLOOKUP(C417,xySpace_Type_Details,8,FALSE),'General Information'!$P$15:$AG$28,13,FALSE)))),"")</f>
        <v/>
      </c>
      <c r="U417" s="542" t="str">
        <f>IFERROR(IF(C417="","",IF(INDEX(xyWattage_Table,MATCH(M417,'Fixture Identities'!$B$9:$B$997,0),2)="Exit Sign",1,IF(VLOOKUP(C417,xySpace_Type_Details,8,FALSE)="TRM",INDEX('General Information'!$AF$17:$AG$28,12,MATCH(N417,'General Information'!$AF$16:$AG$16,0)),HLOOKUP(VLOOKUP(C417,xySpace_Type_Details,8,FALSE),'General Information'!$P$15:$AG$28,14,FALSE)))),"")</f>
        <v/>
      </c>
      <c r="V417" s="542" t="str">
        <f>IFERROR(VLOOKUP(INDEX(xySpace_Type_Details,MATCH($C417,'General Information'!$C$40:$C$60,0),12),Lookups!$L$8:$N$12,2,FALSE),"")</f>
        <v/>
      </c>
      <c r="W417" s="542" t="str">
        <f>IFERROR(VLOOKUP(INDEX(xySpace_Type_Details,MATCH($C417,'General Information'!$C$40:$C$60,0),12),Lookups!$L$8:$N$12,3,FALSE),"")</f>
        <v/>
      </c>
      <c r="Y417" s="542" t="str">
        <f>IFERROR(IF(C417="","",IF(INDEX(xyWattage_Table,MATCH(M417,'Fixture Identities'!$B$9:$B$997,0),2)="Exit Sign",0,IF(PRJ_Type="Retrofit",VLOOKUP(I417,xySVG_Factors,2,FALSE),IF(AND(PRJ_Type="New Construction",Inventory!C414="N"),VLOOKUP(VLOOKUP(Building_Type,xyLPD_BuildingArea,5,FALSE),xySVG_Factors_NC,3,FALSE),0)))),"")</f>
        <v/>
      </c>
      <c r="Z417" s="544" t="str">
        <f>IFERROR(IF(C417="","",IF(INDEX(xyWattage_Table,MATCH(M417,'Fixture Identities'!$B$9:$B$997,0),2)="Exit Sign",0,VLOOKUP(S417,xySVG_Factors,2,FALSE))),"")</f>
        <v/>
      </c>
      <c r="AA417" s="545" t="str">
        <f t="shared" si="153"/>
        <v/>
      </c>
      <c r="AB417" s="542" t="str">
        <f t="shared" si="154"/>
        <v/>
      </c>
      <c r="AC417" s="539" t="str">
        <f t="shared" si="155"/>
        <v/>
      </c>
      <c r="AD417" s="546" t="str">
        <f t="shared" si="156"/>
        <v/>
      </c>
      <c r="AE417" s="539" t="str">
        <f t="shared" si="157"/>
        <v/>
      </c>
      <c r="AF417" s="546" t="str">
        <f t="shared" si="158"/>
        <v/>
      </c>
      <c r="AG417" s="539" t="str">
        <f t="shared" si="159"/>
        <v/>
      </c>
      <c r="AH417" s="32">
        <f t="shared" si="161"/>
        <v>0</v>
      </c>
      <c r="AI417" s="32">
        <f t="shared" si="162"/>
        <v>0</v>
      </c>
      <c r="AJ417" s="32">
        <f t="shared" si="163"/>
        <v>0</v>
      </c>
      <c r="AK417" t="str">
        <f t="shared" si="164"/>
        <v/>
      </c>
      <c r="AL417" t="str">
        <f t="shared" si="165"/>
        <v/>
      </c>
      <c r="AM417" t="str">
        <f t="shared" si="166"/>
        <v/>
      </c>
      <c r="AO417" t="str">
        <f>IFERROR(VLOOKUP(M417,'Fixture Identities'!$B$9:$O$1045,14,FALSE),"")</f>
        <v/>
      </c>
      <c r="AP417" t="str">
        <f t="shared" si="160"/>
        <v/>
      </c>
    </row>
    <row r="418" spans="1:42">
      <c r="A418" s="71">
        <f t="shared" si="168"/>
        <v>0</v>
      </c>
      <c r="B418" s="513">
        <f t="shared" si="167"/>
        <v>406</v>
      </c>
      <c r="C418" s="530" t="str">
        <f>IF(Inventory!E415="","",Inventory!E415)</f>
        <v/>
      </c>
      <c r="D418" s="531">
        <f>IF(Inventory!D415="",0,Inventory!D415)</f>
        <v>0</v>
      </c>
      <c r="E418" s="532" t="str">
        <f>IF(Inventory!I415=0,"",Inventory!I415)</f>
        <v/>
      </c>
      <c r="F418" s="533" t="str">
        <f t="shared" si="147"/>
        <v/>
      </c>
      <c r="G418" s="534" t="str">
        <f>IF(Inventory!G415="","",Inventory!G415)</f>
        <v/>
      </c>
      <c r="H418" s="535" t="str">
        <f t="shared" si="148"/>
        <v/>
      </c>
      <c r="I418" s="536" t="str">
        <f>IF(Inventory!J415="","",Inventory!J415)</f>
        <v/>
      </c>
      <c r="J418" s="537" t="str">
        <f>IFERROR(IF(PRJ_Type="New Construction",IF(Inventory!C415="N",INDEX(xyLPD_BuildingArea,MATCH(Building_Type,Lookups!$F$37:$F$75,0),4),INDEX(xyLPD_SpaceBySpace,MATCH(INDEX(xyNCEx,MATCH(I418,yNCExArea,0),2),ySpace_by_Space_Type,0),2)),VLOOKUP(E418,xyWattage_Table,11,FALSE)),"")</f>
        <v/>
      </c>
      <c r="K418" s="538" t="str">
        <f>IFERROR(IF(AND(NC_Type="Building Area Method",Inventory!C415="N"),IF(ISERROR(INDEX('Usage Groups (&gt;120 MWh only)'!$N$8:$N$12,MATCH(C418,'Usage Groups (&gt;120 MWh only)'!$B$8:$B$12,0),1))=TRUE,SqFt/COUNTIFS(Inventory!$C$10:$C$1009,"N",$Q$13:$Q$1012,"&gt;=0"),INDEX('Usage Groups (&gt;120 MWh only)'!$N$8:$N$12,MATCH(C418,'Usage Groups (&gt;120 MWh only)'!$B$8:$B$12,0),1)/COUNTIF($C$13:$C$1012,C418)),IF(AND(NC_Type="Building Area Method",Inventory!C415="Y"),INDEX(xyNCEx,MATCH(I418,yNCExArea,0),3)/COUNTIF($I$13:$I$1012,I418),VLOOKUP(J418,xyWattage_Table,10,FALSE))),"")</f>
        <v/>
      </c>
      <c r="L418" s="539" t="str">
        <f t="shared" si="149"/>
        <v/>
      </c>
      <c r="M418" s="540">
        <f>IF(Inventory!N415="","",Inventory!N415)</f>
        <v>0</v>
      </c>
      <c r="N418" s="533" t="str">
        <f t="shared" si="150"/>
        <v/>
      </c>
      <c r="O418" s="534"/>
      <c r="P418" s="533" t="str">
        <f t="shared" si="151"/>
        <v/>
      </c>
      <c r="Q418" s="534" t="str">
        <f>IF(Inventory!L415="","",Inventory!L415)</f>
        <v/>
      </c>
      <c r="R418" s="535" t="str">
        <f t="shared" si="152"/>
        <v/>
      </c>
      <c r="S418" s="536" t="str">
        <f>IF(Inventory!O415="","",Inventory!O415)</f>
        <v/>
      </c>
      <c r="T418" s="541" t="str">
        <f>IFERROR(IF(C418="","",IF(INDEX(xyWattage_Table,MATCH(M418,'Fixture Identities'!$B$9:$B$997,0),2)="Exit Sign",8760,IF(VLOOKUP(C418,xySpace_Type_Details,8,FALSE)="TRM",INDEX('General Information'!$AF$17:$AG$28,11,MATCH(N418,'General Information'!$AF$16:$AG$16,0)),HLOOKUP(VLOOKUP(C418,xySpace_Type_Details,8,FALSE),'General Information'!$P$15:$AG$28,13,FALSE)))),"")</f>
        <v/>
      </c>
      <c r="U418" s="542" t="str">
        <f>IFERROR(IF(C418="","",IF(INDEX(xyWattage_Table,MATCH(M418,'Fixture Identities'!$B$9:$B$997,0),2)="Exit Sign",1,IF(VLOOKUP(C418,xySpace_Type_Details,8,FALSE)="TRM",INDEX('General Information'!$AF$17:$AG$28,12,MATCH(N418,'General Information'!$AF$16:$AG$16,0)),HLOOKUP(VLOOKUP(C418,xySpace_Type_Details,8,FALSE),'General Information'!$P$15:$AG$28,14,FALSE)))),"")</f>
        <v/>
      </c>
      <c r="V418" s="542" t="str">
        <f>IFERROR(VLOOKUP(INDEX(xySpace_Type_Details,MATCH($C418,'General Information'!$C$40:$C$60,0),12),Lookups!$L$8:$N$12,2,FALSE),"")</f>
        <v/>
      </c>
      <c r="W418" s="542" t="str">
        <f>IFERROR(VLOOKUP(INDEX(xySpace_Type_Details,MATCH($C418,'General Information'!$C$40:$C$60,0),12),Lookups!$L$8:$N$12,3,FALSE),"")</f>
        <v/>
      </c>
      <c r="Y418" s="542" t="str">
        <f>IFERROR(IF(C418="","",IF(INDEX(xyWattage_Table,MATCH(M418,'Fixture Identities'!$B$9:$B$997,0),2)="Exit Sign",0,IF(PRJ_Type="Retrofit",VLOOKUP(I418,xySVG_Factors,2,FALSE),IF(AND(PRJ_Type="New Construction",Inventory!C415="N"),VLOOKUP(VLOOKUP(Building_Type,xyLPD_BuildingArea,5,FALSE),xySVG_Factors_NC,3,FALSE),0)))),"")</f>
        <v/>
      </c>
      <c r="Z418" s="544" t="str">
        <f>IFERROR(IF(C418="","",IF(INDEX(xyWattage_Table,MATCH(M418,'Fixture Identities'!$B$9:$B$997,0),2)="Exit Sign",0,VLOOKUP(S418,xySVG_Factors,2,FALSE))),"")</f>
        <v/>
      </c>
      <c r="AA418" s="545" t="str">
        <f t="shared" si="153"/>
        <v/>
      </c>
      <c r="AB418" s="542" t="str">
        <f t="shared" si="154"/>
        <v/>
      </c>
      <c r="AC418" s="539" t="str">
        <f t="shared" si="155"/>
        <v/>
      </c>
      <c r="AD418" s="546" t="str">
        <f t="shared" si="156"/>
        <v/>
      </c>
      <c r="AE418" s="539" t="str">
        <f t="shared" si="157"/>
        <v/>
      </c>
      <c r="AF418" s="546" t="str">
        <f t="shared" si="158"/>
        <v/>
      </c>
      <c r="AG418" s="539" t="str">
        <f t="shared" si="159"/>
        <v/>
      </c>
      <c r="AH418" s="32">
        <f t="shared" si="161"/>
        <v>0</v>
      </c>
      <c r="AI418" s="32">
        <f t="shared" si="162"/>
        <v>0</v>
      </c>
      <c r="AJ418" s="32">
        <f t="shared" si="163"/>
        <v>0</v>
      </c>
      <c r="AK418" t="str">
        <f t="shared" si="164"/>
        <v/>
      </c>
      <c r="AL418" t="str">
        <f t="shared" si="165"/>
        <v/>
      </c>
      <c r="AM418" t="str">
        <f t="shared" si="166"/>
        <v/>
      </c>
      <c r="AO418" t="str">
        <f>IFERROR(VLOOKUP(M418,'Fixture Identities'!$B$9:$O$1045,14,FALSE),"")</f>
        <v/>
      </c>
      <c r="AP418" t="str">
        <f t="shared" si="160"/>
        <v/>
      </c>
    </row>
    <row r="419" spans="1:42">
      <c r="A419" s="71">
        <f t="shared" si="168"/>
        <v>0</v>
      </c>
      <c r="B419" s="513">
        <f t="shared" si="167"/>
        <v>407</v>
      </c>
      <c r="C419" s="530" t="str">
        <f>IF(Inventory!E416="","",Inventory!E416)</f>
        <v/>
      </c>
      <c r="D419" s="531">
        <f>IF(Inventory!D416="",0,Inventory!D416)</f>
        <v>0</v>
      </c>
      <c r="E419" s="532" t="str">
        <f>IF(Inventory!I416=0,"",Inventory!I416)</f>
        <v/>
      </c>
      <c r="F419" s="533" t="str">
        <f t="shared" si="147"/>
        <v/>
      </c>
      <c r="G419" s="534" t="str">
        <f>IF(Inventory!G416="","",Inventory!G416)</f>
        <v/>
      </c>
      <c r="H419" s="535" t="str">
        <f t="shared" si="148"/>
        <v/>
      </c>
      <c r="I419" s="536" t="str">
        <f>IF(Inventory!J416="","",Inventory!J416)</f>
        <v/>
      </c>
      <c r="J419" s="537" t="str">
        <f>IFERROR(IF(PRJ_Type="New Construction",IF(Inventory!C416="N",INDEX(xyLPD_BuildingArea,MATCH(Building_Type,Lookups!$F$37:$F$75,0),4),INDEX(xyLPD_SpaceBySpace,MATCH(INDEX(xyNCEx,MATCH(I419,yNCExArea,0),2),ySpace_by_Space_Type,0),2)),VLOOKUP(E419,xyWattage_Table,11,FALSE)),"")</f>
        <v/>
      </c>
      <c r="K419" s="538" t="str">
        <f>IFERROR(IF(AND(NC_Type="Building Area Method",Inventory!C416="N"),IF(ISERROR(INDEX('Usage Groups (&gt;120 MWh only)'!$N$8:$N$12,MATCH(C419,'Usage Groups (&gt;120 MWh only)'!$B$8:$B$12,0),1))=TRUE,SqFt/COUNTIFS(Inventory!$C$10:$C$1009,"N",$Q$13:$Q$1012,"&gt;=0"),INDEX('Usage Groups (&gt;120 MWh only)'!$N$8:$N$12,MATCH(C419,'Usage Groups (&gt;120 MWh only)'!$B$8:$B$12,0),1)/COUNTIF($C$13:$C$1012,C419)),IF(AND(NC_Type="Building Area Method",Inventory!C416="Y"),INDEX(xyNCEx,MATCH(I419,yNCExArea,0),3)/COUNTIF($I$13:$I$1012,I419),VLOOKUP(J419,xyWattage_Table,10,FALSE))),"")</f>
        <v/>
      </c>
      <c r="L419" s="539" t="str">
        <f t="shared" si="149"/>
        <v/>
      </c>
      <c r="M419" s="540">
        <f>IF(Inventory!N416="","",Inventory!N416)</f>
        <v>0</v>
      </c>
      <c r="N419" s="533" t="str">
        <f t="shared" si="150"/>
        <v/>
      </c>
      <c r="O419" s="534"/>
      <c r="P419" s="533" t="str">
        <f t="shared" si="151"/>
        <v/>
      </c>
      <c r="Q419" s="534" t="str">
        <f>IF(Inventory!L416="","",Inventory!L416)</f>
        <v/>
      </c>
      <c r="R419" s="535" t="str">
        <f t="shared" si="152"/>
        <v/>
      </c>
      <c r="S419" s="536" t="str">
        <f>IF(Inventory!O416="","",Inventory!O416)</f>
        <v/>
      </c>
      <c r="T419" s="541" t="str">
        <f>IFERROR(IF(C419="","",IF(INDEX(xyWattage_Table,MATCH(M419,'Fixture Identities'!$B$9:$B$997,0),2)="Exit Sign",8760,IF(VLOOKUP(C419,xySpace_Type_Details,8,FALSE)="TRM",INDEX('General Information'!$AF$17:$AG$28,11,MATCH(N419,'General Information'!$AF$16:$AG$16,0)),HLOOKUP(VLOOKUP(C419,xySpace_Type_Details,8,FALSE),'General Information'!$P$15:$AG$28,13,FALSE)))),"")</f>
        <v/>
      </c>
      <c r="U419" s="542" t="str">
        <f>IFERROR(IF(C419="","",IF(INDEX(xyWattage_Table,MATCH(M419,'Fixture Identities'!$B$9:$B$997,0),2)="Exit Sign",1,IF(VLOOKUP(C419,xySpace_Type_Details,8,FALSE)="TRM",INDEX('General Information'!$AF$17:$AG$28,12,MATCH(N419,'General Information'!$AF$16:$AG$16,0)),HLOOKUP(VLOOKUP(C419,xySpace_Type_Details,8,FALSE),'General Information'!$P$15:$AG$28,14,FALSE)))),"")</f>
        <v/>
      </c>
      <c r="V419" s="542" t="str">
        <f>IFERROR(VLOOKUP(INDEX(xySpace_Type_Details,MATCH($C419,'General Information'!$C$40:$C$60,0),12),Lookups!$L$8:$N$12,2,FALSE),"")</f>
        <v/>
      </c>
      <c r="W419" s="542" t="str">
        <f>IFERROR(VLOOKUP(INDEX(xySpace_Type_Details,MATCH($C419,'General Information'!$C$40:$C$60,0),12),Lookups!$L$8:$N$12,3,FALSE),"")</f>
        <v/>
      </c>
      <c r="Y419" s="542" t="str">
        <f>IFERROR(IF(C419="","",IF(INDEX(xyWattage_Table,MATCH(M419,'Fixture Identities'!$B$9:$B$997,0),2)="Exit Sign",0,IF(PRJ_Type="Retrofit",VLOOKUP(I419,xySVG_Factors,2,FALSE),IF(AND(PRJ_Type="New Construction",Inventory!C416="N"),VLOOKUP(VLOOKUP(Building_Type,xyLPD_BuildingArea,5,FALSE),xySVG_Factors_NC,3,FALSE),0)))),"")</f>
        <v/>
      </c>
      <c r="Z419" s="544" t="str">
        <f>IFERROR(IF(C419="","",IF(INDEX(xyWattage_Table,MATCH(M419,'Fixture Identities'!$B$9:$B$997,0),2)="Exit Sign",0,VLOOKUP(S419,xySVG_Factors,2,FALSE))),"")</f>
        <v/>
      </c>
      <c r="AA419" s="545" t="str">
        <f t="shared" si="153"/>
        <v/>
      </c>
      <c r="AB419" s="542" t="str">
        <f t="shared" si="154"/>
        <v/>
      </c>
      <c r="AC419" s="539" t="str">
        <f t="shared" si="155"/>
        <v/>
      </c>
      <c r="AD419" s="546" t="str">
        <f t="shared" si="156"/>
        <v/>
      </c>
      <c r="AE419" s="539" t="str">
        <f t="shared" si="157"/>
        <v/>
      </c>
      <c r="AF419" s="546" t="str">
        <f t="shared" si="158"/>
        <v/>
      </c>
      <c r="AG419" s="539" t="str">
        <f t="shared" si="159"/>
        <v/>
      </c>
      <c r="AH419" s="32">
        <f t="shared" si="161"/>
        <v>0</v>
      </c>
      <c r="AI419" s="32">
        <f t="shared" si="162"/>
        <v>0</v>
      </c>
      <c r="AJ419" s="32">
        <f t="shared" si="163"/>
        <v>0</v>
      </c>
      <c r="AK419" t="str">
        <f t="shared" si="164"/>
        <v/>
      </c>
      <c r="AL419" t="str">
        <f t="shared" si="165"/>
        <v/>
      </c>
      <c r="AM419" t="str">
        <f t="shared" si="166"/>
        <v/>
      </c>
      <c r="AO419" t="str">
        <f>IFERROR(VLOOKUP(M419,'Fixture Identities'!$B$9:$O$1045,14,FALSE),"")</f>
        <v/>
      </c>
      <c r="AP419" t="str">
        <f t="shared" si="160"/>
        <v/>
      </c>
    </row>
    <row r="420" spans="1:42">
      <c r="A420" s="71">
        <f t="shared" si="168"/>
        <v>0</v>
      </c>
      <c r="B420" s="513">
        <f t="shared" si="167"/>
        <v>408</v>
      </c>
      <c r="C420" s="530" t="str">
        <f>IF(Inventory!E417="","",Inventory!E417)</f>
        <v/>
      </c>
      <c r="D420" s="531">
        <f>IF(Inventory!D417="",0,Inventory!D417)</f>
        <v>0</v>
      </c>
      <c r="E420" s="532" t="str">
        <f>IF(Inventory!I417=0,"",Inventory!I417)</f>
        <v/>
      </c>
      <c r="F420" s="533" t="str">
        <f t="shared" si="147"/>
        <v/>
      </c>
      <c r="G420" s="534" t="str">
        <f>IF(Inventory!G417="","",Inventory!G417)</f>
        <v/>
      </c>
      <c r="H420" s="535" t="str">
        <f t="shared" si="148"/>
        <v/>
      </c>
      <c r="I420" s="536" t="str">
        <f>IF(Inventory!J417="","",Inventory!J417)</f>
        <v/>
      </c>
      <c r="J420" s="537" t="str">
        <f>IFERROR(IF(PRJ_Type="New Construction",IF(Inventory!C417="N",INDEX(xyLPD_BuildingArea,MATCH(Building_Type,Lookups!$F$37:$F$75,0),4),INDEX(xyLPD_SpaceBySpace,MATCH(INDEX(xyNCEx,MATCH(I420,yNCExArea,0),2),ySpace_by_Space_Type,0),2)),VLOOKUP(E420,xyWattage_Table,11,FALSE)),"")</f>
        <v/>
      </c>
      <c r="K420" s="538" t="str">
        <f>IFERROR(IF(AND(NC_Type="Building Area Method",Inventory!C417="N"),IF(ISERROR(INDEX('Usage Groups (&gt;120 MWh only)'!$N$8:$N$12,MATCH(C420,'Usage Groups (&gt;120 MWh only)'!$B$8:$B$12,0),1))=TRUE,SqFt/COUNTIFS(Inventory!$C$10:$C$1009,"N",$Q$13:$Q$1012,"&gt;=0"),INDEX('Usage Groups (&gt;120 MWh only)'!$N$8:$N$12,MATCH(C420,'Usage Groups (&gt;120 MWh only)'!$B$8:$B$12,0),1)/COUNTIF($C$13:$C$1012,C420)),IF(AND(NC_Type="Building Area Method",Inventory!C417="Y"),INDEX(xyNCEx,MATCH(I420,yNCExArea,0),3)/COUNTIF($I$13:$I$1012,I420),VLOOKUP(J420,xyWattage_Table,10,FALSE))),"")</f>
        <v/>
      </c>
      <c r="L420" s="539" t="str">
        <f t="shared" si="149"/>
        <v/>
      </c>
      <c r="M420" s="540">
        <f>IF(Inventory!N417="","",Inventory!N417)</f>
        <v>0</v>
      </c>
      <c r="N420" s="533" t="str">
        <f t="shared" si="150"/>
        <v/>
      </c>
      <c r="O420" s="534"/>
      <c r="P420" s="533" t="str">
        <f t="shared" si="151"/>
        <v/>
      </c>
      <c r="Q420" s="534" t="str">
        <f>IF(Inventory!L417="","",Inventory!L417)</f>
        <v/>
      </c>
      <c r="R420" s="535" t="str">
        <f t="shared" si="152"/>
        <v/>
      </c>
      <c r="S420" s="536" t="str">
        <f>IF(Inventory!O417="","",Inventory!O417)</f>
        <v/>
      </c>
      <c r="T420" s="541" t="str">
        <f>IFERROR(IF(C420="","",IF(INDEX(xyWattage_Table,MATCH(M420,'Fixture Identities'!$B$9:$B$997,0),2)="Exit Sign",8760,IF(VLOOKUP(C420,xySpace_Type_Details,8,FALSE)="TRM",INDEX('General Information'!$AF$17:$AG$28,11,MATCH(N420,'General Information'!$AF$16:$AG$16,0)),HLOOKUP(VLOOKUP(C420,xySpace_Type_Details,8,FALSE),'General Information'!$P$15:$AG$28,13,FALSE)))),"")</f>
        <v/>
      </c>
      <c r="U420" s="542" t="str">
        <f>IFERROR(IF(C420="","",IF(INDEX(xyWattage_Table,MATCH(M420,'Fixture Identities'!$B$9:$B$997,0),2)="Exit Sign",1,IF(VLOOKUP(C420,xySpace_Type_Details,8,FALSE)="TRM",INDEX('General Information'!$AF$17:$AG$28,12,MATCH(N420,'General Information'!$AF$16:$AG$16,0)),HLOOKUP(VLOOKUP(C420,xySpace_Type_Details,8,FALSE),'General Information'!$P$15:$AG$28,14,FALSE)))),"")</f>
        <v/>
      </c>
      <c r="V420" s="542" t="str">
        <f>IFERROR(VLOOKUP(INDEX(xySpace_Type_Details,MATCH($C420,'General Information'!$C$40:$C$60,0),12),Lookups!$L$8:$N$12,2,FALSE),"")</f>
        <v/>
      </c>
      <c r="W420" s="542" t="str">
        <f>IFERROR(VLOOKUP(INDEX(xySpace_Type_Details,MATCH($C420,'General Information'!$C$40:$C$60,0),12),Lookups!$L$8:$N$12,3,FALSE),"")</f>
        <v/>
      </c>
      <c r="Y420" s="542" t="str">
        <f>IFERROR(IF(C420="","",IF(INDEX(xyWattage_Table,MATCH(M420,'Fixture Identities'!$B$9:$B$997,0),2)="Exit Sign",0,IF(PRJ_Type="Retrofit",VLOOKUP(I420,xySVG_Factors,2,FALSE),IF(AND(PRJ_Type="New Construction",Inventory!C417="N"),VLOOKUP(VLOOKUP(Building_Type,xyLPD_BuildingArea,5,FALSE),xySVG_Factors_NC,3,FALSE),0)))),"")</f>
        <v/>
      </c>
      <c r="Z420" s="544" t="str">
        <f>IFERROR(IF(C420="","",IF(INDEX(xyWattage_Table,MATCH(M420,'Fixture Identities'!$B$9:$B$997,0),2)="Exit Sign",0,VLOOKUP(S420,xySVG_Factors,2,FALSE))),"")</f>
        <v/>
      </c>
      <c r="AA420" s="545" t="str">
        <f t="shared" si="153"/>
        <v/>
      </c>
      <c r="AB420" s="542" t="str">
        <f t="shared" si="154"/>
        <v/>
      </c>
      <c r="AC420" s="539" t="str">
        <f t="shared" si="155"/>
        <v/>
      </c>
      <c r="AD420" s="546" t="str">
        <f t="shared" si="156"/>
        <v/>
      </c>
      <c r="AE420" s="539" t="str">
        <f t="shared" si="157"/>
        <v/>
      </c>
      <c r="AF420" s="546" t="str">
        <f t="shared" si="158"/>
        <v/>
      </c>
      <c r="AG420" s="539" t="str">
        <f t="shared" si="159"/>
        <v/>
      </c>
      <c r="AH420" s="32">
        <f t="shared" si="161"/>
        <v>0</v>
      </c>
      <c r="AI420" s="32">
        <f t="shared" si="162"/>
        <v>0</v>
      </c>
      <c r="AJ420" s="32">
        <f t="shared" si="163"/>
        <v>0</v>
      </c>
      <c r="AK420" t="str">
        <f t="shared" si="164"/>
        <v/>
      </c>
      <c r="AL420" t="str">
        <f t="shared" si="165"/>
        <v/>
      </c>
      <c r="AM420" t="str">
        <f t="shared" si="166"/>
        <v/>
      </c>
      <c r="AO420" t="str">
        <f>IFERROR(VLOOKUP(M420,'Fixture Identities'!$B$9:$O$1045,14,FALSE),"")</f>
        <v/>
      </c>
      <c r="AP420" t="str">
        <f t="shared" si="160"/>
        <v/>
      </c>
    </row>
    <row r="421" spans="1:42">
      <c r="A421" s="71">
        <f t="shared" si="168"/>
        <v>0</v>
      </c>
      <c r="B421" s="513">
        <f t="shared" si="167"/>
        <v>409</v>
      </c>
      <c r="C421" s="530" t="str">
        <f>IF(Inventory!E418="","",Inventory!E418)</f>
        <v/>
      </c>
      <c r="D421" s="531">
        <f>IF(Inventory!D418="",0,Inventory!D418)</f>
        <v>0</v>
      </c>
      <c r="E421" s="532" t="str">
        <f>IF(Inventory!I418=0,"",Inventory!I418)</f>
        <v/>
      </c>
      <c r="F421" s="533" t="str">
        <f t="shared" si="147"/>
        <v/>
      </c>
      <c r="G421" s="534" t="str">
        <f>IF(Inventory!G418="","",Inventory!G418)</f>
        <v/>
      </c>
      <c r="H421" s="535" t="str">
        <f t="shared" si="148"/>
        <v/>
      </c>
      <c r="I421" s="536" t="str">
        <f>IF(Inventory!J418="","",Inventory!J418)</f>
        <v/>
      </c>
      <c r="J421" s="537" t="str">
        <f>IFERROR(IF(PRJ_Type="New Construction",IF(Inventory!C418="N",INDEX(xyLPD_BuildingArea,MATCH(Building_Type,Lookups!$F$37:$F$75,0),4),INDEX(xyLPD_SpaceBySpace,MATCH(INDEX(xyNCEx,MATCH(I421,yNCExArea,0),2),ySpace_by_Space_Type,0),2)),VLOOKUP(E421,xyWattage_Table,11,FALSE)),"")</f>
        <v/>
      </c>
      <c r="K421" s="538" t="str">
        <f>IFERROR(IF(AND(NC_Type="Building Area Method",Inventory!C418="N"),IF(ISERROR(INDEX('Usage Groups (&gt;120 MWh only)'!$N$8:$N$12,MATCH(C421,'Usage Groups (&gt;120 MWh only)'!$B$8:$B$12,0),1))=TRUE,SqFt/COUNTIFS(Inventory!$C$10:$C$1009,"N",$Q$13:$Q$1012,"&gt;=0"),INDEX('Usage Groups (&gt;120 MWh only)'!$N$8:$N$12,MATCH(C421,'Usage Groups (&gt;120 MWh only)'!$B$8:$B$12,0),1)/COUNTIF($C$13:$C$1012,C421)),IF(AND(NC_Type="Building Area Method",Inventory!C418="Y"),INDEX(xyNCEx,MATCH(I421,yNCExArea,0),3)/COUNTIF($I$13:$I$1012,I421),VLOOKUP(J421,xyWattage_Table,10,FALSE))),"")</f>
        <v/>
      </c>
      <c r="L421" s="539" t="str">
        <f t="shared" si="149"/>
        <v/>
      </c>
      <c r="M421" s="540">
        <f>IF(Inventory!N418="","",Inventory!N418)</f>
        <v>0</v>
      </c>
      <c r="N421" s="533" t="str">
        <f t="shared" si="150"/>
        <v/>
      </c>
      <c r="O421" s="534"/>
      <c r="P421" s="533" t="str">
        <f t="shared" si="151"/>
        <v/>
      </c>
      <c r="Q421" s="534" t="str">
        <f>IF(Inventory!L418="","",Inventory!L418)</f>
        <v/>
      </c>
      <c r="R421" s="535" t="str">
        <f t="shared" si="152"/>
        <v/>
      </c>
      <c r="S421" s="536" t="str">
        <f>IF(Inventory!O418="","",Inventory!O418)</f>
        <v/>
      </c>
      <c r="T421" s="541" t="str">
        <f>IFERROR(IF(C421="","",IF(INDEX(xyWattage_Table,MATCH(M421,'Fixture Identities'!$B$9:$B$997,0),2)="Exit Sign",8760,IF(VLOOKUP(C421,xySpace_Type_Details,8,FALSE)="TRM",INDEX('General Information'!$AF$17:$AG$28,11,MATCH(N421,'General Information'!$AF$16:$AG$16,0)),HLOOKUP(VLOOKUP(C421,xySpace_Type_Details,8,FALSE),'General Information'!$P$15:$AG$28,13,FALSE)))),"")</f>
        <v/>
      </c>
      <c r="U421" s="542" t="str">
        <f>IFERROR(IF(C421="","",IF(INDEX(xyWattage_Table,MATCH(M421,'Fixture Identities'!$B$9:$B$997,0),2)="Exit Sign",1,IF(VLOOKUP(C421,xySpace_Type_Details,8,FALSE)="TRM",INDEX('General Information'!$AF$17:$AG$28,12,MATCH(N421,'General Information'!$AF$16:$AG$16,0)),HLOOKUP(VLOOKUP(C421,xySpace_Type_Details,8,FALSE),'General Information'!$P$15:$AG$28,14,FALSE)))),"")</f>
        <v/>
      </c>
      <c r="V421" s="542" t="str">
        <f>IFERROR(VLOOKUP(INDEX(xySpace_Type_Details,MATCH($C421,'General Information'!$C$40:$C$60,0),12),Lookups!$L$8:$N$12,2,FALSE),"")</f>
        <v/>
      </c>
      <c r="W421" s="542" t="str">
        <f>IFERROR(VLOOKUP(INDEX(xySpace_Type_Details,MATCH($C421,'General Information'!$C$40:$C$60,0),12),Lookups!$L$8:$N$12,3,FALSE),"")</f>
        <v/>
      </c>
      <c r="Y421" s="542" t="str">
        <f>IFERROR(IF(C421="","",IF(INDEX(xyWattage_Table,MATCH(M421,'Fixture Identities'!$B$9:$B$997,0),2)="Exit Sign",0,IF(PRJ_Type="Retrofit",VLOOKUP(I421,xySVG_Factors,2,FALSE),IF(AND(PRJ_Type="New Construction",Inventory!C418="N"),VLOOKUP(VLOOKUP(Building_Type,xyLPD_BuildingArea,5,FALSE),xySVG_Factors_NC,3,FALSE),0)))),"")</f>
        <v/>
      </c>
      <c r="Z421" s="544" t="str">
        <f>IFERROR(IF(C421="","",IF(INDEX(xyWattage_Table,MATCH(M421,'Fixture Identities'!$B$9:$B$997,0),2)="Exit Sign",0,VLOOKUP(S421,xySVG_Factors,2,FALSE))),"")</f>
        <v/>
      </c>
      <c r="AA421" s="545" t="str">
        <f t="shared" si="153"/>
        <v/>
      </c>
      <c r="AB421" s="542" t="str">
        <f t="shared" si="154"/>
        <v/>
      </c>
      <c r="AC421" s="539" t="str">
        <f t="shared" si="155"/>
        <v/>
      </c>
      <c r="AD421" s="546" t="str">
        <f t="shared" si="156"/>
        <v/>
      </c>
      <c r="AE421" s="539" t="str">
        <f t="shared" si="157"/>
        <v/>
      </c>
      <c r="AF421" s="546" t="str">
        <f t="shared" si="158"/>
        <v/>
      </c>
      <c r="AG421" s="539" t="str">
        <f t="shared" si="159"/>
        <v/>
      </c>
      <c r="AH421" s="32">
        <f t="shared" si="161"/>
        <v>0</v>
      </c>
      <c r="AI421" s="32">
        <f t="shared" si="162"/>
        <v>0</v>
      </c>
      <c r="AJ421" s="32">
        <f t="shared" si="163"/>
        <v>0</v>
      </c>
      <c r="AK421" t="str">
        <f t="shared" si="164"/>
        <v/>
      </c>
      <c r="AL421" t="str">
        <f t="shared" si="165"/>
        <v/>
      </c>
      <c r="AM421" t="str">
        <f t="shared" si="166"/>
        <v/>
      </c>
      <c r="AO421" t="str">
        <f>IFERROR(VLOOKUP(M421,'Fixture Identities'!$B$9:$O$1045,14,FALSE),"")</f>
        <v/>
      </c>
      <c r="AP421" t="str">
        <f t="shared" si="160"/>
        <v/>
      </c>
    </row>
    <row r="422" spans="1:42">
      <c r="A422" s="71">
        <f t="shared" si="168"/>
        <v>0</v>
      </c>
      <c r="B422" s="513">
        <f t="shared" si="167"/>
        <v>410</v>
      </c>
      <c r="C422" s="530" t="str">
        <f>IF(Inventory!E419="","",Inventory!E419)</f>
        <v/>
      </c>
      <c r="D422" s="531">
        <f>IF(Inventory!D419="",0,Inventory!D419)</f>
        <v>0</v>
      </c>
      <c r="E422" s="532" t="str">
        <f>IF(Inventory!I419=0,"",Inventory!I419)</f>
        <v/>
      </c>
      <c r="F422" s="533" t="str">
        <f t="shared" si="147"/>
        <v/>
      </c>
      <c r="G422" s="534" t="str">
        <f>IF(Inventory!G419="","",Inventory!G419)</f>
        <v/>
      </c>
      <c r="H422" s="535" t="str">
        <f t="shared" si="148"/>
        <v/>
      </c>
      <c r="I422" s="536" t="str">
        <f>IF(Inventory!J419="","",Inventory!J419)</f>
        <v/>
      </c>
      <c r="J422" s="537" t="str">
        <f>IFERROR(IF(PRJ_Type="New Construction",IF(Inventory!C419="N",INDEX(xyLPD_BuildingArea,MATCH(Building_Type,Lookups!$F$37:$F$75,0),4),INDEX(xyLPD_SpaceBySpace,MATCH(INDEX(xyNCEx,MATCH(I422,yNCExArea,0),2),ySpace_by_Space_Type,0),2)),VLOOKUP(E422,xyWattage_Table,11,FALSE)),"")</f>
        <v/>
      </c>
      <c r="K422" s="538" t="str">
        <f>IFERROR(IF(AND(NC_Type="Building Area Method",Inventory!C419="N"),IF(ISERROR(INDEX('Usage Groups (&gt;120 MWh only)'!$N$8:$N$12,MATCH(C422,'Usage Groups (&gt;120 MWh only)'!$B$8:$B$12,0),1))=TRUE,SqFt/COUNTIFS(Inventory!$C$10:$C$1009,"N",$Q$13:$Q$1012,"&gt;=0"),INDEX('Usage Groups (&gt;120 MWh only)'!$N$8:$N$12,MATCH(C422,'Usage Groups (&gt;120 MWh only)'!$B$8:$B$12,0),1)/COUNTIF($C$13:$C$1012,C422)),IF(AND(NC_Type="Building Area Method",Inventory!C419="Y"),INDEX(xyNCEx,MATCH(I422,yNCExArea,0),3)/COUNTIF($I$13:$I$1012,I422),VLOOKUP(J422,xyWattage_Table,10,FALSE))),"")</f>
        <v/>
      </c>
      <c r="L422" s="539" t="str">
        <f t="shared" si="149"/>
        <v/>
      </c>
      <c r="M422" s="540">
        <f>IF(Inventory!N419="","",Inventory!N419)</f>
        <v>0</v>
      </c>
      <c r="N422" s="533" t="str">
        <f t="shared" si="150"/>
        <v/>
      </c>
      <c r="O422" s="534"/>
      <c r="P422" s="533" t="str">
        <f t="shared" si="151"/>
        <v/>
      </c>
      <c r="Q422" s="534" t="str">
        <f>IF(Inventory!L419="","",Inventory!L419)</f>
        <v/>
      </c>
      <c r="R422" s="535" t="str">
        <f t="shared" si="152"/>
        <v/>
      </c>
      <c r="S422" s="536" t="str">
        <f>IF(Inventory!O419="","",Inventory!O419)</f>
        <v/>
      </c>
      <c r="T422" s="541" t="str">
        <f>IFERROR(IF(C422="","",IF(INDEX(xyWattage_Table,MATCH(M422,'Fixture Identities'!$B$9:$B$997,0),2)="Exit Sign",8760,IF(VLOOKUP(C422,xySpace_Type_Details,8,FALSE)="TRM",INDEX('General Information'!$AF$17:$AG$28,11,MATCH(N422,'General Information'!$AF$16:$AG$16,0)),HLOOKUP(VLOOKUP(C422,xySpace_Type_Details,8,FALSE),'General Information'!$P$15:$AG$28,13,FALSE)))),"")</f>
        <v/>
      </c>
      <c r="U422" s="542" t="str">
        <f>IFERROR(IF(C422="","",IF(INDEX(xyWattage_Table,MATCH(M422,'Fixture Identities'!$B$9:$B$997,0),2)="Exit Sign",1,IF(VLOOKUP(C422,xySpace_Type_Details,8,FALSE)="TRM",INDEX('General Information'!$AF$17:$AG$28,12,MATCH(N422,'General Information'!$AF$16:$AG$16,0)),HLOOKUP(VLOOKUP(C422,xySpace_Type_Details,8,FALSE),'General Information'!$P$15:$AG$28,14,FALSE)))),"")</f>
        <v/>
      </c>
      <c r="V422" s="542" t="str">
        <f>IFERROR(VLOOKUP(INDEX(xySpace_Type_Details,MATCH($C422,'General Information'!$C$40:$C$60,0),12),Lookups!$L$8:$N$12,2,FALSE),"")</f>
        <v/>
      </c>
      <c r="W422" s="542" t="str">
        <f>IFERROR(VLOOKUP(INDEX(xySpace_Type_Details,MATCH($C422,'General Information'!$C$40:$C$60,0),12),Lookups!$L$8:$N$12,3,FALSE),"")</f>
        <v/>
      </c>
      <c r="Y422" s="542" t="str">
        <f>IFERROR(IF(C422="","",IF(INDEX(xyWattage_Table,MATCH(M422,'Fixture Identities'!$B$9:$B$997,0),2)="Exit Sign",0,IF(PRJ_Type="Retrofit",VLOOKUP(I422,xySVG_Factors,2,FALSE),IF(AND(PRJ_Type="New Construction",Inventory!C419="N"),VLOOKUP(VLOOKUP(Building_Type,xyLPD_BuildingArea,5,FALSE),xySVG_Factors_NC,3,FALSE),0)))),"")</f>
        <v/>
      </c>
      <c r="Z422" s="544" t="str">
        <f>IFERROR(IF(C422="","",IF(INDEX(xyWattage_Table,MATCH(M422,'Fixture Identities'!$B$9:$B$997,0),2)="Exit Sign",0,VLOOKUP(S422,xySVG_Factors,2,FALSE))),"")</f>
        <v/>
      </c>
      <c r="AA422" s="545" t="str">
        <f t="shared" si="153"/>
        <v/>
      </c>
      <c r="AB422" s="542" t="str">
        <f t="shared" si="154"/>
        <v/>
      </c>
      <c r="AC422" s="539" t="str">
        <f t="shared" si="155"/>
        <v/>
      </c>
      <c r="AD422" s="546" t="str">
        <f t="shared" si="156"/>
        <v/>
      </c>
      <c r="AE422" s="539" t="str">
        <f t="shared" si="157"/>
        <v/>
      </c>
      <c r="AF422" s="546" t="str">
        <f t="shared" si="158"/>
        <v/>
      </c>
      <c r="AG422" s="539" t="str">
        <f t="shared" si="159"/>
        <v/>
      </c>
      <c r="AH422" s="32">
        <f t="shared" si="161"/>
        <v>0</v>
      </c>
      <c r="AI422" s="32">
        <f t="shared" si="162"/>
        <v>0</v>
      </c>
      <c r="AJ422" s="32">
        <f t="shared" si="163"/>
        <v>0</v>
      </c>
      <c r="AK422" t="str">
        <f t="shared" si="164"/>
        <v/>
      </c>
      <c r="AL422" t="str">
        <f t="shared" si="165"/>
        <v/>
      </c>
      <c r="AM422" t="str">
        <f t="shared" si="166"/>
        <v/>
      </c>
      <c r="AO422" t="str">
        <f>IFERROR(VLOOKUP(M422,'Fixture Identities'!$B$9:$O$1045,14,FALSE),"")</f>
        <v/>
      </c>
      <c r="AP422" t="str">
        <f t="shared" si="160"/>
        <v/>
      </c>
    </row>
    <row r="423" spans="1:42">
      <c r="A423" s="71">
        <f t="shared" si="168"/>
        <v>0</v>
      </c>
      <c r="B423" s="513">
        <f t="shared" si="167"/>
        <v>411</v>
      </c>
      <c r="C423" s="530" t="str">
        <f>IF(Inventory!E420="","",Inventory!E420)</f>
        <v/>
      </c>
      <c r="D423" s="531">
        <f>IF(Inventory!D420="",0,Inventory!D420)</f>
        <v>0</v>
      </c>
      <c r="E423" s="532" t="str">
        <f>IF(Inventory!I420=0,"",Inventory!I420)</f>
        <v/>
      </c>
      <c r="F423" s="533" t="str">
        <f t="shared" si="147"/>
        <v/>
      </c>
      <c r="G423" s="534" t="str">
        <f>IF(Inventory!G420="","",Inventory!G420)</f>
        <v/>
      </c>
      <c r="H423" s="535" t="str">
        <f t="shared" si="148"/>
        <v/>
      </c>
      <c r="I423" s="536" t="str">
        <f>IF(Inventory!J420="","",Inventory!J420)</f>
        <v/>
      </c>
      <c r="J423" s="537" t="str">
        <f>IFERROR(IF(PRJ_Type="New Construction",IF(Inventory!C420="N",INDEX(xyLPD_BuildingArea,MATCH(Building_Type,Lookups!$F$37:$F$75,0),4),INDEX(xyLPD_SpaceBySpace,MATCH(INDEX(xyNCEx,MATCH(I423,yNCExArea,0),2),ySpace_by_Space_Type,0),2)),VLOOKUP(E423,xyWattage_Table,11,FALSE)),"")</f>
        <v/>
      </c>
      <c r="K423" s="538" t="str">
        <f>IFERROR(IF(AND(NC_Type="Building Area Method",Inventory!C420="N"),IF(ISERROR(INDEX('Usage Groups (&gt;120 MWh only)'!$N$8:$N$12,MATCH(C423,'Usage Groups (&gt;120 MWh only)'!$B$8:$B$12,0),1))=TRUE,SqFt/COUNTIFS(Inventory!$C$10:$C$1009,"N",$Q$13:$Q$1012,"&gt;=0"),INDEX('Usage Groups (&gt;120 MWh only)'!$N$8:$N$12,MATCH(C423,'Usage Groups (&gt;120 MWh only)'!$B$8:$B$12,0),1)/COUNTIF($C$13:$C$1012,C423)),IF(AND(NC_Type="Building Area Method",Inventory!C420="Y"),INDEX(xyNCEx,MATCH(I423,yNCExArea,0),3)/COUNTIF($I$13:$I$1012,I423),VLOOKUP(J423,xyWattage_Table,10,FALSE))),"")</f>
        <v/>
      </c>
      <c r="L423" s="539" t="str">
        <f t="shared" si="149"/>
        <v/>
      </c>
      <c r="M423" s="540">
        <f>IF(Inventory!N420="","",Inventory!N420)</f>
        <v>0</v>
      </c>
      <c r="N423" s="533" t="str">
        <f t="shared" si="150"/>
        <v/>
      </c>
      <c r="O423" s="534"/>
      <c r="P423" s="533" t="str">
        <f t="shared" si="151"/>
        <v/>
      </c>
      <c r="Q423" s="534" t="str">
        <f>IF(Inventory!L420="","",Inventory!L420)</f>
        <v/>
      </c>
      <c r="R423" s="535" t="str">
        <f t="shared" si="152"/>
        <v/>
      </c>
      <c r="S423" s="536" t="str">
        <f>IF(Inventory!O420="","",Inventory!O420)</f>
        <v/>
      </c>
      <c r="T423" s="541" t="str">
        <f>IFERROR(IF(C423="","",IF(INDEX(xyWattage_Table,MATCH(M423,'Fixture Identities'!$B$9:$B$997,0),2)="Exit Sign",8760,IF(VLOOKUP(C423,xySpace_Type_Details,8,FALSE)="TRM",INDEX('General Information'!$AF$17:$AG$28,11,MATCH(N423,'General Information'!$AF$16:$AG$16,0)),HLOOKUP(VLOOKUP(C423,xySpace_Type_Details,8,FALSE),'General Information'!$P$15:$AG$28,13,FALSE)))),"")</f>
        <v/>
      </c>
      <c r="U423" s="542" t="str">
        <f>IFERROR(IF(C423="","",IF(INDEX(xyWattage_Table,MATCH(M423,'Fixture Identities'!$B$9:$B$997,0),2)="Exit Sign",1,IF(VLOOKUP(C423,xySpace_Type_Details,8,FALSE)="TRM",INDEX('General Information'!$AF$17:$AG$28,12,MATCH(N423,'General Information'!$AF$16:$AG$16,0)),HLOOKUP(VLOOKUP(C423,xySpace_Type_Details,8,FALSE),'General Information'!$P$15:$AG$28,14,FALSE)))),"")</f>
        <v/>
      </c>
      <c r="V423" s="542" t="str">
        <f>IFERROR(VLOOKUP(INDEX(xySpace_Type_Details,MATCH($C423,'General Information'!$C$40:$C$60,0),12),Lookups!$L$8:$N$12,2,FALSE),"")</f>
        <v/>
      </c>
      <c r="W423" s="542" t="str">
        <f>IFERROR(VLOOKUP(INDEX(xySpace_Type_Details,MATCH($C423,'General Information'!$C$40:$C$60,0),12),Lookups!$L$8:$N$12,3,FALSE),"")</f>
        <v/>
      </c>
      <c r="Y423" s="542" t="str">
        <f>IFERROR(IF(C423="","",IF(INDEX(xyWattage_Table,MATCH(M423,'Fixture Identities'!$B$9:$B$997,0),2)="Exit Sign",0,IF(PRJ_Type="Retrofit",VLOOKUP(I423,xySVG_Factors,2,FALSE),IF(AND(PRJ_Type="New Construction",Inventory!C420="N"),VLOOKUP(VLOOKUP(Building_Type,xyLPD_BuildingArea,5,FALSE),xySVG_Factors_NC,3,FALSE),0)))),"")</f>
        <v/>
      </c>
      <c r="Z423" s="544" t="str">
        <f>IFERROR(IF(C423="","",IF(INDEX(xyWattage_Table,MATCH(M423,'Fixture Identities'!$B$9:$B$997,0),2)="Exit Sign",0,VLOOKUP(S423,xySVG_Factors,2,FALSE))),"")</f>
        <v/>
      </c>
      <c r="AA423" s="545" t="str">
        <f t="shared" si="153"/>
        <v/>
      </c>
      <c r="AB423" s="542" t="str">
        <f t="shared" si="154"/>
        <v/>
      </c>
      <c r="AC423" s="539" t="str">
        <f t="shared" si="155"/>
        <v/>
      </c>
      <c r="AD423" s="546" t="str">
        <f t="shared" si="156"/>
        <v/>
      </c>
      <c r="AE423" s="539" t="str">
        <f t="shared" si="157"/>
        <v/>
      </c>
      <c r="AF423" s="546" t="str">
        <f t="shared" si="158"/>
        <v/>
      </c>
      <c r="AG423" s="539" t="str">
        <f t="shared" si="159"/>
        <v/>
      </c>
      <c r="AH423" s="32">
        <f t="shared" si="161"/>
        <v>0</v>
      </c>
      <c r="AI423" s="32">
        <f t="shared" si="162"/>
        <v>0</v>
      </c>
      <c r="AJ423" s="32">
        <f t="shared" si="163"/>
        <v>0</v>
      </c>
      <c r="AK423" t="str">
        <f t="shared" si="164"/>
        <v/>
      </c>
      <c r="AL423" t="str">
        <f t="shared" si="165"/>
        <v/>
      </c>
      <c r="AM423" t="str">
        <f t="shared" si="166"/>
        <v/>
      </c>
      <c r="AO423" t="str">
        <f>IFERROR(VLOOKUP(M423,'Fixture Identities'!$B$9:$O$1045,14,FALSE),"")</f>
        <v/>
      </c>
      <c r="AP423" t="str">
        <f t="shared" si="160"/>
        <v/>
      </c>
    </row>
    <row r="424" spans="1:42">
      <c r="A424" s="71">
        <f t="shared" si="168"/>
        <v>0</v>
      </c>
      <c r="B424" s="513">
        <f t="shared" si="167"/>
        <v>412</v>
      </c>
      <c r="C424" s="530" t="str">
        <f>IF(Inventory!E421="","",Inventory!E421)</f>
        <v/>
      </c>
      <c r="D424" s="531">
        <f>IF(Inventory!D421="",0,Inventory!D421)</f>
        <v>0</v>
      </c>
      <c r="E424" s="532" t="str">
        <f>IF(Inventory!I421=0,"",Inventory!I421)</f>
        <v/>
      </c>
      <c r="F424" s="533" t="str">
        <f t="shared" si="147"/>
        <v/>
      </c>
      <c r="G424" s="534" t="str">
        <f>IF(Inventory!G421="","",Inventory!G421)</f>
        <v/>
      </c>
      <c r="H424" s="535" t="str">
        <f t="shared" si="148"/>
        <v/>
      </c>
      <c r="I424" s="536" t="str">
        <f>IF(Inventory!J421="","",Inventory!J421)</f>
        <v/>
      </c>
      <c r="J424" s="537" t="str">
        <f>IFERROR(IF(PRJ_Type="New Construction",IF(Inventory!C421="N",INDEX(xyLPD_BuildingArea,MATCH(Building_Type,Lookups!$F$37:$F$75,0),4),INDEX(xyLPD_SpaceBySpace,MATCH(INDEX(xyNCEx,MATCH(I424,yNCExArea,0),2),ySpace_by_Space_Type,0),2)),VLOOKUP(E424,xyWattage_Table,11,FALSE)),"")</f>
        <v/>
      </c>
      <c r="K424" s="538" t="str">
        <f>IFERROR(IF(AND(NC_Type="Building Area Method",Inventory!C421="N"),IF(ISERROR(INDEX('Usage Groups (&gt;120 MWh only)'!$N$8:$N$12,MATCH(C424,'Usage Groups (&gt;120 MWh only)'!$B$8:$B$12,0),1))=TRUE,SqFt/COUNTIFS(Inventory!$C$10:$C$1009,"N",$Q$13:$Q$1012,"&gt;=0"),INDEX('Usage Groups (&gt;120 MWh only)'!$N$8:$N$12,MATCH(C424,'Usage Groups (&gt;120 MWh only)'!$B$8:$B$12,0),1)/COUNTIF($C$13:$C$1012,C424)),IF(AND(NC_Type="Building Area Method",Inventory!C421="Y"),INDEX(xyNCEx,MATCH(I424,yNCExArea,0),3)/COUNTIF($I$13:$I$1012,I424),VLOOKUP(J424,xyWattage_Table,10,FALSE))),"")</f>
        <v/>
      </c>
      <c r="L424" s="539" t="str">
        <f t="shared" si="149"/>
        <v/>
      </c>
      <c r="M424" s="540">
        <f>IF(Inventory!N421="","",Inventory!N421)</f>
        <v>0</v>
      </c>
      <c r="N424" s="533" t="str">
        <f t="shared" si="150"/>
        <v/>
      </c>
      <c r="O424" s="534"/>
      <c r="P424" s="533" t="str">
        <f t="shared" si="151"/>
        <v/>
      </c>
      <c r="Q424" s="534" t="str">
        <f>IF(Inventory!L421="","",Inventory!L421)</f>
        <v/>
      </c>
      <c r="R424" s="535" t="str">
        <f t="shared" si="152"/>
        <v/>
      </c>
      <c r="S424" s="536" t="str">
        <f>IF(Inventory!O421="","",Inventory!O421)</f>
        <v/>
      </c>
      <c r="T424" s="541" t="str">
        <f>IFERROR(IF(C424="","",IF(INDEX(xyWattage_Table,MATCH(M424,'Fixture Identities'!$B$9:$B$997,0),2)="Exit Sign",8760,IF(VLOOKUP(C424,xySpace_Type_Details,8,FALSE)="TRM",INDEX('General Information'!$AF$17:$AG$28,11,MATCH(N424,'General Information'!$AF$16:$AG$16,0)),HLOOKUP(VLOOKUP(C424,xySpace_Type_Details,8,FALSE),'General Information'!$P$15:$AG$28,13,FALSE)))),"")</f>
        <v/>
      </c>
      <c r="U424" s="542" t="str">
        <f>IFERROR(IF(C424="","",IF(INDEX(xyWattage_Table,MATCH(M424,'Fixture Identities'!$B$9:$B$997,0),2)="Exit Sign",1,IF(VLOOKUP(C424,xySpace_Type_Details,8,FALSE)="TRM",INDEX('General Information'!$AF$17:$AG$28,12,MATCH(N424,'General Information'!$AF$16:$AG$16,0)),HLOOKUP(VLOOKUP(C424,xySpace_Type_Details,8,FALSE),'General Information'!$P$15:$AG$28,14,FALSE)))),"")</f>
        <v/>
      </c>
      <c r="V424" s="542" t="str">
        <f>IFERROR(VLOOKUP(INDEX(xySpace_Type_Details,MATCH($C424,'General Information'!$C$40:$C$60,0),12),Lookups!$L$8:$N$12,2,FALSE),"")</f>
        <v/>
      </c>
      <c r="W424" s="542" t="str">
        <f>IFERROR(VLOOKUP(INDEX(xySpace_Type_Details,MATCH($C424,'General Information'!$C$40:$C$60,0),12),Lookups!$L$8:$N$12,3,FALSE),"")</f>
        <v/>
      </c>
      <c r="Y424" s="542" t="str">
        <f>IFERROR(IF(C424="","",IF(INDEX(xyWattage_Table,MATCH(M424,'Fixture Identities'!$B$9:$B$997,0),2)="Exit Sign",0,IF(PRJ_Type="Retrofit",VLOOKUP(I424,xySVG_Factors,2,FALSE),IF(AND(PRJ_Type="New Construction",Inventory!C421="N"),VLOOKUP(VLOOKUP(Building_Type,xyLPD_BuildingArea,5,FALSE),xySVG_Factors_NC,3,FALSE),0)))),"")</f>
        <v/>
      </c>
      <c r="Z424" s="544" t="str">
        <f>IFERROR(IF(C424="","",IF(INDEX(xyWattage_Table,MATCH(M424,'Fixture Identities'!$B$9:$B$997,0),2)="Exit Sign",0,VLOOKUP(S424,xySVG_Factors,2,FALSE))),"")</f>
        <v/>
      </c>
      <c r="AA424" s="545" t="str">
        <f t="shared" si="153"/>
        <v/>
      </c>
      <c r="AB424" s="542" t="str">
        <f t="shared" si="154"/>
        <v/>
      </c>
      <c r="AC424" s="539" t="str">
        <f t="shared" si="155"/>
        <v/>
      </c>
      <c r="AD424" s="546" t="str">
        <f t="shared" si="156"/>
        <v/>
      </c>
      <c r="AE424" s="539" t="str">
        <f t="shared" si="157"/>
        <v/>
      </c>
      <c r="AF424" s="546" t="str">
        <f t="shared" si="158"/>
        <v/>
      </c>
      <c r="AG424" s="539" t="str">
        <f t="shared" si="159"/>
        <v/>
      </c>
      <c r="AH424" s="32">
        <f t="shared" si="161"/>
        <v>0</v>
      </c>
      <c r="AI424" s="32">
        <f t="shared" si="162"/>
        <v>0</v>
      </c>
      <c r="AJ424" s="32">
        <f t="shared" si="163"/>
        <v>0</v>
      </c>
      <c r="AK424" t="str">
        <f t="shared" si="164"/>
        <v/>
      </c>
      <c r="AL424" t="str">
        <f t="shared" si="165"/>
        <v/>
      </c>
      <c r="AM424" t="str">
        <f t="shared" si="166"/>
        <v/>
      </c>
      <c r="AO424" t="str">
        <f>IFERROR(VLOOKUP(M424,'Fixture Identities'!$B$9:$O$1045,14,FALSE),"")</f>
        <v/>
      </c>
      <c r="AP424" t="str">
        <f t="shared" si="160"/>
        <v/>
      </c>
    </row>
    <row r="425" spans="1:42">
      <c r="A425" s="71">
        <f t="shared" si="168"/>
        <v>0</v>
      </c>
      <c r="B425" s="513">
        <f t="shared" si="167"/>
        <v>413</v>
      </c>
      <c r="C425" s="530" t="str">
        <f>IF(Inventory!E422="","",Inventory!E422)</f>
        <v/>
      </c>
      <c r="D425" s="531">
        <f>IF(Inventory!D422="",0,Inventory!D422)</f>
        <v>0</v>
      </c>
      <c r="E425" s="532" t="str">
        <f>IF(Inventory!I422=0,"",Inventory!I422)</f>
        <v/>
      </c>
      <c r="F425" s="533" t="str">
        <f t="shared" si="147"/>
        <v/>
      </c>
      <c r="G425" s="534" t="str">
        <f>IF(Inventory!G422="","",Inventory!G422)</f>
        <v/>
      </c>
      <c r="H425" s="535" t="str">
        <f t="shared" si="148"/>
        <v/>
      </c>
      <c r="I425" s="536" t="str">
        <f>IF(Inventory!J422="","",Inventory!J422)</f>
        <v/>
      </c>
      <c r="J425" s="537" t="str">
        <f>IFERROR(IF(PRJ_Type="New Construction",IF(Inventory!C422="N",INDEX(xyLPD_BuildingArea,MATCH(Building_Type,Lookups!$F$37:$F$75,0),4),INDEX(xyLPD_SpaceBySpace,MATCH(INDEX(xyNCEx,MATCH(I425,yNCExArea,0),2),ySpace_by_Space_Type,0),2)),VLOOKUP(E425,xyWattage_Table,11,FALSE)),"")</f>
        <v/>
      </c>
      <c r="K425" s="538" t="str">
        <f>IFERROR(IF(AND(NC_Type="Building Area Method",Inventory!C422="N"),IF(ISERROR(INDEX('Usage Groups (&gt;120 MWh only)'!$N$8:$N$12,MATCH(C425,'Usage Groups (&gt;120 MWh only)'!$B$8:$B$12,0),1))=TRUE,SqFt/COUNTIFS(Inventory!$C$10:$C$1009,"N",$Q$13:$Q$1012,"&gt;=0"),INDEX('Usage Groups (&gt;120 MWh only)'!$N$8:$N$12,MATCH(C425,'Usage Groups (&gt;120 MWh only)'!$B$8:$B$12,0),1)/COUNTIF($C$13:$C$1012,C425)),IF(AND(NC_Type="Building Area Method",Inventory!C422="Y"),INDEX(xyNCEx,MATCH(I425,yNCExArea,0),3)/COUNTIF($I$13:$I$1012,I425),VLOOKUP(J425,xyWattage_Table,10,FALSE))),"")</f>
        <v/>
      </c>
      <c r="L425" s="539" t="str">
        <f t="shared" si="149"/>
        <v/>
      </c>
      <c r="M425" s="540">
        <f>IF(Inventory!N422="","",Inventory!N422)</f>
        <v>0</v>
      </c>
      <c r="N425" s="533" t="str">
        <f t="shared" si="150"/>
        <v/>
      </c>
      <c r="O425" s="534"/>
      <c r="P425" s="533" t="str">
        <f t="shared" si="151"/>
        <v/>
      </c>
      <c r="Q425" s="534" t="str">
        <f>IF(Inventory!L422="","",Inventory!L422)</f>
        <v/>
      </c>
      <c r="R425" s="535" t="str">
        <f t="shared" si="152"/>
        <v/>
      </c>
      <c r="S425" s="536" t="str">
        <f>IF(Inventory!O422="","",Inventory!O422)</f>
        <v/>
      </c>
      <c r="T425" s="541" t="str">
        <f>IFERROR(IF(C425="","",IF(INDEX(xyWattage_Table,MATCH(M425,'Fixture Identities'!$B$9:$B$997,0),2)="Exit Sign",8760,IF(VLOOKUP(C425,xySpace_Type_Details,8,FALSE)="TRM",INDEX('General Information'!$AF$17:$AG$28,11,MATCH(N425,'General Information'!$AF$16:$AG$16,0)),HLOOKUP(VLOOKUP(C425,xySpace_Type_Details,8,FALSE),'General Information'!$P$15:$AG$28,13,FALSE)))),"")</f>
        <v/>
      </c>
      <c r="U425" s="542" t="str">
        <f>IFERROR(IF(C425="","",IF(INDEX(xyWattage_Table,MATCH(M425,'Fixture Identities'!$B$9:$B$997,0),2)="Exit Sign",1,IF(VLOOKUP(C425,xySpace_Type_Details,8,FALSE)="TRM",INDEX('General Information'!$AF$17:$AG$28,12,MATCH(N425,'General Information'!$AF$16:$AG$16,0)),HLOOKUP(VLOOKUP(C425,xySpace_Type_Details,8,FALSE),'General Information'!$P$15:$AG$28,14,FALSE)))),"")</f>
        <v/>
      </c>
      <c r="V425" s="542" t="str">
        <f>IFERROR(VLOOKUP(INDEX(xySpace_Type_Details,MATCH($C425,'General Information'!$C$40:$C$60,0),12),Lookups!$L$8:$N$12,2,FALSE),"")</f>
        <v/>
      </c>
      <c r="W425" s="542" t="str">
        <f>IFERROR(VLOOKUP(INDEX(xySpace_Type_Details,MATCH($C425,'General Information'!$C$40:$C$60,0),12),Lookups!$L$8:$N$12,3,FALSE),"")</f>
        <v/>
      </c>
      <c r="Y425" s="542" t="str">
        <f>IFERROR(IF(C425="","",IF(INDEX(xyWattage_Table,MATCH(M425,'Fixture Identities'!$B$9:$B$997,0),2)="Exit Sign",0,IF(PRJ_Type="Retrofit",VLOOKUP(I425,xySVG_Factors,2,FALSE),IF(AND(PRJ_Type="New Construction",Inventory!C422="N"),VLOOKUP(VLOOKUP(Building_Type,xyLPD_BuildingArea,5,FALSE),xySVG_Factors_NC,3,FALSE),0)))),"")</f>
        <v/>
      </c>
      <c r="Z425" s="544" t="str">
        <f>IFERROR(IF(C425="","",IF(INDEX(xyWattage_Table,MATCH(M425,'Fixture Identities'!$B$9:$B$997,0),2)="Exit Sign",0,VLOOKUP(S425,xySVG_Factors,2,FALSE))),"")</f>
        <v/>
      </c>
      <c r="AA425" s="545" t="str">
        <f t="shared" si="153"/>
        <v/>
      </c>
      <c r="AB425" s="542" t="str">
        <f t="shared" si="154"/>
        <v/>
      </c>
      <c r="AC425" s="539" t="str">
        <f t="shared" si="155"/>
        <v/>
      </c>
      <c r="AD425" s="546" t="str">
        <f t="shared" si="156"/>
        <v/>
      </c>
      <c r="AE425" s="539" t="str">
        <f t="shared" si="157"/>
        <v/>
      </c>
      <c r="AF425" s="546" t="str">
        <f t="shared" si="158"/>
        <v/>
      </c>
      <c r="AG425" s="539" t="str">
        <f t="shared" si="159"/>
        <v/>
      </c>
      <c r="AH425" s="32">
        <f t="shared" si="161"/>
        <v>0</v>
      </c>
      <c r="AI425" s="32">
        <f t="shared" si="162"/>
        <v>0</v>
      </c>
      <c r="AJ425" s="32">
        <f t="shared" si="163"/>
        <v>0</v>
      </c>
      <c r="AK425" t="str">
        <f t="shared" si="164"/>
        <v/>
      </c>
      <c r="AL425" t="str">
        <f t="shared" si="165"/>
        <v/>
      </c>
      <c r="AM425" t="str">
        <f t="shared" si="166"/>
        <v/>
      </c>
      <c r="AO425" t="str">
        <f>IFERROR(VLOOKUP(M425,'Fixture Identities'!$B$9:$O$1045,14,FALSE),"")</f>
        <v/>
      </c>
      <c r="AP425" t="str">
        <f t="shared" si="160"/>
        <v/>
      </c>
    </row>
    <row r="426" spans="1:42">
      <c r="A426" s="71">
        <f t="shared" si="168"/>
        <v>0</v>
      </c>
      <c r="B426" s="513">
        <f t="shared" si="167"/>
        <v>414</v>
      </c>
      <c r="C426" s="530" t="str">
        <f>IF(Inventory!E423="","",Inventory!E423)</f>
        <v/>
      </c>
      <c r="D426" s="531">
        <f>IF(Inventory!D423="",0,Inventory!D423)</f>
        <v>0</v>
      </c>
      <c r="E426" s="532" t="str">
        <f>IF(Inventory!I423=0,"",Inventory!I423)</f>
        <v/>
      </c>
      <c r="F426" s="533" t="str">
        <f t="shared" si="147"/>
        <v/>
      </c>
      <c r="G426" s="534" t="str">
        <f>IF(Inventory!G423="","",Inventory!G423)</f>
        <v/>
      </c>
      <c r="H426" s="535" t="str">
        <f t="shared" si="148"/>
        <v/>
      </c>
      <c r="I426" s="536" t="str">
        <f>IF(Inventory!J423="","",Inventory!J423)</f>
        <v/>
      </c>
      <c r="J426" s="537" t="str">
        <f>IFERROR(IF(PRJ_Type="New Construction",IF(Inventory!C423="N",INDEX(xyLPD_BuildingArea,MATCH(Building_Type,Lookups!$F$37:$F$75,0),4),INDEX(xyLPD_SpaceBySpace,MATCH(INDEX(xyNCEx,MATCH(I426,yNCExArea,0),2),ySpace_by_Space_Type,0),2)),VLOOKUP(E426,xyWattage_Table,11,FALSE)),"")</f>
        <v/>
      </c>
      <c r="K426" s="538" t="str">
        <f>IFERROR(IF(AND(NC_Type="Building Area Method",Inventory!C423="N"),IF(ISERROR(INDEX('Usage Groups (&gt;120 MWh only)'!$N$8:$N$12,MATCH(C426,'Usage Groups (&gt;120 MWh only)'!$B$8:$B$12,0),1))=TRUE,SqFt/COUNTIFS(Inventory!$C$10:$C$1009,"N",$Q$13:$Q$1012,"&gt;=0"),INDEX('Usage Groups (&gt;120 MWh only)'!$N$8:$N$12,MATCH(C426,'Usage Groups (&gt;120 MWh only)'!$B$8:$B$12,0),1)/COUNTIF($C$13:$C$1012,C426)),IF(AND(NC_Type="Building Area Method",Inventory!C423="Y"),INDEX(xyNCEx,MATCH(I426,yNCExArea,0),3)/COUNTIF($I$13:$I$1012,I426),VLOOKUP(J426,xyWattage_Table,10,FALSE))),"")</f>
        <v/>
      </c>
      <c r="L426" s="539" t="str">
        <f t="shared" si="149"/>
        <v/>
      </c>
      <c r="M426" s="540">
        <f>IF(Inventory!N423="","",Inventory!N423)</f>
        <v>0</v>
      </c>
      <c r="N426" s="533" t="str">
        <f t="shared" si="150"/>
        <v/>
      </c>
      <c r="O426" s="534"/>
      <c r="P426" s="533" t="str">
        <f t="shared" si="151"/>
        <v/>
      </c>
      <c r="Q426" s="534" t="str">
        <f>IF(Inventory!L423="","",Inventory!L423)</f>
        <v/>
      </c>
      <c r="R426" s="535" t="str">
        <f t="shared" si="152"/>
        <v/>
      </c>
      <c r="S426" s="536" t="str">
        <f>IF(Inventory!O423="","",Inventory!O423)</f>
        <v/>
      </c>
      <c r="T426" s="541" t="str">
        <f>IFERROR(IF(C426="","",IF(INDEX(xyWattage_Table,MATCH(M426,'Fixture Identities'!$B$9:$B$997,0),2)="Exit Sign",8760,IF(VLOOKUP(C426,xySpace_Type_Details,8,FALSE)="TRM",INDEX('General Information'!$AF$17:$AG$28,11,MATCH(N426,'General Information'!$AF$16:$AG$16,0)),HLOOKUP(VLOOKUP(C426,xySpace_Type_Details,8,FALSE),'General Information'!$P$15:$AG$28,13,FALSE)))),"")</f>
        <v/>
      </c>
      <c r="U426" s="542" t="str">
        <f>IFERROR(IF(C426="","",IF(INDEX(xyWattage_Table,MATCH(M426,'Fixture Identities'!$B$9:$B$997,0),2)="Exit Sign",1,IF(VLOOKUP(C426,xySpace_Type_Details,8,FALSE)="TRM",INDEX('General Information'!$AF$17:$AG$28,12,MATCH(N426,'General Information'!$AF$16:$AG$16,0)),HLOOKUP(VLOOKUP(C426,xySpace_Type_Details,8,FALSE),'General Information'!$P$15:$AG$28,14,FALSE)))),"")</f>
        <v/>
      </c>
      <c r="V426" s="542" t="str">
        <f>IFERROR(VLOOKUP(INDEX(xySpace_Type_Details,MATCH($C426,'General Information'!$C$40:$C$60,0),12),Lookups!$L$8:$N$12,2,FALSE),"")</f>
        <v/>
      </c>
      <c r="W426" s="542" t="str">
        <f>IFERROR(VLOOKUP(INDEX(xySpace_Type_Details,MATCH($C426,'General Information'!$C$40:$C$60,0),12),Lookups!$L$8:$N$12,3,FALSE),"")</f>
        <v/>
      </c>
      <c r="Y426" s="542" t="str">
        <f>IFERROR(IF(C426="","",IF(INDEX(xyWattage_Table,MATCH(M426,'Fixture Identities'!$B$9:$B$997,0),2)="Exit Sign",0,IF(PRJ_Type="Retrofit",VLOOKUP(I426,xySVG_Factors,2,FALSE),IF(AND(PRJ_Type="New Construction",Inventory!C423="N"),VLOOKUP(VLOOKUP(Building_Type,xyLPD_BuildingArea,5,FALSE),xySVG_Factors_NC,3,FALSE),0)))),"")</f>
        <v/>
      </c>
      <c r="Z426" s="544" t="str">
        <f>IFERROR(IF(C426="","",IF(INDEX(xyWattage_Table,MATCH(M426,'Fixture Identities'!$B$9:$B$997,0),2)="Exit Sign",0,VLOOKUP(S426,xySVG_Factors,2,FALSE))),"")</f>
        <v/>
      </c>
      <c r="AA426" s="545" t="str">
        <f t="shared" si="153"/>
        <v/>
      </c>
      <c r="AB426" s="542" t="str">
        <f t="shared" si="154"/>
        <v/>
      </c>
      <c r="AC426" s="539" t="str">
        <f t="shared" si="155"/>
        <v/>
      </c>
      <c r="AD426" s="546" t="str">
        <f t="shared" si="156"/>
        <v/>
      </c>
      <c r="AE426" s="539" t="str">
        <f t="shared" si="157"/>
        <v/>
      </c>
      <c r="AF426" s="546" t="str">
        <f t="shared" si="158"/>
        <v/>
      </c>
      <c r="AG426" s="539" t="str">
        <f t="shared" si="159"/>
        <v/>
      </c>
      <c r="AH426" s="32">
        <f t="shared" si="161"/>
        <v>0</v>
      </c>
      <c r="AI426" s="32">
        <f t="shared" si="162"/>
        <v>0</v>
      </c>
      <c r="AJ426" s="32">
        <f t="shared" si="163"/>
        <v>0</v>
      </c>
      <c r="AK426" t="str">
        <f t="shared" si="164"/>
        <v/>
      </c>
      <c r="AL426" t="str">
        <f t="shared" si="165"/>
        <v/>
      </c>
      <c r="AM426" t="str">
        <f t="shared" si="166"/>
        <v/>
      </c>
      <c r="AO426" t="str">
        <f>IFERROR(VLOOKUP(M426,'Fixture Identities'!$B$9:$O$1045,14,FALSE),"")</f>
        <v/>
      </c>
      <c r="AP426" t="str">
        <f t="shared" si="160"/>
        <v/>
      </c>
    </row>
    <row r="427" spans="1:42">
      <c r="A427" s="71">
        <f t="shared" si="168"/>
        <v>0</v>
      </c>
      <c r="B427" s="513">
        <f t="shared" si="167"/>
        <v>415</v>
      </c>
      <c r="C427" s="530" t="str">
        <f>IF(Inventory!E424="","",Inventory!E424)</f>
        <v/>
      </c>
      <c r="D427" s="531">
        <f>IF(Inventory!D424="",0,Inventory!D424)</f>
        <v>0</v>
      </c>
      <c r="E427" s="532" t="str">
        <f>IF(Inventory!I424=0,"",Inventory!I424)</f>
        <v/>
      </c>
      <c r="F427" s="533" t="str">
        <f t="shared" si="147"/>
        <v/>
      </c>
      <c r="G427" s="534" t="str">
        <f>IF(Inventory!G424="","",Inventory!G424)</f>
        <v/>
      </c>
      <c r="H427" s="535" t="str">
        <f t="shared" si="148"/>
        <v/>
      </c>
      <c r="I427" s="536" t="str">
        <f>IF(Inventory!J424="","",Inventory!J424)</f>
        <v/>
      </c>
      <c r="J427" s="537" t="str">
        <f>IFERROR(IF(PRJ_Type="New Construction",IF(Inventory!C424="N",INDEX(xyLPD_BuildingArea,MATCH(Building_Type,Lookups!$F$37:$F$75,0),4),INDEX(xyLPD_SpaceBySpace,MATCH(INDEX(xyNCEx,MATCH(I427,yNCExArea,0),2),ySpace_by_Space_Type,0),2)),VLOOKUP(E427,xyWattage_Table,11,FALSE)),"")</f>
        <v/>
      </c>
      <c r="K427" s="538" t="str">
        <f>IFERROR(IF(AND(NC_Type="Building Area Method",Inventory!C424="N"),IF(ISERROR(INDEX('Usage Groups (&gt;120 MWh only)'!$N$8:$N$12,MATCH(C427,'Usage Groups (&gt;120 MWh only)'!$B$8:$B$12,0),1))=TRUE,SqFt/COUNTIFS(Inventory!$C$10:$C$1009,"N",$Q$13:$Q$1012,"&gt;=0"),INDEX('Usage Groups (&gt;120 MWh only)'!$N$8:$N$12,MATCH(C427,'Usage Groups (&gt;120 MWh only)'!$B$8:$B$12,0),1)/COUNTIF($C$13:$C$1012,C427)),IF(AND(NC_Type="Building Area Method",Inventory!C424="Y"),INDEX(xyNCEx,MATCH(I427,yNCExArea,0),3)/COUNTIF($I$13:$I$1012,I427),VLOOKUP(J427,xyWattage_Table,10,FALSE))),"")</f>
        <v/>
      </c>
      <c r="L427" s="539" t="str">
        <f t="shared" si="149"/>
        <v/>
      </c>
      <c r="M427" s="540">
        <f>IF(Inventory!N424="","",Inventory!N424)</f>
        <v>0</v>
      </c>
      <c r="N427" s="533" t="str">
        <f t="shared" si="150"/>
        <v/>
      </c>
      <c r="O427" s="534"/>
      <c r="P427" s="533" t="str">
        <f t="shared" si="151"/>
        <v/>
      </c>
      <c r="Q427" s="534" t="str">
        <f>IF(Inventory!L424="","",Inventory!L424)</f>
        <v/>
      </c>
      <c r="R427" s="535" t="str">
        <f t="shared" si="152"/>
        <v/>
      </c>
      <c r="S427" s="536" t="str">
        <f>IF(Inventory!O424="","",Inventory!O424)</f>
        <v/>
      </c>
      <c r="T427" s="541" t="str">
        <f>IFERROR(IF(C427="","",IF(INDEX(xyWattage_Table,MATCH(M427,'Fixture Identities'!$B$9:$B$997,0),2)="Exit Sign",8760,IF(VLOOKUP(C427,xySpace_Type_Details,8,FALSE)="TRM",INDEX('General Information'!$AF$17:$AG$28,11,MATCH(N427,'General Information'!$AF$16:$AG$16,0)),HLOOKUP(VLOOKUP(C427,xySpace_Type_Details,8,FALSE),'General Information'!$P$15:$AG$28,13,FALSE)))),"")</f>
        <v/>
      </c>
      <c r="U427" s="542" t="str">
        <f>IFERROR(IF(C427="","",IF(INDEX(xyWattage_Table,MATCH(M427,'Fixture Identities'!$B$9:$B$997,0),2)="Exit Sign",1,IF(VLOOKUP(C427,xySpace_Type_Details,8,FALSE)="TRM",INDEX('General Information'!$AF$17:$AG$28,12,MATCH(N427,'General Information'!$AF$16:$AG$16,0)),HLOOKUP(VLOOKUP(C427,xySpace_Type_Details,8,FALSE),'General Information'!$P$15:$AG$28,14,FALSE)))),"")</f>
        <v/>
      </c>
      <c r="V427" s="542" t="str">
        <f>IFERROR(VLOOKUP(INDEX(xySpace_Type_Details,MATCH($C427,'General Information'!$C$40:$C$60,0),12),Lookups!$L$8:$N$12,2,FALSE),"")</f>
        <v/>
      </c>
      <c r="W427" s="542" t="str">
        <f>IFERROR(VLOOKUP(INDEX(xySpace_Type_Details,MATCH($C427,'General Information'!$C$40:$C$60,0),12),Lookups!$L$8:$N$12,3,FALSE),"")</f>
        <v/>
      </c>
      <c r="Y427" s="542" t="str">
        <f>IFERROR(IF(C427="","",IF(INDEX(xyWattage_Table,MATCH(M427,'Fixture Identities'!$B$9:$B$997,0),2)="Exit Sign",0,IF(PRJ_Type="Retrofit",VLOOKUP(I427,xySVG_Factors,2,FALSE),IF(AND(PRJ_Type="New Construction",Inventory!C424="N"),VLOOKUP(VLOOKUP(Building_Type,xyLPD_BuildingArea,5,FALSE),xySVG_Factors_NC,3,FALSE),0)))),"")</f>
        <v/>
      </c>
      <c r="Z427" s="544" t="str">
        <f>IFERROR(IF(C427="","",IF(INDEX(xyWattage_Table,MATCH(M427,'Fixture Identities'!$B$9:$B$997,0),2)="Exit Sign",0,VLOOKUP(S427,xySVG_Factors,2,FALSE))),"")</f>
        <v/>
      </c>
      <c r="AA427" s="545" t="str">
        <f t="shared" si="153"/>
        <v/>
      </c>
      <c r="AB427" s="542" t="str">
        <f t="shared" si="154"/>
        <v/>
      </c>
      <c r="AC427" s="539" t="str">
        <f t="shared" si="155"/>
        <v/>
      </c>
      <c r="AD427" s="546" t="str">
        <f t="shared" si="156"/>
        <v/>
      </c>
      <c r="AE427" s="539" t="str">
        <f t="shared" si="157"/>
        <v/>
      </c>
      <c r="AF427" s="546" t="str">
        <f t="shared" si="158"/>
        <v/>
      </c>
      <c r="AG427" s="539" t="str">
        <f t="shared" si="159"/>
        <v/>
      </c>
      <c r="AH427" s="32">
        <f t="shared" si="161"/>
        <v>0</v>
      </c>
      <c r="AI427" s="32">
        <f t="shared" si="162"/>
        <v>0</v>
      </c>
      <c r="AJ427" s="32">
        <f t="shared" si="163"/>
        <v>0</v>
      </c>
      <c r="AK427" t="str">
        <f t="shared" si="164"/>
        <v/>
      </c>
      <c r="AL427" t="str">
        <f t="shared" si="165"/>
        <v/>
      </c>
      <c r="AM427" t="str">
        <f t="shared" si="166"/>
        <v/>
      </c>
      <c r="AO427" t="str">
        <f>IFERROR(VLOOKUP(M427,'Fixture Identities'!$B$9:$O$1045,14,FALSE),"")</f>
        <v/>
      </c>
      <c r="AP427" t="str">
        <f t="shared" si="160"/>
        <v/>
      </c>
    </row>
    <row r="428" spans="1:42">
      <c r="A428" s="71">
        <f t="shared" si="168"/>
        <v>0</v>
      </c>
      <c r="B428" s="513">
        <f t="shared" si="167"/>
        <v>416</v>
      </c>
      <c r="C428" s="530" t="str">
        <f>IF(Inventory!E425="","",Inventory!E425)</f>
        <v/>
      </c>
      <c r="D428" s="531">
        <f>IF(Inventory!D425="",0,Inventory!D425)</f>
        <v>0</v>
      </c>
      <c r="E428" s="532" t="str">
        <f>IF(Inventory!I425=0,"",Inventory!I425)</f>
        <v/>
      </c>
      <c r="F428" s="533" t="str">
        <f t="shared" si="147"/>
        <v/>
      </c>
      <c r="G428" s="534" t="str">
        <f>IF(Inventory!G425="","",Inventory!G425)</f>
        <v/>
      </c>
      <c r="H428" s="535" t="str">
        <f t="shared" si="148"/>
        <v/>
      </c>
      <c r="I428" s="536" t="str">
        <f>IF(Inventory!J425="","",Inventory!J425)</f>
        <v/>
      </c>
      <c r="J428" s="537" t="str">
        <f>IFERROR(IF(PRJ_Type="New Construction",IF(Inventory!C425="N",INDEX(xyLPD_BuildingArea,MATCH(Building_Type,Lookups!$F$37:$F$75,0),4),INDEX(xyLPD_SpaceBySpace,MATCH(INDEX(xyNCEx,MATCH(I428,yNCExArea,0),2),ySpace_by_Space_Type,0),2)),VLOOKUP(E428,xyWattage_Table,11,FALSE)),"")</f>
        <v/>
      </c>
      <c r="K428" s="538" t="str">
        <f>IFERROR(IF(AND(NC_Type="Building Area Method",Inventory!C425="N"),IF(ISERROR(INDEX('Usage Groups (&gt;120 MWh only)'!$N$8:$N$12,MATCH(C428,'Usage Groups (&gt;120 MWh only)'!$B$8:$B$12,0),1))=TRUE,SqFt/COUNTIFS(Inventory!$C$10:$C$1009,"N",$Q$13:$Q$1012,"&gt;=0"),INDEX('Usage Groups (&gt;120 MWh only)'!$N$8:$N$12,MATCH(C428,'Usage Groups (&gt;120 MWh only)'!$B$8:$B$12,0),1)/COUNTIF($C$13:$C$1012,C428)),IF(AND(NC_Type="Building Area Method",Inventory!C425="Y"),INDEX(xyNCEx,MATCH(I428,yNCExArea,0),3)/COUNTIF($I$13:$I$1012,I428),VLOOKUP(J428,xyWattage_Table,10,FALSE))),"")</f>
        <v/>
      </c>
      <c r="L428" s="539" t="str">
        <f t="shared" si="149"/>
        <v/>
      </c>
      <c r="M428" s="540">
        <f>IF(Inventory!N425="","",Inventory!N425)</f>
        <v>0</v>
      </c>
      <c r="N428" s="533" t="str">
        <f t="shared" si="150"/>
        <v/>
      </c>
      <c r="O428" s="534"/>
      <c r="P428" s="533" t="str">
        <f t="shared" si="151"/>
        <v/>
      </c>
      <c r="Q428" s="534" t="str">
        <f>IF(Inventory!L425="","",Inventory!L425)</f>
        <v/>
      </c>
      <c r="R428" s="535" t="str">
        <f t="shared" si="152"/>
        <v/>
      </c>
      <c r="S428" s="536" t="str">
        <f>IF(Inventory!O425="","",Inventory!O425)</f>
        <v/>
      </c>
      <c r="T428" s="541" t="str">
        <f>IFERROR(IF(C428="","",IF(INDEX(xyWattage_Table,MATCH(M428,'Fixture Identities'!$B$9:$B$997,0),2)="Exit Sign",8760,IF(VLOOKUP(C428,xySpace_Type_Details,8,FALSE)="TRM",INDEX('General Information'!$AF$17:$AG$28,11,MATCH(N428,'General Information'!$AF$16:$AG$16,0)),HLOOKUP(VLOOKUP(C428,xySpace_Type_Details,8,FALSE),'General Information'!$P$15:$AG$28,13,FALSE)))),"")</f>
        <v/>
      </c>
      <c r="U428" s="542" t="str">
        <f>IFERROR(IF(C428="","",IF(INDEX(xyWattage_Table,MATCH(M428,'Fixture Identities'!$B$9:$B$997,0),2)="Exit Sign",1,IF(VLOOKUP(C428,xySpace_Type_Details,8,FALSE)="TRM",INDEX('General Information'!$AF$17:$AG$28,12,MATCH(N428,'General Information'!$AF$16:$AG$16,0)),HLOOKUP(VLOOKUP(C428,xySpace_Type_Details,8,FALSE),'General Information'!$P$15:$AG$28,14,FALSE)))),"")</f>
        <v/>
      </c>
      <c r="V428" s="542" t="str">
        <f>IFERROR(VLOOKUP(INDEX(xySpace_Type_Details,MATCH($C428,'General Information'!$C$40:$C$60,0),12),Lookups!$L$8:$N$12,2,FALSE),"")</f>
        <v/>
      </c>
      <c r="W428" s="542" t="str">
        <f>IFERROR(VLOOKUP(INDEX(xySpace_Type_Details,MATCH($C428,'General Information'!$C$40:$C$60,0),12),Lookups!$L$8:$N$12,3,FALSE),"")</f>
        <v/>
      </c>
      <c r="Y428" s="542" t="str">
        <f>IFERROR(IF(C428="","",IF(INDEX(xyWattage_Table,MATCH(M428,'Fixture Identities'!$B$9:$B$997,0),2)="Exit Sign",0,IF(PRJ_Type="Retrofit",VLOOKUP(I428,xySVG_Factors,2,FALSE),IF(AND(PRJ_Type="New Construction",Inventory!C425="N"),VLOOKUP(VLOOKUP(Building_Type,xyLPD_BuildingArea,5,FALSE),xySVG_Factors_NC,3,FALSE),0)))),"")</f>
        <v/>
      </c>
      <c r="Z428" s="544" t="str">
        <f>IFERROR(IF(C428="","",IF(INDEX(xyWattage_Table,MATCH(M428,'Fixture Identities'!$B$9:$B$997,0),2)="Exit Sign",0,VLOOKUP(S428,xySVG_Factors,2,FALSE))),"")</f>
        <v/>
      </c>
      <c r="AA428" s="545" t="str">
        <f t="shared" si="153"/>
        <v/>
      </c>
      <c r="AB428" s="542" t="str">
        <f t="shared" si="154"/>
        <v/>
      </c>
      <c r="AC428" s="539" t="str">
        <f t="shared" si="155"/>
        <v/>
      </c>
      <c r="AD428" s="546" t="str">
        <f t="shared" si="156"/>
        <v/>
      </c>
      <c r="AE428" s="539" t="str">
        <f t="shared" si="157"/>
        <v/>
      </c>
      <c r="AF428" s="546" t="str">
        <f t="shared" si="158"/>
        <v/>
      </c>
      <c r="AG428" s="539" t="str">
        <f t="shared" si="159"/>
        <v/>
      </c>
      <c r="AH428" s="32">
        <f t="shared" si="161"/>
        <v>0</v>
      </c>
      <c r="AI428" s="32">
        <f t="shared" si="162"/>
        <v>0</v>
      </c>
      <c r="AJ428" s="32">
        <f t="shared" si="163"/>
        <v>0</v>
      </c>
      <c r="AK428" t="str">
        <f t="shared" si="164"/>
        <v/>
      </c>
      <c r="AL428" t="str">
        <f t="shared" si="165"/>
        <v/>
      </c>
      <c r="AM428" t="str">
        <f t="shared" si="166"/>
        <v/>
      </c>
      <c r="AO428" t="str">
        <f>IFERROR(VLOOKUP(M428,'Fixture Identities'!$B$9:$O$1045,14,FALSE),"")</f>
        <v/>
      </c>
      <c r="AP428" t="str">
        <f t="shared" si="160"/>
        <v/>
      </c>
    </row>
    <row r="429" spans="1:42">
      <c r="A429" s="71">
        <f t="shared" si="168"/>
        <v>0</v>
      </c>
      <c r="B429" s="513">
        <f t="shared" si="167"/>
        <v>417</v>
      </c>
      <c r="C429" s="530" t="str">
        <f>IF(Inventory!E426="","",Inventory!E426)</f>
        <v/>
      </c>
      <c r="D429" s="531">
        <f>IF(Inventory!D426="",0,Inventory!D426)</f>
        <v>0</v>
      </c>
      <c r="E429" s="532" t="str">
        <f>IF(Inventory!I426=0,"",Inventory!I426)</f>
        <v/>
      </c>
      <c r="F429" s="533" t="str">
        <f t="shared" si="147"/>
        <v/>
      </c>
      <c r="G429" s="534" t="str">
        <f>IF(Inventory!G426="","",Inventory!G426)</f>
        <v/>
      </c>
      <c r="H429" s="535" t="str">
        <f t="shared" si="148"/>
        <v/>
      </c>
      <c r="I429" s="536" t="str">
        <f>IF(Inventory!J426="","",Inventory!J426)</f>
        <v/>
      </c>
      <c r="J429" s="537" t="str">
        <f>IFERROR(IF(PRJ_Type="New Construction",IF(Inventory!C426="N",INDEX(xyLPD_BuildingArea,MATCH(Building_Type,Lookups!$F$37:$F$75,0),4),INDEX(xyLPD_SpaceBySpace,MATCH(INDEX(xyNCEx,MATCH(I429,yNCExArea,0),2),ySpace_by_Space_Type,0),2)),VLOOKUP(E429,xyWattage_Table,11,FALSE)),"")</f>
        <v/>
      </c>
      <c r="K429" s="538" t="str">
        <f>IFERROR(IF(AND(NC_Type="Building Area Method",Inventory!C426="N"),IF(ISERROR(INDEX('Usage Groups (&gt;120 MWh only)'!$N$8:$N$12,MATCH(C429,'Usage Groups (&gt;120 MWh only)'!$B$8:$B$12,0),1))=TRUE,SqFt/COUNTIFS(Inventory!$C$10:$C$1009,"N",$Q$13:$Q$1012,"&gt;=0"),INDEX('Usage Groups (&gt;120 MWh only)'!$N$8:$N$12,MATCH(C429,'Usage Groups (&gt;120 MWh only)'!$B$8:$B$12,0),1)/COUNTIF($C$13:$C$1012,C429)),IF(AND(NC_Type="Building Area Method",Inventory!C426="Y"),INDEX(xyNCEx,MATCH(I429,yNCExArea,0),3)/COUNTIF($I$13:$I$1012,I429),VLOOKUP(J429,xyWattage_Table,10,FALSE))),"")</f>
        <v/>
      </c>
      <c r="L429" s="539" t="str">
        <f t="shared" si="149"/>
        <v/>
      </c>
      <c r="M429" s="540">
        <f>IF(Inventory!N426="","",Inventory!N426)</f>
        <v>0</v>
      </c>
      <c r="N429" s="533" t="str">
        <f t="shared" si="150"/>
        <v/>
      </c>
      <c r="O429" s="534"/>
      <c r="P429" s="533" t="str">
        <f t="shared" si="151"/>
        <v/>
      </c>
      <c r="Q429" s="534" t="str">
        <f>IF(Inventory!L426="","",Inventory!L426)</f>
        <v/>
      </c>
      <c r="R429" s="535" t="str">
        <f t="shared" si="152"/>
        <v/>
      </c>
      <c r="S429" s="536" t="str">
        <f>IF(Inventory!O426="","",Inventory!O426)</f>
        <v/>
      </c>
      <c r="T429" s="541" t="str">
        <f>IFERROR(IF(C429="","",IF(INDEX(xyWattage_Table,MATCH(M429,'Fixture Identities'!$B$9:$B$997,0),2)="Exit Sign",8760,IF(VLOOKUP(C429,xySpace_Type_Details,8,FALSE)="TRM",INDEX('General Information'!$AF$17:$AG$28,11,MATCH(N429,'General Information'!$AF$16:$AG$16,0)),HLOOKUP(VLOOKUP(C429,xySpace_Type_Details,8,FALSE),'General Information'!$P$15:$AG$28,13,FALSE)))),"")</f>
        <v/>
      </c>
      <c r="U429" s="542" t="str">
        <f>IFERROR(IF(C429="","",IF(INDEX(xyWattage_Table,MATCH(M429,'Fixture Identities'!$B$9:$B$997,0),2)="Exit Sign",1,IF(VLOOKUP(C429,xySpace_Type_Details,8,FALSE)="TRM",INDEX('General Information'!$AF$17:$AG$28,12,MATCH(N429,'General Information'!$AF$16:$AG$16,0)),HLOOKUP(VLOOKUP(C429,xySpace_Type_Details,8,FALSE),'General Information'!$P$15:$AG$28,14,FALSE)))),"")</f>
        <v/>
      </c>
      <c r="V429" s="542" t="str">
        <f>IFERROR(VLOOKUP(INDEX(xySpace_Type_Details,MATCH($C429,'General Information'!$C$40:$C$60,0),12),Lookups!$L$8:$N$12,2,FALSE),"")</f>
        <v/>
      </c>
      <c r="W429" s="542" t="str">
        <f>IFERROR(VLOOKUP(INDEX(xySpace_Type_Details,MATCH($C429,'General Information'!$C$40:$C$60,0),12),Lookups!$L$8:$N$12,3,FALSE),"")</f>
        <v/>
      </c>
      <c r="Y429" s="542" t="str">
        <f>IFERROR(IF(C429="","",IF(INDEX(xyWattage_Table,MATCH(M429,'Fixture Identities'!$B$9:$B$997,0),2)="Exit Sign",0,IF(PRJ_Type="Retrofit",VLOOKUP(I429,xySVG_Factors,2,FALSE),IF(AND(PRJ_Type="New Construction",Inventory!C426="N"),VLOOKUP(VLOOKUP(Building_Type,xyLPD_BuildingArea,5,FALSE),xySVG_Factors_NC,3,FALSE),0)))),"")</f>
        <v/>
      </c>
      <c r="Z429" s="544" t="str">
        <f>IFERROR(IF(C429="","",IF(INDEX(xyWattage_Table,MATCH(M429,'Fixture Identities'!$B$9:$B$997,0),2)="Exit Sign",0,VLOOKUP(S429,xySVG_Factors,2,FALSE))),"")</f>
        <v/>
      </c>
      <c r="AA429" s="545" t="str">
        <f t="shared" si="153"/>
        <v/>
      </c>
      <c r="AB429" s="542" t="str">
        <f t="shared" si="154"/>
        <v/>
      </c>
      <c r="AC429" s="539" t="str">
        <f t="shared" si="155"/>
        <v/>
      </c>
      <c r="AD429" s="546" t="str">
        <f t="shared" si="156"/>
        <v/>
      </c>
      <c r="AE429" s="539" t="str">
        <f t="shared" si="157"/>
        <v/>
      </c>
      <c r="AF429" s="546" t="str">
        <f t="shared" si="158"/>
        <v/>
      </c>
      <c r="AG429" s="539" t="str">
        <f t="shared" si="159"/>
        <v/>
      </c>
      <c r="AH429" s="32">
        <f t="shared" si="161"/>
        <v>0</v>
      </c>
      <c r="AI429" s="32">
        <f t="shared" si="162"/>
        <v>0</v>
      </c>
      <c r="AJ429" s="32">
        <f t="shared" si="163"/>
        <v>0</v>
      </c>
      <c r="AK429" t="str">
        <f t="shared" si="164"/>
        <v/>
      </c>
      <c r="AL429" t="str">
        <f t="shared" si="165"/>
        <v/>
      </c>
      <c r="AM429" t="str">
        <f t="shared" si="166"/>
        <v/>
      </c>
      <c r="AO429" t="str">
        <f>IFERROR(VLOOKUP(M429,'Fixture Identities'!$B$9:$O$1045,14,FALSE),"")</f>
        <v/>
      </c>
      <c r="AP429" t="str">
        <f t="shared" si="160"/>
        <v/>
      </c>
    </row>
    <row r="430" spans="1:42">
      <c r="A430" s="71">
        <f t="shared" si="168"/>
        <v>0</v>
      </c>
      <c r="B430" s="513">
        <f t="shared" si="167"/>
        <v>418</v>
      </c>
      <c r="C430" s="530" t="str">
        <f>IF(Inventory!E427="","",Inventory!E427)</f>
        <v/>
      </c>
      <c r="D430" s="531">
        <f>IF(Inventory!D427="",0,Inventory!D427)</f>
        <v>0</v>
      </c>
      <c r="E430" s="532" t="str">
        <f>IF(Inventory!I427=0,"",Inventory!I427)</f>
        <v/>
      </c>
      <c r="F430" s="533" t="str">
        <f t="shared" si="147"/>
        <v/>
      </c>
      <c r="G430" s="534" t="str">
        <f>IF(Inventory!G427="","",Inventory!G427)</f>
        <v/>
      </c>
      <c r="H430" s="535" t="str">
        <f t="shared" si="148"/>
        <v/>
      </c>
      <c r="I430" s="536" t="str">
        <f>IF(Inventory!J427="","",Inventory!J427)</f>
        <v/>
      </c>
      <c r="J430" s="537" t="str">
        <f>IFERROR(IF(PRJ_Type="New Construction",IF(Inventory!C427="N",INDEX(xyLPD_BuildingArea,MATCH(Building_Type,Lookups!$F$37:$F$75,0),4),INDEX(xyLPD_SpaceBySpace,MATCH(INDEX(xyNCEx,MATCH(I430,yNCExArea,0),2),ySpace_by_Space_Type,0),2)),VLOOKUP(E430,xyWattage_Table,11,FALSE)),"")</f>
        <v/>
      </c>
      <c r="K430" s="538" t="str">
        <f>IFERROR(IF(AND(NC_Type="Building Area Method",Inventory!C427="N"),IF(ISERROR(INDEX('Usage Groups (&gt;120 MWh only)'!$N$8:$N$12,MATCH(C430,'Usage Groups (&gt;120 MWh only)'!$B$8:$B$12,0),1))=TRUE,SqFt/COUNTIFS(Inventory!$C$10:$C$1009,"N",$Q$13:$Q$1012,"&gt;=0"),INDEX('Usage Groups (&gt;120 MWh only)'!$N$8:$N$12,MATCH(C430,'Usage Groups (&gt;120 MWh only)'!$B$8:$B$12,0),1)/COUNTIF($C$13:$C$1012,C430)),IF(AND(NC_Type="Building Area Method",Inventory!C427="Y"),INDEX(xyNCEx,MATCH(I430,yNCExArea,0),3)/COUNTIF($I$13:$I$1012,I430),VLOOKUP(J430,xyWattage_Table,10,FALSE))),"")</f>
        <v/>
      </c>
      <c r="L430" s="539" t="str">
        <f t="shared" si="149"/>
        <v/>
      </c>
      <c r="M430" s="540">
        <f>IF(Inventory!N427="","",Inventory!N427)</f>
        <v>0</v>
      </c>
      <c r="N430" s="533" t="str">
        <f t="shared" si="150"/>
        <v/>
      </c>
      <c r="O430" s="534"/>
      <c r="P430" s="533" t="str">
        <f t="shared" si="151"/>
        <v/>
      </c>
      <c r="Q430" s="534" t="str">
        <f>IF(Inventory!L427="","",Inventory!L427)</f>
        <v/>
      </c>
      <c r="R430" s="535" t="str">
        <f t="shared" si="152"/>
        <v/>
      </c>
      <c r="S430" s="536" t="str">
        <f>IF(Inventory!O427="","",Inventory!O427)</f>
        <v/>
      </c>
      <c r="T430" s="541" t="str">
        <f>IFERROR(IF(C430="","",IF(INDEX(xyWattage_Table,MATCH(M430,'Fixture Identities'!$B$9:$B$997,0),2)="Exit Sign",8760,IF(VLOOKUP(C430,xySpace_Type_Details,8,FALSE)="TRM",INDEX('General Information'!$AF$17:$AG$28,11,MATCH(N430,'General Information'!$AF$16:$AG$16,0)),HLOOKUP(VLOOKUP(C430,xySpace_Type_Details,8,FALSE),'General Information'!$P$15:$AG$28,13,FALSE)))),"")</f>
        <v/>
      </c>
      <c r="U430" s="542" t="str">
        <f>IFERROR(IF(C430="","",IF(INDEX(xyWattage_Table,MATCH(M430,'Fixture Identities'!$B$9:$B$997,0),2)="Exit Sign",1,IF(VLOOKUP(C430,xySpace_Type_Details,8,FALSE)="TRM",INDEX('General Information'!$AF$17:$AG$28,12,MATCH(N430,'General Information'!$AF$16:$AG$16,0)),HLOOKUP(VLOOKUP(C430,xySpace_Type_Details,8,FALSE),'General Information'!$P$15:$AG$28,14,FALSE)))),"")</f>
        <v/>
      </c>
      <c r="V430" s="542" t="str">
        <f>IFERROR(VLOOKUP(INDEX(xySpace_Type_Details,MATCH($C430,'General Information'!$C$40:$C$60,0),12),Lookups!$L$8:$N$12,2,FALSE),"")</f>
        <v/>
      </c>
      <c r="W430" s="542" t="str">
        <f>IFERROR(VLOOKUP(INDEX(xySpace_Type_Details,MATCH($C430,'General Information'!$C$40:$C$60,0),12),Lookups!$L$8:$N$12,3,FALSE),"")</f>
        <v/>
      </c>
      <c r="Y430" s="542" t="str">
        <f>IFERROR(IF(C430="","",IF(INDEX(xyWattage_Table,MATCH(M430,'Fixture Identities'!$B$9:$B$997,0),2)="Exit Sign",0,IF(PRJ_Type="Retrofit",VLOOKUP(I430,xySVG_Factors,2,FALSE),IF(AND(PRJ_Type="New Construction",Inventory!C427="N"),VLOOKUP(VLOOKUP(Building_Type,xyLPD_BuildingArea,5,FALSE),xySVG_Factors_NC,3,FALSE),0)))),"")</f>
        <v/>
      </c>
      <c r="Z430" s="544" t="str">
        <f>IFERROR(IF(C430="","",IF(INDEX(xyWattage_Table,MATCH(M430,'Fixture Identities'!$B$9:$B$997,0),2)="Exit Sign",0,VLOOKUP(S430,xySVG_Factors,2,FALSE))),"")</f>
        <v/>
      </c>
      <c r="AA430" s="545" t="str">
        <f t="shared" si="153"/>
        <v/>
      </c>
      <c r="AB430" s="542" t="str">
        <f t="shared" si="154"/>
        <v/>
      </c>
      <c r="AC430" s="539" t="str">
        <f t="shared" si="155"/>
        <v/>
      </c>
      <c r="AD430" s="546" t="str">
        <f t="shared" si="156"/>
        <v/>
      </c>
      <c r="AE430" s="539" t="str">
        <f t="shared" si="157"/>
        <v/>
      </c>
      <c r="AF430" s="546" t="str">
        <f t="shared" si="158"/>
        <v/>
      </c>
      <c r="AG430" s="539" t="str">
        <f t="shared" si="159"/>
        <v/>
      </c>
      <c r="AH430" s="32">
        <f t="shared" si="161"/>
        <v>0</v>
      </c>
      <c r="AI430" s="32">
        <f t="shared" si="162"/>
        <v>0</v>
      </c>
      <c r="AJ430" s="32">
        <f t="shared" si="163"/>
        <v>0</v>
      </c>
      <c r="AK430" t="str">
        <f t="shared" si="164"/>
        <v/>
      </c>
      <c r="AL430" t="str">
        <f t="shared" si="165"/>
        <v/>
      </c>
      <c r="AM430" t="str">
        <f t="shared" si="166"/>
        <v/>
      </c>
      <c r="AO430" t="str">
        <f>IFERROR(VLOOKUP(M430,'Fixture Identities'!$B$9:$O$1045,14,FALSE),"")</f>
        <v/>
      </c>
      <c r="AP430" t="str">
        <f t="shared" si="160"/>
        <v/>
      </c>
    </row>
    <row r="431" spans="1:42">
      <c r="A431" s="71">
        <f t="shared" si="168"/>
        <v>0</v>
      </c>
      <c r="B431" s="513">
        <f t="shared" si="167"/>
        <v>419</v>
      </c>
      <c r="C431" s="530" t="str">
        <f>IF(Inventory!E428="","",Inventory!E428)</f>
        <v/>
      </c>
      <c r="D431" s="531">
        <f>IF(Inventory!D428="",0,Inventory!D428)</f>
        <v>0</v>
      </c>
      <c r="E431" s="532" t="str">
        <f>IF(Inventory!I428=0,"",Inventory!I428)</f>
        <v/>
      </c>
      <c r="F431" s="533" t="str">
        <f t="shared" si="147"/>
        <v/>
      </c>
      <c r="G431" s="534" t="str">
        <f>IF(Inventory!G428="","",Inventory!G428)</f>
        <v/>
      </c>
      <c r="H431" s="535" t="str">
        <f t="shared" si="148"/>
        <v/>
      </c>
      <c r="I431" s="536" t="str">
        <f>IF(Inventory!J428="","",Inventory!J428)</f>
        <v/>
      </c>
      <c r="J431" s="537" t="str">
        <f>IFERROR(IF(PRJ_Type="New Construction",IF(Inventory!C428="N",INDEX(xyLPD_BuildingArea,MATCH(Building_Type,Lookups!$F$37:$F$75,0),4),INDEX(xyLPD_SpaceBySpace,MATCH(INDEX(xyNCEx,MATCH(I431,yNCExArea,0),2),ySpace_by_Space_Type,0),2)),VLOOKUP(E431,xyWattage_Table,11,FALSE)),"")</f>
        <v/>
      </c>
      <c r="K431" s="538" t="str">
        <f>IFERROR(IF(AND(NC_Type="Building Area Method",Inventory!C428="N"),IF(ISERROR(INDEX('Usage Groups (&gt;120 MWh only)'!$N$8:$N$12,MATCH(C431,'Usage Groups (&gt;120 MWh only)'!$B$8:$B$12,0),1))=TRUE,SqFt/COUNTIFS(Inventory!$C$10:$C$1009,"N",$Q$13:$Q$1012,"&gt;=0"),INDEX('Usage Groups (&gt;120 MWh only)'!$N$8:$N$12,MATCH(C431,'Usage Groups (&gt;120 MWh only)'!$B$8:$B$12,0),1)/COUNTIF($C$13:$C$1012,C431)),IF(AND(NC_Type="Building Area Method",Inventory!C428="Y"),INDEX(xyNCEx,MATCH(I431,yNCExArea,0),3)/COUNTIF($I$13:$I$1012,I431),VLOOKUP(J431,xyWattage_Table,10,FALSE))),"")</f>
        <v/>
      </c>
      <c r="L431" s="539" t="str">
        <f t="shared" si="149"/>
        <v/>
      </c>
      <c r="M431" s="540">
        <f>IF(Inventory!N428="","",Inventory!N428)</f>
        <v>0</v>
      </c>
      <c r="N431" s="533" t="str">
        <f t="shared" si="150"/>
        <v/>
      </c>
      <c r="O431" s="534"/>
      <c r="P431" s="533" t="str">
        <f t="shared" si="151"/>
        <v/>
      </c>
      <c r="Q431" s="534" t="str">
        <f>IF(Inventory!L428="","",Inventory!L428)</f>
        <v/>
      </c>
      <c r="R431" s="535" t="str">
        <f t="shared" si="152"/>
        <v/>
      </c>
      <c r="S431" s="536" t="str">
        <f>IF(Inventory!O428="","",Inventory!O428)</f>
        <v/>
      </c>
      <c r="T431" s="541" t="str">
        <f>IFERROR(IF(C431="","",IF(INDEX(xyWattage_Table,MATCH(M431,'Fixture Identities'!$B$9:$B$997,0),2)="Exit Sign",8760,IF(VLOOKUP(C431,xySpace_Type_Details,8,FALSE)="TRM",INDEX('General Information'!$AF$17:$AG$28,11,MATCH(N431,'General Information'!$AF$16:$AG$16,0)),HLOOKUP(VLOOKUP(C431,xySpace_Type_Details,8,FALSE),'General Information'!$P$15:$AG$28,13,FALSE)))),"")</f>
        <v/>
      </c>
      <c r="U431" s="542" t="str">
        <f>IFERROR(IF(C431="","",IF(INDEX(xyWattage_Table,MATCH(M431,'Fixture Identities'!$B$9:$B$997,0),2)="Exit Sign",1,IF(VLOOKUP(C431,xySpace_Type_Details,8,FALSE)="TRM",INDEX('General Information'!$AF$17:$AG$28,12,MATCH(N431,'General Information'!$AF$16:$AG$16,0)),HLOOKUP(VLOOKUP(C431,xySpace_Type_Details,8,FALSE),'General Information'!$P$15:$AG$28,14,FALSE)))),"")</f>
        <v/>
      </c>
      <c r="V431" s="542" t="str">
        <f>IFERROR(VLOOKUP(INDEX(xySpace_Type_Details,MATCH($C431,'General Information'!$C$40:$C$60,0),12),Lookups!$L$8:$N$12,2,FALSE),"")</f>
        <v/>
      </c>
      <c r="W431" s="542" t="str">
        <f>IFERROR(VLOOKUP(INDEX(xySpace_Type_Details,MATCH($C431,'General Information'!$C$40:$C$60,0),12),Lookups!$L$8:$N$12,3,FALSE),"")</f>
        <v/>
      </c>
      <c r="Y431" s="542" t="str">
        <f>IFERROR(IF(C431="","",IF(INDEX(xyWattage_Table,MATCH(M431,'Fixture Identities'!$B$9:$B$997,0),2)="Exit Sign",0,IF(PRJ_Type="Retrofit",VLOOKUP(I431,xySVG_Factors,2,FALSE),IF(AND(PRJ_Type="New Construction",Inventory!C428="N"),VLOOKUP(VLOOKUP(Building_Type,xyLPD_BuildingArea,5,FALSE),xySVG_Factors_NC,3,FALSE),0)))),"")</f>
        <v/>
      </c>
      <c r="Z431" s="544" t="str">
        <f>IFERROR(IF(C431="","",IF(INDEX(xyWattage_Table,MATCH(M431,'Fixture Identities'!$B$9:$B$997,0),2)="Exit Sign",0,VLOOKUP(S431,xySVG_Factors,2,FALSE))),"")</f>
        <v/>
      </c>
      <c r="AA431" s="545" t="str">
        <f t="shared" si="153"/>
        <v/>
      </c>
      <c r="AB431" s="542" t="str">
        <f t="shared" si="154"/>
        <v/>
      </c>
      <c r="AC431" s="539" t="str">
        <f t="shared" si="155"/>
        <v/>
      </c>
      <c r="AD431" s="546" t="str">
        <f t="shared" si="156"/>
        <v/>
      </c>
      <c r="AE431" s="539" t="str">
        <f t="shared" si="157"/>
        <v/>
      </c>
      <c r="AF431" s="546" t="str">
        <f t="shared" si="158"/>
        <v/>
      </c>
      <c r="AG431" s="539" t="str">
        <f t="shared" si="159"/>
        <v/>
      </c>
      <c r="AH431" s="32">
        <f t="shared" si="161"/>
        <v>0</v>
      </c>
      <c r="AI431" s="32">
        <f t="shared" si="162"/>
        <v>0</v>
      </c>
      <c r="AJ431" s="32">
        <f t="shared" si="163"/>
        <v>0</v>
      </c>
      <c r="AK431" t="str">
        <f t="shared" si="164"/>
        <v/>
      </c>
      <c r="AL431" t="str">
        <f t="shared" si="165"/>
        <v/>
      </c>
      <c r="AM431" t="str">
        <f t="shared" si="166"/>
        <v/>
      </c>
      <c r="AO431" t="str">
        <f>IFERROR(VLOOKUP(M431,'Fixture Identities'!$B$9:$O$1045,14,FALSE),"")</f>
        <v/>
      </c>
      <c r="AP431" t="str">
        <f t="shared" si="160"/>
        <v/>
      </c>
    </row>
    <row r="432" spans="1:42">
      <c r="A432" s="71">
        <f t="shared" si="168"/>
        <v>0</v>
      </c>
      <c r="B432" s="513">
        <f t="shared" si="167"/>
        <v>420</v>
      </c>
      <c r="C432" s="530" t="str">
        <f>IF(Inventory!E429="","",Inventory!E429)</f>
        <v/>
      </c>
      <c r="D432" s="531">
        <f>IF(Inventory!D429="",0,Inventory!D429)</f>
        <v>0</v>
      </c>
      <c r="E432" s="532" t="str">
        <f>IF(Inventory!I429=0,"",Inventory!I429)</f>
        <v/>
      </c>
      <c r="F432" s="533" t="str">
        <f t="shared" si="147"/>
        <v/>
      </c>
      <c r="G432" s="534" t="str">
        <f>IF(Inventory!G429="","",Inventory!G429)</f>
        <v/>
      </c>
      <c r="H432" s="535" t="str">
        <f t="shared" si="148"/>
        <v/>
      </c>
      <c r="I432" s="536" t="str">
        <f>IF(Inventory!J429="","",Inventory!J429)</f>
        <v/>
      </c>
      <c r="J432" s="537" t="str">
        <f>IFERROR(IF(PRJ_Type="New Construction",IF(Inventory!C429="N",INDEX(xyLPD_BuildingArea,MATCH(Building_Type,Lookups!$F$37:$F$75,0),4),INDEX(xyLPD_SpaceBySpace,MATCH(INDEX(xyNCEx,MATCH(I432,yNCExArea,0),2),ySpace_by_Space_Type,0),2)),VLOOKUP(E432,xyWattage_Table,11,FALSE)),"")</f>
        <v/>
      </c>
      <c r="K432" s="538" t="str">
        <f>IFERROR(IF(AND(NC_Type="Building Area Method",Inventory!C429="N"),IF(ISERROR(INDEX('Usage Groups (&gt;120 MWh only)'!$N$8:$N$12,MATCH(C432,'Usage Groups (&gt;120 MWh only)'!$B$8:$B$12,0),1))=TRUE,SqFt/COUNTIFS(Inventory!$C$10:$C$1009,"N",$Q$13:$Q$1012,"&gt;=0"),INDEX('Usage Groups (&gt;120 MWh only)'!$N$8:$N$12,MATCH(C432,'Usage Groups (&gt;120 MWh only)'!$B$8:$B$12,0),1)/COUNTIF($C$13:$C$1012,C432)),IF(AND(NC_Type="Building Area Method",Inventory!C429="Y"),INDEX(xyNCEx,MATCH(I432,yNCExArea,0),3)/COUNTIF($I$13:$I$1012,I432),VLOOKUP(J432,xyWattage_Table,10,FALSE))),"")</f>
        <v/>
      </c>
      <c r="L432" s="539" t="str">
        <f t="shared" si="149"/>
        <v/>
      </c>
      <c r="M432" s="540">
        <f>IF(Inventory!N429="","",Inventory!N429)</f>
        <v>0</v>
      </c>
      <c r="N432" s="533" t="str">
        <f t="shared" si="150"/>
        <v/>
      </c>
      <c r="O432" s="534"/>
      <c r="P432" s="533" t="str">
        <f t="shared" si="151"/>
        <v/>
      </c>
      <c r="Q432" s="534" t="str">
        <f>IF(Inventory!L429="","",Inventory!L429)</f>
        <v/>
      </c>
      <c r="R432" s="535" t="str">
        <f t="shared" si="152"/>
        <v/>
      </c>
      <c r="S432" s="536" t="str">
        <f>IF(Inventory!O429="","",Inventory!O429)</f>
        <v/>
      </c>
      <c r="T432" s="541" t="str">
        <f>IFERROR(IF(C432="","",IF(INDEX(xyWattage_Table,MATCH(M432,'Fixture Identities'!$B$9:$B$997,0),2)="Exit Sign",8760,IF(VLOOKUP(C432,xySpace_Type_Details,8,FALSE)="TRM",INDEX('General Information'!$AF$17:$AG$28,11,MATCH(N432,'General Information'!$AF$16:$AG$16,0)),HLOOKUP(VLOOKUP(C432,xySpace_Type_Details,8,FALSE),'General Information'!$P$15:$AG$28,13,FALSE)))),"")</f>
        <v/>
      </c>
      <c r="U432" s="542" t="str">
        <f>IFERROR(IF(C432="","",IF(INDEX(xyWattage_Table,MATCH(M432,'Fixture Identities'!$B$9:$B$997,0),2)="Exit Sign",1,IF(VLOOKUP(C432,xySpace_Type_Details,8,FALSE)="TRM",INDEX('General Information'!$AF$17:$AG$28,12,MATCH(N432,'General Information'!$AF$16:$AG$16,0)),HLOOKUP(VLOOKUP(C432,xySpace_Type_Details,8,FALSE),'General Information'!$P$15:$AG$28,14,FALSE)))),"")</f>
        <v/>
      </c>
      <c r="V432" s="542" t="str">
        <f>IFERROR(VLOOKUP(INDEX(xySpace_Type_Details,MATCH($C432,'General Information'!$C$40:$C$60,0),12),Lookups!$L$8:$N$12,2,FALSE),"")</f>
        <v/>
      </c>
      <c r="W432" s="542" t="str">
        <f>IFERROR(VLOOKUP(INDEX(xySpace_Type_Details,MATCH($C432,'General Information'!$C$40:$C$60,0),12),Lookups!$L$8:$N$12,3,FALSE),"")</f>
        <v/>
      </c>
      <c r="Y432" s="542" t="str">
        <f>IFERROR(IF(C432="","",IF(INDEX(xyWattage_Table,MATCH(M432,'Fixture Identities'!$B$9:$B$997,0),2)="Exit Sign",0,IF(PRJ_Type="Retrofit",VLOOKUP(I432,xySVG_Factors,2,FALSE),IF(AND(PRJ_Type="New Construction",Inventory!C429="N"),VLOOKUP(VLOOKUP(Building_Type,xyLPD_BuildingArea,5,FALSE),xySVG_Factors_NC,3,FALSE),0)))),"")</f>
        <v/>
      </c>
      <c r="Z432" s="544" t="str">
        <f>IFERROR(IF(C432="","",IF(INDEX(xyWattage_Table,MATCH(M432,'Fixture Identities'!$B$9:$B$997,0),2)="Exit Sign",0,VLOOKUP(S432,xySVG_Factors,2,FALSE))),"")</f>
        <v/>
      </c>
      <c r="AA432" s="545" t="str">
        <f t="shared" si="153"/>
        <v/>
      </c>
      <c r="AB432" s="542" t="str">
        <f t="shared" si="154"/>
        <v/>
      </c>
      <c r="AC432" s="539" t="str">
        <f t="shared" si="155"/>
        <v/>
      </c>
      <c r="AD432" s="546" t="str">
        <f t="shared" si="156"/>
        <v/>
      </c>
      <c r="AE432" s="539" t="str">
        <f t="shared" si="157"/>
        <v/>
      </c>
      <c r="AF432" s="546" t="str">
        <f t="shared" si="158"/>
        <v/>
      </c>
      <c r="AG432" s="539" t="str">
        <f t="shared" si="159"/>
        <v/>
      </c>
      <c r="AH432" s="32">
        <f t="shared" si="161"/>
        <v>0</v>
      </c>
      <c r="AI432" s="32">
        <f t="shared" si="162"/>
        <v>0</v>
      </c>
      <c r="AJ432" s="32">
        <f t="shared" si="163"/>
        <v>0</v>
      </c>
      <c r="AK432" t="str">
        <f t="shared" si="164"/>
        <v/>
      </c>
      <c r="AL432" t="str">
        <f t="shared" si="165"/>
        <v/>
      </c>
      <c r="AM432" t="str">
        <f t="shared" si="166"/>
        <v/>
      </c>
      <c r="AO432" t="str">
        <f>IFERROR(VLOOKUP(M432,'Fixture Identities'!$B$9:$O$1045,14,FALSE),"")</f>
        <v/>
      </c>
      <c r="AP432" t="str">
        <f t="shared" si="160"/>
        <v/>
      </c>
    </row>
    <row r="433" spans="1:42">
      <c r="A433" s="71">
        <f t="shared" si="168"/>
        <v>0</v>
      </c>
      <c r="B433" s="513">
        <f t="shared" si="167"/>
        <v>421</v>
      </c>
      <c r="C433" s="530" t="str">
        <f>IF(Inventory!E430="","",Inventory!E430)</f>
        <v/>
      </c>
      <c r="D433" s="531">
        <f>IF(Inventory!D430="",0,Inventory!D430)</f>
        <v>0</v>
      </c>
      <c r="E433" s="532" t="str">
        <f>IF(Inventory!I430=0,"",Inventory!I430)</f>
        <v/>
      </c>
      <c r="F433" s="533" t="str">
        <f t="shared" si="147"/>
        <v/>
      </c>
      <c r="G433" s="534" t="str">
        <f>IF(Inventory!G430="","",Inventory!G430)</f>
        <v/>
      </c>
      <c r="H433" s="535" t="str">
        <f t="shared" si="148"/>
        <v/>
      </c>
      <c r="I433" s="536" t="str">
        <f>IF(Inventory!J430="","",Inventory!J430)</f>
        <v/>
      </c>
      <c r="J433" s="537" t="str">
        <f>IFERROR(IF(PRJ_Type="New Construction",IF(Inventory!C430="N",INDEX(xyLPD_BuildingArea,MATCH(Building_Type,Lookups!$F$37:$F$75,0),4),INDEX(xyLPD_SpaceBySpace,MATCH(INDEX(xyNCEx,MATCH(I433,yNCExArea,0),2),ySpace_by_Space_Type,0),2)),VLOOKUP(E433,xyWattage_Table,11,FALSE)),"")</f>
        <v/>
      </c>
      <c r="K433" s="538" t="str">
        <f>IFERROR(IF(AND(NC_Type="Building Area Method",Inventory!C430="N"),IF(ISERROR(INDEX('Usage Groups (&gt;120 MWh only)'!$N$8:$N$12,MATCH(C433,'Usage Groups (&gt;120 MWh only)'!$B$8:$B$12,0),1))=TRUE,SqFt/COUNTIFS(Inventory!$C$10:$C$1009,"N",$Q$13:$Q$1012,"&gt;=0"),INDEX('Usage Groups (&gt;120 MWh only)'!$N$8:$N$12,MATCH(C433,'Usage Groups (&gt;120 MWh only)'!$B$8:$B$12,0),1)/COUNTIF($C$13:$C$1012,C433)),IF(AND(NC_Type="Building Area Method",Inventory!C430="Y"),INDEX(xyNCEx,MATCH(I433,yNCExArea,0),3)/COUNTIF($I$13:$I$1012,I433),VLOOKUP(J433,xyWattage_Table,10,FALSE))),"")</f>
        <v/>
      </c>
      <c r="L433" s="539" t="str">
        <f t="shared" si="149"/>
        <v/>
      </c>
      <c r="M433" s="540">
        <f>IF(Inventory!N430="","",Inventory!N430)</f>
        <v>0</v>
      </c>
      <c r="N433" s="533" t="str">
        <f t="shared" si="150"/>
        <v/>
      </c>
      <c r="O433" s="534"/>
      <c r="P433" s="533" t="str">
        <f t="shared" si="151"/>
        <v/>
      </c>
      <c r="Q433" s="534" t="str">
        <f>IF(Inventory!L430="","",Inventory!L430)</f>
        <v/>
      </c>
      <c r="R433" s="535" t="str">
        <f t="shared" si="152"/>
        <v/>
      </c>
      <c r="S433" s="536" t="str">
        <f>IF(Inventory!O430="","",Inventory!O430)</f>
        <v/>
      </c>
      <c r="T433" s="541" t="str">
        <f>IFERROR(IF(C433="","",IF(INDEX(xyWattage_Table,MATCH(M433,'Fixture Identities'!$B$9:$B$997,0),2)="Exit Sign",8760,IF(VLOOKUP(C433,xySpace_Type_Details,8,FALSE)="TRM",INDEX('General Information'!$AF$17:$AG$28,11,MATCH(N433,'General Information'!$AF$16:$AG$16,0)),HLOOKUP(VLOOKUP(C433,xySpace_Type_Details,8,FALSE),'General Information'!$P$15:$AG$28,13,FALSE)))),"")</f>
        <v/>
      </c>
      <c r="U433" s="542" t="str">
        <f>IFERROR(IF(C433="","",IF(INDEX(xyWattage_Table,MATCH(M433,'Fixture Identities'!$B$9:$B$997,0),2)="Exit Sign",1,IF(VLOOKUP(C433,xySpace_Type_Details,8,FALSE)="TRM",INDEX('General Information'!$AF$17:$AG$28,12,MATCH(N433,'General Information'!$AF$16:$AG$16,0)),HLOOKUP(VLOOKUP(C433,xySpace_Type_Details,8,FALSE),'General Information'!$P$15:$AG$28,14,FALSE)))),"")</f>
        <v/>
      </c>
      <c r="V433" s="542" t="str">
        <f>IFERROR(VLOOKUP(INDEX(xySpace_Type_Details,MATCH($C433,'General Information'!$C$40:$C$60,0),12),Lookups!$L$8:$N$12,2,FALSE),"")</f>
        <v/>
      </c>
      <c r="W433" s="542" t="str">
        <f>IFERROR(VLOOKUP(INDEX(xySpace_Type_Details,MATCH($C433,'General Information'!$C$40:$C$60,0),12),Lookups!$L$8:$N$12,3,FALSE),"")</f>
        <v/>
      </c>
      <c r="Y433" s="542" t="str">
        <f>IFERROR(IF(C433="","",IF(INDEX(xyWattage_Table,MATCH(M433,'Fixture Identities'!$B$9:$B$997,0),2)="Exit Sign",0,IF(PRJ_Type="Retrofit",VLOOKUP(I433,xySVG_Factors,2,FALSE),IF(AND(PRJ_Type="New Construction",Inventory!C430="N"),VLOOKUP(VLOOKUP(Building_Type,xyLPD_BuildingArea,5,FALSE),xySVG_Factors_NC,3,FALSE),0)))),"")</f>
        <v/>
      </c>
      <c r="Z433" s="544" t="str">
        <f>IFERROR(IF(C433="","",IF(INDEX(xyWattage_Table,MATCH(M433,'Fixture Identities'!$B$9:$B$997,0),2)="Exit Sign",0,VLOOKUP(S433,xySVG_Factors,2,FALSE))),"")</f>
        <v/>
      </c>
      <c r="AA433" s="545" t="str">
        <f t="shared" si="153"/>
        <v/>
      </c>
      <c r="AB433" s="542" t="str">
        <f t="shared" si="154"/>
        <v/>
      </c>
      <c r="AC433" s="539" t="str">
        <f t="shared" si="155"/>
        <v/>
      </c>
      <c r="AD433" s="546" t="str">
        <f t="shared" si="156"/>
        <v/>
      </c>
      <c r="AE433" s="539" t="str">
        <f t="shared" si="157"/>
        <v/>
      </c>
      <c r="AF433" s="546" t="str">
        <f t="shared" si="158"/>
        <v/>
      </c>
      <c r="AG433" s="539" t="str">
        <f t="shared" si="159"/>
        <v/>
      </c>
      <c r="AH433" s="32">
        <f t="shared" si="161"/>
        <v>0</v>
      </c>
      <c r="AI433" s="32">
        <f t="shared" si="162"/>
        <v>0</v>
      </c>
      <c r="AJ433" s="32">
        <f t="shared" si="163"/>
        <v>0</v>
      </c>
      <c r="AK433" t="str">
        <f t="shared" si="164"/>
        <v/>
      </c>
      <c r="AL433" t="str">
        <f t="shared" si="165"/>
        <v/>
      </c>
      <c r="AM433" t="str">
        <f t="shared" si="166"/>
        <v/>
      </c>
      <c r="AO433" t="str">
        <f>IFERROR(VLOOKUP(M433,'Fixture Identities'!$B$9:$O$1045,14,FALSE),"")</f>
        <v/>
      </c>
      <c r="AP433" t="str">
        <f t="shared" si="160"/>
        <v/>
      </c>
    </row>
    <row r="434" spans="1:42">
      <c r="A434" s="71">
        <f t="shared" si="168"/>
        <v>0</v>
      </c>
      <c r="B434" s="513">
        <f t="shared" si="167"/>
        <v>422</v>
      </c>
      <c r="C434" s="530" t="str">
        <f>IF(Inventory!E431="","",Inventory!E431)</f>
        <v/>
      </c>
      <c r="D434" s="531">
        <f>IF(Inventory!D431="",0,Inventory!D431)</f>
        <v>0</v>
      </c>
      <c r="E434" s="532" t="str">
        <f>IF(Inventory!I431=0,"",Inventory!I431)</f>
        <v/>
      </c>
      <c r="F434" s="533" t="str">
        <f t="shared" si="147"/>
        <v/>
      </c>
      <c r="G434" s="534" t="str">
        <f>IF(Inventory!G431="","",Inventory!G431)</f>
        <v/>
      </c>
      <c r="H434" s="535" t="str">
        <f t="shared" si="148"/>
        <v/>
      </c>
      <c r="I434" s="536" t="str">
        <f>IF(Inventory!J431="","",Inventory!J431)</f>
        <v/>
      </c>
      <c r="J434" s="537" t="str">
        <f>IFERROR(IF(PRJ_Type="New Construction",IF(Inventory!C431="N",INDEX(xyLPD_BuildingArea,MATCH(Building_Type,Lookups!$F$37:$F$75,0),4),INDEX(xyLPD_SpaceBySpace,MATCH(INDEX(xyNCEx,MATCH(I434,yNCExArea,0),2),ySpace_by_Space_Type,0),2)),VLOOKUP(E434,xyWattage_Table,11,FALSE)),"")</f>
        <v/>
      </c>
      <c r="K434" s="538" t="str">
        <f>IFERROR(IF(AND(NC_Type="Building Area Method",Inventory!C431="N"),IF(ISERROR(INDEX('Usage Groups (&gt;120 MWh only)'!$N$8:$N$12,MATCH(C434,'Usage Groups (&gt;120 MWh only)'!$B$8:$B$12,0),1))=TRUE,SqFt/COUNTIFS(Inventory!$C$10:$C$1009,"N",$Q$13:$Q$1012,"&gt;=0"),INDEX('Usage Groups (&gt;120 MWh only)'!$N$8:$N$12,MATCH(C434,'Usage Groups (&gt;120 MWh only)'!$B$8:$B$12,0),1)/COUNTIF($C$13:$C$1012,C434)),IF(AND(NC_Type="Building Area Method",Inventory!C431="Y"),INDEX(xyNCEx,MATCH(I434,yNCExArea,0),3)/COUNTIF($I$13:$I$1012,I434),VLOOKUP(J434,xyWattage_Table,10,FALSE))),"")</f>
        <v/>
      </c>
      <c r="L434" s="539" t="str">
        <f t="shared" si="149"/>
        <v/>
      </c>
      <c r="M434" s="540">
        <f>IF(Inventory!N431="","",Inventory!N431)</f>
        <v>0</v>
      </c>
      <c r="N434" s="533" t="str">
        <f t="shared" si="150"/>
        <v/>
      </c>
      <c r="O434" s="534"/>
      <c r="P434" s="533" t="str">
        <f t="shared" si="151"/>
        <v/>
      </c>
      <c r="Q434" s="534" t="str">
        <f>IF(Inventory!L431="","",Inventory!L431)</f>
        <v/>
      </c>
      <c r="R434" s="535" t="str">
        <f t="shared" si="152"/>
        <v/>
      </c>
      <c r="S434" s="536" t="str">
        <f>IF(Inventory!O431="","",Inventory!O431)</f>
        <v/>
      </c>
      <c r="T434" s="541" t="str">
        <f>IFERROR(IF(C434="","",IF(INDEX(xyWattage_Table,MATCH(M434,'Fixture Identities'!$B$9:$B$997,0),2)="Exit Sign",8760,IF(VLOOKUP(C434,xySpace_Type_Details,8,FALSE)="TRM",INDEX('General Information'!$AF$17:$AG$28,11,MATCH(N434,'General Information'!$AF$16:$AG$16,0)),HLOOKUP(VLOOKUP(C434,xySpace_Type_Details,8,FALSE),'General Information'!$P$15:$AG$28,13,FALSE)))),"")</f>
        <v/>
      </c>
      <c r="U434" s="542" t="str">
        <f>IFERROR(IF(C434="","",IF(INDEX(xyWattage_Table,MATCH(M434,'Fixture Identities'!$B$9:$B$997,0),2)="Exit Sign",1,IF(VLOOKUP(C434,xySpace_Type_Details,8,FALSE)="TRM",INDEX('General Information'!$AF$17:$AG$28,12,MATCH(N434,'General Information'!$AF$16:$AG$16,0)),HLOOKUP(VLOOKUP(C434,xySpace_Type_Details,8,FALSE),'General Information'!$P$15:$AG$28,14,FALSE)))),"")</f>
        <v/>
      </c>
      <c r="V434" s="542" t="str">
        <f>IFERROR(VLOOKUP(INDEX(xySpace_Type_Details,MATCH($C434,'General Information'!$C$40:$C$60,0),12),Lookups!$L$8:$N$12,2,FALSE),"")</f>
        <v/>
      </c>
      <c r="W434" s="542" t="str">
        <f>IFERROR(VLOOKUP(INDEX(xySpace_Type_Details,MATCH($C434,'General Information'!$C$40:$C$60,0),12),Lookups!$L$8:$N$12,3,FALSE),"")</f>
        <v/>
      </c>
      <c r="Y434" s="542" t="str">
        <f>IFERROR(IF(C434="","",IF(INDEX(xyWattage_Table,MATCH(M434,'Fixture Identities'!$B$9:$B$997,0),2)="Exit Sign",0,IF(PRJ_Type="Retrofit",VLOOKUP(I434,xySVG_Factors,2,FALSE),IF(AND(PRJ_Type="New Construction",Inventory!C431="N"),VLOOKUP(VLOOKUP(Building_Type,xyLPD_BuildingArea,5,FALSE),xySVG_Factors_NC,3,FALSE),0)))),"")</f>
        <v/>
      </c>
      <c r="Z434" s="544" t="str">
        <f>IFERROR(IF(C434="","",IF(INDEX(xyWattage_Table,MATCH(M434,'Fixture Identities'!$B$9:$B$997,0),2)="Exit Sign",0,VLOOKUP(S434,xySVG_Factors,2,FALSE))),"")</f>
        <v/>
      </c>
      <c r="AA434" s="545" t="str">
        <f t="shared" si="153"/>
        <v/>
      </c>
      <c r="AB434" s="542" t="str">
        <f t="shared" si="154"/>
        <v/>
      </c>
      <c r="AC434" s="539" t="str">
        <f t="shared" si="155"/>
        <v/>
      </c>
      <c r="AD434" s="546" t="str">
        <f t="shared" si="156"/>
        <v/>
      </c>
      <c r="AE434" s="539" t="str">
        <f t="shared" si="157"/>
        <v/>
      </c>
      <c r="AF434" s="546" t="str">
        <f t="shared" si="158"/>
        <v/>
      </c>
      <c r="AG434" s="539" t="str">
        <f t="shared" si="159"/>
        <v/>
      </c>
      <c r="AH434" s="32">
        <f t="shared" si="161"/>
        <v>0</v>
      </c>
      <c r="AI434" s="32">
        <f t="shared" si="162"/>
        <v>0</v>
      </c>
      <c r="AJ434" s="32">
        <f t="shared" si="163"/>
        <v>0</v>
      </c>
      <c r="AK434" t="str">
        <f t="shared" si="164"/>
        <v/>
      </c>
      <c r="AL434" t="str">
        <f t="shared" si="165"/>
        <v/>
      </c>
      <c r="AM434" t="str">
        <f t="shared" si="166"/>
        <v/>
      </c>
      <c r="AO434" t="str">
        <f>IFERROR(VLOOKUP(M434,'Fixture Identities'!$B$9:$O$1045,14,FALSE),"")</f>
        <v/>
      </c>
      <c r="AP434" t="str">
        <f t="shared" si="160"/>
        <v/>
      </c>
    </row>
    <row r="435" spans="1:42">
      <c r="A435" s="71">
        <f t="shared" si="168"/>
        <v>0</v>
      </c>
      <c r="B435" s="513">
        <f t="shared" si="167"/>
        <v>423</v>
      </c>
      <c r="C435" s="530" t="str">
        <f>IF(Inventory!E432="","",Inventory!E432)</f>
        <v/>
      </c>
      <c r="D435" s="531">
        <f>IF(Inventory!D432="",0,Inventory!D432)</f>
        <v>0</v>
      </c>
      <c r="E435" s="532" t="str">
        <f>IF(Inventory!I432=0,"",Inventory!I432)</f>
        <v/>
      </c>
      <c r="F435" s="533" t="str">
        <f t="shared" si="147"/>
        <v/>
      </c>
      <c r="G435" s="534" t="str">
        <f>IF(Inventory!G432="","",Inventory!G432)</f>
        <v/>
      </c>
      <c r="H435" s="535" t="str">
        <f t="shared" si="148"/>
        <v/>
      </c>
      <c r="I435" s="536" t="str">
        <f>IF(Inventory!J432="","",Inventory!J432)</f>
        <v/>
      </c>
      <c r="J435" s="537" t="str">
        <f>IFERROR(IF(PRJ_Type="New Construction",IF(Inventory!C432="N",INDEX(xyLPD_BuildingArea,MATCH(Building_Type,Lookups!$F$37:$F$75,0),4),INDEX(xyLPD_SpaceBySpace,MATCH(INDEX(xyNCEx,MATCH(I435,yNCExArea,0),2),ySpace_by_Space_Type,0),2)),VLOOKUP(E435,xyWattage_Table,11,FALSE)),"")</f>
        <v/>
      </c>
      <c r="K435" s="538" t="str">
        <f>IFERROR(IF(AND(NC_Type="Building Area Method",Inventory!C432="N"),IF(ISERROR(INDEX('Usage Groups (&gt;120 MWh only)'!$N$8:$N$12,MATCH(C435,'Usage Groups (&gt;120 MWh only)'!$B$8:$B$12,0),1))=TRUE,SqFt/COUNTIFS(Inventory!$C$10:$C$1009,"N",$Q$13:$Q$1012,"&gt;=0"),INDEX('Usage Groups (&gt;120 MWh only)'!$N$8:$N$12,MATCH(C435,'Usage Groups (&gt;120 MWh only)'!$B$8:$B$12,0),1)/COUNTIF($C$13:$C$1012,C435)),IF(AND(NC_Type="Building Area Method",Inventory!C432="Y"),INDEX(xyNCEx,MATCH(I435,yNCExArea,0),3)/COUNTIF($I$13:$I$1012,I435),VLOOKUP(J435,xyWattage_Table,10,FALSE))),"")</f>
        <v/>
      </c>
      <c r="L435" s="539" t="str">
        <f t="shared" si="149"/>
        <v/>
      </c>
      <c r="M435" s="540">
        <f>IF(Inventory!N432="","",Inventory!N432)</f>
        <v>0</v>
      </c>
      <c r="N435" s="533" t="str">
        <f t="shared" si="150"/>
        <v/>
      </c>
      <c r="O435" s="534"/>
      <c r="P435" s="533" t="str">
        <f t="shared" si="151"/>
        <v/>
      </c>
      <c r="Q435" s="534" t="str">
        <f>IF(Inventory!L432="","",Inventory!L432)</f>
        <v/>
      </c>
      <c r="R435" s="535" t="str">
        <f t="shared" si="152"/>
        <v/>
      </c>
      <c r="S435" s="536" t="str">
        <f>IF(Inventory!O432="","",Inventory!O432)</f>
        <v/>
      </c>
      <c r="T435" s="541" t="str">
        <f>IFERROR(IF(C435="","",IF(INDEX(xyWattage_Table,MATCH(M435,'Fixture Identities'!$B$9:$B$997,0),2)="Exit Sign",8760,IF(VLOOKUP(C435,xySpace_Type_Details,8,FALSE)="TRM",INDEX('General Information'!$AF$17:$AG$28,11,MATCH(N435,'General Information'!$AF$16:$AG$16,0)),HLOOKUP(VLOOKUP(C435,xySpace_Type_Details,8,FALSE),'General Information'!$P$15:$AG$28,13,FALSE)))),"")</f>
        <v/>
      </c>
      <c r="U435" s="542" t="str">
        <f>IFERROR(IF(C435="","",IF(INDEX(xyWattage_Table,MATCH(M435,'Fixture Identities'!$B$9:$B$997,0),2)="Exit Sign",1,IF(VLOOKUP(C435,xySpace_Type_Details,8,FALSE)="TRM",INDEX('General Information'!$AF$17:$AG$28,12,MATCH(N435,'General Information'!$AF$16:$AG$16,0)),HLOOKUP(VLOOKUP(C435,xySpace_Type_Details,8,FALSE),'General Information'!$P$15:$AG$28,14,FALSE)))),"")</f>
        <v/>
      </c>
      <c r="V435" s="542" t="str">
        <f>IFERROR(VLOOKUP(INDEX(xySpace_Type_Details,MATCH($C435,'General Information'!$C$40:$C$60,0),12),Lookups!$L$8:$N$12,2,FALSE),"")</f>
        <v/>
      </c>
      <c r="W435" s="542" t="str">
        <f>IFERROR(VLOOKUP(INDEX(xySpace_Type_Details,MATCH($C435,'General Information'!$C$40:$C$60,0),12),Lookups!$L$8:$N$12,3,FALSE),"")</f>
        <v/>
      </c>
      <c r="Y435" s="542" t="str">
        <f>IFERROR(IF(C435="","",IF(INDEX(xyWattage_Table,MATCH(M435,'Fixture Identities'!$B$9:$B$997,0),2)="Exit Sign",0,IF(PRJ_Type="Retrofit",VLOOKUP(I435,xySVG_Factors,2,FALSE),IF(AND(PRJ_Type="New Construction",Inventory!C432="N"),VLOOKUP(VLOOKUP(Building_Type,xyLPD_BuildingArea,5,FALSE),xySVG_Factors_NC,3,FALSE),0)))),"")</f>
        <v/>
      </c>
      <c r="Z435" s="544" t="str">
        <f>IFERROR(IF(C435="","",IF(INDEX(xyWattage_Table,MATCH(M435,'Fixture Identities'!$B$9:$B$997,0),2)="Exit Sign",0,VLOOKUP(S435,xySVG_Factors,2,FALSE))),"")</f>
        <v/>
      </c>
      <c r="AA435" s="545" t="str">
        <f t="shared" si="153"/>
        <v/>
      </c>
      <c r="AB435" s="542" t="str">
        <f t="shared" si="154"/>
        <v/>
      </c>
      <c r="AC435" s="539" t="str">
        <f t="shared" si="155"/>
        <v/>
      </c>
      <c r="AD435" s="546" t="str">
        <f t="shared" si="156"/>
        <v/>
      </c>
      <c r="AE435" s="539" t="str">
        <f t="shared" si="157"/>
        <v/>
      </c>
      <c r="AF435" s="546" t="str">
        <f t="shared" si="158"/>
        <v/>
      </c>
      <c r="AG435" s="539" t="str">
        <f t="shared" si="159"/>
        <v/>
      </c>
      <c r="AH435" s="32">
        <f t="shared" si="161"/>
        <v>0</v>
      </c>
      <c r="AI435" s="32">
        <f t="shared" si="162"/>
        <v>0</v>
      </c>
      <c r="AJ435" s="32">
        <f t="shared" si="163"/>
        <v>0</v>
      </c>
      <c r="AK435" t="str">
        <f t="shared" si="164"/>
        <v/>
      </c>
      <c r="AL435" t="str">
        <f t="shared" si="165"/>
        <v/>
      </c>
      <c r="AM435" t="str">
        <f t="shared" si="166"/>
        <v/>
      </c>
      <c r="AO435" t="str">
        <f>IFERROR(VLOOKUP(M435,'Fixture Identities'!$B$9:$O$1045,14,FALSE),"")</f>
        <v/>
      </c>
      <c r="AP435" t="str">
        <f t="shared" si="160"/>
        <v/>
      </c>
    </row>
    <row r="436" spans="1:42">
      <c r="A436" s="71">
        <f t="shared" si="168"/>
        <v>0</v>
      </c>
      <c r="B436" s="513">
        <f t="shared" si="167"/>
        <v>424</v>
      </c>
      <c r="C436" s="530" t="str">
        <f>IF(Inventory!E433="","",Inventory!E433)</f>
        <v/>
      </c>
      <c r="D436" s="531">
        <f>IF(Inventory!D433="",0,Inventory!D433)</f>
        <v>0</v>
      </c>
      <c r="E436" s="532" t="str">
        <f>IF(Inventory!I433=0,"",Inventory!I433)</f>
        <v/>
      </c>
      <c r="F436" s="533" t="str">
        <f t="shared" si="147"/>
        <v/>
      </c>
      <c r="G436" s="534" t="str">
        <f>IF(Inventory!G433="","",Inventory!G433)</f>
        <v/>
      </c>
      <c r="H436" s="535" t="str">
        <f t="shared" si="148"/>
        <v/>
      </c>
      <c r="I436" s="536" t="str">
        <f>IF(Inventory!J433="","",Inventory!J433)</f>
        <v/>
      </c>
      <c r="J436" s="537" t="str">
        <f>IFERROR(IF(PRJ_Type="New Construction",IF(Inventory!C433="N",INDEX(xyLPD_BuildingArea,MATCH(Building_Type,Lookups!$F$37:$F$75,0),4),INDEX(xyLPD_SpaceBySpace,MATCH(INDEX(xyNCEx,MATCH(I436,yNCExArea,0),2),ySpace_by_Space_Type,0),2)),VLOOKUP(E436,xyWattage_Table,11,FALSE)),"")</f>
        <v/>
      </c>
      <c r="K436" s="538" t="str">
        <f>IFERROR(IF(AND(NC_Type="Building Area Method",Inventory!C433="N"),IF(ISERROR(INDEX('Usage Groups (&gt;120 MWh only)'!$N$8:$N$12,MATCH(C436,'Usage Groups (&gt;120 MWh only)'!$B$8:$B$12,0),1))=TRUE,SqFt/COUNTIFS(Inventory!$C$10:$C$1009,"N",$Q$13:$Q$1012,"&gt;=0"),INDEX('Usage Groups (&gt;120 MWh only)'!$N$8:$N$12,MATCH(C436,'Usage Groups (&gt;120 MWh only)'!$B$8:$B$12,0),1)/COUNTIF($C$13:$C$1012,C436)),IF(AND(NC_Type="Building Area Method",Inventory!C433="Y"),INDEX(xyNCEx,MATCH(I436,yNCExArea,0),3)/COUNTIF($I$13:$I$1012,I436),VLOOKUP(J436,xyWattage_Table,10,FALSE))),"")</f>
        <v/>
      </c>
      <c r="L436" s="539" t="str">
        <f t="shared" si="149"/>
        <v/>
      </c>
      <c r="M436" s="540">
        <f>IF(Inventory!N433="","",Inventory!N433)</f>
        <v>0</v>
      </c>
      <c r="N436" s="533" t="str">
        <f t="shared" si="150"/>
        <v/>
      </c>
      <c r="O436" s="534"/>
      <c r="P436" s="533" t="str">
        <f t="shared" si="151"/>
        <v/>
      </c>
      <c r="Q436" s="534" t="str">
        <f>IF(Inventory!L433="","",Inventory!L433)</f>
        <v/>
      </c>
      <c r="R436" s="535" t="str">
        <f t="shared" si="152"/>
        <v/>
      </c>
      <c r="S436" s="536" t="str">
        <f>IF(Inventory!O433="","",Inventory!O433)</f>
        <v/>
      </c>
      <c r="T436" s="541" t="str">
        <f>IFERROR(IF(C436="","",IF(INDEX(xyWattage_Table,MATCH(M436,'Fixture Identities'!$B$9:$B$997,0),2)="Exit Sign",8760,IF(VLOOKUP(C436,xySpace_Type_Details,8,FALSE)="TRM",INDEX('General Information'!$AF$17:$AG$28,11,MATCH(N436,'General Information'!$AF$16:$AG$16,0)),HLOOKUP(VLOOKUP(C436,xySpace_Type_Details,8,FALSE),'General Information'!$P$15:$AG$28,13,FALSE)))),"")</f>
        <v/>
      </c>
      <c r="U436" s="542" t="str">
        <f>IFERROR(IF(C436="","",IF(INDEX(xyWattage_Table,MATCH(M436,'Fixture Identities'!$B$9:$B$997,0),2)="Exit Sign",1,IF(VLOOKUP(C436,xySpace_Type_Details,8,FALSE)="TRM",INDEX('General Information'!$AF$17:$AG$28,12,MATCH(N436,'General Information'!$AF$16:$AG$16,0)),HLOOKUP(VLOOKUP(C436,xySpace_Type_Details,8,FALSE),'General Information'!$P$15:$AG$28,14,FALSE)))),"")</f>
        <v/>
      </c>
      <c r="V436" s="542" t="str">
        <f>IFERROR(VLOOKUP(INDEX(xySpace_Type_Details,MATCH($C436,'General Information'!$C$40:$C$60,0),12),Lookups!$L$8:$N$12,2,FALSE),"")</f>
        <v/>
      </c>
      <c r="W436" s="542" t="str">
        <f>IFERROR(VLOOKUP(INDEX(xySpace_Type_Details,MATCH($C436,'General Information'!$C$40:$C$60,0),12),Lookups!$L$8:$N$12,3,FALSE),"")</f>
        <v/>
      </c>
      <c r="Y436" s="542" t="str">
        <f>IFERROR(IF(C436="","",IF(INDEX(xyWattage_Table,MATCH(M436,'Fixture Identities'!$B$9:$B$997,0),2)="Exit Sign",0,IF(PRJ_Type="Retrofit",VLOOKUP(I436,xySVG_Factors,2,FALSE),IF(AND(PRJ_Type="New Construction",Inventory!C433="N"),VLOOKUP(VLOOKUP(Building_Type,xyLPD_BuildingArea,5,FALSE),xySVG_Factors_NC,3,FALSE),0)))),"")</f>
        <v/>
      </c>
      <c r="Z436" s="544" t="str">
        <f>IFERROR(IF(C436="","",IF(INDEX(xyWattage_Table,MATCH(M436,'Fixture Identities'!$B$9:$B$997,0),2)="Exit Sign",0,VLOOKUP(S436,xySVG_Factors,2,FALSE))),"")</f>
        <v/>
      </c>
      <c r="AA436" s="545" t="str">
        <f t="shared" si="153"/>
        <v/>
      </c>
      <c r="AB436" s="542" t="str">
        <f t="shared" si="154"/>
        <v/>
      </c>
      <c r="AC436" s="539" t="str">
        <f t="shared" si="155"/>
        <v/>
      </c>
      <c r="AD436" s="546" t="str">
        <f t="shared" si="156"/>
        <v/>
      </c>
      <c r="AE436" s="539" t="str">
        <f t="shared" si="157"/>
        <v/>
      </c>
      <c r="AF436" s="546" t="str">
        <f t="shared" si="158"/>
        <v/>
      </c>
      <c r="AG436" s="539" t="str">
        <f t="shared" si="159"/>
        <v/>
      </c>
      <c r="AH436" s="32">
        <f t="shared" si="161"/>
        <v>0</v>
      </c>
      <c r="AI436" s="32">
        <f t="shared" si="162"/>
        <v>0</v>
      </c>
      <c r="AJ436" s="32">
        <f t="shared" si="163"/>
        <v>0</v>
      </c>
      <c r="AK436" t="str">
        <f t="shared" si="164"/>
        <v/>
      </c>
      <c r="AL436" t="str">
        <f t="shared" si="165"/>
        <v/>
      </c>
      <c r="AM436" t="str">
        <f t="shared" si="166"/>
        <v/>
      </c>
      <c r="AO436" t="str">
        <f>IFERROR(VLOOKUP(M436,'Fixture Identities'!$B$9:$O$1045,14,FALSE),"")</f>
        <v/>
      </c>
      <c r="AP436" t="str">
        <f t="shared" si="160"/>
        <v/>
      </c>
    </row>
    <row r="437" spans="1:42">
      <c r="A437" s="71">
        <f t="shared" si="168"/>
        <v>0</v>
      </c>
      <c r="B437" s="513">
        <f t="shared" si="167"/>
        <v>425</v>
      </c>
      <c r="C437" s="530" t="str">
        <f>IF(Inventory!E434="","",Inventory!E434)</f>
        <v/>
      </c>
      <c r="D437" s="531">
        <f>IF(Inventory!D434="",0,Inventory!D434)</f>
        <v>0</v>
      </c>
      <c r="E437" s="532" t="str">
        <f>IF(Inventory!I434=0,"",Inventory!I434)</f>
        <v/>
      </c>
      <c r="F437" s="533" t="str">
        <f t="shared" si="147"/>
        <v/>
      </c>
      <c r="G437" s="534" t="str">
        <f>IF(Inventory!G434="","",Inventory!G434)</f>
        <v/>
      </c>
      <c r="H437" s="535" t="str">
        <f t="shared" si="148"/>
        <v/>
      </c>
      <c r="I437" s="536" t="str">
        <f>IF(Inventory!J434="","",Inventory!J434)</f>
        <v/>
      </c>
      <c r="J437" s="537" t="str">
        <f>IFERROR(IF(PRJ_Type="New Construction",IF(Inventory!C434="N",INDEX(xyLPD_BuildingArea,MATCH(Building_Type,Lookups!$F$37:$F$75,0),4),INDEX(xyLPD_SpaceBySpace,MATCH(INDEX(xyNCEx,MATCH(I437,yNCExArea,0),2),ySpace_by_Space_Type,0),2)),VLOOKUP(E437,xyWattage_Table,11,FALSE)),"")</f>
        <v/>
      </c>
      <c r="K437" s="538" t="str">
        <f>IFERROR(IF(AND(NC_Type="Building Area Method",Inventory!C434="N"),IF(ISERROR(INDEX('Usage Groups (&gt;120 MWh only)'!$N$8:$N$12,MATCH(C437,'Usage Groups (&gt;120 MWh only)'!$B$8:$B$12,0),1))=TRUE,SqFt/COUNTIFS(Inventory!$C$10:$C$1009,"N",$Q$13:$Q$1012,"&gt;=0"),INDEX('Usage Groups (&gt;120 MWh only)'!$N$8:$N$12,MATCH(C437,'Usage Groups (&gt;120 MWh only)'!$B$8:$B$12,0),1)/COUNTIF($C$13:$C$1012,C437)),IF(AND(NC_Type="Building Area Method",Inventory!C434="Y"),INDEX(xyNCEx,MATCH(I437,yNCExArea,0),3)/COUNTIF($I$13:$I$1012,I437),VLOOKUP(J437,xyWattage_Table,10,FALSE))),"")</f>
        <v/>
      </c>
      <c r="L437" s="539" t="str">
        <f t="shared" si="149"/>
        <v/>
      </c>
      <c r="M437" s="540">
        <f>IF(Inventory!N434="","",Inventory!N434)</f>
        <v>0</v>
      </c>
      <c r="N437" s="533" t="str">
        <f t="shared" si="150"/>
        <v/>
      </c>
      <c r="O437" s="534"/>
      <c r="P437" s="533" t="str">
        <f t="shared" si="151"/>
        <v/>
      </c>
      <c r="Q437" s="534" t="str">
        <f>IF(Inventory!L434="","",Inventory!L434)</f>
        <v/>
      </c>
      <c r="R437" s="535" t="str">
        <f t="shared" si="152"/>
        <v/>
      </c>
      <c r="S437" s="536" t="str">
        <f>IF(Inventory!O434="","",Inventory!O434)</f>
        <v/>
      </c>
      <c r="T437" s="541" t="str">
        <f>IFERROR(IF(C437="","",IF(INDEX(xyWattage_Table,MATCH(M437,'Fixture Identities'!$B$9:$B$997,0),2)="Exit Sign",8760,IF(VLOOKUP(C437,xySpace_Type_Details,8,FALSE)="TRM",INDEX('General Information'!$AF$17:$AG$28,11,MATCH(N437,'General Information'!$AF$16:$AG$16,0)),HLOOKUP(VLOOKUP(C437,xySpace_Type_Details,8,FALSE),'General Information'!$P$15:$AG$28,13,FALSE)))),"")</f>
        <v/>
      </c>
      <c r="U437" s="542" t="str">
        <f>IFERROR(IF(C437="","",IF(INDEX(xyWattage_Table,MATCH(M437,'Fixture Identities'!$B$9:$B$997,0),2)="Exit Sign",1,IF(VLOOKUP(C437,xySpace_Type_Details,8,FALSE)="TRM",INDEX('General Information'!$AF$17:$AG$28,12,MATCH(N437,'General Information'!$AF$16:$AG$16,0)),HLOOKUP(VLOOKUP(C437,xySpace_Type_Details,8,FALSE),'General Information'!$P$15:$AG$28,14,FALSE)))),"")</f>
        <v/>
      </c>
      <c r="V437" s="542" t="str">
        <f>IFERROR(VLOOKUP(INDEX(xySpace_Type_Details,MATCH($C437,'General Information'!$C$40:$C$60,0),12),Lookups!$L$8:$N$12,2,FALSE),"")</f>
        <v/>
      </c>
      <c r="W437" s="542" t="str">
        <f>IFERROR(VLOOKUP(INDEX(xySpace_Type_Details,MATCH($C437,'General Information'!$C$40:$C$60,0),12),Lookups!$L$8:$N$12,3,FALSE),"")</f>
        <v/>
      </c>
      <c r="Y437" s="542" t="str">
        <f>IFERROR(IF(C437="","",IF(INDEX(xyWattage_Table,MATCH(M437,'Fixture Identities'!$B$9:$B$997,0),2)="Exit Sign",0,IF(PRJ_Type="Retrofit",VLOOKUP(I437,xySVG_Factors,2,FALSE),IF(AND(PRJ_Type="New Construction",Inventory!C434="N"),VLOOKUP(VLOOKUP(Building_Type,xyLPD_BuildingArea,5,FALSE),xySVG_Factors_NC,3,FALSE),0)))),"")</f>
        <v/>
      </c>
      <c r="Z437" s="544" t="str">
        <f>IFERROR(IF(C437="","",IF(INDEX(xyWattage_Table,MATCH(M437,'Fixture Identities'!$B$9:$B$997,0),2)="Exit Sign",0,VLOOKUP(S437,xySVG_Factors,2,FALSE))),"")</f>
        <v/>
      </c>
      <c r="AA437" s="545" t="str">
        <f t="shared" si="153"/>
        <v/>
      </c>
      <c r="AB437" s="542" t="str">
        <f t="shared" si="154"/>
        <v/>
      </c>
      <c r="AC437" s="539" t="str">
        <f t="shared" si="155"/>
        <v/>
      </c>
      <c r="AD437" s="546" t="str">
        <f t="shared" si="156"/>
        <v/>
      </c>
      <c r="AE437" s="539" t="str">
        <f t="shared" si="157"/>
        <v/>
      </c>
      <c r="AF437" s="546" t="str">
        <f t="shared" si="158"/>
        <v/>
      </c>
      <c r="AG437" s="539" t="str">
        <f t="shared" si="159"/>
        <v/>
      </c>
      <c r="AH437" s="32">
        <f t="shared" si="161"/>
        <v>0</v>
      </c>
      <c r="AI437" s="32">
        <f t="shared" si="162"/>
        <v>0</v>
      </c>
      <c r="AJ437" s="32">
        <f t="shared" si="163"/>
        <v>0</v>
      </c>
      <c r="AK437" t="str">
        <f t="shared" si="164"/>
        <v/>
      </c>
      <c r="AL437" t="str">
        <f t="shared" si="165"/>
        <v/>
      </c>
      <c r="AM437" t="str">
        <f t="shared" si="166"/>
        <v/>
      </c>
      <c r="AO437" t="str">
        <f>IFERROR(VLOOKUP(M437,'Fixture Identities'!$B$9:$O$1045,14,FALSE),"")</f>
        <v/>
      </c>
      <c r="AP437" t="str">
        <f t="shared" si="160"/>
        <v/>
      </c>
    </row>
    <row r="438" spans="1:42">
      <c r="A438" s="71">
        <f t="shared" si="168"/>
        <v>0</v>
      </c>
      <c r="B438" s="513">
        <f t="shared" si="167"/>
        <v>426</v>
      </c>
      <c r="C438" s="530" t="str">
        <f>IF(Inventory!E435="","",Inventory!E435)</f>
        <v/>
      </c>
      <c r="D438" s="531">
        <f>IF(Inventory!D435="",0,Inventory!D435)</f>
        <v>0</v>
      </c>
      <c r="E438" s="532" t="str">
        <f>IF(Inventory!I435=0,"",Inventory!I435)</f>
        <v/>
      </c>
      <c r="F438" s="533" t="str">
        <f t="shared" si="147"/>
        <v/>
      </c>
      <c r="G438" s="534" t="str">
        <f>IF(Inventory!G435="","",Inventory!G435)</f>
        <v/>
      </c>
      <c r="H438" s="535" t="str">
        <f t="shared" si="148"/>
        <v/>
      </c>
      <c r="I438" s="536" t="str">
        <f>IF(Inventory!J435="","",Inventory!J435)</f>
        <v/>
      </c>
      <c r="J438" s="537" t="str">
        <f>IFERROR(IF(PRJ_Type="New Construction",IF(Inventory!C435="N",INDEX(xyLPD_BuildingArea,MATCH(Building_Type,Lookups!$F$37:$F$75,0),4),INDEX(xyLPD_SpaceBySpace,MATCH(INDEX(xyNCEx,MATCH(I438,yNCExArea,0),2),ySpace_by_Space_Type,0),2)),VLOOKUP(E438,xyWattage_Table,11,FALSE)),"")</f>
        <v/>
      </c>
      <c r="K438" s="538" t="str">
        <f>IFERROR(IF(AND(NC_Type="Building Area Method",Inventory!C435="N"),IF(ISERROR(INDEX('Usage Groups (&gt;120 MWh only)'!$N$8:$N$12,MATCH(C438,'Usage Groups (&gt;120 MWh only)'!$B$8:$B$12,0),1))=TRUE,SqFt/COUNTIFS(Inventory!$C$10:$C$1009,"N",$Q$13:$Q$1012,"&gt;=0"),INDEX('Usage Groups (&gt;120 MWh only)'!$N$8:$N$12,MATCH(C438,'Usage Groups (&gt;120 MWh only)'!$B$8:$B$12,0),1)/COUNTIF($C$13:$C$1012,C438)),IF(AND(NC_Type="Building Area Method",Inventory!C435="Y"),INDEX(xyNCEx,MATCH(I438,yNCExArea,0),3)/COUNTIF($I$13:$I$1012,I438),VLOOKUP(J438,xyWattage_Table,10,FALSE))),"")</f>
        <v/>
      </c>
      <c r="L438" s="539" t="str">
        <f t="shared" si="149"/>
        <v/>
      </c>
      <c r="M438" s="540">
        <f>IF(Inventory!N435="","",Inventory!N435)</f>
        <v>0</v>
      </c>
      <c r="N438" s="533" t="str">
        <f t="shared" si="150"/>
        <v/>
      </c>
      <c r="O438" s="534"/>
      <c r="P438" s="533" t="str">
        <f t="shared" si="151"/>
        <v/>
      </c>
      <c r="Q438" s="534" t="str">
        <f>IF(Inventory!L435="","",Inventory!L435)</f>
        <v/>
      </c>
      <c r="R438" s="535" t="str">
        <f t="shared" si="152"/>
        <v/>
      </c>
      <c r="S438" s="536" t="str">
        <f>IF(Inventory!O435="","",Inventory!O435)</f>
        <v/>
      </c>
      <c r="T438" s="541" t="str">
        <f>IFERROR(IF(C438="","",IF(INDEX(xyWattage_Table,MATCH(M438,'Fixture Identities'!$B$9:$B$997,0),2)="Exit Sign",8760,IF(VLOOKUP(C438,xySpace_Type_Details,8,FALSE)="TRM",INDEX('General Information'!$AF$17:$AG$28,11,MATCH(N438,'General Information'!$AF$16:$AG$16,0)),HLOOKUP(VLOOKUP(C438,xySpace_Type_Details,8,FALSE),'General Information'!$P$15:$AG$28,13,FALSE)))),"")</f>
        <v/>
      </c>
      <c r="U438" s="542" t="str">
        <f>IFERROR(IF(C438="","",IF(INDEX(xyWattage_Table,MATCH(M438,'Fixture Identities'!$B$9:$B$997,0),2)="Exit Sign",1,IF(VLOOKUP(C438,xySpace_Type_Details,8,FALSE)="TRM",INDEX('General Information'!$AF$17:$AG$28,12,MATCH(N438,'General Information'!$AF$16:$AG$16,0)),HLOOKUP(VLOOKUP(C438,xySpace_Type_Details,8,FALSE),'General Information'!$P$15:$AG$28,14,FALSE)))),"")</f>
        <v/>
      </c>
      <c r="V438" s="542" t="str">
        <f>IFERROR(VLOOKUP(INDEX(xySpace_Type_Details,MATCH($C438,'General Information'!$C$40:$C$60,0),12),Lookups!$L$8:$N$12,2,FALSE),"")</f>
        <v/>
      </c>
      <c r="W438" s="542" t="str">
        <f>IFERROR(VLOOKUP(INDEX(xySpace_Type_Details,MATCH($C438,'General Information'!$C$40:$C$60,0),12),Lookups!$L$8:$N$12,3,FALSE),"")</f>
        <v/>
      </c>
      <c r="Y438" s="542" t="str">
        <f>IFERROR(IF(C438="","",IF(INDEX(xyWattage_Table,MATCH(M438,'Fixture Identities'!$B$9:$B$997,0),2)="Exit Sign",0,IF(PRJ_Type="Retrofit",VLOOKUP(I438,xySVG_Factors,2,FALSE),IF(AND(PRJ_Type="New Construction",Inventory!C435="N"),VLOOKUP(VLOOKUP(Building_Type,xyLPD_BuildingArea,5,FALSE),xySVG_Factors_NC,3,FALSE),0)))),"")</f>
        <v/>
      </c>
      <c r="Z438" s="544" t="str">
        <f>IFERROR(IF(C438="","",IF(INDEX(xyWattage_Table,MATCH(M438,'Fixture Identities'!$B$9:$B$997,0),2)="Exit Sign",0,VLOOKUP(S438,xySVG_Factors,2,FALSE))),"")</f>
        <v/>
      </c>
      <c r="AA438" s="545" t="str">
        <f t="shared" si="153"/>
        <v/>
      </c>
      <c r="AB438" s="542" t="str">
        <f t="shared" si="154"/>
        <v/>
      </c>
      <c r="AC438" s="539" t="str">
        <f t="shared" si="155"/>
        <v/>
      </c>
      <c r="AD438" s="546" t="str">
        <f t="shared" si="156"/>
        <v/>
      </c>
      <c r="AE438" s="539" t="str">
        <f t="shared" si="157"/>
        <v/>
      </c>
      <c r="AF438" s="546" t="str">
        <f t="shared" si="158"/>
        <v/>
      </c>
      <c r="AG438" s="539" t="str">
        <f t="shared" si="159"/>
        <v/>
      </c>
      <c r="AH438" s="32">
        <f t="shared" si="161"/>
        <v>0</v>
      </c>
      <c r="AI438" s="32">
        <f t="shared" si="162"/>
        <v>0</v>
      </c>
      <c r="AJ438" s="32">
        <f t="shared" si="163"/>
        <v>0</v>
      </c>
      <c r="AK438" t="str">
        <f t="shared" si="164"/>
        <v/>
      </c>
      <c r="AL438" t="str">
        <f t="shared" si="165"/>
        <v/>
      </c>
      <c r="AM438" t="str">
        <f t="shared" si="166"/>
        <v/>
      </c>
      <c r="AO438" t="str">
        <f>IFERROR(VLOOKUP(M438,'Fixture Identities'!$B$9:$O$1045,14,FALSE),"")</f>
        <v/>
      </c>
      <c r="AP438" t="str">
        <f t="shared" si="160"/>
        <v/>
      </c>
    </row>
    <row r="439" spans="1:42">
      <c r="A439" s="71">
        <f t="shared" si="168"/>
        <v>0</v>
      </c>
      <c r="B439" s="513">
        <f t="shared" si="167"/>
        <v>427</v>
      </c>
      <c r="C439" s="530" t="str">
        <f>IF(Inventory!E436="","",Inventory!E436)</f>
        <v/>
      </c>
      <c r="D439" s="531">
        <f>IF(Inventory!D436="",0,Inventory!D436)</f>
        <v>0</v>
      </c>
      <c r="E439" s="532" t="str">
        <f>IF(Inventory!I436=0,"",Inventory!I436)</f>
        <v/>
      </c>
      <c r="F439" s="533" t="str">
        <f t="shared" si="147"/>
        <v/>
      </c>
      <c r="G439" s="534" t="str">
        <f>IF(Inventory!G436="","",Inventory!G436)</f>
        <v/>
      </c>
      <c r="H439" s="535" t="str">
        <f t="shared" si="148"/>
        <v/>
      </c>
      <c r="I439" s="536" t="str">
        <f>IF(Inventory!J436="","",Inventory!J436)</f>
        <v/>
      </c>
      <c r="J439" s="537" t="str">
        <f>IFERROR(IF(PRJ_Type="New Construction",IF(Inventory!C436="N",INDEX(xyLPD_BuildingArea,MATCH(Building_Type,Lookups!$F$37:$F$75,0),4),INDEX(xyLPD_SpaceBySpace,MATCH(INDEX(xyNCEx,MATCH(I439,yNCExArea,0),2),ySpace_by_Space_Type,0),2)),VLOOKUP(E439,xyWattage_Table,11,FALSE)),"")</f>
        <v/>
      </c>
      <c r="K439" s="538" t="str">
        <f>IFERROR(IF(AND(NC_Type="Building Area Method",Inventory!C436="N"),IF(ISERROR(INDEX('Usage Groups (&gt;120 MWh only)'!$N$8:$N$12,MATCH(C439,'Usage Groups (&gt;120 MWh only)'!$B$8:$B$12,0),1))=TRUE,SqFt/COUNTIFS(Inventory!$C$10:$C$1009,"N",$Q$13:$Q$1012,"&gt;=0"),INDEX('Usage Groups (&gt;120 MWh only)'!$N$8:$N$12,MATCH(C439,'Usage Groups (&gt;120 MWh only)'!$B$8:$B$12,0),1)/COUNTIF($C$13:$C$1012,C439)),IF(AND(NC_Type="Building Area Method",Inventory!C436="Y"),INDEX(xyNCEx,MATCH(I439,yNCExArea,0),3)/COUNTIF($I$13:$I$1012,I439),VLOOKUP(J439,xyWattage_Table,10,FALSE))),"")</f>
        <v/>
      </c>
      <c r="L439" s="539" t="str">
        <f t="shared" si="149"/>
        <v/>
      </c>
      <c r="M439" s="540">
        <f>IF(Inventory!N436="","",Inventory!N436)</f>
        <v>0</v>
      </c>
      <c r="N439" s="533" t="str">
        <f t="shared" si="150"/>
        <v/>
      </c>
      <c r="O439" s="534"/>
      <c r="P439" s="533" t="str">
        <f t="shared" si="151"/>
        <v/>
      </c>
      <c r="Q439" s="534" t="str">
        <f>IF(Inventory!L436="","",Inventory!L436)</f>
        <v/>
      </c>
      <c r="R439" s="535" t="str">
        <f t="shared" si="152"/>
        <v/>
      </c>
      <c r="S439" s="536" t="str">
        <f>IF(Inventory!O436="","",Inventory!O436)</f>
        <v/>
      </c>
      <c r="T439" s="541" t="str">
        <f>IFERROR(IF(C439="","",IF(INDEX(xyWattage_Table,MATCH(M439,'Fixture Identities'!$B$9:$B$997,0),2)="Exit Sign",8760,IF(VLOOKUP(C439,xySpace_Type_Details,8,FALSE)="TRM",INDEX('General Information'!$AF$17:$AG$28,11,MATCH(N439,'General Information'!$AF$16:$AG$16,0)),HLOOKUP(VLOOKUP(C439,xySpace_Type_Details,8,FALSE),'General Information'!$P$15:$AG$28,13,FALSE)))),"")</f>
        <v/>
      </c>
      <c r="U439" s="542" t="str">
        <f>IFERROR(IF(C439="","",IF(INDEX(xyWattage_Table,MATCH(M439,'Fixture Identities'!$B$9:$B$997,0),2)="Exit Sign",1,IF(VLOOKUP(C439,xySpace_Type_Details,8,FALSE)="TRM",INDEX('General Information'!$AF$17:$AG$28,12,MATCH(N439,'General Information'!$AF$16:$AG$16,0)),HLOOKUP(VLOOKUP(C439,xySpace_Type_Details,8,FALSE),'General Information'!$P$15:$AG$28,14,FALSE)))),"")</f>
        <v/>
      </c>
      <c r="V439" s="542" t="str">
        <f>IFERROR(VLOOKUP(INDEX(xySpace_Type_Details,MATCH($C439,'General Information'!$C$40:$C$60,0),12),Lookups!$L$8:$N$12,2,FALSE),"")</f>
        <v/>
      </c>
      <c r="W439" s="542" t="str">
        <f>IFERROR(VLOOKUP(INDEX(xySpace_Type_Details,MATCH($C439,'General Information'!$C$40:$C$60,0),12),Lookups!$L$8:$N$12,3,FALSE),"")</f>
        <v/>
      </c>
      <c r="Y439" s="542" t="str">
        <f>IFERROR(IF(C439="","",IF(INDEX(xyWattage_Table,MATCH(M439,'Fixture Identities'!$B$9:$B$997,0),2)="Exit Sign",0,IF(PRJ_Type="Retrofit",VLOOKUP(I439,xySVG_Factors,2,FALSE),IF(AND(PRJ_Type="New Construction",Inventory!C436="N"),VLOOKUP(VLOOKUP(Building_Type,xyLPD_BuildingArea,5,FALSE),xySVG_Factors_NC,3,FALSE),0)))),"")</f>
        <v/>
      </c>
      <c r="Z439" s="544" t="str">
        <f>IFERROR(IF(C439="","",IF(INDEX(xyWattage_Table,MATCH(M439,'Fixture Identities'!$B$9:$B$997,0),2)="Exit Sign",0,VLOOKUP(S439,xySVG_Factors,2,FALSE))),"")</f>
        <v/>
      </c>
      <c r="AA439" s="545" t="str">
        <f t="shared" si="153"/>
        <v/>
      </c>
      <c r="AB439" s="542" t="str">
        <f t="shared" si="154"/>
        <v/>
      </c>
      <c r="AC439" s="539" t="str">
        <f t="shared" si="155"/>
        <v/>
      </c>
      <c r="AD439" s="546" t="str">
        <f t="shared" si="156"/>
        <v/>
      </c>
      <c r="AE439" s="539" t="str">
        <f t="shared" si="157"/>
        <v/>
      </c>
      <c r="AF439" s="546" t="str">
        <f t="shared" si="158"/>
        <v/>
      </c>
      <c r="AG439" s="539" t="str">
        <f t="shared" si="159"/>
        <v/>
      </c>
      <c r="AH439" s="32">
        <f t="shared" si="161"/>
        <v>0</v>
      </c>
      <c r="AI439" s="32">
        <f t="shared" si="162"/>
        <v>0</v>
      </c>
      <c r="AJ439" s="32">
        <f t="shared" si="163"/>
        <v>0</v>
      </c>
      <c r="AK439" t="str">
        <f t="shared" si="164"/>
        <v/>
      </c>
      <c r="AL439" t="str">
        <f t="shared" si="165"/>
        <v/>
      </c>
      <c r="AM439" t="str">
        <f t="shared" si="166"/>
        <v/>
      </c>
      <c r="AO439" t="str">
        <f>IFERROR(VLOOKUP(M439,'Fixture Identities'!$B$9:$O$1045,14,FALSE),"")</f>
        <v/>
      </c>
      <c r="AP439" t="str">
        <f t="shared" si="160"/>
        <v/>
      </c>
    </row>
    <row r="440" spans="1:42">
      <c r="A440" s="71">
        <f t="shared" si="168"/>
        <v>0</v>
      </c>
      <c r="B440" s="513">
        <f t="shared" si="167"/>
        <v>428</v>
      </c>
      <c r="C440" s="530" t="str">
        <f>IF(Inventory!E437="","",Inventory!E437)</f>
        <v/>
      </c>
      <c r="D440" s="531">
        <f>IF(Inventory!D437="",0,Inventory!D437)</f>
        <v>0</v>
      </c>
      <c r="E440" s="532" t="str">
        <f>IF(Inventory!I437=0,"",Inventory!I437)</f>
        <v/>
      </c>
      <c r="F440" s="533" t="str">
        <f t="shared" si="147"/>
        <v/>
      </c>
      <c r="G440" s="534" t="str">
        <f>IF(Inventory!G437="","",Inventory!G437)</f>
        <v/>
      </c>
      <c r="H440" s="535" t="str">
        <f t="shared" si="148"/>
        <v/>
      </c>
      <c r="I440" s="536" t="str">
        <f>IF(Inventory!J437="","",Inventory!J437)</f>
        <v/>
      </c>
      <c r="J440" s="537" t="str">
        <f>IFERROR(IF(PRJ_Type="New Construction",IF(Inventory!C437="N",INDEX(xyLPD_BuildingArea,MATCH(Building_Type,Lookups!$F$37:$F$75,0),4),INDEX(xyLPD_SpaceBySpace,MATCH(INDEX(xyNCEx,MATCH(I440,yNCExArea,0),2),ySpace_by_Space_Type,0),2)),VLOOKUP(E440,xyWattage_Table,11,FALSE)),"")</f>
        <v/>
      </c>
      <c r="K440" s="538" t="str">
        <f>IFERROR(IF(AND(NC_Type="Building Area Method",Inventory!C437="N"),IF(ISERROR(INDEX('Usage Groups (&gt;120 MWh only)'!$N$8:$N$12,MATCH(C440,'Usage Groups (&gt;120 MWh only)'!$B$8:$B$12,0),1))=TRUE,SqFt/COUNTIFS(Inventory!$C$10:$C$1009,"N",$Q$13:$Q$1012,"&gt;=0"),INDEX('Usage Groups (&gt;120 MWh only)'!$N$8:$N$12,MATCH(C440,'Usage Groups (&gt;120 MWh only)'!$B$8:$B$12,0),1)/COUNTIF($C$13:$C$1012,C440)),IF(AND(NC_Type="Building Area Method",Inventory!C437="Y"),INDEX(xyNCEx,MATCH(I440,yNCExArea,0),3)/COUNTIF($I$13:$I$1012,I440),VLOOKUP(J440,xyWattage_Table,10,FALSE))),"")</f>
        <v/>
      </c>
      <c r="L440" s="539" t="str">
        <f t="shared" si="149"/>
        <v/>
      </c>
      <c r="M440" s="540">
        <f>IF(Inventory!N437="","",Inventory!N437)</f>
        <v>0</v>
      </c>
      <c r="N440" s="533" t="str">
        <f t="shared" si="150"/>
        <v/>
      </c>
      <c r="O440" s="534"/>
      <c r="P440" s="533" t="str">
        <f t="shared" si="151"/>
        <v/>
      </c>
      <c r="Q440" s="534" t="str">
        <f>IF(Inventory!L437="","",Inventory!L437)</f>
        <v/>
      </c>
      <c r="R440" s="535" t="str">
        <f t="shared" si="152"/>
        <v/>
      </c>
      <c r="S440" s="536" t="str">
        <f>IF(Inventory!O437="","",Inventory!O437)</f>
        <v/>
      </c>
      <c r="T440" s="541" t="str">
        <f>IFERROR(IF(C440="","",IF(INDEX(xyWattage_Table,MATCH(M440,'Fixture Identities'!$B$9:$B$997,0),2)="Exit Sign",8760,IF(VLOOKUP(C440,xySpace_Type_Details,8,FALSE)="TRM",INDEX('General Information'!$AF$17:$AG$28,11,MATCH(N440,'General Information'!$AF$16:$AG$16,0)),HLOOKUP(VLOOKUP(C440,xySpace_Type_Details,8,FALSE),'General Information'!$P$15:$AG$28,13,FALSE)))),"")</f>
        <v/>
      </c>
      <c r="U440" s="542" t="str">
        <f>IFERROR(IF(C440="","",IF(INDEX(xyWattage_Table,MATCH(M440,'Fixture Identities'!$B$9:$B$997,0),2)="Exit Sign",1,IF(VLOOKUP(C440,xySpace_Type_Details,8,FALSE)="TRM",INDEX('General Information'!$AF$17:$AG$28,12,MATCH(N440,'General Information'!$AF$16:$AG$16,0)),HLOOKUP(VLOOKUP(C440,xySpace_Type_Details,8,FALSE),'General Information'!$P$15:$AG$28,14,FALSE)))),"")</f>
        <v/>
      </c>
      <c r="V440" s="542" t="str">
        <f>IFERROR(VLOOKUP(INDEX(xySpace_Type_Details,MATCH($C440,'General Information'!$C$40:$C$60,0),12),Lookups!$L$8:$N$12,2,FALSE),"")</f>
        <v/>
      </c>
      <c r="W440" s="542" t="str">
        <f>IFERROR(VLOOKUP(INDEX(xySpace_Type_Details,MATCH($C440,'General Information'!$C$40:$C$60,0),12),Lookups!$L$8:$N$12,3,FALSE),"")</f>
        <v/>
      </c>
      <c r="Y440" s="542" t="str">
        <f>IFERROR(IF(C440="","",IF(INDEX(xyWattage_Table,MATCH(M440,'Fixture Identities'!$B$9:$B$997,0),2)="Exit Sign",0,IF(PRJ_Type="Retrofit",VLOOKUP(I440,xySVG_Factors,2,FALSE),IF(AND(PRJ_Type="New Construction",Inventory!C437="N"),VLOOKUP(VLOOKUP(Building_Type,xyLPD_BuildingArea,5,FALSE),xySVG_Factors_NC,3,FALSE),0)))),"")</f>
        <v/>
      </c>
      <c r="Z440" s="544" t="str">
        <f>IFERROR(IF(C440="","",IF(INDEX(xyWattage_Table,MATCH(M440,'Fixture Identities'!$B$9:$B$997,0),2)="Exit Sign",0,VLOOKUP(S440,xySVG_Factors,2,FALSE))),"")</f>
        <v/>
      </c>
      <c r="AA440" s="545" t="str">
        <f t="shared" si="153"/>
        <v/>
      </c>
      <c r="AB440" s="542" t="str">
        <f t="shared" si="154"/>
        <v/>
      </c>
      <c r="AC440" s="539" t="str">
        <f t="shared" si="155"/>
        <v/>
      </c>
      <c r="AD440" s="546" t="str">
        <f t="shared" si="156"/>
        <v/>
      </c>
      <c r="AE440" s="539" t="str">
        <f t="shared" si="157"/>
        <v/>
      </c>
      <c r="AF440" s="546" t="str">
        <f t="shared" si="158"/>
        <v/>
      </c>
      <c r="AG440" s="539" t="str">
        <f t="shared" si="159"/>
        <v/>
      </c>
      <c r="AH440" s="32">
        <f t="shared" si="161"/>
        <v>0</v>
      </c>
      <c r="AI440" s="32">
        <f t="shared" si="162"/>
        <v>0</v>
      </c>
      <c r="AJ440" s="32">
        <f t="shared" si="163"/>
        <v>0</v>
      </c>
      <c r="AK440" t="str">
        <f t="shared" si="164"/>
        <v/>
      </c>
      <c r="AL440" t="str">
        <f t="shared" si="165"/>
        <v/>
      </c>
      <c r="AM440" t="str">
        <f t="shared" si="166"/>
        <v/>
      </c>
      <c r="AO440" t="str">
        <f>IFERROR(VLOOKUP(M440,'Fixture Identities'!$B$9:$O$1045,14,FALSE),"")</f>
        <v/>
      </c>
      <c r="AP440" t="str">
        <f t="shared" si="160"/>
        <v/>
      </c>
    </row>
    <row r="441" spans="1:42">
      <c r="A441" s="71">
        <f t="shared" si="168"/>
        <v>0</v>
      </c>
      <c r="B441" s="513">
        <f t="shared" si="167"/>
        <v>429</v>
      </c>
      <c r="C441" s="530" t="str">
        <f>IF(Inventory!E438="","",Inventory!E438)</f>
        <v/>
      </c>
      <c r="D441" s="531">
        <f>IF(Inventory!D438="",0,Inventory!D438)</f>
        <v>0</v>
      </c>
      <c r="E441" s="532" t="str">
        <f>IF(Inventory!I438=0,"",Inventory!I438)</f>
        <v/>
      </c>
      <c r="F441" s="533" t="str">
        <f t="shared" si="147"/>
        <v/>
      </c>
      <c r="G441" s="534" t="str">
        <f>IF(Inventory!G438="","",Inventory!G438)</f>
        <v/>
      </c>
      <c r="H441" s="535" t="str">
        <f t="shared" si="148"/>
        <v/>
      </c>
      <c r="I441" s="536" t="str">
        <f>IF(Inventory!J438="","",Inventory!J438)</f>
        <v/>
      </c>
      <c r="J441" s="537" t="str">
        <f>IFERROR(IF(PRJ_Type="New Construction",IF(Inventory!C438="N",INDEX(xyLPD_BuildingArea,MATCH(Building_Type,Lookups!$F$37:$F$75,0),4),INDEX(xyLPD_SpaceBySpace,MATCH(INDEX(xyNCEx,MATCH(I441,yNCExArea,0),2),ySpace_by_Space_Type,0),2)),VLOOKUP(E441,xyWattage_Table,11,FALSE)),"")</f>
        <v/>
      </c>
      <c r="K441" s="538" t="str">
        <f>IFERROR(IF(AND(NC_Type="Building Area Method",Inventory!C438="N"),IF(ISERROR(INDEX('Usage Groups (&gt;120 MWh only)'!$N$8:$N$12,MATCH(C441,'Usage Groups (&gt;120 MWh only)'!$B$8:$B$12,0),1))=TRUE,SqFt/COUNTIFS(Inventory!$C$10:$C$1009,"N",$Q$13:$Q$1012,"&gt;=0"),INDEX('Usage Groups (&gt;120 MWh only)'!$N$8:$N$12,MATCH(C441,'Usage Groups (&gt;120 MWh only)'!$B$8:$B$12,0),1)/COUNTIF($C$13:$C$1012,C441)),IF(AND(NC_Type="Building Area Method",Inventory!C438="Y"),INDEX(xyNCEx,MATCH(I441,yNCExArea,0),3)/COUNTIF($I$13:$I$1012,I441),VLOOKUP(J441,xyWattage_Table,10,FALSE))),"")</f>
        <v/>
      </c>
      <c r="L441" s="539" t="str">
        <f t="shared" si="149"/>
        <v/>
      </c>
      <c r="M441" s="540">
        <f>IF(Inventory!N438="","",Inventory!N438)</f>
        <v>0</v>
      </c>
      <c r="N441" s="533" t="str">
        <f t="shared" si="150"/>
        <v/>
      </c>
      <c r="O441" s="534"/>
      <c r="P441" s="533" t="str">
        <f t="shared" si="151"/>
        <v/>
      </c>
      <c r="Q441" s="534" t="str">
        <f>IF(Inventory!L438="","",Inventory!L438)</f>
        <v/>
      </c>
      <c r="R441" s="535" t="str">
        <f t="shared" si="152"/>
        <v/>
      </c>
      <c r="S441" s="536" t="str">
        <f>IF(Inventory!O438="","",Inventory!O438)</f>
        <v/>
      </c>
      <c r="T441" s="541" t="str">
        <f>IFERROR(IF(C441="","",IF(INDEX(xyWattage_Table,MATCH(M441,'Fixture Identities'!$B$9:$B$997,0),2)="Exit Sign",8760,IF(VLOOKUP(C441,xySpace_Type_Details,8,FALSE)="TRM",INDEX('General Information'!$AF$17:$AG$28,11,MATCH(N441,'General Information'!$AF$16:$AG$16,0)),HLOOKUP(VLOOKUP(C441,xySpace_Type_Details,8,FALSE),'General Information'!$P$15:$AG$28,13,FALSE)))),"")</f>
        <v/>
      </c>
      <c r="U441" s="542" t="str">
        <f>IFERROR(IF(C441="","",IF(INDEX(xyWattage_Table,MATCH(M441,'Fixture Identities'!$B$9:$B$997,0),2)="Exit Sign",1,IF(VLOOKUP(C441,xySpace_Type_Details,8,FALSE)="TRM",INDEX('General Information'!$AF$17:$AG$28,12,MATCH(N441,'General Information'!$AF$16:$AG$16,0)),HLOOKUP(VLOOKUP(C441,xySpace_Type_Details,8,FALSE),'General Information'!$P$15:$AG$28,14,FALSE)))),"")</f>
        <v/>
      </c>
      <c r="V441" s="542" t="str">
        <f>IFERROR(VLOOKUP(INDEX(xySpace_Type_Details,MATCH($C441,'General Information'!$C$40:$C$60,0),12),Lookups!$L$8:$N$12,2,FALSE),"")</f>
        <v/>
      </c>
      <c r="W441" s="542" t="str">
        <f>IFERROR(VLOOKUP(INDEX(xySpace_Type_Details,MATCH($C441,'General Information'!$C$40:$C$60,0),12),Lookups!$L$8:$N$12,3,FALSE),"")</f>
        <v/>
      </c>
      <c r="Y441" s="542" t="str">
        <f>IFERROR(IF(C441="","",IF(INDEX(xyWattage_Table,MATCH(M441,'Fixture Identities'!$B$9:$B$997,0),2)="Exit Sign",0,IF(PRJ_Type="Retrofit",VLOOKUP(I441,xySVG_Factors,2,FALSE),IF(AND(PRJ_Type="New Construction",Inventory!C438="N"),VLOOKUP(VLOOKUP(Building_Type,xyLPD_BuildingArea,5,FALSE),xySVG_Factors_NC,3,FALSE),0)))),"")</f>
        <v/>
      </c>
      <c r="Z441" s="544" t="str">
        <f>IFERROR(IF(C441="","",IF(INDEX(xyWattage_Table,MATCH(M441,'Fixture Identities'!$B$9:$B$997,0),2)="Exit Sign",0,VLOOKUP(S441,xySVG_Factors,2,FALSE))),"")</f>
        <v/>
      </c>
      <c r="AA441" s="545" t="str">
        <f t="shared" si="153"/>
        <v/>
      </c>
      <c r="AB441" s="542" t="str">
        <f t="shared" si="154"/>
        <v/>
      </c>
      <c r="AC441" s="539" t="str">
        <f t="shared" si="155"/>
        <v/>
      </c>
      <c r="AD441" s="546" t="str">
        <f t="shared" si="156"/>
        <v/>
      </c>
      <c r="AE441" s="539" t="str">
        <f t="shared" si="157"/>
        <v/>
      </c>
      <c r="AF441" s="546" t="str">
        <f t="shared" si="158"/>
        <v/>
      </c>
      <c r="AG441" s="539" t="str">
        <f t="shared" si="159"/>
        <v/>
      </c>
      <c r="AH441" s="32">
        <f t="shared" si="161"/>
        <v>0</v>
      </c>
      <c r="AI441" s="32">
        <f t="shared" si="162"/>
        <v>0</v>
      </c>
      <c r="AJ441" s="32">
        <f t="shared" si="163"/>
        <v>0</v>
      </c>
      <c r="AK441" t="str">
        <f t="shared" si="164"/>
        <v/>
      </c>
      <c r="AL441" t="str">
        <f t="shared" si="165"/>
        <v/>
      </c>
      <c r="AM441" t="str">
        <f t="shared" si="166"/>
        <v/>
      </c>
      <c r="AO441" t="str">
        <f>IFERROR(VLOOKUP(M441,'Fixture Identities'!$B$9:$O$1045,14,FALSE),"")</f>
        <v/>
      </c>
      <c r="AP441" t="str">
        <f t="shared" si="160"/>
        <v/>
      </c>
    </row>
    <row r="442" spans="1:42">
      <c r="A442" s="71">
        <f t="shared" si="168"/>
        <v>0</v>
      </c>
      <c r="B442" s="513">
        <f t="shared" si="167"/>
        <v>430</v>
      </c>
      <c r="C442" s="530" t="str">
        <f>IF(Inventory!E439="","",Inventory!E439)</f>
        <v/>
      </c>
      <c r="D442" s="531">
        <f>IF(Inventory!D439="",0,Inventory!D439)</f>
        <v>0</v>
      </c>
      <c r="E442" s="532" t="str">
        <f>IF(Inventory!I439=0,"",Inventory!I439)</f>
        <v/>
      </c>
      <c r="F442" s="533" t="str">
        <f t="shared" si="147"/>
        <v/>
      </c>
      <c r="G442" s="534" t="str">
        <f>IF(Inventory!G439="","",Inventory!G439)</f>
        <v/>
      </c>
      <c r="H442" s="535" t="str">
        <f t="shared" si="148"/>
        <v/>
      </c>
      <c r="I442" s="536" t="str">
        <f>IF(Inventory!J439="","",Inventory!J439)</f>
        <v/>
      </c>
      <c r="J442" s="537" t="str">
        <f>IFERROR(IF(PRJ_Type="New Construction",IF(Inventory!C439="N",INDEX(xyLPD_BuildingArea,MATCH(Building_Type,Lookups!$F$37:$F$75,0),4),INDEX(xyLPD_SpaceBySpace,MATCH(INDEX(xyNCEx,MATCH(I442,yNCExArea,0),2),ySpace_by_Space_Type,0),2)),VLOOKUP(E442,xyWattage_Table,11,FALSE)),"")</f>
        <v/>
      </c>
      <c r="K442" s="538" t="str">
        <f>IFERROR(IF(AND(NC_Type="Building Area Method",Inventory!C439="N"),IF(ISERROR(INDEX('Usage Groups (&gt;120 MWh only)'!$N$8:$N$12,MATCH(C442,'Usage Groups (&gt;120 MWh only)'!$B$8:$B$12,0),1))=TRUE,SqFt/COUNTIFS(Inventory!$C$10:$C$1009,"N",$Q$13:$Q$1012,"&gt;=0"),INDEX('Usage Groups (&gt;120 MWh only)'!$N$8:$N$12,MATCH(C442,'Usage Groups (&gt;120 MWh only)'!$B$8:$B$12,0),1)/COUNTIF($C$13:$C$1012,C442)),IF(AND(NC_Type="Building Area Method",Inventory!C439="Y"),INDEX(xyNCEx,MATCH(I442,yNCExArea,0),3)/COUNTIF($I$13:$I$1012,I442),VLOOKUP(J442,xyWattage_Table,10,FALSE))),"")</f>
        <v/>
      </c>
      <c r="L442" s="539" t="str">
        <f t="shared" si="149"/>
        <v/>
      </c>
      <c r="M442" s="540">
        <f>IF(Inventory!N439="","",Inventory!N439)</f>
        <v>0</v>
      </c>
      <c r="N442" s="533" t="str">
        <f t="shared" si="150"/>
        <v/>
      </c>
      <c r="O442" s="534"/>
      <c r="P442" s="533" t="str">
        <f t="shared" si="151"/>
        <v/>
      </c>
      <c r="Q442" s="534" t="str">
        <f>IF(Inventory!L439="","",Inventory!L439)</f>
        <v/>
      </c>
      <c r="R442" s="535" t="str">
        <f t="shared" si="152"/>
        <v/>
      </c>
      <c r="S442" s="536" t="str">
        <f>IF(Inventory!O439="","",Inventory!O439)</f>
        <v/>
      </c>
      <c r="T442" s="541" t="str">
        <f>IFERROR(IF(C442="","",IF(INDEX(xyWattage_Table,MATCH(M442,'Fixture Identities'!$B$9:$B$997,0),2)="Exit Sign",8760,IF(VLOOKUP(C442,xySpace_Type_Details,8,FALSE)="TRM",INDEX('General Information'!$AF$17:$AG$28,11,MATCH(N442,'General Information'!$AF$16:$AG$16,0)),HLOOKUP(VLOOKUP(C442,xySpace_Type_Details,8,FALSE),'General Information'!$P$15:$AG$28,13,FALSE)))),"")</f>
        <v/>
      </c>
      <c r="U442" s="542" t="str">
        <f>IFERROR(IF(C442="","",IF(INDEX(xyWattage_Table,MATCH(M442,'Fixture Identities'!$B$9:$B$997,0),2)="Exit Sign",1,IF(VLOOKUP(C442,xySpace_Type_Details,8,FALSE)="TRM",INDEX('General Information'!$AF$17:$AG$28,12,MATCH(N442,'General Information'!$AF$16:$AG$16,0)),HLOOKUP(VLOOKUP(C442,xySpace_Type_Details,8,FALSE),'General Information'!$P$15:$AG$28,14,FALSE)))),"")</f>
        <v/>
      </c>
      <c r="V442" s="542" t="str">
        <f>IFERROR(VLOOKUP(INDEX(xySpace_Type_Details,MATCH($C442,'General Information'!$C$40:$C$60,0),12),Lookups!$L$8:$N$12,2,FALSE),"")</f>
        <v/>
      </c>
      <c r="W442" s="542" t="str">
        <f>IFERROR(VLOOKUP(INDEX(xySpace_Type_Details,MATCH($C442,'General Information'!$C$40:$C$60,0),12),Lookups!$L$8:$N$12,3,FALSE),"")</f>
        <v/>
      </c>
      <c r="Y442" s="542" t="str">
        <f>IFERROR(IF(C442="","",IF(INDEX(xyWattage_Table,MATCH(M442,'Fixture Identities'!$B$9:$B$997,0),2)="Exit Sign",0,IF(PRJ_Type="Retrofit",VLOOKUP(I442,xySVG_Factors,2,FALSE),IF(AND(PRJ_Type="New Construction",Inventory!C439="N"),VLOOKUP(VLOOKUP(Building_Type,xyLPD_BuildingArea,5,FALSE),xySVG_Factors_NC,3,FALSE),0)))),"")</f>
        <v/>
      </c>
      <c r="Z442" s="544" t="str">
        <f>IFERROR(IF(C442="","",IF(INDEX(xyWattage_Table,MATCH(M442,'Fixture Identities'!$B$9:$B$997,0),2)="Exit Sign",0,VLOOKUP(S442,xySVG_Factors,2,FALSE))),"")</f>
        <v/>
      </c>
      <c r="AA442" s="545" t="str">
        <f t="shared" si="153"/>
        <v/>
      </c>
      <c r="AB442" s="542" t="str">
        <f t="shared" si="154"/>
        <v/>
      </c>
      <c r="AC442" s="539" t="str">
        <f t="shared" si="155"/>
        <v/>
      </c>
      <c r="AD442" s="546" t="str">
        <f t="shared" si="156"/>
        <v/>
      </c>
      <c r="AE442" s="539" t="str">
        <f t="shared" si="157"/>
        <v/>
      </c>
      <c r="AF442" s="546" t="str">
        <f t="shared" si="158"/>
        <v/>
      </c>
      <c r="AG442" s="539" t="str">
        <f t="shared" si="159"/>
        <v/>
      </c>
      <c r="AH442" s="32">
        <f t="shared" si="161"/>
        <v>0</v>
      </c>
      <c r="AI442" s="32">
        <f t="shared" si="162"/>
        <v>0</v>
      </c>
      <c r="AJ442" s="32">
        <f t="shared" si="163"/>
        <v>0</v>
      </c>
      <c r="AK442" t="str">
        <f t="shared" si="164"/>
        <v/>
      </c>
      <c r="AL442" t="str">
        <f t="shared" si="165"/>
        <v/>
      </c>
      <c r="AM442" t="str">
        <f t="shared" si="166"/>
        <v/>
      </c>
      <c r="AO442" t="str">
        <f>IFERROR(VLOOKUP(M442,'Fixture Identities'!$B$9:$O$1045,14,FALSE),"")</f>
        <v/>
      </c>
      <c r="AP442" t="str">
        <f t="shared" si="160"/>
        <v/>
      </c>
    </row>
    <row r="443" spans="1:42">
      <c r="A443" s="71">
        <f t="shared" si="168"/>
        <v>0</v>
      </c>
      <c r="B443" s="513">
        <f t="shared" si="167"/>
        <v>431</v>
      </c>
      <c r="C443" s="530" t="str">
        <f>IF(Inventory!E440="","",Inventory!E440)</f>
        <v/>
      </c>
      <c r="D443" s="531">
        <f>IF(Inventory!D440="",0,Inventory!D440)</f>
        <v>0</v>
      </c>
      <c r="E443" s="532" t="str">
        <f>IF(Inventory!I440=0,"",Inventory!I440)</f>
        <v/>
      </c>
      <c r="F443" s="533" t="str">
        <f t="shared" si="147"/>
        <v/>
      </c>
      <c r="G443" s="534" t="str">
        <f>IF(Inventory!G440="","",Inventory!G440)</f>
        <v/>
      </c>
      <c r="H443" s="535" t="str">
        <f t="shared" si="148"/>
        <v/>
      </c>
      <c r="I443" s="536" t="str">
        <f>IF(Inventory!J440="","",Inventory!J440)</f>
        <v/>
      </c>
      <c r="J443" s="537" t="str">
        <f>IFERROR(IF(PRJ_Type="New Construction",IF(Inventory!C440="N",INDEX(xyLPD_BuildingArea,MATCH(Building_Type,Lookups!$F$37:$F$75,0),4),INDEX(xyLPD_SpaceBySpace,MATCH(INDEX(xyNCEx,MATCH(I443,yNCExArea,0),2),ySpace_by_Space_Type,0),2)),VLOOKUP(E443,xyWattage_Table,11,FALSE)),"")</f>
        <v/>
      </c>
      <c r="K443" s="538" t="str">
        <f>IFERROR(IF(AND(NC_Type="Building Area Method",Inventory!C440="N"),IF(ISERROR(INDEX('Usage Groups (&gt;120 MWh only)'!$N$8:$N$12,MATCH(C443,'Usage Groups (&gt;120 MWh only)'!$B$8:$B$12,0),1))=TRUE,SqFt/COUNTIFS(Inventory!$C$10:$C$1009,"N",$Q$13:$Q$1012,"&gt;=0"),INDEX('Usage Groups (&gt;120 MWh only)'!$N$8:$N$12,MATCH(C443,'Usage Groups (&gt;120 MWh only)'!$B$8:$B$12,0),1)/COUNTIF($C$13:$C$1012,C443)),IF(AND(NC_Type="Building Area Method",Inventory!C440="Y"),INDEX(xyNCEx,MATCH(I443,yNCExArea,0),3)/COUNTIF($I$13:$I$1012,I443),VLOOKUP(J443,xyWattage_Table,10,FALSE))),"")</f>
        <v/>
      </c>
      <c r="L443" s="539" t="str">
        <f t="shared" si="149"/>
        <v/>
      </c>
      <c r="M443" s="540">
        <f>IF(Inventory!N440="","",Inventory!N440)</f>
        <v>0</v>
      </c>
      <c r="N443" s="533" t="str">
        <f t="shared" si="150"/>
        <v/>
      </c>
      <c r="O443" s="534"/>
      <c r="P443" s="533" t="str">
        <f t="shared" si="151"/>
        <v/>
      </c>
      <c r="Q443" s="534" t="str">
        <f>IF(Inventory!L440="","",Inventory!L440)</f>
        <v/>
      </c>
      <c r="R443" s="535" t="str">
        <f t="shared" si="152"/>
        <v/>
      </c>
      <c r="S443" s="536" t="str">
        <f>IF(Inventory!O440="","",Inventory!O440)</f>
        <v/>
      </c>
      <c r="T443" s="541" t="str">
        <f>IFERROR(IF(C443="","",IF(INDEX(xyWattage_Table,MATCH(M443,'Fixture Identities'!$B$9:$B$997,0),2)="Exit Sign",8760,IF(VLOOKUP(C443,xySpace_Type_Details,8,FALSE)="TRM",INDEX('General Information'!$AF$17:$AG$28,11,MATCH(N443,'General Information'!$AF$16:$AG$16,0)),HLOOKUP(VLOOKUP(C443,xySpace_Type_Details,8,FALSE),'General Information'!$P$15:$AG$28,13,FALSE)))),"")</f>
        <v/>
      </c>
      <c r="U443" s="542" t="str">
        <f>IFERROR(IF(C443="","",IF(INDEX(xyWattage_Table,MATCH(M443,'Fixture Identities'!$B$9:$B$997,0),2)="Exit Sign",1,IF(VLOOKUP(C443,xySpace_Type_Details,8,FALSE)="TRM",INDEX('General Information'!$AF$17:$AG$28,12,MATCH(N443,'General Information'!$AF$16:$AG$16,0)),HLOOKUP(VLOOKUP(C443,xySpace_Type_Details,8,FALSE),'General Information'!$P$15:$AG$28,14,FALSE)))),"")</f>
        <v/>
      </c>
      <c r="V443" s="542" t="str">
        <f>IFERROR(VLOOKUP(INDEX(xySpace_Type_Details,MATCH($C443,'General Information'!$C$40:$C$60,0),12),Lookups!$L$8:$N$12,2,FALSE),"")</f>
        <v/>
      </c>
      <c r="W443" s="542" t="str">
        <f>IFERROR(VLOOKUP(INDEX(xySpace_Type_Details,MATCH($C443,'General Information'!$C$40:$C$60,0),12),Lookups!$L$8:$N$12,3,FALSE),"")</f>
        <v/>
      </c>
      <c r="Y443" s="542" t="str">
        <f>IFERROR(IF(C443="","",IF(INDEX(xyWattage_Table,MATCH(M443,'Fixture Identities'!$B$9:$B$997,0),2)="Exit Sign",0,IF(PRJ_Type="Retrofit",VLOOKUP(I443,xySVG_Factors,2,FALSE),IF(AND(PRJ_Type="New Construction",Inventory!C440="N"),VLOOKUP(VLOOKUP(Building_Type,xyLPD_BuildingArea,5,FALSE),xySVG_Factors_NC,3,FALSE),0)))),"")</f>
        <v/>
      </c>
      <c r="Z443" s="544" t="str">
        <f>IFERROR(IF(C443="","",IF(INDEX(xyWattage_Table,MATCH(M443,'Fixture Identities'!$B$9:$B$997,0),2)="Exit Sign",0,VLOOKUP(S443,xySVG_Factors,2,FALSE))),"")</f>
        <v/>
      </c>
      <c r="AA443" s="545" t="str">
        <f t="shared" si="153"/>
        <v/>
      </c>
      <c r="AB443" s="542" t="str">
        <f t="shared" si="154"/>
        <v/>
      </c>
      <c r="AC443" s="539" t="str">
        <f t="shared" si="155"/>
        <v/>
      </c>
      <c r="AD443" s="546" t="str">
        <f t="shared" si="156"/>
        <v/>
      </c>
      <c r="AE443" s="539" t="str">
        <f t="shared" si="157"/>
        <v/>
      </c>
      <c r="AF443" s="546" t="str">
        <f t="shared" si="158"/>
        <v/>
      </c>
      <c r="AG443" s="539" t="str">
        <f t="shared" si="159"/>
        <v/>
      </c>
      <c r="AH443" s="32">
        <f t="shared" si="161"/>
        <v>0</v>
      </c>
      <c r="AI443" s="32">
        <f t="shared" si="162"/>
        <v>0</v>
      </c>
      <c r="AJ443" s="32">
        <f t="shared" si="163"/>
        <v>0</v>
      </c>
      <c r="AK443" t="str">
        <f t="shared" si="164"/>
        <v/>
      </c>
      <c r="AL443" t="str">
        <f t="shared" si="165"/>
        <v/>
      </c>
      <c r="AM443" t="str">
        <f t="shared" si="166"/>
        <v/>
      </c>
      <c r="AO443" t="str">
        <f>IFERROR(VLOOKUP(M443,'Fixture Identities'!$B$9:$O$1045,14,FALSE),"")</f>
        <v/>
      </c>
      <c r="AP443" t="str">
        <f t="shared" si="160"/>
        <v/>
      </c>
    </row>
    <row r="444" spans="1:42">
      <c r="A444" s="71">
        <f t="shared" si="168"/>
        <v>0</v>
      </c>
      <c r="B444" s="513">
        <f t="shared" si="167"/>
        <v>432</v>
      </c>
      <c r="C444" s="530" t="str">
        <f>IF(Inventory!E441="","",Inventory!E441)</f>
        <v/>
      </c>
      <c r="D444" s="531">
        <f>IF(Inventory!D441="",0,Inventory!D441)</f>
        <v>0</v>
      </c>
      <c r="E444" s="532" t="str">
        <f>IF(Inventory!I441=0,"",Inventory!I441)</f>
        <v/>
      </c>
      <c r="F444" s="533" t="str">
        <f t="shared" si="147"/>
        <v/>
      </c>
      <c r="G444" s="534" t="str">
        <f>IF(Inventory!G441="","",Inventory!G441)</f>
        <v/>
      </c>
      <c r="H444" s="535" t="str">
        <f t="shared" si="148"/>
        <v/>
      </c>
      <c r="I444" s="536" t="str">
        <f>IF(Inventory!J441="","",Inventory!J441)</f>
        <v/>
      </c>
      <c r="J444" s="537" t="str">
        <f>IFERROR(IF(PRJ_Type="New Construction",IF(Inventory!C441="N",INDEX(xyLPD_BuildingArea,MATCH(Building_Type,Lookups!$F$37:$F$75,0),4),INDEX(xyLPD_SpaceBySpace,MATCH(INDEX(xyNCEx,MATCH(I444,yNCExArea,0),2),ySpace_by_Space_Type,0),2)),VLOOKUP(E444,xyWattage_Table,11,FALSE)),"")</f>
        <v/>
      </c>
      <c r="K444" s="538" t="str">
        <f>IFERROR(IF(AND(NC_Type="Building Area Method",Inventory!C441="N"),IF(ISERROR(INDEX('Usage Groups (&gt;120 MWh only)'!$N$8:$N$12,MATCH(C444,'Usage Groups (&gt;120 MWh only)'!$B$8:$B$12,0),1))=TRUE,SqFt/COUNTIFS(Inventory!$C$10:$C$1009,"N",$Q$13:$Q$1012,"&gt;=0"),INDEX('Usage Groups (&gt;120 MWh only)'!$N$8:$N$12,MATCH(C444,'Usage Groups (&gt;120 MWh only)'!$B$8:$B$12,0),1)/COUNTIF($C$13:$C$1012,C444)),IF(AND(NC_Type="Building Area Method",Inventory!C441="Y"),INDEX(xyNCEx,MATCH(I444,yNCExArea,0),3)/COUNTIF($I$13:$I$1012,I444),VLOOKUP(J444,xyWattage_Table,10,FALSE))),"")</f>
        <v/>
      </c>
      <c r="L444" s="539" t="str">
        <f t="shared" si="149"/>
        <v/>
      </c>
      <c r="M444" s="540">
        <f>IF(Inventory!N441="","",Inventory!N441)</f>
        <v>0</v>
      </c>
      <c r="N444" s="533" t="str">
        <f t="shared" si="150"/>
        <v/>
      </c>
      <c r="O444" s="534"/>
      <c r="P444" s="533" t="str">
        <f t="shared" si="151"/>
        <v/>
      </c>
      <c r="Q444" s="534" t="str">
        <f>IF(Inventory!L441="","",Inventory!L441)</f>
        <v/>
      </c>
      <c r="R444" s="535" t="str">
        <f t="shared" si="152"/>
        <v/>
      </c>
      <c r="S444" s="536" t="str">
        <f>IF(Inventory!O441="","",Inventory!O441)</f>
        <v/>
      </c>
      <c r="T444" s="541" t="str">
        <f>IFERROR(IF(C444="","",IF(INDEX(xyWattage_Table,MATCH(M444,'Fixture Identities'!$B$9:$B$997,0),2)="Exit Sign",8760,IF(VLOOKUP(C444,xySpace_Type_Details,8,FALSE)="TRM",INDEX('General Information'!$AF$17:$AG$28,11,MATCH(N444,'General Information'!$AF$16:$AG$16,0)),HLOOKUP(VLOOKUP(C444,xySpace_Type_Details,8,FALSE),'General Information'!$P$15:$AG$28,13,FALSE)))),"")</f>
        <v/>
      </c>
      <c r="U444" s="542" t="str">
        <f>IFERROR(IF(C444="","",IF(INDEX(xyWattage_Table,MATCH(M444,'Fixture Identities'!$B$9:$B$997,0),2)="Exit Sign",1,IF(VLOOKUP(C444,xySpace_Type_Details,8,FALSE)="TRM",INDEX('General Information'!$AF$17:$AG$28,12,MATCH(N444,'General Information'!$AF$16:$AG$16,0)),HLOOKUP(VLOOKUP(C444,xySpace_Type_Details,8,FALSE),'General Information'!$P$15:$AG$28,14,FALSE)))),"")</f>
        <v/>
      </c>
      <c r="V444" s="542" t="str">
        <f>IFERROR(VLOOKUP(INDEX(xySpace_Type_Details,MATCH($C444,'General Information'!$C$40:$C$60,0),12),Lookups!$L$8:$N$12,2,FALSE),"")</f>
        <v/>
      </c>
      <c r="W444" s="542" t="str">
        <f>IFERROR(VLOOKUP(INDEX(xySpace_Type_Details,MATCH($C444,'General Information'!$C$40:$C$60,0),12),Lookups!$L$8:$N$12,3,FALSE),"")</f>
        <v/>
      </c>
      <c r="Y444" s="542" t="str">
        <f>IFERROR(IF(C444="","",IF(INDEX(xyWattage_Table,MATCH(M444,'Fixture Identities'!$B$9:$B$997,0),2)="Exit Sign",0,IF(PRJ_Type="Retrofit",VLOOKUP(I444,xySVG_Factors,2,FALSE),IF(AND(PRJ_Type="New Construction",Inventory!C441="N"),VLOOKUP(VLOOKUP(Building_Type,xyLPD_BuildingArea,5,FALSE),xySVG_Factors_NC,3,FALSE),0)))),"")</f>
        <v/>
      </c>
      <c r="Z444" s="544" t="str">
        <f>IFERROR(IF(C444="","",IF(INDEX(xyWattage_Table,MATCH(M444,'Fixture Identities'!$B$9:$B$997,0),2)="Exit Sign",0,VLOOKUP(S444,xySVG_Factors,2,FALSE))),"")</f>
        <v/>
      </c>
      <c r="AA444" s="545" t="str">
        <f t="shared" si="153"/>
        <v/>
      </c>
      <c r="AB444" s="542" t="str">
        <f t="shared" si="154"/>
        <v/>
      </c>
      <c r="AC444" s="539" t="str">
        <f t="shared" si="155"/>
        <v/>
      </c>
      <c r="AD444" s="546" t="str">
        <f t="shared" si="156"/>
        <v/>
      </c>
      <c r="AE444" s="539" t="str">
        <f t="shared" si="157"/>
        <v/>
      </c>
      <c r="AF444" s="546" t="str">
        <f t="shared" si="158"/>
        <v/>
      </c>
      <c r="AG444" s="539" t="str">
        <f t="shared" si="159"/>
        <v/>
      </c>
      <c r="AH444" s="32">
        <f t="shared" si="161"/>
        <v>0</v>
      </c>
      <c r="AI444" s="32">
        <f t="shared" si="162"/>
        <v>0</v>
      </c>
      <c r="AJ444" s="32">
        <f t="shared" si="163"/>
        <v>0</v>
      </c>
      <c r="AK444" t="str">
        <f t="shared" si="164"/>
        <v/>
      </c>
      <c r="AL444" t="str">
        <f t="shared" si="165"/>
        <v/>
      </c>
      <c r="AM444" t="str">
        <f t="shared" si="166"/>
        <v/>
      </c>
      <c r="AO444" t="str">
        <f>IFERROR(VLOOKUP(M444,'Fixture Identities'!$B$9:$O$1045,14,FALSE),"")</f>
        <v/>
      </c>
      <c r="AP444" t="str">
        <f t="shared" si="160"/>
        <v/>
      </c>
    </row>
    <row r="445" spans="1:42">
      <c r="A445" s="71">
        <f t="shared" si="168"/>
        <v>0</v>
      </c>
      <c r="B445" s="513">
        <f t="shared" si="167"/>
        <v>433</v>
      </c>
      <c r="C445" s="530" t="str">
        <f>IF(Inventory!E442="","",Inventory!E442)</f>
        <v/>
      </c>
      <c r="D445" s="531">
        <f>IF(Inventory!D442="",0,Inventory!D442)</f>
        <v>0</v>
      </c>
      <c r="E445" s="532" t="str">
        <f>IF(Inventory!I442=0,"",Inventory!I442)</f>
        <v/>
      </c>
      <c r="F445" s="533" t="str">
        <f t="shared" si="147"/>
        <v/>
      </c>
      <c r="G445" s="534" t="str">
        <f>IF(Inventory!G442="","",Inventory!G442)</f>
        <v/>
      </c>
      <c r="H445" s="535" t="str">
        <f t="shared" si="148"/>
        <v/>
      </c>
      <c r="I445" s="536" t="str">
        <f>IF(Inventory!J442="","",Inventory!J442)</f>
        <v/>
      </c>
      <c r="J445" s="537" t="str">
        <f>IFERROR(IF(PRJ_Type="New Construction",IF(Inventory!C442="N",INDEX(xyLPD_BuildingArea,MATCH(Building_Type,Lookups!$F$37:$F$75,0),4),INDEX(xyLPD_SpaceBySpace,MATCH(INDEX(xyNCEx,MATCH(I445,yNCExArea,0),2),ySpace_by_Space_Type,0),2)),VLOOKUP(E445,xyWattage_Table,11,FALSE)),"")</f>
        <v/>
      </c>
      <c r="K445" s="538" t="str">
        <f>IFERROR(IF(AND(NC_Type="Building Area Method",Inventory!C442="N"),IF(ISERROR(INDEX('Usage Groups (&gt;120 MWh only)'!$N$8:$N$12,MATCH(C445,'Usage Groups (&gt;120 MWh only)'!$B$8:$B$12,0),1))=TRUE,SqFt/COUNTIFS(Inventory!$C$10:$C$1009,"N",$Q$13:$Q$1012,"&gt;=0"),INDEX('Usage Groups (&gt;120 MWh only)'!$N$8:$N$12,MATCH(C445,'Usage Groups (&gt;120 MWh only)'!$B$8:$B$12,0),1)/COUNTIF($C$13:$C$1012,C445)),IF(AND(NC_Type="Building Area Method",Inventory!C442="Y"),INDEX(xyNCEx,MATCH(I445,yNCExArea,0),3)/COUNTIF($I$13:$I$1012,I445),VLOOKUP(J445,xyWattage_Table,10,FALSE))),"")</f>
        <v/>
      </c>
      <c r="L445" s="539" t="str">
        <f t="shared" si="149"/>
        <v/>
      </c>
      <c r="M445" s="540">
        <f>IF(Inventory!N442="","",Inventory!N442)</f>
        <v>0</v>
      </c>
      <c r="N445" s="533" t="str">
        <f t="shared" si="150"/>
        <v/>
      </c>
      <c r="O445" s="534"/>
      <c r="P445" s="533" t="str">
        <f t="shared" si="151"/>
        <v/>
      </c>
      <c r="Q445" s="534" t="str">
        <f>IF(Inventory!L442="","",Inventory!L442)</f>
        <v/>
      </c>
      <c r="R445" s="535" t="str">
        <f t="shared" si="152"/>
        <v/>
      </c>
      <c r="S445" s="536" t="str">
        <f>IF(Inventory!O442="","",Inventory!O442)</f>
        <v/>
      </c>
      <c r="T445" s="541" t="str">
        <f>IFERROR(IF(C445="","",IF(INDEX(xyWattage_Table,MATCH(M445,'Fixture Identities'!$B$9:$B$997,0),2)="Exit Sign",8760,IF(VLOOKUP(C445,xySpace_Type_Details,8,FALSE)="TRM",INDEX('General Information'!$AF$17:$AG$28,11,MATCH(N445,'General Information'!$AF$16:$AG$16,0)),HLOOKUP(VLOOKUP(C445,xySpace_Type_Details,8,FALSE),'General Information'!$P$15:$AG$28,13,FALSE)))),"")</f>
        <v/>
      </c>
      <c r="U445" s="542" t="str">
        <f>IFERROR(IF(C445="","",IF(INDEX(xyWattage_Table,MATCH(M445,'Fixture Identities'!$B$9:$B$997,0),2)="Exit Sign",1,IF(VLOOKUP(C445,xySpace_Type_Details,8,FALSE)="TRM",INDEX('General Information'!$AF$17:$AG$28,12,MATCH(N445,'General Information'!$AF$16:$AG$16,0)),HLOOKUP(VLOOKUP(C445,xySpace_Type_Details,8,FALSE),'General Information'!$P$15:$AG$28,14,FALSE)))),"")</f>
        <v/>
      </c>
      <c r="V445" s="542" t="str">
        <f>IFERROR(VLOOKUP(INDEX(xySpace_Type_Details,MATCH($C445,'General Information'!$C$40:$C$60,0),12),Lookups!$L$8:$N$12,2,FALSE),"")</f>
        <v/>
      </c>
      <c r="W445" s="542" t="str">
        <f>IFERROR(VLOOKUP(INDEX(xySpace_Type_Details,MATCH($C445,'General Information'!$C$40:$C$60,0),12),Lookups!$L$8:$N$12,3,FALSE),"")</f>
        <v/>
      </c>
      <c r="Y445" s="542" t="str">
        <f>IFERROR(IF(C445="","",IF(INDEX(xyWattage_Table,MATCH(M445,'Fixture Identities'!$B$9:$B$997,0),2)="Exit Sign",0,IF(PRJ_Type="Retrofit",VLOOKUP(I445,xySVG_Factors,2,FALSE),IF(AND(PRJ_Type="New Construction",Inventory!C442="N"),VLOOKUP(VLOOKUP(Building_Type,xyLPD_BuildingArea,5,FALSE),xySVG_Factors_NC,3,FALSE),0)))),"")</f>
        <v/>
      </c>
      <c r="Z445" s="544" t="str">
        <f>IFERROR(IF(C445="","",IF(INDEX(xyWattage_Table,MATCH(M445,'Fixture Identities'!$B$9:$B$997,0),2)="Exit Sign",0,VLOOKUP(S445,xySVG_Factors,2,FALSE))),"")</f>
        <v/>
      </c>
      <c r="AA445" s="545" t="str">
        <f t="shared" si="153"/>
        <v/>
      </c>
      <c r="AB445" s="542" t="str">
        <f t="shared" si="154"/>
        <v/>
      </c>
      <c r="AC445" s="539" t="str">
        <f t="shared" si="155"/>
        <v/>
      </c>
      <c r="AD445" s="546" t="str">
        <f t="shared" si="156"/>
        <v/>
      </c>
      <c r="AE445" s="539" t="str">
        <f t="shared" si="157"/>
        <v/>
      </c>
      <c r="AF445" s="546" t="str">
        <f t="shared" si="158"/>
        <v/>
      </c>
      <c r="AG445" s="539" t="str">
        <f t="shared" si="159"/>
        <v/>
      </c>
      <c r="AH445" s="32">
        <f t="shared" si="161"/>
        <v>0</v>
      </c>
      <c r="AI445" s="32">
        <f t="shared" si="162"/>
        <v>0</v>
      </c>
      <c r="AJ445" s="32">
        <f t="shared" si="163"/>
        <v>0</v>
      </c>
      <c r="AK445" t="str">
        <f t="shared" si="164"/>
        <v/>
      </c>
      <c r="AL445" t="str">
        <f t="shared" si="165"/>
        <v/>
      </c>
      <c r="AM445" t="str">
        <f t="shared" si="166"/>
        <v/>
      </c>
      <c r="AO445" t="str">
        <f>IFERROR(VLOOKUP(M445,'Fixture Identities'!$B$9:$O$1045,14,FALSE),"")</f>
        <v/>
      </c>
      <c r="AP445" t="str">
        <f t="shared" si="160"/>
        <v/>
      </c>
    </row>
    <row r="446" spans="1:42">
      <c r="A446" s="71">
        <f t="shared" si="168"/>
        <v>0</v>
      </c>
      <c r="B446" s="513">
        <f t="shared" si="167"/>
        <v>434</v>
      </c>
      <c r="C446" s="530" t="str">
        <f>IF(Inventory!E443="","",Inventory!E443)</f>
        <v/>
      </c>
      <c r="D446" s="531">
        <f>IF(Inventory!D443="",0,Inventory!D443)</f>
        <v>0</v>
      </c>
      <c r="E446" s="532" t="str">
        <f>IF(Inventory!I443=0,"",Inventory!I443)</f>
        <v/>
      </c>
      <c r="F446" s="533" t="str">
        <f t="shared" si="147"/>
        <v/>
      </c>
      <c r="G446" s="534" t="str">
        <f>IF(Inventory!G443="","",Inventory!G443)</f>
        <v/>
      </c>
      <c r="H446" s="535" t="str">
        <f t="shared" si="148"/>
        <v/>
      </c>
      <c r="I446" s="536" t="str">
        <f>IF(Inventory!J443="","",Inventory!J443)</f>
        <v/>
      </c>
      <c r="J446" s="537" t="str">
        <f>IFERROR(IF(PRJ_Type="New Construction",IF(Inventory!C443="N",INDEX(xyLPD_BuildingArea,MATCH(Building_Type,Lookups!$F$37:$F$75,0),4),INDEX(xyLPD_SpaceBySpace,MATCH(INDEX(xyNCEx,MATCH(I446,yNCExArea,0),2),ySpace_by_Space_Type,0),2)),VLOOKUP(E446,xyWattage_Table,11,FALSE)),"")</f>
        <v/>
      </c>
      <c r="K446" s="538" t="str">
        <f>IFERROR(IF(AND(NC_Type="Building Area Method",Inventory!C443="N"),IF(ISERROR(INDEX('Usage Groups (&gt;120 MWh only)'!$N$8:$N$12,MATCH(C446,'Usage Groups (&gt;120 MWh only)'!$B$8:$B$12,0),1))=TRUE,SqFt/COUNTIFS(Inventory!$C$10:$C$1009,"N",$Q$13:$Q$1012,"&gt;=0"),INDEX('Usage Groups (&gt;120 MWh only)'!$N$8:$N$12,MATCH(C446,'Usage Groups (&gt;120 MWh only)'!$B$8:$B$12,0),1)/COUNTIF($C$13:$C$1012,C446)),IF(AND(NC_Type="Building Area Method",Inventory!C443="Y"),INDEX(xyNCEx,MATCH(I446,yNCExArea,0),3)/COUNTIF($I$13:$I$1012,I446),VLOOKUP(J446,xyWattage_Table,10,FALSE))),"")</f>
        <v/>
      </c>
      <c r="L446" s="539" t="str">
        <f t="shared" si="149"/>
        <v/>
      </c>
      <c r="M446" s="540">
        <f>IF(Inventory!N443="","",Inventory!N443)</f>
        <v>0</v>
      </c>
      <c r="N446" s="533" t="str">
        <f t="shared" si="150"/>
        <v/>
      </c>
      <c r="O446" s="534"/>
      <c r="P446" s="533" t="str">
        <f t="shared" si="151"/>
        <v/>
      </c>
      <c r="Q446" s="534" t="str">
        <f>IF(Inventory!L443="","",Inventory!L443)</f>
        <v/>
      </c>
      <c r="R446" s="535" t="str">
        <f t="shared" si="152"/>
        <v/>
      </c>
      <c r="S446" s="536" t="str">
        <f>IF(Inventory!O443="","",Inventory!O443)</f>
        <v/>
      </c>
      <c r="T446" s="541" t="str">
        <f>IFERROR(IF(C446="","",IF(INDEX(xyWattage_Table,MATCH(M446,'Fixture Identities'!$B$9:$B$997,0),2)="Exit Sign",8760,IF(VLOOKUP(C446,xySpace_Type_Details,8,FALSE)="TRM",INDEX('General Information'!$AF$17:$AG$28,11,MATCH(N446,'General Information'!$AF$16:$AG$16,0)),HLOOKUP(VLOOKUP(C446,xySpace_Type_Details,8,FALSE),'General Information'!$P$15:$AG$28,13,FALSE)))),"")</f>
        <v/>
      </c>
      <c r="U446" s="542" t="str">
        <f>IFERROR(IF(C446="","",IF(INDEX(xyWattage_Table,MATCH(M446,'Fixture Identities'!$B$9:$B$997,0),2)="Exit Sign",1,IF(VLOOKUP(C446,xySpace_Type_Details,8,FALSE)="TRM",INDEX('General Information'!$AF$17:$AG$28,12,MATCH(N446,'General Information'!$AF$16:$AG$16,0)),HLOOKUP(VLOOKUP(C446,xySpace_Type_Details,8,FALSE),'General Information'!$P$15:$AG$28,14,FALSE)))),"")</f>
        <v/>
      </c>
      <c r="V446" s="542" t="str">
        <f>IFERROR(VLOOKUP(INDEX(xySpace_Type_Details,MATCH($C446,'General Information'!$C$40:$C$60,0),12),Lookups!$L$8:$N$12,2,FALSE),"")</f>
        <v/>
      </c>
      <c r="W446" s="542" t="str">
        <f>IFERROR(VLOOKUP(INDEX(xySpace_Type_Details,MATCH($C446,'General Information'!$C$40:$C$60,0),12),Lookups!$L$8:$N$12,3,FALSE),"")</f>
        <v/>
      </c>
      <c r="Y446" s="542" t="str">
        <f>IFERROR(IF(C446="","",IF(INDEX(xyWattage_Table,MATCH(M446,'Fixture Identities'!$B$9:$B$997,0),2)="Exit Sign",0,IF(PRJ_Type="Retrofit",VLOOKUP(I446,xySVG_Factors,2,FALSE),IF(AND(PRJ_Type="New Construction",Inventory!C443="N"),VLOOKUP(VLOOKUP(Building_Type,xyLPD_BuildingArea,5,FALSE),xySVG_Factors_NC,3,FALSE),0)))),"")</f>
        <v/>
      </c>
      <c r="Z446" s="544" t="str">
        <f>IFERROR(IF(C446="","",IF(INDEX(xyWattage_Table,MATCH(M446,'Fixture Identities'!$B$9:$B$997,0),2)="Exit Sign",0,VLOOKUP(S446,xySVG_Factors,2,FALSE))),"")</f>
        <v/>
      </c>
      <c r="AA446" s="545" t="str">
        <f t="shared" si="153"/>
        <v/>
      </c>
      <c r="AB446" s="542" t="str">
        <f t="shared" si="154"/>
        <v/>
      </c>
      <c r="AC446" s="539" t="str">
        <f t="shared" si="155"/>
        <v/>
      </c>
      <c r="AD446" s="546" t="str">
        <f t="shared" si="156"/>
        <v/>
      </c>
      <c r="AE446" s="539" t="str">
        <f t="shared" si="157"/>
        <v/>
      </c>
      <c r="AF446" s="546" t="str">
        <f t="shared" si="158"/>
        <v/>
      </c>
      <c r="AG446" s="539" t="str">
        <f t="shared" si="159"/>
        <v/>
      </c>
      <c r="AH446" s="32">
        <f t="shared" si="161"/>
        <v>0</v>
      </c>
      <c r="AI446" s="32">
        <f t="shared" si="162"/>
        <v>0</v>
      </c>
      <c r="AJ446" s="32">
        <f t="shared" si="163"/>
        <v>0</v>
      </c>
      <c r="AK446" t="str">
        <f t="shared" si="164"/>
        <v/>
      </c>
      <c r="AL446" t="str">
        <f t="shared" si="165"/>
        <v/>
      </c>
      <c r="AM446" t="str">
        <f t="shared" si="166"/>
        <v/>
      </c>
      <c r="AO446" t="str">
        <f>IFERROR(VLOOKUP(M446,'Fixture Identities'!$B$9:$O$1045,14,FALSE),"")</f>
        <v/>
      </c>
      <c r="AP446" t="str">
        <f t="shared" si="160"/>
        <v/>
      </c>
    </row>
    <row r="447" spans="1:42">
      <c r="A447" s="71">
        <f t="shared" si="168"/>
        <v>0</v>
      </c>
      <c r="B447" s="513">
        <f t="shared" si="167"/>
        <v>435</v>
      </c>
      <c r="C447" s="530" t="str">
        <f>IF(Inventory!E444="","",Inventory!E444)</f>
        <v/>
      </c>
      <c r="D447" s="531">
        <f>IF(Inventory!D444="",0,Inventory!D444)</f>
        <v>0</v>
      </c>
      <c r="E447" s="532" t="str">
        <f>IF(Inventory!I444=0,"",Inventory!I444)</f>
        <v/>
      </c>
      <c r="F447" s="533" t="str">
        <f t="shared" si="147"/>
        <v/>
      </c>
      <c r="G447" s="534" t="str">
        <f>IF(Inventory!G444="","",Inventory!G444)</f>
        <v/>
      </c>
      <c r="H447" s="535" t="str">
        <f t="shared" si="148"/>
        <v/>
      </c>
      <c r="I447" s="536" t="str">
        <f>IF(Inventory!J444="","",Inventory!J444)</f>
        <v/>
      </c>
      <c r="J447" s="537" t="str">
        <f>IFERROR(IF(PRJ_Type="New Construction",IF(Inventory!C444="N",INDEX(xyLPD_BuildingArea,MATCH(Building_Type,Lookups!$F$37:$F$75,0),4),INDEX(xyLPD_SpaceBySpace,MATCH(INDEX(xyNCEx,MATCH(I447,yNCExArea,0),2),ySpace_by_Space_Type,0),2)),VLOOKUP(E447,xyWattage_Table,11,FALSE)),"")</f>
        <v/>
      </c>
      <c r="K447" s="538" t="str">
        <f>IFERROR(IF(AND(NC_Type="Building Area Method",Inventory!C444="N"),IF(ISERROR(INDEX('Usage Groups (&gt;120 MWh only)'!$N$8:$N$12,MATCH(C447,'Usage Groups (&gt;120 MWh only)'!$B$8:$B$12,0),1))=TRUE,SqFt/COUNTIFS(Inventory!$C$10:$C$1009,"N",$Q$13:$Q$1012,"&gt;=0"),INDEX('Usage Groups (&gt;120 MWh only)'!$N$8:$N$12,MATCH(C447,'Usage Groups (&gt;120 MWh only)'!$B$8:$B$12,0),1)/COUNTIF($C$13:$C$1012,C447)),IF(AND(NC_Type="Building Area Method",Inventory!C444="Y"),INDEX(xyNCEx,MATCH(I447,yNCExArea,0),3)/COUNTIF($I$13:$I$1012,I447),VLOOKUP(J447,xyWattage_Table,10,FALSE))),"")</f>
        <v/>
      </c>
      <c r="L447" s="539" t="str">
        <f t="shared" si="149"/>
        <v/>
      </c>
      <c r="M447" s="540">
        <f>IF(Inventory!N444="","",Inventory!N444)</f>
        <v>0</v>
      </c>
      <c r="N447" s="533" t="str">
        <f t="shared" si="150"/>
        <v/>
      </c>
      <c r="O447" s="534"/>
      <c r="P447" s="533" t="str">
        <f t="shared" si="151"/>
        <v/>
      </c>
      <c r="Q447" s="534" t="str">
        <f>IF(Inventory!L444="","",Inventory!L444)</f>
        <v/>
      </c>
      <c r="R447" s="535" t="str">
        <f t="shared" si="152"/>
        <v/>
      </c>
      <c r="S447" s="536" t="str">
        <f>IF(Inventory!O444="","",Inventory!O444)</f>
        <v/>
      </c>
      <c r="T447" s="541" t="str">
        <f>IFERROR(IF(C447="","",IF(INDEX(xyWattage_Table,MATCH(M447,'Fixture Identities'!$B$9:$B$997,0),2)="Exit Sign",8760,IF(VLOOKUP(C447,xySpace_Type_Details,8,FALSE)="TRM",INDEX('General Information'!$AF$17:$AG$28,11,MATCH(N447,'General Information'!$AF$16:$AG$16,0)),HLOOKUP(VLOOKUP(C447,xySpace_Type_Details,8,FALSE),'General Information'!$P$15:$AG$28,13,FALSE)))),"")</f>
        <v/>
      </c>
      <c r="U447" s="542" t="str">
        <f>IFERROR(IF(C447="","",IF(INDEX(xyWattage_Table,MATCH(M447,'Fixture Identities'!$B$9:$B$997,0),2)="Exit Sign",1,IF(VLOOKUP(C447,xySpace_Type_Details,8,FALSE)="TRM",INDEX('General Information'!$AF$17:$AG$28,12,MATCH(N447,'General Information'!$AF$16:$AG$16,0)),HLOOKUP(VLOOKUP(C447,xySpace_Type_Details,8,FALSE),'General Information'!$P$15:$AG$28,14,FALSE)))),"")</f>
        <v/>
      </c>
      <c r="V447" s="542" t="str">
        <f>IFERROR(VLOOKUP(INDEX(xySpace_Type_Details,MATCH($C447,'General Information'!$C$40:$C$60,0),12),Lookups!$L$8:$N$12,2,FALSE),"")</f>
        <v/>
      </c>
      <c r="W447" s="542" t="str">
        <f>IFERROR(VLOOKUP(INDEX(xySpace_Type_Details,MATCH($C447,'General Information'!$C$40:$C$60,0),12),Lookups!$L$8:$N$12,3,FALSE),"")</f>
        <v/>
      </c>
      <c r="Y447" s="542" t="str">
        <f>IFERROR(IF(C447="","",IF(INDEX(xyWattage_Table,MATCH(M447,'Fixture Identities'!$B$9:$B$997,0),2)="Exit Sign",0,IF(PRJ_Type="Retrofit",VLOOKUP(I447,xySVG_Factors,2,FALSE),IF(AND(PRJ_Type="New Construction",Inventory!C444="N"),VLOOKUP(VLOOKUP(Building_Type,xyLPD_BuildingArea,5,FALSE),xySVG_Factors_NC,3,FALSE),0)))),"")</f>
        <v/>
      </c>
      <c r="Z447" s="544" t="str">
        <f>IFERROR(IF(C447="","",IF(INDEX(xyWattage_Table,MATCH(M447,'Fixture Identities'!$B$9:$B$997,0),2)="Exit Sign",0,VLOOKUP(S447,xySVG_Factors,2,FALSE))),"")</f>
        <v/>
      </c>
      <c r="AA447" s="545" t="str">
        <f t="shared" si="153"/>
        <v/>
      </c>
      <c r="AB447" s="542" t="str">
        <f t="shared" si="154"/>
        <v/>
      </c>
      <c r="AC447" s="539" t="str">
        <f t="shared" si="155"/>
        <v/>
      </c>
      <c r="AD447" s="546" t="str">
        <f t="shared" si="156"/>
        <v/>
      </c>
      <c r="AE447" s="539" t="str">
        <f t="shared" si="157"/>
        <v/>
      </c>
      <c r="AF447" s="546" t="str">
        <f t="shared" si="158"/>
        <v/>
      </c>
      <c r="AG447" s="539" t="str">
        <f t="shared" si="159"/>
        <v/>
      </c>
      <c r="AH447" s="32">
        <f t="shared" si="161"/>
        <v>0</v>
      </c>
      <c r="AI447" s="32">
        <f t="shared" si="162"/>
        <v>0</v>
      </c>
      <c r="AJ447" s="32">
        <f t="shared" si="163"/>
        <v>0</v>
      </c>
      <c r="AK447" t="str">
        <f t="shared" si="164"/>
        <v/>
      </c>
      <c r="AL447" t="str">
        <f t="shared" si="165"/>
        <v/>
      </c>
      <c r="AM447" t="str">
        <f t="shared" si="166"/>
        <v/>
      </c>
      <c r="AO447" t="str">
        <f>IFERROR(VLOOKUP(M447,'Fixture Identities'!$B$9:$O$1045,14,FALSE),"")</f>
        <v/>
      </c>
      <c r="AP447" t="str">
        <f t="shared" si="160"/>
        <v/>
      </c>
    </row>
    <row r="448" spans="1:42">
      <c r="A448" s="71">
        <f t="shared" si="168"/>
        <v>0</v>
      </c>
      <c r="B448" s="513">
        <f t="shared" si="167"/>
        <v>436</v>
      </c>
      <c r="C448" s="530" t="str">
        <f>IF(Inventory!E445="","",Inventory!E445)</f>
        <v/>
      </c>
      <c r="D448" s="531">
        <f>IF(Inventory!D445="",0,Inventory!D445)</f>
        <v>0</v>
      </c>
      <c r="E448" s="532" t="str">
        <f>IF(Inventory!I445=0,"",Inventory!I445)</f>
        <v/>
      </c>
      <c r="F448" s="533" t="str">
        <f t="shared" si="147"/>
        <v/>
      </c>
      <c r="G448" s="534" t="str">
        <f>IF(Inventory!G445="","",Inventory!G445)</f>
        <v/>
      </c>
      <c r="H448" s="535" t="str">
        <f t="shared" si="148"/>
        <v/>
      </c>
      <c r="I448" s="536" t="str">
        <f>IF(Inventory!J445="","",Inventory!J445)</f>
        <v/>
      </c>
      <c r="J448" s="537" t="str">
        <f>IFERROR(IF(PRJ_Type="New Construction",IF(Inventory!C445="N",INDEX(xyLPD_BuildingArea,MATCH(Building_Type,Lookups!$F$37:$F$75,0),4),INDEX(xyLPD_SpaceBySpace,MATCH(INDEX(xyNCEx,MATCH(I448,yNCExArea,0),2),ySpace_by_Space_Type,0),2)),VLOOKUP(E448,xyWattage_Table,11,FALSE)),"")</f>
        <v/>
      </c>
      <c r="K448" s="538" t="str">
        <f>IFERROR(IF(AND(NC_Type="Building Area Method",Inventory!C445="N"),IF(ISERROR(INDEX('Usage Groups (&gt;120 MWh only)'!$N$8:$N$12,MATCH(C448,'Usage Groups (&gt;120 MWh only)'!$B$8:$B$12,0),1))=TRUE,SqFt/COUNTIFS(Inventory!$C$10:$C$1009,"N",$Q$13:$Q$1012,"&gt;=0"),INDEX('Usage Groups (&gt;120 MWh only)'!$N$8:$N$12,MATCH(C448,'Usage Groups (&gt;120 MWh only)'!$B$8:$B$12,0),1)/COUNTIF($C$13:$C$1012,C448)),IF(AND(NC_Type="Building Area Method",Inventory!C445="Y"),INDEX(xyNCEx,MATCH(I448,yNCExArea,0),3)/COUNTIF($I$13:$I$1012,I448),VLOOKUP(J448,xyWattage_Table,10,FALSE))),"")</f>
        <v/>
      </c>
      <c r="L448" s="539" t="str">
        <f t="shared" si="149"/>
        <v/>
      </c>
      <c r="M448" s="540">
        <f>IF(Inventory!N445="","",Inventory!N445)</f>
        <v>0</v>
      </c>
      <c r="N448" s="533" t="str">
        <f t="shared" si="150"/>
        <v/>
      </c>
      <c r="O448" s="534"/>
      <c r="P448" s="533" t="str">
        <f t="shared" si="151"/>
        <v/>
      </c>
      <c r="Q448" s="534" t="str">
        <f>IF(Inventory!L445="","",Inventory!L445)</f>
        <v/>
      </c>
      <c r="R448" s="535" t="str">
        <f t="shared" si="152"/>
        <v/>
      </c>
      <c r="S448" s="536" t="str">
        <f>IF(Inventory!O445="","",Inventory!O445)</f>
        <v/>
      </c>
      <c r="T448" s="541" t="str">
        <f>IFERROR(IF(C448="","",IF(INDEX(xyWattage_Table,MATCH(M448,'Fixture Identities'!$B$9:$B$997,0),2)="Exit Sign",8760,IF(VLOOKUP(C448,xySpace_Type_Details,8,FALSE)="TRM",INDEX('General Information'!$AF$17:$AG$28,11,MATCH(N448,'General Information'!$AF$16:$AG$16,0)),HLOOKUP(VLOOKUP(C448,xySpace_Type_Details,8,FALSE),'General Information'!$P$15:$AG$28,13,FALSE)))),"")</f>
        <v/>
      </c>
      <c r="U448" s="542" t="str">
        <f>IFERROR(IF(C448="","",IF(INDEX(xyWattage_Table,MATCH(M448,'Fixture Identities'!$B$9:$B$997,0),2)="Exit Sign",1,IF(VLOOKUP(C448,xySpace_Type_Details,8,FALSE)="TRM",INDEX('General Information'!$AF$17:$AG$28,12,MATCH(N448,'General Information'!$AF$16:$AG$16,0)),HLOOKUP(VLOOKUP(C448,xySpace_Type_Details,8,FALSE),'General Information'!$P$15:$AG$28,14,FALSE)))),"")</f>
        <v/>
      </c>
      <c r="V448" s="542" t="str">
        <f>IFERROR(VLOOKUP(INDEX(xySpace_Type_Details,MATCH($C448,'General Information'!$C$40:$C$60,0),12),Lookups!$L$8:$N$12,2,FALSE),"")</f>
        <v/>
      </c>
      <c r="W448" s="542" t="str">
        <f>IFERROR(VLOOKUP(INDEX(xySpace_Type_Details,MATCH($C448,'General Information'!$C$40:$C$60,0),12),Lookups!$L$8:$N$12,3,FALSE),"")</f>
        <v/>
      </c>
      <c r="Y448" s="542" t="str">
        <f>IFERROR(IF(C448="","",IF(INDEX(xyWattage_Table,MATCH(M448,'Fixture Identities'!$B$9:$B$997,0),2)="Exit Sign",0,IF(PRJ_Type="Retrofit",VLOOKUP(I448,xySVG_Factors,2,FALSE),IF(AND(PRJ_Type="New Construction",Inventory!C445="N"),VLOOKUP(VLOOKUP(Building_Type,xyLPD_BuildingArea,5,FALSE),xySVG_Factors_NC,3,FALSE),0)))),"")</f>
        <v/>
      </c>
      <c r="Z448" s="544" t="str">
        <f>IFERROR(IF(C448="","",IF(INDEX(xyWattage_Table,MATCH(M448,'Fixture Identities'!$B$9:$B$997,0),2)="Exit Sign",0,VLOOKUP(S448,xySVG_Factors,2,FALSE))),"")</f>
        <v/>
      </c>
      <c r="AA448" s="545" t="str">
        <f t="shared" si="153"/>
        <v/>
      </c>
      <c r="AB448" s="542" t="str">
        <f t="shared" si="154"/>
        <v/>
      </c>
      <c r="AC448" s="539" t="str">
        <f t="shared" si="155"/>
        <v/>
      </c>
      <c r="AD448" s="546" t="str">
        <f t="shared" si="156"/>
        <v/>
      </c>
      <c r="AE448" s="539" t="str">
        <f t="shared" si="157"/>
        <v/>
      </c>
      <c r="AF448" s="546" t="str">
        <f t="shared" si="158"/>
        <v/>
      </c>
      <c r="AG448" s="539" t="str">
        <f t="shared" si="159"/>
        <v/>
      </c>
      <c r="AH448" s="32">
        <f t="shared" si="161"/>
        <v>0</v>
      </c>
      <c r="AI448" s="32">
        <f t="shared" si="162"/>
        <v>0</v>
      </c>
      <c r="AJ448" s="32">
        <f t="shared" si="163"/>
        <v>0</v>
      </c>
      <c r="AK448" t="str">
        <f t="shared" si="164"/>
        <v/>
      </c>
      <c r="AL448" t="str">
        <f t="shared" si="165"/>
        <v/>
      </c>
      <c r="AM448" t="str">
        <f t="shared" si="166"/>
        <v/>
      </c>
      <c r="AO448" t="str">
        <f>IFERROR(VLOOKUP(M448,'Fixture Identities'!$B$9:$O$1045,14,FALSE),"")</f>
        <v/>
      </c>
      <c r="AP448" t="str">
        <f t="shared" si="160"/>
        <v/>
      </c>
    </row>
    <row r="449" spans="1:42">
      <c r="A449" s="71">
        <f t="shared" si="168"/>
        <v>0</v>
      </c>
      <c r="B449" s="513">
        <f t="shared" si="167"/>
        <v>437</v>
      </c>
      <c r="C449" s="530" t="str">
        <f>IF(Inventory!E446="","",Inventory!E446)</f>
        <v/>
      </c>
      <c r="D449" s="531">
        <f>IF(Inventory!D446="",0,Inventory!D446)</f>
        <v>0</v>
      </c>
      <c r="E449" s="532" t="str">
        <f>IF(Inventory!I446=0,"",Inventory!I446)</f>
        <v/>
      </c>
      <c r="F449" s="533" t="str">
        <f t="shared" si="147"/>
        <v/>
      </c>
      <c r="G449" s="534" t="str">
        <f>IF(Inventory!G446="","",Inventory!G446)</f>
        <v/>
      </c>
      <c r="H449" s="535" t="str">
        <f t="shared" si="148"/>
        <v/>
      </c>
      <c r="I449" s="536" t="str">
        <f>IF(Inventory!J446="","",Inventory!J446)</f>
        <v/>
      </c>
      <c r="J449" s="537" t="str">
        <f>IFERROR(IF(PRJ_Type="New Construction",IF(Inventory!C446="N",INDEX(xyLPD_BuildingArea,MATCH(Building_Type,Lookups!$F$37:$F$75,0),4),INDEX(xyLPD_SpaceBySpace,MATCH(INDEX(xyNCEx,MATCH(I449,yNCExArea,0),2),ySpace_by_Space_Type,0),2)),VLOOKUP(E449,xyWattage_Table,11,FALSE)),"")</f>
        <v/>
      </c>
      <c r="K449" s="538" t="str">
        <f>IFERROR(IF(AND(NC_Type="Building Area Method",Inventory!C446="N"),IF(ISERROR(INDEX('Usage Groups (&gt;120 MWh only)'!$N$8:$N$12,MATCH(C449,'Usage Groups (&gt;120 MWh only)'!$B$8:$B$12,0),1))=TRUE,SqFt/COUNTIFS(Inventory!$C$10:$C$1009,"N",$Q$13:$Q$1012,"&gt;=0"),INDEX('Usage Groups (&gt;120 MWh only)'!$N$8:$N$12,MATCH(C449,'Usage Groups (&gt;120 MWh only)'!$B$8:$B$12,0),1)/COUNTIF($C$13:$C$1012,C449)),IF(AND(NC_Type="Building Area Method",Inventory!C446="Y"),INDEX(xyNCEx,MATCH(I449,yNCExArea,0),3)/COUNTIF($I$13:$I$1012,I449),VLOOKUP(J449,xyWattage_Table,10,FALSE))),"")</f>
        <v/>
      </c>
      <c r="L449" s="539" t="str">
        <f t="shared" si="149"/>
        <v/>
      </c>
      <c r="M449" s="540">
        <f>IF(Inventory!N446="","",Inventory!N446)</f>
        <v>0</v>
      </c>
      <c r="N449" s="533" t="str">
        <f t="shared" si="150"/>
        <v/>
      </c>
      <c r="O449" s="534"/>
      <c r="P449" s="533" t="str">
        <f t="shared" si="151"/>
        <v/>
      </c>
      <c r="Q449" s="534" t="str">
        <f>IF(Inventory!L446="","",Inventory!L446)</f>
        <v/>
      </c>
      <c r="R449" s="535" t="str">
        <f t="shared" si="152"/>
        <v/>
      </c>
      <c r="S449" s="536" t="str">
        <f>IF(Inventory!O446="","",Inventory!O446)</f>
        <v/>
      </c>
      <c r="T449" s="541" t="str">
        <f>IFERROR(IF(C449="","",IF(INDEX(xyWattage_Table,MATCH(M449,'Fixture Identities'!$B$9:$B$997,0),2)="Exit Sign",8760,IF(VLOOKUP(C449,xySpace_Type_Details,8,FALSE)="TRM",INDEX('General Information'!$AF$17:$AG$28,11,MATCH(N449,'General Information'!$AF$16:$AG$16,0)),HLOOKUP(VLOOKUP(C449,xySpace_Type_Details,8,FALSE),'General Information'!$P$15:$AG$28,13,FALSE)))),"")</f>
        <v/>
      </c>
      <c r="U449" s="542" t="str">
        <f>IFERROR(IF(C449="","",IF(INDEX(xyWattage_Table,MATCH(M449,'Fixture Identities'!$B$9:$B$997,0),2)="Exit Sign",1,IF(VLOOKUP(C449,xySpace_Type_Details,8,FALSE)="TRM",INDEX('General Information'!$AF$17:$AG$28,12,MATCH(N449,'General Information'!$AF$16:$AG$16,0)),HLOOKUP(VLOOKUP(C449,xySpace_Type_Details,8,FALSE),'General Information'!$P$15:$AG$28,14,FALSE)))),"")</f>
        <v/>
      </c>
      <c r="V449" s="542" t="str">
        <f>IFERROR(VLOOKUP(INDEX(xySpace_Type_Details,MATCH($C449,'General Information'!$C$40:$C$60,0),12),Lookups!$L$8:$N$12,2,FALSE),"")</f>
        <v/>
      </c>
      <c r="W449" s="542" t="str">
        <f>IFERROR(VLOOKUP(INDEX(xySpace_Type_Details,MATCH($C449,'General Information'!$C$40:$C$60,0),12),Lookups!$L$8:$N$12,3,FALSE),"")</f>
        <v/>
      </c>
      <c r="Y449" s="542" t="str">
        <f>IFERROR(IF(C449="","",IF(INDEX(xyWattage_Table,MATCH(M449,'Fixture Identities'!$B$9:$B$997,0),2)="Exit Sign",0,IF(PRJ_Type="Retrofit",VLOOKUP(I449,xySVG_Factors,2,FALSE),IF(AND(PRJ_Type="New Construction",Inventory!C446="N"),VLOOKUP(VLOOKUP(Building_Type,xyLPD_BuildingArea,5,FALSE),xySVG_Factors_NC,3,FALSE),0)))),"")</f>
        <v/>
      </c>
      <c r="Z449" s="544" t="str">
        <f>IFERROR(IF(C449="","",IF(INDEX(xyWattage_Table,MATCH(M449,'Fixture Identities'!$B$9:$B$997,0),2)="Exit Sign",0,VLOOKUP(S449,xySVG_Factors,2,FALSE))),"")</f>
        <v/>
      </c>
      <c r="AA449" s="545" t="str">
        <f t="shared" si="153"/>
        <v/>
      </c>
      <c r="AB449" s="542" t="str">
        <f t="shared" si="154"/>
        <v/>
      </c>
      <c r="AC449" s="539" t="str">
        <f t="shared" si="155"/>
        <v/>
      </c>
      <c r="AD449" s="546" t="str">
        <f t="shared" si="156"/>
        <v/>
      </c>
      <c r="AE449" s="539" t="str">
        <f t="shared" si="157"/>
        <v/>
      </c>
      <c r="AF449" s="546" t="str">
        <f t="shared" si="158"/>
        <v/>
      </c>
      <c r="AG449" s="539" t="str">
        <f t="shared" si="159"/>
        <v/>
      </c>
      <c r="AH449" s="32">
        <f t="shared" si="161"/>
        <v>0</v>
      </c>
      <c r="AI449" s="32">
        <f t="shared" si="162"/>
        <v>0</v>
      </c>
      <c r="AJ449" s="32">
        <f t="shared" si="163"/>
        <v>0</v>
      </c>
      <c r="AK449" t="str">
        <f t="shared" si="164"/>
        <v/>
      </c>
      <c r="AL449" t="str">
        <f t="shared" si="165"/>
        <v/>
      </c>
      <c r="AM449" t="str">
        <f t="shared" si="166"/>
        <v/>
      </c>
      <c r="AO449" t="str">
        <f>IFERROR(VLOOKUP(M449,'Fixture Identities'!$B$9:$O$1045,14,FALSE),"")</f>
        <v/>
      </c>
      <c r="AP449" t="str">
        <f t="shared" si="160"/>
        <v/>
      </c>
    </row>
    <row r="450" spans="1:42">
      <c r="A450" s="71">
        <f t="shared" si="168"/>
        <v>0</v>
      </c>
      <c r="B450" s="513">
        <f t="shared" si="167"/>
        <v>438</v>
      </c>
      <c r="C450" s="530" t="str">
        <f>IF(Inventory!E447="","",Inventory!E447)</f>
        <v/>
      </c>
      <c r="D450" s="531">
        <f>IF(Inventory!D447="",0,Inventory!D447)</f>
        <v>0</v>
      </c>
      <c r="E450" s="532" t="str">
        <f>IF(Inventory!I447=0,"",Inventory!I447)</f>
        <v/>
      </c>
      <c r="F450" s="533" t="str">
        <f t="shared" si="147"/>
        <v/>
      </c>
      <c r="G450" s="534" t="str">
        <f>IF(Inventory!G447="","",Inventory!G447)</f>
        <v/>
      </c>
      <c r="H450" s="535" t="str">
        <f t="shared" si="148"/>
        <v/>
      </c>
      <c r="I450" s="536" t="str">
        <f>IF(Inventory!J447="","",Inventory!J447)</f>
        <v/>
      </c>
      <c r="J450" s="537" t="str">
        <f>IFERROR(IF(PRJ_Type="New Construction",IF(Inventory!C447="N",INDEX(xyLPD_BuildingArea,MATCH(Building_Type,Lookups!$F$37:$F$75,0),4),INDEX(xyLPD_SpaceBySpace,MATCH(INDEX(xyNCEx,MATCH(I450,yNCExArea,0),2),ySpace_by_Space_Type,0),2)),VLOOKUP(E450,xyWattage_Table,11,FALSE)),"")</f>
        <v/>
      </c>
      <c r="K450" s="538" t="str">
        <f>IFERROR(IF(AND(NC_Type="Building Area Method",Inventory!C447="N"),IF(ISERROR(INDEX('Usage Groups (&gt;120 MWh only)'!$N$8:$N$12,MATCH(C450,'Usage Groups (&gt;120 MWh only)'!$B$8:$B$12,0),1))=TRUE,SqFt/COUNTIFS(Inventory!$C$10:$C$1009,"N",$Q$13:$Q$1012,"&gt;=0"),INDEX('Usage Groups (&gt;120 MWh only)'!$N$8:$N$12,MATCH(C450,'Usage Groups (&gt;120 MWh only)'!$B$8:$B$12,0),1)/COUNTIF($C$13:$C$1012,C450)),IF(AND(NC_Type="Building Area Method",Inventory!C447="Y"),INDEX(xyNCEx,MATCH(I450,yNCExArea,0),3)/COUNTIF($I$13:$I$1012,I450),VLOOKUP(J450,xyWattage_Table,10,FALSE))),"")</f>
        <v/>
      </c>
      <c r="L450" s="539" t="str">
        <f t="shared" si="149"/>
        <v/>
      </c>
      <c r="M450" s="540">
        <f>IF(Inventory!N447="","",Inventory!N447)</f>
        <v>0</v>
      </c>
      <c r="N450" s="533" t="str">
        <f t="shared" si="150"/>
        <v/>
      </c>
      <c r="O450" s="534"/>
      <c r="P450" s="533" t="str">
        <f t="shared" si="151"/>
        <v/>
      </c>
      <c r="Q450" s="534" t="str">
        <f>IF(Inventory!L447="","",Inventory!L447)</f>
        <v/>
      </c>
      <c r="R450" s="535" t="str">
        <f t="shared" si="152"/>
        <v/>
      </c>
      <c r="S450" s="536" t="str">
        <f>IF(Inventory!O447="","",Inventory!O447)</f>
        <v/>
      </c>
      <c r="T450" s="541" t="str">
        <f>IFERROR(IF(C450="","",IF(INDEX(xyWattage_Table,MATCH(M450,'Fixture Identities'!$B$9:$B$997,0),2)="Exit Sign",8760,IF(VLOOKUP(C450,xySpace_Type_Details,8,FALSE)="TRM",INDEX('General Information'!$AF$17:$AG$28,11,MATCH(N450,'General Information'!$AF$16:$AG$16,0)),HLOOKUP(VLOOKUP(C450,xySpace_Type_Details,8,FALSE),'General Information'!$P$15:$AG$28,13,FALSE)))),"")</f>
        <v/>
      </c>
      <c r="U450" s="542" t="str">
        <f>IFERROR(IF(C450="","",IF(INDEX(xyWattage_Table,MATCH(M450,'Fixture Identities'!$B$9:$B$997,0),2)="Exit Sign",1,IF(VLOOKUP(C450,xySpace_Type_Details,8,FALSE)="TRM",INDEX('General Information'!$AF$17:$AG$28,12,MATCH(N450,'General Information'!$AF$16:$AG$16,0)),HLOOKUP(VLOOKUP(C450,xySpace_Type_Details,8,FALSE),'General Information'!$P$15:$AG$28,14,FALSE)))),"")</f>
        <v/>
      </c>
      <c r="V450" s="542" t="str">
        <f>IFERROR(VLOOKUP(INDEX(xySpace_Type_Details,MATCH($C450,'General Information'!$C$40:$C$60,0),12),Lookups!$L$8:$N$12,2,FALSE),"")</f>
        <v/>
      </c>
      <c r="W450" s="542" t="str">
        <f>IFERROR(VLOOKUP(INDEX(xySpace_Type_Details,MATCH($C450,'General Information'!$C$40:$C$60,0),12),Lookups!$L$8:$N$12,3,FALSE),"")</f>
        <v/>
      </c>
      <c r="Y450" s="542" t="str">
        <f>IFERROR(IF(C450="","",IF(INDEX(xyWattage_Table,MATCH(M450,'Fixture Identities'!$B$9:$B$997,0),2)="Exit Sign",0,IF(PRJ_Type="Retrofit",VLOOKUP(I450,xySVG_Factors,2,FALSE),IF(AND(PRJ_Type="New Construction",Inventory!C447="N"),VLOOKUP(VLOOKUP(Building_Type,xyLPD_BuildingArea,5,FALSE),xySVG_Factors_NC,3,FALSE),0)))),"")</f>
        <v/>
      </c>
      <c r="Z450" s="544" t="str">
        <f>IFERROR(IF(C450="","",IF(INDEX(xyWattage_Table,MATCH(M450,'Fixture Identities'!$B$9:$B$997,0),2)="Exit Sign",0,VLOOKUP(S450,xySVG_Factors,2,FALSE))),"")</f>
        <v/>
      </c>
      <c r="AA450" s="545" t="str">
        <f t="shared" si="153"/>
        <v/>
      </c>
      <c r="AB450" s="542" t="str">
        <f t="shared" si="154"/>
        <v/>
      </c>
      <c r="AC450" s="539" t="str">
        <f t="shared" si="155"/>
        <v/>
      </c>
      <c r="AD450" s="546" t="str">
        <f t="shared" si="156"/>
        <v/>
      </c>
      <c r="AE450" s="539" t="str">
        <f t="shared" si="157"/>
        <v/>
      </c>
      <c r="AF450" s="546" t="str">
        <f t="shared" si="158"/>
        <v/>
      </c>
      <c r="AG450" s="539" t="str">
        <f t="shared" si="159"/>
        <v/>
      </c>
      <c r="AH450" s="32">
        <f t="shared" si="161"/>
        <v>0</v>
      </c>
      <c r="AI450" s="32">
        <f t="shared" si="162"/>
        <v>0</v>
      </c>
      <c r="AJ450" s="32">
        <f t="shared" si="163"/>
        <v>0</v>
      </c>
      <c r="AK450" t="str">
        <f t="shared" si="164"/>
        <v/>
      </c>
      <c r="AL450" t="str">
        <f t="shared" si="165"/>
        <v/>
      </c>
      <c r="AM450" t="str">
        <f t="shared" si="166"/>
        <v/>
      </c>
      <c r="AO450" t="str">
        <f>IFERROR(VLOOKUP(M450,'Fixture Identities'!$B$9:$O$1045,14,FALSE),"")</f>
        <v/>
      </c>
      <c r="AP450" t="str">
        <f t="shared" si="160"/>
        <v/>
      </c>
    </row>
    <row r="451" spans="1:42">
      <c r="A451" s="71">
        <f t="shared" si="168"/>
        <v>0</v>
      </c>
      <c r="B451" s="513">
        <f t="shared" si="167"/>
        <v>439</v>
      </c>
      <c r="C451" s="530" t="str">
        <f>IF(Inventory!E448="","",Inventory!E448)</f>
        <v/>
      </c>
      <c r="D451" s="531">
        <f>IF(Inventory!D448="",0,Inventory!D448)</f>
        <v>0</v>
      </c>
      <c r="E451" s="532" t="str">
        <f>IF(Inventory!I448=0,"",Inventory!I448)</f>
        <v/>
      </c>
      <c r="F451" s="533" t="str">
        <f t="shared" si="147"/>
        <v/>
      </c>
      <c r="G451" s="534" t="str">
        <f>IF(Inventory!G448="","",Inventory!G448)</f>
        <v/>
      </c>
      <c r="H451" s="535" t="str">
        <f t="shared" si="148"/>
        <v/>
      </c>
      <c r="I451" s="536" t="str">
        <f>IF(Inventory!J448="","",Inventory!J448)</f>
        <v/>
      </c>
      <c r="J451" s="537" t="str">
        <f>IFERROR(IF(PRJ_Type="New Construction",IF(Inventory!C448="N",INDEX(xyLPD_BuildingArea,MATCH(Building_Type,Lookups!$F$37:$F$75,0),4),INDEX(xyLPD_SpaceBySpace,MATCH(INDEX(xyNCEx,MATCH(I451,yNCExArea,0),2),ySpace_by_Space_Type,0),2)),VLOOKUP(E451,xyWattage_Table,11,FALSE)),"")</f>
        <v/>
      </c>
      <c r="K451" s="538" t="str">
        <f>IFERROR(IF(AND(NC_Type="Building Area Method",Inventory!C448="N"),IF(ISERROR(INDEX('Usage Groups (&gt;120 MWh only)'!$N$8:$N$12,MATCH(C451,'Usage Groups (&gt;120 MWh only)'!$B$8:$B$12,0),1))=TRUE,SqFt/COUNTIFS(Inventory!$C$10:$C$1009,"N",$Q$13:$Q$1012,"&gt;=0"),INDEX('Usage Groups (&gt;120 MWh only)'!$N$8:$N$12,MATCH(C451,'Usage Groups (&gt;120 MWh only)'!$B$8:$B$12,0),1)/COUNTIF($C$13:$C$1012,C451)),IF(AND(NC_Type="Building Area Method",Inventory!C448="Y"),INDEX(xyNCEx,MATCH(I451,yNCExArea,0),3)/COUNTIF($I$13:$I$1012,I451),VLOOKUP(J451,xyWattage_Table,10,FALSE))),"")</f>
        <v/>
      </c>
      <c r="L451" s="539" t="str">
        <f t="shared" si="149"/>
        <v/>
      </c>
      <c r="M451" s="540">
        <f>IF(Inventory!N448="","",Inventory!N448)</f>
        <v>0</v>
      </c>
      <c r="N451" s="533" t="str">
        <f t="shared" si="150"/>
        <v/>
      </c>
      <c r="O451" s="534"/>
      <c r="P451" s="533" t="str">
        <f t="shared" si="151"/>
        <v/>
      </c>
      <c r="Q451" s="534" t="str">
        <f>IF(Inventory!L448="","",Inventory!L448)</f>
        <v/>
      </c>
      <c r="R451" s="535" t="str">
        <f t="shared" si="152"/>
        <v/>
      </c>
      <c r="S451" s="536" t="str">
        <f>IF(Inventory!O448="","",Inventory!O448)</f>
        <v/>
      </c>
      <c r="T451" s="541" t="str">
        <f>IFERROR(IF(C451="","",IF(INDEX(xyWattage_Table,MATCH(M451,'Fixture Identities'!$B$9:$B$997,0),2)="Exit Sign",8760,IF(VLOOKUP(C451,xySpace_Type_Details,8,FALSE)="TRM",INDEX('General Information'!$AF$17:$AG$28,11,MATCH(N451,'General Information'!$AF$16:$AG$16,0)),HLOOKUP(VLOOKUP(C451,xySpace_Type_Details,8,FALSE),'General Information'!$P$15:$AG$28,13,FALSE)))),"")</f>
        <v/>
      </c>
      <c r="U451" s="542" t="str">
        <f>IFERROR(IF(C451="","",IF(INDEX(xyWattage_Table,MATCH(M451,'Fixture Identities'!$B$9:$B$997,0),2)="Exit Sign",1,IF(VLOOKUP(C451,xySpace_Type_Details,8,FALSE)="TRM",INDEX('General Information'!$AF$17:$AG$28,12,MATCH(N451,'General Information'!$AF$16:$AG$16,0)),HLOOKUP(VLOOKUP(C451,xySpace_Type_Details,8,FALSE),'General Information'!$P$15:$AG$28,14,FALSE)))),"")</f>
        <v/>
      </c>
      <c r="V451" s="542" t="str">
        <f>IFERROR(VLOOKUP(INDEX(xySpace_Type_Details,MATCH($C451,'General Information'!$C$40:$C$60,0),12),Lookups!$L$8:$N$12,2,FALSE),"")</f>
        <v/>
      </c>
      <c r="W451" s="542" t="str">
        <f>IFERROR(VLOOKUP(INDEX(xySpace_Type_Details,MATCH($C451,'General Information'!$C$40:$C$60,0),12),Lookups!$L$8:$N$12,3,FALSE),"")</f>
        <v/>
      </c>
      <c r="Y451" s="542" t="str">
        <f>IFERROR(IF(C451="","",IF(INDEX(xyWattage_Table,MATCH(M451,'Fixture Identities'!$B$9:$B$997,0),2)="Exit Sign",0,IF(PRJ_Type="Retrofit",VLOOKUP(I451,xySVG_Factors,2,FALSE),IF(AND(PRJ_Type="New Construction",Inventory!C448="N"),VLOOKUP(VLOOKUP(Building_Type,xyLPD_BuildingArea,5,FALSE),xySVG_Factors_NC,3,FALSE),0)))),"")</f>
        <v/>
      </c>
      <c r="Z451" s="544" t="str">
        <f>IFERROR(IF(C451="","",IF(INDEX(xyWattage_Table,MATCH(M451,'Fixture Identities'!$B$9:$B$997,0),2)="Exit Sign",0,VLOOKUP(S451,xySVG_Factors,2,FALSE))),"")</f>
        <v/>
      </c>
      <c r="AA451" s="545" t="str">
        <f t="shared" si="153"/>
        <v/>
      </c>
      <c r="AB451" s="542" t="str">
        <f t="shared" si="154"/>
        <v/>
      </c>
      <c r="AC451" s="539" t="str">
        <f t="shared" si="155"/>
        <v/>
      </c>
      <c r="AD451" s="546" t="str">
        <f t="shared" si="156"/>
        <v/>
      </c>
      <c r="AE451" s="539" t="str">
        <f t="shared" si="157"/>
        <v/>
      </c>
      <c r="AF451" s="546" t="str">
        <f t="shared" si="158"/>
        <v/>
      </c>
      <c r="AG451" s="539" t="str">
        <f t="shared" si="159"/>
        <v/>
      </c>
      <c r="AH451" s="32">
        <f t="shared" si="161"/>
        <v>0</v>
      </c>
      <c r="AI451" s="32">
        <f t="shared" si="162"/>
        <v>0</v>
      </c>
      <c r="AJ451" s="32">
        <f t="shared" si="163"/>
        <v>0</v>
      </c>
      <c r="AK451" t="str">
        <f t="shared" si="164"/>
        <v/>
      </c>
      <c r="AL451" t="str">
        <f t="shared" si="165"/>
        <v/>
      </c>
      <c r="AM451" t="str">
        <f t="shared" si="166"/>
        <v/>
      </c>
      <c r="AO451" t="str">
        <f>IFERROR(VLOOKUP(M451,'Fixture Identities'!$B$9:$O$1045,14,FALSE),"")</f>
        <v/>
      </c>
      <c r="AP451" t="str">
        <f t="shared" si="160"/>
        <v/>
      </c>
    </row>
    <row r="452" spans="1:42">
      <c r="A452" s="71">
        <f t="shared" si="168"/>
        <v>0</v>
      </c>
      <c r="B452" s="513">
        <f t="shared" si="167"/>
        <v>440</v>
      </c>
      <c r="C452" s="530" t="str">
        <f>IF(Inventory!E449="","",Inventory!E449)</f>
        <v/>
      </c>
      <c r="D452" s="531">
        <f>IF(Inventory!D449="",0,Inventory!D449)</f>
        <v>0</v>
      </c>
      <c r="E452" s="532" t="str">
        <f>IF(Inventory!I449=0,"",Inventory!I449)</f>
        <v/>
      </c>
      <c r="F452" s="533" t="str">
        <f t="shared" si="147"/>
        <v/>
      </c>
      <c r="G452" s="534" t="str">
        <f>IF(Inventory!G449="","",Inventory!G449)</f>
        <v/>
      </c>
      <c r="H452" s="535" t="str">
        <f t="shared" si="148"/>
        <v/>
      </c>
      <c r="I452" s="536" t="str">
        <f>IF(Inventory!J449="","",Inventory!J449)</f>
        <v/>
      </c>
      <c r="J452" s="537" t="str">
        <f>IFERROR(IF(PRJ_Type="New Construction",IF(Inventory!C449="N",INDEX(xyLPD_BuildingArea,MATCH(Building_Type,Lookups!$F$37:$F$75,0),4),INDEX(xyLPD_SpaceBySpace,MATCH(INDEX(xyNCEx,MATCH(I452,yNCExArea,0),2),ySpace_by_Space_Type,0),2)),VLOOKUP(E452,xyWattage_Table,11,FALSE)),"")</f>
        <v/>
      </c>
      <c r="K452" s="538" t="str">
        <f>IFERROR(IF(AND(NC_Type="Building Area Method",Inventory!C449="N"),IF(ISERROR(INDEX('Usage Groups (&gt;120 MWh only)'!$N$8:$N$12,MATCH(C452,'Usage Groups (&gt;120 MWh only)'!$B$8:$B$12,0),1))=TRUE,SqFt/COUNTIFS(Inventory!$C$10:$C$1009,"N",$Q$13:$Q$1012,"&gt;=0"),INDEX('Usage Groups (&gt;120 MWh only)'!$N$8:$N$12,MATCH(C452,'Usage Groups (&gt;120 MWh only)'!$B$8:$B$12,0),1)/COUNTIF($C$13:$C$1012,C452)),IF(AND(NC_Type="Building Area Method",Inventory!C449="Y"),INDEX(xyNCEx,MATCH(I452,yNCExArea,0),3)/COUNTIF($I$13:$I$1012,I452),VLOOKUP(J452,xyWattage_Table,10,FALSE))),"")</f>
        <v/>
      </c>
      <c r="L452" s="539" t="str">
        <f t="shared" si="149"/>
        <v/>
      </c>
      <c r="M452" s="540">
        <f>IF(Inventory!N449="","",Inventory!N449)</f>
        <v>0</v>
      </c>
      <c r="N452" s="533" t="str">
        <f t="shared" si="150"/>
        <v/>
      </c>
      <c r="O452" s="534"/>
      <c r="P452" s="533" t="str">
        <f t="shared" si="151"/>
        <v/>
      </c>
      <c r="Q452" s="534" t="str">
        <f>IF(Inventory!L449="","",Inventory!L449)</f>
        <v/>
      </c>
      <c r="R452" s="535" t="str">
        <f t="shared" si="152"/>
        <v/>
      </c>
      <c r="S452" s="536" t="str">
        <f>IF(Inventory!O449="","",Inventory!O449)</f>
        <v/>
      </c>
      <c r="T452" s="541" t="str">
        <f>IFERROR(IF(C452="","",IF(INDEX(xyWattage_Table,MATCH(M452,'Fixture Identities'!$B$9:$B$997,0),2)="Exit Sign",8760,IF(VLOOKUP(C452,xySpace_Type_Details,8,FALSE)="TRM",INDEX('General Information'!$AF$17:$AG$28,11,MATCH(N452,'General Information'!$AF$16:$AG$16,0)),HLOOKUP(VLOOKUP(C452,xySpace_Type_Details,8,FALSE),'General Information'!$P$15:$AG$28,13,FALSE)))),"")</f>
        <v/>
      </c>
      <c r="U452" s="542" t="str">
        <f>IFERROR(IF(C452="","",IF(INDEX(xyWattage_Table,MATCH(M452,'Fixture Identities'!$B$9:$B$997,0),2)="Exit Sign",1,IF(VLOOKUP(C452,xySpace_Type_Details,8,FALSE)="TRM",INDEX('General Information'!$AF$17:$AG$28,12,MATCH(N452,'General Information'!$AF$16:$AG$16,0)),HLOOKUP(VLOOKUP(C452,xySpace_Type_Details,8,FALSE),'General Information'!$P$15:$AG$28,14,FALSE)))),"")</f>
        <v/>
      </c>
      <c r="V452" s="542" t="str">
        <f>IFERROR(VLOOKUP(INDEX(xySpace_Type_Details,MATCH($C452,'General Information'!$C$40:$C$60,0),12),Lookups!$L$8:$N$12,2,FALSE),"")</f>
        <v/>
      </c>
      <c r="W452" s="542" t="str">
        <f>IFERROR(VLOOKUP(INDEX(xySpace_Type_Details,MATCH($C452,'General Information'!$C$40:$C$60,0),12),Lookups!$L$8:$N$12,3,FALSE),"")</f>
        <v/>
      </c>
      <c r="Y452" s="542" t="str">
        <f>IFERROR(IF(C452="","",IF(INDEX(xyWattage_Table,MATCH(M452,'Fixture Identities'!$B$9:$B$997,0),2)="Exit Sign",0,IF(PRJ_Type="Retrofit",VLOOKUP(I452,xySVG_Factors,2,FALSE),IF(AND(PRJ_Type="New Construction",Inventory!C449="N"),VLOOKUP(VLOOKUP(Building_Type,xyLPD_BuildingArea,5,FALSE),xySVG_Factors_NC,3,FALSE),0)))),"")</f>
        <v/>
      </c>
      <c r="Z452" s="544" t="str">
        <f>IFERROR(IF(C452="","",IF(INDEX(xyWattage_Table,MATCH(M452,'Fixture Identities'!$B$9:$B$997,0),2)="Exit Sign",0,VLOOKUP(S452,xySVG_Factors,2,FALSE))),"")</f>
        <v/>
      </c>
      <c r="AA452" s="545" t="str">
        <f t="shared" si="153"/>
        <v/>
      </c>
      <c r="AB452" s="542" t="str">
        <f t="shared" si="154"/>
        <v/>
      </c>
      <c r="AC452" s="539" t="str">
        <f t="shared" si="155"/>
        <v/>
      </c>
      <c r="AD452" s="546" t="str">
        <f t="shared" si="156"/>
        <v/>
      </c>
      <c r="AE452" s="539" t="str">
        <f t="shared" si="157"/>
        <v/>
      </c>
      <c r="AF452" s="546" t="str">
        <f t="shared" si="158"/>
        <v/>
      </c>
      <c r="AG452" s="539" t="str">
        <f t="shared" si="159"/>
        <v/>
      </c>
      <c r="AH452" s="32">
        <f t="shared" si="161"/>
        <v>0</v>
      </c>
      <c r="AI452" s="32">
        <f t="shared" si="162"/>
        <v>0</v>
      </c>
      <c r="AJ452" s="32">
        <f t="shared" si="163"/>
        <v>0</v>
      </c>
      <c r="AK452" t="str">
        <f t="shared" si="164"/>
        <v/>
      </c>
      <c r="AL452" t="str">
        <f t="shared" si="165"/>
        <v/>
      </c>
      <c r="AM452" t="str">
        <f t="shared" si="166"/>
        <v/>
      </c>
      <c r="AO452" t="str">
        <f>IFERROR(VLOOKUP(M452,'Fixture Identities'!$B$9:$O$1045,14,FALSE),"")</f>
        <v/>
      </c>
      <c r="AP452" t="str">
        <f t="shared" si="160"/>
        <v/>
      </c>
    </row>
    <row r="453" spans="1:42">
      <c r="A453" s="71">
        <f t="shared" si="168"/>
        <v>0</v>
      </c>
      <c r="B453" s="513">
        <f t="shared" si="167"/>
        <v>441</v>
      </c>
      <c r="C453" s="530" t="str">
        <f>IF(Inventory!E450="","",Inventory!E450)</f>
        <v/>
      </c>
      <c r="D453" s="531">
        <f>IF(Inventory!D450="",0,Inventory!D450)</f>
        <v>0</v>
      </c>
      <c r="E453" s="532" t="str">
        <f>IF(Inventory!I450=0,"",Inventory!I450)</f>
        <v/>
      </c>
      <c r="F453" s="533" t="str">
        <f t="shared" si="147"/>
        <v/>
      </c>
      <c r="G453" s="534" t="str">
        <f>IF(Inventory!G450="","",Inventory!G450)</f>
        <v/>
      </c>
      <c r="H453" s="535" t="str">
        <f t="shared" si="148"/>
        <v/>
      </c>
      <c r="I453" s="536" t="str">
        <f>IF(Inventory!J450="","",Inventory!J450)</f>
        <v/>
      </c>
      <c r="J453" s="537" t="str">
        <f>IFERROR(IF(PRJ_Type="New Construction",IF(Inventory!C450="N",INDEX(xyLPD_BuildingArea,MATCH(Building_Type,Lookups!$F$37:$F$75,0),4),INDEX(xyLPD_SpaceBySpace,MATCH(INDEX(xyNCEx,MATCH(I453,yNCExArea,0),2),ySpace_by_Space_Type,0),2)),VLOOKUP(E453,xyWattage_Table,11,FALSE)),"")</f>
        <v/>
      </c>
      <c r="K453" s="538" t="str">
        <f>IFERROR(IF(AND(NC_Type="Building Area Method",Inventory!C450="N"),IF(ISERROR(INDEX('Usage Groups (&gt;120 MWh only)'!$N$8:$N$12,MATCH(C453,'Usage Groups (&gt;120 MWh only)'!$B$8:$B$12,0),1))=TRUE,SqFt/COUNTIFS(Inventory!$C$10:$C$1009,"N",$Q$13:$Q$1012,"&gt;=0"),INDEX('Usage Groups (&gt;120 MWh only)'!$N$8:$N$12,MATCH(C453,'Usage Groups (&gt;120 MWh only)'!$B$8:$B$12,0),1)/COUNTIF($C$13:$C$1012,C453)),IF(AND(NC_Type="Building Area Method",Inventory!C450="Y"),INDEX(xyNCEx,MATCH(I453,yNCExArea,0),3)/COUNTIF($I$13:$I$1012,I453),VLOOKUP(J453,xyWattage_Table,10,FALSE))),"")</f>
        <v/>
      </c>
      <c r="L453" s="539" t="str">
        <f t="shared" si="149"/>
        <v/>
      </c>
      <c r="M453" s="540">
        <f>IF(Inventory!N450="","",Inventory!N450)</f>
        <v>0</v>
      </c>
      <c r="N453" s="533" t="str">
        <f t="shared" si="150"/>
        <v/>
      </c>
      <c r="O453" s="534"/>
      <c r="P453" s="533" t="str">
        <f t="shared" si="151"/>
        <v/>
      </c>
      <c r="Q453" s="534" t="str">
        <f>IF(Inventory!L450="","",Inventory!L450)</f>
        <v/>
      </c>
      <c r="R453" s="535" t="str">
        <f t="shared" si="152"/>
        <v/>
      </c>
      <c r="S453" s="536" t="str">
        <f>IF(Inventory!O450="","",Inventory!O450)</f>
        <v/>
      </c>
      <c r="T453" s="541" t="str">
        <f>IFERROR(IF(C453="","",IF(INDEX(xyWattage_Table,MATCH(M453,'Fixture Identities'!$B$9:$B$997,0),2)="Exit Sign",8760,IF(VLOOKUP(C453,xySpace_Type_Details,8,FALSE)="TRM",INDEX('General Information'!$AF$17:$AG$28,11,MATCH(N453,'General Information'!$AF$16:$AG$16,0)),HLOOKUP(VLOOKUP(C453,xySpace_Type_Details,8,FALSE),'General Information'!$P$15:$AG$28,13,FALSE)))),"")</f>
        <v/>
      </c>
      <c r="U453" s="542" t="str">
        <f>IFERROR(IF(C453="","",IF(INDEX(xyWattage_Table,MATCH(M453,'Fixture Identities'!$B$9:$B$997,0),2)="Exit Sign",1,IF(VLOOKUP(C453,xySpace_Type_Details,8,FALSE)="TRM",INDEX('General Information'!$AF$17:$AG$28,12,MATCH(N453,'General Information'!$AF$16:$AG$16,0)),HLOOKUP(VLOOKUP(C453,xySpace_Type_Details,8,FALSE),'General Information'!$P$15:$AG$28,14,FALSE)))),"")</f>
        <v/>
      </c>
      <c r="V453" s="542" t="str">
        <f>IFERROR(VLOOKUP(INDEX(xySpace_Type_Details,MATCH($C453,'General Information'!$C$40:$C$60,0),12),Lookups!$L$8:$N$12,2,FALSE),"")</f>
        <v/>
      </c>
      <c r="W453" s="542" t="str">
        <f>IFERROR(VLOOKUP(INDEX(xySpace_Type_Details,MATCH($C453,'General Information'!$C$40:$C$60,0),12),Lookups!$L$8:$N$12,3,FALSE),"")</f>
        <v/>
      </c>
      <c r="Y453" s="542" t="str">
        <f>IFERROR(IF(C453="","",IF(INDEX(xyWattage_Table,MATCH(M453,'Fixture Identities'!$B$9:$B$997,0),2)="Exit Sign",0,IF(PRJ_Type="Retrofit",VLOOKUP(I453,xySVG_Factors,2,FALSE),IF(AND(PRJ_Type="New Construction",Inventory!C450="N"),VLOOKUP(VLOOKUP(Building_Type,xyLPD_BuildingArea,5,FALSE),xySVG_Factors_NC,3,FALSE),0)))),"")</f>
        <v/>
      </c>
      <c r="Z453" s="544" t="str">
        <f>IFERROR(IF(C453="","",IF(INDEX(xyWattage_Table,MATCH(M453,'Fixture Identities'!$B$9:$B$997,0),2)="Exit Sign",0,VLOOKUP(S453,xySVG_Factors,2,FALSE))),"")</f>
        <v/>
      </c>
      <c r="AA453" s="545" t="str">
        <f t="shared" si="153"/>
        <v/>
      </c>
      <c r="AB453" s="542" t="str">
        <f t="shared" si="154"/>
        <v/>
      </c>
      <c r="AC453" s="539" t="str">
        <f t="shared" si="155"/>
        <v/>
      </c>
      <c r="AD453" s="546" t="str">
        <f t="shared" si="156"/>
        <v/>
      </c>
      <c r="AE453" s="539" t="str">
        <f t="shared" si="157"/>
        <v/>
      </c>
      <c r="AF453" s="546" t="str">
        <f t="shared" si="158"/>
        <v/>
      </c>
      <c r="AG453" s="539" t="str">
        <f t="shared" si="159"/>
        <v/>
      </c>
      <c r="AH453" s="32">
        <f t="shared" si="161"/>
        <v>0</v>
      </c>
      <c r="AI453" s="32">
        <f t="shared" si="162"/>
        <v>0</v>
      </c>
      <c r="AJ453" s="32">
        <f t="shared" si="163"/>
        <v>0</v>
      </c>
      <c r="AK453" t="str">
        <f t="shared" si="164"/>
        <v/>
      </c>
      <c r="AL453" t="str">
        <f t="shared" si="165"/>
        <v/>
      </c>
      <c r="AM453" t="str">
        <f t="shared" si="166"/>
        <v/>
      </c>
      <c r="AO453" t="str">
        <f>IFERROR(VLOOKUP(M453,'Fixture Identities'!$B$9:$O$1045,14,FALSE),"")</f>
        <v/>
      </c>
      <c r="AP453" t="str">
        <f t="shared" si="160"/>
        <v/>
      </c>
    </row>
    <row r="454" spans="1:42">
      <c r="A454" s="71">
        <f t="shared" si="168"/>
        <v>0</v>
      </c>
      <c r="B454" s="513">
        <f t="shared" si="167"/>
        <v>442</v>
      </c>
      <c r="C454" s="530" t="str">
        <f>IF(Inventory!E451="","",Inventory!E451)</f>
        <v/>
      </c>
      <c r="D454" s="531">
        <f>IF(Inventory!D451="",0,Inventory!D451)</f>
        <v>0</v>
      </c>
      <c r="E454" s="532" t="str">
        <f>IF(Inventory!I451=0,"",Inventory!I451)</f>
        <v/>
      </c>
      <c r="F454" s="533" t="str">
        <f t="shared" si="147"/>
        <v/>
      </c>
      <c r="G454" s="534" t="str">
        <f>IF(Inventory!G451="","",Inventory!G451)</f>
        <v/>
      </c>
      <c r="H454" s="535" t="str">
        <f t="shared" si="148"/>
        <v/>
      </c>
      <c r="I454" s="536" t="str">
        <f>IF(Inventory!J451="","",Inventory!J451)</f>
        <v/>
      </c>
      <c r="J454" s="537" t="str">
        <f>IFERROR(IF(PRJ_Type="New Construction",IF(Inventory!C451="N",INDEX(xyLPD_BuildingArea,MATCH(Building_Type,Lookups!$F$37:$F$75,0),4),INDEX(xyLPD_SpaceBySpace,MATCH(INDEX(xyNCEx,MATCH(I454,yNCExArea,0),2),ySpace_by_Space_Type,0),2)),VLOOKUP(E454,xyWattage_Table,11,FALSE)),"")</f>
        <v/>
      </c>
      <c r="K454" s="538" t="str">
        <f>IFERROR(IF(AND(NC_Type="Building Area Method",Inventory!C451="N"),IF(ISERROR(INDEX('Usage Groups (&gt;120 MWh only)'!$N$8:$N$12,MATCH(C454,'Usage Groups (&gt;120 MWh only)'!$B$8:$B$12,0),1))=TRUE,SqFt/COUNTIFS(Inventory!$C$10:$C$1009,"N",$Q$13:$Q$1012,"&gt;=0"),INDEX('Usage Groups (&gt;120 MWh only)'!$N$8:$N$12,MATCH(C454,'Usage Groups (&gt;120 MWh only)'!$B$8:$B$12,0),1)/COUNTIF($C$13:$C$1012,C454)),IF(AND(NC_Type="Building Area Method",Inventory!C451="Y"),INDEX(xyNCEx,MATCH(I454,yNCExArea,0),3)/COUNTIF($I$13:$I$1012,I454),VLOOKUP(J454,xyWattage_Table,10,FALSE))),"")</f>
        <v/>
      </c>
      <c r="L454" s="539" t="str">
        <f t="shared" si="149"/>
        <v/>
      </c>
      <c r="M454" s="540">
        <f>IF(Inventory!N451="","",Inventory!N451)</f>
        <v>0</v>
      </c>
      <c r="N454" s="533" t="str">
        <f t="shared" si="150"/>
        <v/>
      </c>
      <c r="O454" s="534"/>
      <c r="P454" s="533" t="str">
        <f t="shared" si="151"/>
        <v/>
      </c>
      <c r="Q454" s="534" t="str">
        <f>IF(Inventory!L451="","",Inventory!L451)</f>
        <v/>
      </c>
      <c r="R454" s="535" t="str">
        <f t="shared" si="152"/>
        <v/>
      </c>
      <c r="S454" s="536" t="str">
        <f>IF(Inventory!O451="","",Inventory!O451)</f>
        <v/>
      </c>
      <c r="T454" s="541" t="str">
        <f>IFERROR(IF(C454="","",IF(INDEX(xyWattage_Table,MATCH(M454,'Fixture Identities'!$B$9:$B$997,0),2)="Exit Sign",8760,IF(VLOOKUP(C454,xySpace_Type_Details,8,FALSE)="TRM",INDEX('General Information'!$AF$17:$AG$28,11,MATCH(N454,'General Information'!$AF$16:$AG$16,0)),HLOOKUP(VLOOKUP(C454,xySpace_Type_Details,8,FALSE),'General Information'!$P$15:$AG$28,13,FALSE)))),"")</f>
        <v/>
      </c>
      <c r="U454" s="542" t="str">
        <f>IFERROR(IF(C454="","",IF(INDEX(xyWattage_Table,MATCH(M454,'Fixture Identities'!$B$9:$B$997,0),2)="Exit Sign",1,IF(VLOOKUP(C454,xySpace_Type_Details,8,FALSE)="TRM",INDEX('General Information'!$AF$17:$AG$28,12,MATCH(N454,'General Information'!$AF$16:$AG$16,0)),HLOOKUP(VLOOKUP(C454,xySpace_Type_Details,8,FALSE),'General Information'!$P$15:$AG$28,14,FALSE)))),"")</f>
        <v/>
      </c>
      <c r="V454" s="542" t="str">
        <f>IFERROR(VLOOKUP(INDEX(xySpace_Type_Details,MATCH($C454,'General Information'!$C$40:$C$60,0),12),Lookups!$L$8:$N$12,2,FALSE),"")</f>
        <v/>
      </c>
      <c r="W454" s="542" t="str">
        <f>IFERROR(VLOOKUP(INDEX(xySpace_Type_Details,MATCH($C454,'General Information'!$C$40:$C$60,0),12),Lookups!$L$8:$N$12,3,FALSE),"")</f>
        <v/>
      </c>
      <c r="Y454" s="542" t="str">
        <f>IFERROR(IF(C454="","",IF(INDEX(xyWattage_Table,MATCH(M454,'Fixture Identities'!$B$9:$B$997,0),2)="Exit Sign",0,IF(PRJ_Type="Retrofit",VLOOKUP(I454,xySVG_Factors,2,FALSE),IF(AND(PRJ_Type="New Construction",Inventory!C451="N"),VLOOKUP(VLOOKUP(Building_Type,xyLPD_BuildingArea,5,FALSE),xySVG_Factors_NC,3,FALSE),0)))),"")</f>
        <v/>
      </c>
      <c r="Z454" s="544" t="str">
        <f>IFERROR(IF(C454="","",IF(INDEX(xyWattage_Table,MATCH(M454,'Fixture Identities'!$B$9:$B$997,0),2)="Exit Sign",0,VLOOKUP(S454,xySVG_Factors,2,FALSE))),"")</f>
        <v/>
      </c>
      <c r="AA454" s="545" t="str">
        <f t="shared" si="153"/>
        <v/>
      </c>
      <c r="AB454" s="542" t="str">
        <f t="shared" si="154"/>
        <v/>
      </c>
      <c r="AC454" s="539" t="str">
        <f t="shared" si="155"/>
        <v/>
      </c>
      <c r="AD454" s="546" t="str">
        <f t="shared" si="156"/>
        <v/>
      </c>
      <c r="AE454" s="539" t="str">
        <f t="shared" si="157"/>
        <v/>
      </c>
      <c r="AF454" s="546" t="str">
        <f t="shared" si="158"/>
        <v/>
      </c>
      <c r="AG454" s="539" t="str">
        <f t="shared" si="159"/>
        <v/>
      </c>
      <c r="AH454" s="32">
        <f t="shared" si="161"/>
        <v>0</v>
      </c>
      <c r="AI454" s="32">
        <f t="shared" si="162"/>
        <v>0</v>
      </c>
      <c r="AJ454" s="32">
        <f t="shared" si="163"/>
        <v>0</v>
      </c>
      <c r="AK454" t="str">
        <f t="shared" si="164"/>
        <v/>
      </c>
      <c r="AL454" t="str">
        <f t="shared" si="165"/>
        <v/>
      </c>
      <c r="AM454" t="str">
        <f t="shared" si="166"/>
        <v/>
      </c>
      <c r="AO454" t="str">
        <f>IFERROR(VLOOKUP(M454,'Fixture Identities'!$B$9:$O$1045,14,FALSE),"")</f>
        <v/>
      </c>
      <c r="AP454" t="str">
        <f t="shared" si="160"/>
        <v/>
      </c>
    </row>
    <row r="455" spans="1:42">
      <c r="A455" s="71">
        <f t="shared" si="168"/>
        <v>0</v>
      </c>
      <c r="B455" s="513">
        <f t="shared" si="167"/>
        <v>443</v>
      </c>
      <c r="C455" s="530" t="str">
        <f>IF(Inventory!E452="","",Inventory!E452)</f>
        <v/>
      </c>
      <c r="D455" s="531">
        <f>IF(Inventory!D452="",0,Inventory!D452)</f>
        <v>0</v>
      </c>
      <c r="E455" s="532" t="str">
        <f>IF(Inventory!I452=0,"",Inventory!I452)</f>
        <v/>
      </c>
      <c r="F455" s="533" t="str">
        <f t="shared" ref="F455:F518" si="169">IFERROR(VLOOKUP(E455,xyWattage_Table,10,FALSE),"")</f>
        <v/>
      </c>
      <c r="G455" s="534" t="str">
        <f>IF(Inventory!G452="","",Inventory!G452)</f>
        <v/>
      </c>
      <c r="H455" s="535" t="str">
        <f t="shared" ref="H455:H518" si="170">IF(G455="","",G455*F455)</f>
        <v/>
      </c>
      <c r="I455" s="536" t="str">
        <f>IF(Inventory!J452="","",Inventory!J452)</f>
        <v/>
      </c>
      <c r="J455" s="537" t="str">
        <f>IFERROR(IF(PRJ_Type="New Construction",IF(Inventory!C452="N",INDEX(xyLPD_BuildingArea,MATCH(Building_Type,Lookups!$F$37:$F$75,0),4),INDEX(xyLPD_SpaceBySpace,MATCH(INDEX(xyNCEx,MATCH(I455,yNCExArea,0),2),ySpace_by_Space_Type,0),2)),VLOOKUP(E455,xyWattage_Table,11,FALSE)),"")</f>
        <v/>
      </c>
      <c r="K455" s="538" t="str">
        <f>IFERROR(IF(AND(NC_Type="Building Area Method",Inventory!C452="N"),IF(ISERROR(INDEX('Usage Groups (&gt;120 MWh only)'!$N$8:$N$12,MATCH(C455,'Usage Groups (&gt;120 MWh only)'!$B$8:$B$12,0),1))=TRUE,SqFt/COUNTIFS(Inventory!$C$10:$C$1009,"N",$Q$13:$Q$1012,"&gt;=0"),INDEX('Usage Groups (&gt;120 MWh only)'!$N$8:$N$12,MATCH(C455,'Usage Groups (&gt;120 MWh only)'!$B$8:$B$12,0),1)/COUNTIF($C$13:$C$1012,C455)),IF(AND(NC_Type="Building Area Method",Inventory!C452="Y"),INDEX(xyNCEx,MATCH(I455,yNCExArea,0),3)/COUNTIF($I$13:$I$1012,I455),VLOOKUP(J455,xyWattage_Table,10,FALSE))),"")</f>
        <v/>
      </c>
      <c r="L455" s="539" t="str">
        <f t="shared" ref="L455:L518" si="171">IFERROR(IF(PRJ_Type="New Construction",J455*K455,IF(G455="","",K455*G455)),"")</f>
        <v/>
      </c>
      <c r="M455" s="540">
        <f>IF(Inventory!N452="","",Inventory!N452)</f>
        <v>0</v>
      </c>
      <c r="N455" s="533" t="str">
        <f t="shared" ref="N455:N518" si="172">IFERROR(VLOOKUP(M455,xyWattage_Table,12,FALSE),"")</f>
        <v/>
      </c>
      <c r="O455" s="534"/>
      <c r="P455" s="533" t="str">
        <f t="shared" ref="P455:P518" si="173">IFERROR(VLOOKUP(M455,xyWattage_Table,10,FALSE),"")</f>
        <v/>
      </c>
      <c r="Q455" s="534" t="str">
        <f>IF(Inventory!L452="","",Inventory!L452)</f>
        <v/>
      </c>
      <c r="R455" s="535" t="str">
        <f t="shared" ref="R455:R518" si="174">IF(P455="","",Q455*P455)</f>
        <v/>
      </c>
      <c r="S455" s="536" t="str">
        <f>IF(Inventory!O452="","",Inventory!O452)</f>
        <v/>
      </c>
      <c r="T455" s="541" t="str">
        <f>IFERROR(IF(C455="","",IF(INDEX(xyWattage_Table,MATCH(M455,'Fixture Identities'!$B$9:$B$997,0),2)="Exit Sign",8760,IF(VLOOKUP(C455,xySpace_Type_Details,8,FALSE)="TRM",INDEX('General Information'!$AF$17:$AG$28,11,MATCH(N455,'General Information'!$AF$16:$AG$16,0)),HLOOKUP(VLOOKUP(C455,xySpace_Type_Details,8,FALSE),'General Information'!$P$15:$AG$28,13,FALSE)))),"")</f>
        <v/>
      </c>
      <c r="U455" s="542" t="str">
        <f>IFERROR(IF(C455="","",IF(INDEX(xyWattage_Table,MATCH(M455,'Fixture Identities'!$B$9:$B$997,0),2)="Exit Sign",1,IF(VLOOKUP(C455,xySpace_Type_Details,8,FALSE)="TRM",INDEX('General Information'!$AF$17:$AG$28,12,MATCH(N455,'General Information'!$AF$16:$AG$16,0)),HLOOKUP(VLOOKUP(C455,xySpace_Type_Details,8,FALSE),'General Information'!$P$15:$AG$28,14,FALSE)))),"")</f>
        <v/>
      </c>
      <c r="V455" s="542" t="str">
        <f>IFERROR(VLOOKUP(INDEX(xySpace_Type_Details,MATCH($C455,'General Information'!$C$40:$C$60,0),12),Lookups!$L$8:$N$12,2,FALSE),"")</f>
        <v/>
      </c>
      <c r="W455" s="542" t="str">
        <f>IFERROR(VLOOKUP(INDEX(xySpace_Type_Details,MATCH($C455,'General Information'!$C$40:$C$60,0),12),Lookups!$L$8:$N$12,3,FALSE),"")</f>
        <v/>
      </c>
      <c r="Y455" s="542" t="str">
        <f>IFERROR(IF(C455="","",IF(INDEX(xyWattage_Table,MATCH(M455,'Fixture Identities'!$B$9:$B$997,0),2)="Exit Sign",0,IF(PRJ_Type="Retrofit",VLOOKUP(I455,xySVG_Factors,2,FALSE),IF(AND(PRJ_Type="New Construction",Inventory!C452="N"),VLOOKUP(VLOOKUP(Building_Type,xyLPD_BuildingArea,5,FALSE),xySVG_Factors_NC,3,FALSE),0)))),"")</f>
        <v/>
      </c>
      <c r="Z455" s="544" t="str">
        <f>IFERROR(IF(C455="","",IF(INDEX(xyWattage_Table,MATCH(M455,'Fixture Identities'!$B$9:$B$997,0),2)="Exit Sign",0,VLOOKUP(S455,xySVG_Factors,2,FALSE))),"")</f>
        <v/>
      </c>
      <c r="AA455" s="545" t="str">
        <f t="shared" ref="AA455:AA518" si="175">IFERROR((L455-R455)/1000,"")</f>
        <v/>
      </c>
      <c r="AB455" s="542" t="str">
        <f t="shared" ref="AB455:AB518" si="176">IFERROR(AA455*U455*(1+W455)*(1-Y455),"")</f>
        <v/>
      </c>
      <c r="AC455" s="539" t="str">
        <f t="shared" ref="AC455:AC518" si="177">IFERROR(AA455*T455*(1+V455)*(1-Y455),"")</f>
        <v/>
      </c>
      <c r="AD455" s="546" t="str">
        <f t="shared" ref="AD455:AD518" si="178">IFERROR(R455/1000*(Z455-Y455)*(1+W455)*U455,"")</f>
        <v/>
      </c>
      <c r="AE455" s="539" t="str">
        <f t="shared" ref="AE455:AE518" si="179">IFERROR(R455/1000*T455*(Z455-Y455)*(1+V455),"")</f>
        <v/>
      </c>
      <c r="AF455" s="546" t="str">
        <f t="shared" ref="AF455:AF518" si="180">IFERROR(AB455+AD455,"")</f>
        <v/>
      </c>
      <c r="AG455" s="539" t="str">
        <f t="shared" ref="AG455:AG518" si="181">IFERROR(AC455+AE455,"")</f>
        <v/>
      </c>
      <c r="AH455" s="32">
        <f t="shared" si="161"/>
        <v>0</v>
      </c>
      <c r="AI455" s="32">
        <f t="shared" si="162"/>
        <v>0</v>
      </c>
      <c r="AJ455" s="32">
        <f t="shared" si="163"/>
        <v>0</v>
      </c>
      <c r="AK455" t="str">
        <f t="shared" si="164"/>
        <v/>
      </c>
      <c r="AL455" t="str">
        <f t="shared" si="165"/>
        <v/>
      </c>
      <c r="AM455" t="str">
        <f t="shared" si="166"/>
        <v/>
      </c>
      <c r="AO455" t="str">
        <f>IFERROR(VLOOKUP(M455,'Fixture Identities'!$B$9:$O$1045,14,FALSE),"")</f>
        <v/>
      </c>
      <c r="AP455" t="str">
        <f t="shared" si="160"/>
        <v/>
      </c>
    </row>
    <row r="456" spans="1:42">
      <c r="A456" s="71">
        <f t="shared" si="168"/>
        <v>0</v>
      </c>
      <c r="B456" s="513">
        <f t="shared" si="167"/>
        <v>444</v>
      </c>
      <c r="C456" s="530" t="str">
        <f>IF(Inventory!E453="","",Inventory!E453)</f>
        <v/>
      </c>
      <c r="D456" s="531">
        <f>IF(Inventory!D453="",0,Inventory!D453)</f>
        <v>0</v>
      </c>
      <c r="E456" s="532" t="str">
        <f>IF(Inventory!I453=0,"",Inventory!I453)</f>
        <v/>
      </c>
      <c r="F456" s="533" t="str">
        <f t="shared" si="169"/>
        <v/>
      </c>
      <c r="G456" s="534" t="str">
        <f>IF(Inventory!G453="","",Inventory!G453)</f>
        <v/>
      </c>
      <c r="H456" s="535" t="str">
        <f t="shared" si="170"/>
        <v/>
      </c>
      <c r="I456" s="536" t="str">
        <f>IF(Inventory!J453="","",Inventory!J453)</f>
        <v/>
      </c>
      <c r="J456" s="537" t="str">
        <f>IFERROR(IF(PRJ_Type="New Construction",IF(Inventory!C453="N",INDEX(xyLPD_BuildingArea,MATCH(Building_Type,Lookups!$F$37:$F$75,0),4),INDEX(xyLPD_SpaceBySpace,MATCH(INDEX(xyNCEx,MATCH(I456,yNCExArea,0),2),ySpace_by_Space_Type,0),2)),VLOOKUP(E456,xyWattage_Table,11,FALSE)),"")</f>
        <v/>
      </c>
      <c r="K456" s="538" t="str">
        <f>IFERROR(IF(AND(NC_Type="Building Area Method",Inventory!C453="N"),IF(ISERROR(INDEX('Usage Groups (&gt;120 MWh only)'!$N$8:$N$12,MATCH(C456,'Usage Groups (&gt;120 MWh only)'!$B$8:$B$12,0),1))=TRUE,SqFt/COUNTIFS(Inventory!$C$10:$C$1009,"N",$Q$13:$Q$1012,"&gt;=0"),INDEX('Usage Groups (&gt;120 MWh only)'!$N$8:$N$12,MATCH(C456,'Usage Groups (&gt;120 MWh only)'!$B$8:$B$12,0),1)/COUNTIF($C$13:$C$1012,C456)),IF(AND(NC_Type="Building Area Method",Inventory!C453="Y"),INDEX(xyNCEx,MATCH(I456,yNCExArea,0),3)/COUNTIF($I$13:$I$1012,I456),VLOOKUP(J456,xyWattage_Table,10,FALSE))),"")</f>
        <v/>
      </c>
      <c r="L456" s="539" t="str">
        <f t="shared" si="171"/>
        <v/>
      </c>
      <c r="M456" s="540">
        <f>IF(Inventory!N453="","",Inventory!N453)</f>
        <v>0</v>
      </c>
      <c r="N456" s="533" t="str">
        <f t="shared" si="172"/>
        <v/>
      </c>
      <c r="O456" s="534"/>
      <c r="P456" s="533" t="str">
        <f t="shared" si="173"/>
        <v/>
      </c>
      <c r="Q456" s="534" t="str">
        <f>IF(Inventory!L453="","",Inventory!L453)</f>
        <v/>
      </c>
      <c r="R456" s="535" t="str">
        <f t="shared" si="174"/>
        <v/>
      </c>
      <c r="S456" s="536" t="str">
        <f>IF(Inventory!O453="","",Inventory!O453)</f>
        <v/>
      </c>
      <c r="T456" s="541" t="str">
        <f>IFERROR(IF(C456="","",IF(INDEX(xyWattage_Table,MATCH(M456,'Fixture Identities'!$B$9:$B$997,0),2)="Exit Sign",8760,IF(VLOOKUP(C456,xySpace_Type_Details,8,FALSE)="TRM",INDEX('General Information'!$AF$17:$AG$28,11,MATCH(N456,'General Information'!$AF$16:$AG$16,0)),HLOOKUP(VLOOKUP(C456,xySpace_Type_Details,8,FALSE),'General Information'!$P$15:$AG$28,13,FALSE)))),"")</f>
        <v/>
      </c>
      <c r="U456" s="542" t="str">
        <f>IFERROR(IF(C456="","",IF(INDEX(xyWattage_Table,MATCH(M456,'Fixture Identities'!$B$9:$B$997,0),2)="Exit Sign",1,IF(VLOOKUP(C456,xySpace_Type_Details,8,FALSE)="TRM",INDEX('General Information'!$AF$17:$AG$28,12,MATCH(N456,'General Information'!$AF$16:$AG$16,0)),HLOOKUP(VLOOKUP(C456,xySpace_Type_Details,8,FALSE),'General Information'!$P$15:$AG$28,14,FALSE)))),"")</f>
        <v/>
      </c>
      <c r="V456" s="542" t="str">
        <f>IFERROR(VLOOKUP(INDEX(xySpace_Type_Details,MATCH($C456,'General Information'!$C$40:$C$60,0),12),Lookups!$L$8:$N$12,2,FALSE),"")</f>
        <v/>
      </c>
      <c r="W456" s="542" t="str">
        <f>IFERROR(VLOOKUP(INDEX(xySpace_Type_Details,MATCH($C456,'General Information'!$C$40:$C$60,0),12),Lookups!$L$8:$N$12,3,FALSE),"")</f>
        <v/>
      </c>
      <c r="Y456" s="542" t="str">
        <f>IFERROR(IF(C456="","",IF(INDEX(xyWattage_Table,MATCH(M456,'Fixture Identities'!$B$9:$B$997,0),2)="Exit Sign",0,IF(PRJ_Type="Retrofit",VLOOKUP(I456,xySVG_Factors,2,FALSE),IF(AND(PRJ_Type="New Construction",Inventory!C453="N"),VLOOKUP(VLOOKUP(Building_Type,xyLPD_BuildingArea,5,FALSE),xySVG_Factors_NC,3,FALSE),0)))),"")</f>
        <v/>
      </c>
      <c r="Z456" s="544" t="str">
        <f>IFERROR(IF(C456="","",IF(INDEX(xyWattage_Table,MATCH(M456,'Fixture Identities'!$B$9:$B$997,0),2)="Exit Sign",0,VLOOKUP(S456,xySVG_Factors,2,FALSE))),"")</f>
        <v/>
      </c>
      <c r="AA456" s="545" t="str">
        <f t="shared" si="175"/>
        <v/>
      </c>
      <c r="AB456" s="542" t="str">
        <f t="shared" si="176"/>
        <v/>
      </c>
      <c r="AC456" s="539" t="str">
        <f t="shared" si="177"/>
        <v/>
      </c>
      <c r="AD456" s="546" t="str">
        <f t="shared" si="178"/>
        <v/>
      </c>
      <c r="AE456" s="539" t="str">
        <f t="shared" si="179"/>
        <v/>
      </c>
      <c r="AF456" s="546" t="str">
        <f t="shared" si="180"/>
        <v/>
      </c>
      <c r="AG456" s="539" t="str">
        <f t="shared" si="181"/>
        <v/>
      </c>
      <c r="AH456" s="32">
        <f t="shared" si="161"/>
        <v>0</v>
      </c>
      <c r="AI456" s="32">
        <f t="shared" si="162"/>
        <v>0</v>
      </c>
      <c r="AJ456" s="32">
        <f t="shared" si="163"/>
        <v>0</v>
      </c>
      <c r="AK456" t="str">
        <f t="shared" si="164"/>
        <v/>
      </c>
      <c r="AL456" t="str">
        <f t="shared" si="165"/>
        <v/>
      </c>
      <c r="AM456" t="str">
        <f t="shared" si="166"/>
        <v/>
      </c>
      <c r="AO456" t="str">
        <f>IFERROR(VLOOKUP(M456,'Fixture Identities'!$B$9:$O$1045,14,FALSE),"")</f>
        <v/>
      </c>
      <c r="AP456" t="str">
        <f t="shared" si="160"/>
        <v/>
      </c>
    </row>
    <row r="457" spans="1:42">
      <c r="A457" s="71">
        <f t="shared" si="168"/>
        <v>0</v>
      </c>
      <c r="B457" s="513">
        <f t="shared" si="167"/>
        <v>445</v>
      </c>
      <c r="C457" s="530" t="str">
        <f>IF(Inventory!E454="","",Inventory!E454)</f>
        <v/>
      </c>
      <c r="D457" s="531">
        <f>IF(Inventory!D454="",0,Inventory!D454)</f>
        <v>0</v>
      </c>
      <c r="E457" s="532" t="str">
        <f>IF(Inventory!I454=0,"",Inventory!I454)</f>
        <v/>
      </c>
      <c r="F457" s="533" t="str">
        <f t="shared" si="169"/>
        <v/>
      </c>
      <c r="G457" s="534" t="str">
        <f>IF(Inventory!G454="","",Inventory!G454)</f>
        <v/>
      </c>
      <c r="H457" s="535" t="str">
        <f t="shared" si="170"/>
        <v/>
      </c>
      <c r="I457" s="536" t="str">
        <f>IF(Inventory!J454="","",Inventory!J454)</f>
        <v/>
      </c>
      <c r="J457" s="537" t="str">
        <f>IFERROR(IF(PRJ_Type="New Construction",IF(Inventory!C454="N",INDEX(xyLPD_BuildingArea,MATCH(Building_Type,Lookups!$F$37:$F$75,0),4),INDEX(xyLPD_SpaceBySpace,MATCH(INDEX(xyNCEx,MATCH(I457,yNCExArea,0),2),ySpace_by_Space_Type,0),2)),VLOOKUP(E457,xyWattage_Table,11,FALSE)),"")</f>
        <v/>
      </c>
      <c r="K457" s="538" t="str">
        <f>IFERROR(IF(AND(NC_Type="Building Area Method",Inventory!C454="N"),IF(ISERROR(INDEX('Usage Groups (&gt;120 MWh only)'!$N$8:$N$12,MATCH(C457,'Usage Groups (&gt;120 MWh only)'!$B$8:$B$12,0),1))=TRUE,SqFt/COUNTIFS(Inventory!$C$10:$C$1009,"N",$Q$13:$Q$1012,"&gt;=0"),INDEX('Usage Groups (&gt;120 MWh only)'!$N$8:$N$12,MATCH(C457,'Usage Groups (&gt;120 MWh only)'!$B$8:$B$12,0),1)/COUNTIF($C$13:$C$1012,C457)),IF(AND(NC_Type="Building Area Method",Inventory!C454="Y"),INDEX(xyNCEx,MATCH(I457,yNCExArea,0),3)/COUNTIF($I$13:$I$1012,I457),VLOOKUP(J457,xyWattage_Table,10,FALSE))),"")</f>
        <v/>
      </c>
      <c r="L457" s="539" t="str">
        <f t="shared" si="171"/>
        <v/>
      </c>
      <c r="M457" s="540">
        <f>IF(Inventory!N454="","",Inventory!N454)</f>
        <v>0</v>
      </c>
      <c r="N457" s="533" t="str">
        <f t="shared" si="172"/>
        <v/>
      </c>
      <c r="O457" s="534"/>
      <c r="P457" s="533" t="str">
        <f t="shared" si="173"/>
        <v/>
      </c>
      <c r="Q457" s="534" t="str">
        <f>IF(Inventory!L454="","",Inventory!L454)</f>
        <v/>
      </c>
      <c r="R457" s="535" t="str">
        <f t="shared" si="174"/>
        <v/>
      </c>
      <c r="S457" s="536" t="str">
        <f>IF(Inventory!O454="","",Inventory!O454)</f>
        <v/>
      </c>
      <c r="T457" s="541" t="str">
        <f>IFERROR(IF(C457="","",IF(INDEX(xyWattage_Table,MATCH(M457,'Fixture Identities'!$B$9:$B$997,0),2)="Exit Sign",8760,IF(VLOOKUP(C457,xySpace_Type_Details,8,FALSE)="TRM",INDEX('General Information'!$AF$17:$AG$28,11,MATCH(N457,'General Information'!$AF$16:$AG$16,0)),HLOOKUP(VLOOKUP(C457,xySpace_Type_Details,8,FALSE),'General Information'!$P$15:$AG$28,13,FALSE)))),"")</f>
        <v/>
      </c>
      <c r="U457" s="542" t="str">
        <f>IFERROR(IF(C457="","",IF(INDEX(xyWattage_Table,MATCH(M457,'Fixture Identities'!$B$9:$B$997,0),2)="Exit Sign",1,IF(VLOOKUP(C457,xySpace_Type_Details,8,FALSE)="TRM",INDEX('General Information'!$AF$17:$AG$28,12,MATCH(N457,'General Information'!$AF$16:$AG$16,0)),HLOOKUP(VLOOKUP(C457,xySpace_Type_Details,8,FALSE),'General Information'!$P$15:$AG$28,14,FALSE)))),"")</f>
        <v/>
      </c>
      <c r="V457" s="542" t="str">
        <f>IFERROR(VLOOKUP(INDEX(xySpace_Type_Details,MATCH($C457,'General Information'!$C$40:$C$60,0),12),Lookups!$L$8:$N$12,2,FALSE),"")</f>
        <v/>
      </c>
      <c r="W457" s="542" t="str">
        <f>IFERROR(VLOOKUP(INDEX(xySpace_Type_Details,MATCH($C457,'General Information'!$C$40:$C$60,0),12),Lookups!$L$8:$N$12,3,FALSE),"")</f>
        <v/>
      </c>
      <c r="Y457" s="542" t="str">
        <f>IFERROR(IF(C457="","",IF(INDEX(xyWattage_Table,MATCH(M457,'Fixture Identities'!$B$9:$B$997,0),2)="Exit Sign",0,IF(PRJ_Type="Retrofit",VLOOKUP(I457,xySVG_Factors,2,FALSE),IF(AND(PRJ_Type="New Construction",Inventory!C454="N"),VLOOKUP(VLOOKUP(Building_Type,xyLPD_BuildingArea,5,FALSE),xySVG_Factors_NC,3,FALSE),0)))),"")</f>
        <v/>
      </c>
      <c r="Z457" s="544" t="str">
        <f>IFERROR(IF(C457="","",IF(INDEX(xyWattage_Table,MATCH(M457,'Fixture Identities'!$B$9:$B$997,0),2)="Exit Sign",0,VLOOKUP(S457,xySVG_Factors,2,FALSE))),"")</f>
        <v/>
      </c>
      <c r="AA457" s="545" t="str">
        <f t="shared" si="175"/>
        <v/>
      </c>
      <c r="AB457" s="542" t="str">
        <f t="shared" si="176"/>
        <v/>
      </c>
      <c r="AC457" s="539" t="str">
        <f t="shared" si="177"/>
        <v/>
      </c>
      <c r="AD457" s="546" t="str">
        <f t="shared" si="178"/>
        <v/>
      </c>
      <c r="AE457" s="539" t="str">
        <f t="shared" si="179"/>
        <v/>
      </c>
      <c r="AF457" s="546" t="str">
        <f t="shared" si="180"/>
        <v/>
      </c>
      <c r="AG457" s="539" t="str">
        <f t="shared" si="181"/>
        <v/>
      </c>
      <c r="AH457" s="32">
        <f t="shared" si="161"/>
        <v>0</v>
      </c>
      <c r="AI457" s="32">
        <f t="shared" si="162"/>
        <v>0</v>
      </c>
      <c r="AJ457" s="32">
        <f t="shared" si="163"/>
        <v>0</v>
      </c>
      <c r="AK457" t="str">
        <f t="shared" si="164"/>
        <v/>
      </c>
      <c r="AL457" t="str">
        <f t="shared" si="165"/>
        <v/>
      </c>
      <c r="AM457" t="str">
        <f t="shared" si="166"/>
        <v/>
      </c>
      <c r="AO457" t="str">
        <f>IFERROR(VLOOKUP(M457,'Fixture Identities'!$B$9:$O$1045,14,FALSE),"")</f>
        <v/>
      </c>
      <c r="AP457" t="str">
        <f t="shared" si="160"/>
        <v/>
      </c>
    </row>
    <row r="458" spans="1:42">
      <c r="A458" s="71">
        <f t="shared" si="168"/>
        <v>0</v>
      </c>
      <c r="B458" s="513">
        <f t="shared" si="167"/>
        <v>446</v>
      </c>
      <c r="C458" s="530" t="str">
        <f>IF(Inventory!E455="","",Inventory!E455)</f>
        <v/>
      </c>
      <c r="D458" s="531">
        <f>IF(Inventory!D455="",0,Inventory!D455)</f>
        <v>0</v>
      </c>
      <c r="E458" s="532" t="str">
        <f>IF(Inventory!I455=0,"",Inventory!I455)</f>
        <v/>
      </c>
      <c r="F458" s="533" t="str">
        <f t="shared" si="169"/>
        <v/>
      </c>
      <c r="G458" s="534" t="str">
        <f>IF(Inventory!G455="","",Inventory!G455)</f>
        <v/>
      </c>
      <c r="H458" s="535" t="str">
        <f t="shared" si="170"/>
        <v/>
      </c>
      <c r="I458" s="536" t="str">
        <f>IF(Inventory!J455="","",Inventory!J455)</f>
        <v/>
      </c>
      <c r="J458" s="537" t="str">
        <f>IFERROR(IF(PRJ_Type="New Construction",IF(Inventory!C455="N",INDEX(xyLPD_BuildingArea,MATCH(Building_Type,Lookups!$F$37:$F$75,0),4),INDEX(xyLPD_SpaceBySpace,MATCH(INDEX(xyNCEx,MATCH(I458,yNCExArea,0),2),ySpace_by_Space_Type,0),2)),VLOOKUP(E458,xyWattage_Table,11,FALSE)),"")</f>
        <v/>
      </c>
      <c r="K458" s="538" t="str">
        <f>IFERROR(IF(AND(NC_Type="Building Area Method",Inventory!C455="N"),IF(ISERROR(INDEX('Usage Groups (&gt;120 MWh only)'!$N$8:$N$12,MATCH(C458,'Usage Groups (&gt;120 MWh only)'!$B$8:$B$12,0),1))=TRUE,SqFt/COUNTIFS(Inventory!$C$10:$C$1009,"N",$Q$13:$Q$1012,"&gt;=0"),INDEX('Usage Groups (&gt;120 MWh only)'!$N$8:$N$12,MATCH(C458,'Usage Groups (&gt;120 MWh only)'!$B$8:$B$12,0),1)/COUNTIF($C$13:$C$1012,C458)),IF(AND(NC_Type="Building Area Method",Inventory!C455="Y"),INDEX(xyNCEx,MATCH(I458,yNCExArea,0),3)/COUNTIF($I$13:$I$1012,I458),VLOOKUP(J458,xyWattage_Table,10,FALSE))),"")</f>
        <v/>
      </c>
      <c r="L458" s="539" t="str">
        <f t="shared" si="171"/>
        <v/>
      </c>
      <c r="M458" s="540">
        <f>IF(Inventory!N455="","",Inventory!N455)</f>
        <v>0</v>
      </c>
      <c r="N458" s="533" t="str">
        <f t="shared" si="172"/>
        <v/>
      </c>
      <c r="O458" s="534"/>
      <c r="P458" s="533" t="str">
        <f t="shared" si="173"/>
        <v/>
      </c>
      <c r="Q458" s="534" t="str">
        <f>IF(Inventory!L455="","",Inventory!L455)</f>
        <v/>
      </c>
      <c r="R458" s="535" t="str">
        <f t="shared" si="174"/>
        <v/>
      </c>
      <c r="S458" s="536" t="str">
        <f>IF(Inventory!O455="","",Inventory!O455)</f>
        <v/>
      </c>
      <c r="T458" s="541" t="str">
        <f>IFERROR(IF(C458="","",IF(INDEX(xyWattage_Table,MATCH(M458,'Fixture Identities'!$B$9:$B$997,0),2)="Exit Sign",8760,IF(VLOOKUP(C458,xySpace_Type_Details,8,FALSE)="TRM",INDEX('General Information'!$AF$17:$AG$28,11,MATCH(N458,'General Information'!$AF$16:$AG$16,0)),HLOOKUP(VLOOKUP(C458,xySpace_Type_Details,8,FALSE),'General Information'!$P$15:$AG$28,13,FALSE)))),"")</f>
        <v/>
      </c>
      <c r="U458" s="542" t="str">
        <f>IFERROR(IF(C458="","",IF(INDEX(xyWattage_Table,MATCH(M458,'Fixture Identities'!$B$9:$B$997,0),2)="Exit Sign",1,IF(VLOOKUP(C458,xySpace_Type_Details,8,FALSE)="TRM",INDEX('General Information'!$AF$17:$AG$28,12,MATCH(N458,'General Information'!$AF$16:$AG$16,0)),HLOOKUP(VLOOKUP(C458,xySpace_Type_Details,8,FALSE),'General Information'!$P$15:$AG$28,14,FALSE)))),"")</f>
        <v/>
      </c>
      <c r="V458" s="542" t="str">
        <f>IFERROR(VLOOKUP(INDEX(xySpace_Type_Details,MATCH($C458,'General Information'!$C$40:$C$60,0),12),Lookups!$L$8:$N$12,2,FALSE),"")</f>
        <v/>
      </c>
      <c r="W458" s="542" t="str">
        <f>IFERROR(VLOOKUP(INDEX(xySpace_Type_Details,MATCH($C458,'General Information'!$C$40:$C$60,0),12),Lookups!$L$8:$N$12,3,FALSE),"")</f>
        <v/>
      </c>
      <c r="Y458" s="542" t="str">
        <f>IFERROR(IF(C458="","",IF(INDEX(xyWattage_Table,MATCH(M458,'Fixture Identities'!$B$9:$B$997,0),2)="Exit Sign",0,IF(PRJ_Type="Retrofit",VLOOKUP(I458,xySVG_Factors,2,FALSE),IF(AND(PRJ_Type="New Construction",Inventory!C455="N"),VLOOKUP(VLOOKUP(Building_Type,xyLPD_BuildingArea,5,FALSE),xySVG_Factors_NC,3,FALSE),0)))),"")</f>
        <v/>
      </c>
      <c r="Z458" s="544" t="str">
        <f>IFERROR(IF(C458="","",IF(INDEX(xyWattage_Table,MATCH(M458,'Fixture Identities'!$B$9:$B$997,0),2)="Exit Sign",0,VLOOKUP(S458,xySVG_Factors,2,FALSE))),"")</f>
        <v/>
      </c>
      <c r="AA458" s="545" t="str">
        <f t="shared" si="175"/>
        <v/>
      </c>
      <c r="AB458" s="542" t="str">
        <f t="shared" si="176"/>
        <v/>
      </c>
      <c r="AC458" s="539" t="str">
        <f t="shared" si="177"/>
        <v/>
      </c>
      <c r="AD458" s="546" t="str">
        <f t="shared" si="178"/>
        <v/>
      </c>
      <c r="AE458" s="539" t="str">
        <f t="shared" si="179"/>
        <v/>
      </c>
      <c r="AF458" s="546" t="str">
        <f t="shared" si="180"/>
        <v/>
      </c>
      <c r="AG458" s="539" t="str">
        <f t="shared" si="181"/>
        <v/>
      </c>
      <c r="AH458" s="32">
        <f t="shared" si="161"/>
        <v>0</v>
      </c>
      <c r="AI458" s="32">
        <f t="shared" si="162"/>
        <v>0</v>
      </c>
      <c r="AJ458" s="32">
        <f t="shared" si="163"/>
        <v>0</v>
      </c>
      <c r="AK458" t="str">
        <f t="shared" si="164"/>
        <v/>
      </c>
      <c r="AL458" t="str">
        <f t="shared" si="165"/>
        <v/>
      </c>
      <c r="AM458" t="str">
        <f t="shared" si="166"/>
        <v/>
      </c>
      <c r="AO458" t="str">
        <f>IFERROR(VLOOKUP(M458,'Fixture Identities'!$B$9:$O$1045,14,FALSE),"")</f>
        <v/>
      </c>
      <c r="AP458" t="str">
        <f t="shared" si="160"/>
        <v/>
      </c>
    </row>
    <row r="459" spans="1:42">
      <c r="A459" s="71">
        <f t="shared" si="168"/>
        <v>0</v>
      </c>
      <c r="B459" s="513">
        <f t="shared" si="167"/>
        <v>447</v>
      </c>
      <c r="C459" s="530" t="str">
        <f>IF(Inventory!E456="","",Inventory!E456)</f>
        <v/>
      </c>
      <c r="D459" s="531">
        <f>IF(Inventory!D456="",0,Inventory!D456)</f>
        <v>0</v>
      </c>
      <c r="E459" s="532" t="str">
        <f>IF(Inventory!I456=0,"",Inventory!I456)</f>
        <v/>
      </c>
      <c r="F459" s="533" t="str">
        <f t="shared" si="169"/>
        <v/>
      </c>
      <c r="G459" s="534" t="str">
        <f>IF(Inventory!G456="","",Inventory!G456)</f>
        <v/>
      </c>
      <c r="H459" s="535" t="str">
        <f t="shared" si="170"/>
        <v/>
      </c>
      <c r="I459" s="536" t="str">
        <f>IF(Inventory!J456="","",Inventory!J456)</f>
        <v/>
      </c>
      <c r="J459" s="537" t="str">
        <f>IFERROR(IF(PRJ_Type="New Construction",IF(Inventory!C456="N",INDEX(xyLPD_BuildingArea,MATCH(Building_Type,Lookups!$F$37:$F$75,0),4),INDEX(xyLPD_SpaceBySpace,MATCH(INDEX(xyNCEx,MATCH(I459,yNCExArea,0),2),ySpace_by_Space_Type,0),2)),VLOOKUP(E459,xyWattage_Table,11,FALSE)),"")</f>
        <v/>
      </c>
      <c r="K459" s="538" t="str">
        <f>IFERROR(IF(AND(NC_Type="Building Area Method",Inventory!C456="N"),IF(ISERROR(INDEX('Usage Groups (&gt;120 MWh only)'!$N$8:$N$12,MATCH(C459,'Usage Groups (&gt;120 MWh only)'!$B$8:$B$12,0),1))=TRUE,SqFt/COUNTIFS(Inventory!$C$10:$C$1009,"N",$Q$13:$Q$1012,"&gt;=0"),INDEX('Usage Groups (&gt;120 MWh only)'!$N$8:$N$12,MATCH(C459,'Usage Groups (&gt;120 MWh only)'!$B$8:$B$12,0),1)/COUNTIF($C$13:$C$1012,C459)),IF(AND(NC_Type="Building Area Method",Inventory!C456="Y"),INDEX(xyNCEx,MATCH(I459,yNCExArea,0),3)/COUNTIF($I$13:$I$1012,I459),VLOOKUP(J459,xyWattage_Table,10,FALSE))),"")</f>
        <v/>
      </c>
      <c r="L459" s="539" t="str">
        <f t="shared" si="171"/>
        <v/>
      </c>
      <c r="M459" s="540">
        <f>IF(Inventory!N456="","",Inventory!N456)</f>
        <v>0</v>
      </c>
      <c r="N459" s="533" t="str">
        <f t="shared" si="172"/>
        <v/>
      </c>
      <c r="O459" s="534"/>
      <c r="P459" s="533" t="str">
        <f t="shared" si="173"/>
        <v/>
      </c>
      <c r="Q459" s="534" t="str">
        <f>IF(Inventory!L456="","",Inventory!L456)</f>
        <v/>
      </c>
      <c r="R459" s="535" t="str">
        <f t="shared" si="174"/>
        <v/>
      </c>
      <c r="S459" s="536" t="str">
        <f>IF(Inventory!O456="","",Inventory!O456)</f>
        <v/>
      </c>
      <c r="T459" s="541" t="str">
        <f>IFERROR(IF(C459="","",IF(INDEX(xyWattage_Table,MATCH(M459,'Fixture Identities'!$B$9:$B$997,0),2)="Exit Sign",8760,IF(VLOOKUP(C459,xySpace_Type_Details,8,FALSE)="TRM",INDEX('General Information'!$AF$17:$AG$28,11,MATCH(N459,'General Information'!$AF$16:$AG$16,0)),HLOOKUP(VLOOKUP(C459,xySpace_Type_Details,8,FALSE),'General Information'!$P$15:$AG$28,13,FALSE)))),"")</f>
        <v/>
      </c>
      <c r="U459" s="542" t="str">
        <f>IFERROR(IF(C459="","",IF(INDEX(xyWattage_Table,MATCH(M459,'Fixture Identities'!$B$9:$B$997,0),2)="Exit Sign",1,IF(VLOOKUP(C459,xySpace_Type_Details,8,FALSE)="TRM",INDEX('General Information'!$AF$17:$AG$28,12,MATCH(N459,'General Information'!$AF$16:$AG$16,0)),HLOOKUP(VLOOKUP(C459,xySpace_Type_Details,8,FALSE),'General Information'!$P$15:$AG$28,14,FALSE)))),"")</f>
        <v/>
      </c>
      <c r="V459" s="542" t="str">
        <f>IFERROR(VLOOKUP(INDEX(xySpace_Type_Details,MATCH($C459,'General Information'!$C$40:$C$60,0),12),Lookups!$L$8:$N$12,2,FALSE),"")</f>
        <v/>
      </c>
      <c r="W459" s="542" t="str">
        <f>IFERROR(VLOOKUP(INDEX(xySpace_Type_Details,MATCH($C459,'General Information'!$C$40:$C$60,0),12),Lookups!$L$8:$N$12,3,FALSE),"")</f>
        <v/>
      </c>
      <c r="Y459" s="542" t="str">
        <f>IFERROR(IF(C459="","",IF(INDEX(xyWattage_Table,MATCH(M459,'Fixture Identities'!$B$9:$B$997,0),2)="Exit Sign",0,IF(PRJ_Type="Retrofit",VLOOKUP(I459,xySVG_Factors,2,FALSE),IF(AND(PRJ_Type="New Construction",Inventory!C456="N"),VLOOKUP(VLOOKUP(Building_Type,xyLPD_BuildingArea,5,FALSE),xySVG_Factors_NC,3,FALSE),0)))),"")</f>
        <v/>
      </c>
      <c r="Z459" s="544" t="str">
        <f>IFERROR(IF(C459="","",IF(INDEX(xyWattage_Table,MATCH(M459,'Fixture Identities'!$B$9:$B$997,0),2)="Exit Sign",0,VLOOKUP(S459,xySVG_Factors,2,FALSE))),"")</f>
        <v/>
      </c>
      <c r="AA459" s="545" t="str">
        <f t="shared" si="175"/>
        <v/>
      </c>
      <c r="AB459" s="542" t="str">
        <f t="shared" si="176"/>
        <v/>
      </c>
      <c r="AC459" s="539" t="str">
        <f t="shared" si="177"/>
        <v/>
      </c>
      <c r="AD459" s="546" t="str">
        <f t="shared" si="178"/>
        <v/>
      </c>
      <c r="AE459" s="539" t="str">
        <f t="shared" si="179"/>
        <v/>
      </c>
      <c r="AF459" s="546" t="str">
        <f t="shared" si="180"/>
        <v/>
      </c>
      <c r="AG459" s="539" t="str">
        <f t="shared" si="181"/>
        <v/>
      </c>
      <c r="AH459" s="32">
        <f t="shared" si="161"/>
        <v>0</v>
      </c>
      <c r="AI459" s="32">
        <f t="shared" si="162"/>
        <v>0</v>
      </c>
      <c r="AJ459" s="32">
        <f t="shared" si="163"/>
        <v>0</v>
      </c>
      <c r="AK459" t="str">
        <f t="shared" si="164"/>
        <v/>
      </c>
      <c r="AL459" t="str">
        <f t="shared" si="165"/>
        <v/>
      </c>
      <c r="AM459" t="str">
        <f t="shared" si="166"/>
        <v/>
      </c>
      <c r="AO459" t="str">
        <f>IFERROR(VLOOKUP(M459,'Fixture Identities'!$B$9:$O$1045,14,FALSE),"")</f>
        <v/>
      </c>
      <c r="AP459" t="str">
        <f t="shared" si="160"/>
        <v/>
      </c>
    </row>
    <row r="460" spans="1:42">
      <c r="A460" s="71">
        <f t="shared" si="168"/>
        <v>0</v>
      </c>
      <c r="B460" s="513">
        <f t="shared" si="167"/>
        <v>448</v>
      </c>
      <c r="C460" s="530" t="str">
        <f>IF(Inventory!E457="","",Inventory!E457)</f>
        <v/>
      </c>
      <c r="D460" s="531">
        <f>IF(Inventory!D457="",0,Inventory!D457)</f>
        <v>0</v>
      </c>
      <c r="E460" s="532" t="str">
        <f>IF(Inventory!I457=0,"",Inventory!I457)</f>
        <v/>
      </c>
      <c r="F460" s="533" t="str">
        <f t="shared" si="169"/>
        <v/>
      </c>
      <c r="G460" s="534" t="str">
        <f>IF(Inventory!G457="","",Inventory!G457)</f>
        <v/>
      </c>
      <c r="H460" s="535" t="str">
        <f t="shared" si="170"/>
        <v/>
      </c>
      <c r="I460" s="536" t="str">
        <f>IF(Inventory!J457="","",Inventory!J457)</f>
        <v/>
      </c>
      <c r="J460" s="537" t="str">
        <f>IFERROR(IF(PRJ_Type="New Construction",IF(Inventory!C457="N",INDEX(xyLPD_BuildingArea,MATCH(Building_Type,Lookups!$F$37:$F$75,0),4),INDEX(xyLPD_SpaceBySpace,MATCH(INDEX(xyNCEx,MATCH(I460,yNCExArea,0),2),ySpace_by_Space_Type,0),2)),VLOOKUP(E460,xyWattage_Table,11,FALSE)),"")</f>
        <v/>
      </c>
      <c r="K460" s="538" t="str">
        <f>IFERROR(IF(AND(NC_Type="Building Area Method",Inventory!C457="N"),IF(ISERROR(INDEX('Usage Groups (&gt;120 MWh only)'!$N$8:$N$12,MATCH(C460,'Usage Groups (&gt;120 MWh only)'!$B$8:$B$12,0),1))=TRUE,SqFt/COUNTIFS(Inventory!$C$10:$C$1009,"N",$Q$13:$Q$1012,"&gt;=0"),INDEX('Usage Groups (&gt;120 MWh only)'!$N$8:$N$12,MATCH(C460,'Usage Groups (&gt;120 MWh only)'!$B$8:$B$12,0),1)/COUNTIF($C$13:$C$1012,C460)),IF(AND(NC_Type="Building Area Method",Inventory!C457="Y"),INDEX(xyNCEx,MATCH(I460,yNCExArea,0),3)/COUNTIF($I$13:$I$1012,I460),VLOOKUP(J460,xyWattage_Table,10,FALSE))),"")</f>
        <v/>
      </c>
      <c r="L460" s="539" t="str">
        <f t="shared" si="171"/>
        <v/>
      </c>
      <c r="M460" s="540">
        <f>IF(Inventory!N457="","",Inventory!N457)</f>
        <v>0</v>
      </c>
      <c r="N460" s="533" t="str">
        <f t="shared" si="172"/>
        <v/>
      </c>
      <c r="O460" s="534"/>
      <c r="P460" s="533" t="str">
        <f t="shared" si="173"/>
        <v/>
      </c>
      <c r="Q460" s="534" t="str">
        <f>IF(Inventory!L457="","",Inventory!L457)</f>
        <v/>
      </c>
      <c r="R460" s="535" t="str">
        <f t="shared" si="174"/>
        <v/>
      </c>
      <c r="S460" s="536" t="str">
        <f>IF(Inventory!O457="","",Inventory!O457)</f>
        <v/>
      </c>
      <c r="T460" s="541" t="str">
        <f>IFERROR(IF(C460="","",IF(INDEX(xyWattage_Table,MATCH(M460,'Fixture Identities'!$B$9:$B$997,0),2)="Exit Sign",8760,IF(VLOOKUP(C460,xySpace_Type_Details,8,FALSE)="TRM",INDEX('General Information'!$AF$17:$AG$28,11,MATCH(N460,'General Information'!$AF$16:$AG$16,0)),HLOOKUP(VLOOKUP(C460,xySpace_Type_Details,8,FALSE),'General Information'!$P$15:$AG$28,13,FALSE)))),"")</f>
        <v/>
      </c>
      <c r="U460" s="542" t="str">
        <f>IFERROR(IF(C460="","",IF(INDEX(xyWattage_Table,MATCH(M460,'Fixture Identities'!$B$9:$B$997,0),2)="Exit Sign",1,IF(VLOOKUP(C460,xySpace_Type_Details,8,FALSE)="TRM",INDEX('General Information'!$AF$17:$AG$28,12,MATCH(N460,'General Information'!$AF$16:$AG$16,0)),HLOOKUP(VLOOKUP(C460,xySpace_Type_Details,8,FALSE),'General Information'!$P$15:$AG$28,14,FALSE)))),"")</f>
        <v/>
      </c>
      <c r="V460" s="542" t="str">
        <f>IFERROR(VLOOKUP(INDEX(xySpace_Type_Details,MATCH($C460,'General Information'!$C$40:$C$60,0),12),Lookups!$L$8:$N$12,2,FALSE),"")</f>
        <v/>
      </c>
      <c r="W460" s="542" t="str">
        <f>IFERROR(VLOOKUP(INDEX(xySpace_Type_Details,MATCH($C460,'General Information'!$C$40:$C$60,0),12),Lookups!$L$8:$N$12,3,FALSE),"")</f>
        <v/>
      </c>
      <c r="Y460" s="542" t="str">
        <f>IFERROR(IF(C460="","",IF(INDEX(xyWattage_Table,MATCH(M460,'Fixture Identities'!$B$9:$B$997,0),2)="Exit Sign",0,IF(PRJ_Type="Retrofit",VLOOKUP(I460,xySVG_Factors,2,FALSE),IF(AND(PRJ_Type="New Construction",Inventory!C457="N"),VLOOKUP(VLOOKUP(Building_Type,xyLPD_BuildingArea,5,FALSE),xySVG_Factors_NC,3,FALSE),0)))),"")</f>
        <v/>
      </c>
      <c r="Z460" s="544" t="str">
        <f>IFERROR(IF(C460="","",IF(INDEX(xyWattage_Table,MATCH(M460,'Fixture Identities'!$B$9:$B$997,0),2)="Exit Sign",0,VLOOKUP(S460,xySVG_Factors,2,FALSE))),"")</f>
        <v/>
      </c>
      <c r="AA460" s="545" t="str">
        <f t="shared" si="175"/>
        <v/>
      </c>
      <c r="AB460" s="542" t="str">
        <f t="shared" si="176"/>
        <v/>
      </c>
      <c r="AC460" s="539" t="str">
        <f t="shared" si="177"/>
        <v/>
      </c>
      <c r="AD460" s="546" t="str">
        <f t="shared" si="178"/>
        <v/>
      </c>
      <c r="AE460" s="539" t="str">
        <f t="shared" si="179"/>
        <v/>
      </c>
      <c r="AF460" s="546" t="str">
        <f t="shared" si="180"/>
        <v/>
      </c>
      <c r="AG460" s="539" t="str">
        <f t="shared" si="181"/>
        <v/>
      </c>
      <c r="AH460" s="32">
        <f t="shared" si="161"/>
        <v>0</v>
      </c>
      <c r="AI460" s="32">
        <f t="shared" si="162"/>
        <v>0</v>
      </c>
      <c r="AJ460" s="32">
        <f t="shared" si="163"/>
        <v>0</v>
      </c>
      <c r="AK460" t="str">
        <f t="shared" si="164"/>
        <v/>
      </c>
      <c r="AL460" t="str">
        <f t="shared" si="165"/>
        <v/>
      </c>
      <c r="AM460" t="str">
        <f t="shared" si="166"/>
        <v/>
      </c>
      <c r="AO460" t="str">
        <f>IFERROR(VLOOKUP(M460,'Fixture Identities'!$B$9:$O$1045,14,FALSE),"")</f>
        <v/>
      </c>
      <c r="AP460" t="str">
        <f t="shared" si="160"/>
        <v/>
      </c>
    </row>
    <row r="461" spans="1:42">
      <c r="A461" s="71">
        <f t="shared" si="168"/>
        <v>0</v>
      </c>
      <c r="B461" s="513">
        <f t="shared" si="167"/>
        <v>449</v>
      </c>
      <c r="C461" s="530" t="str">
        <f>IF(Inventory!E458="","",Inventory!E458)</f>
        <v/>
      </c>
      <c r="D461" s="531">
        <f>IF(Inventory!D458="",0,Inventory!D458)</f>
        <v>0</v>
      </c>
      <c r="E461" s="532" t="str">
        <f>IF(Inventory!I458=0,"",Inventory!I458)</f>
        <v/>
      </c>
      <c r="F461" s="533" t="str">
        <f t="shared" si="169"/>
        <v/>
      </c>
      <c r="G461" s="534" t="str">
        <f>IF(Inventory!G458="","",Inventory!G458)</f>
        <v/>
      </c>
      <c r="H461" s="535" t="str">
        <f t="shared" si="170"/>
        <v/>
      </c>
      <c r="I461" s="536" t="str">
        <f>IF(Inventory!J458="","",Inventory!J458)</f>
        <v/>
      </c>
      <c r="J461" s="537" t="str">
        <f>IFERROR(IF(PRJ_Type="New Construction",IF(Inventory!C458="N",INDEX(xyLPD_BuildingArea,MATCH(Building_Type,Lookups!$F$37:$F$75,0),4),INDEX(xyLPD_SpaceBySpace,MATCH(INDEX(xyNCEx,MATCH(I461,yNCExArea,0),2),ySpace_by_Space_Type,0),2)),VLOOKUP(E461,xyWattage_Table,11,FALSE)),"")</f>
        <v/>
      </c>
      <c r="K461" s="538" t="str">
        <f>IFERROR(IF(AND(NC_Type="Building Area Method",Inventory!C458="N"),IF(ISERROR(INDEX('Usage Groups (&gt;120 MWh only)'!$N$8:$N$12,MATCH(C461,'Usage Groups (&gt;120 MWh only)'!$B$8:$B$12,0),1))=TRUE,SqFt/COUNTIFS(Inventory!$C$10:$C$1009,"N",$Q$13:$Q$1012,"&gt;=0"),INDEX('Usage Groups (&gt;120 MWh only)'!$N$8:$N$12,MATCH(C461,'Usage Groups (&gt;120 MWh only)'!$B$8:$B$12,0),1)/COUNTIF($C$13:$C$1012,C461)),IF(AND(NC_Type="Building Area Method",Inventory!C458="Y"),INDEX(xyNCEx,MATCH(I461,yNCExArea,0),3)/COUNTIF($I$13:$I$1012,I461),VLOOKUP(J461,xyWattage_Table,10,FALSE))),"")</f>
        <v/>
      </c>
      <c r="L461" s="539" t="str">
        <f t="shared" si="171"/>
        <v/>
      </c>
      <c r="M461" s="540">
        <f>IF(Inventory!N458="","",Inventory!N458)</f>
        <v>0</v>
      </c>
      <c r="N461" s="533" t="str">
        <f t="shared" si="172"/>
        <v/>
      </c>
      <c r="O461" s="534"/>
      <c r="P461" s="533" t="str">
        <f t="shared" si="173"/>
        <v/>
      </c>
      <c r="Q461" s="534" t="str">
        <f>IF(Inventory!L458="","",Inventory!L458)</f>
        <v/>
      </c>
      <c r="R461" s="535" t="str">
        <f t="shared" si="174"/>
        <v/>
      </c>
      <c r="S461" s="536" t="str">
        <f>IF(Inventory!O458="","",Inventory!O458)</f>
        <v/>
      </c>
      <c r="T461" s="541" t="str">
        <f>IFERROR(IF(C461="","",IF(INDEX(xyWattage_Table,MATCH(M461,'Fixture Identities'!$B$9:$B$997,0),2)="Exit Sign",8760,IF(VLOOKUP(C461,xySpace_Type_Details,8,FALSE)="TRM",INDEX('General Information'!$AF$17:$AG$28,11,MATCH(N461,'General Information'!$AF$16:$AG$16,0)),HLOOKUP(VLOOKUP(C461,xySpace_Type_Details,8,FALSE),'General Information'!$P$15:$AG$28,13,FALSE)))),"")</f>
        <v/>
      </c>
      <c r="U461" s="542" t="str">
        <f>IFERROR(IF(C461="","",IF(INDEX(xyWattage_Table,MATCH(M461,'Fixture Identities'!$B$9:$B$997,0),2)="Exit Sign",1,IF(VLOOKUP(C461,xySpace_Type_Details,8,FALSE)="TRM",INDEX('General Information'!$AF$17:$AG$28,12,MATCH(N461,'General Information'!$AF$16:$AG$16,0)),HLOOKUP(VLOOKUP(C461,xySpace_Type_Details,8,FALSE),'General Information'!$P$15:$AG$28,14,FALSE)))),"")</f>
        <v/>
      </c>
      <c r="V461" s="542" t="str">
        <f>IFERROR(VLOOKUP(INDEX(xySpace_Type_Details,MATCH($C461,'General Information'!$C$40:$C$60,0),12),Lookups!$L$8:$N$12,2,FALSE),"")</f>
        <v/>
      </c>
      <c r="W461" s="542" t="str">
        <f>IFERROR(VLOOKUP(INDEX(xySpace_Type_Details,MATCH($C461,'General Information'!$C$40:$C$60,0),12),Lookups!$L$8:$N$12,3,FALSE),"")</f>
        <v/>
      </c>
      <c r="Y461" s="542" t="str">
        <f>IFERROR(IF(C461="","",IF(INDEX(xyWattage_Table,MATCH(M461,'Fixture Identities'!$B$9:$B$997,0),2)="Exit Sign",0,IF(PRJ_Type="Retrofit",VLOOKUP(I461,xySVG_Factors,2,FALSE),IF(AND(PRJ_Type="New Construction",Inventory!C458="N"),VLOOKUP(VLOOKUP(Building_Type,xyLPD_BuildingArea,5,FALSE),xySVG_Factors_NC,3,FALSE),0)))),"")</f>
        <v/>
      </c>
      <c r="Z461" s="544" t="str">
        <f>IFERROR(IF(C461="","",IF(INDEX(xyWattage_Table,MATCH(M461,'Fixture Identities'!$B$9:$B$997,0),2)="Exit Sign",0,VLOOKUP(S461,xySVG_Factors,2,FALSE))),"")</f>
        <v/>
      </c>
      <c r="AA461" s="545" t="str">
        <f t="shared" si="175"/>
        <v/>
      </c>
      <c r="AB461" s="542" t="str">
        <f t="shared" si="176"/>
        <v/>
      </c>
      <c r="AC461" s="539" t="str">
        <f t="shared" si="177"/>
        <v/>
      </c>
      <c r="AD461" s="546" t="str">
        <f t="shared" si="178"/>
        <v/>
      </c>
      <c r="AE461" s="539" t="str">
        <f t="shared" si="179"/>
        <v/>
      </c>
      <c r="AF461" s="546" t="str">
        <f t="shared" si="180"/>
        <v/>
      </c>
      <c r="AG461" s="539" t="str">
        <f t="shared" si="181"/>
        <v/>
      </c>
      <c r="AH461" s="32">
        <f t="shared" si="161"/>
        <v>0</v>
      </c>
      <c r="AI461" s="32">
        <f t="shared" si="162"/>
        <v>0</v>
      </c>
      <c r="AJ461" s="32">
        <f t="shared" si="163"/>
        <v>0</v>
      </c>
      <c r="AK461" t="str">
        <f t="shared" si="164"/>
        <v/>
      </c>
      <c r="AL461" t="str">
        <f t="shared" si="165"/>
        <v/>
      </c>
      <c r="AM461" t="str">
        <f t="shared" si="166"/>
        <v/>
      </c>
      <c r="AO461" t="str">
        <f>IFERROR(VLOOKUP(M461,'Fixture Identities'!$B$9:$O$1045,14,FALSE),"")</f>
        <v/>
      </c>
      <c r="AP461" t="str">
        <f t="shared" ref="AP461:AP524" si="182">IF(M462="Signage",G462,"")</f>
        <v/>
      </c>
    </row>
    <row r="462" spans="1:42">
      <c r="A462" s="71">
        <f t="shared" si="168"/>
        <v>0</v>
      </c>
      <c r="B462" s="513">
        <f t="shared" si="167"/>
        <v>450</v>
      </c>
      <c r="C462" s="530" t="str">
        <f>IF(Inventory!E459="","",Inventory!E459)</f>
        <v/>
      </c>
      <c r="D462" s="531">
        <f>IF(Inventory!D459="",0,Inventory!D459)</f>
        <v>0</v>
      </c>
      <c r="E462" s="532" t="str">
        <f>IF(Inventory!I459=0,"",Inventory!I459)</f>
        <v/>
      </c>
      <c r="F462" s="533" t="str">
        <f t="shared" si="169"/>
        <v/>
      </c>
      <c r="G462" s="534" t="str">
        <f>IF(Inventory!G459="","",Inventory!G459)</f>
        <v/>
      </c>
      <c r="H462" s="535" t="str">
        <f t="shared" si="170"/>
        <v/>
      </c>
      <c r="I462" s="536" t="str">
        <f>IF(Inventory!J459="","",Inventory!J459)</f>
        <v/>
      </c>
      <c r="J462" s="537" t="str">
        <f>IFERROR(IF(PRJ_Type="New Construction",IF(Inventory!C459="N",INDEX(xyLPD_BuildingArea,MATCH(Building_Type,Lookups!$F$37:$F$75,0),4),INDEX(xyLPD_SpaceBySpace,MATCH(INDEX(xyNCEx,MATCH(I462,yNCExArea,0),2),ySpace_by_Space_Type,0),2)),VLOOKUP(E462,xyWattage_Table,11,FALSE)),"")</f>
        <v/>
      </c>
      <c r="K462" s="538" t="str">
        <f>IFERROR(IF(AND(NC_Type="Building Area Method",Inventory!C459="N"),IF(ISERROR(INDEX('Usage Groups (&gt;120 MWh only)'!$N$8:$N$12,MATCH(C462,'Usage Groups (&gt;120 MWh only)'!$B$8:$B$12,0),1))=TRUE,SqFt/COUNTIFS(Inventory!$C$10:$C$1009,"N",$Q$13:$Q$1012,"&gt;=0"),INDEX('Usage Groups (&gt;120 MWh only)'!$N$8:$N$12,MATCH(C462,'Usage Groups (&gt;120 MWh only)'!$B$8:$B$12,0),1)/COUNTIF($C$13:$C$1012,C462)),IF(AND(NC_Type="Building Area Method",Inventory!C459="Y"),INDEX(xyNCEx,MATCH(I462,yNCExArea,0),3)/COUNTIF($I$13:$I$1012,I462),VLOOKUP(J462,xyWattage_Table,10,FALSE))),"")</f>
        <v/>
      </c>
      <c r="L462" s="539" t="str">
        <f t="shared" si="171"/>
        <v/>
      </c>
      <c r="M462" s="540">
        <f>IF(Inventory!N459="","",Inventory!N459)</f>
        <v>0</v>
      </c>
      <c r="N462" s="533" t="str">
        <f t="shared" si="172"/>
        <v/>
      </c>
      <c r="O462" s="534"/>
      <c r="P462" s="533" t="str">
        <f t="shared" si="173"/>
        <v/>
      </c>
      <c r="Q462" s="534" t="str">
        <f>IF(Inventory!L459="","",Inventory!L459)</f>
        <v/>
      </c>
      <c r="R462" s="535" t="str">
        <f t="shared" si="174"/>
        <v/>
      </c>
      <c r="S462" s="536" t="str">
        <f>IF(Inventory!O459="","",Inventory!O459)</f>
        <v/>
      </c>
      <c r="T462" s="541" t="str">
        <f>IFERROR(IF(C462="","",IF(INDEX(xyWattage_Table,MATCH(M462,'Fixture Identities'!$B$9:$B$997,0),2)="Exit Sign",8760,IF(VLOOKUP(C462,xySpace_Type_Details,8,FALSE)="TRM",INDEX('General Information'!$AF$17:$AG$28,11,MATCH(N462,'General Information'!$AF$16:$AG$16,0)),HLOOKUP(VLOOKUP(C462,xySpace_Type_Details,8,FALSE),'General Information'!$P$15:$AG$28,13,FALSE)))),"")</f>
        <v/>
      </c>
      <c r="U462" s="542" t="str">
        <f>IFERROR(IF(C462="","",IF(INDEX(xyWattage_Table,MATCH(M462,'Fixture Identities'!$B$9:$B$997,0),2)="Exit Sign",1,IF(VLOOKUP(C462,xySpace_Type_Details,8,FALSE)="TRM",INDEX('General Information'!$AF$17:$AG$28,12,MATCH(N462,'General Information'!$AF$16:$AG$16,0)),HLOOKUP(VLOOKUP(C462,xySpace_Type_Details,8,FALSE),'General Information'!$P$15:$AG$28,14,FALSE)))),"")</f>
        <v/>
      </c>
      <c r="V462" s="542" t="str">
        <f>IFERROR(VLOOKUP(INDEX(xySpace_Type_Details,MATCH($C462,'General Information'!$C$40:$C$60,0),12),Lookups!$L$8:$N$12,2,FALSE),"")</f>
        <v/>
      </c>
      <c r="W462" s="542" t="str">
        <f>IFERROR(VLOOKUP(INDEX(xySpace_Type_Details,MATCH($C462,'General Information'!$C$40:$C$60,0),12),Lookups!$L$8:$N$12,3,FALSE),"")</f>
        <v/>
      </c>
      <c r="Y462" s="542" t="str">
        <f>IFERROR(IF(C462="","",IF(INDEX(xyWattage_Table,MATCH(M462,'Fixture Identities'!$B$9:$B$997,0),2)="Exit Sign",0,IF(PRJ_Type="Retrofit",VLOOKUP(I462,xySVG_Factors,2,FALSE),IF(AND(PRJ_Type="New Construction",Inventory!C459="N"),VLOOKUP(VLOOKUP(Building_Type,xyLPD_BuildingArea,5,FALSE),xySVG_Factors_NC,3,FALSE),0)))),"")</f>
        <v/>
      </c>
      <c r="Z462" s="544" t="str">
        <f>IFERROR(IF(C462="","",IF(INDEX(xyWattage_Table,MATCH(M462,'Fixture Identities'!$B$9:$B$997,0),2)="Exit Sign",0,VLOOKUP(S462,xySVG_Factors,2,FALSE))),"")</f>
        <v/>
      </c>
      <c r="AA462" s="545" t="str">
        <f t="shared" si="175"/>
        <v/>
      </c>
      <c r="AB462" s="542" t="str">
        <f t="shared" si="176"/>
        <v/>
      </c>
      <c r="AC462" s="539" t="str">
        <f t="shared" si="177"/>
        <v/>
      </c>
      <c r="AD462" s="546" t="str">
        <f t="shared" si="178"/>
        <v/>
      </c>
      <c r="AE462" s="539" t="str">
        <f t="shared" si="179"/>
        <v/>
      </c>
      <c r="AF462" s="546" t="str">
        <f t="shared" si="180"/>
        <v/>
      </c>
      <c r="AG462" s="539" t="str">
        <f t="shared" si="181"/>
        <v/>
      </c>
      <c r="AH462" s="32">
        <f t="shared" ref="AH462:AH525" si="183">IF(I462&lt;&gt;S462,R462,0)</f>
        <v>0</v>
      </c>
      <c r="AI462" s="32">
        <f t="shared" ref="AI462:AI525" si="184">IFERROR(VLOOKUP(E462,xyWattage_Table,8,FALSE)*G462,0)</f>
        <v>0</v>
      </c>
      <c r="AJ462" s="32">
        <f t="shared" ref="AJ462:AJ525" si="185">IFERROR(VLOOKUP(M462,xyWattage_Table,8,FALSE)*Q462,0)</f>
        <v>0</v>
      </c>
      <c r="AK462" t="str">
        <f t="shared" ref="AK462:AK525" si="186">IFERROR((L462)/1000,"")</f>
        <v/>
      </c>
      <c r="AL462" t="str">
        <f t="shared" ref="AL462:AL525" si="187">IFERROR(AK462*U462*(1+W462)*(1-Y462),"")</f>
        <v/>
      </c>
      <c r="AM462" t="str">
        <f t="shared" ref="AM462:AM525" si="188">IFERROR(AK462*T462*(1+V462)*(1-Y462),"")</f>
        <v/>
      </c>
      <c r="AO462" t="str">
        <f>IFERROR(VLOOKUP(M462,'Fixture Identities'!$B$9:$O$1045,14,FALSE),"")</f>
        <v/>
      </c>
      <c r="AP462" t="str">
        <f t="shared" si="182"/>
        <v/>
      </c>
    </row>
    <row r="463" spans="1:42">
      <c r="A463" s="71">
        <f t="shared" si="168"/>
        <v>0</v>
      </c>
      <c r="B463" s="513">
        <f t="shared" ref="B463:B526" si="189">B462+1</f>
        <v>451</v>
      </c>
      <c r="C463" s="530" t="str">
        <f>IF(Inventory!E460="","",Inventory!E460)</f>
        <v/>
      </c>
      <c r="D463" s="531">
        <f>IF(Inventory!D460="",0,Inventory!D460)</f>
        <v>0</v>
      </c>
      <c r="E463" s="532" t="str">
        <f>IF(Inventory!I460=0,"",Inventory!I460)</f>
        <v/>
      </c>
      <c r="F463" s="533" t="str">
        <f t="shared" si="169"/>
        <v/>
      </c>
      <c r="G463" s="534" t="str">
        <f>IF(Inventory!G460="","",Inventory!G460)</f>
        <v/>
      </c>
      <c r="H463" s="535" t="str">
        <f t="shared" si="170"/>
        <v/>
      </c>
      <c r="I463" s="536" t="str">
        <f>IF(Inventory!J460="","",Inventory!J460)</f>
        <v/>
      </c>
      <c r="J463" s="537" t="str">
        <f>IFERROR(IF(PRJ_Type="New Construction",IF(Inventory!C460="N",INDEX(xyLPD_BuildingArea,MATCH(Building_Type,Lookups!$F$37:$F$75,0),4),INDEX(xyLPD_SpaceBySpace,MATCH(INDEX(xyNCEx,MATCH(I463,yNCExArea,0),2),ySpace_by_Space_Type,0),2)),VLOOKUP(E463,xyWattage_Table,11,FALSE)),"")</f>
        <v/>
      </c>
      <c r="K463" s="538" t="str">
        <f>IFERROR(IF(AND(NC_Type="Building Area Method",Inventory!C460="N"),IF(ISERROR(INDEX('Usage Groups (&gt;120 MWh only)'!$N$8:$N$12,MATCH(C463,'Usage Groups (&gt;120 MWh only)'!$B$8:$B$12,0),1))=TRUE,SqFt/COUNTIFS(Inventory!$C$10:$C$1009,"N",$Q$13:$Q$1012,"&gt;=0"),INDEX('Usage Groups (&gt;120 MWh only)'!$N$8:$N$12,MATCH(C463,'Usage Groups (&gt;120 MWh only)'!$B$8:$B$12,0),1)/COUNTIF($C$13:$C$1012,C463)),IF(AND(NC_Type="Building Area Method",Inventory!C460="Y"),INDEX(xyNCEx,MATCH(I463,yNCExArea,0),3)/COUNTIF($I$13:$I$1012,I463),VLOOKUP(J463,xyWattage_Table,10,FALSE))),"")</f>
        <v/>
      </c>
      <c r="L463" s="539" t="str">
        <f t="shared" si="171"/>
        <v/>
      </c>
      <c r="M463" s="540">
        <f>IF(Inventory!N460="","",Inventory!N460)</f>
        <v>0</v>
      </c>
      <c r="N463" s="533" t="str">
        <f t="shared" si="172"/>
        <v/>
      </c>
      <c r="O463" s="534"/>
      <c r="P463" s="533" t="str">
        <f t="shared" si="173"/>
        <v/>
      </c>
      <c r="Q463" s="534" t="str">
        <f>IF(Inventory!L460="","",Inventory!L460)</f>
        <v/>
      </c>
      <c r="R463" s="535" t="str">
        <f t="shared" si="174"/>
        <v/>
      </c>
      <c r="S463" s="536" t="str">
        <f>IF(Inventory!O460="","",Inventory!O460)</f>
        <v/>
      </c>
      <c r="T463" s="541" t="str">
        <f>IFERROR(IF(C463="","",IF(INDEX(xyWattage_Table,MATCH(M463,'Fixture Identities'!$B$9:$B$997,0),2)="Exit Sign",8760,IF(VLOOKUP(C463,xySpace_Type_Details,8,FALSE)="TRM",INDEX('General Information'!$AF$17:$AG$28,11,MATCH(N463,'General Information'!$AF$16:$AG$16,0)),HLOOKUP(VLOOKUP(C463,xySpace_Type_Details,8,FALSE),'General Information'!$P$15:$AG$28,13,FALSE)))),"")</f>
        <v/>
      </c>
      <c r="U463" s="542" t="str">
        <f>IFERROR(IF(C463="","",IF(INDEX(xyWattage_Table,MATCH(M463,'Fixture Identities'!$B$9:$B$997,0),2)="Exit Sign",1,IF(VLOOKUP(C463,xySpace_Type_Details,8,FALSE)="TRM",INDEX('General Information'!$AF$17:$AG$28,12,MATCH(N463,'General Information'!$AF$16:$AG$16,0)),HLOOKUP(VLOOKUP(C463,xySpace_Type_Details,8,FALSE),'General Information'!$P$15:$AG$28,14,FALSE)))),"")</f>
        <v/>
      </c>
      <c r="V463" s="542" t="str">
        <f>IFERROR(VLOOKUP(INDEX(xySpace_Type_Details,MATCH($C463,'General Information'!$C$40:$C$60,0),12),Lookups!$L$8:$N$12,2,FALSE),"")</f>
        <v/>
      </c>
      <c r="W463" s="542" t="str">
        <f>IFERROR(VLOOKUP(INDEX(xySpace_Type_Details,MATCH($C463,'General Information'!$C$40:$C$60,0),12),Lookups!$L$8:$N$12,3,FALSE),"")</f>
        <v/>
      </c>
      <c r="Y463" s="542" t="str">
        <f>IFERROR(IF(C463="","",IF(INDEX(xyWattage_Table,MATCH(M463,'Fixture Identities'!$B$9:$B$997,0),2)="Exit Sign",0,IF(PRJ_Type="Retrofit",VLOOKUP(I463,xySVG_Factors,2,FALSE),IF(AND(PRJ_Type="New Construction",Inventory!C460="N"),VLOOKUP(VLOOKUP(Building_Type,xyLPD_BuildingArea,5,FALSE),xySVG_Factors_NC,3,FALSE),0)))),"")</f>
        <v/>
      </c>
      <c r="Z463" s="544" t="str">
        <f>IFERROR(IF(C463="","",IF(INDEX(xyWattage_Table,MATCH(M463,'Fixture Identities'!$B$9:$B$997,0),2)="Exit Sign",0,VLOOKUP(S463,xySVG_Factors,2,FALSE))),"")</f>
        <v/>
      </c>
      <c r="AA463" s="545" t="str">
        <f t="shared" si="175"/>
        <v/>
      </c>
      <c r="AB463" s="542" t="str">
        <f t="shared" si="176"/>
        <v/>
      </c>
      <c r="AC463" s="539" t="str">
        <f t="shared" si="177"/>
        <v/>
      </c>
      <c r="AD463" s="546" t="str">
        <f t="shared" si="178"/>
        <v/>
      </c>
      <c r="AE463" s="539" t="str">
        <f t="shared" si="179"/>
        <v/>
      </c>
      <c r="AF463" s="546" t="str">
        <f t="shared" si="180"/>
        <v/>
      </c>
      <c r="AG463" s="539" t="str">
        <f t="shared" si="181"/>
        <v/>
      </c>
      <c r="AH463" s="32">
        <f t="shared" si="183"/>
        <v>0</v>
      </c>
      <c r="AI463" s="32">
        <f t="shared" si="184"/>
        <v>0</v>
      </c>
      <c r="AJ463" s="32">
        <f t="shared" si="185"/>
        <v>0</v>
      </c>
      <c r="AK463" t="str">
        <f t="shared" si="186"/>
        <v/>
      </c>
      <c r="AL463" t="str">
        <f t="shared" si="187"/>
        <v/>
      </c>
      <c r="AM463" t="str">
        <f t="shared" si="188"/>
        <v/>
      </c>
      <c r="AO463" t="str">
        <f>IFERROR(VLOOKUP(M463,'Fixture Identities'!$B$9:$O$1045,14,FALSE),"")</f>
        <v/>
      </c>
      <c r="AP463" t="str">
        <f t="shared" si="182"/>
        <v/>
      </c>
    </row>
    <row r="464" spans="1:42">
      <c r="A464" s="71">
        <f t="shared" si="168"/>
        <v>0</v>
      </c>
      <c r="B464" s="513">
        <f t="shared" si="189"/>
        <v>452</v>
      </c>
      <c r="C464" s="530" t="str">
        <f>IF(Inventory!E461="","",Inventory!E461)</f>
        <v/>
      </c>
      <c r="D464" s="531">
        <f>IF(Inventory!D461="",0,Inventory!D461)</f>
        <v>0</v>
      </c>
      <c r="E464" s="532" t="str">
        <f>IF(Inventory!I461=0,"",Inventory!I461)</f>
        <v/>
      </c>
      <c r="F464" s="533" t="str">
        <f t="shared" si="169"/>
        <v/>
      </c>
      <c r="G464" s="534" t="str">
        <f>IF(Inventory!G461="","",Inventory!G461)</f>
        <v/>
      </c>
      <c r="H464" s="535" t="str">
        <f t="shared" si="170"/>
        <v/>
      </c>
      <c r="I464" s="536" t="str">
        <f>IF(Inventory!J461="","",Inventory!J461)</f>
        <v/>
      </c>
      <c r="J464" s="537" t="str">
        <f>IFERROR(IF(PRJ_Type="New Construction",IF(Inventory!C461="N",INDEX(xyLPD_BuildingArea,MATCH(Building_Type,Lookups!$F$37:$F$75,0),4),INDEX(xyLPD_SpaceBySpace,MATCH(INDEX(xyNCEx,MATCH(I464,yNCExArea,0),2),ySpace_by_Space_Type,0),2)),VLOOKUP(E464,xyWattage_Table,11,FALSE)),"")</f>
        <v/>
      </c>
      <c r="K464" s="538" t="str">
        <f>IFERROR(IF(AND(NC_Type="Building Area Method",Inventory!C461="N"),IF(ISERROR(INDEX('Usage Groups (&gt;120 MWh only)'!$N$8:$N$12,MATCH(C464,'Usage Groups (&gt;120 MWh only)'!$B$8:$B$12,0),1))=TRUE,SqFt/COUNTIFS(Inventory!$C$10:$C$1009,"N",$Q$13:$Q$1012,"&gt;=0"),INDEX('Usage Groups (&gt;120 MWh only)'!$N$8:$N$12,MATCH(C464,'Usage Groups (&gt;120 MWh only)'!$B$8:$B$12,0),1)/COUNTIF($C$13:$C$1012,C464)),IF(AND(NC_Type="Building Area Method",Inventory!C461="Y"),INDEX(xyNCEx,MATCH(I464,yNCExArea,0),3)/COUNTIF($I$13:$I$1012,I464),VLOOKUP(J464,xyWattage_Table,10,FALSE))),"")</f>
        <v/>
      </c>
      <c r="L464" s="539" t="str">
        <f t="shared" si="171"/>
        <v/>
      </c>
      <c r="M464" s="540">
        <f>IF(Inventory!N461="","",Inventory!N461)</f>
        <v>0</v>
      </c>
      <c r="N464" s="533" t="str">
        <f t="shared" si="172"/>
        <v/>
      </c>
      <c r="O464" s="534"/>
      <c r="P464" s="533" t="str">
        <f t="shared" si="173"/>
        <v/>
      </c>
      <c r="Q464" s="534" t="str">
        <f>IF(Inventory!L461="","",Inventory!L461)</f>
        <v/>
      </c>
      <c r="R464" s="535" t="str">
        <f t="shared" si="174"/>
        <v/>
      </c>
      <c r="S464" s="536" t="str">
        <f>IF(Inventory!O461="","",Inventory!O461)</f>
        <v/>
      </c>
      <c r="T464" s="541" t="str">
        <f>IFERROR(IF(C464="","",IF(INDEX(xyWattage_Table,MATCH(M464,'Fixture Identities'!$B$9:$B$997,0),2)="Exit Sign",8760,IF(VLOOKUP(C464,xySpace_Type_Details,8,FALSE)="TRM",INDEX('General Information'!$AF$17:$AG$28,11,MATCH(N464,'General Information'!$AF$16:$AG$16,0)),HLOOKUP(VLOOKUP(C464,xySpace_Type_Details,8,FALSE),'General Information'!$P$15:$AG$28,13,FALSE)))),"")</f>
        <v/>
      </c>
      <c r="U464" s="542" t="str">
        <f>IFERROR(IF(C464="","",IF(INDEX(xyWattage_Table,MATCH(M464,'Fixture Identities'!$B$9:$B$997,0),2)="Exit Sign",1,IF(VLOOKUP(C464,xySpace_Type_Details,8,FALSE)="TRM",INDEX('General Information'!$AF$17:$AG$28,12,MATCH(N464,'General Information'!$AF$16:$AG$16,0)),HLOOKUP(VLOOKUP(C464,xySpace_Type_Details,8,FALSE),'General Information'!$P$15:$AG$28,14,FALSE)))),"")</f>
        <v/>
      </c>
      <c r="V464" s="542" t="str">
        <f>IFERROR(VLOOKUP(INDEX(xySpace_Type_Details,MATCH($C464,'General Information'!$C$40:$C$60,0),12),Lookups!$L$8:$N$12,2,FALSE),"")</f>
        <v/>
      </c>
      <c r="W464" s="542" t="str">
        <f>IFERROR(VLOOKUP(INDEX(xySpace_Type_Details,MATCH($C464,'General Information'!$C$40:$C$60,0),12),Lookups!$L$8:$N$12,3,FALSE),"")</f>
        <v/>
      </c>
      <c r="Y464" s="542" t="str">
        <f>IFERROR(IF(C464="","",IF(INDEX(xyWattage_Table,MATCH(M464,'Fixture Identities'!$B$9:$B$997,0),2)="Exit Sign",0,IF(PRJ_Type="Retrofit",VLOOKUP(I464,xySVG_Factors,2,FALSE),IF(AND(PRJ_Type="New Construction",Inventory!C461="N"),VLOOKUP(VLOOKUP(Building_Type,xyLPD_BuildingArea,5,FALSE),xySVG_Factors_NC,3,FALSE),0)))),"")</f>
        <v/>
      </c>
      <c r="Z464" s="544" t="str">
        <f>IFERROR(IF(C464="","",IF(INDEX(xyWattage_Table,MATCH(M464,'Fixture Identities'!$B$9:$B$997,0),2)="Exit Sign",0,VLOOKUP(S464,xySVG_Factors,2,FALSE))),"")</f>
        <v/>
      </c>
      <c r="AA464" s="545" t="str">
        <f t="shared" si="175"/>
        <v/>
      </c>
      <c r="AB464" s="542" t="str">
        <f t="shared" si="176"/>
        <v/>
      </c>
      <c r="AC464" s="539" t="str">
        <f t="shared" si="177"/>
        <v/>
      </c>
      <c r="AD464" s="546" t="str">
        <f t="shared" si="178"/>
        <v/>
      </c>
      <c r="AE464" s="539" t="str">
        <f t="shared" si="179"/>
        <v/>
      </c>
      <c r="AF464" s="546" t="str">
        <f t="shared" si="180"/>
        <v/>
      </c>
      <c r="AG464" s="539" t="str">
        <f t="shared" si="181"/>
        <v/>
      </c>
      <c r="AH464" s="32">
        <f t="shared" si="183"/>
        <v>0</v>
      </c>
      <c r="AI464" s="32">
        <f t="shared" si="184"/>
        <v>0</v>
      </c>
      <c r="AJ464" s="32">
        <f t="shared" si="185"/>
        <v>0</v>
      </c>
      <c r="AK464" t="str">
        <f t="shared" si="186"/>
        <v/>
      </c>
      <c r="AL464" t="str">
        <f t="shared" si="187"/>
        <v/>
      </c>
      <c r="AM464" t="str">
        <f t="shared" si="188"/>
        <v/>
      </c>
      <c r="AO464" t="str">
        <f>IFERROR(VLOOKUP(M464,'Fixture Identities'!$B$9:$O$1045,14,FALSE),"")</f>
        <v/>
      </c>
      <c r="AP464" t="str">
        <f t="shared" si="182"/>
        <v/>
      </c>
    </row>
    <row r="465" spans="1:42">
      <c r="A465" s="71">
        <f t="shared" si="168"/>
        <v>0</v>
      </c>
      <c r="B465" s="513">
        <f t="shared" si="189"/>
        <v>453</v>
      </c>
      <c r="C465" s="530" t="str">
        <f>IF(Inventory!E462="","",Inventory!E462)</f>
        <v/>
      </c>
      <c r="D465" s="531">
        <f>IF(Inventory!D462="",0,Inventory!D462)</f>
        <v>0</v>
      </c>
      <c r="E465" s="532" t="str">
        <f>IF(Inventory!I462=0,"",Inventory!I462)</f>
        <v/>
      </c>
      <c r="F465" s="533" t="str">
        <f t="shared" si="169"/>
        <v/>
      </c>
      <c r="G465" s="534" t="str">
        <f>IF(Inventory!G462="","",Inventory!G462)</f>
        <v/>
      </c>
      <c r="H465" s="535" t="str">
        <f t="shared" si="170"/>
        <v/>
      </c>
      <c r="I465" s="536" t="str">
        <f>IF(Inventory!J462="","",Inventory!J462)</f>
        <v/>
      </c>
      <c r="J465" s="537" t="str">
        <f>IFERROR(IF(PRJ_Type="New Construction",IF(Inventory!C462="N",INDEX(xyLPD_BuildingArea,MATCH(Building_Type,Lookups!$F$37:$F$75,0),4),INDEX(xyLPD_SpaceBySpace,MATCH(INDEX(xyNCEx,MATCH(I465,yNCExArea,0),2),ySpace_by_Space_Type,0),2)),VLOOKUP(E465,xyWattage_Table,11,FALSE)),"")</f>
        <v/>
      </c>
      <c r="K465" s="538" t="str">
        <f>IFERROR(IF(AND(NC_Type="Building Area Method",Inventory!C462="N"),IF(ISERROR(INDEX('Usage Groups (&gt;120 MWh only)'!$N$8:$N$12,MATCH(C465,'Usage Groups (&gt;120 MWh only)'!$B$8:$B$12,0),1))=TRUE,SqFt/COUNTIFS(Inventory!$C$10:$C$1009,"N",$Q$13:$Q$1012,"&gt;=0"),INDEX('Usage Groups (&gt;120 MWh only)'!$N$8:$N$12,MATCH(C465,'Usage Groups (&gt;120 MWh only)'!$B$8:$B$12,0),1)/COUNTIF($C$13:$C$1012,C465)),IF(AND(NC_Type="Building Area Method",Inventory!C462="Y"),INDEX(xyNCEx,MATCH(I465,yNCExArea,0),3)/COUNTIF($I$13:$I$1012,I465),VLOOKUP(J465,xyWattage_Table,10,FALSE))),"")</f>
        <v/>
      </c>
      <c r="L465" s="539" t="str">
        <f t="shared" si="171"/>
        <v/>
      </c>
      <c r="M465" s="540">
        <f>IF(Inventory!N462="","",Inventory!N462)</f>
        <v>0</v>
      </c>
      <c r="N465" s="533" t="str">
        <f t="shared" si="172"/>
        <v/>
      </c>
      <c r="O465" s="534"/>
      <c r="P465" s="533" t="str">
        <f t="shared" si="173"/>
        <v/>
      </c>
      <c r="Q465" s="534" t="str">
        <f>IF(Inventory!L462="","",Inventory!L462)</f>
        <v/>
      </c>
      <c r="R465" s="535" t="str">
        <f t="shared" si="174"/>
        <v/>
      </c>
      <c r="S465" s="536" t="str">
        <f>IF(Inventory!O462="","",Inventory!O462)</f>
        <v/>
      </c>
      <c r="T465" s="541" t="str">
        <f>IFERROR(IF(C465="","",IF(INDEX(xyWattage_Table,MATCH(M465,'Fixture Identities'!$B$9:$B$997,0),2)="Exit Sign",8760,IF(VLOOKUP(C465,xySpace_Type_Details,8,FALSE)="TRM",INDEX('General Information'!$AF$17:$AG$28,11,MATCH(N465,'General Information'!$AF$16:$AG$16,0)),HLOOKUP(VLOOKUP(C465,xySpace_Type_Details,8,FALSE),'General Information'!$P$15:$AG$28,13,FALSE)))),"")</f>
        <v/>
      </c>
      <c r="U465" s="542" t="str">
        <f>IFERROR(IF(C465="","",IF(INDEX(xyWattage_Table,MATCH(M465,'Fixture Identities'!$B$9:$B$997,0),2)="Exit Sign",1,IF(VLOOKUP(C465,xySpace_Type_Details,8,FALSE)="TRM",INDEX('General Information'!$AF$17:$AG$28,12,MATCH(N465,'General Information'!$AF$16:$AG$16,0)),HLOOKUP(VLOOKUP(C465,xySpace_Type_Details,8,FALSE),'General Information'!$P$15:$AG$28,14,FALSE)))),"")</f>
        <v/>
      </c>
      <c r="V465" s="542" t="str">
        <f>IFERROR(VLOOKUP(INDEX(xySpace_Type_Details,MATCH($C465,'General Information'!$C$40:$C$60,0),12),Lookups!$L$8:$N$12,2,FALSE),"")</f>
        <v/>
      </c>
      <c r="W465" s="542" t="str">
        <f>IFERROR(VLOOKUP(INDEX(xySpace_Type_Details,MATCH($C465,'General Information'!$C$40:$C$60,0),12),Lookups!$L$8:$N$12,3,FALSE),"")</f>
        <v/>
      </c>
      <c r="Y465" s="542" t="str">
        <f>IFERROR(IF(C465="","",IF(INDEX(xyWattage_Table,MATCH(M465,'Fixture Identities'!$B$9:$B$997,0),2)="Exit Sign",0,IF(PRJ_Type="Retrofit",VLOOKUP(I465,xySVG_Factors,2,FALSE),IF(AND(PRJ_Type="New Construction",Inventory!C462="N"),VLOOKUP(VLOOKUP(Building_Type,xyLPD_BuildingArea,5,FALSE),xySVG_Factors_NC,3,FALSE),0)))),"")</f>
        <v/>
      </c>
      <c r="Z465" s="544" t="str">
        <f>IFERROR(IF(C465="","",IF(INDEX(xyWattage_Table,MATCH(M465,'Fixture Identities'!$B$9:$B$997,0),2)="Exit Sign",0,VLOOKUP(S465,xySVG_Factors,2,FALSE))),"")</f>
        <v/>
      </c>
      <c r="AA465" s="545" t="str">
        <f t="shared" si="175"/>
        <v/>
      </c>
      <c r="AB465" s="542" t="str">
        <f t="shared" si="176"/>
        <v/>
      </c>
      <c r="AC465" s="539" t="str">
        <f t="shared" si="177"/>
        <v/>
      </c>
      <c r="AD465" s="546" t="str">
        <f t="shared" si="178"/>
        <v/>
      </c>
      <c r="AE465" s="539" t="str">
        <f t="shared" si="179"/>
        <v/>
      </c>
      <c r="AF465" s="546" t="str">
        <f t="shared" si="180"/>
        <v/>
      </c>
      <c r="AG465" s="539" t="str">
        <f t="shared" si="181"/>
        <v/>
      </c>
      <c r="AH465" s="32">
        <f t="shared" si="183"/>
        <v>0</v>
      </c>
      <c r="AI465" s="32">
        <f t="shared" si="184"/>
        <v>0</v>
      </c>
      <c r="AJ465" s="32">
        <f t="shared" si="185"/>
        <v>0</v>
      </c>
      <c r="AK465" t="str">
        <f t="shared" si="186"/>
        <v/>
      </c>
      <c r="AL465" t="str">
        <f t="shared" si="187"/>
        <v/>
      </c>
      <c r="AM465" t="str">
        <f t="shared" si="188"/>
        <v/>
      </c>
      <c r="AO465" t="str">
        <f>IFERROR(VLOOKUP(M465,'Fixture Identities'!$B$9:$O$1045,14,FALSE),"")</f>
        <v/>
      </c>
      <c r="AP465" t="str">
        <f t="shared" si="182"/>
        <v/>
      </c>
    </row>
    <row r="466" spans="1:42">
      <c r="A466" s="71">
        <f t="shared" ref="A466:A529" si="190">IF(E466&lt;&gt;J466,1,0)</f>
        <v>0</v>
      </c>
      <c r="B466" s="513">
        <f t="shared" si="189"/>
        <v>454</v>
      </c>
      <c r="C466" s="530" t="str">
        <f>IF(Inventory!E463="","",Inventory!E463)</f>
        <v/>
      </c>
      <c r="D466" s="531">
        <f>IF(Inventory!D463="",0,Inventory!D463)</f>
        <v>0</v>
      </c>
      <c r="E466" s="532" t="str">
        <f>IF(Inventory!I463=0,"",Inventory!I463)</f>
        <v/>
      </c>
      <c r="F466" s="533" t="str">
        <f t="shared" si="169"/>
        <v/>
      </c>
      <c r="G466" s="534" t="str">
        <f>IF(Inventory!G463="","",Inventory!G463)</f>
        <v/>
      </c>
      <c r="H466" s="535" t="str">
        <f t="shared" si="170"/>
        <v/>
      </c>
      <c r="I466" s="536" t="str">
        <f>IF(Inventory!J463="","",Inventory!J463)</f>
        <v/>
      </c>
      <c r="J466" s="537" t="str">
        <f>IFERROR(IF(PRJ_Type="New Construction",IF(Inventory!C463="N",INDEX(xyLPD_BuildingArea,MATCH(Building_Type,Lookups!$F$37:$F$75,0),4),INDEX(xyLPD_SpaceBySpace,MATCH(INDEX(xyNCEx,MATCH(I466,yNCExArea,0),2),ySpace_by_Space_Type,0),2)),VLOOKUP(E466,xyWattage_Table,11,FALSE)),"")</f>
        <v/>
      </c>
      <c r="K466" s="538" t="str">
        <f>IFERROR(IF(AND(NC_Type="Building Area Method",Inventory!C463="N"),IF(ISERROR(INDEX('Usage Groups (&gt;120 MWh only)'!$N$8:$N$12,MATCH(C466,'Usage Groups (&gt;120 MWh only)'!$B$8:$B$12,0),1))=TRUE,SqFt/COUNTIFS(Inventory!$C$10:$C$1009,"N",$Q$13:$Q$1012,"&gt;=0"),INDEX('Usage Groups (&gt;120 MWh only)'!$N$8:$N$12,MATCH(C466,'Usage Groups (&gt;120 MWh only)'!$B$8:$B$12,0),1)/COUNTIF($C$13:$C$1012,C466)),IF(AND(NC_Type="Building Area Method",Inventory!C463="Y"),INDEX(xyNCEx,MATCH(I466,yNCExArea,0),3)/COUNTIF($I$13:$I$1012,I466),VLOOKUP(J466,xyWattage_Table,10,FALSE))),"")</f>
        <v/>
      </c>
      <c r="L466" s="539" t="str">
        <f t="shared" si="171"/>
        <v/>
      </c>
      <c r="M466" s="540">
        <f>IF(Inventory!N463="","",Inventory!N463)</f>
        <v>0</v>
      </c>
      <c r="N466" s="533" t="str">
        <f t="shared" si="172"/>
        <v/>
      </c>
      <c r="O466" s="534"/>
      <c r="P466" s="533" t="str">
        <f t="shared" si="173"/>
        <v/>
      </c>
      <c r="Q466" s="534" t="str">
        <f>IF(Inventory!L463="","",Inventory!L463)</f>
        <v/>
      </c>
      <c r="R466" s="535" t="str">
        <f t="shared" si="174"/>
        <v/>
      </c>
      <c r="S466" s="536" t="str">
        <f>IF(Inventory!O463="","",Inventory!O463)</f>
        <v/>
      </c>
      <c r="T466" s="541" t="str">
        <f>IFERROR(IF(C466="","",IF(INDEX(xyWattage_Table,MATCH(M466,'Fixture Identities'!$B$9:$B$997,0),2)="Exit Sign",8760,IF(VLOOKUP(C466,xySpace_Type_Details,8,FALSE)="TRM",INDEX('General Information'!$AF$17:$AG$28,11,MATCH(N466,'General Information'!$AF$16:$AG$16,0)),HLOOKUP(VLOOKUP(C466,xySpace_Type_Details,8,FALSE),'General Information'!$P$15:$AG$28,13,FALSE)))),"")</f>
        <v/>
      </c>
      <c r="U466" s="542" t="str">
        <f>IFERROR(IF(C466="","",IF(INDEX(xyWattage_Table,MATCH(M466,'Fixture Identities'!$B$9:$B$997,0),2)="Exit Sign",1,IF(VLOOKUP(C466,xySpace_Type_Details,8,FALSE)="TRM",INDEX('General Information'!$AF$17:$AG$28,12,MATCH(N466,'General Information'!$AF$16:$AG$16,0)),HLOOKUP(VLOOKUP(C466,xySpace_Type_Details,8,FALSE),'General Information'!$P$15:$AG$28,14,FALSE)))),"")</f>
        <v/>
      </c>
      <c r="V466" s="542" t="str">
        <f>IFERROR(VLOOKUP(INDEX(xySpace_Type_Details,MATCH($C466,'General Information'!$C$40:$C$60,0),12),Lookups!$L$8:$N$12,2,FALSE),"")</f>
        <v/>
      </c>
      <c r="W466" s="542" t="str">
        <f>IFERROR(VLOOKUP(INDEX(xySpace_Type_Details,MATCH($C466,'General Information'!$C$40:$C$60,0),12),Lookups!$L$8:$N$12,3,FALSE),"")</f>
        <v/>
      </c>
      <c r="Y466" s="542" t="str">
        <f>IFERROR(IF(C466="","",IF(INDEX(xyWattage_Table,MATCH(M466,'Fixture Identities'!$B$9:$B$997,0),2)="Exit Sign",0,IF(PRJ_Type="Retrofit",VLOOKUP(I466,xySVG_Factors,2,FALSE),IF(AND(PRJ_Type="New Construction",Inventory!C463="N"),VLOOKUP(VLOOKUP(Building_Type,xyLPD_BuildingArea,5,FALSE),xySVG_Factors_NC,3,FALSE),0)))),"")</f>
        <v/>
      </c>
      <c r="Z466" s="544" t="str">
        <f>IFERROR(IF(C466="","",IF(INDEX(xyWattage_Table,MATCH(M466,'Fixture Identities'!$B$9:$B$997,0),2)="Exit Sign",0,VLOOKUP(S466,xySVG_Factors,2,FALSE))),"")</f>
        <v/>
      </c>
      <c r="AA466" s="545" t="str">
        <f t="shared" si="175"/>
        <v/>
      </c>
      <c r="AB466" s="542" t="str">
        <f t="shared" si="176"/>
        <v/>
      </c>
      <c r="AC466" s="539" t="str">
        <f t="shared" si="177"/>
        <v/>
      </c>
      <c r="AD466" s="546" t="str">
        <f t="shared" si="178"/>
        <v/>
      </c>
      <c r="AE466" s="539" t="str">
        <f t="shared" si="179"/>
        <v/>
      </c>
      <c r="AF466" s="546" t="str">
        <f t="shared" si="180"/>
        <v/>
      </c>
      <c r="AG466" s="539" t="str">
        <f t="shared" si="181"/>
        <v/>
      </c>
      <c r="AH466" s="32">
        <f t="shared" si="183"/>
        <v>0</v>
      </c>
      <c r="AI466" s="32">
        <f t="shared" si="184"/>
        <v>0</v>
      </c>
      <c r="AJ466" s="32">
        <f t="shared" si="185"/>
        <v>0</v>
      </c>
      <c r="AK466" t="str">
        <f t="shared" si="186"/>
        <v/>
      </c>
      <c r="AL466" t="str">
        <f t="shared" si="187"/>
        <v/>
      </c>
      <c r="AM466" t="str">
        <f t="shared" si="188"/>
        <v/>
      </c>
      <c r="AO466" t="str">
        <f>IFERROR(VLOOKUP(M466,'Fixture Identities'!$B$9:$O$1045,14,FALSE),"")</f>
        <v/>
      </c>
      <c r="AP466" t="str">
        <f t="shared" si="182"/>
        <v/>
      </c>
    </row>
    <row r="467" spans="1:42">
      <c r="A467" s="71">
        <f t="shared" si="190"/>
        <v>0</v>
      </c>
      <c r="B467" s="513">
        <f t="shared" si="189"/>
        <v>455</v>
      </c>
      <c r="C467" s="530" t="str">
        <f>IF(Inventory!E464="","",Inventory!E464)</f>
        <v/>
      </c>
      <c r="D467" s="531">
        <f>IF(Inventory!D464="",0,Inventory!D464)</f>
        <v>0</v>
      </c>
      <c r="E467" s="532" t="str">
        <f>IF(Inventory!I464=0,"",Inventory!I464)</f>
        <v/>
      </c>
      <c r="F467" s="533" t="str">
        <f t="shared" si="169"/>
        <v/>
      </c>
      <c r="G467" s="534" t="str">
        <f>IF(Inventory!G464="","",Inventory!G464)</f>
        <v/>
      </c>
      <c r="H467" s="535" t="str">
        <f t="shared" si="170"/>
        <v/>
      </c>
      <c r="I467" s="536" t="str">
        <f>IF(Inventory!J464="","",Inventory!J464)</f>
        <v/>
      </c>
      <c r="J467" s="537" t="str">
        <f>IFERROR(IF(PRJ_Type="New Construction",IF(Inventory!C464="N",INDEX(xyLPD_BuildingArea,MATCH(Building_Type,Lookups!$F$37:$F$75,0),4),INDEX(xyLPD_SpaceBySpace,MATCH(INDEX(xyNCEx,MATCH(I467,yNCExArea,0),2),ySpace_by_Space_Type,0),2)),VLOOKUP(E467,xyWattage_Table,11,FALSE)),"")</f>
        <v/>
      </c>
      <c r="K467" s="538" t="str">
        <f>IFERROR(IF(AND(NC_Type="Building Area Method",Inventory!C464="N"),IF(ISERROR(INDEX('Usage Groups (&gt;120 MWh only)'!$N$8:$N$12,MATCH(C467,'Usage Groups (&gt;120 MWh only)'!$B$8:$B$12,0),1))=TRUE,SqFt/COUNTIFS(Inventory!$C$10:$C$1009,"N",$Q$13:$Q$1012,"&gt;=0"),INDEX('Usage Groups (&gt;120 MWh only)'!$N$8:$N$12,MATCH(C467,'Usage Groups (&gt;120 MWh only)'!$B$8:$B$12,0),1)/COUNTIF($C$13:$C$1012,C467)),IF(AND(NC_Type="Building Area Method",Inventory!C464="Y"),INDEX(xyNCEx,MATCH(I467,yNCExArea,0),3)/COUNTIF($I$13:$I$1012,I467),VLOOKUP(J467,xyWattage_Table,10,FALSE))),"")</f>
        <v/>
      </c>
      <c r="L467" s="539" t="str">
        <f t="shared" si="171"/>
        <v/>
      </c>
      <c r="M467" s="540">
        <f>IF(Inventory!N464="","",Inventory!N464)</f>
        <v>0</v>
      </c>
      <c r="N467" s="533" t="str">
        <f t="shared" si="172"/>
        <v/>
      </c>
      <c r="O467" s="534"/>
      <c r="P467" s="533" t="str">
        <f t="shared" si="173"/>
        <v/>
      </c>
      <c r="Q467" s="534" t="str">
        <f>IF(Inventory!L464="","",Inventory!L464)</f>
        <v/>
      </c>
      <c r="R467" s="535" t="str">
        <f t="shared" si="174"/>
        <v/>
      </c>
      <c r="S467" s="536" t="str">
        <f>IF(Inventory!O464="","",Inventory!O464)</f>
        <v/>
      </c>
      <c r="T467" s="541" t="str">
        <f>IFERROR(IF(C467="","",IF(INDEX(xyWattage_Table,MATCH(M467,'Fixture Identities'!$B$9:$B$997,0),2)="Exit Sign",8760,IF(VLOOKUP(C467,xySpace_Type_Details,8,FALSE)="TRM",INDEX('General Information'!$AF$17:$AG$28,11,MATCH(N467,'General Information'!$AF$16:$AG$16,0)),HLOOKUP(VLOOKUP(C467,xySpace_Type_Details,8,FALSE),'General Information'!$P$15:$AG$28,13,FALSE)))),"")</f>
        <v/>
      </c>
      <c r="U467" s="542" t="str">
        <f>IFERROR(IF(C467="","",IF(INDEX(xyWattage_Table,MATCH(M467,'Fixture Identities'!$B$9:$B$997,0),2)="Exit Sign",1,IF(VLOOKUP(C467,xySpace_Type_Details,8,FALSE)="TRM",INDEX('General Information'!$AF$17:$AG$28,12,MATCH(N467,'General Information'!$AF$16:$AG$16,0)),HLOOKUP(VLOOKUP(C467,xySpace_Type_Details,8,FALSE),'General Information'!$P$15:$AG$28,14,FALSE)))),"")</f>
        <v/>
      </c>
      <c r="V467" s="542" t="str">
        <f>IFERROR(VLOOKUP(INDEX(xySpace_Type_Details,MATCH($C467,'General Information'!$C$40:$C$60,0),12),Lookups!$L$8:$N$12,2,FALSE),"")</f>
        <v/>
      </c>
      <c r="W467" s="542" t="str">
        <f>IFERROR(VLOOKUP(INDEX(xySpace_Type_Details,MATCH($C467,'General Information'!$C$40:$C$60,0),12),Lookups!$L$8:$N$12,3,FALSE),"")</f>
        <v/>
      </c>
      <c r="Y467" s="542" t="str">
        <f>IFERROR(IF(C467="","",IF(INDEX(xyWattage_Table,MATCH(M467,'Fixture Identities'!$B$9:$B$997,0),2)="Exit Sign",0,IF(PRJ_Type="Retrofit",VLOOKUP(I467,xySVG_Factors,2,FALSE),IF(AND(PRJ_Type="New Construction",Inventory!C464="N"),VLOOKUP(VLOOKUP(Building_Type,xyLPD_BuildingArea,5,FALSE),xySVG_Factors_NC,3,FALSE),0)))),"")</f>
        <v/>
      </c>
      <c r="Z467" s="544" t="str">
        <f>IFERROR(IF(C467="","",IF(INDEX(xyWattage_Table,MATCH(M467,'Fixture Identities'!$B$9:$B$997,0),2)="Exit Sign",0,VLOOKUP(S467,xySVG_Factors,2,FALSE))),"")</f>
        <v/>
      </c>
      <c r="AA467" s="545" t="str">
        <f t="shared" si="175"/>
        <v/>
      </c>
      <c r="AB467" s="542" t="str">
        <f t="shared" si="176"/>
        <v/>
      </c>
      <c r="AC467" s="539" t="str">
        <f t="shared" si="177"/>
        <v/>
      </c>
      <c r="AD467" s="546" t="str">
        <f t="shared" si="178"/>
        <v/>
      </c>
      <c r="AE467" s="539" t="str">
        <f t="shared" si="179"/>
        <v/>
      </c>
      <c r="AF467" s="546" t="str">
        <f t="shared" si="180"/>
        <v/>
      </c>
      <c r="AG467" s="539" t="str">
        <f t="shared" si="181"/>
        <v/>
      </c>
      <c r="AH467" s="32">
        <f t="shared" si="183"/>
        <v>0</v>
      </c>
      <c r="AI467" s="32">
        <f t="shared" si="184"/>
        <v>0</v>
      </c>
      <c r="AJ467" s="32">
        <f t="shared" si="185"/>
        <v>0</v>
      </c>
      <c r="AK467" t="str">
        <f t="shared" si="186"/>
        <v/>
      </c>
      <c r="AL467" t="str">
        <f t="shared" si="187"/>
        <v/>
      </c>
      <c r="AM467" t="str">
        <f t="shared" si="188"/>
        <v/>
      </c>
      <c r="AO467" t="str">
        <f>IFERROR(VLOOKUP(M467,'Fixture Identities'!$B$9:$O$1045,14,FALSE),"")</f>
        <v/>
      </c>
      <c r="AP467" t="str">
        <f t="shared" si="182"/>
        <v/>
      </c>
    </row>
    <row r="468" spans="1:42">
      <c r="A468" s="71">
        <f t="shared" si="190"/>
        <v>0</v>
      </c>
      <c r="B468" s="513">
        <f t="shared" si="189"/>
        <v>456</v>
      </c>
      <c r="C468" s="530" t="str">
        <f>IF(Inventory!E465="","",Inventory!E465)</f>
        <v/>
      </c>
      <c r="D468" s="531">
        <f>IF(Inventory!D465="",0,Inventory!D465)</f>
        <v>0</v>
      </c>
      <c r="E468" s="532" t="str">
        <f>IF(Inventory!I465=0,"",Inventory!I465)</f>
        <v/>
      </c>
      <c r="F468" s="533" t="str">
        <f t="shared" si="169"/>
        <v/>
      </c>
      <c r="G468" s="534" t="str">
        <f>IF(Inventory!G465="","",Inventory!G465)</f>
        <v/>
      </c>
      <c r="H468" s="535" t="str">
        <f t="shared" si="170"/>
        <v/>
      </c>
      <c r="I468" s="536" t="str">
        <f>IF(Inventory!J465="","",Inventory!J465)</f>
        <v/>
      </c>
      <c r="J468" s="537" t="str">
        <f>IFERROR(IF(PRJ_Type="New Construction",IF(Inventory!C465="N",INDEX(xyLPD_BuildingArea,MATCH(Building_Type,Lookups!$F$37:$F$75,0),4),INDEX(xyLPD_SpaceBySpace,MATCH(INDEX(xyNCEx,MATCH(I468,yNCExArea,0),2),ySpace_by_Space_Type,0),2)),VLOOKUP(E468,xyWattage_Table,11,FALSE)),"")</f>
        <v/>
      </c>
      <c r="K468" s="538" t="str">
        <f>IFERROR(IF(AND(NC_Type="Building Area Method",Inventory!C465="N"),IF(ISERROR(INDEX('Usage Groups (&gt;120 MWh only)'!$N$8:$N$12,MATCH(C468,'Usage Groups (&gt;120 MWh only)'!$B$8:$B$12,0),1))=TRUE,SqFt/COUNTIFS(Inventory!$C$10:$C$1009,"N",$Q$13:$Q$1012,"&gt;=0"),INDEX('Usage Groups (&gt;120 MWh only)'!$N$8:$N$12,MATCH(C468,'Usage Groups (&gt;120 MWh only)'!$B$8:$B$12,0),1)/COUNTIF($C$13:$C$1012,C468)),IF(AND(NC_Type="Building Area Method",Inventory!C465="Y"),INDEX(xyNCEx,MATCH(I468,yNCExArea,0),3)/COUNTIF($I$13:$I$1012,I468),VLOOKUP(J468,xyWattage_Table,10,FALSE))),"")</f>
        <v/>
      </c>
      <c r="L468" s="539" t="str">
        <f t="shared" si="171"/>
        <v/>
      </c>
      <c r="M468" s="540">
        <f>IF(Inventory!N465="","",Inventory!N465)</f>
        <v>0</v>
      </c>
      <c r="N468" s="533" t="str">
        <f t="shared" si="172"/>
        <v/>
      </c>
      <c r="O468" s="534"/>
      <c r="P468" s="533" t="str">
        <f t="shared" si="173"/>
        <v/>
      </c>
      <c r="Q468" s="534" t="str">
        <f>IF(Inventory!L465="","",Inventory!L465)</f>
        <v/>
      </c>
      <c r="R468" s="535" t="str">
        <f t="shared" si="174"/>
        <v/>
      </c>
      <c r="S468" s="536" t="str">
        <f>IF(Inventory!O465="","",Inventory!O465)</f>
        <v/>
      </c>
      <c r="T468" s="541" t="str">
        <f>IFERROR(IF(C468="","",IF(INDEX(xyWattage_Table,MATCH(M468,'Fixture Identities'!$B$9:$B$997,0),2)="Exit Sign",8760,IF(VLOOKUP(C468,xySpace_Type_Details,8,FALSE)="TRM",INDEX('General Information'!$AF$17:$AG$28,11,MATCH(N468,'General Information'!$AF$16:$AG$16,0)),HLOOKUP(VLOOKUP(C468,xySpace_Type_Details,8,FALSE),'General Information'!$P$15:$AG$28,13,FALSE)))),"")</f>
        <v/>
      </c>
      <c r="U468" s="542" t="str">
        <f>IFERROR(IF(C468="","",IF(INDEX(xyWattage_Table,MATCH(M468,'Fixture Identities'!$B$9:$B$997,0),2)="Exit Sign",1,IF(VLOOKUP(C468,xySpace_Type_Details,8,FALSE)="TRM",INDEX('General Information'!$AF$17:$AG$28,12,MATCH(N468,'General Information'!$AF$16:$AG$16,0)),HLOOKUP(VLOOKUP(C468,xySpace_Type_Details,8,FALSE),'General Information'!$P$15:$AG$28,14,FALSE)))),"")</f>
        <v/>
      </c>
      <c r="V468" s="542" t="str">
        <f>IFERROR(VLOOKUP(INDEX(xySpace_Type_Details,MATCH($C468,'General Information'!$C$40:$C$60,0),12),Lookups!$L$8:$N$12,2,FALSE),"")</f>
        <v/>
      </c>
      <c r="W468" s="542" t="str">
        <f>IFERROR(VLOOKUP(INDEX(xySpace_Type_Details,MATCH($C468,'General Information'!$C$40:$C$60,0),12),Lookups!$L$8:$N$12,3,FALSE),"")</f>
        <v/>
      </c>
      <c r="Y468" s="542" t="str">
        <f>IFERROR(IF(C468="","",IF(INDEX(xyWattage_Table,MATCH(M468,'Fixture Identities'!$B$9:$B$997,0),2)="Exit Sign",0,IF(PRJ_Type="Retrofit",VLOOKUP(I468,xySVG_Factors,2,FALSE),IF(AND(PRJ_Type="New Construction",Inventory!C465="N"),VLOOKUP(VLOOKUP(Building_Type,xyLPD_BuildingArea,5,FALSE),xySVG_Factors_NC,3,FALSE),0)))),"")</f>
        <v/>
      </c>
      <c r="Z468" s="544" t="str">
        <f>IFERROR(IF(C468="","",IF(INDEX(xyWattage_Table,MATCH(M468,'Fixture Identities'!$B$9:$B$997,0),2)="Exit Sign",0,VLOOKUP(S468,xySVG_Factors,2,FALSE))),"")</f>
        <v/>
      </c>
      <c r="AA468" s="545" t="str">
        <f t="shared" si="175"/>
        <v/>
      </c>
      <c r="AB468" s="542" t="str">
        <f t="shared" si="176"/>
        <v/>
      </c>
      <c r="AC468" s="539" t="str">
        <f t="shared" si="177"/>
        <v/>
      </c>
      <c r="AD468" s="546" t="str">
        <f t="shared" si="178"/>
        <v/>
      </c>
      <c r="AE468" s="539" t="str">
        <f t="shared" si="179"/>
        <v/>
      </c>
      <c r="AF468" s="546" t="str">
        <f t="shared" si="180"/>
        <v/>
      </c>
      <c r="AG468" s="539" t="str">
        <f t="shared" si="181"/>
        <v/>
      </c>
      <c r="AH468" s="32">
        <f t="shared" si="183"/>
        <v>0</v>
      </c>
      <c r="AI468" s="32">
        <f t="shared" si="184"/>
        <v>0</v>
      </c>
      <c r="AJ468" s="32">
        <f t="shared" si="185"/>
        <v>0</v>
      </c>
      <c r="AK468" t="str">
        <f t="shared" si="186"/>
        <v/>
      </c>
      <c r="AL468" t="str">
        <f t="shared" si="187"/>
        <v/>
      </c>
      <c r="AM468" t="str">
        <f t="shared" si="188"/>
        <v/>
      </c>
      <c r="AO468" t="str">
        <f>IFERROR(VLOOKUP(M468,'Fixture Identities'!$B$9:$O$1045,14,FALSE),"")</f>
        <v/>
      </c>
      <c r="AP468" t="str">
        <f t="shared" si="182"/>
        <v/>
      </c>
    </row>
    <row r="469" spans="1:42">
      <c r="A469" s="71">
        <f t="shared" si="190"/>
        <v>0</v>
      </c>
      <c r="B469" s="513">
        <f t="shared" si="189"/>
        <v>457</v>
      </c>
      <c r="C469" s="530" t="str">
        <f>IF(Inventory!E466="","",Inventory!E466)</f>
        <v/>
      </c>
      <c r="D469" s="531">
        <f>IF(Inventory!D466="",0,Inventory!D466)</f>
        <v>0</v>
      </c>
      <c r="E469" s="532" t="str">
        <f>IF(Inventory!I466=0,"",Inventory!I466)</f>
        <v/>
      </c>
      <c r="F469" s="533" t="str">
        <f t="shared" si="169"/>
        <v/>
      </c>
      <c r="G469" s="534" t="str">
        <f>IF(Inventory!G466="","",Inventory!G466)</f>
        <v/>
      </c>
      <c r="H469" s="535" t="str">
        <f t="shared" si="170"/>
        <v/>
      </c>
      <c r="I469" s="536" t="str">
        <f>IF(Inventory!J466="","",Inventory!J466)</f>
        <v/>
      </c>
      <c r="J469" s="537" t="str">
        <f>IFERROR(IF(PRJ_Type="New Construction",IF(Inventory!C466="N",INDEX(xyLPD_BuildingArea,MATCH(Building_Type,Lookups!$F$37:$F$75,0),4),INDEX(xyLPD_SpaceBySpace,MATCH(INDEX(xyNCEx,MATCH(I469,yNCExArea,0),2),ySpace_by_Space_Type,0),2)),VLOOKUP(E469,xyWattage_Table,11,FALSE)),"")</f>
        <v/>
      </c>
      <c r="K469" s="538" t="str">
        <f>IFERROR(IF(AND(NC_Type="Building Area Method",Inventory!C466="N"),IF(ISERROR(INDEX('Usage Groups (&gt;120 MWh only)'!$N$8:$N$12,MATCH(C469,'Usage Groups (&gt;120 MWh only)'!$B$8:$B$12,0),1))=TRUE,SqFt/COUNTIFS(Inventory!$C$10:$C$1009,"N",$Q$13:$Q$1012,"&gt;=0"),INDEX('Usage Groups (&gt;120 MWh only)'!$N$8:$N$12,MATCH(C469,'Usage Groups (&gt;120 MWh only)'!$B$8:$B$12,0),1)/COUNTIF($C$13:$C$1012,C469)),IF(AND(NC_Type="Building Area Method",Inventory!C466="Y"),INDEX(xyNCEx,MATCH(I469,yNCExArea,0),3)/COUNTIF($I$13:$I$1012,I469),VLOOKUP(J469,xyWattage_Table,10,FALSE))),"")</f>
        <v/>
      </c>
      <c r="L469" s="539" t="str">
        <f t="shared" si="171"/>
        <v/>
      </c>
      <c r="M469" s="540">
        <f>IF(Inventory!N466="","",Inventory!N466)</f>
        <v>0</v>
      </c>
      <c r="N469" s="533" t="str">
        <f t="shared" si="172"/>
        <v/>
      </c>
      <c r="O469" s="534"/>
      <c r="P469" s="533" t="str">
        <f t="shared" si="173"/>
        <v/>
      </c>
      <c r="Q469" s="534" t="str">
        <f>IF(Inventory!L466="","",Inventory!L466)</f>
        <v/>
      </c>
      <c r="R469" s="535" t="str">
        <f t="shared" si="174"/>
        <v/>
      </c>
      <c r="S469" s="536" t="str">
        <f>IF(Inventory!O466="","",Inventory!O466)</f>
        <v/>
      </c>
      <c r="T469" s="541" t="str">
        <f>IFERROR(IF(C469="","",IF(INDEX(xyWattage_Table,MATCH(M469,'Fixture Identities'!$B$9:$B$997,0),2)="Exit Sign",8760,IF(VLOOKUP(C469,xySpace_Type_Details,8,FALSE)="TRM",INDEX('General Information'!$AF$17:$AG$28,11,MATCH(N469,'General Information'!$AF$16:$AG$16,0)),HLOOKUP(VLOOKUP(C469,xySpace_Type_Details,8,FALSE),'General Information'!$P$15:$AG$28,13,FALSE)))),"")</f>
        <v/>
      </c>
      <c r="U469" s="542" t="str">
        <f>IFERROR(IF(C469="","",IF(INDEX(xyWattage_Table,MATCH(M469,'Fixture Identities'!$B$9:$B$997,0),2)="Exit Sign",1,IF(VLOOKUP(C469,xySpace_Type_Details,8,FALSE)="TRM",INDEX('General Information'!$AF$17:$AG$28,12,MATCH(N469,'General Information'!$AF$16:$AG$16,0)),HLOOKUP(VLOOKUP(C469,xySpace_Type_Details,8,FALSE),'General Information'!$P$15:$AG$28,14,FALSE)))),"")</f>
        <v/>
      </c>
      <c r="V469" s="542" t="str">
        <f>IFERROR(VLOOKUP(INDEX(xySpace_Type_Details,MATCH($C469,'General Information'!$C$40:$C$60,0),12),Lookups!$L$8:$N$12,2,FALSE),"")</f>
        <v/>
      </c>
      <c r="W469" s="542" t="str">
        <f>IFERROR(VLOOKUP(INDEX(xySpace_Type_Details,MATCH($C469,'General Information'!$C$40:$C$60,0),12),Lookups!$L$8:$N$12,3,FALSE),"")</f>
        <v/>
      </c>
      <c r="Y469" s="542" t="str">
        <f>IFERROR(IF(C469="","",IF(INDEX(xyWattage_Table,MATCH(M469,'Fixture Identities'!$B$9:$B$997,0),2)="Exit Sign",0,IF(PRJ_Type="Retrofit",VLOOKUP(I469,xySVG_Factors,2,FALSE),IF(AND(PRJ_Type="New Construction",Inventory!C466="N"),VLOOKUP(VLOOKUP(Building_Type,xyLPD_BuildingArea,5,FALSE),xySVG_Factors_NC,3,FALSE),0)))),"")</f>
        <v/>
      </c>
      <c r="Z469" s="544" t="str">
        <f>IFERROR(IF(C469="","",IF(INDEX(xyWattage_Table,MATCH(M469,'Fixture Identities'!$B$9:$B$997,0),2)="Exit Sign",0,VLOOKUP(S469,xySVG_Factors,2,FALSE))),"")</f>
        <v/>
      </c>
      <c r="AA469" s="545" t="str">
        <f t="shared" si="175"/>
        <v/>
      </c>
      <c r="AB469" s="542" t="str">
        <f t="shared" si="176"/>
        <v/>
      </c>
      <c r="AC469" s="539" t="str">
        <f t="shared" si="177"/>
        <v/>
      </c>
      <c r="AD469" s="546" t="str">
        <f t="shared" si="178"/>
        <v/>
      </c>
      <c r="AE469" s="539" t="str">
        <f t="shared" si="179"/>
        <v/>
      </c>
      <c r="AF469" s="546" t="str">
        <f t="shared" si="180"/>
        <v/>
      </c>
      <c r="AG469" s="539" t="str">
        <f t="shared" si="181"/>
        <v/>
      </c>
      <c r="AH469" s="32">
        <f t="shared" si="183"/>
        <v>0</v>
      </c>
      <c r="AI469" s="32">
        <f t="shared" si="184"/>
        <v>0</v>
      </c>
      <c r="AJ469" s="32">
        <f t="shared" si="185"/>
        <v>0</v>
      </c>
      <c r="AK469" t="str">
        <f t="shared" si="186"/>
        <v/>
      </c>
      <c r="AL469" t="str">
        <f t="shared" si="187"/>
        <v/>
      </c>
      <c r="AM469" t="str">
        <f t="shared" si="188"/>
        <v/>
      </c>
      <c r="AO469" t="str">
        <f>IFERROR(VLOOKUP(M469,'Fixture Identities'!$B$9:$O$1045,14,FALSE),"")</f>
        <v/>
      </c>
      <c r="AP469" t="str">
        <f t="shared" si="182"/>
        <v/>
      </c>
    </row>
    <row r="470" spans="1:42">
      <c r="A470" s="71">
        <f t="shared" si="190"/>
        <v>0</v>
      </c>
      <c r="B470" s="513">
        <f t="shared" si="189"/>
        <v>458</v>
      </c>
      <c r="C470" s="530" t="str">
        <f>IF(Inventory!E467="","",Inventory!E467)</f>
        <v/>
      </c>
      <c r="D470" s="531">
        <f>IF(Inventory!D467="",0,Inventory!D467)</f>
        <v>0</v>
      </c>
      <c r="E470" s="532" t="str">
        <f>IF(Inventory!I467=0,"",Inventory!I467)</f>
        <v/>
      </c>
      <c r="F470" s="533" t="str">
        <f t="shared" si="169"/>
        <v/>
      </c>
      <c r="G470" s="534" t="str">
        <f>IF(Inventory!G467="","",Inventory!G467)</f>
        <v/>
      </c>
      <c r="H470" s="535" t="str">
        <f t="shared" si="170"/>
        <v/>
      </c>
      <c r="I470" s="536" t="str">
        <f>IF(Inventory!J467="","",Inventory!J467)</f>
        <v/>
      </c>
      <c r="J470" s="537" t="str">
        <f>IFERROR(IF(PRJ_Type="New Construction",IF(Inventory!C467="N",INDEX(xyLPD_BuildingArea,MATCH(Building_Type,Lookups!$F$37:$F$75,0),4),INDEX(xyLPD_SpaceBySpace,MATCH(INDEX(xyNCEx,MATCH(I470,yNCExArea,0),2),ySpace_by_Space_Type,0),2)),VLOOKUP(E470,xyWattage_Table,11,FALSE)),"")</f>
        <v/>
      </c>
      <c r="K470" s="538" t="str">
        <f>IFERROR(IF(AND(NC_Type="Building Area Method",Inventory!C467="N"),IF(ISERROR(INDEX('Usage Groups (&gt;120 MWh only)'!$N$8:$N$12,MATCH(C470,'Usage Groups (&gt;120 MWh only)'!$B$8:$B$12,0),1))=TRUE,SqFt/COUNTIFS(Inventory!$C$10:$C$1009,"N",$Q$13:$Q$1012,"&gt;=0"),INDEX('Usage Groups (&gt;120 MWh only)'!$N$8:$N$12,MATCH(C470,'Usage Groups (&gt;120 MWh only)'!$B$8:$B$12,0),1)/COUNTIF($C$13:$C$1012,C470)),IF(AND(NC_Type="Building Area Method",Inventory!C467="Y"),INDEX(xyNCEx,MATCH(I470,yNCExArea,0),3)/COUNTIF($I$13:$I$1012,I470),VLOOKUP(J470,xyWattage_Table,10,FALSE))),"")</f>
        <v/>
      </c>
      <c r="L470" s="539" t="str">
        <f t="shared" si="171"/>
        <v/>
      </c>
      <c r="M470" s="540">
        <f>IF(Inventory!N467="","",Inventory!N467)</f>
        <v>0</v>
      </c>
      <c r="N470" s="533" t="str">
        <f t="shared" si="172"/>
        <v/>
      </c>
      <c r="O470" s="534"/>
      <c r="P470" s="533" t="str">
        <f t="shared" si="173"/>
        <v/>
      </c>
      <c r="Q470" s="534" t="str">
        <f>IF(Inventory!L467="","",Inventory!L467)</f>
        <v/>
      </c>
      <c r="R470" s="535" t="str">
        <f t="shared" si="174"/>
        <v/>
      </c>
      <c r="S470" s="536" t="str">
        <f>IF(Inventory!O467="","",Inventory!O467)</f>
        <v/>
      </c>
      <c r="T470" s="541" t="str">
        <f>IFERROR(IF(C470="","",IF(INDEX(xyWattage_Table,MATCH(M470,'Fixture Identities'!$B$9:$B$997,0),2)="Exit Sign",8760,IF(VLOOKUP(C470,xySpace_Type_Details,8,FALSE)="TRM",INDEX('General Information'!$AF$17:$AG$28,11,MATCH(N470,'General Information'!$AF$16:$AG$16,0)),HLOOKUP(VLOOKUP(C470,xySpace_Type_Details,8,FALSE),'General Information'!$P$15:$AG$28,13,FALSE)))),"")</f>
        <v/>
      </c>
      <c r="U470" s="542" t="str">
        <f>IFERROR(IF(C470="","",IF(INDEX(xyWattage_Table,MATCH(M470,'Fixture Identities'!$B$9:$B$997,0),2)="Exit Sign",1,IF(VLOOKUP(C470,xySpace_Type_Details,8,FALSE)="TRM",INDEX('General Information'!$AF$17:$AG$28,12,MATCH(N470,'General Information'!$AF$16:$AG$16,0)),HLOOKUP(VLOOKUP(C470,xySpace_Type_Details,8,FALSE),'General Information'!$P$15:$AG$28,14,FALSE)))),"")</f>
        <v/>
      </c>
      <c r="V470" s="542" t="str">
        <f>IFERROR(VLOOKUP(INDEX(xySpace_Type_Details,MATCH($C470,'General Information'!$C$40:$C$60,0),12),Lookups!$L$8:$N$12,2,FALSE),"")</f>
        <v/>
      </c>
      <c r="W470" s="542" t="str">
        <f>IFERROR(VLOOKUP(INDEX(xySpace_Type_Details,MATCH($C470,'General Information'!$C$40:$C$60,0),12),Lookups!$L$8:$N$12,3,FALSE),"")</f>
        <v/>
      </c>
      <c r="Y470" s="542" t="str">
        <f>IFERROR(IF(C470="","",IF(INDEX(xyWattage_Table,MATCH(M470,'Fixture Identities'!$B$9:$B$997,0),2)="Exit Sign",0,IF(PRJ_Type="Retrofit",VLOOKUP(I470,xySVG_Factors,2,FALSE),IF(AND(PRJ_Type="New Construction",Inventory!C467="N"),VLOOKUP(VLOOKUP(Building_Type,xyLPD_BuildingArea,5,FALSE),xySVG_Factors_NC,3,FALSE),0)))),"")</f>
        <v/>
      </c>
      <c r="Z470" s="544" t="str">
        <f>IFERROR(IF(C470="","",IF(INDEX(xyWattage_Table,MATCH(M470,'Fixture Identities'!$B$9:$B$997,0),2)="Exit Sign",0,VLOOKUP(S470,xySVG_Factors,2,FALSE))),"")</f>
        <v/>
      </c>
      <c r="AA470" s="545" t="str">
        <f t="shared" si="175"/>
        <v/>
      </c>
      <c r="AB470" s="542" t="str">
        <f t="shared" si="176"/>
        <v/>
      </c>
      <c r="AC470" s="539" t="str">
        <f t="shared" si="177"/>
        <v/>
      </c>
      <c r="AD470" s="546" t="str">
        <f t="shared" si="178"/>
        <v/>
      </c>
      <c r="AE470" s="539" t="str">
        <f t="shared" si="179"/>
        <v/>
      </c>
      <c r="AF470" s="546" t="str">
        <f t="shared" si="180"/>
        <v/>
      </c>
      <c r="AG470" s="539" t="str">
        <f t="shared" si="181"/>
        <v/>
      </c>
      <c r="AH470" s="32">
        <f t="shared" si="183"/>
        <v>0</v>
      </c>
      <c r="AI470" s="32">
        <f t="shared" si="184"/>
        <v>0</v>
      </c>
      <c r="AJ470" s="32">
        <f t="shared" si="185"/>
        <v>0</v>
      </c>
      <c r="AK470" t="str">
        <f t="shared" si="186"/>
        <v/>
      </c>
      <c r="AL470" t="str">
        <f t="shared" si="187"/>
        <v/>
      </c>
      <c r="AM470" t="str">
        <f t="shared" si="188"/>
        <v/>
      </c>
      <c r="AO470" t="str">
        <f>IFERROR(VLOOKUP(M470,'Fixture Identities'!$B$9:$O$1045,14,FALSE),"")</f>
        <v/>
      </c>
      <c r="AP470" t="str">
        <f t="shared" si="182"/>
        <v/>
      </c>
    </row>
    <row r="471" spans="1:42">
      <c r="A471" s="71">
        <f t="shared" si="190"/>
        <v>0</v>
      </c>
      <c r="B471" s="513">
        <f t="shared" si="189"/>
        <v>459</v>
      </c>
      <c r="C471" s="530" t="str">
        <f>IF(Inventory!E468="","",Inventory!E468)</f>
        <v/>
      </c>
      <c r="D471" s="531">
        <f>IF(Inventory!D468="",0,Inventory!D468)</f>
        <v>0</v>
      </c>
      <c r="E471" s="532" t="str">
        <f>IF(Inventory!I468=0,"",Inventory!I468)</f>
        <v/>
      </c>
      <c r="F471" s="533" t="str">
        <f t="shared" si="169"/>
        <v/>
      </c>
      <c r="G471" s="534" t="str">
        <f>IF(Inventory!G468="","",Inventory!G468)</f>
        <v/>
      </c>
      <c r="H471" s="535" t="str">
        <f t="shared" si="170"/>
        <v/>
      </c>
      <c r="I471" s="536" t="str">
        <f>IF(Inventory!J468="","",Inventory!J468)</f>
        <v/>
      </c>
      <c r="J471" s="537" t="str">
        <f>IFERROR(IF(PRJ_Type="New Construction",IF(Inventory!C468="N",INDEX(xyLPD_BuildingArea,MATCH(Building_Type,Lookups!$F$37:$F$75,0),4),INDEX(xyLPD_SpaceBySpace,MATCH(INDEX(xyNCEx,MATCH(I471,yNCExArea,0),2),ySpace_by_Space_Type,0),2)),VLOOKUP(E471,xyWattage_Table,11,FALSE)),"")</f>
        <v/>
      </c>
      <c r="K471" s="538" t="str">
        <f>IFERROR(IF(AND(NC_Type="Building Area Method",Inventory!C468="N"),IF(ISERROR(INDEX('Usage Groups (&gt;120 MWh only)'!$N$8:$N$12,MATCH(C471,'Usage Groups (&gt;120 MWh only)'!$B$8:$B$12,0),1))=TRUE,SqFt/COUNTIFS(Inventory!$C$10:$C$1009,"N",$Q$13:$Q$1012,"&gt;=0"),INDEX('Usage Groups (&gt;120 MWh only)'!$N$8:$N$12,MATCH(C471,'Usage Groups (&gt;120 MWh only)'!$B$8:$B$12,0),1)/COUNTIF($C$13:$C$1012,C471)),IF(AND(NC_Type="Building Area Method",Inventory!C468="Y"),INDEX(xyNCEx,MATCH(I471,yNCExArea,0),3)/COUNTIF($I$13:$I$1012,I471),VLOOKUP(J471,xyWattage_Table,10,FALSE))),"")</f>
        <v/>
      </c>
      <c r="L471" s="539" t="str">
        <f t="shared" si="171"/>
        <v/>
      </c>
      <c r="M471" s="540">
        <f>IF(Inventory!N468="","",Inventory!N468)</f>
        <v>0</v>
      </c>
      <c r="N471" s="533" t="str">
        <f t="shared" si="172"/>
        <v/>
      </c>
      <c r="O471" s="534"/>
      <c r="P471" s="533" t="str">
        <f t="shared" si="173"/>
        <v/>
      </c>
      <c r="Q471" s="534" t="str">
        <f>IF(Inventory!L468="","",Inventory!L468)</f>
        <v/>
      </c>
      <c r="R471" s="535" t="str">
        <f t="shared" si="174"/>
        <v/>
      </c>
      <c r="S471" s="536" t="str">
        <f>IF(Inventory!O468="","",Inventory!O468)</f>
        <v/>
      </c>
      <c r="T471" s="541" t="str">
        <f>IFERROR(IF(C471="","",IF(INDEX(xyWattage_Table,MATCH(M471,'Fixture Identities'!$B$9:$B$997,0),2)="Exit Sign",8760,IF(VLOOKUP(C471,xySpace_Type_Details,8,FALSE)="TRM",INDEX('General Information'!$AF$17:$AG$28,11,MATCH(N471,'General Information'!$AF$16:$AG$16,0)),HLOOKUP(VLOOKUP(C471,xySpace_Type_Details,8,FALSE),'General Information'!$P$15:$AG$28,13,FALSE)))),"")</f>
        <v/>
      </c>
      <c r="U471" s="542" t="str">
        <f>IFERROR(IF(C471="","",IF(INDEX(xyWattage_Table,MATCH(M471,'Fixture Identities'!$B$9:$B$997,0),2)="Exit Sign",1,IF(VLOOKUP(C471,xySpace_Type_Details,8,FALSE)="TRM",INDEX('General Information'!$AF$17:$AG$28,12,MATCH(N471,'General Information'!$AF$16:$AG$16,0)),HLOOKUP(VLOOKUP(C471,xySpace_Type_Details,8,FALSE),'General Information'!$P$15:$AG$28,14,FALSE)))),"")</f>
        <v/>
      </c>
      <c r="V471" s="542" t="str">
        <f>IFERROR(VLOOKUP(INDEX(xySpace_Type_Details,MATCH($C471,'General Information'!$C$40:$C$60,0),12),Lookups!$L$8:$N$12,2,FALSE),"")</f>
        <v/>
      </c>
      <c r="W471" s="542" t="str">
        <f>IFERROR(VLOOKUP(INDEX(xySpace_Type_Details,MATCH($C471,'General Information'!$C$40:$C$60,0),12),Lookups!$L$8:$N$12,3,FALSE),"")</f>
        <v/>
      </c>
      <c r="Y471" s="542" t="str">
        <f>IFERROR(IF(C471="","",IF(INDEX(xyWattage_Table,MATCH(M471,'Fixture Identities'!$B$9:$B$997,0),2)="Exit Sign",0,IF(PRJ_Type="Retrofit",VLOOKUP(I471,xySVG_Factors,2,FALSE),IF(AND(PRJ_Type="New Construction",Inventory!C468="N"),VLOOKUP(VLOOKUP(Building_Type,xyLPD_BuildingArea,5,FALSE),xySVG_Factors_NC,3,FALSE),0)))),"")</f>
        <v/>
      </c>
      <c r="Z471" s="544" t="str">
        <f>IFERROR(IF(C471="","",IF(INDEX(xyWattage_Table,MATCH(M471,'Fixture Identities'!$B$9:$B$997,0),2)="Exit Sign",0,VLOOKUP(S471,xySVG_Factors,2,FALSE))),"")</f>
        <v/>
      </c>
      <c r="AA471" s="545" t="str">
        <f t="shared" si="175"/>
        <v/>
      </c>
      <c r="AB471" s="542" t="str">
        <f t="shared" si="176"/>
        <v/>
      </c>
      <c r="AC471" s="539" t="str">
        <f t="shared" si="177"/>
        <v/>
      </c>
      <c r="AD471" s="546" t="str">
        <f t="shared" si="178"/>
        <v/>
      </c>
      <c r="AE471" s="539" t="str">
        <f t="shared" si="179"/>
        <v/>
      </c>
      <c r="AF471" s="546" t="str">
        <f t="shared" si="180"/>
        <v/>
      </c>
      <c r="AG471" s="539" t="str">
        <f t="shared" si="181"/>
        <v/>
      </c>
      <c r="AH471" s="32">
        <f t="shared" si="183"/>
        <v>0</v>
      </c>
      <c r="AI471" s="32">
        <f t="shared" si="184"/>
        <v>0</v>
      </c>
      <c r="AJ471" s="32">
        <f t="shared" si="185"/>
        <v>0</v>
      </c>
      <c r="AK471" t="str">
        <f t="shared" si="186"/>
        <v/>
      </c>
      <c r="AL471" t="str">
        <f t="shared" si="187"/>
        <v/>
      </c>
      <c r="AM471" t="str">
        <f t="shared" si="188"/>
        <v/>
      </c>
      <c r="AO471" t="str">
        <f>IFERROR(VLOOKUP(M471,'Fixture Identities'!$B$9:$O$1045,14,FALSE),"")</f>
        <v/>
      </c>
      <c r="AP471" t="str">
        <f t="shared" si="182"/>
        <v/>
      </c>
    </row>
    <row r="472" spans="1:42">
      <c r="A472" s="71">
        <f t="shared" si="190"/>
        <v>0</v>
      </c>
      <c r="B472" s="513">
        <f t="shared" si="189"/>
        <v>460</v>
      </c>
      <c r="C472" s="530" t="str">
        <f>IF(Inventory!E469="","",Inventory!E469)</f>
        <v/>
      </c>
      <c r="D472" s="531">
        <f>IF(Inventory!D469="",0,Inventory!D469)</f>
        <v>0</v>
      </c>
      <c r="E472" s="532" t="str">
        <f>IF(Inventory!I469=0,"",Inventory!I469)</f>
        <v/>
      </c>
      <c r="F472" s="533" t="str">
        <f t="shared" si="169"/>
        <v/>
      </c>
      <c r="G472" s="534" t="str">
        <f>IF(Inventory!G469="","",Inventory!G469)</f>
        <v/>
      </c>
      <c r="H472" s="535" t="str">
        <f t="shared" si="170"/>
        <v/>
      </c>
      <c r="I472" s="536" t="str">
        <f>IF(Inventory!J469="","",Inventory!J469)</f>
        <v/>
      </c>
      <c r="J472" s="537" t="str">
        <f>IFERROR(IF(PRJ_Type="New Construction",IF(Inventory!C469="N",INDEX(xyLPD_BuildingArea,MATCH(Building_Type,Lookups!$F$37:$F$75,0),4),INDEX(xyLPD_SpaceBySpace,MATCH(INDEX(xyNCEx,MATCH(I472,yNCExArea,0),2),ySpace_by_Space_Type,0),2)),VLOOKUP(E472,xyWattage_Table,11,FALSE)),"")</f>
        <v/>
      </c>
      <c r="K472" s="538" t="str">
        <f>IFERROR(IF(AND(NC_Type="Building Area Method",Inventory!C469="N"),IF(ISERROR(INDEX('Usage Groups (&gt;120 MWh only)'!$N$8:$N$12,MATCH(C472,'Usage Groups (&gt;120 MWh only)'!$B$8:$B$12,0),1))=TRUE,SqFt/COUNTIFS(Inventory!$C$10:$C$1009,"N",$Q$13:$Q$1012,"&gt;=0"),INDEX('Usage Groups (&gt;120 MWh only)'!$N$8:$N$12,MATCH(C472,'Usage Groups (&gt;120 MWh only)'!$B$8:$B$12,0),1)/COUNTIF($C$13:$C$1012,C472)),IF(AND(NC_Type="Building Area Method",Inventory!C469="Y"),INDEX(xyNCEx,MATCH(I472,yNCExArea,0),3)/COUNTIF($I$13:$I$1012,I472),VLOOKUP(J472,xyWattage_Table,10,FALSE))),"")</f>
        <v/>
      </c>
      <c r="L472" s="539" t="str">
        <f t="shared" si="171"/>
        <v/>
      </c>
      <c r="M472" s="540">
        <f>IF(Inventory!N469="","",Inventory!N469)</f>
        <v>0</v>
      </c>
      <c r="N472" s="533" t="str">
        <f t="shared" si="172"/>
        <v/>
      </c>
      <c r="O472" s="534"/>
      <c r="P472" s="533" t="str">
        <f t="shared" si="173"/>
        <v/>
      </c>
      <c r="Q472" s="534" t="str">
        <f>IF(Inventory!L469="","",Inventory!L469)</f>
        <v/>
      </c>
      <c r="R472" s="535" t="str">
        <f t="shared" si="174"/>
        <v/>
      </c>
      <c r="S472" s="536" t="str">
        <f>IF(Inventory!O469="","",Inventory!O469)</f>
        <v/>
      </c>
      <c r="T472" s="541" t="str">
        <f>IFERROR(IF(C472="","",IF(INDEX(xyWattage_Table,MATCH(M472,'Fixture Identities'!$B$9:$B$997,0),2)="Exit Sign",8760,IF(VLOOKUP(C472,xySpace_Type_Details,8,FALSE)="TRM",INDEX('General Information'!$AF$17:$AG$28,11,MATCH(N472,'General Information'!$AF$16:$AG$16,0)),HLOOKUP(VLOOKUP(C472,xySpace_Type_Details,8,FALSE),'General Information'!$P$15:$AG$28,13,FALSE)))),"")</f>
        <v/>
      </c>
      <c r="U472" s="542" t="str">
        <f>IFERROR(IF(C472="","",IF(INDEX(xyWattage_Table,MATCH(M472,'Fixture Identities'!$B$9:$B$997,0),2)="Exit Sign",1,IF(VLOOKUP(C472,xySpace_Type_Details,8,FALSE)="TRM",INDEX('General Information'!$AF$17:$AG$28,12,MATCH(N472,'General Information'!$AF$16:$AG$16,0)),HLOOKUP(VLOOKUP(C472,xySpace_Type_Details,8,FALSE),'General Information'!$P$15:$AG$28,14,FALSE)))),"")</f>
        <v/>
      </c>
      <c r="V472" s="542" t="str">
        <f>IFERROR(VLOOKUP(INDEX(xySpace_Type_Details,MATCH($C472,'General Information'!$C$40:$C$60,0),12),Lookups!$L$8:$N$12,2,FALSE),"")</f>
        <v/>
      </c>
      <c r="W472" s="542" t="str">
        <f>IFERROR(VLOOKUP(INDEX(xySpace_Type_Details,MATCH($C472,'General Information'!$C$40:$C$60,0),12),Lookups!$L$8:$N$12,3,FALSE),"")</f>
        <v/>
      </c>
      <c r="Y472" s="542" t="str">
        <f>IFERROR(IF(C472="","",IF(INDEX(xyWattage_Table,MATCH(M472,'Fixture Identities'!$B$9:$B$997,0),2)="Exit Sign",0,IF(PRJ_Type="Retrofit",VLOOKUP(I472,xySVG_Factors,2,FALSE),IF(AND(PRJ_Type="New Construction",Inventory!C469="N"),VLOOKUP(VLOOKUP(Building_Type,xyLPD_BuildingArea,5,FALSE),xySVG_Factors_NC,3,FALSE),0)))),"")</f>
        <v/>
      </c>
      <c r="Z472" s="544" t="str">
        <f>IFERROR(IF(C472="","",IF(INDEX(xyWattage_Table,MATCH(M472,'Fixture Identities'!$B$9:$B$997,0),2)="Exit Sign",0,VLOOKUP(S472,xySVG_Factors,2,FALSE))),"")</f>
        <v/>
      </c>
      <c r="AA472" s="545" t="str">
        <f t="shared" si="175"/>
        <v/>
      </c>
      <c r="AB472" s="542" t="str">
        <f t="shared" si="176"/>
        <v/>
      </c>
      <c r="AC472" s="539" t="str">
        <f t="shared" si="177"/>
        <v/>
      </c>
      <c r="AD472" s="546" t="str">
        <f t="shared" si="178"/>
        <v/>
      </c>
      <c r="AE472" s="539" t="str">
        <f t="shared" si="179"/>
        <v/>
      </c>
      <c r="AF472" s="546" t="str">
        <f t="shared" si="180"/>
        <v/>
      </c>
      <c r="AG472" s="539" t="str">
        <f t="shared" si="181"/>
        <v/>
      </c>
      <c r="AH472" s="32">
        <f t="shared" si="183"/>
        <v>0</v>
      </c>
      <c r="AI472" s="32">
        <f t="shared" si="184"/>
        <v>0</v>
      </c>
      <c r="AJ472" s="32">
        <f t="shared" si="185"/>
        <v>0</v>
      </c>
      <c r="AK472" t="str">
        <f t="shared" si="186"/>
        <v/>
      </c>
      <c r="AL472" t="str">
        <f t="shared" si="187"/>
        <v/>
      </c>
      <c r="AM472" t="str">
        <f t="shared" si="188"/>
        <v/>
      </c>
      <c r="AO472" t="str">
        <f>IFERROR(VLOOKUP(M472,'Fixture Identities'!$B$9:$O$1045,14,FALSE),"")</f>
        <v/>
      </c>
      <c r="AP472" t="str">
        <f t="shared" si="182"/>
        <v/>
      </c>
    </row>
    <row r="473" spans="1:42">
      <c r="A473" s="71">
        <f t="shared" si="190"/>
        <v>0</v>
      </c>
      <c r="B473" s="513">
        <f t="shared" si="189"/>
        <v>461</v>
      </c>
      <c r="C473" s="530" t="str">
        <f>IF(Inventory!E470="","",Inventory!E470)</f>
        <v/>
      </c>
      <c r="D473" s="531">
        <f>IF(Inventory!D470="",0,Inventory!D470)</f>
        <v>0</v>
      </c>
      <c r="E473" s="532" t="str">
        <f>IF(Inventory!I470=0,"",Inventory!I470)</f>
        <v/>
      </c>
      <c r="F473" s="533" t="str">
        <f t="shared" si="169"/>
        <v/>
      </c>
      <c r="G473" s="534" t="str">
        <f>IF(Inventory!G470="","",Inventory!G470)</f>
        <v/>
      </c>
      <c r="H473" s="535" t="str">
        <f t="shared" si="170"/>
        <v/>
      </c>
      <c r="I473" s="536" t="str">
        <f>IF(Inventory!J470="","",Inventory!J470)</f>
        <v/>
      </c>
      <c r="J473" s="537" t="str">
        <f>IFERROR(IF(PRJ_Type="New Construction",IF(Inventory!C470="N",INDEX(xyLPD_BuildingArea,MATCH(Building_Type,Lookups!$F$37:$F$75,0),4),INDEX(xyLPD_SpaceBySpace,MATCH(INDEX(xyNCEx,MATCH(I473,yNCExArea,0),2),ySpace_by_Space_Type,0),2)),VLOOKUP(E473,xyWattage_Table,11,FALSE)),"")</f>
        <v/>
      </c>
      <c r="K473" s="538" t="str">
        <f>IFERROR(IF(AND(NC_Type="Building Area Method",Inventory!C470="N"),IF(ISERROR(INDEX('Usage Groups (&gt;120 MWh only)'!$N$8:$N$12,MATCH(C473,'Usage Groups (&gt;120 MWh only)'!$B$8:$B$12,0),1))=TRUE,SqFt/COUNTIFS(Inventory!$C$10:$C$1009,"N",$Q$13:$Q$1012,"&gt;=0"),INDEX('Usage Groups (&gt;120 MWh only)'!$N$8:$N$12,MATCH(C473,'Usage Groups (&gt;120 MWh only)'!$B$8:$B$12,0),1)/COUNTIF($C$13:$C$1012,C473)),IF(AND(NC_Type="Building Area Method",Inventory!C470="Y"),INDEX(xyNCEx,MATCH(I473,yNCExArea,0),3)/COUNTIF($I$13:$I$1012,I473),VLOOKUP(J473,xyWattage_Table,10,FALSE))),"")</f>
        <v/>
      </c>
      <c r="L473" s="539" t="str">
        <f t="shared" si="171"/>
        <v/>
      </c>
      <c r="M473" s="540">
        <f>IF(Inventory!N470="","",Inventory!N470)</f>
        <v>0</v>
      </c>
      <c r="N473" s="533" t="str">
        <f t="shared" si="172"/>
        <v/>
      </c>
      <c r="O473" s="534"/>
      <c r="P473" s="533" t="str">
        <f t="shared" si="173"/>
        <v/>
      </c>
      <c r="Q473" s="534" t="str">
        <f>IF(Inventory!L470="","",Inventory!L470)</f>
        <v/>
      </c>
      <c r="R473" s="535" t="str">
        <f t="shared" si="174"/>
        <v/>
      </c>
      <c r="S473" s="536" t="str">
        <f>IF(Inventory!O470="","",Inventory!O470)</f>
        <v/>
      </c>
      <c r="T473" s="541" t="str">
        <f>IFERROR(IF(C473="","",IF(INDEX(xyWattage_Table,MATCH(M473,'Fixture Identities'!$B$9:$B$997,0),2)="Exit Sign",8760,IF(VLOOKUP(C473,xySpace_Type_Details,8,FALSE)="TRM",INDEX('General Information'!$AF$17:$AG$28,11,MATCH(N473,'General Information'!$AF$16:$AG$16,0)),HLOOKUP(VLOOKUP(C473,xySpace_Type_Details,8,FALSE),'General Information'!$P$15:$AG$28,13,FALSE)))),"")</f>
        <v/>
      </c>
      <c r="U473" s="542" t="str">
        <f>IFERROR(IF(C473="","",IF(INDEX(xyWattage_Table,MATCH(M473,'Fixture Identities'!$B$9:$B$997,0),2)="Exit Sign",1,IF(VLOOKUP(C473,xySpace_Type_Details,8,FALSE)="TRM",INDEX('General Information'!$AF$17:$AG$28,12,MATCH(N473,'General Information'!$AF$16:$AG$16,0)),HLOOKUP(VLOOKUP(C473,xySpace_Type_Details,8,FALSE),'General Information'!$P$15:$AG$28,14,FALSE)))),"")</f>
        <v/>
      </c>
      <c r="V473" s="542" t="str">
        <f>IFERROR(VLOOKUP(INDEX(xySpace_Type_Details,MATCH($C473,'General Information'!$C$40:$C$60,0),12),Lookups!$L$8:$N$12,2,FALSE),"")</f>
        <v/>
      </c>
      <c r="W473" s="542" t="str">
        <f>IFERROR(VLOOKUP(INDEX(xySpace_Type_Details,MATCH($C473,'General Information'!$C$40:$C$60,0),12),Lookups!$L$8:$N$12,3,FALSE),"")</f>
        <v/>
      </c>
      <c r="Y473" s="542" t="str">
        <f>IFERROR(IF(C473="","",IF(INDEX(xyWattage_Table,MATCH(M473,'Fixture Identities'!$B$9:$B$997,0),2)="Exit Sign",0,IF(PRJ_Type="Retrofit",VLOOKUP(I473,xySVG_Factors,2,FALSE),IF(AND(PRJ_Type="New Construction",Inventory!C470="N"),VLOOKUP(VLOOKUP(Building_Type,xyLPD_BuildingArea,5,FALSE),xySVG_Factors_NC,3,FALSE),0)))),"")</f>
        <v/>
      </c>
      <c r="Z473" s="544" t="str">
        <f>IFERROR(IF(C473="","",IF(INDEX(xyWattage_Table,MATCH(M473,'Fixture Identities'!$B$9:$B$997,0),2)="Exit Sign",0,VLOOKUP(S473,xySVG_Factors,2,FALSE))),"")</f>
        <v/>
      </c>
      <c r="AA473" s="545" t="str">
        <f t="shared" si="175"/>
        <v/>
      </c>
      <c r="AB473" s="542" t="str">
        <f t="shared" si="176"/>
        <v/>
      </c>
      <c r="AC473" s="539" t="str">
        <f t="shared" si="177"/>
        <v/>
      </c>
      <c r="AD473" s="546" t="str">
        <f t="shared" si="178"/>
        <v/>
      </c>
      <c r="AE473" s="539" t="str">
        <f t="shared" si="179"/>
        <v/>
      </c>
      <c r="AF473" s="546" t="str">
        <f t="shared" si="180"/>
        <v/>
      </c>
      <c r="AG473" s="539" t="str">
        <f t="shared" si="181"/>
        <v/>
      </c>
      <c r="AH473" s="32">
        <f t="shared" si="183"/>
        <v>0</v>
      </c>
      <c r="AI473" s="32">
        <f t="shared" si="184"/>
        <v>0</v>
      </c>
      <c r="AJ473" s="32">
        <f t="shared" si="185"/>
        <v>0</v>
      </c>
      <c r="AK473" t="str">
        <f t="shared" si="186"/>
        <v/>
      </c>
      <c r="AL473" t="str">
        <f t="shared" si="187"/>
        <v/>
      </c>
      <c r="AM473" t="str">
        <f t="shared" si="188"/>
        <v/>
      </c>
      <c r="AO473" t="str">
        <f>IFERROR(VLOOKUP(M473,'Fixture Identities'!$B$9:$O$1045,14,FALSE),"")</f>
        <v/>
      </c>
      <c r="AP473" t="str">
        <f t="shared" si="182"/>
        <v/>
      </c>
    </row>
    <row r="474" spans="1:42">
      <c r="A474" s="71">
        <f t="shared" si="190"/>
        <v>0</v>
      </c>
      <c r="B474" s="513">
        <f t="shared" si="189"/>
        <v>462</v>
      </c>
      <c r="C474" s="530" t="str">
        <f>IF(Inventory!E471="","",Inventory!E471)</f>
        <v/>
      </c>
      <c r="D474" s="531">
        <f>IF(Inventory!D471="",0,Inventory!D471)</f>
        <v>0</v>
      </c>
      <c r="E474" s="532" t="str">
        <f>IF(Inventory!I471=0,"",Inventory!I471)</f>
        <v/>
      </c>
      <c r="F474" s="533" t="str">
        <f t="shared" si="169"/>
        <v/>
      </c>
      <c r="G474" s="534" t="str">
        <f>IF(Inventory!G471="","",Inventory!G471)</f>
        <v/>
      </c>
      <c r="H474" s="535" t="str">
        <f t="shared" si="170"/>
        <v/>
      </c>
      <c r="I474" s="536" t="str">
        <f>IF(Inventory!J471="","",Inventory!J471)</f>
        <v/>
      </c>
      <c r="J474" s="537" t="str">
        <f>IFERROR(IF(PRJ_Type="New Construction",IF(Inventory!C471="N",INDEX(xyLPD_BuildingArea,MATCH(Building_Type,Lookups!$F$37:$F$75,0),4),INDEX(xyLPD_SpaceBySpace,MATCH(INDEX(xyNCEx,MATCH(I474,yNCExArea,0),2),ySpace_by_Space_Type,0),2)),VLOOKUP(E474,xyWattage_Table,11,FALSE)),"")</f>
        <v/>
      </c>
      <c r="K474" s="538" t="str">
        <f>IFERROR(IF(AND(NC_Type="Building Area Method",Inventory!C471="N"),IF(ISERROR(INDEX('Usage Groups (&gt;120 MWh only)'!$N$8:$N$12,MATCH(C474,'Usage Groups (&gt;120 MWh only)'!$B$8:$B$12,0),1))=TRUE,SqFt/COUNTIFS(Inventory!$C$10:$C$1009,"N",$Q$13:$Q$1012,"&gt;=0"),INDEX('Usage Groups (&gt;120 MWh only)'!$N$8:$N$12,MATCH(C474,'Usage Groups (&gt;120 MWh only)'!$B$8:$B$12,0),1)/COUNTIF($C$13:$C$1012,C474)),IF(AND(NC_Type="Building Area Method",Inventory!C471="Y"),INDEX(xyNCEx,MATCH(I474,yNCExArea,0),3)/COUNTIF($I$13:$I$1012,I474),VLOOKUP(J474,xyWattage_Table,10,FALSE))),"")</f>
        <v/>
      </c>
      <c r="L474" s="539" t="str">
        <f t="shared" si="171"/>
        <v/>
      </c>
      <c r="M474" s="540">
        <f>IF(Inventory!N471="","",Inventory!N471)</f>
        <v>0</v>
      </c>
      <c r="N474" s="533" t="str">
        <f t="shared" si="172"/>
        <v/>
      </c>
      <c r="O474" s="534"/>
      <c r="P474" s="533" t="str">
        <f t="shared" si="173"/>
        <v/>
      </c>
      <c r="Q474" s="534" t="str">
        <f>IF(Inventory!L471="","",Inventory!L471)</f>
        <v/>
      </c>
      <c r="R474" s="535" t="str">
        <f t="shared" si="174"/>
        <v/>
      </c>
      <c r="S474" s="536" t="str">
        <f>IF(Inventory!O471="","",Inventory!O471)</f>
        <v/>
      </c>
      <c r="T474" s="541" t="str">
        <f>IFERROR(IF(C474="","",IF(INDEX(xyWattage_Table,MATCH(M474,'Fixture Identities'!$B$9:$B$997,0),2)="Exit Sign",8760,IF(VLOOKUP(C474,xySpace_Type_Details,8,FALSE)="TRM",INDEX('General Information'!$AF$17:$AG$28,11,MATCH(N474,'General Information'!$AF$16:$AG$16,0)),HLOOKUP(VLOOKUP(C474,xySpace_Type_Details,8,FALSE),'General Information'!$P$15:$AG$28,13,FALSE)))),"")</f>
        <v/>
      </c>
      <c r="U474" s="542" t="str">
        <f>IFERROR(IF(C474="","",IF(INDEX(xyWattage_Table,MATCH(M474,'Fixture Identities'!$B$9:$B$997,0),2)="Exit Sign",1,IF(VLOOKUP(C474,xySpace_Type_Details,8,FALSE)="TRM",INDEX('General Information'!$AF$17:$AG$28,12,MATCH(N474,'General Information'!$AF$16:$AG$16,0)),HLOOKUP(VLOOKUP(C474,xySpace_Type_Details,8,FALSE),'General Information'!$P$15:$AG$28,14,FALSE)))),"")</f>
        <v/>
      </c>
      <c r="V474" s="542" t="str">
        <f>IFERROR(VLOOKUP(INDEX(xySpace_Type_Details,MATCH($C474,'General Information'!$C$40:$C$60,0),12),Lookups!$L$8:$N$12,2,FALSE),"")</f>
        <v/>
      </c>
      <c r="W474" s="542" t="str">
        <f>IFERROR(VLOOKUP(INDEX(xySpace_Type_Details,MATCH($C474,'General Information'!$C$40:$C$60,0),12),Lookups!$L$8:$N$12,3,FALSE),"")</f>
        <v/>
      </c>
      <c r="Y474" s="542" t="str">
        <f>IFERROR(IF(C474="","",IF(INDEX(xyWattage_Table,MATCH(M474,'Fixture Identities'!$B$9:$B$997,0),2)="Exit Sign",0,IF(PRJ_Type="Retrofit",VLOOKUP(I474,xySVG_Factors,2,FALSE),IF(AND(PRJ_Type="New Construction",Inventory!C471="N"),VLOOKUP(VLOOKUP(Building_Type,xyLPD_BuildingArea,5,FALSE),xySVG_Factors_NC,3,FALSE),0)))),"")</f>
        <v/>
      </c>
      <c r="Z474" s="544" t="str">
        <f>IFERROR(IF(C474="","",IF(INDEX(xyWattage_Table,MATCH(M474,'Fixture Identities'!$B$9:$B$997,0),2)="Exit Sign",0,VLOOKUP(S474,xySVG_Factors,2,FALSE))),"")</f>
        <v/>
      </c>
      <c r="AA474" s="545" t="str">
        <f t="shared" si="175"/>
        <v/>
      </c>
      <c r="AB474" s="542" t="str">
        <f t="shared" si="176"/>
        <v/>
      </c>
      <c r="AC474" s="539" t="str">
        <f t="shared" si="177"/>
        <v/>
      </c>
      <c r="AD474" s="546" t="str">
        <f t="shared" si="178"/>
        <v/>
      </c>
      <c r="AE474" s="539" t="str">
        <f t="shared" si="179"/>
        <v/>
      </c>
      <c r="AF474" s="546" t="str">
        <f t="shared" si="180"/>
        <v/>
      </c>
      <c r="AG474" s="539" t="str">
        <f t="shared" si="181"/>
        <v/>
      </c>
      <c r="AH474" s="32">
        <f t="shared" si="183"/>
        <v>0</v>
      </c>
      <c r="AI474" s="32">
        <f t="shared" si="184"/>
        <v>0</v>
      </c>
      <c r="AJ474" s="32">
        <f t="shared" si="185"/>
        <v>0</v>
      </c>
      <c r="AK474" t="str">
        <f t="shared" si="186"/>
        <v/>
      </c>
      <c r="AL474" t="str">
        <f t="shared" si="187"/>
        <v/>
      </c>
      <c r="AM474" t="str">
        <f t="shared" si="188"/>
        <v/>
      </c>
      <c r="AO474" t="str">
        <f>IFERROR(VLOOKUP(M474,'Fixture Identities'!$B$9:$O$1045,14,FALSE),"")</f>
        <v/>
      </c>
      <c r="AP474" t="str">
        <f t="shared" si="182"/>
        <v/>
      </c>
    </row>
    <row r="475" spans="1:42">
      <c r="A475" s="71">
        <f t="shared" si="190"/>
        <v>0</v>
      </c>
      <c r="B475" s="513">
        <f t="shared" si="189"/>
        <v>463</v>
      </c>
      <c r="C475" s="530" t="str">
        <f>IF(Inventory!E472="","",Inventory!E472)</f>
        <v/>
      </c>
      <c r="D475" s="531">
        <f>IF(Inventory!D472="",0,Inventory!D472)</f>
        <v>0</v>
      </c>
      <c r="E475" s="532" t="str">
        <f>IF(Inventory!I472=0,"",Inventory!I472)</f>
        <v/>
      </c>
      <c r="F475" s="533" t="str">
        <f t="shared" si="169"/>
        <v/>
      </c>
      <c r="G475" s="534" t="str">
        <f>IF(Inventory!G472="","",Inventory!G472)</f>
        <v/>
      </c>
      <c r="H475" s="535" t="str">
        <f t="shared" si="170"/>
        <v/>
      </c>
      <c r="I475" s="536" t="str">
        <f>IF(Inventory!J472="","",Inventory!J472)</f>
        <v/>
      </c>
      <c r="J475" s="537" t="str">
        <f>IFERROR(IF(PRJ_Type="New Construction",IF(Inventory!C472="N",INDEX(xyLPD_BuildingArea,MATCH(Building_Type,Lookups!$F$37:$F$75,0),4),INDEX(xyLPD_SpaceBySpace,MATCH(INDEX(xyNCEx,MATCH(I475,yNCExArea,0),2),ySpace_by_Space_Type,0),2)),VLOOKUP(E475,xyWattage_Table,11,FALSE)),"")</f>
        <v/>
      </c>
      <c r="K475" s="538" t="str">
        <f>IFERROR(IF(AND(NC_Type="Building Area Method",Inventory!C472="N"),IF(ISERROR(INDEX('Usage Groups (&gt;120 MWh only)'!$N$8:$N$12,MATCH(C475,'Usage Groups (&gt;120 MWh only)'!$B$8:$B$12,0),1))=TRUE,SqFt/COUNTIFS(Inventory!$C$10:$C$1009,"N",$Q$13:$Q$1012,"&gt;=0"),INDEX('Usage Groups (&gt;120 MWh only)'!$N$8:$N$12,MATCH(C475,'Usage Groups (&gt;120 MWh only)'!$B$8:$B$12,0),1)/COUNTIF($C$13:$C$1012,C475)),IF(AND(NC_Type="Building Area Method",Inventory!C472="Y"),INDEX(xyNCEx,MATCH(I475,yNCExArea,0),3)/COUNTIF($I$13:$I$1012,I475),VLOOKUP(J475,xyWattage_Table,10,FALSE))),"")</f>
        <v/>
      </c>
      <c r="L475" s="539" t="str">
        <f t="shared" si="171"/>
        <v/>
      </c>
      <c r="M475" s="540">
        <f>IF(Inventory!N472="","",Inventory!N472)</f>
        <v>0</v>
      </c>
      <c r="N475" s="533" t="str">
        <f t="shared" si="172"/>
        <v/>
      </c>
      <c r="O475" s="534"/>
      <c r="P475" s="533" t="str">
        <f t="shared" si="173"/>
        <v/>
      </c>
      <c r="Q475" s="534" t="str">
        <f>IF(Inventory!L472="","",Inventory!L472)</f>
        <v/>
      </c>
      <c r="R475" s="535" t="str">
        <f t="shared" si="174"/>
        <v/>
      </c>
      <c r="S475" s="536" t="str">
        <f>IF(Inventory!O472="","",Inventory!O472)</f>
        <v/>
      </c>
      <c r="T475" s="541" t="str">
        <f>IFERROR(IF(C475="","",IF(INDEX(xyWattage_Table,MATCH(M475,'Fixture Identities'!$B$9:$B$997,0),2)="Exit Sign",8760,IF(VLOOKUP(C475,xySpace_Type_Details,8,FALSE)="TRM",INDEX('General Information'!$AF$17:$AG$28,11,MATCH(N475,'General Information'!$AF$16:$AG$16,0)),HLOOKUP(VLOOKUP(C475,xySpace_Type_Details,8,FALSE),'General Information'!$P$15:$AG$28,13,FALSE)))),"")</f>
        <v/>
      </c>
      <c r="U475" s="542" t="str">
        <f>IFERROR(IF(C475="","",IF(INDEX(xyWattage_Table,MATCH(M475,'Fixture Identities'!$B$9:$B$997,0),2)="Exit Sign",1,IF(VLOOKUP(C475,xySpace_Type_Details,8,FALSE)="TRM",INDEX('General Information'!$AF$17:$AG$28,12,MATCH(N475,'General Information'!$AF$16:$AG$16,0)),HLOOKUP(VLOOKUP(C475,xySpace_Type_Details,8,FALSE),'General Information'!$P$15:$AG$28,14,FALSE)))),"")</f>
        <v/>
      </c>
      <c r="V475" s="542" t="str">
        <f>IFERROR(VLOOKUP(INDEX(xySpace_Type_Details,MATCH($C475,'General Information'!$C$40:$C$60,0),12),Lookups!$L$8:$N$12,2,FALSE),"")</f>
        <v/>
      </c>
      <c r="W475" s="542" t="str">
        <f>IFERROR(VLOOKUP(INDEX(xySpace_Type_Details,MATCH($C475,'General Information'!$C$40:$C$60,0),12),Lookups!$L$8:$N$12,3,FALSE),"")</f>
        <v/>
      </c>
      <c r="Y475" s="542" t="str">
        <f>IFERROR(IF(C475="","",IF(INDEX(xyWattage_Table,MATCH(M475,'Fixture Identities'!$B$9:$B$997,0),2)="Exit Sign",0,IF(PRJ_Type="Retrofit",VLOOKUP(I475,xySVG_Factors,2,FALSE),IF(AND(PRJ_Type="New Construction",Inventory!C472="N"),VLOOKUP(VLOOKUP(Building_Type,xyLPD_BuildingArea,5,FALSE),xySVG_Factors_NC,3,FALSE),0)))),"")</f>
        <v/>
      </c>
      <c r="Z475" s="544" t="str">
        <f>IFERROR(IF(C475="","",IF(INDEX(xyWattage_Table,MATCH(M475,'Fixture Identities'!$B$9:$B$997,0),2)="Exit Sign",0,VLOOKUP(S475,xySVG_Factors,2,FALSE))),"")</f>
        <v/>
      </c>
      <c r="AA475" s="545" t="str">
        <f t="shared" si="175"/>
        <v/>
      </c>
      <c r="AB475" s="542" t="str">
        <f t="shared" si="176"/>
        <v/>
      </c>
      <c r="AC475" s="539" t="str">
        <f t="shared" si="177"/>
        <v/>
      </c>
      <c r="AD475" s="546" t="str">
        <f t="shared" si="178"/>
        <v/>
      </c>
      <c r="AE475" s="539" t="str">
        <f t="shared" si="179"/>
        <v/>
      </c>
      <c r="AF475" s="546" t="str">
        <f t="shared" si="180"/>
        <v/>
      </c>
      <c r="AG475" s="539" t="str">
        <f t="shared" si="181"/>
        <v/>
      </c>
      <c r="AH475" s="32">
        <f t="shared" si="183"/>
        <v>0</v>
      </c>
      <c r="AI475" s="32">
        <f t="shared" si="184"/>
        <v>0</v>
      </c>
      <c r="AJ475" s="32">
        <f t="shared" si="185"/>
        <v>0</v>
      </c>
      <c r="AK475" t="str">
        <f t="shared" si="186"/>
        <v/>
      </c>
      <c r="AL475" t="str">
        <f t="shared" si="187"/>
        <v/>
      </c>
      <c r="AM475" t="str">
        <f t="shared" si="188"/>
        <v/>
      </c>
      <c r="AO475" t="str">
        <f>IFERROR(VLOOKUP(M475,'Fixture Identities'!$B$9:$O$1045,14,FALSE),"")</f>
        <v/>
      </c>
      <c r="AP475" t="str">
        <f t="shared" si="182"/>
        <v/>
      </c>
    </row>
    <row r="476" spans="1:42">
      <c r="A476" s="71">
        <f t="shared" si="190"/>
        <v>0</v>
      </c>
      <c r="B476" s="513">
        <f t="shared" si="189"/>
        <v>464</v>
      </c>
      <c r="C476" s="530" t="str">
        <f>IF(Inventory!E473="","",Inventory!E473)</f>
        <v/>
      </c>
      <c r="D476" s="531">
        <f>IF(Inventory!D473="",0,Inventory!D473)</f>
        <v>0</v>
      </c>
      <c r="E476" s="532" t="str">
        <f>IF(Inventory!I473=0,"",Inventory!I473)</f>
        <v/>
      </c>
      <c r="F476" s="533" t="str">
        <f t="shared" si="169"/>
        <v/>
      </c>
      <c r="G476" s="534" t="str">
        <f>IF(Inventory!G473="","",Inventory!G473)</f>
        <v/>
      </c>
      <c r="H476" s="535" t="str">
        <f t="shared" si="170"/>
        <v/>
      </c>
      <c r="I476" s="536" t="str">
        <f>IF(Inventory!J473="","",Inventory!J473)</f>
        <v/>
      </c>
      <c r="J476" s="537" t="str">
        <f>IFERROR(IF(PRJ_Type="New Construction",IF(Inventory!C473="N",INDEX(xyLPD_BuildingArea,MATCH(Building_Type,Lookups!$F$37:$F$75,0),4),INDEX(xyLPD_SpaceBySpace,MATCH(INDEX(xyNCEx,MATCH(I476,yNCExArea,0),2),ySpace_by_Space_Type,0),2)),VLOOKUP(E476,xyWattage_Table,11,FALSE)),"")</f>
        <v/>
      </c>
      <c r="K476" s="538" t="str">
        <f>IFERROR(IF(AND(NC_Type="Building Area Method",Inventory!C473="N"),IF(ISERROR(INDEX('Usage Groups (&gt;120 MWh only)'!$N$8:$N$12,MATCH(C476,'Usage Groups (&gt;120 MWh only)'!$B$8:$B$12,0),1))=TRUE,SqFt/COUNTIFS(Inventory!$C$10:$C$1009,"N",$Q$13:$Q$1012,"&gt;=0"),INDEX('Usage Groups (&gt;120 MWh only)'!$N$8:$N$12,MATCH(C476,'Usage Groups (&gt;120 MWh only)'!$B$8:$B$12,0),1)/COUNTIF($C$13:$C$1012,C476)),IF(AND(NC_Type="Building Area Method",Inventory!C473="Y"),INDEX(xyNCEx,MATCH(I476,yNCExArea,0),3)/COUNTIF($I$13:$I$1012,I476),VLOOKUP(J476,xyWattage_Table,10,FALSE))),"")</f>
        <v/>
      </c>
      <c r="L476" s="539" t="str">
        <f t="shared" si="171"/>
        <v/>
      </c>
      <c r="M476" s="540">
        <f>IF(Inventory!N473="","",Inventory!N473)</f>
        <v>0</v>
      </c>
      <c r="N476" s="533" t="str">
        <f t="shared" si="172"/>
        <v/>
      </c>
      <c r="O476" s="534"/>
      <c r="P476" s="533" t="str">
        <f t="shared" si="173"/>
        <v/>
      </c>
      <c r="Q476" s="534" t="str">
        <f>IF(Inventory!L473="","",Inventory!L473)</f>
        <v/>
      </c>
      <c r="R476" s="535" t="str">
        <f t="shared" si="174"/>
        <v/>
      </c>
      <c r="S476" s="536" t="str">
        <f>IF(Inventory!O473="","",Inventory!O473)</f>
        <v/>
      </c>
      <c r="T476" s="541" t="str">
        <f>IFERROR(IF(C476="","",IF(INDEX(xyWattage_Table,MATCH(M476,'Fixture Identities'!$B$9:$B$997,0),2)="Exit Sign",8760,IF(VLOOKUP(C476,xySpace_Type_Details,8,FALSE)="TRM",INDEX('General Information'!$AF$17:$AG$28,11,MATCH(N476,'General Information'!$AF$16:$AG$16,0)),HLOOKUP(VLOOKUP(C476,xySpace_Type_Details,8,FALSE),'General Information'!$P$15:$AG$28,13,FALSE)))),"")</f>
        <v/>
      </c>
      <c r="U476" s="542" t="str">
        <f>IFERROR(IF(C476="","",IF(INDEX(xyWattage_Table,MATCH(M476,'Fixture Identities'!$B$9:$B$997,0),2)="Exit Sign",1,IF(VLOOKUP(C476,xySpace_Type_Details,8,FALSE)="TRM",INDEX('General Information'!$AF$17:$AG$28,12,MATCH(N476,'General Information'!$AF$16:$AG$16,0)),HLOOKUP(VLOOKUP(C476,xySpace_Type_Details,8,FALSE),'General Information'!$P$15:$AG$28,14,FALSE)))),"")</f>
        <v/>
      </c>
      <c r="V476" s="542" t="str">
        <f>IFERROR(VLOOKUP(INDEX(xySpace_Type_Details,MATCH($C476,'General Information'!$C$40:$C$60,0),12),Lookups!$L$8:$N$12,2,FALSE),"")</f>
        <v/>
      </c>
      <c r="W476" s="542" t="str">
        <f>IFERROR(VLOOKUP(INDEX(xySpace_Type_Details,MATCH($C476,'General Information'!$C$40:$C$60,0),12),Lookups!$L$8:$N$12,3,FALSE),"")</f>
        <v/>
      </c>
      <c r="Y476" s="542" t="str">
        <f>IFERROR(IF(C476="","",IF(INDEX(xyWattage_Table,MATCH(M476,'Fixture Identities'!$B$9:$B$997,0),2)="Exit Sign",0,IF(PRJ_Type="Retrofit",VLOOKUP(I476,xySVG_Factors,2,FALSE),IF(AND(PRJ_Type="New Construction",Inventory!C473="N"),VLOOKUP(VLOOKUP(Building_Type,xyLPD_BuildingArea,5,FALSE),xySVG_Factors_NC,3,FALSE),0)))),"")</f>
        <v/>
      </c>
      <c r="Z476" s="544" t="str">
        <f>IFERROR(IF(C476="","",IF(INDEX(xyWattage_Table,MATCH(M476,'Fixture Identities'!$B$9:$B$997,0),2)="Exit Sign",0,VLOOKUP(S476,xySVG_Factors,2,FALSE))),"")</f>
        <v/>
      </c>
      <c r="AA476" s="545" t="str">
        <f t="shared" si="175"/>
        <v/>
      </c>
      <c r="AB476" s="542" t="str">
        <f t="shared" si="176"/>
        <v/>
      </c>
      <c r="AC476" s="539" t="str">
        <f t="shared" si="177"/>
        <v/>
      </c>
      <c r="AD476" s="546" t="str">
        <f t="shared" si="178"/>
        <v/>
      </c>
      <c r="AE476" s="539" t="str">
        <f t="shared" si="179"/>
        <v/>
      </c>
      <c r="AF476" s="546" t="str">
        <f t="shared" si="180"/>
        <v/>
      </c>
      <c r="AG476" s="539" t="str">
        <f t="shared" si="181"/>
        <v/>
      </c>
      <c r="AH476" s="32">
        <f t="shared" si="183"/>
        <v>0</v>
      </c>
      <c r="AI476" s="32">
        <f t="shared" si="184"/>
        <v>0</v>
      </c>
      <c r="AJ476" s="32">
        <f t="shared" si="185"/>
        <v>0</v>
      </c>
      <c r="AK476" t="str">
        <f t="shared" si="186"/>
        <v/>
      </c>
      <c r="AL476" t="str">
        <f t="shared" si="187"/>
        <v/>
      </c>
      <c r="AM476" t="str">
        <f t="shared" si="188"/>
        <v/>
      </c>
      <c r="AO476" t="str">
        <f>IFERROR(VLOOKUP(M476,'Fixture Identities'!$B$9:$O$1045,14,FALSE),"")</f>
        <v/>
      </c>
      <c r="AP476" t="str">
        <f t="shared" si="182"/>
        <v/>
      </c>
    </row>
    <row r="477" spans="1:42">
      <c r="A477" s="71">
        <f t="shared" si="190"/>
        <v>0</v>
      </c>
      <c r="B477" s="513">
        <f t="shared" si="189"/>
        <v>465</v>
      </c>
      <c r="C477" s="530" t="str">
        <f>IF(Inventory!E474="","",Inventory!E474)</f>
        <v/>
      </c>
      <c r="D477" s="531">
        <f>IF(Inventory!D474="",0,Inventory!D474)</f>
        <v>0</v>
      </c>
      <c r="E477" s="532" t="str">
        <f>IF(Inventory!I474=0,"",Inventory!I474)</f>
        <v/>
      </c>
      <c r="F477" s="533" t="str">
        <f t="shared" si="169"/>
        <v/>
      </c>
      <c r="G477" s="534" t="str">
        <f>IF(Inventory!G474="","",Inventory!G474)</f>
        <v/>
      </c>
      <c r="H477" s="535" t="str">
        <f t="shared" si="170"/>
        <v/>
      </c>
      <c r="I477" s="536" t="str">
        <f>IF(Inventory!J474="","",Inventory!J474)</f>
        <v/>
      </c>
      <c r="J477" s="537" t="str">
        <f>IFERROR(IF(PRJ_Type="New Construction",IF(Inventory!C474="N",INDEX(xyLPD_BuildingArea,MATCH(Building_Type,Lookups!$F$37:$F$75,0),4),INDEX(xyLPD_SpaceBySpace,MATCH(INDEX(xyNCEx,MATCH(I477,yNCExArea,0),2),ySpace_by_Space_Type,0),2)),VLOOKUP(E477,xyWattage_Table,11,FALSE)),"")</f>
        <v/>
      </c>
      <c r="K477" s="538" t="str">
        <f>IFERROR(IF(AND(NC_Type="Building Area Method",Inventory!C474="N"),IF(ISERROR(INDEX('Usage Groups (&gt;120 MWh only)'!$N$8:$N$12,MATCH(C477,'Usage Groups (&gt;120 MWh only)'!$B$8:$B$12,0),1))=TRUE,SqFt/COUNTIFS(Inventory!$C$10:$C$1009,"N",$Q$13:$Q$1012,"&gt;=0"),INDEX('Usage Groups (&gt;120 MWh only)'!$N$8:$N$12,MATCH(C477,'Usage Groups (&gt;120 MWh only)'!$B$8:$B$12,0),1)/COUNTIF($C$13:$C$1012,C477)),IF(AND(NC_Type="Building Area Method",Inventory!C474="Y"),INDEX(xyNCEx,MATCH(I477,yNCExArea,0),3)/COUNTIF($I$13:$I$1012,I477),VLOOKUP(J477,xyWattage_Table,10,FALSE))),"")</f>
        <v/>
      </c>
      <c r="L477" s="539" t="str">
        <f t="shared" si="171"/>
        <v/>
      </c>
      <c r="M477" s="540">
        <f>IF(Inventory!N474="","",Inventory!N474)</f>
        <v>0</v>
      </c>
      <c r="N477" s="533" t="str">
        <f t="shared" si="172"/>
        <v/>
      </c>
      <c r="O477" s="534"/>
      <c r="P477" s="533" t="str">
        <f t="shared" si="173"/>
        <v/>
      </c>
      <c r="Q477" s="534" t="str">
        <f>IF(Inventory!L474="","",Inventory!L474)</f>
        <v/>
      </c>
      <c r="R477" s="535" t="str">
        <f t="shared" si="174"/>
        <v/>
      </c>
      <c r="S477" s="536" t="str">
        <f>IF(Inventory!O474="","",Inventory!O474)</f>
        <v/>
      </c>
      <c r="T477" s="541" t="str">
        <f>IFERROR(IF(C477="","",IF(INDEX(xyWattage_Table,MATCH(M477,'Fixture Identities'!$B$9:$B$997,0),2)="Exit Sign",8760,IF(VLOOKUP(C477,xySpace_Type_Details,8,FALSE)="TRM",INDEX('General Information'!$AF$17:$AG$28,11,MATCH(N477,'General Information'!$AF$16:$AG$16,0)),HLOOKUP(VLOOKUP(C477,xySpace_Type_Details,8,FALSE),'General Information'!$P$15:$AG$28,13,FALSE)))),"")</f>
        <v/>
      </c>
      <c r="U477" s="542" t="str">
        <f>IFERROR(IF(C477="","",IF(INDEX(xyWattage_Table,MATCH(M477,'Fixture Identities'!$B$9:$B$997,0),2)="Exit Sign",1,IF(VLOOKUP(C477,xySpace_Type_Details,8,FALSE)="TRM",INDEX('General Information'!$AF$17:$AG$28,12,MATCH(N477,'General Information'!$AF$16:$AG$16,0)),HLOOKUP(VLOOKUP(C477,xySpace_Type_Details,8,FALSE),'General Information'!$P$15:$AG$28,14,FALSE)))),"")</f>
        <v/>
      </c>
      <c r="V477" s="542" t="str">
        <f>IFERROR(VLOOKUP(INDEX(xySpace_Type_Details,MATCH($C477,'General Information'!$C$40:$C$60,0),12),Lookups!$L$8:$N$12,2,FALSE),"")</f>
        <v/>
      </c>
      <c r="W477" s="542" t="str">
        <f>IFERROR(VLOOKUP(INDEX(xySpace_Type_Details,MATCH($C477,'General Information'!$C$40:$C$60,0),12),Lookups!$L$8:$N$12,3,FALSE),"")</f>
        <v/>
      </c>
      <c r="Y477" s="542" t="str">
        <f>IFERROR(IF(C477="","",IF(INDEX(xyWattage_Table,MATCH(M477,'Fixture Identities'!$B$9:$B$997,0),2)="Exit Sign",0,IF(PRJ_Type="Retrofit",VLOOKUP(I477,xySVG_Factors,2,FALSE),IF(AND(PRJ_Type="New Construction",Inventory!C474="N"),VLOOKUP(VLOOKUP(Building_Type,xyLPD_BuildingArea,5,FALSE),xySVG_Factors_NC,3,FALSE),0)))),"")</f>
        <v/>
      </c>
      <c r="Z477" s="544" t="str">
        <f>IFERROR(IF(C477="","",IF(INDEX(xyWattage_Table,MATCH(M477,'Fixture Identities'!$B$9:$B$997,0),2)="Exit Sign",0,VLOOKUP(S477,xySVG_Factors,2,FALSE))),"")</f>
        <v/>
      </c>
      <c r="AA477" s="545" t="str">
        <f t="shared" si="175"/>
        <v/>
      </c>
      <c r="AB477" s="542" t="str">
        <f t="shared" si="176"/>
        <v/>
      </c>
      <c r="AC477" s="539" t="str">
        <f t="shared" si="177"/>
        <v/>
      </c>
      <c r="AD477" s="546" t="str">
        <f t="shared" si="178"/>
        <v/>
      </c>
      <c r="AE477" s="539" t="str">
        <f t="shared" si="179"/>
        <v/>
      </c>
      <c r="AF477" s="546" t="str">
        <f t="shared" si="180"/>
        <v/>
      </c>
      <c r="AG477" s="539" t="str">
        <f t="shared" si="181"/>
        <v/>
      </c>
      <c r="AH477" s="32">
        <f t="shared" si="183"/>
        <v>0</v>
      </c>
      <c r="AI477" s="32">
        <f t="shared" si="184"/>
        <v>0</v>
      </c>
      <c r="AJ477" s="32">
        <f t="shared" si="185"/>
        <v>0</v>
      </c>
      <c r="AK477" t="str">
        <f t="shared" si="186"/>
        <v/>
      </c>
      <c r="AL477" t="str">
        <f t="shared" si="187"/>
        <v/>
      </c>
      <c r="AM477" t="str">
        <f t="shared" si="188"/>
        <v/>
      </c>
      <c r="AO477" t="str">
        <f>IFERROR(VLOOKUP(M477,'Fixture Identities'!$B$9:$O$1045,14,FALSE),"")</f>
        <v/>
      </c>
      <c r="AP477" t="str">
        <f t="shared" si="182"/>
        <v/>
      </c>
    </row>
    <row r="478" spans="1:42">
      <c r="A478" s="71">
        <f t="shared" si="190"/>
        <v>0</v>
      </c>
      <c r="B478" s="513">
        <f t="shared" si="189"/>
        <v>466</v>
      </c>
      <c r="C478" s="530" t="str">
        <f>IF(Inventory!E475="","",Inventory!E475)</f>
        <v/>
      </c>
      <c r="D478" s="531">
        <f>IF(Inventory!D475="",0,Inventory!D475)</f>
        <v>0</v>
      </c>
      <c r="E478" s="532" t="str">
        <f>IF(Inventory!I475=0,"",Inventory!I475)</f>
        <v/>
      </c>
      <c r="F478" s="533" t="str">
        <f t="shared" si="169"/>
        <v/>
      </c>
      <c r="G478" s="534" t="str">
        <f>IF(Inventory!G475="","",Inventory!G475)</f>
        <v/>
      </c>
      <c r="H478" s="535" t="str">
        <f t="shared" si="170"/>
        <v/>
      </c>
      <c r="I478" s="536" t="str">
        <f>IF(Inventory!J475="","",Inventory!J475)</f>
        <v/>
      </c>
      <c r="J478" s="537" t="str">
        <f>IFERROR(IF(PRJ_Type="New Construction",IF(Inventory!C475="N",INDEX(xyLPD_BuildingArea,MATCH(Building_Type,Lookups!$F$37:$F$75,0),4),INDEX(xyLPD_SpaceBySpace,MATCH(INDEX(xyNCEx,MATCH(I478,yNCExArea,0),2),ySpace_by_Space_Type,0),2)),VLOOKUP(E478,xyWattage_Table,11,FALSE)),"")</f>
        <v/>
      </c>
      <c r="K478" s="538" t="str">
        <f>IFERROR(IF(AND(NC_Type="Building Area Method",Inventory!C475="N"),IF(ISERROR(INDEX('Usage Groups (&gt;120 MWh only)'!$N$8:$N$12,MATCH(C478,'Usage Groups (&gt;120 MWh only)'!$B$8:$B$12,0),1))=TRUE,SqFt/COUNTIFS(Inventory!$C$10:$C$1009,"N",$Q$13:$Q$1012,"&gt;=0"),INDEX('Usage Groups (&gt;120 MWh only)'!$N$8:$N$12,MATCH(C478,'Usage Groups (&gt;120 MWh only)'!$B$8:$B$12,0),1)/COUNTIF($C$13:$C$1012,C478)),IF(AND(NC_Type="Building Area Method",Inventory!C475="Y"),INDEX(xyNCEx,MATCH(I478,yNCExArea,0),3)/COUNTIF($I$13:$I$1012,I478),VLOOKUP(J478,xyWattage_Table,10,FALSE))),"")</f>
        <v/>
      </c>
      <c r="L478" s="539" t="str">
        <f t="shared" si="171"/>
        <v/>
      </c>
      <c r="M478" s="540">
        <f>IF(Inventory!N475="","",Inventory!N475)</f>
        <v>0</v>
      </c>
      <c r="N478" s="533" t="str">
        <f t="shared" si="172"/>
        <v/>
      </c>
      <c r="O478" s="534"/>
      <c r="P478" s="533" t="str">
        <f t="shared" si="173"/>
        <v/>
      </c>
      <c r="Q478" s="534" t="str">
        <f>IF(Inventory!L475="","",Inventory!L475)</f>
        <v/>
      </c>
      <c r="R478" s="535" t="str">
        <f t="shared" si="174"/>
        <v/>
      </c>
      <c r="S478" s="536" t="str">
        <f>IF(Inventory!O475="","",Inventory!O475)</f>
        <v/>
      </c>
      <c r="T478" s="541" t="str">
        <f>IFERROR(IF(C478="","",IF(INDEX(xyWattage_Table,MATCH(M478,'Fixture Identities'!$B$9:$B$997,0),2)="Exit Sign",8760,IF(VLOOKUP(C478,xySpace_Type_Details,8,FALSE)="TRM",INDEX('General Information'!$AF$17:$AG$28,11,MATCH(N478,'General Information'!$AF$16:$AG$16,0)),HLOOKUP(VLOOKUP(C478,xySpace_Type_Details,8,FALSE),'General Information'!$P$15:$AG$28,13,FALSE)))),"")</f>
        <v/>
      </c>
      <c r="U478" s="542" t="str">
        <f>IFERROR(IF(C478="","",IF(INDEX(xyWattage_Table,MATCH(M478,'Fixture Identities'!$B$9:$B$997,0),2)="Exit Sign",1,IF(VLOOKUP(C478,xySpace_Type_Details,8,FALSE)="TRM",INDEX('General Information'!$AF$17:$AG$28,12,MATCH(N478,'General Information'!$AF$16:$AG$16,0)),HLOOKUP(VLOOKUP(C478,xySpace_Type_Details,8,FALSE),'General Information'!$P$15:$AG$28,14,FALSE)))),"")</f>
        <v/>
      </c>
      <c r="V478" s="542" t="str">
        <f>IFERROR(VLOOKUP(INDEX(xySpace_Type_Details,MATCH($C478,'General Information'!$C$40:$C$60,0),12),Lookups!$L$8:$N$12,2,FALSE),"")</f>
        <v/>
      </c>
      <c r="W478" s="542" t="str">
        <f>IFERROR(VLOOKUP(INDEX(xySpace_Type_Details,MATCH($C478,'General Information'!$C$40:$C$60,0),12),Lookups!$L$8:$N$12,3,FALSE),"")</f>
        <v/>
      </c>
      <c r="Y478" s="542" t="str">
        <f>IFERROR(IF(C478="","",IF(INDEX(xyWattage_Table,MATCH(M478,'Fixture Identities'!$B$9:$B$997,0),2)="Exit Sign",0,IF(PRJ_Type="Retrofit",VLOOKUP(I478,xySVG_Factors,2,FALSE),IF(AND(PRJ_Type="New Construction",Inventory!C475="N"),VLOOKUP(VLOOKUP(Building_Type,xyLPD_BuildingArea,5,FALSE),xySVG_Factors_NC,3,FALSE),0)))),"")</f>
        <v/>
      </c>
      <c r="Z478" s="544" t="str">
        <f>IFERROR(IF(C478="","",IF(INDEX(xyWattage_Table,MATCH(M478,'Fixture Identities'!$B$9:$B$997,0),2)="Exit Sign",0,VLOOKUP(S478,xySVG_Factors,2,FALSE))),"")</f>
        <v/>
      </c>
      <c r="AA478" s="545" t="str">
        <f t="shared" si="175"/>
        <v/>
      </c>
      <c r="AB478" s="542" t="str">
        <f t="shared" si="176"/>
        <v/>
      </c>
      <c r="AC478" s="539" t="str">
        <f t="shared" si="177"/>
        <v/>
      </c>
      <c r="AD478" s="546" t="str">
        <f t="shared" si="178"/>
        <v/>
      </c>
      <c r="AE478" s="539" t="str">
        <f t="shared" si="179"/>
        <v/>
      </c>
      <c r="AF478" s="546" t="str">
        <f t="shared" si="180"/>
        <v/>
      </c>
      <c r="AG478" s="539" t="str">
        <f t="shared" si="181"/>
        <v/>
      </c>
      <c r="AH478" s="32">
        <f t="shared" si="183"/>
        <v>0</v>
      </c>
      <c r="AI478" s="32">
        <f t="shared" si="184"/>
        <v>0</v>
      </c>
      <c r="AJ478" s="32">
        <f t="shared" si="185"/>
        <v>0</v>
      </c>
      <c r="AK478" t="str">
        <f t="shared" si="186"/>
        <v/>
      </c>
      <c r="AL478" t="str">
        <f t="shared" si="187"/>
        <v/>
      </c>
      <c r="AM478" t="str">
        <f t="shared" si="188"/>
        <v/>
      </c>
      <c r="AO478" t="str">
        <f>IFERROR(VLOOKUP(M478,'Fixture Identities'!$B$9:$O$1045,14,FALSE),"")</f>
        <v/>
      </c>
      <c r="AP478" t="str">
        <f t="shared" si="182"/>
        <v/>
      </c>
    </row>
    <row r="479" spans="1:42">
      <c r="A479" s="71">
        <f t="shared" si="190"/>
        <v>0</v>
      </c>
      <c r="B479" s="513">
        <f t="shared" si="189"/>
        <v>467</v>
      </c>
      <c r="C479" s="530" t="str">
        <f>IF(Inventory!E476="","",Inventory!E476)</f>
        <v/>
      </c>
      <c r="D479" s="531">
        <f>IF(Inventory!D476="",0,Inventory!D476)</f>
        <v>0</v>
      </c>
      <c r="E479" s="532" t="str">
        <f>IF(Inventory!I476=0,"",Inventory!I476)</f>
        <v/>
      </c>
      <c r="F479" s="533" t="str">
        <f t="shared" si="169"/>
        <v/>
      </c>
      <c r="G479" s="534" t="str">
        <f>IF(Inventory!G476="","",Inventory!G476)</f>
        <v/>
      </c>
      <c r="H479" s="535" t="str">
        <f t="shared" si="170"/>
        <v/>
      </c>
      <c r="I479" s="536" t="str">
        <f>IF(Inventory!J476="","",Inventory!J476)</f>
        <v/>
      </c>
      <c r="J479" s="537" t="str">
        <f>IFERROR(IF(PRJ_Type="New Construction",IF(Inventory!C476="N",INDEX(xyLPD_BuildingArea,MATCH(Building_Type,Lookups!$F$37:$F$75,0),4),INDEX(xyLPD_SpaceBySpace,MATCH(INDEX(xyNCEx,MATCH(I479,yNCExArea,0),2),ySpace_by_Space_Type,0),2)),VLOOKUP(E479,xyWattage_Table,11,FALSE)),"")</f>
        <v/>
      </c>
      <c r="K479" s="538" t="str">
        <f>IFERROR(IF(AND(NC_Type="Building Area Method",Inventory!C476="N"),IF(ISERROR(INDEX('Usage Groups (&gt;120 MWh only)'!$N$8:$N$12,MATCH(C479,'Usage Groups (&gt;120 MWh only)'!$B$8:$B$12,0),1))=TRUE,SqFt/COUNTIFS(Inventory!$C$10:$C$1009,"N",$Q$13:$Q$1012,"&gt;=0"),INDEX('Usage Groups (&gt;120 MWh only)'!$N$8:$N$12,MATCH(C479,'Usage Groups (&gt;120 MWh only)'!$B$8:$B$12,0),1)/COUNTIF($C$13:$C$1012,C479)),IF(AND(NC_Type="Building Area Method",Inventory!C476="Y"),INDEX(xyNCEx,MATCH(I479,yNCExArea,0),3)/COUNTIF($I$13:$I$1012,I479),VLOOKUP(J479,xyWattage_Table,10,FALSE))),"")</f>
        <v/>
      </c>
      <c r="L479" s="539" t="str">
        <f t="shared" si="171"/>
        <v/>
      </c>
      <c r="M479" s="540">
        <f>IF(Inventory!N476="","",Inventory!N476)</f>
        <v>0</v>
      </c>
      <c r="N479" s="533" t="str">
        <f t="shared" si="172"/>
        <v/>
      </c>
      <c r="O479" s="534"/>
      <c r="P479" s="533" t="str">
        <f t="shared" si="173"/>
        <v/>
      </c>
      <c r="Q479" s="534" t="str">
        <f>IF(Inventory!L476="","",Inventory!L476)</f>
        <v/>
      </c>
      <c r="R479" s="535" t="str">
        <f t="shared" si="174"/>
        <v/>
      </c>
      <c r="S479" s="536" t="str">
        <f>IF(Inventory!O476="","",Inventory!O476)</f>
        <v/>
      </c>
      <c r="T479" s="541" t="str">
        <f>IFERROR(IF(C479="","",IF(INDEX(xyWattage_Table,MATCH(M479,'Fixture Identities'!$B$9:$B$997,0),2)="Exit Sign",8760,IF(VLOOKUP(C479,xySpace_Type_Details,8,FALSE)="TRM",INDEX('General Information'!$AF$17:$AG$28,11,MATCH(N479,'General Information'!$AF$16:$AG$16,0)),HLOOKUP(VLOOKUP(C479,xySpace_Type_Details,8,FALSE),'General Information'!$P$15:$AG$28,13,FALSE)))),"")</f>
        <v/>
      </c>
      <c r="U479" s="542" t="str">
        <f>IFERROR(IF(C479="","",IF(INDEX(xyWattage_Table,MATCH(M479,'Fixture Identities'!$B$9:$B$997,0),2)="Exit Sign",1,IF(VLOOKUP(C479,xySpace_Type_Details,8,FALSE)="TRM",INDEX('General Information'!$AF$17:$AG$28,12,MATCH(N479,'General Information'!$AF$16:$AG$16,0)),HLOOKUP(VLOOKUP(C479,xySpace_Type_Details,8,FALSE),'General Information'!$P$15:$AG$28,14,FALSE)))),"")</f>
        <v/>
      </c>
      <c r="V479" s="542" t="str">
        <f>IFERROR(VLOOKUP(INDEX(xySpace_Type_Details,MATCH($C479,'General Information'!$C$40:$C$60,0),12),Lookups!$L$8:$N$12,2,FALSE),"")</f>
        <v/>
      </c>
      <c r="W479" s="542" t="str">
        <f>IFERROR(VLOOKUP(INDEX(xySpace_Type_Details,MATCH($C479,'General Information'!$C$40:$C$60,0),12),Lookups!$L$8:$N$12,3,FALSE),"")</f>
        <v/>
      </c>
      <c r="Y479" s="542" t="str">
        <f>IFERROR(IF(C479="","",IF(INDEX(xyWattage_Table,MATCH(M479,'Fixture Identities'!$B$9:$B$997,0),2)="Exit Sign",0,IF(PRJ_Type="Retrofit",VLOOKUP(I479,xySVG_Factors,2,FALSE),IF(AND(PRJ_Type="New Construction",Inventory!C476="N"),VLOOKUP(VLOOKUP(Building_Type,xyLPD_BuildingArea,5,FALSE),xySVG_Factors_NC,3,FALSE),0)))),"")</f>
        <v/>
      </c>
      <c r="Z479" s="544" t="str">
        <f>IFERROR(IF(C479="","",IF(INDEX(xyWattage_Table,MATCH(M479,'Fixture Identities'!$B$9:$B$997,0),2)="Exit Sign",0,VLOOKUP(S479,xySVG_Factors,2,FALSE))),"")</f>
        <v/>
      </c>
      <c r="AA479" s="545" t="str">
        <f t="shared" si="175"/>
        <v/>
      </c>
      <c r="AB479" s="542" t="str">
        <f t="shared" si="176"/>
        <v/>
      </c>
      <c r="AC479" s="539" t="str">
        <f t="shared" si="177"/>
        <v/>
      </c>
      <c r="AD479" s="546" t="str">
        <f t="shared" si="178"/>
        <v/>
      </c>
      <c r="AE479" s="539" t="str">
        <f t="shared" si="179"/>
        <v/>
      </c>
      <c r="AF479" s="546" t="str">
        <f t="shared" si="180"/>
        <v/>
      </c>
      <c r="AG479" s="539" t="str">
        <f t="shared" si="181"/>
        <v/>
      </c>
      <c r="AH479" s="32">
        <f t="shared" si="183"/>
        <v>0</v>
      </c>
      <c r="AI479" s="32">
        <f t="shared" si="184"/>
        <v>0</v>
      </c>
      <c r="AJ479" s="32">
        <f t="shared" si="185"/>
        <v>0</v>
      </c>
      <c r="AK479" t="str">
        <f t="shared" si="186"/>
        <v/>
      </c>
      <c r="AL479" t="str">
        <f t="shared" si="187"/>
        <v/>
      </c>
      <c r="AM479" t="str">
        <f t="shared" si="188"/>
        <v/>
      </c>
      <c r="AO479" t="str">
        <f>IFERROR(VLOOKUP(M479,'Fixture Identities'!$B$9:$O$1045,14,FALSE),"")</f>
        <v/>
      </c>
      <c r="AP479" t="str">
        <f t="shared" si="182"/>
        <v/>
      </c>
    </row>
    <row r="480" spans="1:42">
      <c r="A480" s="71">
        <f t="shared" si="190"/>
        <v>0</v>
      </c>
      <c r="B480" s="513">
        <f t="shared" si="189"/>
        <v>468</v>
      </c>
      <c r="C480" s="530" t="str">
        <f>IF(Inventory!E477="","",Inventory!E477)</f>
        <v/>
      </c>
      <c r="D480" s="531">
        <f>IF(Inventory!D477="",0,Inventory!D477)</f>
        <v>0</v>
      </c>
      <c r="E480" s="532" t="str">
        <f>IF(Inventory!I477=0,"",Inventory!I477)</f>
        <v/>
      </c>
      <c r="F480" s="533" t="str">
        <f t="shared" si="169"/>
        <v/>
      </c>
      <c r="G480" s="534" t="str">
        <f>IF(Inventory!G477="","",Inventory!G477)</f>
        <v/>
      </c>
      <c r="H480" s="535" t="str">
        <f t="shared" si="170"/>
        <v/>
      </c>
      <c r="I480" s="536" t="str">
        <f>IF(Inventory!J477="","",Inventory!J477)</f>
        <v/>
      </c>
      <c r="J480" s="537" t="str">
        <f>IFERROR(IF(PRJ_Type="New Construction",IF(Inventory!C477="N",INDEX(xyLPD_BuildingArea,MATCH(Building_Type,Lookups!$F$37:$F$75,0),4),INDEX(xyLPD_SpaceBySpace,MATCH(INDEX(xyNCEx,MATCH(I480,yNCExArea,0),2),ySpace_by_Space_Type,0),2)),VLOOKUP(E480,xyWattage_Table,11,FALSE)),"")</f>
        <v/>
      </c>
      <c r="K480" s="538" t="str">
        <f>IFERROR(IF(AND(NC_Type="Building Area Method",Inventory!C477="N"),IF(ISERROR(INDEX('Usage Groups (&gt;120 MWh only)'!$N$8:$N$12,MATCH(C480,'Usage Groups (&gt;120 MWh only)'!$B$8:$B$12,0),1))=TRUE,SqFt/COUNTIFS(Inventory!$C$10:$C$1009,"N",$Q$13:$Q$1012,"&gt;=0"),INDEX('Usage Groups (&gt;120 MWh only)'!$N$8:$N$12,MATCH(C480,'Usage Groups (&gt;120 MWh only)'!$B$8:$B$12,0),1)/COUNTIF($C$13:$C$1012,C480)),IF(AND(NC_Type="Building Area Method",Inventory!C477="Y"),INDEX(xyNCEx,MATCH(I480,yNCExArea,0),3)/COUNTIF($I$13:$I$1012,I480),VLOOKUP(J480,xyWattage_Table,10,FALSE))),"")</f>
        <v/>
      </c>
      <c r="L480" s="539" t="str">
        <f t="shared" si="171"/>
        <v/>
      </c>
      <c r="M480" s="540">
        <f>IF(Inventory!N477="","",Inventory!N477)</f>
        <v>0</v>
      </c>
      <c r="N480" s="533" t="str">
        <f t="shared" si="172"/>
        <v/>
      </c>
      <c r="O480" s="534"/>
      <c r="P480" s="533" t="str">
        <f t="shared" si="173"/>
        <v/>
      </c>
      <c r="Q480" s="534" t="str">
        <f>IF(Inventory!L477="","",Inventory!L477)</f>
        <v/>
      </c>
      <c r="R480" s="535" t="str">
        <f t="shared" si="174"/>
        <v/>
      </c>
      <c r="S480" s="536" t="str">
        <f>IF(Inventory!O477="","",Inventory!O477)</f>
        <v/>
      </c>
      <c r="T480" s="541" t="str">
        <f>IFERROR(IF(C480="","",IF(INDEX(xyWattage_Table,MATCH(M480,'Fixture Identities'!$B$9:$B$997,0),2)="Exit Sign",8760,IF(VLOOKUP(C480,xySpace_Type_Details,8,FALSE)="TRM",INDEX('General Information'!$AF$17:$AG$28,11,MATCH(N480,'General Information'!$AF$16:$AG$16,0)),HLOOKUP(VLOOKUP(C480,xySpace_Type_Details,8,FALSE),'General Information'!$P$15:$AG$28,13,FALSE)))),"")</f>
        <v/>
      </c>
      <c r="U480" s="542" t="str">
        <f>IFERROR(IF(C480="","",IF(INDEX(xyWattage_Table,MATCH(M480,'Fixture Identities'!$B$9:$B$997,0),2)="Exit Sign",1,IF(VLOOKUP(C480,xySpace_Type_Details,8,FALSE)="TRM",INDEX('General Information'!$AF$17:$AG$28,12,MATCH(N480,'General Information'!$AF$16:$AG$16,0)),HLOOKUP(VLOOKUP(C480,xySpace_Type_Details,8,FALSE),'General Information'!$P$15:$AG$28,14,FALSE)))),"")</f>
        <v/>
      </c>
      <c r="V480" s="542" t="str">
        <f>IFERROR(VLOOKUP(INDEX(xySpace_Type_Details,MATCH($C480,'General Information'!$C$40:$C$60,0),12),Lookups!$L$8:$N$12,2,FALSE),"")</f>
        <v/>
      </c>
      <c r="W480" s="542" t="str">
        <f>IFERROR(VLOOKUP(INDEX(xySpace_Type_Details,MATCH($C480,'General Information'!$C$40:$C$60,0),12),Lookups!$L$8:$N$12,3,FALSE),"")</f>
        <v/>
      </c>
      <c r="Y480" s="542" t="str">
        <f>IFERROR(IF(C480="","",IF(INDEX(xyWattage_Table,MATCH(M480,'Fixture Identities'!$B$9:$B$997,0),2)="Exit Sign",0,IF(PRJ_Type="Retrofit",VLOOKUP(I480,xySVG_Factors,2,FALSE),IF(AND(PRJ_Type="New Construction",Inventory!C477="N"),VLOOKUP(VLOOKUP(Building_Type,xyLPD_BuildingArea,5,FALSE),xySVG_Factors_NC,3,FALSE),0)))),"")</f>
        <v/>
      </c>
      <c r="Z480" s="544" t="str">
        <f>IFERROR(IF(C480="","",IF(INDEX(xyWattage_Table,MATCH(M480,'Fixture Identities'!$B$9:$B$997,0),2)="Exit Sign",0,VLOOKUP(S480,xySVG_Factors,2,FALSE))),"")</f>
        <v/>
      </c>
      <c r="AA480" s="545" t="str">
        <f t="shared" si="175"/>
        <v/>
      </c>
      <c r="AB480" s="542" t="str">
        <f t="shared" si="176"/>
        <v/>
      </c>
      <c r="AC480" s="539" t="str">
        <f t="shared" si="177"/>
        <v/>
      </c>
      <c r="AD480" s="546" t="str">
        <f t="shared" si="178"/>
        <v/>
      </c>
      <c r="AE480" s="539" t="str">
        <f t="shared" si="179"/>
        <v/>
      </c>
      <c r="AF480" s="546" t="str">
        <f t="shared" si="180"/>
        <v/>
      </c>
      <c r="AG480" s="539" t="str">
        <f t="shared" si="181"/>
        <v/>
      </c>
      <c r="AH480" s="32">
        <f t="shared" si="183"/>
        <v>0</v>
      </c>
      <c r="AI480" s="32">
        <f t="shared" si="184"/>
        <v>0</v>
      </c>
      <c r="AJ480" s="32">
        <f t="shared" si="185"/>
        <v>0</v>
      </c>
      <c r="AK480" t="str">
        <f t="shared" si="186"/>
        <v/>
      </c>
      <c r="AL480" t="str">
        <f t="shared" si="187"/>
        <v/>
      </c>
      <c r="AM480" t="str">
        <f t="shared" si="188"/>
        <v/>
      </c>
      <c r="AO480" t="str">
        <f>IFERROR(VLOOKUP(M480,'Fixture Identities'!$B$9:$O$1045,14,FALSE),"")</f>
        <v/>
      </c>
      <c r="AP480" t="str">
        <f t="shared" si="182"/>
        <v/>
      </c>
    </row>
    <row r="481" spans="1:42">
      <c r="A481" s="71">
        <f t="shared" si="190"/>
        <v>0</v>
      </c>
      <c r="B481" s="513">
        <f t="shared" si="189"/>
        <v>469</v>
      </c>
      <c r="C481" s="530" t="str">
        <f>IF(Inventory!E478="","",Inventory!E478)</f>
        <v/>
      </c>
      <c r="D481" s="531">
        <f>IF(Inventory!D478="",0,Inventory!D478)</f>
        <v>0</v>
      </c>
      <c r="E481" s="532" t="str">
        <f>IF(Inventory!I478=0,"",Inventory!I478)</f>
        <v/>
      </c>
      <c r="F481" s="533" t="str">
        <f t="shared" si="169"/>
        <v/>
      </c>
      <c r="G481" s="534" t="str">
        <f>IF(Inventory!G478="","",Inventory!G478)</f>
        <v/>
      </c>
      <c r="H481" s="535" t="str">
        <f t="shared" si="170"/>
        <v/>
      </c>
      <c r="I481" s="536" t="str">
        <f>IF(Inventory!J478="","",Inventory!J478)</f>
        <v/>
      </c>
      <c r="J481" s="537" t="str">
        <f>IFERROR(IF(PRJ_Type="New Construction",IF(Inventory!C478="N",INDEX(xyLPD_BuildingArea,MATCH(Building_Type,Lookups!$F$37:$F$75,0),4),INDEX(xyLPD_SpaceBySpace,MATCH(INDEX(xyNCEx,MATCH(I481,yNCExArea,0),2),ySpace_by_Space_Type,0),2)),VLOOKUP(E481,xyWattage_Table,11,FALSE)),"")</f>
        <v/>
      </c>
      <c r="K481" s="538" t="str">
        <f>IFERROR(IF(AND(NC_Type="Building Area Method",Inventory!C478="N"),IF(ISERROR(INDEX('Usage Groups (&gt;120 MWh only)'!$N$8:$N$12,MATCH(C481,'Usage Groups (&gt;120 MWh only)'!$B$8:$B$12,0),1))=TRUE,SqFt/COUNTIFS(Inventory!$C$10:$C$1009,"N",$Q$13:$Q$1012,"&gt;=0"),INDEX('Usage Groups (&gt;120 MWh only)'!$N$8:$N$12,MATCH(C481,'Usage Groups (&gt;120 MWh only)'!$B$8:$B$12,0),1)/COUNTIF($C$13:$C$1012,C481)),IF(AND(NC_Type="Building Area Method",Inventory!C478="Y"),INDEX(xyNCEx,MATCH(I481,yNCExArea,0),3)/COUNTIF($I$13:$I$1012,I481),VLOOKUP(J481,xyWattage_Table,10,FALSE))),"")</f>
        <v/>
      </c>
      <c r="L481" s="539" t="str">
        <f t="shared" si="171"/>
        <v/>
      </c>
      <c r="M481" s="540">
        <f>IF(Inventory!N478="","",Inventory!N478)</f>
        <v>0</v>
      </c>
      <c r="N481" s="533" t="str">
        <f t="shared" si="172"/>
        <v/>
      </c>
      <c r="O481" s="534"/>
      <c r="P481" s="533" t="str">
        <f t="shared" si="173"/>
        <v/>
      </c>
      <c r="Q481" s="534" t="str">
        <f>IF(Inventory!L478="","",Inventory!L478)</f>
        <v/>
      </c>
      <c r="R481" s="535" t="str">
        <f t="shared" si="174"/>
        <v/>
      </c>
      <c r="S481" s="536" t="str">
        <f>IF(Inventory!O478="","",Inventory!O478)</f>
        <v/>
      </c>
      <c r="T481" s="541" t="str">
        <f>IFERROR(IF(C481="","",IF(INDEX(xyWattage_Table,MATCH(M481,'Fixture Identities'!$B$9:$B$997,0),2)="Exit Sign",8760,IF(VLOOKUP(C481,xySpace_Type_Details,8,FALSE)="TRM",INDEX('General Information'!$AF$17:$AG$28,11,MATCH(N481,'General Information'!$AF$16:$AG$16,0)),HLOOKUP(VLOOKUP(C481,xySpace_Type_Details,8,FALSE),'General Information'!$P$15:$AG$28,13,FALSE)))),"")</f>
        <v/>
      </c>
      <c r="U481" s="542" t="str">
        <f>IFERROR(IF(C481="","",IF(INDEX(xyWattage_Table,MATCH(M481,'Fixture Identities'!$B$9:$B$997,0),2)="Exit Sign",1,IF(VLOOKUP(C481,xySpace_Type_Details,8,FALSE)="TRM",INDEX('General Information'!$AF$17:$AG$28,12,MATCH(N481,'General Information'!$AF$16:$AG$16,0)),HLOOKUP(VLOOKUP(C481,xySpace_Type_Details,8,FALSE),'General Information'!$P$15:$AG$28,14,FALSE)))),"")</f>
        <v/>
      </c>
      <c r="V481" s="542" t="str">
        <f>IFERROR(VLOOKUP(INDEX(xySpace_Type_Details,MATCH($C481,'General Information'!$C$40:$C$60,0),12),Lookups!$L$8:$N$12,2,FALSE),"")</f>
        <v/>
      </c>
      <c r="W481" s="542" t="str">
        <f>IFERROR(VLOOKUP(INDEX(xySpace_Type_Details,MATCH($C481,'General Information'!$C$40:$C$60,0),12),Lookups!$L$8:$N$12,3,FALSE),"")</f>
        <v/>
      </c>
      <c r="Y481" s="542" t="str">
        <f>IFERROR(IF(C481="","",IF(INDEX(xyWattage_Table,MATCH(M481,'Fixture Identities'!$B$9:$B$997,0),2)="Exit Sign",0,IF(PRJ_Type="Retrofit",VLOOKUP(I481,xySVG_Factors,2,FALSE),IF(AND(PRJ_Type="New Construction",Inventory!C478="N"),VLOOKUP(VLOOKUP(Building_Type,xyLPD_BuildingArea,5,FALSE),xySVG_Factors_NC,3,FALSE),0)))),"")</f>
        <v/>
      </c>
      <c r="Z481" s="544" t="str">
        <f>IFERROR(IF(C481="","",IF(INDEX(xyWattage_Table,MATCH(M481,'Fixture Identities'!$B$9:$B$997,0),2)="Exit Sign",0,VLOOKUP(S481,xySVG_Factors,2,FALSE))),"")</f>
        <v/>
      </c>
      <c r="AA481" s="545" t="str">
        <f t="shared" si="175"/>
        <v/>
      </c>
      <c r="AB481" s="542" t="str">
        <f t="shared" si="176"/>
        <v/>
      </c>
      <c r="AC481" s="539" t="str">
        <f t="shared" si="177"/>
        <v/>
      </c>
      <c r="AD481" s="546" t="str">
        <f t="shared" si="178"/>
        <v/>
      </c>
      <c r="AE481" s="539" t="str">
        <f t="shared" si="179"/>
        <v/>
      </c>
      <c r="AF481" s="546" t="str">
        <f t="shared" si="180"/>
        <v/>
      </c>
      <c r="AG481" s="539" t="str">
        <f t="shared" si="181"/>
        <v/>
      </c>
      <c r="AH481" s="32">
        <f t="shared" si="183"/>
        <v>0</v>
      </c>
      <c r="AI481" s="32">
        <f t="shared" si="184"/>
        <v>0</v>
      </c>
      <c r="AJ481" s="32">
        <f t="shared" si="185"/>
        <v>0</v>
      </c>
      <c r="AK481" t="str">
        <f t="shared" si="186"/>
        <v/>
      </c>
      <c r="AL481" t="str">
        <f t="shared" si="187"/>
        <v/>
      </c>
      <c r="AM481" t="str">
        <f t="shared" si="188"/>
        <v/>
      </c>
      <c r="AO481" t="str">
        <f>IFERROR(VLOOKUP(M481,'Fixture Identities'!$B$9:$O$1045,14,FALSE),"")</f>
        <v/>
      </c>
      <c r="AP481" t="str">
        <f t="shared" si="182"/>
        <v/>
      </c>
    </row>
    <row r="482" spans="1:42">
      <c r="A482" s="71">
        <f t="shared" si="190"/>
        <v>0</v>
      </c>
      <c r="B482" s="513">
        <f t="shared" si="189"/>
        <v>470</v>
      </c>
      <c r="C482" s="530" t="str">
        <f>IF(Inventory!E479="","",Inventory!E479)</f>
        <v/>
      </c>
      <c r="D482" s="531">
        <f>IF(Inventory!D479="",0,Inventory!D479)</f>
        <v>0</v>
      </c>
      <c r="E482" s="532" t="str">
        <f>IF(Inventory!I479=0,"",Inventory!I479)</f>
        <v/>
      </c>
      <c r="F482" s="533" t="str">
        <f t="shared" si="169"/>
        <v/>
      </c>
      <c r="G482" s="534" t="str">
        <f>IF(Inventory!G479="","",Inventory!G479)</f>
        <v/>
      </c>
      <c r="H482" s="535" t="str">
        <f t="shared" si="170"/>
        <v/>
      </c>
      <c r="I482" s="536" t="str">
        <f>IF(Inventory!J479="","",Inventory!J479)</f>
        <v/>
      </c>
      <c r="J482" s="537" t="str">
        <f>IFERROR(IF(PRJ_Type="New Construction",IF(Inventory!C479="N",INDEX(xyLPD_BuildingArea,MATCH(Building_Type,Lookups!$F$37:$F$75,0),4),INDEX(xyLPD_SpaceBySpace,MATCH(INDEX(xyNCEx,MATCH(I482,yNCExArea,0),2),ySpace_by_Space_Type,0),2)),VLOOKUP(E482,xyWattage_Table,11,FALSE)),"")</f>
        <v/>
      </c>
      <c r="K482" s="538" t="str">
        <f>IFERROR(IF(AND(NC_Type="Building Area Method",Inventory!C479="N"),IF(ISERROR(INDEX('Usage Groups (&gt;120 MWh only)'!$N$8:$N$12,MATCH(C482,'Usage Groups (&gt;120 MWh only)'!$B$8:$B$12,0),1))=TRUE,SqFt/COUNTIFS(Inventory!$C$10:$C$1009,"N",$Q$13:$Q$1012,"&gt;=0"),INDEX('Usage Groups (&gt;120 MWh only)'!$N$8:$N$12,MATCH(C482,'Usage Groups (&gt;120 MWh only)'!$B$8:$B$12,0),1)/COUNTIF($C$13:$C$1012,C482)),IF(AND(NC_Type="Building Area Method",Inventory!C479="Y"),INDEX(xyNCEx,MATCH(I482,yNCExArea,0),3)/COUNTIF($I$13:$I$1012,I482),VLOOKUP(J482,xyWattage_Table,10,FALSE))),"")</f>
        <v/>
      </c>
      <c r="L482" s="539" t="str">
        <f t="shared" si="171"/>
        <v/>
      </c>
      <c r="M482" s="540">
        <f>IF(Inventory!N479="","",Inventory!N479)</f>
        <v>0</v>
      </c>
      <c r="N482" s="533" t="str">
        <f t="shared" si="172"/>
        <v/>
      </c>
      <c r="O482" s="534"/>
      <c r="P482" s="533" t="str">
        <f t="shared" si="173"/>
        <v/>
      </c>
      <c r="Q482" s="534" t="str">
        <f>IF(Inventory!L479="","",Inventory!L479)</f>
        <v/>
      </c>
      <c r="R482" s="535" t="str">
        <f t="shared" si="174"/>
        <v/>
      </c>
      <c r="S482" s="536" t="str">
        <f>IF(Inventory!O479="","",Inventory!O479)</f>
        <v/>
      </c>
      <c r="T482" s="541" t="str">
        <f>IFERROR(IF(C482="","",IF(INDEX(xyWattage_Table,MATCH(M482,'Fixture Identities'!$B$9:$B$997,0),2)="Exit Sign",8760,IF(VLOOKUP(C482,xySpace_Type_Details,8,FALSE)="TRM",INDEX('General Information'!$AF$17:$AG$28,11,MATCH(N482,'General Information'!$AF$16:$AG$16,0)),HLOOKUP(VLOOKUP(C482,xySpace_Type_Details,8,FALSE),'General Information'!$P$15:$AG$28,13,FALSE)))),"")</f>
        <v/>
      </c>
      <c r="U482" s="542" t="str">
        <f>IFERROR(IF(C482="","",IF(INDEX(xyWattage_Table,MATCH(M482,'Fixture Identities'!$B$9:$B$997,0),2)="Exit Sign",1,IF(VLOOKUP(C482,xySpace_Type_Details,8,FALSE)="TRM",INDEX('General Information'!$AF$17:$AG$28,12,MATCH(N482,'General Information'!$AF$16:$AG$16,0)),HLOOKUP(VLOOKUP(C482,xySpace_Type_Details,8,FALSE),'General Information'!$P$15:$AG$28,14,FALSE)))),"")</f>
        <v/>
      </c>
      <c r="V482" s="542" t="str">
        <f>IFERROR(VLOOKUP(INDEX(xySpace_Type_Details,MATCH($C482,'General Information'!$C$40:$C$60,0),12),Lookups!$L$8:$N$12,2,FALSE),"")</f>
        <v/>
      </c>
      <c r="W482" s="542" t="str">
        <f>IFERROR(VLOOKUP(INDEX(xySpace_Type_Details,MATCH($C482,'General Information'!$C$40:$C$60,0),12),Lookups!$L$8:$N$12,3,FALSE),"")</f>
        <v/>
      </c>
      <c r="Y482" s="542" t="str">
        <f>IFERROR(IF(C482="","",IF(INDEX(xyWattage_Table,MATCH(M482,'Fixture Identities'!$B$9:$B$997,0),2)="Exit Sign",0,IF(PRJ_Type="Retrofit",VLOOKUP(I482,xySVG_Factors,2,FALSE),IF(AND(PRJ_Type="New Construction",Inventory!C479="N"),VLOOKUP(VLOOKUP(Building_Type,xyLPD_BuildingArea,5,FALSE),xySVG_Factors_NC,3,FALSE),0)))),"")</f>
        <v/>
      </c>
      <c r="Z482" s="544" t="str">
        <f>IFERROR(IF(C482="","",IF(INDEX(xyWattage_Table,MATCH(M482,'Fixture Identities'!$B$9:$B$997,0),2)="Exit Sign",0,VLOOKUP(S482,xySVG_Factors,2,FALSE))),"")</f>
        <v/>
      </c>
      <c r="AA482" s="545" t="str">
        <f t="shared" si="175"/>
        <v/>
      </c>
      <c r="AB482" s="542" t="str">
        <f t="shared" si="176"/>
        <v/>
      </c>
      <c r="AC482" s="539" t="str">
        <f t="shared" si="177"/>
        <v/>
      </c>
      <c r="AD482" s="546" t="str">
        <f t="shared" si="178"/>
        <v/>
      </c>
      <c r="AE482" s="539" t="str">
        <f t="shared" si="179"/>
        <v/>
      </c>
      <c r="AF482" s="546" t="str">
        <f t="shared" si="180"/>
        <v/>
      </c>
      <c r="AG482" s="539" t="str">
        <f t="shared" si="181"/>
        <v/>
      </c>
      <c r="AH482" s="32">
        <f t="shared" si="183"/>
        <v>0</v>
      </c>
      <c r="AI482" s="32">
        <f t="shared" si="184"/>
        <v>0</v>
      </c>
      <c r="AJ482" s="32">
        <f t="shared" si="185"/>
        <v>0</v>
      </c>
      <c r="AK482" t="str">
        <f t="shared" si="186"/>
        <v/>
      </c>
      <c r="AL482" t="str">
        <f t="shared" si="187"/>
        <v/>
      </c>
      <c r="AM482" t="str">
        <f t="shared" si="188"/>
        <v/>
      </c>
      <c r="AO482" t="str">
        <f>IFERROR(VLOOKUP(M482,'Fixture Identities'!$B$9:$O$1045,14,FALSE),"")</f>
        <v/>
      </c>
      <c r="AP482" t="str">
        <f t="shared" si="182"/>
        <v/>
      </c>
    </row>
    <row r="483" spans="1:42">
      <c r="A483" s="71">
        <f t="shared" si="190"/>
        <v>0</v>
      </c>
      <c r="B483" s="513">
        <f t="shared" si="189"/>
        <v>471</v>
      </c>
      <c r="C483" s="530" t="str">
        <f>IF(Inventory!E480="","",Inventory!E480)</f>
        <v/>
      </c>
      <c r="D483" s="531">
        <f>IF(Inventory!D480="",0,Inventory!D480)</f>
        <v>0</v>
      </c>
      <c r="E483" s="532" t="str">
        <f>IF(Inventory!I480=0,"",Inventory!I480)</f>
        <v/>
      </c>
      <c r="F483" s="533" t="str">
        <f t="shared" si="169"/>
        <v/>
      </c>
      <c r="G483" s="534" t="str">
        <f>IF(Inventory!G480="","",Inventory!G480)</f>
        <v/>
      </c>
      <c r="H483" s="535" t="str">
        <f t="shared" si="170"/>
        <v/>
      </c>
      <c r="I483" s="536" t="str">
        <f>IF(Inventory!J480="","",Inventory!J480)</f>
        <v/>
      </c>
      <c r="J483" s="537" t="str">
        <f>IFERROR(IF(PRJ_Type="New Construction",IF(Inventory!C480="N",INDEX(xyLPD_BuildingArea,MATCH(Building_Type,Lookups!$F$37:$F$75,0),4),INDEX(xyLPD_SpaceBySpace,MATCH(INDEX(xyNCEx,MATCH(I483,yNCExArea,0),2),ySpace_by_Space_Type,0),2)),VLOOKUP(E483,xyWattage_Table,11,FALSE)),"")</f>
        <v/>
      </c>
      <c r="K483" s="538" t="str">
        <f>IFERROR(IF(AND(NC_Type="Building Area Method",Inventory!C480="N"),IF(ISERROR(INDEX('Usage Groups (&gt;120 MWh only)'!$N$8:$N$12,MATCH(C483,'Usage Groups (&gt;120 MWh only)'!$B$8:$B$12,0),1))=TRUE,SqFt/COUNTIFS(Inventory!$C$10:$C$1009,"N",$Q$13:$Q$1012,"&gt;=0"),INDEX('Usage Groups (&gt;120 MWh only)'!$N$8:$N$12,MATCH(C483,'Usage Groups (&gt;120 MWh only)'!$B$8:$B$12,0),1)/COUNTIF($C$13:$C$1012,C483)),IF(AND(NC_Type="Building Area Method",Inventory!C480="Y"),INDEX(xyNCEx,MATCH(I483,yNCExArea,0),3)/COUNTIF($I$13:$I$1012,I483),VLOOKUP(J483,xyWattage_Table,10,FALSE))),"")</f>
        <v/>
      </c>
      <c r="L483" s="539" t="str">
        <f t="shared" si="171"/>
        <v/>
      </c>
      <c r="M483" s="540">
        <f>IF(Inventory!N480="","",Inventory!N480)</f>
        <v>0</v>
      </c>
      <c r="N483" s="533" t="str">
        <f t="shared" si="172"/>
        <v/>
      </c>
      <c r="O483" s="534"/>
      <c r="P483" s="533" t="str">
        <f t="shared" si="173"/>
        <v/>
      </c>
      <c r="Q483" s="534" t="str">
        <f>IF(Inventory!L480="","",Inventory!L480)</f>
        <v/>
      </c>
      <c r="R483" s="535" t="str">
        <f t="shared" si="174"/>
        <v/>
      </c>
      <c r="S483" s="536" t="str">
        <f>IF(Inventory!O480="","",Inventory!O480)</f>
        <v/>
      </c>
      <c r="T483" s="541" t="str">
        <f>IFERROR(IF(C483="","",IF(INDEX(xyWattage_Table,MATCH(M483,'Fixture Identities'!$B$9:$B$997,0),2)="Exit Sign",8760,IF(VLOOKUP(C483,xySpace_Type_Details,8,FALSE)="TRM",INDEX('General Information'!$AF$17:$AG$28,11,MATCH(N483,'General Information'!$AF$16:$AG$16,0)),HLOOKUP(VLOOKUP(C483,xySpace_Type_Details,8,FALSE),'General Information'!$P$15:$AG$28,13,FALSE)))),"")</f>
        <v/>
      </c>
      <c r="U483" s="542" t="str">
        <f>IFERROR(IF(C483="","",IF(INDEX(xyWattage_Table,MATCH(M483,'Fixture Identities'!$B$9:$B$997,0),2)="Exit Sign",1,IF(VLOOKUP(C483,xySpace_Type_Details,8,FALSE)="TRM",INDEX('General Information'!$AF$17:$AG$28,12,MATCH(N483,'General Information'!$AF$16:$AG$16,0)),HLOOKUP(VLOOKUP(C483,xySpace_Type_Details,8,FALSE),'General Information'!$P$15:$AG$28,14,FALSE)))),"")</f>
        <v/>
      </c>
      <c r="V483" s="542" t="str">
        <f>IFERROR(VLOOKUP(INDEX(xySpace_Type_Details,MATCH($C483,'General Information'!$C$40:$C$60,0),12),Lookups!$L$8:$N$12,2,FALSE),"")</f>
        <v/>
      </c>
      <c r="W483" s="542" t="str">
        <f>IFERROR(VLOOKUP(INDEX(xySpace_Type_Details,MATCH($C483,'General Information'!$C$40:$C$60,0),12),Lookups!$L$8:$N$12,3,FALSE),"")</f>
        <v/>
      </c>
      <c r="Y483" s="542" t="str">
        <f>IFERROR(IF(C483="","",IF(INDEX(xyWattage_Table,MATCH(M483,'Fixture Identities'!$B$9:$B$997,0),2)="Exit Sign",0,IF(PRJ_Type="Retrofit",VLOOKUP(I483,xySVG_Factors,2,FALSE),IF(AND(PRJ_Type="New Construction",Inventory!C480="N"),VLOOKUP(VLOOKUP(Building_Type,xyLPD_BuildingArea,5,FALSE),xySVG_Factors_NC,3,FALSE),0)))),"")</f>
        <v/>
      </c>
      <c r="Z483" s="544" t="str">
        <f>IFERROR(IF(C483="","",IF(INDEX(xyWattage_Table,MATCH(M483,'Fixture Identities'!$B$9:$B$997,0),2)="Exit Sign",0,VLOOKUP(S483,xySVG_Factors,2,FALSE))),"")</f>
        <v/>
      </c>
      <c r="AA483" s="545" t="str">
        <f t="shared" si="175"/>
        <v/>
      </c>
      <c r="AB483" s="542" t="str">
        <f t="shared" si="176"/>
        <v/>
      </c>
      <c r="AC483" s="539" t="str">
        <f t="shared" si="177"/>
        <v/>
      </c>
      <c r="AD483" s="546" t="str">
        <f t="shared" si="178"/>
        <v/>
      </c>
      <c r="AE483" s="539" t="str">
        <f t="shared" si="179"/>
        <v/>
      </c>
      <c r="AF483" s="546" t="str">
        <f t="shared" si="180"/>
        <v/>
      </c>
      <c r="AG483" s="539" t="str">
        <f t="shared" si="181"/>
        <v/>
      </c>
      <c r="AH483" s="32">
        <f t="shared" si="183"/>
        <v>0</v>
      </c>
      <c r="AI483" s="32">
        <f t="shared" si="184"/>
        <v>0</v>
      </c>
      <c r="AJ483" s="32">
        <f t="shared" si="185"/>
        <v>0</v>
      </c>
      <c r="AK483" t="str">
        <f t="shared" si="186"/>
        <v/>
      </c>
      <c r="AL483" t="str">
        <f t="shared" si="187"/>
        <v/>
      </c>
      <c r="AM483" t="str">
        <f t="shared" si="188"/>
        <v/>
      </c>
      <c r="AO483" t="str">
        <f>IFERROR(VLOOKUP(M483,'Fixture Identities'!$B$9:$O$1045,14,FALSE),"")</f>
        <v/>
      </c>
      <c r="AP483" t="str">
        <f t="shared" si="182"/>
        <v/>
      </c>
    </row>
    <row r="484" spans="1:42">
      <c r="A484" s="71">
        <f t="shared" si="190"/>
        <v>0</v>
      </c>
      <c r="B484" s="513">
        <f t="shared" si="189"/>
        <v>472</v>
      </c>
      <c r="C484" s="530" t="str">
        <f>IF(Inventory!E481="","",Inventory!E481)</f>
        <v/>
      </c>
      <c r="D484" s="531">
        <f>IF(Inventory!D481="",0,Inventory!D481)</f>
        <v>0</v>
      </c>
      <c r="E484" s="532" t="str">
        <f>IF(Inventory!I481=0,"",Inventory!I481)</f>
        <v/>
      </c>
      <c r="F484" s="533" t="str">
        <f t="shared" si="169"/>
        <v/>
      </c>
      <c r="G484" s="534" t="str">
        <f>IF(Inventory!G481="","",Inventory!G481)</f>
        <v/>
      </c>
      <c r="H484" s="535" t="str">
        <f t="shared" si="170"/>
        <v/>
      </c>
      <c r="I484" s="536" t="str">
        <f>IF(Inventory!J481="","",Inventory!J481)</f>
        <v/>
      </c>
      <c r="J484" s="537" t="str">
        <f>IFERROR(IF(PRJ_Type="New Construction",IF(Inventory!C481="N",INDEX(xyLPD_BuildingArea,MATCH(Building_Type,Lookups!$F$37:$F$75,0),4),INDEX(xyLPD_SpaceBySpace,MATCH(INDEX(xyNCEx,MATCH(I484,yNCExArea,0),2),ySpace_by_Space_Type,0),2)),VLOOKUP(E484,xyWattage_Table,11,FALSE)),"")</f>
        <v/>
      </c>
      <c r="K484" s="538" t="str">
        <f>IFERROR(IF(AND(NC_Type="Building Area Method",Inventory!C481="N"),IF(ISERROR(INDEX('Usage Groups (&gt;120 MWh only)'!$N$8:$N$12,MATCH(C484,'Usage Groups (&gt;120 MWh only)'!$B$8:$B$12,0),1))=TRUE,SqFt/COUNTIFS(Inventory!$C$10:$C$1009,"N",$Q$13:$Q$1012,"&gt;=0"),INDEX('Usage Groups (&gt;120 MWh only)'!$N$8:$N$12,MATCH(C484,'Usage Groups (&gt;120 MWh only)'!$B$8:$B$12,0),1)/COUNTIF($C$13:$C$1012,C484)),IF(AND(NC_Type="Building Area Method",Inventory!C481="Y"),INDEX(xyNCEx,MATCH(I484,yNCExArea,0),3)/COUNTIF($I$13:$I$1012,I484),VLOOKUP(J484,xyWattage_Table,10,FALSE))),"")</f>
        <v/>
      </c>
      <c r="L484" s="539" t="str">
        <f t="shared" si="171"/>
        <v/>
      </c>
      <c r="M484" s="540">
        <f>IF(Inventory!N481="","",Inventory!N481)</f>
        <v>0</v>
      </c>
      <c r="N484" s="533" t="str">
        <f t="shared" si="172"/>
        <v/>
      </c>
      <c r="O484" s="534"/>
      <c r="P484" s="533" t="str">
        <f t="shared" si="173"/>
        <v/>
      </c>
      <c r="Q484" s="534" t="str">
        <f>IF(Inventory!L481="","",Inventory!L481)</f>
        <v/>
      </c>
      <c r="R484" s="535" t="str">
        <f t="shared" si="174"/>
        <v/>
      </c>
      <c r="S484" s="536" t="str">
        <f>IF(Inventory!O481="","",Inventory!O481)</f>
        <v/>
      </c>
      <c r="T484" s="541" t="str">
        <f>IFERROR(IF(C484="","",IF(INDEX(xyWattage_Table,MATCH(M484,'Fixture Identities'!$B$9:$B$997,0),2)="Exit Sign",8760,IF(VLOOKUP(C484,xySpace_Type_Details,8,FALSE)="TRM",INDEX('General Information'!$AF$17:$AG$28,11,MATCH(N484,'General Information'!$AF$16:$AG$16,0)),HLOOKUP(VLOOKUP(C484,xySpace_Type_Details,8,FALSE),'General Information'!$P$15:$AG$28,13,FALSE)))),"")</f>
        <v/>
      </c>
      <c r="U484" s="542" t="str">
        <f>IFERROR(IF(C484="","",IF(INDEX(xyWattage_Table,MATCH(M484,'Fixture Identities'!$B$9:$B$997,0),2)="Exit Sign",1,IF(VLOOKUP(C484,xySpace_Type_Details,8,FALSE)="TRM",INDEX('General Information'!$AF$17:$AG$28,12,MATCH(N484,'General Information'!$AF$16:$AG$16,0)),HLOOKUP(VLOOKUP(C484,xySpace_Type_Details,8,FALSE),'General Information'!$P$15:$AG$28,14,FALSE)))),"")</f>
        <v/>
      </c>
      <c r="V484" s="542" t="str">
        <f>IFERROR(VLOOKUP(INDEX(xySpace_Type_Details,MATCH($C484,'General Information'!$C$40:$C$60,0),12),Lookups!$L$8:$N$12,2,FALSE),"")</f>
        <v/>
      </c>
      <c r="W484" s="542" t="str">
        <f>IFERROR(VLOOKUP(INDEX(xySpace_Type_Details,MATCH($C484,'General Information'!$C$40:$C$60,0),12),Lookups!$L$8:$N$12,3,FALSE),"")</f>
        <v/>
      </c>
      <c r="Y484" s="542" t="str">
        <f>IFERROR(IF(C484="","",IF(INDEX(xyWattage_Table,MATCH(M484,'Fixture Identities'!$B$9:$B$997,0),2)="Exit Sign",0,IF(PRJ_Type="Retrofit",VLOOKUP(I484,xySVG_Factors,2,FALSE),IF(AND(PRJ_Type="New Construction",Inventory!C481="N"),VLOOKUP(VLOOKUP(Building_Type,xyLPD_BuildingArea,5,FALSE),xySVG_Factors_NC,3,FALSE),0)))),"")</f>
        <v/>
      </c>
      <c r="Z484" s="544" t="str">
        <f>IFERROR(IF(C484="","",IF(INDEX(xyWattage_Table,MATCH(M484,'Fixture Identities'!$B$9:$B$997,0),2)="Exit Sign",0,VLOOKUP(S484,xySVG_Factors,2,FALSE))),"")</f>
        <v/>
      </c>
      <c r="AA484" s="545" t="str">
        <f t="shared" si="175"/>
        <v/>
      </c>
      <c r="AB484" s="542" t="str">
        <f t="shared" si="176"/>
        <v/>
      </c>
      <c r="AC484" s="539" t="str">
        <f t="shared" si="177"/>
        <v/>
      </c>
      <c r="AD484" s="546" t="str">
        <f t="shared" si="178"/>
        <v/>
      </c>
      <c r="AE484" s="539" t="str">
        <f t="shared" si="179"/>
        <v/>
      </c>
      <c r="AF484" s="546" t="str">
        <f t="shared" si="180"/>
        <v/>
      </c>
      <c r="AG484" s="539" t="str">
        <f t="shared" si="181"/>
        <v/>
      </c>
      <c r="AH484" s="32">
        <f t="shared" si="183"/>
        <v>0</v>
      </c>
      <c r="AI484" s="32">
        <f t="shared" si="184"/>
        <v>0</v>
      </c>
      <c r="AJ484" s="32">
        <f t="shared" si="185"/>
        <v>0</v>
      </c>
      <c r="AK484" t="str">
        <f t="shared" si="186"/>
        <v/>
      </c>
      <c r="AL484" t="str">
        <f t="shared" si="187"/>
        <v/>
      </c>
      <c r="AM484" t="str">
        <f t="shared" si="188"/>
        <v/>
      </c>
      <c r="AO484" t="str">
        <f>IFERROR(VLOOKUP(M484,'Fixture Identities'!$B$9:$O$1045,14,FALSE),"")</f>
        <v/>
      </c>
      <c r="AP484" t="str">
        <f t="shared" si="182"/>
        <v/>
      </c>
    </row>
    <row r="485" spans="1:42">
      <c r="A485" s="71">
        <f t="shared" si="190"/>
        <v>0</v>
      </c>
      <c r="B485" s="513">
        <f t="shared" si="189"/>
        <v>473</v>
      </c>
      <c r="C485" s="530" t="str">
        <f>IF(Inventory!E482="","",Inventory!E482)</f>
        <v/>
      </c>
      <c r="D485" s="531">
        <f>IF(Inventory!D482="",0,Inventory!D482)</f>
        <v>0</v>
      </c>
      <c r="E485" s="532" t="str">
        <f>IF(Inventory!I482=0,"",Inventory!I482)</f>
        <v/>
      </c>
      <c r="F485" s="533" t="str">
        <f t="shared" si="169"/>
        <v/>
      </c>
      <c r="G485" s="534" t="str">
        <f>IF(Inventory!G482="","",Inventory!G482)</f>
        <v/>
      </c>
      <c r="H485" s="535" t="str">
        <f t="shared" si="170"/>
        <v/>
      </c>
      <c r="I485" s="536" t="str">
        <f>IF(Inventory!J482="","",Inventory!J482)</f>
        <v/>
      </c>
      <c r="J485" s="537" t="str">
        <f>IFERROR(IF(PRJ_Type="New Construction",IF(Inventory!C482="N",INDEX(xyLPD_BuildingArea,MATCH(Building_Type,Lookups!$F$37:$F$75,0),4),INDEX(xyLPD_SpaceBySpace,MATCH(INDEX(xyNCEx,MATCH(I485,yNCExArea,0),2),ySpace_by_Space_Type,0),2)),VLOOKUP(E485,xyWattage_Table,11,FALSE)),"")</f>
        <v/>
      </c>
      <c r="K485" s="538" t="str">
        <f>IFERROR(IF(AND(NC_Type="Building Area Method",Inventory!C482="N"),IF(ISERROR(INDEX('Usage Groups (&gt;120 MWh only)'!$N$8:$N$12,MATCH(C485,'Usage Groups (&gt;120 MWh only)'!$B$8:$B$12,0),1))=TRUE,SqFt/COUNTIFS(Inventory!$C$10:$C$1009,"N",$Q$13:$Q$1012,"&gt;=0"),INDEX('Usage Groups (&gt;120 MWh only)'!$N$8:$N$12,MATCH(C485,'Usage Groups (&gt;120 MWh only)'!$B$8:$B$12,0),1)/COUNTIF($C$13:$C$1012,C485)),IF(AND(NC_Type="Building Area Method",Inventory!C482="Y"),INDEX(xyNCEx,MATCH(I485,yNCExArea,0),3)/COUNTIF($I$13:$I$1012,I485),VLOOKUP(J485,xyWattage_Table,10,FALSE))),"")</f>
        <v/>
      </c>
      <c r="L485" s="539" t="str">
        <f t="shared" si="171"/>
        <v/>
      </c>
      <c r="M485" s="540">
        <f>IF(Inventory!N482="","",Inventory!N482)</f>
        <v>0</v>
      </c>
      <c r="N485" s="533" t="str">
        <f t="shared" si="172"/>
        <v/>
      </c>
      <c r="O485" s="534"/>
      <c r="P485" s="533" t="str">
        <f t="shared" si="173"/>
        <v/>
      </c>
      <c r="Q485" s="534" t="str">
        <f>IF(Inventory!L482="","",Inventory!L482)</f>
        <v/>
      </c>
      <c r="R485" s="535" t="str">
        <f t="shared" si="174"/>
        <v/>
      </c>
      <c r="S485" s="536" t="str">
        <f>IF(Inventory!O482="","",Inventory!O482)</f>
        <v/>
      </c>
      <c r="T485" s="541" t="str">
        <f>IFERROR(IF(C485="","",IF(INDEX(xyWattage_Table,MATCH(M485,'Fixture Identities'!$B$9:$B$997,0),2)="Exit Sign",8760,IF(VLOOKUP(C485,xySpace_Type_Details,8,FALSE)="TRM",INDEX('General Information'!$AF$17:$AG$28,11,MATCH(N485,'General Information'!$AF$16:$AG$16,0)),HLOOKUP(VLOOKUP(C485,xySpace_Type_Details,8,FALSE),'General Information'!$P$15:$AG$28,13,FALSE)))),"")</f>
        <v/>
      </c>
      <c r="U485" s="542" t="str">
        <f>IFERROR(IF(C485="","",IF(INDEX(xyWattage_Table,MATCH(M485,'Fixture Identities'!$B$9:$B$997,0),2)="Exit Sign",1,IF(VLOOKUP(C485,xySpace_Type_Details,8,FALSE)="TRM",INDEX('General Information'!$AF$17:$AG$28,12,MATCH(N485,'General Information'!$AF$16:$AG$16,0)),HLOOKUP(VLOOKUP(C485,xySpace_Type_Details,8,FALSE),'General Information'!$P$15:$AG$28,14,FALSE)))),"")</f>
        <v/>
      </c>
      <c r="V485" s="542" t="str">
        <f>IFERROR(VLOOKUP(INDEX(xySpace_Type_Details,MATCH($C485,'General Information'!$C$40:$C$60,0),12),Lookups!$L$8:$N$12,2,FALSE),"")</f>
        <v/>
      </c>
      <c r="W485" s="542" t="str">
        <f>IFERROR(VLOOKUP(INDEX(xySpace_Type_Details,MATCH($C485,'General Information'!$C$40:$C$60,0),12),Lookups!$L$8:$N$12,3,FALSE),"")</f>
        <v/>
      </c>
      <c r="Y485" s="542" t="str">
        <f>IFERROR(IF(C485="","",IF(INDEX(xyWattage_Table,MATCH(M485,'Fixture Identities'!$B$9:$B$997,0),2)="Exit Sign",0,IF(PRJ_Type="Retrofit",VLOOKUP(I485,xySVG_Factors,2,FALSE),IF(AND(PRJ_Type="New Construction",Inventory!C482="N"),VLOOKUP(VLOOKUP(Building_Type,xyLPD_BuildingArea,5,FALSE),xySVG_Factors_NC,3,FALSE),0)))),"")</f>
        <v/>
      </c>
      <c r="Z485" s="544" t="str">
        <f>IFERROR(IF(C485="","",IF(INDEX(xyWattage_Table,MATCH(M485,'Fixture Identities'!$B$9:$B$997,0),2)="Exit Sign",0,VLOOKUP(S485,xySVG_Factors,2,FALSE))),"")</f>
        <v/>
      </c>
      <c r="AA485" s="545" t="str">
        <f t="shared" si="175"/>
        <v/>
      </c>
      <c r="AB485" s="542" t="str">
        <f t="shared" si="176"/>
        <v/>
      </c>
      <c r="AC485" s="539" t="str">
        <f t="shared" si="177"/>
        <v/>
      </c>
      <c r="AD485" s="546" t="str">
        <f t="shared" si="178"/>
        <v/>
      </c>
      <c r="AE485" s="539" t="str">
        <f t="shared" si="179"/>
        <v/>
      </c>
      <c r="AF485" s="546" t="str">
        <f t="shared" si="180"/>
        <v/>
      </c>
      <c r="AG485" s="539" t="str">
        <f t="shared" si="181"/>
        <v/>
      </c>
      <c r="AH485" s="32">
        <f t="shared" si="183"/>
        <v>0</v>
      </c>
      <c r="AI485" s="32">
        <f t="shared" si="184"/>
        <v>0</v>
      </c>
      <c r="AJ485" s="32">
        <f t="shared" si="185"/>
        <v>0</v>
      </c>
      <c r="AK485" t="str">
        <f t="shared" si="186"/>
        <v/>
      </c>
      <c r="AL485" t="str">
        <f t="shared" si="187"/>
        <v/>
      </c>
      <c r="AM485" t="str">
        <f t="shared" si="188"/>
        <v/>
      </c>
      <c r="AO485" t="str">
        <f>IFERROR(VLOOKUP(M485,'Fixture Identities'!$B$9:$O$1045,14,FALSE),"")</f>
        <v/>
      </c>
      <c r="AP485" t="str">
        <f t="shared" si="182"/>
        <v/>
      </c>
    </row>
    <row r="486" spans="1:42">
      <c r="A486" s="71">
        <f t="shared" si="190"/>
        <v>0</v>
      </c>
      <c r="B486" s="513">
        <f t="shared" si="189"/>
        <v>474</v>
      </c>
      <c r="C486" s="530" t="str">
        <f>IF(Inventory!E483="","",Inventory!E483)</f>
        <v/>
      </c>
      <c r="D486" s="531">
        <f>IF(Inventory!D483="",0,Inventory!D483)</f>
        <v>0</v>
      </c>
      <c r="E486" s="532" t="str">
        <f>IF(Inventory!I483=0,"",Inventory!I483)</f>
        <v/>
      </c>
      <c r="F486" s="533" t="str">
        <f t="shared" si="169"/>
        <v/>
      </c>
      <c r="G486" s="534" t="str">
        <f>IF(Inventory!G483="","",Inventory!G483)</f>
        <v/>
      </c>
      <c r="H486" s="535" t="str">
        <f t="shared" si="170"/>
        <v/>
      </c>
      <c r="I486" s="536" t="str">
        <f>IF(Inventory!J483="","",Inventory!J483)</f>
        <v/>
      </c>
      <c r="J486" s="537" t="str">
        <f>IFERROR(IF(PRJ_Type="New Construction",IF(Inventory!C483="N",INDEX(xyLPD_BuildingArea,MATCH(Building_Type,Lookups!$F$37:$F$75,0),4),INDEX(xyLPD_SpaceBySpace,MATCH(INDEX(xyNCEx,MATCH(I486,yNCExArea,0),2),ySpace_by_Space_Type,0),2)),VLOOKUP(E486,xyWattage_Table,11,FALSE)),"")</f>
        <v/>
      </c>
      <c r="K486" s="538" t="str">
        <f>IFERROR(IF(AND(NC_Type="Building Area Method",Inventory!C483="N"),IF(ISERROR(INDEX('Usage Groups (&gt;120 MWh only)'!$N$8:$N$12,MATCH(C486,'Usage Groups (&gt;120 MWh only)'!$B$8:$B$12,0),1))=TRUE,SqFt/COUNTIFS(Inventory!$C$10:$C$1009,"N",$Q$13:$Q$1012,"&gt;=0"),INDEX('Usage Groups (&gt;120 MWh only)'!$N$8:$N$12,MATCH(C486,'Usage Groups (&gt;120 MWh only)'!$B$8:$B$12,0),1)/COUNTIF($C$13:$C$1012,C486)),IF(AND(NC_Type="Building Area Method",Inventory!C483="Y"),INDEX(xyNCEx,MATCH(I486,yNCExArea,0),3)/COUNTIF($I$13:$I$1012,I486),VLOOKUP(J486,xyWattage_Table,10,FALSE))),"")</f>
        <v/>
      </c>
      <c r="L486" s="539" t="str">
        <f t="shared" si="171"/>
        <v/>
      </c>
      <c r="M486" s="540">
        <f>IF(Inventory!N483="","",Inventory!N483)</f>
        <v>0</v>
      </c>
      <c r="N486" s="533" t="str">
        <f t="shared" si="172"/>
        <v/>
      </c>
      <c r="O486" s="534"/>
      <c r="P486" s="533" t="str">
        <f t="shared" si="173"/>
        <v/>
      </c>
      <c r="Q486" s="534" t="str">
        <f>IF(Inventory!L483="","",Inventory!L483)</f>
        <v/>
      </c>
      <c r="R486" s="535" t="str">
        <f t="shared" si="174"/>
        <v/>
      </c>
      <c r="S486" s="536" t="str">
        <f>IF(Inventory!O483="","",Inventory!O483)</f>
        <v/>
      </c>
      <c r="T486" s="541" t="str">
        <f>IFERROR(IF(C486="","",IF(INDEX(xyWattage_Table,MATCH(M486,'Fixture Identities'!$B$9:$B$997,0),2)="Exit Sign",8760,IF(VLOOKUP(C486,xySpace_Type_Details,8,FALSE)="TRM",INDEX('General Information'!$AF$17:$AG$28,11,MATCH(N486,'General Information'!$AF$16:$AG$16,0)),HLOOKUP(VLOOKUP(C486,xySpace_Type_Details,8,FALSE),'General Information'!$P$15:$AG$28,13,FALSE)))),"")</f>
        <v/>
      </c>
      <c r="U486" s="542" t="str">
        <f>IFERROR(IF(C486="","",IF(INDEX(xyWattage_Table,MATCH(M486,'Fixture Identities'!$B$9:$B$997,0),2)="Exit Sign",1,IF(VLOOKUP(C486,xySpace_Type_Details,8,FALSE)="TRM",INDEX('General Information'!$AF$17:$AG$28,12,MATCH(N486,'General Information'!$AF$16:$AG$16,0)),HLOOKUP(VLOOKUP(C486,xySpace_Type_Details,8,FALSE),'General Information'!$P$15:$AG$28,14,FALSE)))),"")</f>
        <v/>
      </c>
      <c r="V486" s="542" t="str">
        <f>IFERROR(VLOOKUP(INDEX(xySpace_Type_Details,MATCH($C486,'General Information'!$C$40:$C$60,0),12),Lookups!$L$8:$N$12,2,FALSE),"")</f>
        <v/>
      </c>
      <c r="W486" s="542" t="str">
        <f>IFERROR(VLOOKUP(INDEX(xySpace_Type_Details,MATCH($C486,'General Information'!$C$40:$C$60,0),12),Lookups!$L$8:$N$12,3,FALSE),"")</f>
        <v/>
      </c>
      <c r="Y486" s="542" t="str">
        <f>IFERROR(IF(C486="","",IF(INDEX(xyWattage_Table,MATCH(M486,'Fixture Identities'!$B$9:$B$997,0),2)="Exit Sign",0,IF(PRJ_Type="Retrofit",VLOOKUP(I486,xySVG_Factors,2,FALSE),IF(AND(PRJ_Type="New Construction",Inventory!C483="N"),VLOOKUP(VLOOKUP(Building_Type,xyLPD_BuildingArea,5,FALSE),xySVG_Factors_NC,3,FALSE),0)))),"")</f>
        <v/>
      </c>
      <c r="Z486" s="544" t="str">
        <f>IFERROR(IF(C486="","",IF(INDEX(xyWattage_Table,MATCH(M486,'Fixture Identities'!$B$9:$B$997,0),2)="Exit Sign",0,VLOOKUP(S486,xySVG_Factors,2,FALSE))),"")</f>
        <v/>
      </c>
      <c r="AA486" s="545" t="str">
        <f t="shared" si="175"/>
        <v/>
      </c>
      <c r="AB486" s="542" t="str">
        <f t="shared" si="176"/>
        <v/>
      </c>
      <c r="AC486" s="539" t="str">
        <f t="shared" si="177"/>
        <v/>
      </c>
      <c r="AD486" s="546" t="str">
        <f t="shared" si="178"/>
        <v/>
      </c>
      <c r="AE486" s="539" t="str">
        <f t="shared" si="179"/>
        <v/>
      </c>
      <c r="AF486" s="546" t="str">
        <f t="shared" si="180"/>
        <v/>
      </c>
      <c r="AG486" s="539" t="str">
        <f t="shared" si="181"/>
        <v/>
      </c>
      <c r="AH486" s="32">
        <f t="shared" si="183"/>
        <v>0</v>
      </c>
      <c r="AI486" s="32">
        <f t="shared" si="184"/>
        <v>0</v>
      </c>
      <c r="AJ486" s="32">
        <f t="shared" si="185"/>
        <v>0</v>
      </c>
      <c r="AK486" t="str">
        <f t="shared" si="186"/>
        <v/>
      </c>
      <c r="AL486" t="str">
        <f t="shared" si="187"/>
        <v/>
      </c>
      <c r="AM486" t="str">
        <f t="shared" si="188"/>
        <v/>
      </c>
      <c r="AO486" t="str">
        <f>IFERROR(VLOOKUP(M486,'Fixture Identities'!$B$9:$O$1045,14,FALSE),"")</f>
        <v/>
      </c>
      <c r="AP486" t="str">
        <f t="shared" si="182"/>
        <v/>
      </c>
    </row>
    <row r="487" spans="1:42">
      <c r="A487" s="71">
        <f t="shared" si="190"/>
        <v>0</v>
      </c>
      <c r="B487" s="513">
        <f t="shared" si="189"/>
        <v>475</v>
      </c>
      <c r="C487" s="530" t="str">
        <f>IF(Inventory!E484="","",Inventory!E484)</f>
        <v/>
      </c>
      <c r="D487" s="531">
        <f>IF(Inventory!D484="",0,Inventory!D484)</f>
        <v>0</v>
      </c>
      <c r="E487" s="532" t="str">
        <f>IF(Inventory!I484=0,"",Inventory!I484)</f>
        <v/>
      </c>
      <c r="F487" s="533" t="str">
        <f t="shared" si="169"/>
        <v/>
      </c>
      <c r="G487" s="534" t="str">
        <f>IF(Inventory!G484="","",Inventory!G484)</f>
        <v/>
      </c>
      <c r="H487" s="535" t="str">
        <f t="shared" si="170"/>
        <v/>
      </c>
      <c r="I487" s="536" t="str">
        <f>IF(Inventory!J484="","",Inventory!J484)</f>
        <v/>
      </c>
      <c r="J487" s="537" t="str">
        <f>IFERROR(IF(PRJ_Type="New Construction",IF(Inventory!C484="N",INDEX(xyLPD_BuildingArea,MATCH(Building_Type,Lookups!$F$37:$F$75,0),4),INDEX(xyLPD_SpaceBySpace,MATCH(INDEX(xyNCEx,MATCH(I487,yNCExArea,0),2),ySpace_by_Space_Type,0),2)),VLOOKUP(E487,xyWattage_Table,11,FALSE)),"")</f>
        <v/>
      </c>
      <c r="K487" s="538" t="str">
        <f>IFERROR(IF(AND(NC_Type="Building Area Method",Inventory!C484="N"),IF(ISERROR(INDEX('Usage Groups (&gt;120 MWh only)'!$N$8:$N$12,MATCH(C487,'Usage Groups (&gt;120 MWh only)'!$B$8:$B$12,0),1))=TRUE,SqFt/COUNTIFS(Inventory!$C$10:$C$1009,"N",$Q$13:$Q$1012,"&gt;=0"),INDEX('Usage Groups (&gt;120 MWh only)'!$N$8:$N$12,MATCH(C487,'Usage Groups (&gt;120 MWh only)'!$B$8:$B$12,0),1)/COUNTIF($C$13:$C$1012,C487)),IF(AND(NC_Type="Building Area Method",Inventory!C484="Y"),INDEX(xyNCEx,MATCH(I487,yNCExArea,0),3)/COUNTIF($I$13:$I$1012,I487),VLOOKUP(J487,xyWattage_Table,10,FALSE))),"")</f>
        <v/>
      </c>
      <c r="L487" s="539" t="str">
        <f t="shared" si="171"/>
        <v/>
      </c>
      <c r="M487" s="540">
        <f>IF(Inventory!N484="","",Inventory!N484)</f>
        <v>0</v>
      </c>
      <c r="N487" s="533" t="str">
        <f t="shared" si="172"/>
        <v/>
      </c>
      <c r="O487" s="534"/>
      <c r="P487" s="533" t="str">
        <f t="shared" si="173"/>
        <v/>
      </c>
      <c r="Q487" s="534" t="str">
        <f>IF(Inventory!L484="","",Inventory!L484)</f>
        <v/>
      </c>
      <c r="R487" s="535" t="str">
        <f t="shared" si="174"/>
        <v/>
      </c>
      <c r="S487" s="536" t="str">
        <f>IF(Inventory!O484="","",Inventory!O484)</f>
        <v/>
      </c>
      <c r="T487" s="541" t="str">
        <f>IFERROR(IF(C487="","",IF(INDEX(xyWattage_Table,MATCH(M487,'Fixture Identities'!$B$9:$B$997,0),2)="Exit Sign",8760,IF(VLOOKUP(C487,xySpace_Type_Details,8,FALSE)="TRM",INDEX('General Information'!$AF$17:$AG$28,11,MATCH(N487,'General Information'!$AF$16:$AG$16,0)),HLOOKUP(VLOOKUP(C487,xySpace_Type_Details,8,FALSE),'General Information'!$P$15:$AG$28,13,FALSE)))),"")</f>
        <v/>
      </c>
      <c r="U487" s="542" t="str">
        <f>IFERROR(IF(C487="","",IF(INDEX(xyWattage_Table,MATCH(M487,'Fixture Identities'!$B$9:$B$997,0),2)="Exit Sign",1,IF(VLOOKUP(C487,xySpace_Type_Details,8,FALSE)="TRM",INDEX('General Information'!$AF$17:$AG$28,12,MATCH(N487,'General Information'!$AF$16:$AG$16,0)),HLOOKUP(VLOOKUP(C487,xySpace_Type_Details,8,FALSE),'General Information'!$P$15:$AG$28,14,FALSE)))),"")</f>
        <v/>
      </c>
      <c r="V487" s="542" t="str">
        <f>IFERROR(VLOOKUP(INDEX(xySpace_Type_Details,MATCH($C487,'General Information'!$C$40:$C$60,0),12),Lookups!$L$8:$N$12,2,FALSE),"")</f>
        <v/>
      </c>
      <c r="W487" s="542" t="str">
        <f>IFERROR(VLOOKUP(INDEX(xySpace_Type_Details,MATCH($C487,'General Information'!$C$40:$C$60,0),12),Lookups!$L$8:$N$12,3,FALSE),"")</f>
        <v/>
      </c>
      <c r="Y487" s="542" t="str">
        <f>IFERROR(IF(C487="","",IF(INDEX(xyWattage_Table,MATCH(M487,'Fixture Identities'!$B$9:$B$997,0),2)="Exit Sign",0,IF(PRJ_Type="Retrofit",VLOOKUP(I487,xySVG_Factors,2,FALSE),IF(AND(PRJ_Type="New Construction",Inventory!C484="N"),VLOOKUP(VLOOKUP(Building_Type,xyLPD_BuildingArea,5,FALSE),xySVG_Factors_NC,3,FALSE),0)))),"")</f>
        <v/>
      </c>
      <c r="Z487" s="544" t="str">
        <f>IFERROR(IF(C487="","",IF(INDEX(xyWattage_Table,MATCH(M487,'Fixture Identities'!$B$9:$B$997,0),2)="Exit Sign",0,VLOOKUP(S487,xySVG_Factors,2,FALSE))),"")</f>
        <v/>
      </c>
      <c r="AA487" s="545" t="str">
        <f t="shared" si="175"/>
        <v/>
      </c>
      <c r="AB487" s="542" t="str">
        <f t="shared" si="176"/>
        <v/>
      </c>
      <c r="AC487" s="539" t="str">
        <f t="shared" si="177"/>
        <v/>
      </c>
      <c r="AD487" s="546" t="str">
        <f t="shared" si="178"/>
        <v/>
      </c>
      <c r="AE487" s="539" t="str">
        <f t="shared" si="179"/>
        <v/>
      </c>
      <c r="AF487" s="546" t="str">
        <f t="shared" si="180"/>
        <v/>
      </c>
      <c r="AG487" s="539" t="str">
        <f t="shared" si="181"/>
        <v/>
      </c>
      <c r="AH487" s="32">
        <f t="shared" si="183"/>
        <v>0</v>
      </c>
      <c r="AI487" s="32">
        <f t="shared" si="184"/>
        <v>0</v>
      </c>
      <c r="AJ487" s="32">
        <f t="shared" si="185"/>
        <v>0</v>
      </c>
      <c r="AK487" t="str">
        <f t="shared" si="186"/>
        <v/>
      </c>
      <c r="AL487" t="str">
        <f t="shared" si="187"/>
        <v/>
      </c>
      <c r="AM487" t="str">
        <f t="shared" si="188"/>
        <v/>
      </c>
      <c r="AO487" t="str">
        <f>IFERROR(VLOOKUP(M487,'Fixture Identities'!$B$9:$O$1045,14,FALSE),"")</f>
        <v/>
      </c>
      <c r="AP487" t="str">
        <f t="shared" si="182"/>
        <v/>
      </c>
    </row>
    <row r="488" spans="1:42">
      <c r="A488" s="71">
        <f t="shared" si="190"/>
        <v>0</v>
      </c>
      <c r="B488" s="513">
        <f t="shared" si="189"/>
        <v>476</v>
      </c>
      <c r="C488" s="530" t="str">
        <f>IF(Inventory!E485="","",Inventory!E485)</f>
        <v/>
      </c>
      <c r="D488" s="531">
        <f>IF(Inventory!D485="",0,Inventory!D485)</f>
        <v>0</v>
      </c>
      <c r="E488" s="532" t="str">
        <f>IF(Inventory!I485=0,"",Inventory!I485)</f>
        <v/>
      </c>
      <c r="F488" s="533" t="str">
        <f t="shared" si="169"/>
        <v/>
      </c>
      <c r="G488" s="534" t="str">
        <f>IF(Inventory!G485="","",Inventory!G485)</f>
        <v/>
      </c>
      <c r="H488" s="535" t="str">
        <f t="shared" si="170"/>
        <v/>
      </c>
      <c r="I488" s="536" t="str">
        <f>IF(Inventory!J485="","",Inventory!J485)</f>
        <v/>
      </c>
      <c r="J488" s="537" t="str">
        <f>IFERROR(IF(PRJ_Type="New Construction",IF(Inventory!C485="N",INDEX(xyLPD_BuildingArea,MATCH(Building_Type,Lookups!$F$37:$F$75,0),4),INDEX(xyLPD_SpaceBySpace,MATCH(INDEX(xyNCEx,MATCH(I488,yNCExArea,0),2),ySpace_by_Space_Type,0),2)),VLOOKUP(E488,xyWattage_Table,11,FALSE)),"")</f>
        <v/>
      </c>
      <c r="K488" s="538" t="str">
        <f>IFERROR(IF(AND(NC_Type="Building Area Method",Inventory!C485="N"),IF(ISERROR(INDEX('Usage Groups (&gt;120 MWh only)'!$N$8:$N$12,MATCH(C488,'Usage Groups (&gt;120 MWh only)'!$B$8:$B$12,0),1))=TRUE,SqFt/COUNTIFS(Inventory!$C$10:$C$1009,"N",$Q$13:$Q$1012,"&gt;=0"),INDEX('Usage Groups (&gt;120 MWh only)'!$N$8:$N$12,MATCH(C488,'Usage Groups (&gt;120 MWh only)'!$B$8:$B$12,0),1)/COUNTIF($C$13:$C$1012,C488)),IF(AND(NC_Type="Building Area Method",Inventory!C485="Y"),INDEX(xyNCEx,MATCH(I488,yNCExArea,0),3)/COUNTIF($I$13:$I$1012,I488),VLOOKUP(J488,xyWattage_Table,10,FALSE))),"")</f>
        <v/>
      </c>
      <c r="L488" s="539" t="str">
        <f t="shared" si="171"/>
        <v/>
      </c>
      <c r="M488" s="540">
        <f>IF(Inventory!N485="","",Inventory!N485)</f>
        <v>0</v>
      </c>
      <c r="N488" s="533" t="str">
        <f t="shared" si="172"/>
        <v/>
      </c>
      <c r="O488" s="534"/>
      <c r="P488" s="533" t="str">
        <f t="shared" si="173"/>
        <v/>
      </c>
      <c r="Q488" s="534" t="str">
        <f>IF(Inventory!L485="","",Inventory!L485)</f>
        <v/>
      </c>
      <c r="R488" s="535" t="str">
        <f t="shared" si="174"/>
        <v/>
      </c>
      <c r="S488" s="536" t="str">
        <f>IF(Inventory!O485="","",Inventory!O485)</f>
        <v/>
      </c>
      <c r="T488" s="541" t="str">
        <f>IFERROR(IF(C488="","",IF(INDEX(xyWattage_Table,MATCH(M488,'Fixture Identities'!$B$9:$B$997,0),2)="Exit Sign",8760,IF(VLOOKUP(C488,xySpace_Type_Details,8,FALSE)="TRM",INDEX('General Information'!$AF$17:$AG$28,11,MATCH(N488,'General Information'!$AF$16:$AG$16,0)),HLOOKUP(VLOOKUP(C488,xySpace_Type_Details,8,FALSE),'General Information'!$P$15:$AG$28,13,FALSE)))),"")</f>
        <v/>
      </c>
      <c r="U488" s="542" t="str">
        <f>IFERROR(IF(C488="","",IF(INDEX(xyWattage_Table,MATCH(M488,'Fixture Identities'!$B$9:$B$997,0),2)="Exit Sign",1,IF(VLOOKUP(C488,xySpace_Type_Details,8,FALSE)="TRM",INDEX('General Information'!$AF$17:$AG$28,12,MATCH(N488,'General Information'!$AF$16:$AG$16,0)),HLOOKUP(VLOOKUP(C488,xySpace_Type_Details,8,FALSE),'General Information'!$P$15:$AG$28,14,FALSE)))),"")</f>
        <v/>
      </c>
      <c r="V488" s="542" t="str">
        <f>IFERROR(VLOOKUP(INDEX(xySpace_Type_Details,MATCH($C488,'General Information'!$C$40:$C$60,0),12),Lookups!$L$8:$N$12,2,FALSE),"")</f>
        <v/>
      </c>
      <c r="W488" s="542" t="str">
        <f>IFERROR(VLOOKUP(INDEX(xySpace_Type_Details,MATCH($C488,'General Information'!$C$40:$C$60,0),12),Lookups!$L$8:$N$12,3,FALSE),"")</f>
        <v/>
      </c>
      <c r="Y488" s="542" t="str">
        <f>IFERROR(IF(C488="","",IF(INDEX(xyWattage_Table,MATCH(M488,'Fixture Identities'!$B$9:$B$997,0),2)="Exit Sign",0,IF(PRJ_Type="Retrofit",VLOOKUP(I488,xySVG_Factors,2,FALSE),IF(AND(PRJ_Type="New Construction",Inventory!C485="N"),VLOOKUP(VLOOKUP(Building_Type,xyLPD_BuildingArea,5,FALSE),xySVG_Factors_NC,3,FALSE),0)))),"")</f>
        <v/>
      </c>
      <c r="Z488" s="544" t="str">
        <f>IFERROR(IF(C488="","",IF(INDEX(xyWattage_Table,MATCH(M488,'Fixture Identities'!$B$9:$B$997,0),2)="Exit Sign",0,VLOOKUP(S488,xySVG_Factors,2,FALSE))),"")</f>
        <v/>
      </c>
      <c r="AA488" s="545" t="str">
        <f t="shared" si="175"/>
        <v/>
      </c>
      <c r="AB488" s="542" t="str">
        <f t="shared" si="176"/>
        <v/>
      </c>
      <c r="AC488" s="539" t="str">
        <f t="shared" si="177"/>
        <v/>
      </c>
      <c r="AD488" s="546" t="str">
        <f t="shared" si="178"/>
        <v/>
      </c>
      <c r="AE488" s="539" t="str">
        <f t="shared" si="179"/>
        <v/>
      </c>
      <c r="AF488" s="546" t="str">
        <f t="shared" si="180"/>
        <v/>
      </c>
      <c r="AG488" s="539" t="str">
        <f t="shared" si="181"/>
        <v/>
      </c>
      <c r="AH488" s="32">
        <f t="shared" si="183"/>
        <v>0</v>
      </c>
      <c r="AI488" s="32">
        <f t="shared" si="184"/>
        <v>0</v>
      </c>
      <c r="AJ488" s="32">
        <f t="shared" si="185"/>
        <v>0</v>
      </c>
      <c r="AK488" t="str">
        <f t="shared" si="186"/>
        <v/>
      </c>
      <c r="AL488" t="str">
        <f t="shared" si="187"/>
        <v/>
      </c>
      <c r="AM488" t="str">
        <f t="shared" si="188"/>
        <v/>
      </c>
      <c r="AO488" t="str">
        <f>IFERROR(VLOOKUP(M488,'Fixture Identities'!$B$9:$O$1045,14,FALSE),"")</f>
        <v/>
      </c>
      <c r="AP488" t="str">
        <f t="shared" si="182"/>
        <v/>
      </c>
    </row>
    <row r="489" spans="1:42">
      <c r="A489" s="71">
        <f t="shared" si="190"/>
        <v>0</v>
      </c>
      <c r="B489" s="513">
        <f t="shared" si="189"/>
        <v>477</v>
      </c>
      <c r="C489" s="530" t="str">
        <f>IF(Inventory!E486="","",Inventory!E486)</f>
        <v/>
      </c>
      <c r="D489" s="531">
        <f>IF(Inventory!D486="",0,Inventory!D486)</f>
        <v>0</v>
      </c>
      <c r="E489" s="532" t="str">
        <f>IF(Inventory!I486=0,"",Inventory!I486)</f>
        <v/>
      </c>
      <c r="F489" s="533" t="str">
        <f t="shared" si="169"/>
        <v/>
      </c>
      <c r="G489" s="534" t="str">
        <f>IF(Inventory!G486="","",Inventory!G486)</f>
        <v/>
      </c>
      <c r="H489" s="535" t="str">
        <f t="shared" si="170"/>
        <v/>
      </c>
      <c r="I489" s="536" t="str">
        <f>IF(Inventory!J486="","",Inventory!J486)</f>
        <v/>
      </c>
      <c r="J489" s="537" t="str">
        <f>IFERROR(IF(PRJ_Type="New Construction",IF(Inventory!C486="N",INDEX(xyLPD_BuildingArea,MATCH(Building_Type,Lookups!$F$37:$F$75,0),4),INDEX(xyLPD_SpaceBySpace,MATCH(INDEX(xyNCEx,MATCH(I489,yNCExArea,0),2),ySpace_by_Space_Type,0),2)),VLOOKUP(E489,xyWattage_Table,11,FALSE)),"")</f>
        <v/>
      </c>
      <c r="K489" s="538" t="str">
        <f>IFERROR(IF(AND(NC_Type="Building Area Method",Inventory!C486="N"),IF(ISERROR(INDEX('Usage Groups (&gt;120 MWh only)'!$N$8:$N$12,MATCH(C489,'Usage Groups (&gt;120 MWh only)'!$B$8:$B$12,0),1))=TRUE,SqFt/COUNTIFS(Inventory!$C$10:$C$1009,"N",$Q$13:$Q$1012,"&gt;=0"),INDEX('Usage Groups (&gt;120 MWh only)'!$N$8:$N$12,MATCH(C489,'Usage Groups (&gt;120 MWh only)'!$B$8:$B$12,0),1)/COUNTIF($C$13:$C$1012,C489)),IF(AND(NC_Type="Building Area Method",Inventory!C486="Y"),INDEX(xyNCEx,MATCH(I489,yNCExArea,0),3)/COUNTIF($I$13:$I$1012,I489),VLOOKUP(J489,xyWattage_Table,10,FALSE))),"")</f>
        <v/>
      </c>
      <c r="L489" s="539" t="str">
        <f t="shared" si="171"/>
        <v/>
      </c>
      <c r="M489" s="540">
        <f>IF(Inventory!N486="","",Inventory!N486)</f>
        <v>0</v>
      </c>
      <c r="N489" s="533" t="str">
        <f t="shared" si="172"/>
        <v/>
      </c>
      <c r="O489" s="534"/>
      <c r="P489" s="533" t="str">
        <f t="shared" si="173"/>
        <v/>
      </c>
      <c r="Q489" s="534" t="str">
        <f>IF(Inventory!L486="","",Inventory!L486)</f>
        <v/>
      </c>
      <c r="R489" s="535" t="str">
        <f t="shared" si="174"/>
        <v/>
      </c>
      <c r="S489" s="536" t="str">
        <f>IF(Inventory!O486="","",Inventory!O486)</f>
        <v/>
      </c>
      <c r="T489" s="541" t="str">
        <f>IFERROR(IF(C489="","",IF(INDEX(xyWattage_Table,MATCH(M489,'Fixture Identities'!$B$9:$B$997,0),2)="Exit Sign",8760,IF(VLOOKUP(C489,xySpace_Type_Details,8,FALSE)="TRM",INDEX('General Information'!$AF$17:$AG$28,11,MATCH(N489,'General Information'!$AF$16:$AG$16,0)),HLOOKUP(VLOOKUP(C489,xySpace_Type_Details,8,FALSE),'General Information'!$P$15:$AG$28,13,FALSE)))),"")</f>
        <v/>
      </c>
      <c r="U489" s="542" t="str">
        <f>IFERROR(IF(C489="","",IF(INDEX(xyWattage_Table,MATCH(M489,'Fixture Identities'!$B$9:$B$997,0),2)="Exit Sign",1,IF(VLOOKUP(C489,xySpace_Type_Details,8,FALSE)="TRM",INDEX('General Information'!$AF$17:$AG$28,12,MATCH(N489,'General Information'!$AF$16:$AG$16,0)),HLOOKUP(VLOOKUP(C489,xySpace_Type_Details,8,FALSE),'General Information'!$P$15:$AG$28,14,FALSE)))),"")</f>
        <v/>
      </c>
      <c r="V489" s="542" t="str">
        <f>IFERROR(VLOOKUP(INDEX(xySpace_Type_Details,MATCH($C489,'General Information'!$C$40:$C$60,0),12),Lookups!$L$8:$N$12,2,FALSE),"")</f>
        <v/>
      </c>
      <c r="W489" s="542" t="str">
        <f>IFERROR(VLOOKUP(INDEX(xySpace_Type_Details,MATCH($C489,'General Information'!$C$40:$C$60,0),12),Lookups!$L$8:$N$12,3,FALSE),"")</f>
        <v/>
      </c>
      <c r="Y489" s="542" t="str">
        <f>IFERROR(IF(C489="","",IF(INDEX(xyWattage_Table,MATCH(M489,'Fixture Identities'!$B$9:$B$997,0),2)="Exit Sign",0,IF(PRJ_Type="Retrofit",VLOOKUP(I489,xySVG_Factors,2,FALSE),IF(AND(PRJ_Type="New Construction",Inventory!C486="N"),VLOOKUP(VLOOKUP(Building_Type,xyLPD_BuildingArea,5,FALSE),xySVG_Factors_NC,3,FALSE),0)))),"")</f>
        <v/>
      </c>
      <c r="Z489" s="544" t="str">
        <f>IFERROR(IF(C489="","",IF(INDEX(xyWattage_Table,MATCH(M489,'Fixture Identities'!$B$9:$B$997,0),2)="Exit Sign",0,VLOOKUP(S489,xySVG_Factors,2,FALSE))),"")</f>
        <v/>
      </c>
      <c r="AA489" s="545" t="str">
        <f t="shared" si="175"/>
        <v/>
      </c>
      <c r="AB489" s="542" t="str">
        <f t="shared" si="176"/>
        <v/>
      </c>
      <c r="AC489" s="539" t="str">
        <f t="shared" si="177"/>
        <v/>
      </c>
      <c r="AD489" s="546" t="str">
        <f t="shared" si="178"/>
        <v/>
      </c>
      <c r="AE489" s="539" t="str">
        <f t="shared" si="179"/>
        <v/>
      </c>
      <c r="AF489" s="546" t="str">
        <f t="shared" si="180"/>
        <v/>
      </c>
      <c r="AG489" s="539" t="str">
        <f t="shared" si="181"/>
        <v/>
      </c>
      <c r="AH489" s="32">
        <f t="shared" si="183"/>
        <v>0</v>
      </c>
      <c r="AI489" s="32">
        <f t="shared" si="184"/>
        <v>0</v>
      </c>
      <c r="AJ489" s="32">
        <f t="shared" si="185"/>
        <v>0</v>
      </c>
      <c r="AK489" t="str">
        <f t="shared" si="186"/>
        <v/>
      </c>
      <c r="AL489" t="str">
        <f t="shared" si="187"/>
        <v/>
      </c>
      <c r="AM489" t="str">
        <f t="shared" si="188"/>
        <v/>
      </c>
      <c r="AO489" t="str">
        <f>IFERROR(VLOOKUP(M489,'Fixture Identities'!$B$9:$O$1045,14,FALSE),"")</f>
        <v/>
      </c>
      <c r="AP489" t="str">
        <f t="shared" si="182"/>
        <v/>
      </c>
    </row>
    <row r="490" spans="1:42">
      <c r="A490" s="71">
        <f t="shared" si="190"/>
        <v>0</v>
      </c>
      <c r="B490" s="513">
        <f t="shared" si="189"/>
        <v>478</v>
      </c>
      <c r="C490" s="530" t="str">
        <f>IF(Inventory!E487="","",Inventory!E487)</f>
        <v/>
      </c>
      <c r="D490" s="531">
        <f>IF(Inventory!D487="",0,Inventory!D487)</f>
        <v>0</v>
      </c>
      <c r="E490" s="532" t="str">
        <f>IF(Inventory!I487=0,"",Inventory!I487)</f>
        <v/>
      </c>
      <c r="F490" s="533" t="str">
        <f t="shared" si="169"/>
        <v/>
      </c>
      <c r="G490" s="534" t="str">
        <f>IF(Inventory!G487="","",Inventory!G487)</f>
        <v/>
      </c>
      <c r="H490" s="535" t="str">
        <f t="shared" si="170"/>
        <v/>
      </c>
      <c r="I490" s="536" t="str">
        <f>IF(Inventory!J487="","",Inventory!J487)</f>
        <v/>
      </c>
      <c r="J490" s="537" t="str">
        <f>IFERROR(IF(PRJ_Type="New Construction",IF(Inventory!C487="N",INDEX(xyLPD_BuildingArea,MATCH(Building_Type,Lookups!$F$37:$F$75,0),4),INDEX(xyLPD_SpaceBySpace,MATCH(INDEX(xyNCEx,MATCH(I490,yNCExArea,0),2),ySpace_by_Space_Type,0),2)),VLOOKUP(E490,xyWattage_Table,11,FALSE)),"")</f>
        <v/>
      </c>
      <c r="K490" s="538" t="str">
        <f>IFERROR(IF(AND(NC_Type="Building Area Method",Inventory!C487="N"),IF(ISERROR(INDEX('Usage Groups (&gt;120 MWh only)'!$N$8:$N$12,MATCH(C490,'Usage Groups (&gt;120 MWh only)'!$B$8:$B$12,0),1))=TRUE,SqFt/COUNTIFS(Inventory!$C$10:$C$1009,"N",$Q$13:$Q$1012,"&gt;=0"),INDEX('Usage Groups (&gt;120 MWh only)'!$N$8:$N$12,MATCH(C490,'Usage Groups (&gt;120 MWh only)'!$B$8:$B$12,0),1)/COUNTIF($C$13:$C$1012,C490)),IF(AND(NC_Type="Building Area Method",Inventory!C487="Y"),INDEX(xyNCEx,MATCH(I490,yNCExArea,0),3)/COUNTIF($I$13:$I$1012,I490),VLOOKUP(J490,xyWattage_Table,10,FALSE))),"")</f>
        <v/>
      </c>
      <c r="L490" s="539" t="str">
        <f t="shared" si="171"/>
        <v/>
      </c>
      <c r="M490" s="540">
        <f>IF(Inventory!N487="","",Inventory!N487)</f>
        <v>0</v>
      </c>
      <c r="N490" s="533" t="str">
        <f t="shared" si="172"/>
        <v/>
      </c>
      <c r="O490" s="534"/>
      <c r="P490" s="533" t="str">
        <f t="shared" si="173"/>
        <v/>
      </c>
      <c r="Q490" s="534" t="str">
        <f>IF(Inventory!L487="","",Inventory!L487)</f>
        <v/>
      </c>
      <c r="R490" s="535" t="str">
        <f t="shared" si="174"/>
        <v/>
      </c>
      <c r="S490" s="536" t="str">
        <f>IF(Inventory!O487="","",Inventory!O487)</f>
        <v/>
      </c>
      <c r="T490" s="541" t="str">
        <f>IFERROR(IF(C490="","",IF(INDEX(xyWattage_Table,MATCH(M490,'Fixture Identities'!$B$9:$B$997,0),2)="Exit Sign",8760,IF(VLOOKUP(C490,xySpace_Type_Details,8,FALSE)="TRM",INDEX('General Information'!$AF$17:$AG$28,11,MATCH(N490,'General Information'!$AF$16:$AG$16,0)),HLOOKUP(VLOOKUP(C490,xySpace_Type_Details,8,FALSE),'General Information'!$P$15:$AG$28,13,FALSE)))),"")</f>
        <v/>
      </c>
      <c r="U490" s="542" t="str">
        <f>IFERROR(IF(C490="","",IF(INDEX(xyWattage_Table,MATCH(M490,'Fixture Identities'!$B$9:$B$997,0),2)="Exit Sign",1,IF(VLOOKUP(C490,xySpace_Type_Details,8,FALSE)="TRM",INDEX('General Information'!$AF$17:$AG$28,12,MATCH(N490,'General Information'!$AF$16:$AG$16,0)),HLOOKUP(VLOOKUP(C490,xySpace_Type_Details,8,FALSE),'General Information'!$P$15:$AG$28,14,FALSE)))),"")</f>
        <v/>
      </c>
      <c r="V490" s="542" t="str">
        <f>IFERROR(VLOOKUP(INDEX(xySpace_Type_Details,MATCH($C490,'General Information'!$C$40:$C$60,0),12),Lookups!$L$8:$N$12,2,FALSE),"")</f>
        <v/>
      </c>
      <c r="W490" s="542" t="str">
        <f>IFERROR(VLOOKUP(INDEX(xySpace_Type_Details,MATCH($C490,'General Information'!$C$40:$C$60,0),12),Lookups!$L$8:$N$12,3,FALSE),"")</f>
        <v/>
      </c>
      <c r="Y490" s="542" t="str">
        <f>IFERROR(IF(C490="","",IF(INDEX(xyWattage_Table,MATCH(M490,'Fixture Identities'!$B$9:$B$997,0),2)="Exit Sign",0,IF(PRJ_Type="Retrofit",VLOOKUP(I490,xySVG_Factors,2,FALSE),IF(AND(PRJ_Type="New Construction",Inventory!C487="N"),VLOOKUP(VLOOKUP(Building_Type,xyLPD_BuildingArea,5,FALSE),xySVG_Factors_NC,3,FALSE),0)))),"")</f>
        <v/>
      </c>
      <c r="Z490" s="544" t="str">
        <f>IFERROR(IF(C490="","",IF(INDEX(xyWattage_Table,MATCH(M490,'Fixture Identities'!$B$9:$B$997,0),2)="Exit Sign",0,VLOOKUP(S490,xySVG_Factors,2,FALSE))),"")</f>
        <v/>
      </c>
      <c r="AA490" s="545" t="str">
        <f t="shared" si="175"/>
        <v/>
      </c>
      <c r="AB490" s="542" t="str">
        <f t="shared" si="176"/>
        <v/>
      </c>
      <c r="AC490" s="539" t="str">
        <f t="shared" si="177"/>
        <v/>
      </c>
      <c r="AD490" s="546" t="str">
        <f t="shared" si="178"/>
        <v/>
      </c>
      <c r="AE490" s="539" t="str">
        <f t="shared" si="179"/>
        <v/>
      </c>
      <c r="AF490" s="546" t="str">
        <f t="shared" si="180"/>
        <v/>
      </c>
      <c r="AG490" s="539" t="str">
        <f t="shared" si="181"/>
        <v/>
      </c>
      <c r="AH490" s="32">
        <f t="shared" si="183"/>
        <v>0</v>
      </c>
      <c r="AI490" s="32">
        <f t="shared" si="184"/>
        <v>0</v>
      </c>
      <c r="AJ490" s="32">
        <f t="shared" si="185"/>
        <v>0</v>
      </c>
      <c r="AK490" t="str">
        <f t="shared" si="186"/>
        <v/>
      </c>
      <c r="AL490" t="str">
        <f t="shared" si="187"/>
        <v/>
      </c>
      <c r="AM490" t="str">
        <f t="shared" si="188"/>
        <v/>
      </c>
      <c r="AO490" t="str">
        <f>IFERROR(VLOOKUP(M490,'Fixture Identities'!$B$9:$O$1045,14,FALSE),"")</f>
        <v/>
      </c>
      <c r="AP490" t="str">
        <f t="shared" si="182"/>
        <v/>
      </c>
    </row>
    <row r="491" spans="1:42">
      <c r="A491" s="71">
        <f t="shared" si="190"/>
        <v>0</v>
      </c>
      <c r="B491" s="513">
        <f t="shared" si="189"/>
        <v>479</v>
      </c>
      <c r="C491" s="530" t="str">
        <f>IF(Inventory!E488="","",Inventory!E488)</f>
        <v/>
      </c>
      <c r="D491" s="531">
        <f>IF(Inventory!D488="",0,Inventory!D488)</f>
        <v>0</v>
      </c>
      <c r="E491" s="532" t="str">
        <f>IF(Inventory!I488=0,"",Inventory!I488)</f>
        <v/>
      </c>
      <c r="F491" s="533" t="str">
        <f t="shared" si="169"/>
        <v/>
      </c>
      <c r="G491" s="534" t="str">
        <f>IF(Inventory!G488="","",Inventory!G488)</f>
        <v/>
      </c>
      <c r="H491" s="535" t="str">
        <f t="shared" si="170"/>
        <v/>
      </c>
      <c r="I491" s="536" t="str">
        <f>IF(Inventory!J488="","",Inventory!J488)</f>
        <v/>
      </c>
      <c r="J491" s="537" t="str">
        <f>IFERROR(IF(PRJ_Type="New Construction",IF(Inventory!C488="N",INDEX(xyLPD_BuildingArea,MATCH(Building_Type,Lookups!$F$37:$F$75,0),4),INDEX(xyLPD_SpaceBySpace,MATCH(INDEX(xyNCEx,MATCH(I491,yNCExArea,0),2),ySpace_by_Space_Type,0),2)),VLOOKUP(E491,xyWattage_Table,11,FALSE)),"")</f>
        <v/>
      </c>
      <c r="K491" s="538" t="str">
        <f>IFERROR(IF(AND(NC_Type="Building Area Method",Inventory!C488="N"),IF(ISERROR(INDEX('Usage Groups (&gt;120 MWh only)'!$N$8:$N$12,MATCH(C491,'Usage Groups (&gt;120 MWh only)'!$B$8:$B$12,0),1))=TRUE,SqFt/COUNTIFS(Inventory!$C$10:$C$1009,"N",$Q$13:$Q$1012,"&gt;=0"),INDEX('Usage Groups (&gt;120 MWh only)'!$N$8:$N$12,MATCH(C491,'Usage Groups (&gt;120 MWh only)'!$B$8:$B$12,0),1)/COUNTIF($C$13:$C$1012,C491)),IF(AND(NC_Type="Building Area Method",Inventory!C488="Y"),INDEX(xyNCEx,MATCH(I491,yNCExArea,0),3)/COUNTIF($I$13:$I$1012,I491),VLOOKUP(J491,xyWattage_Table,10,FALSE))),"")</f>
        <v/>
      </c>
      <c r="L491" s="539" t="str">
        <f t="shared" si="171"/>
        <v/>
      </c>
      <c r="M491" s="540">
        <f>IF(Inventory!N488="","",Inventory!N488)</f>
        <v>0</v>
      </c>
      <c r="N491" s="533" t="str">
        <f t="shared" si="172"/>
        <v/>
      </c>
      <c r="O491" s="534"/>
      <c r="P491" s="533" t="str">
        <f t="shared" si="173"/>
        <v/>
      </c>
      <c r="Q491" s="534" t="str">
        <f>IF(Inventory!L488="","",Inventory!L488)</f>
        <v/>
      </c>
      <c r="R491" s="535" t="str">
        <f t="shared" si="174"/>
        <v/>
      </c>
      <c r="S491" s="536" t="str">
        <f>IF(Inventory!O488="","",Inventory!O488)</f>
        <v/>
      </c>
      <c r="T491" s="541" t="str">
        <f>IFERROR(IF(C491="","",IF(INDEX(xyWattage_Table,MATCH(M491,'Fixture Identities'!$B$9:$B$997,0),2)="Exit Sign",8760,IF(VLOOKUP(C491,xySpace_Type_Details,8,FALSE)="TRM",INDEX('General Information'!$AF$17:$AG$28,11,MATCH(N491,'General Information'!$AF$16:$AG$16,0)),HLOOKUP(VLOOKUP(C491,xySpace_Type_Details,8,FALSE),'General Information'!$P$15:$AG$28,13,FALSE)))),"")</f>
        <v/>
      </c>
      <c r="U491" s="542" t="str">
        <f>IFERROR(IF(C491="","",IF(INDEX(xyWattage_Table,MATCH(M491,'Fixture Identities'!$B$9:$B$997,0),2)="Exit Sign",1,IF(VLOOKUP(C491,xySpace_Type_Details,8,FALSE)="TRM",INDEX('General Information'!$AF$17:$AG$28,12,MATCH(N491,'General Information'!$AF$16:$AG$16,0)),HLOOKUP(VLOOKUP(C491,xySpace_Type_Details,8,FALSE),'General Information'!$P$15:$AG$28,14,FALSE)))),"")</f>
        <v/>
      </c>
      <c r="V491" s="542" t="str">
        <f>IFERROR(VLOOKUP(INDEX(xySpace_Type_Details,MATCH($C491,'General Information'!$C$40:$C$60,0),12),Lookups!$L$8:$N$12,2,FALSE),"")</f>
        <v/>
      </c>
      <c r="W491" s="542" t="str">
        <f>IFERROR(VLOOKUP(INDEX(xySpace_Type_Details,MATCH($C491,'General Information'!$C$40:$C$60,0),12),Lookups!$L$8:$N$12,3,FALSE),"")</f>
        <v/>
      </c>
      <c r="Y491" s="542" t="str">
        <f>IFERROR(IF(C491="","",IF(INDEX(xyWattage_Table,MATCH(M491,'Fixture Identities'!$B$9:$B$997,0),2)="Exit Sign",0,IF(PRJ_Type="Retrofit",VLOOKUP(I491,xySVG_Factors,2,FALSE),IF(AND(PRJ_Type="New Construction",Inventory!C488="N"),VLOOKUP(VLOOKUP(Building_Type,xyLPD_BuildingArea,5,FALSE),xySVG_Factors_NC,3,FALSE),0)))),"")</f>
        <v/>
      </c>
      <c r="Z491" s="544" t="str">
        <f>IFERROR(IF(C491="","",IF(INDEX(xyWattage_Table,MATCH(M491,'Fixture Identities'!$B$9:$B$997,0),2)="Exit Sign",0,VLOOKUP(S491,xySVG_Factors,2,FALSE))),"")</f>
        <v/>
      </c>
      <c r="AA491" s="545" t="str">
        <f t="shared" si="175"/>
        <v/>
      </c>
      <c r="AB491" s="542" t="str">
        <f t="shared" si="176"/>
        <v/>
      </c>
      <c r="AC491" s="539" t="str">
        <f t="shared" si="177"/>
        <v/>
      </c>
      <c r="AD491" s="546" t="str">
        <f t="shared" si="178"/>
        <v/>
      </c>
      <c r="AE491" s="539" t="str">
        <f t="shared" si="179"/>
        <v/>
      </c>
      <c r="AF491" s="546" t="str">
        <f t="shared" si="180"/>
        <v/>
      </c>
      <c r="AG491" s="539" t="str">
        <f t="shared" si="181"/>
        <v/>
      </c>
      <c r="AH491" s="32">
        <f t="shared" si="183"/>
        <v>0</v>
      </c>
      <c r="AI491" s="32">
        <f t="shared" si="184"/>
        <v>0</v>
      </c>
      <c r="AJ491" s="32">
        <f t="shared" si="185"/>
        <v>0</v>
      </c>
      <c r="AK491" t="str">
        <f t="shared" si="186"/>
        <v/>
      </c>
      <c r="AL491" t="str">
        <f t="shared" si="187"/>
        <v/>
      </c>
      <c r="AM491" t="str">
        <f t="shared" si="188"/>
        <v/>
      </c>
      <c r="AO491" t="str">
        <f>IFERROR(VLOOKUP(M491,'Fixture Identities'!$B$9:$O$1045,14,FALSE),"")</f>
        <v/>
      </c>
      <c r="AP491" t="str">
        <f t="shared" si="182"/>
        <v/>
      </c>
    </row>
    <row r="492" spans="1:42">
      <c r="A492" s="71">
        <f t="shared" si="190"/>
        <v>0</v>
      </c>
      <c r="B492" s="513">
        <f t="shared" si="189"/>
        <v>480</v>
      </c>
      <c r="C492" s="530" t="str">
        <f>IF(Inventory!E489="","",Inventory!E489)</f>
        <v/>
      </c>
      <c r="D492" s="531">
        <f>IF(Inventory!D489="",0,Inventory!D489)</f>
        <v>0</v>
      </c>
      <c r="E492" s="532" t="str">
        <f>IF(Inventory!I489=0,"",Inventory!I489)</f>
        <v/>
      </c>
      <c r="F492" s="533" t="str">
        <f t="shared" si="169"/>
        <v/>
      </c>
      <c r="G492" s="534" t="str">
        <f>IF(Inventory!G489="","",Inventory!G489)</f>
        <v/>
      </c>
      <c r="H492" s="535" t="str">
        <f t="shared" si="170"/>
        <v/>
      </c>
      <c r="I492" s="536" t="str">
        <f>IF(Inventory!J489="","",Inventory!J489)</f>
        <v/>
      </c>
      <c r="J492" s="537" t="str">
        <f>IFERROR(IF(PRJ_Type="New Construction",IF(Inventory!C489="N",INDEX(xyLPD_BuildingArea,MATCH(Building_Type,Lookups!$F$37:$F$75,0),4),INDEX(xyLPD_SpaceBySpace,MATCH(INDEX(xyNCEx,MATCH(I492,yNCExArea,0),2),ySpace_by_Space_Type,0),2)),VLOOKUP(E492,xyWattage_Table,11,FALSE)),"")</f>
        <v/>
      </c>
      <c r="K492" s="538" t="str">
        <f>IFERROR(IF(AND(NC_Type="Building Area Method",Inventory!C489="N"),IF(ISERROR(INDEX('Usage Groups (&gt;120 MWh only)'!$N$8:$N$12,MATCH(C492,'Usage Groups (&gt;120 MWh only)'!$B$8:$B$12,0),1))=TRUE,SqFt/COUNTIFS(Inventory!$C$10:$C$1009,"N",$Q$13:$Q$1012,"&gt;=0"),INDEX('Usage Groups (&gt;120 MWh only)'!$N$8:$N$12,MATCH(C492,'Usage Groups (&gt;120 MWh only)'!$B$8:$B$12,0),1)/COUNTIF($C$13:$C$1012,C492)),IF(AND(NC_Type="Building Area Method",Inventory!C489="Y"),INDEX(xyNCEx,MATCH(I492,yNCExArea,0),3)/COUNTIF($I$13:$I$1012,I492),VLOOKUP(J492,xyWattage_Table,10,FALSE))),"")</f>
        <v/>
      </c>
      <c r="L492" s="539" t="str">
        <f t="shared" si="171"/>
        <v/>
      </c>
      <c r="M492" s="540">
        <f>IF(Inventory!N489="","",Inventory!N489)</f>
        <v>0</v>
      </c>
      <c r="N492" s="533" t="str">
        <f t="shared" si="172"/>
        <v/>
      </c>
      <c r="O492" s="534"/>
      <c r="P492" s="533" t="str">
        <f t="shared" si="173"/>
        <v/>
      </c>
      <c r="Q492" s="534" t="str">
        <f>IF(Inventory!L489="","",Inventory!L489)</f>
        <v/>
      </c>
      <c r="R492" s="535" t="str">
        <f t="shared" si="174"/>
        <v/>
      </c>
      <c r="S492" s="536" t="str">
        <f>IF(Inventory!O489="","",Inventory!O489)</f>
        <v/>
      </c>
      <c r="T492" s="541" t="str">
        <f>IFERROR(IF(C492="","",IF(INDEX(xyWattage_Table,MATCH(M492,'Fixture Identities'!$B$9:$B$997,0),2)="Exit Sign",8760,IF(VLOOKUP(C492,xySpace_Type_Details,8,FALSE)="TRM",INDEX('General Information'!$AF$17:$AG$28,11,MATCH(N492,'General Information'!$AF$16:$AG$16,0)),HLOOKUP(VLOOKUP(C492,xySpace_Type_Details,8,FALSE),'General Information'!$P$15:$AG$28,13,FALSE)))),"")</f>
        <v/>
      </c>
      <c r="U492" s="542" t="str">
        <f>IFERROR(IF(C492="","",IF(INDEX(xyWattage_Table,MATCH(M492,'Fixture Identities'!$B$9:$B$997,0),2)="Exit Sign",1,IF(VLOOKUP(C492,xySpace_Type_Details,8,FALSE)="TRM",INDEX('General Information'!$AF$17:$AG$28,12,MATCH(N492,'General Information'!$AF$16:$AG$16,0)),HLOOKUP(VLOOKUP(C492,xySpace_Type_Details,8,FALSE),'General Information'!$P$15:$AG$28,14,FALSE)))),"")</f>
        <v/>
      </c>
      <c r="V492" s="542" t="str">
        <f>IFERROR(VLOOKUP(INDEX(xySpace_Type_Details,MATCH($C492,'General Information'!$C$40:$C$60,0),12),Lookups!$L$8:$N$12,2,FALSE),"")</f>
        <v/>
      </c>
      <c r="W492" s="542" t="str">
        <f>IFERROR(VLOOKUP(INDEX(xySpace_Type_Details,MATCH($C492,'General Information'!$C$40:$C$60,0),12),Lookups!$L$8:$N$12,3,FALSE),"")</f>
        <v/>
      </c>
      <c r="Y492" s="542" t="str">
        <f>IFERROR(IF(C492="","",IF(INDEX(xyWattage_Table,MATCH(M492,'Fixture Identities'!$B$9:$B$997,0),2)="Exit Sign",0,IF(PRJ_Type="Retrofit",VLOOKUP(I492,xySVG_Factors,2,FALSE),IF(AND(PRJ_Type="New Construction",Inventory!C489="N"),VLOOKUP(VLOOKUP(Building_Type,xyLPD_BuildingArea,5,FALSE),xySVG_Factors_NC,3,FALSE),0)))),"")</f>
        <v/>
      </c>
      <c r="Z492" s="544" t="str">
        <f>IFERROR(IF(C492="","",IF(INDEX(xyWattage_Table,MATCH(M492,'Fixture Identities'!$B$9:$B$997,0),2)="Exit Sign",0,VLOOKUP(S492,xySVG_Factors,2,FALSE))),"")</f>
        <v/>
      </c>
      <c r="AA492" s="545" t="str">
        <f t="shared" si="175"/>
        <v/>
      </c>
      <c r="AB492" s="542" t="str">
        <f t="shared" si="176"/>
        <v/>
      </c>
      <c r="AC492" s="539" t="str">
        <f t="shared" si="177"/>
        <v/>
      </c>
      <c r="AD492" s="546" t="str">
        <f t="shared" si="178"/>
        <v/>
      </c>
      <c r="AE492" s="539" t="str">
        <f t="shared" si="179"/>
        <v/>
      </c>
      <c r="AF492" s="546" t="str">
        <f t="shared" si="180"/>
        <v/>
      </c>
      <c r="AG492" s="539" t="str">
        <f t="shared" si="181"/>
        <v/>
      </c>
      <c r="AH492" s="32">
        <f t="shared" si="183"/>
        <v>0</v>
      </c>
      <c r="AI492" s="32">
        <f t="shared" si="184"/>
        <v>0</v>
      </c>
      <c r="AJ492" s="32">
        <f t="shared" si="185"/>
        <v>0</v>
      </c>
      <c r="AK492" t="str">
        <f t="shared" si="186"/>
        <v/>
      </c>
      <c r="AL492" t="str">
        <f t="shared" si="187"/>
        <v/>
      </c>
      <c r="AM492" t="str">
        <f t="shared" si="188"/>
        <v/>
      </c>
      <c r="AO492" t="str">
        <f>IFERROR(VLOOKUP(M492,'Fixture Identities'!$B$9:$O$1045,14,FALSE),"")</f>
        <v/>
      </c>
      <c r="AP492" t="str">
        <f t="shared" si="182"/>
        <v/>
      </c>
    </row>
    <row r="493" spans="1:42">
      <c r="A493" s="71">
        <f t="shared" si="190"/>
        <v>0</v>
      </c>
      <c r="B493" s="513">
        <f t="shared" si="189"/>
        <v>481</v>
      </c>
      <c r="C493" s="530" t="str">
        <f>IF(Inventory!E490="","",Inventory!E490)</f>
        <v/>
      </c>
      <c r="D493" s="531">
        <f>IF(Inventory!D490="",0,Inventory!D490)</f>
        <v>0</v>
      </c>
      <c r="E493" s="532" t="str">
        <f>IF(Inventory!I490=0,"",Inventory!I490)</f>
        <v/>
      </c>
      <c r="F493" s="533" t="str">
        <f t="shared" si="169"/>
        <v/>
      </c>
      <c r="G493" s="534" t="str">
        <f>IF(Inventory!G490="","",Inventory!G490)</f>
        <v/>
      </c>
      <c r="H493" s="535" t="str">
        <f t="shared" si="170"/>
        <v/>
      </c>
      <c r="I493" s="536" t="str">
        <f>IF(Inventory!J490="","",Inventory!J490)</f>
        <v/>
      </c>
      <c r="J493" s="537" t="str">
        <f>IFERROR(IF(PRJ_Type="New Construction",IF(Inventory!C490="N",INDEX(xyLPD_BuildingArea,MATCH(Building_Type,Lookups!$F$37:$F$75,0),4),INDEX(xyLPD_SpaceBySpace,MATCH(INDEX(xyNCEx,MATCH(I493,yNCExArea,0),2),ySpace_by_Space_Type,0),2)),VLOOKUP(E493,xyWattage_Table,11,FALSE)),"")</f>
        <v/>
      </c>
      <c r="K493" s="538" t="str">
        <f>IFERROR(IF(AND(NC_Type="Building Area Method",Inventory!C490="N"),IF(ISERROR(INDEX('Usage Groups (&gt;120 MWh only)'!$N$8:$N$12,MATCH(C493,'Usage Groups (&gt;120 MWh only)'!$B$8:$B$12,0),1))=TRUE,SqFt/COUNTIFS(Inventory!$C$10:$C$1009,"N",$Q$13:$Q$1012,"&gt;=0"),INDEX('Usage Groups (&gt;120 MWh only)'!$N$8:$N$12,MATCH(C493,'Usage Groups (&gt;120 MWh only)'!$B$8:$B$12,0),1)/COUNTIF($C$13:$C$1012,C493)),IF(AND(NC_Type="Building Area Method",Inventory!C490="Y"),INDEX(xyNCEx,MATCH(I493,yNCExArea,0),3)/COUNTIF($I$13:$I$1012,I493),VLOOKUP(J493,xyWattage_Table,10,FALSE))),"")</f>
        <v/>
      </c>
      <c r="L493" s="539" t="str">
        <f t="shared" si="171"/>
        <v/>
      </c>
      <c r="M493" s="540">
        <f>IF(Inventory!N490="","",Inventory!N490)</f>
        <v>0</v>
      </c>
      <c r="N493" s="533" t="str">
        <f t="shared" si="172"/>
        <v/>
      </c>
      <c r="O493" s="534"/>
      <c r="P493" s="533" t="str">
        <f t="shared" si="173"/>
        <v/>
      </c>
      <c r="Q493" s="534" t="str">
        <f>IF(Inventory!L490="","",Inventory!L490)</f>
        <v/>
      </c>
      <c r="R493" s="535" t="str">
        <f t="shared" si="174"/>
        <v/>
      </c>
      <c r="S493" s="536" t="str">
        <f>IF(Inventory!O490="","",Inventory!O490)</f>
        <v/>
      </c>
      <c r="T493" s="541" t="str">
        <f>IFERROR(IF(C493="","",IF(INDEX(xyWattage_Table,MATCH(M493,'Fixture Identities'!$B$9:$B$997,0),2)="Exit Sign",8760,IF(VLOOKUP(C493,xySpace_Type_Details,8,FALSE)="TRM",INDEX('General Information'!$AF$17:$AG$28,11,MATCH(N493,'General Information'!$AF$16:$AG$16,0)),HLOOKUP(VLOOKUP(C493,xySpace_Type_Details,8,FALSE),'General Information'!$P$15:$AG$28,13,FALSE)))),"")</f>
        <v/>
      </c>
      <c r="U493" s="542" t="str">
        <f>IFERROR(IF(C493="","",IF(INDEX(xyWattage_Table,MATCH(M493,'Fixture Identities'!$B$9:$B$997,0),2)="Exit Sign",1,IF(VLOOKUP(C493,xySpace_Type_Details,8,FALSE)="TRM",INDEX('General Information'!$AF$17:$AG$28,12,MATCH(N493,'General Information'!$AF$16:$AG$16,0)),HLOOKUP(VLOOKUP(C493,xySpace_Type_Details,8,FALSE),'General Information'!$P$15:$AG$28,14,FALSE)))),"")</f>
        <v/>
      </c>
      <c r="V493" s="542" t="str">
        <f>IFERROR(VLOOKUP(INDEX(xySpace_Type_Details,MATCH($C493,'General Information'!$C$40:$C$60,0),12),Lookups!$L$8:$N$12,2,FALSE),"")</f>
        <v/>
      </c>
      <c r="W493" s="542" t="str">
        <f>IFERROR(VLOOKUP(INDEX(xySpace_Type_Details,MATCH($C493,'General Information'!$C$40:$C$60,0),12),Lookups!$L$8:$N$12,3,FALSE),"")</f>
        <v/>
      </c>
      <c r="Y493" s="542" t="str">
        <f>IFERROR(IF(C493="","",IF(INDEX(xyWattage_Table,MATCH(M493,'Fixture Identities'!$B$9:$B$997,0),2)="Exit Sign",0,IF(PRJ_Type="Retrofit",VLOOKUP(I493,xySVG_Factors,2,FALSE),IF(AND(PRJ_Type="New Construction",Inventory!C490="N"),VLOOKUP(VLOOKUP(Building_Type,xyLPD_BuildingArea,5,FALSE),xySVG_Factors_NC,3,FALSE),0)))),"")</f>
        <v/>
      </c>
      <c r="Z493" s="544" t="str">
        <f>IFERROR(IF(C493="","",IF(INDEX(xyWattage_Table,MATCH(M493,'Fixture Identities'!$B$9:$B$997,0),2)="Exit Sign",0,VLOOKUP(S493,xySVG_Factors,2,FALSE))),"")</f>
        <v/>
      </c>
      <c r="AA493" s="545" t="str">
        <f t="shared" si="175"/>
        <v/>
      </c>
      <c r="AB493" s="542" t="str">
        <f t="shared" si="176"/>
        <v/>
      </c>
      <c r="AC493" s="539" t="str">
        <f t="shared" si="177"/>
        <v/>
      </c>
      <c r="AD493" s="546" t="str">
        <f t="shared" si="178"/>
        <v/>
      </c>
      <c r="AE493" s="539" t="str">
        <f t="shared" si="179"/>
        <v/>
      </c>
      <c r="AF493" s="546" t="str">
        <f t="shared" si="180"/>
        <v/>
      </c>
      <c r="AG493" s="539" t="str">
        <f t="shared" si="181"/>
        <v/>
      </c>
      <c r="AH493" s="32">
        <f t="shared" si="183"/>
        <v>0</v>
      </c>
      <c r="AI493" s="32">
        <f t="shared" si="184"/>
        <v>0</v>
      </c>
      <c r="AJ493" s="32">
        <f t="shared" si="185"/>
        <v>0</v>
      </c>
      <c r="AK493" t="str">
        <f t="shared" si="186"/>
        <v/>
      </c>
      <c r="AL493" t="str">
        <f t="shared" si="187"/>
        <v/>
      </c>
      <c r="AM493" t="str">
        <f t="shared" si="188"/>
        <v/>
      </c>
      <c r="AO493" t="str">
        <f>IFERROR(VLOOKUP(M493,'Fixture Identities'!$B$9:$O$1045,14,FALSE),"")</f>
        <v/>
      </c>
      <c r="AP493" t="str">
        <f t="shared" si="182"/>
        <v/>
      </c>
    </row>
    <row r="494" spans="1:42">
      <c r="A494" s="71">
        <f t="shared" si="190"/>
        <v>0</v>
      </c>
      <c r="B494" s="513">
        <f t="shared" si="189"/>
        <v>482</v>
      </c>
      <c r="C494" s="530" t="str">
        <f>IF(Inventory!E491="","",Inventory!E491)</f>
        <v/>
      </c>
      <c r="D494" s="531">
        <f>IF(Inventory!D491="",0,Inventory!D491)</f>
        <v>0</v>
      </c>
      <c r="E494" s="532" t="str">
        <f>IF(Inventory!I491=0,"",Inventory!I491)</f>
        <v/>
      </c>
      <c r="F494" s="533" t="str">
        <f t="shared" si="169"/>
        <v/>
      </c>
      <c r="G494" s="534" t="str">
        <f>IF(Inventory!G491="","",Inventory!G491)</f>
        <v/>
      </c>
      <c r="H494" s="535" t="str">
        <f t="shared" si="170"/>
        <v/>
      </c>
      <c r="I494" s="536" t="str">
        <f>IF(Inventory!J491="","",Inventory!J491)</f>
        <v/>
      </c>
      <c r="J494" s="537" t="str">
        <f>IFERROR(IF(PRJ_Type="New Construction",IF(Inventory!C491="N",INDEX(xyLPD_BuildingArea,MATCH(Building_Type,Lookups!$F$37:$F$75,0),4),INDEX(xyLPD_SpaceBySpace,MATCH(INDEX(xyNCEx,MATCH(I494,yNCExArea,0),2),ySpace_by_Space_Type,0),2)),VLOOKUP(E494,xyWattage_Table,11,FALSE)),"")</f>
        <v/>
      </c>
      <c r="K494" s="538" t="str">
        <f>IFERROR(IF(AND(NC_Type="Building Area Method",Inventory!C491="N"),IF(ISERROR(INDEX('Usage Groups (&gt;120 MWh only)'!$N$8:$N$12,MATCH(C494,'Usage Groups (&gt;120 MWh only)'!$B$8:$B$12,0),1))=TRUE,SqFt/COUNTIFS(Inventory!$C$10:$C$1009,"N",$Q$13:$Q$1012,"&gt;=0"),INDEX('Usage Groups (&gt;120 MWh only)'!$N$8:$N$12,MATCH(C494,'Usage Groups (&gt;120 MWh only)'!$B$8:$B$12,0),1)/COUNTIF($C$13:$C$1012,C494)),IF(AND(NC_Type="Building Area Method",Inventory!C491="Y"),INDEX(xyNCEx,MATCH(I494,yNCExArea,0),3)/COUNTIF($I$13:$I$1012,I494),VLOOKUP(J494,xyWattage_Table,10,FALSE))),"")</f>
        <v/>
      </c>
      <c r="L494" s="539" t="str">
        <f t="shared" si="171"/>
        <v/>
      </c>
      <c r="M494" s="540">
        <f>IF(Inventory!N491="","",Inventory!N491)</f>
        <v>0</v>
      </c>
      <c r="N494" s="533" t="str">
        <f t="shared" si="172"/>
        <v/>
      </c>
      <c r="O494" s="534"/>
      <c r="P494" s="533" t="str">
        <f t="shared" si="173"/>
        <v/>
      </c>
      <c r="Q494" s="534" t="str">
        <f>IF(Inventory!L491="","",Inventory!L491)</f>
        <v/>
      </c>
      <c r="R494" s="535" t="str">
        <f t="shared" si="174"/>
        <v/>
      </c>
      <c r="S494" s="536" t="str">
        <f>IF(Inventory!O491="","",Inventory!O491)</f>
        <v/>
      </c>
      <c r="T494" s="541" t="str">
        <f>IFERROR(IF(C494="","",IF(INDEX(xyWattage_Table,MATCH(M494,'Fixture Identities'!$B$9:$B$997,0),2)="Exit Sign",8760,IF(VLOOKUP(C494,xySpace_Type_Details,8,FALSE)="TRM",INDEX('General Information'!$AF$17:$AG$28,11,MATCH(N494,'General Information'!$AF$16:$AG$16,0)),HLOOKUP(VLOOKUP(C494,xySpace_Type_Details,8,FALSE),'General Information'!$P$15:$AG$28,13,FALSE)))),"")</f>
        <v/>
      </c>
      <c r="U494" s="542" t="str">
        <f>IFERROR(IF(C494="","",IF(INDEX(xyWattage_Table,MATCH(M494,'Fixture Identities'!$B$9:$B$997,0),2)="Exit Sign",1,IF(VLOOKUP(C494,xySpace_Type_Details,8,FALSE)="TRM",INDEX('General Information'!$AF$17:$AG$28,12,MATCH(N494,'General Information'!$AF$16:$AG$16,0)),HLOOKUP(VLOOKUP(C494,xySpace_Type_Details,8,FALSE),'General Information'!$P$15:$AG$28,14,FALSE)))),"")</f>
        <v/>
      </c>
      <c r="V494" s="542" t="str">
        <f>IFERROR(VLOOKUP(INDEX(xySpace_Type_Details,MATCH($C494,'General Information'!$C$40:$C$60,0),12),Lookups!$L$8:$N$12,2,FALSE),"")</f>
        <v/>
      </c>
      <c r="W494" s="542" t="str">
        <f>IFERROR(VLOOKUP(INDEX(xySpace_Type_Details,MATCH($C494,'General Information'!$C$40:$C$60,0),12),Lookups!$L$8:$N$12,3,FALSE),"")</f>
        <v/>
      </c>
      <c r="Y494" s="542" t="str">
        <f>IFERROR(IF(C494="","",IF(INDEX(xyWattage_Table,MATCH(M494,'Fixture Identities'!$B$9:$B$997,0),2)="Exit Sign",0,IF(PRJ_Type="Retrofit",VLOOKUP(I494,xySVG_Factors,2,FALSE),IF(AND(PRJ_Type="New Construction",Inventory!C491="N"),VLOOKUP(VLOOKUP(Building_Type,xyLPD_BuildingArea,5,FALSE),xySVG_Factors_NC,3,FALSE),0)))),"")</f>
        <v/>
      </c>
      <c r="Z494" s="544" t="str">
        <f>IFERROR(IF(C494="","",IF(INDEX(xyWattage_Table,MATCH(M494,'Fixture Identities'!$B$9:$B$997,0),2)="Exit Sign",0,VLOOKUP(S494,xySVG_Factors,2,FALSE))),"")</f>
        <v/>
      </c>
      <c r="AA494" s="545" t="str">
        <f t="shared" si="175"/>
        <v/>
      </c>
      <c r="AB494" s="542" t="str">
        <f t="shared" si="176"/>
        <v/>
      </c>
      <c r="AC494" s="539" t="str">
        <f t="shared" si="177"/>
        <v/>
      </c>
      <c r="AD494" s="546" t="str">
        <f t="shared" si="178"/>
        <v/>
      </c>
      <c r="AE494" s="539" t="str">
        <f t="shared" si="179"/>
        <v/>
      </c>
      <c r="AF494" s="546" t="str">
        <f t="shared" si="180"/>
        <v/>
      </c>
      <c r="AG494" s="539" t="str">
        <f t="shared" si="181"/>
        <v/>
      </c>
      <c r="AH494" s="32">
        <f t="shared" si="183"/>
        <v>0</v>
      </c>
      <c r="AI494" s="32">
        <f t="shared" si="184"/>
        <v>0</v>
      </c>
      <c r="AJ494" s="32">
        <f t="shared" si="185"/>
        <v>0</v>
      </c>
      <c r="AK494" t="str">
        <f t="shared" si="186"/>
        <v/>
      </c>
      <c r="AL494" t="str">
        <f t="shared" si="187"/>
        <v/>
      </c>
      <c r="AM494" t="str">
        <f t="shared" si="188"/>
        <v/>
      </c>
      <c r="AO494" t="str">
        <f>IFERROR(VLOOKUP(M494,'Fixture Identities'!$B$9:$O$1045,14,FALSE),"")</f>
        <v/>
      </c>
      <c r="AP494" t="str">
        <f t="shared" si="182"/>
        <v/>
      </c>
    </row>
    <row r="495" spans="1:42">
      <c r="A495" s="71">
        <f t="shared" si="190"/>
        <v>0</v>
      </c>
      <c r="B495" s="513">
        <f t="shared" si="189"/>
        <v>483</v>
      </c>
      <c r="C495" s="530" t="str">
        <f>IF(Inventory!E492="","",Inventory!E492)</f>
        <v/>
      </c>
      <c r="D495" s="531">
        <f>IF(Inventory!D492="",0,Inventory!D492)</f>
        <v>0</v>
      </c>
      <c r="E495" s="532" t="str">
        <f>IF(Inventory!I492=0,"",Inventory!I492)</f>
        <v/>
      </c>
      <c r="F495" s="533" t="str">
        <f t="shared" si="169"/>
        <v/>
      </c>
      <c r="G495" s="534" t="str">
        <f>IF(Inventory!G492="","",Inventory!G492)</f>
        <v/>
      </c>
      <c r="H495" s="535" t="str">
        <f t="shared" si="170"/>
        <v/>
      </c>
      <c r="I495" s="536" t="str">
        <f>IF(Inventory!J492="","",Inventory!J492)</f>
        <v/>
      </c>
      <c r="J495" s="537" t="str">
        <f>IFERROR(IF(PRJ_Type="New Construction",IF(Inventory!C492="N",INDEX(xyLPD_BuildingArea,MATCH(Building_Type,Lookups!$F$37:$F$75,0),4),INDEX(xyLPD_SpaceBySpace,MATCH(INDEX(xyNCEx,MATCH(I495,yNCExArea,0),2),ySpace_by_Space_Type,0),2)),VLOOKUP(E495,xyWattage_Table,11,FALSE)),"")</f>
        <v/>
      </c>
      <c r="K495" s="538" t="str">
        <f>IFERROR(IF(AND(NC_Type="Building Area Method",Inventory!C492="N"),IF(ISERROR(INDEX('Usage Groups (&gt;120 MWh only)'!$N$8:$N$12,MATCH(C495,'Usage Groups (&gt;120 MWh only)'!$B$8:$B$12,0),1))=TRUE,SqFt/COUNTIFS(Inventory!$C$10:$C$1009,"N",$Q$13:$Q$1012,"&gt;=0"),INDEX('Usage Groups (&gt;120 MWh only)'!$N$8:$N$12,MATCH(C495,'Usage Groups (&gt;120 MWh only)'!$B$8:$B$12,0),1)/COUNTIF($C$13:$C$1012,C495)),IF(AND(NC_Type="Building Area Method",Inventory!C492="Y"),INDEX(xyNCEx,MATCH(I495,yNCExArea,0),3)/COUNTIF($I$13:$I$1012,I495),VLOOKUP(J495,xyWattage_Table,10,FALSE))),"")</f>
        <v/>
      </c>
      <c r="L495" s="539" t="str">
        <f t="shared" si="171"/>
        <v/>
      </c>
      <c r="M495" s="540">
        <f>IF(Inventory!N492="","",Inventory!N492)</f>
        <v>0</v>
      </c>
      <c r="N495" s="533" t="str">
        <f t="shared" si="172"/>
        <v/>
      </c>
      <c r="O495" s="534"/>
      <c r="P495" s="533" t="str">
        <f t="shared" si="173"/>
        <v/>
      </c>
      <c r="Q495" s="534" t="str">
        <f>IF(Inventory!L492="","",Inventory!L492)</f>
        <v/>
      </c>
      <c r="R495" s="535" t="str">
        <f t="shared" si="174"/>
        <v/>
      </c>
      <c r="S495" s="536" t="str">
        <f>IF(Inventory!O492="","",Inventory!O492)</f>
        <v/>
      </c>
      <c r="T495" s="541" t="str">
        <f>IFERROR(IF(C495="","",IF(INDEX(xyWattage_Table,MATCH(M495,'Fixture Identities'!$B$9:$B$997,0),2)="Exit Sign",8760,IF(VLOOKUP(C495,xySpace_Type_Details,8,FALSE)="TRM",INDEX('General Information'!$AF$17:$AG$28,11,MATCH(N495,'General Information'!$AF$16:$AG$16,0)),HLOOKUP(VLOOKUP(C495,xySpace_Type_Details,8,FALSE),'General Information'!$P$15:$AG$28,13,FALSE)))),"")</f>
        <v/>
      </c>
      <c r="U495" s="542" t="str">
        <f>IFERROR(IF(C495="","",IF(INDEX(xyWattage_Table,MATCH(M495,'Fixture Identities'!$B$9:$B$997,0),2)="Exit Sign",1,IF(VLOOKUP(C495,xySpace_Type_Details,8,FALSE)="TRM",INDEX('General Information'!$AF$17:$AG$28,12,MATCH(N495,'General Information'!$AF$16:$AG$16,0)),HLOOKUP(VLOOKUP(C495,xySpace_Type_Details,8,FALSE),'General Information'!$P$15:$AG$28,14,FALSE)))),"")</f>
        <v/>
      </c>
      <c r="V495" s="542" t="str">
        <f>IFERROR(VLOOKUP(INDEX(xySpace_Type_Details,MATCH($C495,'General Information'!$C$40:$C$60,0),12),Lookups!$L$8:$N$12,2,FALSE),"")</f>
        <v/>
      </c>
      <c r="W495" s="542" t="str">
        <f>IFERROR(VLOOKUP(INDEX(xySpace_Type_Details,MATCH($C495,'General Information'!$C$40:$C$60,0),12),Lookups!$L$8:$N$12,3,FALSE),"")</f>
        <v/>
      </c>
      <c r="Y495" s="542" t="str">
        <f>IFERROR(IF(C495="","",IF(INDEX(xyWattage_Table,MATCH(M495,'Fixture Identities'!$B$9:$B$997,0),2)="Exit Sign",0,IF(PRJ_Type="Retrofit",VLOOKUP(I495,xySVG_Factors,2,FALSE),IF(AND(PRJ_Type="New Construction",Inventory!C492="N"),VLOOKUP(VLOOKUP(Building_Type,xyLPD_BuildingArea,5,FALSE),xySVG_Factors_NC,3,FALSE),0)))),"")</f>
        <v/>
      </c>
      <c r="Z495" s="544" t="str">
        <f>IFERROR(IF(C495="","",IF(INDEX(xyWattage_Table,MATCH(M495,'Fixture Identities'!$B$9:$B$997,0),2)="Exit Sign",0,VLOOKUP(S495,xySVG_Factors,2,FALSE))),"")</f>
        <v/>
      </c>
      <c r="AA495" s="545" t="str">
        <f t="shared" si="175"/>
        <v/>
      </c>
      <c r="AB495" s="542" t="str">
        <f t="shared" si="176"/>
        <v/>
      </c>
      <c r="AC495" s="539" t="str">
        <f t="shared" si="177"/>
        <v/>
      </c>
      <c r="AD495" s="546" t="str">
        <f t="shared" si="178"/>
        <v/>
      </c>
      <c r="AE495" s="539" t="str">
        <f t="shared" si="179"/>
        <v/>
      </c>
      <c r="AF495" s="546" t="str">
        <f t="shared" si="180"/>
        <v/>
      </c>
      <c r="AG495" s="539" t="str">
        <f t="shared" si="181"/>
        <v/>
      </c>
      <c r="AH495" s="32">
        <f t="shared" si="183"/>
        <v>0</v>
      </c>
      <c r="AI495" s="32">
        <f t="shared" si="184"/>
        <v>0</v>
      </c>
      <c r="AJ495" s="32">
        <f t="shared" si="185"/>
        <v>0</v>
      </c>
      <c r="AK495" t="str">
        <f t="shared" si="186"/>
        <v/>
      </c>
      <c r="AL495" t="str">
        <f t="shared" si="187"/>
        <v/>
      </c>
      <c r="AM495" t="str">
        <f t="shared" si="188"/>
        <v/>
      </c>
      <c r="AO495" t="str">
        <f>IFERROR(VLOOKUP(M495,'Fixture Identities'!$B$9:$O$1045,14,FALSE),"")</f>
        <v/>
      </c>
      <c r="AP495" t="str">
        <f t="shared" si="182"/>
        <v/>
      </c>
    </row>
    <row r="496" spans="1:42">
      <c r="A496" s="71">
        <f t="shared" si="190"/>
        <v>0</v>
      </c>
      <c r="B496" s="513">
        <f t="shared" si="189"/>
        <v>484</v>
      </c>
      <c r="C496" s="530" t="str">
        <f>IF(Inventory!E493="","",Inventory!E493)</f>
        <v/>
      </c>
      <c r="D496" s="531">
        <f>IF(Inventory!D493="",0,Inventory!D493)</f>
        <v>0</v>
      </c>
      <c r="E496" s="532" t="str">
        <f>IF(Inventory!I493=0,"",Inventory!I493)</f>
        <v/>
      </c>
      <c r="F496" s="533" t="str">
        <f t="shared" si="169"/>
        <v/>
      </c>
      <c r="G496" s="534" t="str">
        <f>IF(Inventory!G493="","",Inventory!G493)</f>
        <v/>
      </c>
      <c r="H496" s="535" t="str">
        <f t="shared" si="170"/>
        <v/>
      </c>
      <c r="I496" s="536" t="str">
        <f>IF(Inventory!J493="","",Inventory!J493)</f>
        <v/>
      </c>
      <c r="J496" s="537" t="str">
        <f>IFERROR(IF(PRJ_Type="New Construction",IF(Inventory!C493="N",INDEX(xyLPD_BuildingArea,MATCH(Building_Type,Lookups!$F$37:$F$75,0),4),INDEX(xyLPD_SpaceBySpace,MATCH(INDEX(xyNCEx,MATCH(I496,yNCExArea,0),2),ySpace_by_Space_Type,0),2)),VLOOKUP(E496,xyWattage_Table,11,FALSE)),"")</f>
        <v/>
      </c>
      <c r="K496" s="538" t="str">
        <f>IFERROR(IF(AND(NC_Type="Building Area Method",Inventory!C493="N"),IF(ISERROR(INDEX('Usage Groups (&gt;120 MWh only)'!$N$8:$N$12,MATCH(C496,'Usage Groups (&gt;120 MWh only)'!$B$8:$B$12,0),1))=TRUE,SqFt/COUNTIFS(Inventory!$C$10:$C$1009,"N",$Q$13:$Q$1012,"&gt;=0"),INDEX('Usage Groups (&gt;120 MWh only)'!$N$8:$N$12,MATCH(C496,'Usage Groups (&gt;120 MWh only)'!$B$8:$B$12,0),1)/COUNTIF($C$13:$C$1012,C496)),IF(AND(NC_Type="Building Area Method",Inventory!C493="Y"),INDEX(xyNCEx,MATCH(I496,yNCExArea,0),3)/COUNTIF($I$13:$I$1012,I496),VLOOKUP(J496,xyWattage_Table,10,FALSE))),"")</f>
        <v/>
      </c>
      <c r="L496" s="539" t="str">
        <f t="shared" si="171"/>
        <v/>
      </c>
      <c r="M496" s="540">
        <f>IF(Inventory!N493="","",Inventory!N493)</f>
        <v>0</v>
      </c>
      <c r="N496" s="533" t="str">
        <f t="shared" si="172"/>
        <v/>
      </c>
      <c r="O496" s="534"/>
      <c r="P496" s="533" t="str">
        <f t="shared" si="173"/>
        <v/>
      </c>
      <c r="Q496" s="534" t="str">
        <f>IF(Inventory!L493="","",Inventory!L493)</f>
        <v/>
      </c>
      <c r="R496" s="535" t="str">
        <f t="shared" si="174"/>
        <v/>
      </c>
      <c r="S496" s="536" t="str">
        <f>IF(Inventory!O493="","",Inventory!O493)</f>
        <v/>
      </c>
      <c r="T496" s="541" t="str">
        <f>IFERROR(IF(C496="","",IF(INDEX(xyWattage_Table,MATCH(M496,'Fixture Identities'!$B$9:$B$997,0),2)="Exit Sign",8760,IF(VLOOKUP(C496,xySpace_Type_Details,8,FALSE)="TRM",INDEX('General Information'!$AF$17:$AG$28,11,MATCH(N496,'General Information'!$AF$16:$AG$16,0)),HLOOKUP(VLOOKUP(C496,xySpace_Type_Details,8,FALSE),'General Information'!$P$15:$AG$28,13,FALSE)))),"")</f>
        <v/>
      </c>
      <c r="U496" s="542" t="str">
        <f>IFERROR(IF(C496="","",IF(INDEX(xyWattage_Table,MATCH(M496,'Fixture Identities'!$B$9:$B$997,0),2)="Exit Sign",1,IF(VLOOKUP(C496,xySpace_Type_Details,8,FALSE)="TRM",INDEX('General Information'!$AF$17:$AG$28,12,MATCH(N496,'General Information'!$AF$16:$AG$16,0)),HLOOKUP(VLOOKUP(C496,xySpace_Type_Details,8,FALSE),'General Information'!$P$15:$AG$28,14,FALSE)))),"")</f>
        <v/>
      </c>
      <c r="V496" s="542" t="str">
        <f>IFERROR(VLOOKUP(INDEX(xySpace_Type_Details,MATCH($C496,'General Information'!$C$40:$C$60,0),12),Lookups!$L$8:$N$12,2,FALSE),"")</f>
        <v/>
      </c>
      <c r="W496" s="542" t="str">
        <f>IFERROR(VLOOKUP(INDEX(xySpace_Type_Details,MATCH($C496,'General Information'!$C$40:$C$60,0),12),Lookups!$L$8:$N$12,3,FALSE),"")</f>
        <v/>
      </c>
      <c r="Y496" s="542" t="str">
        <f>IFERROR(IF(C496="","",IF(INDEX(xyWattage_Table,MATCH(M496,'Fixture Identities'!$B$9:$B$997,0),2)="Exit Sign",0,IF(PRJ_Type="Retrofit",VLOOKUP(I496,xySVG_Factors,2,FALSE),IF(AND(PRJ_Type="New Construction",Inventory!C493="N"),VLOOKUP(VLOOKUP(Building_Type,xyLPD_BuildingArea,5,FALSE),xySVG_Factors_NC,3,FALSE),0)))),"")</f>
        <v/>
      </c>
      <c r="Z496" s="544" t="str">
        <f>IFERROR(IF(C496="","",IF(INDEX(xyWattage_Table,MATCH(M496,'Fixture Identities'!$B$9:$B$997,0),2)="Exit Sign",0,VLOOKUP(S496,xySVG_Factors,2,FALSE))),"")</f>
        <v/>
      </c>
      <c r="AA496" s="545" t="str">
        <f t="shared" si="175"/>
        <v/>
      </c>
      <c r="AB496" s="542" t="str">
        <f t="shared" si="176"/>
        <v/>
      </c>
      <c r="AC496" s="539" t="str">
        <f t="shared" si="177"/>
        <v/>
      </c>
      <c r="AD496" s="546" t="str">
        <f t="shared" si="178"/>
        <v/>
      </c>
      <c r="AE496" s="539" t="str">
        <f t="shared" si="179"/>
        <v/>
      </c>
      <c r="AF496" s="546" t="str">
        <f t="shared" si="180"/>
        <v/>
      </c>
      <c r="AG496" s="539" t="str">
        <f t="shared" si="181"/>
        <v/>
      </c>
      <c r="AH496" s="32">
        <f t="shared" si="183"/>
        <v>0</v>
      </c>
      <c r="AI496" s="32">
        <f t="shared" si="184"/>
        <v>0</v>
      </c>
      <c r="AJ496" s="32">
        <f t="shared" si="185"/>
        <v>0</v>
      </c>
      <c r="AK496" t="str">
        <f t="shared" si="186"/>
        <v/>
      </c>
      <c r="AL496" t="str">
        <f t="shared" si="187"/>
        <v/>
      </c>
      <c r="AM496" t="str">
        <f t="shared" si="188"/>
        <v/>
      </c>
      <c r="AO496" t="str">
        <f>IFERROR(VLOOKUP(M496,'Fixture Identities'!$B$9:$O$1045,14,FALSE),"")</f>
        <v/>
      </c>
      <c r="AP496" t="str">
        <f t="shared" si="182"/>
        <v/>
      </c>
    </row>
    <row r="497" spans="1:42">
      <c r="A497" s="71">
        <f t="shared" si="190"/>
        <v>0</v>
      </c>
      <c r="B497" s="513">
        <f t="shared" si="189"/>
        <v>485</v>
      </c>
      <c r="C497" s="530" t="str">
        <f>IF(Inventory!E494="","",Inventory!E494)</f>
        <v/>
      </c>
      <c r="D497" s="531">
        <f>IF(Inventory!D494="",0,Inventory!D494)</f>
        <v>0</v>
      </c>
      <c r="E497" s="532" t="str">
        <f>IF(Inventory!I494=0,"",Inventory!I494)</f>
        <v/>
      </c>
      <c r="F497" s="533" t="str">
        <f t="shared" si="169"/>
        <v/>
      </c>
      <c r="G497" s="534" t="str">
        <f>IF(Inventory!G494="","",Inventory!G494)</f>
        <v/>
      </c>
      <c r="H497" s="535" t="str">
        <f t="shared" si="170"/>
        <v/>
      </c>
      <c r="I497" s="536" t="str">
        <f>IF(Inventory!J494="","",Inventory!J494)</f>
        <v/>
      </c>
      <c r="J497" s="537" t="str">
        <f>IFERROR(IF(PRJ_Type="New Construction",IF(Inventory!C494="N",INDEX(xyLPD_BuildingArea,MATCH(Building_Type,Lookups!$F$37:$F$75,0),4),INDEX(xyLPD_SpaceBySpace,MATCH(INDEX(xyNCEx,MATCH(I497,yNCExArea,0),2),ySpace_by_Space_Type,0),2)),VLOOKUP(E497,xyWattage_Table,11,FALSE)),"")</f>
        <v/>
      </c>
      <c r="K497" s="538" t="str">
        <f>IFERROR(IF(AND(NC_Type="Building Area Method",Inventory!C494="N"),IF(ISERROR(INDEX('Usage Groups (&gt;120 MWh only)'!$N$8:$N$12,MATCH(C497,'Usage Groups (&gt;120 MWh only)'!$B$8:$B$12,0),1))=TRUE,SqFt/COUNTIFS(Inventory!$C$10:$C$1009,"N",$Q$13:$Q$1012,"&gt;=0"),INDEX('Usage Groups (&gt;120 MWh only)'!$N$8:$N$12,MATCH(C497,'Usage Groups (&gt;120 MWh only)'!$B$8:$B$12,0),1)/COUNTIF($C$13:$C$1012,C497)),IF(AND(NC_Type="Building Area Method",Inventory!C494="Y"),INDEX(xyNCEx,MATCH(I497,yNCExArea,0),3)/COUNTIF($I$13:$I$1012,I497),VLOOKUP(J497,xyWattage_Table,10,FALSE))),"")</f>
        <v/>
      </c>
      <c r="L497" s="539" t="str">
        <f t="shared" si="171"/>
        <v/>
      </c>
      <c r="M497" s="540">
        <f>IF(Inventory!N494="","",Inventory!N494)</f>
        <v>0</v>
      </c>
      <c r="N497" s="533" t="str">
        <f t="shared" si="172"/>
        <v/>
      </c>
      <c r="O497" s="534"/>
      <c r="P497" s="533" t="str">
        <f t="shared" si="173"/>
        <v/>
      </c>
      <c r="Q497" s="534" t="str">
        <f>IF(Inventory!L494="","",Inventory!L494)</f>
        <v/>
      </c>
      <c r="R497" s="535" t="str">
        <f t="shared" si="174"/>
        <v/>
      </c>
      <c r="S497" s="536" t="str">
        <f>IF(Inventory!O494="","",Inventory!O494)</f>
        <v/>
      </c>
      <c r="T497" s="541" t="str">
        <f>IFERROR(IF(C497="","",IF(INDEX(xyWattage_Table,MATCH(M497,'Fixture Identities'!$B$9:$B$997,0),2)="Exit Sign",8760,IF(VLOOKUP(C497,xySpace_Type_Details,8,FALSE)="TRM",INDEX('General Information'!$AF$17:$AG$28,11,MATCH(N497,'General Information'!$AF$16:$AG$16,0)),HLOOKUP(VLOOKUP(C497,xySpace_Type_Details,8,FALSE),'General Information'!$P$15:$AG$28,13,FALSE)))),"")</f>
        <v/>
      </c>
      <c r="U497" s="542" t="str">
        <f>IFERROR(IF(C497="","",IF(INDEX(xyWattage_Table,MATCH(M497,'Fixture Identities'!$B$9:$B$997,0),2)="Exit Sign",1,IF(VLOOKUP(C497,xySpace_Type_Details,8,FALSE)="TRM",INDEX('General Information'!$AF$17:$AG$28,12,MATCH(N497,'General Information'!$AF$16:$AG$16,0)),HLOOKUP(VLOOKUP(C497,xySpace_Type_Details,8,FALSE),'General Information'!$P$15:$AG$28,14,FALSE)))),"")</f>
        <v/>
      </c>
      <c r="V497" s="542" t="str">
        <f>IFERROR(VLOOKUP(INDEX(xySpace_Type_Details,MATCH($C497,'General Information'!$C$40:$C$60,0),12),Lookups!$L$8:$N$12,2,FALSE),"")</f>
        <v/>
      </c>
      <c r="W497" s="542" t="str">
        <f>IFERROR(VLOOKUP(INDEX(xySpace_Type_Details,MATCH($C497,'General Information'!$C$40:$C$60,0),12),Lookups!$L$8:$N$12,3,FALSE),"")</f>
        <v/>
      </c>
      <c r="Y497" s="542" t="str">
        <f>IFERROR(IF(C497="","",IF(INDEX(xyWattage_Table,MATCH(M497,'Fixture Identities'!$B$9:$B$997,0),2)="Exit Sign",0,IF(PRJ_Type="Retrofit",VLOOKUP(I497,xySVG_Factors,2,FALSE),IF(AND(PRJ_Type="New Construction",Inventory!C494="N"),VLOOKUP(VLOOKUP(Building_Type,xyLPD_BuildingArea,5,FALSE),xySVG_Factors_NC,3,FALSE),0)))),"")</f>
        <v/>
      </c>
      <c r="Z497" s="544" t="str">
        <f>IFERROR(IF(C497="","",IF(INDEX(xyWattage_Table,MATCH(M497,'Fixture Identities'!$B$9:$B$997,0),2)="Exit Sign",0,VLOOKUP(S497,xySVG_Factors,2,FALSE))),"")</f>
        <v/>
      </c>
      <c r="AA497" s="545" t="str">
        <f t="shared" si="175"/>
        <v/>
      </c>
      <c r="AB497" s="542" t="str">
        <f t="shared" si="176"/>
        <v/>
      </c>
      <c r="AC497" s="539" t="str">
        <f t="shared" si="177"/>
        <v/>
      </c>
      <c r="AD497" s="546" t="str">
        <f t="shared" si="178"/>
        <v/>
      </c>
      <c r="AE497" s="539" t="str">
        <f t="shared" si="179"/>
        <v/>
      </c>
      <c r="AF497" s="546" t="str">
        <f t="shared" si="180"/>
        <v/>
      </c>
      <c r="AG497" s="539" t="str">
        <f t="shared" si="181"/>
        <v/>
      </c>
      <c r="AH497" s="32">
        <f t="shared" si="183"/>
        <v>0</v>
      </c>
      <c r="AI497" s="32">
        <f t="shared" si="184"/>
        <v>0</v>
      </c>
      <c r="AJ497" s="32">
        <f t="shared" si="185"/>
        <v>0</v>
      </c>
      <c r="AK497" t="str">
        <f t="shared" si="186"/>
        <v/>
      </c>
      <c r="AL497" t="str">
        <f t="shared" si="187"/>
        <v/>
      </c>
      <c r="AM497" t="str">
        <f t="shared" si="188"/>
        <v/>
      </c>
      <c r="AO497" t="str">
        <f>IFERROR(VLOOKUP(M497,'Fixture Identities'!$B$9:$O$1045,14,FALSE),"")</f>
        <v/>
      </c>
      <c r="AP497" t="str">
        <f t="shared" si="182"/>
        <v/>
      </c>
    </row>
    <row r="498" spans="1:42">
      <c r="A498" s="71">
        <f t="shared" si="190"/>
        <v>0</v>
      </c>
      <c r="B498" s="513">
        <f t="shared" si="189"/>
        <v>486</v>
      </c>
      <c r="C498" s="530" t="str">
        <f>IF(Inventory!E495="","",Inventory!E495)</f>
        <v/>
      </c>
      <c r="D498" s="531">
        <f>IF(Inventory!D495="",0,Inventory!D495)</f>
        <v>0</v>
      </c>
      <c r="E498" s="532" t="str">
        <f>IF(Inventory!I495=0,"",Inventory!I495)</f>
        <v/>
      </c>
      <c r="F498" s="533" t="str">
        <f t="shared" si="169"/>
        <v/>
      </c>
      <c r="G498" s="534" t="str">
        <f>IF(Inventory!G495="","",Inventory!G495)</f>
        <v/>
      </c>
      <c r="H498" s="535" t="str">
        <f t="shared" si="170"/>
        <v/>
      </c>
      <c r="I498" s="536" t="str">
        <f>IF(Inventory!J495="","",Inventory!J495)</f>
        <v/>
      </c>
      <c r="J498" s="537" t="str">
        <f>IFERROR(IF(PRJ_Type="New Construction",IF(Inventory!C495="N",INDEX(xyLPD_BuildingArea,MATCH(Building_Type,Lookups!$F$37:$F$75,0),4),INDEX(xyLPD_SpaceBySpace,MATCH(INDEX(xyNCEx,MATCH(I498,yNCExArea,0),2),ySpace_by_Space_Type,0),2)),VLOOKUP(E498,xyWattage_Table,11,FALSE)),"")</f>
        <v/>
      </c>
      <c r="K498" s="538" t="str">
        <f>IFERROR(IF(AND(NC_Type="Building Area Method",Inventory!C495="N"),IF(ISERROR(INDEX('Usage Groups (&gt;120 MWh only)'!$N$8:$N$12,MATCH(C498,'Usage Groups (&gt;120 MWh only)'!$B$8:$B$12,0),1))=TRUE,SqFt/COUNTIFS(Inventory!$C$10:$C$1009,"N",$Q$13:$Q$1012,"&gt;=0"),INDEX('Usage Groups (&gt;120 MWh only)'!$N$8:$N$12,MATCH(C498,'Usage Groups (&gt;120 MWh only)'!$B$8:$B$12,0),1)/COUNTIF($C$13:$C$1012,C498)),IF(AND(NC_Type="Building Area Method",Inventory!C495="Y"),INDEX(xyNCEx,MATCH(I498,yNCExArea,0),3)/COUNTIF($I$13:$I$1012,I498),VLOOKUP(J498,xyWattage_Table,10,FALSE))),"")</f>
        <v/>
      </c>
      <c r="L498" s="539" t="str">
        <f t="shared" si="171"/>
        <v/>
      </c>
      <c r="M498" s="540">
        <f>IF(Inventory!N495="","",Inventory!N495)</f>
        <v>0</v>
      </c>
      <c r="N498" s="533" t="str">
        <f t="shared" si="172"/>
        <v/>
      </c>
      <c r="O498" s="534"/>
      <c r="P498" s="533" t="str">
        <f t="shared" si="173"/>
        <v/>
      </c>
      <c r="Q498" s="534" t="str">
        <f>IF(Inventory!L495="","",Inventory!L495)</f>
        <v/>
      </c>
      <c r="R498" s="535" t="str">
        <f t="shared" si="174"/>
        <v/>
      </c>
      <c r="S498" s="536" t="str">
        <f>IF(Inventory!O495="","",Inventory!O495)</f>
        <v/>
      </c>
      <c r="T498" s="541" t="str">
        <f>IFERROR(IF(C498="","",IF(INDEX(xyWattage_Table,MATCH(M498,'Fixture Identities'!$B$9:$B$997,0),2)="Exit Sign",8760,IF(VLOOKUP(C498,xySpace_Type_Details,8,FALSE)="TRM",INDEX('General Information'!$AF$17:$AG$28,11,MATCH(N498,'General Information'!$AF$16:$AG$16,0)),HLOOKUP(VLOOKUP(C498,xySpace_Type_Details,8,FALSE),'General Information'!$P$15:$AG$28,13,FALSE)))),"")</f>
        <v/>
      </c>
      <c r="U498" s="542" t="str">
        <f>IFERROR(IF(C498="","",IF(INDEX(xyWattage_Table,MATCH(M498,'Fixture Identities'!$B$9:$B$997,0),2)="Exit Sign",1,IF(VLOOKUP(C498,xySpace_Type_Details,8,FALSE)="TRM",INDEX('General Information'!$AF$17:$AG$28,12,MATCH(N498,'General Information'!$AF$16:$AG$16,0)),HLOOKUP(VLOOKUP(C498,xySpace_Type_Details,8,FALSE),'General Information'!$P$15:$AG$28,14,FALSE)))),"")</f>
        <v/>
      </c>
      <c r="V498" s="542" t="str">
        <f>IFERROR(VLOOKUP(INDEX(xySpace_Type_Details,MATCH($C498,'General Information'!$C$40:$C$60,0),12),Lookups!$L$8:$N$12,2,FALSE),"")</f>
        <v/>
      </c>
      <c r="W498" s="542" t="str">
        <f>IFERROR(VLOOKUP(INDEX(xySpace_Type_Details,MATCH($C498,'General Information'!$C$40:$C$60,0),12),Lookups!$L$8:$N$12,3,FALSE),"")</f>
        <v/>
      </c>
      <c r="Y498" s="542" t="str">
        <f>IFERROR(IF(C498="","",IF(INDEX(xyWattage_Table,MATCH(M498,'Fixture Identities'!$B$9:$B$997,0),2)="Exit Sign",0,IF(PRJ_Type="Retrofit",VLOOKUP(I498,xySVG_Factors,2,FALSE),IF(AND(PRJ_Type="New Construction",Inventory!C495="N"),VLOOKUP(VLOOKUP(Building_Type,xyLPD_BuildingArea,5,FALSE),xySVG_Factors_NC,3,FALSE),0)))),"")</f>
        <v/>
      </c>
      <c r="Z498" s="544" t="str">
        <f>IFERROR(IF(C498="","",IF(INDEX(xyWattage_Table,MATCH(M498,'Fixture Identities'!$B$9:$B$997,0),2)="Exit Sign",0,VLOOKUP(S498,xySVG_Factors,2,FALSE))),"")</f>
        <v/>
      </c>
      <c r="AA498" s="545" t="str">
        <f t="shared" si="175"/>
        <v/>
      </c>
      <c r="AB498" s="542" t="str">
        <f t="shared" si="176"/>
        <v/>
      </c>
      <c r="AC498" s="539" t="str">
        <f t="shared" si="177"/>
        <v/>
      </c>
      <c r="AD498" s="546" t="str">
        <f t="shared" si="178"/>
        <v/>
      </c>
      <c r="AE498" s="539" t="str">
        <f t="shared" si="179"/>
        <v/>
      </c>
      <c r="AF498" s="546" t="str">
        <f t="shared" si="180"/>
        <v/>
      </c>
      <c r="AG498" s="539" t="str">
        <f t="shared" si="181"/>
        <v/>
      </c>
      <c r="AH498" s="32">
        <f t="shared" si="183"/>
        <v>0</v>
      </c>
      <c r="AI498" s="32">
        <f t="shared" si="184"/>
        <v>0</v>
      </c>
      <c r="AJ498" s="32">
        <f t="shared" si="185"/>
        <v>0</v>
      </c>
      <c r="AK498" t="str">
        <f t="shared" si="186"/>
        <v/>
      </c>
      <c r="AL498" t="str">
        <f t="shared" si="187"/>
        <v/>
      </c>
      <c r="AM498" t="str">
        <f t="shared" si="188"/>
        <v/>
      </c>
      <c r="AO498" t="str">
        <f>IFERROR(VLOOKUP(M498,'Fixture Identities'!$B$9:$O$1045,14,FALSE),"")</f>
        <v/>
      </c>
      <c r="AP498" t="str">
        <f t="shared" si="182"/>
        <v/>
      </c>
    </row>
    <row r="499" spans="1:42">
      <c r="A499" s="71">
        <f t="shared" si="190"/>
        <v>0</v>
      </c>
      <c r="B499" s="513">
        <f t="shared" si="189"/>
        <v>487</v>
      </c>
      <c r="C499" s="530" t="str">
        <f>IF(Inventory!E496="","",Inventory!E496)</f>
        <v/>
      </c>
      <c r="D499" s="531">
        <f>IF(Inventory!D496="",0,Inventory!D496)</f>
        <v>0</v>
      </c>
      <c r="E499" s="532" t="str">
        <f>IF(Inventory!I496=0,"",Inventory!I496)</f>
        <v/>
      </c>
      <c r="F499" s="533" t="str">
        <f t="shared" si="169"/>
        <v/>
      </c>
      <c r="G499" s="534" t="str">
        <f>IF(Inventory!G496="","",Inventory!G496)</f>
        <v/>
      </c>
      <c r="H499" s="535" t="str">
        <f t="shared" si="170"/>
        <v/>
      </c>
      <c r="I499" s="536" t="str">
        <f>IF(Inventory!J496="","",Inventory!J496)</f>
        <v/>
      </c>
      <c r="J499" s="537" t="str">
        <f>IFERROR(IF(PRJ_Type="New Construction",IF(Inventory!C496="N",INDEX(xyLPD_BuildingArea,MATCH(Building_Type,Lookups!$F$37:$F$75,0),4),INDEX(xyLPD_SpaceBySpace,MATCH(INDEX(xyNCEx,MATCH(I499,yNCExArea,0),2),ySpace_by_Space_Type,0),2)),VLOOKUP(E499,xyWattage_Table,11,FALSE)),"")</f>
        <v/>
      </c>
      <c r="K499" s="538" t="str">
        <f>IFERROR(IF(AND(NC_Type="Building Area Method",Inventory!C496="N"),IF(ISERROR(INDEX('Usage Groups (&gt;120 MWh only)'!$N$8:$N$12,MATCH(C499,'Usage Groups (&gt;120 MWh only)'!$B$8:$B$12,0),1))=TRUE,SqFt/COUNTIFS(Inventory!$C$10:$C$1009,"N",$Q$13:$Q$1012,"&gt;=0"),INDEX('Usage Groups (&gt;120 MWh only)'!$N$8:$N$12,MATCH(C499,'Usage Groups (&gt;120 MWh only)'!$B$8:$B$12,0),1)/COUNTIF($C$13:$C$1012,C499)),IF(AND(NC_Type="Building Area Method",Inventory!C496="Y"),INDEX(xyNCEx,MATCH(I499,yNCExArea,0),3)/COUNTIF($I$13:$I$1012,I499),VLOOKUP(J499,xyWattage_Table,10,FALSE))),"")</f>
        <v/>
      </c>
      <c r="L499" s="539" t="str">
        <f t="shared" si="171"/>
        <v/>
      </c>
      <c r="M499" s="540">
        <f>IF(Inventory!N496="","",Inventory!N496)</f>
        <v>0</v>
      </c>
      <c r="N499" s="533" t="str">
        <f t="shared" si="172"/>
        <v/>
      </c>
      <c r="O499" s="534"/>
      <c r="P499" s="533" t="str">
        <f t="shared" si="173"/>
        <v/>
      </c>
      <c r="Q499" s="534" t="str">
        <f>IF(Inventory!L496="","",Inventory!L496)</f>
        <v/>
      </c>
      <c r="R499" s="535" t="str">
        <f t="shared" si="174"/>
        <v/>
      </c>
      <c r="S499" s="536" t="str">
        <f>IF(Inventory!O496="","",Inventory!O496)</f>
        <v/>
      </c>
      <c r="T499" s="541" t="str">
        <f>IFERROR(IF(C499="","",IF(INDEX(xyWattage_Table,MATCH(M499,'Fixture Identities'!$B$9:$B$997,0),2)="Exit Sign",8760,IF(VLOOKUP(C499,xySpace_Type_Details,8,FALSE)="TRM",INDEX('General Information'!$AF$17:$AG$28,11,MATCH(N499,'General Information'!$AF$16:$AG$16,0)),HLOOKUP(VLOOKUP(C499,xySpace_Type_Details,8,FALSE),'General Information'!$P$15:$AG$28,13,FALSE)))),"")</f>
        <v/>
      </c>
      <c r="U499" s="542" t="str">
        <f>IFERROR(IF(C499="","",IF(INDEX(xyWattage_Table,MATCH(M499,'Fixture Identities'!$B$9:$B$997,0),2)="Exit Sign",1,IF(VLOOKUP(C499,xySpace_Type_Details,8,FALSE)="TRM",INDEX('General Information'!$AF$17:$AG$28,12,MATCH(N499,'General Information'!$AF$16:$AG$16,0)),HLOOKUP(VLOOKUP(C499,xySpace_Type_Details,8,FALSE),'General Information'!$P$15:$AG$28,14,FALSE)))),"")</f>
        <v/>
      </c>
      <c r="V499" s="542" t="str">
        <f>IFERROR(VLOOKUP(INDEX(xySpace_Type_Details,MATCH($C499,'General Information'!$C$40:$C$60,0),12),Lookups!$L$8:$N$12,2,FALSE),"")</f>
        <v/>
      </c>
      <c r="W499" s="542" t="str">
        <f>IFERROR(VLOOKUP(INDEX(xySpace_Type_Details,MATCH($C499,'General Information'!$C$40:$C$60,0),12),Lookups!$L$8:$N$12,3,FALSE),"")</f>
        <v/>
      </c>
      <c r="Y499" s="542" t="str">
        <f>IFERROR(IF(C499="","",IF(INDEX(xyWattage_Table,MATCH(M499,'Fixture Identities'!$B$9:$B$997,0),2)="Exit Sign",0,IF(PRJ_Type="Retrofit",VLOOKUP(I499,xySVG_Factors,2,FALSE),IF(AND(PRJ_Type="New Construction",Inventory!C496="N"),VLOOKUP(VLOOKUP(Building_Type,xyLPD_BuildingArea,5,FALSE),xySVG_Factors_NC,3,FALSE),0)))),"")</f>
        <v/>
      </c>
      <c r="Z499" s="544" t="str">
        <f>IFERROR(IF(C499="","",IF(INDEX(xyWattage_Table,MATCH(M499,'Fixture Identities'!$B$9:$B$997,0),2)="Exit Sign",0,VLOOKUP(S499,xySVG_Factors,2,FALSE))),"")</f>
        <v/>
      </c>
      <c r="AA499" s="545" t="str">
        <f t="shared" si="175"/>
        <v/>
      </c>
      <c r="AB499" s="542" t="str">
        <f t="shared" si="176"/>
        <v/>
      </c>
      <c r="AC499" s="539" t="str">
        <f t="shared" si="177"/>
        <v/>
      </c>
      <c r="AD499" s="546" t="str">
        <f t="shared" si="178"/>
        <v/>
      </c>
      <c r="AE499" s="539" t="str">
        <f t="shared" si="179"/>
        <v/>
      </c>
      <c r="AF499" s="546" t="str">
        <f t="shared" si="180"/>
        <v/>
      </c>
      <c r="AG499" s="539" t="str">
        <f t="shared" si="181"/>
        <v/>
      </c>
      <c r="AH499" s="32">
        <f t="shared" si="183"/>
        <v>0</v>
      </c>
      <c r="AI499" s="32">
        <f t="shared" si="184"/>
        <v>0</v>
      </c>
      <c r="AJ499" s="32">
        <f t="shared" si="185"/>
        <v>0</v>
      </c>
      <c r="AK499" t="str">
        <f t="shared" si="186"/>
        <v/>
      </c>
      <c r="AL499" t="str">
        <f t="shared" si="187"/>
        <v/>
      </c>
      <c r="AM499" t="str">
        <f t="shared" si="188"/>
        <v/>
      </c>
      <c r="AO499" t="str">
        <f>IFERROR(VLOOKUP(M499,'Fixture Identities'!$B$9:$O$1045,14,FALSE),"")</f>
        <v/>
      </c>
      <c r="AP499" t="str">
        <f t="shared" si="182"/>
        <v/>
      </c>
    </row>
    <row r="500" spans="1:42">
      <c r="A500" s="71">
        <f t="shared" si="190"/>
        <v>0</v>
      </c>
      <c r="B500" s="513">
        <f t="shared" si="189"/>
        <v>488</v>
      </c>
      <c r="C500" s="530" t="str">
        <f>IF(Inventory!E497="","",Inventory!E497)</f>
        <v/>
      </c>
      <c r="D500" s="531">
        <f>IF(Inventory!D497="",0,Inventory!D497)</f>
        <v>0</v>
      </c>
      <c r="E500" s="532" t="str">
        <f>IF(Inventory!I497=0,"",Inventory!I497)</f>
        <v/>
      </c>
      <c r="F500" s="533" t="str">
        <f t="shared" si="169"/>
        <v/>
      </c>
      <c r="G500" s="534" t="str">
        <f>IF(Inventory!G497="","",Inventory!G497)</f>
        <v/>
      </c>
      <c r="H500" s="535" t="str">
        <f t="shared" si="170"/>
        <v/>
      </c>
      <c r="I500" s="536" t="str">
        <f>IF(Inventory!J497="","",Inventory!J497)</f>
        <v/>
      </c>
      <c r="J500" s="537" t="str">
        <f>IFERROR(IF(PRJ_Type="New Construction",IF(Inventory!C497="N",INDEX(xyLPD_BuildingArea,MATCH(Building_Type,Lookups!$F$37:$F$75,0),4),INDEX(xyLPD_SpaceBySpace,MATCH(INDEX(xyNCEx,MATCH(I500,yNCExArea,0),2),ySpace_by_Space_Type,0),2)),VLOOKUP(E500,xyWattage_Table,11,FALSE)),"")</f>
        <v/>
      </c>
      <c r="K500" s="538" t="str">
        <f>IFERROR(IF(AND(NC_Type="Building Area Method",Inventory!C497="N"),IF(ISERROR(INDEX('Usage Groups (&gt;120 MWh only)'!$N$8:$N$12,MATCH(C500,'Usage Groups (&gt;120 MWh only)'!$B$8:$B$12,0),1))=TRUE,SqFt/COUNTIFS(Inventory!$C$10:$C$1009,"N",$Q$13:$Q$1012,"&gt;=0"),INDEX('Usage Groups (&gt;120 MWh only)'!$N$8:$N$12,MATCH(C500,'Usage Groups (&gt;120 MWh only)'!$B$8:$B$12,0),1)/COUNTIF($C$13:$C$1012,C500)),IF(AND(NC_Type="Building Area Method",Inventory!C497="Y"),INDEX(xyNCEx,MATCH(I500,yNCExArea,0),3)/COUNTIF($I$13:$I$1012,I500),VLOOKUP(J500,xyWattage_Table,10,FALSE))),"")</f>
        <v/>
      </c>
      <c r="L500" s="539" t="str">
        <f t="shared" si="171"/>
        <v/>
      </c>
      <c r="M500" s="540">
        <f>IF(Inventory!N497="","",Inventory!N497)</f>
        <v>0</v>
      </c>
      <c r="N500" s="533" t="str">
        <f t="shared" si="172"/>
        <v/>
      </c>
      <c r="O500" s="534"/>
      <c r="P500" s="533" t="str">
        <f t="shared" si="173"/>
        <v/>
      </c>
      <c r="Q500" s="534" t="str">
        <f>IF(Inventory!L497="","",Inventory!L497)</f>
        <v/>
      </c>
      <c r="R500" s="535" t="str">
        <f t="shared" si="174"/>
        <v/>
      </c>
      <c r="S500" s="536" t="str">
        <f>IF(Inventory!O497="","",Inventory!O497)</f>
        <v/>
      </c>
      <c r="T500" s="541" t="str">
        <f>IFERROR(IF(C500="","",IF(INDEX(xyWattage_Table,MATCH(M500,'Fixture Identities'!$B$9:$B$997,0),2)="Exit Sign",8760,IF(VLOOKUP(C500,xySpace_Type_Details,8,FALSE)="TRM",INDEX('General Information'!$AF$17:$AG$28,11,MATCH(N500,'General Information'!$AF$16:$AG$16,0)),HLOOKUP(VLOOKUP(C500,xySpace_Type_Details,8,FALSE),'General Information'!$P$15:$AG$28,13,FALSE)))),"")</f>
        <v/>
      </c>
      <c r="U500" s="542" t="str">
        <f>IFERROR(IF(C500="","",IF(INDEX(xyWattage_Table,MATCH(M500,'Fixture Identities'!$B$9:$B$997,0),2)="Exit Sign",1,IF(VLOOKUP(C500,xySpace_Type_Details,8,FALSE)="TRM",INDEX('General Information'!$AF$17:$AG$28,12,MATCH(N500,'General Information'!$AF$16:$AG$16,0)),HLOOKUP(VLOOKUP(C500,xySpace_Type_Details,8,FALSE),'General Information'!$P$15:$AG$28,14,FALSE)))),"")</f>
        <v/>
      </c>
      <c r="V500" s="542" t="str">
        <f>IFERROR(VLOOKUP(INDEX(xySpace_Type_Details,MATCH($C500,'General Information'!$C$40:$C$60,0),12),Lookups!$L$8:$N$12,2,FALSE),"")</f>
        <v/>
      </c>
      <c r="W500" s="542" t="str">
        <f>IFERROR(VLOOKUP(INDEX(xySpace_Type_Details,MATCH($C500,'General Information'!$C$40:$C$60,0),12),Lookups!$L$8:$N$12,3,FALSE),"")</f>
        <v/>
      </c>
      <c r="Y500" s="542" t="str">
        <f>IFERROR(IF(C500="","",IF(INDEX(xyWattage_Table,MATCH(M500,'Fixture Identities'!$B$9:$B$997,0),2)="Exit Sign",0,IF(PRJ_Type="Retrofit",VLOOKUP(I500,xySVG_Factors,2,FALSE),IF(AND(PRJ_Type="New Construction",Inventory!C497="N"),VLOOKUP(VLOOKUP(Building_Type,xyLPD_BuildingArea,5,FALSE),xySVG_Factors_NC,3,FALSE),0)))),"")</f>
        <v/>
      </c>
      <c r="Z500" s="544" t="str">
        <f>IFERROR(IF(C500="","",IF(INDEX(xyWattage_Table,MATCH(M500,'Fixture Identities'!$B$9:$B$997,0),2)="Exit Sign",0,VLOOKUP(S500,xySVG_Factors,2,FALSE))),"")</f>
        <v/>
      </c>
      <c r="AA500" s="545" t="str">
        <f t="shared" si="175"/>
        <v/>
      </c>
      <c r="AB500" s="542" t="str">
        <f t="shared" si="176"/>
        <v/>
      </c>
      <c r="AC500" s="539" t="str">
        <f t="shared" si="177"/>
        <v/>
      </c>
      <c r="AD500" s="546" t="str">
        <f t="shared" si="178"/>
        <v/>
      </c>
      <c r="AE500" s="539" t="str">
        <f t="shared" si="179"/>
        <v/>
      </c>
      <c r="AF500" s="546" t="str">
        <f t="shared" si="180"/>
        <v/>
      </c>
      <c r="AG500" s="539" t="str">
        <f t="shared" si="181"/>
        <v/>
      </c>
      <c r="AH500" s="32">
        <f t="shared" si="183"/>
        <v>0</v>
      </c>
      <c r="AI500" s="32">
        <f t="shared" si="184"/>
        <v>0</v>
      </c>
      <c r="AJ500" s="32">
        <f t="shared" si="185"/>
        <v>0</v>
      </c>
      <c r="AK500" t="str">
        <f t="shared" si="186"/>
        <v/>
      </c>
      <c r="AL500" t="str">
        <f t="shared" si="187"/>
        <v/>
      </c>
      <c r="AM500" t="str">
        <f t="shared" si="188"/>
        <v/>
      </c>
      <c r="AO500" t="str">
        <f>IFERROR(VLOOKUP(M500,'Fixture Identities'!$B$9:$O$1045,14,FALSE),"")</f>
        <v/>
      </c>
      <c r="AP500" t="str">
        <f t="shared" si="182"/>
        <v/>
      </c>
    </row>
    <row r="501" spans="1:42">
      <c r="A501" s="71">
        <f t="shared" si="190"/>
        <v>0</v>
      </c>
      <c r="B501" s="513">
        <f t="shared" si="189"/>
        <v>489</v>
      </c>
      <c r="C501" s="530" t="str">
        <f>IF(Inventory!E498="","",Inventory!E498)</f>
        <v/>
      </c>
      <c r="D501" s="531">
        <f>IF(Inventory!D498="",0,Inventory!D498)</f>
        <v>0</v>
      </c>
      <c r="E501" s="532" t="str">
        <f>IF(Inventory!I498=0,"",Inventory!I498)</f>
        <v/>
      </c>
      <c r="F501" s="533" t="str">
        <f t="shared" si="169"/>
        <v/>
      </c>
      <c r="G501" s="534" t="str">
        <f>IF(Inventory!G498="","",Inventory!G498)</f>
        <v/>
      </c>
      <c r="H501" s="535" t="str">
        <f t="shared" si="170"/>
        <v/>
      </c>
      <c r="I501" s="536" t="str">
        <f>IF(Inventory!J498="","",Inventory!J498)</f>
        <v/>
      </c>
      <c r="J501" s="537" t="str">
        <f>IFERROR(IF(PRJ_Type="New Construction",IF(Inventory!C498="N",INDEX(xyLPD_BuildingArea,MATCH(Building_Type,Lookups!$F$37:$F$75,0),4),INDEX(xyLPD_SpaceBySpace,MATCH(INDEX(xyNCEx,MATCH(I501,yNCExArea,0),2),ySpace_by_Space_Type,0),2)),VLOOKUP(E501,xyWattage_Table,11,FALSE)),"")</f>
        <v/>
      </c>
      <c r="K501" s="538" t="str">
        <f>IFERROR(IF(AND(NC_Type="Building Area Method",Inventory!C498="N"),IF(ISERROR(INDEX('Usage Groups (&gt;120 MWh only)'!$N$8:$N$12,MATCH(C501,'Usage Groups (&gt;120 MWh only)'!$B$8:$B$12,0),1))=TRUE,SqFt/COUNTIFS(Inventory!$C$10:$C$1009,"N",$Q$13:$Q$1012,"&gt;=0"),INDEX('Usage Groups (&gt;120 MWh only)'!$N$8:$N$12,MATCH(C501,'Usage Groups (&gt;120 MWh only)'!$B$8:$B$12,0),1)/COUNTIF($C$13:$C$1012,C501)),IF(AND(NC_Type="Building Area Method",Inventory!C498="Y"),INDEX(xyNCEx,MATCH(I501,yNCExArea,0),3)/COUNTIF($I$13:$I$1012,I501),VLOOKUP(J501,xyWattage_Table,10,FALSE))),"")</f>
        <v/>
      </c>
      <c r="L501" s="539" t="str">
        <f t="shared" si="171"/>
        <v/>
      </c>
      <c r="M501" s="540">
        <f>IF(Inventory!N498="","",Inventory!N498)</f>
        <v>0</v>
      </c>
      <c r="N501" s="533" t="str">
        <f t="shared" si="172"/>
        <v/>
      </c>
      <c r="O501" s="534"/>
      <c r="P501" s="533" t="str">
        <f t="shared" si="173"/>
        <v/>
      </c>
      <c r="Q501" s="534" t="str">
        <f>IF(Inventory!L498="","",Inventory!L498)</f>
        <v/>
      </c>
      <c r="R501" s="535" t="str">
        <f t="shared" si="174"/>
        <v/>
      </c>
      <c r="S501" s="536" t="str">
        <f>IF(Inventory!O498="","",Inventory!O498)</f>
        <v/>
      </c>
      <c r="T501" s="541" t="str">
        <f>IFERROR(IF(C501="","",IF(INDEX(xyWattage_Table,MATCH(M501,'Fixture Identities'!$B$9:$B$997,0),2)="Exit Sign",8760,IF(VLOOKUP(C501,xySpace_Type_Details,8,FALSE)="TRM",INDEX('General Information'!$AF$17:$AG$28,11,MATCH(N501,'General Information'!$AF$16:$AG$16,0)),HLOOKUP(VLOOKUP(C501,xySpace_Type_Details,8,FALSE),'General Information'!$P$15:$AG$28,13,FALSE)))),"")</f>
        <v/>
      </c>
      <c r="U501" s="542" t="str">
        <f>IFERROR(IF(C501="","",IF(INDEX(xyWattage_Table,MATCH(M501,'Fixture Identities'!$B$9:$B$997,0),2)="Exit Sign",1,IF(VLOOKUP(C501,xySpace_Type_Details,8,FALSE)="TRM",INDEX('General Information'!$AF$17:$AG$28,12,MATCH(N501,'General Information'!$AF$16:$AG$16,0)),HLOOKUP(VLOOKUP(C501,xySpace_Type_Details,8,FALSE),'General Information'!$P$15:$AG$28,14,FALSE)))),"")</f>
        <v/>
      </c>
      <c r="V501" s="542" t="str">
        <f>IFERROR(VLOOKUP(INDEX(xySpace_Type_Details,MATCH($C501,'General Information'!$C$40:$C$60,0),12),Lookups!$L$8:$N$12,2,FALSE),"")</f>
        <v/>
      </c>
      <c r="W501" s="542" t="str">
        <f>IFERROR(VLOOKUP(INDEX(xySpace_Type_Details,MATCH($C501,'General Information'!$C$40:$C$60,0),12),Lookups!$L$8:$N$12,3,FALSE),"")</f>
        <v/>
      </c>
      <c r="Y501" s="542" t="str">
        <f>IFERROR(IF(C501="","",IF(INDEX(xyWattage_Table,MATCH(M501,'Fixture Identities'!$B$9:$B$997,0),2)="Exit Sign",0,IF(PRJ_Type="Retrofit",VLOOKUP(I501,xySVG_Factors,2,FALSE),IF(AND(PRJ_Type="New Construction",Inventory!C498="N"),VLOOKUP(VLOOKUP(Building_Type,xyLPD_BuildingArea,5,FALSE),xySVG_Factors_NC,3,FALSE),0)))),"")</f>
        <v/>
      </c>
      <c r="Z501" s="544" t="str">
        <f>IFERROR(IF(C501="","",IF(INDEX(xyWattage_Table,MATCH(M501,'Fixture Identities'!$B$9:$B$997,0),2)="Exit Sign",0,VLOOKUP(S501,xySVG_Factors,2,FALSE))),"")</f>
        <v/>
      </c>
      <c r="AA501" s="545" t="str">
        <f t="shared" si="175"/>
        <v/>
      </c>
      <c r="AB501" s="542" t="str">
        <f t="shared" si="176"/>
        <v/>
      </c>
      <c r="AC501" s="539" t="str">
        <f t="shared" si="177"/>
        <v/>
      </c>
      <c r="AD501" s="546" t="str">
        <f t="shared" si="178"/>
        <v/>
      </c>
      <c r="AE501" s="539" t="str">
        <f t="shared" si="179"/>
        <v/>
      </c>
      <c r="AF501" s="546" t="str">
        <f t="shared" si="180"/>
        <v/>
      </c>
      <c r="AG501" s="539" t="str">
        <f t="shared" si="181"/>
        <v/>
      </c>
      <c r="AH501" s="32">
        <f t="shared" si="183"/>
        <v>0</v>
      </c>
      <c r="AI501" s="32">
        <f t="shared" si="184"/>
        <v>0</v>
      </c>
      <c r="AJ501" s="32">
        <f t="shared" si="185"/>
        <v>0</v>
      </c>
      <c r="AK501" t="str">
        <f t="shared" si="186"/>
        <v/>
      </c>
      <c r="AL501" t="str">
        <f t="shared" si="187"/>
        <v/>
      </c>
      <c r="AM501" t="str">
        <f t="shared" si="188"/>
        <v/>
      </c>
      <c r="AO501" t="str">
        <f>IFERROR(VLOOKUP(M501,'Fixture Identities'!$B$9:$O$1045,14,FALSE),"")</f>
        <v/>
      </c>
      <c r="AP501" t="str">
        <f t="shared" si="182"/>
        <v/>
      </c>
    </row>
    <row r="502" spans="1:42">
      <c r="A502" s="71">
        <f t="shared" si="190"/>
        <v>0</v>
      </c>
      <c r="B502" s="513">
        <f t="shared" si="189"/>
        <v>490</v>
      </c>
      <c r="C502" s="530" t="str">
        <f>IF(Inventory!E499="","",Inventory!E499)</f>
        <v/>
      </c>
      <c r="D502" s="531">
        <f>IF(Inventory!D499="",0,Inventory!D499)</f>
        <v>0</v>
      </c>
      <c r="E502" s="532" t="str">
        <f>IF(Inventory!I499=0,"",Inventory!I499)</f>
        <v/>
      </c>
      <c r="F502" s="533" t="str">
        <f t="shared" si="169"/>
        <v/>
      </c>
      <c r="G502" s="534" t="str">
        <f>IF(Inventory!G499="","",Inventory!G499)</f>
        <v/>
      </c>
      <c r="H502" s="535" t="str">
        <f t="shared" si="170"/>
        <v/>
      </c>
      <c r="I502" s="536" t="str">
        <f>IF(Inventory!J499="","",Inventory!J499)</f>
        <v/>
      </c>
      <c r="J502" s="537" t="str">
        <f>IFERROR(IF(PRJ_Type="New Construction",IF(Inventory!C499="N",INDEX(xyLPD_BuildingArea,MATCH(Building_Type,Lookups!$F$37:$F$75,0),4),INDEX(xyLPD_SpaceBySpace,MATCH(INDEX(xyNCEx,MATCH(I502,yNCExArea,0),2),ySpace_by_Space_Type,0),2)),VLOOKUP(E502,xyWattage_Table,11,FALSE)),"")</f>
        <v/>
      </c>
      <c r="K502" s="538" t="str">
        <f>IFERROR(IF(AND(NC_Type="Building Area Method",Inventory!C499="N"),IF(ISERROR(INDEX('Usage Groups (&gt;120 MWh only)'!$N$8:$N$12,MATCH(C502,'Usage Groups (&gt;120 MWh only)'!$B$8:$B$12,0),1))=TRUE,SqFt/COUNTIFS(Inventory!$C$10:$C$1009,"N",$Q$13:$Q$1012,"&gt;=0"),INDEX('Usage Groups (&gt;120 MWh only)'!$N$8:$N$12,MATCH(C502,'Usage Groups (&gt;120 MWh only)'!$B$8:$B$12,0),1)/COUNTIF($C$13:$C$1012,C502)),IF(AND(NC_Type="Building Area Method",Inventory!C499="Y"),INDEX(xyNCEx,MATCH(I502,yNCExArea,0),3)/COUNTIF($I$13:$I$1012,I502),VLOOKUP(J502,xyWattage_Table,10,FALSE))),"")</f>
        <v/>
      </c>
      <c r="L502" s="539" t="str">
        <f t="shared" si="171"/>
        <v/>
      </c>
      <c r="M502" s="540">
        <f>IF(Inventory!N499="","",Inventory!N499)</f>
        <v>0</v>
      </c>
      <c r="N502" s="533" t="str">
        <f t="shared" si="172"/>
        <v/>
      </c>
      <c r="O502" s="534"/>
      <c r="P502" s="533" t="str">
        <f t="shared" si="173"/>
        <v/>
      </c>
      <c r="Q502" s="534" t="str">
        <f>IF(Inventory!L499="","",Inventory!L499)</f>
        <v/>
      </c>
      <c r="R502" s="535" t="str">
        <f t="shared" si="174"/>
        <v/>
      </c>
      <c r="S502" s="536" t="str">
        <f>IF(Inventory!O499="","",Inventory!O499)</f>
        <v/>
      </c>
      <c r="T502" s="541" t="str">
        <f>IFERROR(IF(C502="","",IF(INDEX(xyWattage_Table,MATCH(M502,'Fixture Identities'!$B$9:$B$997,0),2)="Exit Sign",8760,IF(VLOOKUP(C502,xySpace_Type_Details,8,FALSE)="TRM",INDEX('General Information'!$AF$17:$AG$28,11,MATCH(N502,'General Information'!$AF$16:$AG$16,0)),HLOOKUP(VLOOKUP(C502,xySpace_Type_Details,8,FALSE),'General Information'!$P$15:$AG$28,13,FALSE)))),"")</f>
        <v/>
      </c>
      <c r="U502" s="542" t="str">
        <f>IFERROR(IF(C502="","",IF(INDEX(xyWattage_Table,MATCH(M502,'Fixture Identities'!$B$9:$B$997,0),2)="Exit Sign",1,IF(VLOOKUP(C502,xySpace_Type_Details,8,FALSE)="TRM",INDEX('General Information'!$AF$17:$AG$28,12,MATCH(N502,'General Information'!$AF$16:$AG$16,0)),HLOOKUP(VLOOKUP(C502,xySpace_Type_Details,8,FALSE),'General Information'!$P$15:$AG$28,14,FALSE)))),"")</f>
        <v/>
      </c>
      <c r="V502" s="542" t="str">
        <f>IFERROR(VLOOKUP(INDEX(xySpace_Type_Details,MATCH($C502,'General Information'!$C$40:$C$60,0),12),Lookups!$L$8:$N$12,2,FALSE),"")</f>
        <v/>
      </c>
      <c r="W502" s="542" t="str">
        <f>IFERROR(VLOOKUP(INDEX(xySpace_Type_Details,MATCH($C502,'General Information'!$C$40:$C$60,0),12),Lookups!$L$8:$N$12,3,FALSE),"")</f>
        <v/>
      </c>
      <c r="Y502" s="542" t="str">
        <f>IFERROR(IF(C502="","",IF(INDEX(xyWattage_Table,MATCH(M502,'Fixture Identities'!$B$9:$B$997,0),2)="Exit Sign",0,IF(PRJ_Type="Retrofit",VLOOKUP(I502,xySVG_Factors,2,FALSE),IF(AND(PRJ_Type="New Construction",Inventory!C499="N"),VLOOKUP(VLOOKUP(Building_Type,xyLPD_BuildingArea,5,FALSE),xySVG_Factors_NC,3,FALSE),0)))),"")</f>
        <v/>
      </c>
      <c r="Z502" s="544" t="str">
        <f>IFERROR(IF(C502="","",IF(INDEX(xyWattage_Table,MATCH(M502,'Fixture Identities'!$B$9:$B$997,0),2)="Exit Sign",0,VLOOKUP(S502,xySVG_Factors,2,FALSE))),"")</f>
        <v/>
      </c>
      <c r="AA502" s="545" t="str">
        <f t="shared" si="175"/>
        <v/>
      </c>
      <c r="AB502" s="542" t="str">
        <f t="shared" si="176"/>
        <v/>
      </c>
      <c r="AC502" s="539" t="str">
        <f t="shared" si="177"/>
        <v/>
      </c>
      <c r="AD502" s="546" t="str">
        <f t="shared" si="178"/>
        <v/>
      </c>
      <c r="AE502" s="539" t="str">
        <f t="shared" si="179"/>
        <v/>
      </c>
      <c r="AF502" s="546" t="str">
        <f t="shared" si="180"/>
        <v/>
      </c>
      <c r="AG502" s="539" t="str">
        <f t="shared" si="181"/>
        <v/>
      </c>
      <c r="AH502" s="32">
        <f t="shared" si="183"/>
        <v>0</v>
      </c>
      <c r="AI502" s="32">
        <f t="shared" si="184"/>
        <v>0</v>
      </c>
      <c r="AJ502" s="32">
        <f t="shared" si="185"/>
        <v>0</v>
      </c>
      <c r="AK502" t="str">
        <f t="shared" si="186"/>
        <v/>
      </c>
      <c r="AL502" t="str">
        <f t="shared" si="187"/>
        <v/>
      </c>
      <c r="AM502" t="str">
        <f t="shared" si="188"/>
        <v/>
      </c>
      <c r="AO502" t="str">
        <f>IFERROR(VLOOKUP(M502,'Fixture Identities'!$B$9:$O$1045,14,FALSE),"")</f>
        <v/>
      </c>
      <c r="AP502" t="str">
        <f t="shared" si="182"/>
        <v/>
      </c>
    </row>
    <row r="503" spans="1:42">
      <c r="A503" s="71">
        <f t="shared" si="190"/>
        <v>0</v>
      </c>
      <c r="B503" s="513">
        <f t="shared" si="189"/>
        <v>491</v>
      </c>
      <c r="C503" s="530" t="str">
        <f>IF(Inventory!E500="","",Inventory!E500)</f>
        <v/>
      </c>
      <c r="D503" s="531">
        <f>IF(Inventory!D500="",0,Inventory!D500)</f>
        <v>0</v>
      </c>
      <c r="E503" s="532" t="str">
        <f>IF(Inventory!I500=0,"",Inventory!I500)</f>
        <v/>
      </c>
      <c r="F503" s="533" t="str">
        <f t="shared" si="169"/>
        <v/>
      </c>
      <c r="G503" s="534" t="str">
        <f>IF(Inventory!G500="","",Inventory!G500)</f>
        <v/>
      </c>
      <c r="H503" s="535" t="str">
        <f t="shared" si="170"/>
        <v/>
      </c>
      <c r="I503" s="536" t="str">
        <f>IF(Inventory!J500="","",Inventory!J500)</f>
        <v/>
      </c>
      <c r="J503" s="537" t="str">
        <f>IFERROR(IF(PRJ_Type="New Construction",IF(Inventory!C500="N",INDEX(xyLPD_BuildingArea,MATCH(Building_Type,Lookups!$F$37:$F$75,0),4),INDEX(xyLPD_SpaceBySpace,MATCH(INDEX(xyNCEx,MATCH(I503,yNCExArea,0),2),ySpace_by_Space_Type,0),2)),VLOOKUP(E503,xyWattage_Table,11,FALSE)),"")</f>
        <v/>
      </c>
      <c r="K503" s="538" t="str">
        <f>IFERROR(IF(AND(NC_Type="Building Area Method",Inventory!C500="N"),IF(ISERROR(INDEX('Usage Groups (&gt;120 MWh only)'!$N$8:$N$12,MATCH(C503,'Usage Groups (&gt;120 MWh only)'!$B$8:$B$12,0),1))=TRUE,SqFt/COUNTIFS(Inventory!$C$10:$C$1009,"N",$Q$13:$Q$1012,"&gt;=0"),INDEX('Usage Groups (&gt;120 MWh only)'!$N$8:$N$12,MATCH(C503,'Usage Groups (&gt;120 MWh only)'!$B$8:$B$12,0),1)/COUNTIF($C$13:$C$1012,C503)),IF(AND(NC_Type="Building Area Method",Inventory!C500="Y"),INDEX(xyNCEx,MATCH(I503,yNCExArea,0),3)/COUNTIF($I$13:$I$1012,I503),VLOOKUP(J503,xyWattage_Table,10,FALSE))),"")</f>
        <v/>
      </c>
      <c r="L503" s="539" t="str">
        <f t="shared" si="171"/>
        <v/>
      </c>
      <c r="M503" s="540">
        <f>IF(Inventory!N500="","",Inventory!N500)</f>
        <v>0</v>
      </c>
      <c r="N503" s="533" t="str">
        <f t="shared" si="172"/>
        <v/>
      </c>
      <c r="O503" s="534"/>
      <c r="P503" s="533" t="str">
        <f t="shared" si="173"/>
        <v/>
      </c>
      <c r="Q503" s="534" t="str">
        <f>IF(Inventory!L500="","",Inventory!L500)</f>
        <v/>
      </c>
      <c r="R503" s="535" t="str">
        <f t="shared" si="174"/>
        <v/>
      </c>
      <c r="S503" s="536" t="str">
        <f>IF(Inventory!O500="","",Inventory!O500)</f>
        <v/>
      </c>
      <c r="T503" s="541" t="str">
        <f>IFERROR(IF(C503="","",IF(INDEX(xyWattage_Table,MATCH(M503,'Fixture Identities'!$B$9:$B$997,0),2)="Exit Sign",8760,IF(VLOOKUP(C503,xySpace_Type_Details,8,FALSE)="TRM",INDEX('General Information'!$AF$17:$AG$28,11,MATCH(N503,'General Information'!$AF$16:$AG$16,0)),HLOOKUP(VLOOKUP(C503,xySpace_Type_Details,8,FALSE),'General Information'!$P$15:$AG$28,13,FALSE)))),"")</f>
        <v/>
      </c>
      <c r="U503" s="542" t="str">
        <f>IFERROR(IF(C503="","",IF(INDEX(xyWattage_Table,MATCH(M503,'Fixture Identities'!$B$9:$B$997,0),2)="Exit Sign",1,IF(VLOOKUP(C503,xySpace_Type_Details,8,FALSE)="TRM",INDEX('General Information'!$AF$17:$AG$28,12,MATCH(N503,'General Information'!$AF$16:$AG$16,0)),HLOOKUP(VLOOKUP(C503,xySpace_Type_Details,8,FALSE),'General Information'!$P$15:$AG$28,14,FALSE)))),"")</f>
        <v/>
      </c>
      <c r="V503" s="542" t="str">
        <f>IFERROR(VLOOKUP(INDEX(xySpace_Type_Details,MATCH($C503,'General Information'!$C$40:$C$60,0),12),Lookups!$L$8:$N$12,2,FALSE),"")</f>
        <v/>
      </c>
      <c r="W503" s="542" t="str">
        <f>IFERROR(VLOOKUP(INDEX(xySpace_Type_Details,MATCH($C503,'General Information'!$C$40:$C$60,0),12),Lookups!$L$8:$N$12,3,FALSE),"")</f>
        <v/>
      </c>
      <c r="Y503" s="542" t="str">
        <f>IFERROR(IF(C503="","",IF(INDEX(xyWattage_Table,MATCH(M503,'Fixture Identities'!$B$9:$B$997,0),2)="Exit Sign",0,IF(PRJ_Type="Retrofit",VLOOKUP(I503,xySVG_Factors,2,FALSE),IF(AND(PRJ_Type="New Construction",Inventory!C500="N"),VLOOKUP(VLOOKUP(Building_Type,xyLPD_BuildingArea,5,FALSE),xySVG_Factors_NC,3,FALSE),0)))),"")</f>
        <v/>
      </c>
      <c r="Z503" s="544" t="str">
        <f>IFERROR(IF(C503="","",IF(INDEX(xyWattage_Table,MATCH(M503,'Fixture Identities'!$B$9:$B$997,0),2)="Exit Sign",0,VLOOKUP(S503,xySVG_Factors,2,FALSE))),"")</f>
        <v/>
      </c>
      <c r="AA503" s="545" t="str">
        <f t="shared" si="175"/>
        <v/>
      </c>
      <c r="AB503" s="542" t="str">
        <f t="shared" si="176"/>
        <v/>
      </c>
      <c r="AC503" s="539" t="str">
        <f t="shared" si="177"/>
        <v/>
      </c>
      <c r="AD503" s="546" t="str">
        <f t="shared" si="178"/>
        <v/>
      </c>
      <c r="AE503" s="539" t="str">
        <f t="shared" si="179"/>
        <v/>
      </c>
      <c r="AF503" s="546" t="str">
        <f t="shared" si="180"/>
        <v/>
      </c>
      <c r="AG503" s="539" t="str">
        <f t="shared" si="181"/>
        <v/>
      </c>
      <c r="AH503" s="32">
        <f t="shared" si="183"/>
        <v>0</v>
      </c>
      <c r="AI503" s="32">
        <f t="shared" si="184"/>
        <v>0</v>
      </c>
      <c r="AJ503" s="32">
        <f t="shared" si="185"/>
        <v>0</v>
      </c>
      <c r="AK503" t="str">
        <f t="shared" si="186"/>
        <v/>
      </c>
      <c r="AL503" t="str">
        <f t="shared" si="187"/>
        <v/>
      </c>
      <c r="AM503" t="str">
        <f t="shared" si="188"/>
        <v/>
      </c>
      <c r="AO503" t="str">
        <f>IFERROR(VLOOKUP(M503,'Fixture Identities'!$B$9:$O$1045,14,FALSE),"")</f>
        <v/>
      </c>
      <c r="AP503" t="str">
        <f t="shared" si="182"/>
        <v/>
      </c>
    </row>
    <row r="504" spans="1:42">
      <c r="A504" s="71">
        <f t="shared" si="190"/>
        <v>0</v>
      </c>
      <c r="B504" s="513">
        <f t="shared" si="189"/>
        <v>492</v>
      </c>
      <c r="C504" s="530" t="str">
        <f>IF(Inventory!E501="","",Inventory!E501)</f>
        <v/>
      </c>
      <c r="D504" s="531">
        <f>IF(Inventory!D501="",0,Inventory!D501)</f>
        <v>0</v>
      </c>
      <c r="E504" s="532" t="str">
        <f>IF(Inventory!I501=0,"",Inventory!I501)</f>
        <v/>
      </c>
      <c r="F504" s="533" t="str">
        <f t="shared" si="169"/>
        <v/>
      </c>
      <c r="G504" s="534" t="str">
        <f>IF(Inventory!G501="","",Inventory!G501)</f>
        <v/>
      </c>
      <c r="H504" s="535" t="str">
        <f t="shared" si="170"/>
        <v/>
      </c>
      <c r="I504" s="536" t="str">
        <f>IF(Inventory!J501="","",Inventory!J501)</f>
        <v/>
      </c>
      <c r="J504" s="537" t="str">
        <f>IFERROR(IF(PRJ_Type="New Construction",IF(Inventory!C501="N",INDEX(xyLPD_BuildingArea,MATCH(Building_Type,Lookups!$F$37:$F$75,0),4),INDEX(xyLPD_SpaceBySpace,MATCH(INDEX(xyNCEx,MATCH(I504,yNCExArea,0),2),ySpace_by_Space_Type,0),2)),VLOOKUP(E504,xyWattage_Table,11,FALSE)),"")</f>
        <v/>
      </c>
      <c r="K504" s="538" t="str">
        <f>IFERROR(IF(AND(NC_Type="Building Area Method",Inventory!C501="N"),IF(ISERROR(INDEX('Usage Groups (&gt;120 MWh only)'!$N$8:$N$12,MATCH(C504,'Usage Groups (&gt;120 MWh only)'!$B$8:$B$12,0),1))=TRUE,SqFt/COUNTIFS(Inventory!$C$10:$C$1009,"N",$Q$13:$Q$1012,"&gt;=0"),INDEX('Usage Groups (&gt;120 MWh only)'!$N$8:$N$12,MATCH(C504,'Usage Groups (&gt;120 MWh only)'!$B$8:$B$12,0),1)/COUNTIF($C$13:$C$1012,C504)),IF(AND(NC_Type="Building Area Method",Inventory!C501="Y"),INDEX(xyNCEx,MATCH(I504,yNCExArea,0),3)/COUNTIF($I$13:$I$1012,I504),VLOOKUP(J504,xyWattage_Table,10,FALSE))),"")</f>
        <v/>
      </c>
      <c r="L504" s="539" t="str">
        <f t="shared" si="171"/>
        <v/>
      </c>
      <c r="M504" s="540">
        <f>IF(Inventory!N501="","",Inventory!N501)</f>
        <v>0</v>
      </c>
      <c r="N504" s="533" t="str">
        <f t="shared" si="172"/>
        <v/>
      </c>
      <c r="O504" s="534"/>
      <c r="P504" s="533" t="str">
        <f t="shared" si="173"/>
        <v/>
      </c>
      <c r="Q504" s="534" t="str">
        <f>IF(Inventory!L501="","",Inventory!L501)</f>
        <v/>
      </c>
      <c r="R504" s="535" t="str">
        <f t="shared" si="174"/>
        <v/>
      </c>
      <c r="S504" s="536" t="str">
        <f>IF(Inventory!O501="","",Inventory!O501)</f>
        <v/>
      </c>
      <c r="T504" s="541" t="str">
        <f>IFERROR(IF(C504="","",IF(INDEX(xyWattage_Table,MATCH(M504,'Fixture Identities'!$B$9:$B$997,0),2)="Exit Sign",8760,IF(VLOOKUP(C504,xySpace_Type_Details,8,FALSE)="TRM",INDEX('General Information'!$AF$17:$AG$28,11,MATCH(N504,'General Information'!$AF$16:$AG$16,0)),HLOOKUP(VLOOKUP(C504,xySpace_Type_Details,8,FALSE),'General Information'!$P$15:$AG$28,13,FALSE)))),"")</f>
        <v/>
      </c>
      <c r="U504" s="542" t="str">
        <f>IFERROR(IF(C504="","",IF(INDEX(xyWattage_Table,MATCH(M504,'Fixture Identities'!$B$9:$B$997,0),2)="Exit Sign",1,IF(VLOOKUP(C504,xySpace_Type_Details,8,FALSE)="TRM",INDEX('General Information'!$AF$17:$AG$28,12,MATCH(N504,'General Information'!$AF$16:$AG$16,0)),HLOOKUP(VLOOKUP(C504,xySpace_Type_Details,8,FALSE),'General Information'!$P$15:$AG$28,14,FALSE)))),"")</f>
        <v/>
      </c>
      <c r="V504" s="542" t="str">
        <f>IFERROR(VLOOKUP(INDEX(xySpace_Type_Details,MATCH($C504,'General Information'!$C$40:$C$60,0),12),Lookups!$L$8:$N$12,2,FALSE),"")</f>
        <v/>
      </c>
      <c r="W504" s="542" t="str">
        <f>IFERROR(VLOOKUP(INDEX(xySpace_Type_Details,MATCH($C504,'General Information'!$C$40:$C$60,0),12),Lookups!$L$8:$N$12,3,FALSE),"")</f>
        <v/>
      </c>
      <c r="Y504" s="542" t="str">
        <f>IFERROR(IF(C504="","",IF(INDEX(xyWattage_Table,MATCH(M504,'Fixture Identities'!$B$9:$B$997,0),2)="Exit Sign",0,IF(PRJ_Type="Retrofit",VLOOKUP(I504,xySVG_Factors,2,FALSE),IF(AND(PRJ_Type="New Construction",Inventory!C501="N"),VLOOKUP(VLOOKUP(Building_Type,xyLPD_BuildingArea,5,FALSE),xySVG_Factors_NC,3,FALSE),0)))),"")</f>
        <v/>
      </c>
      <c r="Z504" s="544" t="str">
        <f>IFERROR(IF(C504="","",IF(INDEX(xyWattage_Table,MATCH(M504,'Fixture Identities'!$B$9:$B$997,0),2)="Exit Sign",0,VLOOKUP(S504,xySVG_Factors,2,FALSE))),"")</f>
        <v/>
      </c>
      <c r="AA504" s="545" t="str">
        <f t="shared" si="175"/>
        <v/>
      </c>
      <c r="AB504" s="542" t="str">
        <f t="shared" si="176"/>
        <v/>
      </c>
      <c r="AC504" s="539" t="str">
        <f t="shared" si="177"/>
        <v/>
      </c>
      <c r="AD504" s="546" t="str">
        <f t="shared" si="178"/>
        <v/>
      </c>
      <c r="AE504" s="539" t="str">
        <f t="shared" si="179"/>
        <v/>
      </c>
      <c r="AF504" s="546" t="str">
        <f t="shared" si="180"/>
        <v/>
      </c>
      <c r="AG504" s="539" t="str">
        <f t="shared" si="181"/>
        <v/>
      </c>
      <c r="AH504" s="32">
        <f t="shared" si="183"/>
        <v>0</v>
      </c>
      <c r="AI504" s="32">
        <f t="shared" si="184"/>
        <v>0</v>
      </c>
      <c r="AJ504" s="32">
        <f t="shared" si="185"/>
        <v>0</v>
      </c>
      <c r="AK504" t="str">
        <f t="shared" si="186"/>
        <v/>
      </c>
      <c r="AL504" t="str">
        <f t="shared" si="187"/>
        <v/>
      </c>
      <c r="AM504" t="str">
        <f t="shared" si="188"/>
        <v/>
      </c>
      <c r="AO504" t="str">
        <f>IFERROR(VLOOKUP(M504,'Fixture Identities'!$B$9:$O$1045,14,FALSE),"")</f>
        <v/>
      </c>
      <c r="AP504" t="str">
        <f t="shared" si="182"/>
        <v/>
      </c>
    </row>
    <row r="505" spans="1:42">
      <c r="A505" s="71">
        <f t="shared" si="190"/>
        <v>0</v>
      </c>
      <c r="B505" s="513">
        <f t="shared" si="189"/>
        <v>493</v>
      </c>
      <c r="C505" s="530" t="str">
        <f>IF(Inventory!E502="","",Inventory!E502)</f>
        <v/>
      </c>
      <c r="D505" s="531">
        <f>IF(Inventory!D502="",0,Inventory!D502)</f>
        <v>0</v>
      </c>
      <c r="E505" s="532" t="str">
        <f>IF(Inventory!I502=0,"",Inventory!I502)</f>
        <v/>
      </c>
      <c r="F505" s="533" t="str">
        <f t="shared" si="169"/>
        <v/>
      </c>
      <c r="G505" s="534" t="str">
        <f>IF(Inventory!G502="","",Inventory!G502)</f>
        <v/>
      </c>
      <c r="H505" s="535" t="str">
        <f t="shared" si="170"/>
        <v/>
      </c>
      <c r="I505" s="536" t="str">
        <f>IF(Inventory!J502="","",Inventory!J502)</f>
        <v/>
      </c>
      <c r="J505" s="537" t="str">
        <f>IFERROR(IF(PRJ_Type="New Construction",IF(Inventory!C502="N",INDEX(xyLPD_BuildingArea,MATCH(Building_Type,Lookups!$F$37:$F$75,0),4),INDEX(xyLPD_SpaceBySpace,MATCH(INDEX(xyNCEx,MATCH(I505,yNCExArea,0),2),ySpace_by_Space_Type,0),2)),VLOOKUP(E505,xyWattage_Table,11,FALSE)),"")</f>
        <v/>
      </c>
      <c r="K505" s="538" t="str">
        <f>IFERROR(IF(AND(NC_Type="Building Area Method",Inventory!C502="N"),IF(ISERROR(INDEX('Usage Groups (&gt;120 MWh only)'!$N$8:$N$12,MATCH(C505,'Usage Groups (&gt;120 MWh only)'!$B$8:$B$12,0),1))=TRUE,SqFt/COUNTIFS(Inventory!$C$10:$C$1009,"N",$Q$13:$Q$1012,"&gt;=0"),INDEX('Usage Groups (&gt;120 MWh only)'!$N$8:$N$12,MATCH(C505,'Usage Groups (&gt;120 MWh only)'!$B$8:$B$12,0),1)/COUNTIF($C$13:$C$1012,C505)),IF(AND(NC_Type="Building Area Method",Inventory!C502="Y"),INDEX(xyNCEx,MATCH(I505,yNCExArea,0),3)/COUNTIF($I$13:$I$1012,I505),VLOOKUP(J505,xyWattage_Table,10,FALSE))),"")</f>
        <v/>
      </c>
      <c r="L505" s="539" t="str">
        <f t="shared" si="171"/>
        <v/>
      </c>
      <c r="M505" s="540">
        <f>IF(Inventory!N502="","",Inventory!N502)</f>
        <v>0</v>
      </c>
      <c r="N505" s="533" t="str">
        <f t="shared" si="172"/>
        <v/>
      </c>
      <c r="O505" s="534"/>
      <c r="P505" s="533" t="str">
        <f t="shared" si="173"/>
        <v/>
      </c>
      <c r="Q505" s="534" t="str">
        <f>IF(Inventory!L502="","",Inventory!L502)</f>
        <v/>
      </c>
      <c r="R505" s="535" t="str">
        <f t="shared" si="174"/>
        <v/>
      </c>
      <c r="S505" s="536" t="str">
        <f>IF(Inventory!O502="","",Inventory!O502)</f>
        <v/>
      </c>
      <c r="T505" s="541" t="str">
        <f>IFERROR(IF(C505="","",IF(INDEX(xyWattage_Table,MATCH(M505,'Fixture Identities'!$B$9:$B$997,0),2)="Exit Sign",8760,IF(VLOOKUP(C505,xySpace_Type_Details,8,FALSE)="TRM",INDEX('General Information'!$AF$17:$AG$28,11,MATCH(N505,'General Information'!$AF$16:$AG$16,0)),HLOOKUP(VLOOKUP(C505,xySpace_Type_Details,8,FALSE),'General Information'!$P$15:$AG$28,13,FALSE)))),"")</f>
        <v/>
      </c>
      <c r="U505" s="542" t="str">
        <f>IFERROR(IF(C505="","",IF(INDEX(xyWattage_Table,MATCH(M505,'Fixture Identities'!$B$9:$B$997,0),2)="Exit Sign",1,IF(VLOOKUP(C505,xySpace_Type_Details,8,FALSE)="TRM",INDEX('General Information'!$AF$17:$AG$28,12,MATCH(N505,'General Information'!$AF$16:$AG$16,0)),HLOOKUP(VLOOKUP(C505,xySpace_Type_Details,8,FALSE),'General Information'!$P$15:$AG$28,14,FALSE)))),"")</f>
        <v/>
      </c>
      <c r="V505" s="542" t="str">
        <f>IFERROR(VLOOKUP(INDEX(xySpace_Type_Details,MATCH($C505,'General Information'!$C$40:$C$60,0),12),Lookups!$L$8:$N$12,2,FALSE),"")</f>
        <v/>
      </c>
      <c r="W505" s="542" t="str">
        <f>IFERROR(VLOOKUP(INDEX(xySpace_Type_Details,MATCH($C505,'General Information'!$C$40:$C$60,0),12),Lookups!$L$8:$N$12,3,FALSE),"")</f>
        <v/>
      </c>
      <c r="Y505" s="542" t="str">
        <f>IFERROR(IF(C505="","",IF(INDEX(xyWattage_Table,MATCH(M505,'Fixture Identities'!$B$9:$B$997,0),2)="Exit Sign",0,IF(PRJ_Type="Retrofit",VLOOKUP(I505,xySVG_Factors,2,FALSE),IF(AND(PRJ_Type="New Construction",Inventory!C502="N"),VLOOKUP(VLOOKUP(Building_Type,xyLPD_BuildingArea,5,FALSE),xySVG_Factors_NC,3,FALSE),0)))),"")</f>
        <v/>
      </c>
      <c r="Z505" s="544" t="str">
        <f>IFERROR(IF(C505="","",IF(INDEX(xyWattage_Table,MATCH(M505,'Fixture Identities'!$B$9:$B$997,0),2)="Exit Sign",0,VLOOKUP(S505,xySVG_Factors,2,FALSE))),"")</f>
        <v/>
      </c>
      <c r="AA505" s="545" t="str">
        <f t="shared" si="175"/>
        <v/>
      </c>
      <c r="AB505" s="542" t="str">
        <f t="shared" si="176"/>
        <v/>
      </c>
      <c r="AC505" s="539" t="str">
        <f t="shared" si="177"/>
        <v/>
      </c>
      <c r="AD505" s="546" t="str">
        <f t="shared" si="178"/>
        <v/>
      </c>
      <c r="AE505" s="539" t="str">
        <f t="shared" si="179"/>
        <v/>
      </c>
      <c r="AF505" s="546" t="str">
        <f t="shared" si="180"/>
        <v/>
      </c>
      <c r="AG505" s="539" t="str">
        <f t="shared" si="181"/>
        <v/>
      </c>
      <c r="AH505" s="32">
        <f t="shared" si="183"/>
        <v>0</v>
      </c>
      <c r="AI505" s="32">
        <f t="shared" si="184"/>
        <v>0</v>
      </c>
      <c r="AJ505" s="32">
        <f t="shared" si="185"/>
        <v>0</v>
      </c>
      <c r="AK505" t="str">
        <f t="shared" si="186"/>
        <v/>
      </c>
      <c r="AL505" t="str">
        <f t="shared" si="187"/>
        <v/>
      </c>
      <c r="AM505" t="str">
        <f t="shared" si="188"/>
        <v/>
      </c>
      <c r="AO505" t="str">
        <f>IFERROR(VLOOKUP(M505,'Fixture Identities'!$B$9:$O$1045,14,FALSE),"")</f>
        <v/>
      </c>
      <c r="AP505" t="str">
        <f t="shared" si="182"/>
        <v/>
      </c>
    </row>
    <row r="506" spans="1:42">
      <c r="A506" s="71">
        <f t="shared" si="190"/>
        <v>0</v>
      </c>
      <c r="B506" s="513">
        <f t="shared" si="189"/>
        <v>494</v>
      </c>
      <c r="C506" s="530" t="str">
        <f>IF(Inventory!E503="","",Inventory!E503)</f>
        <v/>
      </c>
      <c r="D506" s="531">
        <f>IF(Inventory!D503="",0,Inventory!D503)</f>
        <v>0</v>
      </c>
      <c r="E506" s="532" t="str">
        <f>IF(Inventory!I503=0,"",Inventory!I503)</f>
        <v/>
      </c>
      <c r="F506" s="533" t="str">
        <f t="shared" si="169"/>
        <v/>
      </c>
      <c r="G506" s="534" t="str">
        <f>IF(Inventory!G503="","",Inventory!G503)</f>
        <v/>
      </c>
      <c r="H506" s="535" t="str">
        <f t="shared" si="170"/>
        <v/>
      </c>
      <c r="I506" s="536" t="str">
        <f>IF(Inventory!J503="","",Inventory!J503)</f>
        <v/>
      </c>
      <c r="J506" s="537" t="str">
        <f>IFERROR(IF(PRJ_Type="New Construction",IF(Inventory!C503="N",INDEX(xyLPD_BuildingArea,MATCH(Building_Type,Lookups!$F$37:$F$75,0),4),INDEX(xyLPD_SpaceBySpace,MATCH(INDEX(xyNCEx,MATCH(I506,yNCExArea,0),2),ySpace_by_Space_Type,0),2)),VLOOKUP(E506,xyWattage_Table,11,FALSE)),"")</f>
        <v/>
      </c>
      <c r="K506" s="538" t="str">
        <f>IFERROR(IF(AND(NC_Type="Building Area Method",Inventory!C503="N"),IF(ISERROR(INDEX('Usage Groups (&gt;120 MWh only)'!$N$8:$N$12,MATCH(C506,'Usage Groups (&gt;120 MWh only)'!$B$8:$B$12,0),1))=TRUE,SqFt/COUNTIFS(Inventory!$C$10:$C$1009,"N",$Q$13:$Q$1012,"&gt;=0"),INDEX('Usage Groups (&gt;120 MWh only)'!$N$8:$N$12,MATCH(C506,'Usage Groups (&gt;120 MWh only)'!$B$8:$B$12,0),1)/COUNTIF($C$13:$C$1012,C506)),IF(AND(NC_Type="Building Area Method",Inventory!C503="Y"),INDEX(xyNCEx,MATCH(I506,yNCExArea,0),3)/COUNTIF($I$13:$I$1012,I506),VLOOKUP(J506,xyWattage_Table,10,FALSE))),"")</f>
        <v/>
      </c>
      <c r="L506" s="539" t="str">
        <f t="shared" si="171"/>
        <v/>
      </c>
      <c r="M506" s="540">
        <f>IF(Inventory!N503="","",Inventory!N503)</f>
        <v>0</v>
      </c>
      <c r="N506" s="533" t="str">
        <f t="shared" si="172"/>
        <v/>
      </c>
      <c r="O506" s="534"/>
      <c r="P506" s="533" t="str">
        <f t="shared" si="173"/>
        <v/>
      </c>
      <c r="Q506" s="534" t="str">
        <f>IF(Inventory!L503="","",Inventory!L503)</f>
        <v/>
      </c>
      <c r="R506" s="535" t="str">
        <f t="shared" si="174"/>
        <v/>
      </c>
      <c r="S506" s="536" t="str">
        <f>IF(Inventory!O503="","",Inventory!O503)</f>
        <v/>
      </c>
      <c r="T506" s="541" t="str">
        <f>IFERROR(IF(C506="","",IF(INDEX(xyWattage_Table,MATCH(M506,'Fixture Identities'!$B$9:$B$997,0),2)="Exit Sign",8760,IF(VLOOKUP(C506,xySpace_Type_Details,8,FALSE)="TRM",INDEX('General Information'!$AF$17:$AG$28,11,MATCH(N506,'General Information'!$AF$16:$AG$16,0)),HLOOKUP(VLOOKUP(C506,xySpace_Type_Details,8,FALSE),'General Information'!$P$15:$AG$28,13,FALSE)))),"")</f>
        <v/>
      </c>
      <c r="U506" s="542" t="str">
        <f>IFERROR(IF(C506="","",IF(INDEX(xyWattage_Table,MATCH(M506,'Fixture Identities'!$B$9:$B$997,0),2)="Exit Sign",1,IF(VLOOKUP(C506,xySpace_Type_Details,8,FALSE)="TRM",INDEX('General Information'!$AF$17:$AG$28,12,MATCH(N506,'General Information'!$AF$16:$AG$16,0)),HLOOKUP(VLOOKUP(C506,xySpace_Type_Details,8,FALSE),'General Information'!$P$15:$AG$28,14,FALSE)))),"")</f>
        <v/>
      </c>
      <c r="V506" s="542" t="str">
        <f>IFERROR(VLOOKUP(INDEX(xySpace_Type_Details,MATCH($C506,'General Information'!$C$40:$C$60,0),12),Lookups!$L$8:$N$12,2,FALSE),"")</f>
        <v/>
      </c>
      <c r="W506" s="542" t="str">
        <f>IFERROR(VLOOKUP(INDEX(xySpace_Type_Details,MATCH($C506,'General Information'!$C$40:$C$60,0),12),Lookups!$L$8:$N$12,3,FALSE),"")</f>
        <v/>
      </c>
      <c r="Y506" s="542" t="str">
        <f>IFERROR(IF(C506="","",IF(INDEX(xyWattage_Table,MATCH(M506,'Fixture Identities'!$B$9:$B$997,0),2)="Exit Sign",0,IF(PRJ_Type="Retrofit",VLOOKUP(I506,xySVG_Factors,2,FALSE),IF(AND(PRJ_Type="New Construction",Inventory!C503="N"),VLOOKUP(VLOOKUP(Building_Type,xyLPD_BuildingArea,5,FALSE),xySVG_Factors_NC,3,FALSE),0)))),"")</f>
        <v/>
      </c>
      <c r="Z506" s="544" t="str">
        <f>IFERROR(IF(C506="","",IF(INDEX(xyWattage_Table,MATCH(M506,'Fixture Identities'!$B$9:$B$997,0),2)="Exit Sign",0,VLOOKUP(S506,xySVG_Factors,2,FALSE))),"")</f>
        <v/>
      </c>
      <c r="AA506" s="545" t="str">
        <f t="shared" si="175"/>
        <v/>
      </c>
      <c r="AB506" s="542" t="str">
        <f t="shared" si="176"/>
        <v/>
      </c>
      <c r="AC506" s="539" t="str">
        <f t="shared" si="177"/>
        <v/>
      </c>
      <c r="AD506" s="546" t="str">
        <f t="shared" si="178"/>
        <v/>
      </c>
      <c r="AE506" s="539" t="str">
        <f t="shared" si="179"/>
        <v/>
      </c>
      <c r="AF506" s="546" t="str">
        <f t="shared" si="180"/>
        <v/>
      </c>
      <c r="AG506" s="539" t="str">
        <f t="shared" si="181"/>
        <v/>
      </c>
      <c r="AH506" s="32">
        <f t="shared" si="183"/>
        <v>0</v>
      </c>
      <c r="AI506" s="32">
        <f t="shared" si="184"/>
        <v>0</v>
      </c>
      <c r="AJ506" s="32">
        <f t="shared" si="185"/>
        <v>0</v>
      </c>
      <c r="AK506" t="str">
        <f t="shared" si="186"/>
        <v/>
      </c>
      <c r="AL506" t="str">
        <f t="shared" si="187"/>
        <v/>
      </c>
      <c r="AM506" t="str">
        <f t="shared" si="188"/>
        <v/>
      </c>
      <c r="AO506" t="str">
        <f>IFERROR(VLOOKUP(M506,'Fixture Identities'!$B$9:$O$1045,14,FALSE),"")</f>
        <v/>
      </c>
      <c r="AP506" t="str">
        <f t="shared" si="182"/>
        <v/>
      </c>
    </row>
    <row r="507" spans="1:42">
      <c r="A507" s="71">
        <f t="shared" si="190"/>
        <v>0</v>
      </c>
      <c r="B507" s="513">
        <f t="shared" si="189"/>
        <v>495</v>
      </c>
      <c r="C507" s="530" t="str">
        <f>IF(Inventory!E504="","",Inventory!E504)</f>
        <v/>
      </c>
      <c r="D507" s="531">
        <f>IF(Inventory!D504="",0,Inventory!D504)</f>
        <v>0</v>
      </c>
      <c r="E507" s="532" t="str">
        <f>IF(Inventory!I504=0,"",Inventory!I504)</f>
        <v/>
      </c>
      <c r="F507" s="533" t="str">
        <f t="shared" si="169"/>
        <v/>
      </c>
      <c r="G507" s="534" t="str">
        <f>IF(Inventory!G504="","",Inventory!G504)</f>
        <v/>
      </c>
      <c r="H507" s="535" t="str">
        <f t="shared" si="170"/>
        <v/>
      </c>
      <c r="I507" s="536" t="str">
        <f>IF(Inventory!J504="","",Inventory!J504)</f>
        <v/>
      </c>
      <c r="J507" s="537" t="str">
        <f>IFERROR(IF(PRJ_Type="New Construction",IF(Inventory!C504="N",INDEX(xyLPD_BuildingArea,MATCH(Building_Type,Lookups!$F$37:$F$75,0),4),INDEX(xyLPD_SpaceBySpace,MATCH(INDEX(xyNCEx,MATCH(I507,yNCExArea,0),2),ySpace_by_Space_Type,0),2)),VLOOKUP(E507,xyWattage_Table,11,FALSE)),"")</f>
        <v/>
      </c>
      <c r="K507" s="538" t="str">
        <f>IFERROR(IF(AND(NC_Type="Building Area Method",Inventory!C504="N"),IF(ISERROR(INDEX('Usage Groups (&gt;120 MWh only)'!$N$8:$N$12,MATCH(C507,'Usage Groups (&gt;120 MWh only)'!$B$8:$B$12,0),1))=TRUE,SqFt/COUNTIFS(Inventory!$C$10:$C$1009,"N",$Q$13:$Q$1012,"&gt;=0"),INDEX('Usage Groups (&gt;120 MWh only)'!$N$8:$N$12,MATCH(C507,'Usage Groups (&gt;120 MWh only)'!$B$8:$B$12,0),1)/COUNTIF($C$13:$C$1012,C507)),IF(AND(NC_Type="Building Area Method",Inventory!C504="Y"),INDEX(xyNCEx,MATCH(I507,yNCExArea,0),3)/COUNTIF($I$13:$I$1012,I507),VLOOKUP(J507,xyWattage_Table,10,FALSE))),"")</f>
        <v/>
      </c>
      <c r="L507" s="539" t="str">
        <f t="shared" si="171"/>
        <v/>
      </c>
      <c r="M507" s="540">
        <f>IF(Inventory!N504="","",Inventory!N504)</f>
        <v>0</v>
      </c>
      <c r="N507" s="533" t="str">
        <f t="shared" si="172"/>
        <v/>
      </c>
      <c r="O507" s="534"/>
      <c r="P507" s="533" t="str">
        <f t="shared" si="173"/>
        <v/>
      </c>
      <c r="Q507" s="534" t="str">
        <f>IF(Inventory!L504="","",Inventory!L504)</f>
        <v/>
      </c>
      <c r="R507" s="535" t="str">
        <f t="shared" si="174"/>
        <v/>
      </c>
      <c r="S507" s="536" t="str">
        <f>IF(Inventory!O504="","",Inventory!O504)</f>
        <v/>
      </c>
      <c r="T507" s="541" t="str">
        <f>IFERROR(IF(C507="","",IF(INDEX(xyWattage_Table,MATCH(M507,'Fixture Identities'!$B$9:$B$997,0),2)="Exit Sign",8760,IF(VLOOKUP(C507,xySpace_Type_Details,8,FALSE)="TRM",INDEX('General Information'!$AF$17:$AG$28,11,MATCH(N507,'General Information'!$AF$16:$AG$16,0)),HLOOKUP(VLOOKUP(C507,xySpace_Type_Details,8,FALSE),'General Information'!$P$15:$AG$28,13,FALSE)))),"")</f>
        <v/>
      </c>
      <c r="U507" s="542" t="str">
        <f>IFERROR(IF(C507="","",IF(INDEX(xyWattage_Table,MATCH(M507,'Fixture Identities'!$B$9:$B$997,0),2)="Exit Sign",1,IF(VLOOKUP(C507,xySpace_Type_Details,8,FALSE)="TRM",INDEX('General Information'!$AF$17:$AG$28,12,MATCH(N507,'General Information'!$AF$16:$AG$16,0)),HLOOKUP(VLOOKUP(C507,xySpace_Type_Details,8,FALSE),'General Information'!$P$15:$AG$28,14,FALSE)))),"")</f>
        <v/>
      </c>
      <c r="V507" s="542" t="str">
        <f>IFERROR(VLOOKUP(INDEX(xySpace_Type_Details,MATCH($C507,'General Information'!$C$40:$C$60,0),12),Lookups!$L$8:$N$12,2,FALSE),"")</f>
        <v/>
      </c>
      <c r="W507" s="542" t="str">
        <f>IFERROR(VLOOKUP(INDEX(xySpace_Type_Details,MATCH($C507,'General Information'!$C$40:$C$60,0),12),Lookups!$L$8:$N$12,3,FALSE),"")</f>
        <v/>
      </c>
      <c r="Y507" s="542" t="str">
        <f>IFERROR(IF(C507="","",IF(INDEX(xyWattage_Table,MATCH(M507,'Fixture Identities'!$B$9:$B$997,0),2)="Exit Sign",0,IF(PRJ_Type="Retrofit",VLOOKUP(I507,xySVG_Factors,2,FALSE),IF(AND(PRJ_Type="New Construction",Inventory!C504="N"),VLOOKUP(VLOOKUP(Building_Type,xyLPD_BuildingArea,5,FALSE),xySVG_Factors_NC,3,FALSE),0)))),"")</f>
        <v/>
      </c>
      <c r="Z507" s="544" t="str">
        <f>IFERROR(IF(C507="","",IF(INDEX(xyWattage_Table,MATCH(M507,'Fixture Identities'!$B$9:$B$997,0),2)="Exit Sign",0,VLOOKUP(S507,xySVG_Factors,2,FALSE))),"")</f>
        <v/>
      </c>
      <c r="AA507" s="545" t="str">
        <f t="shared" si="175"/>
        <v/>
      </c>
      <c r="AB507" s="542" t="str">
        <f t="shared" si="176"/>
        <v/>
      </c>
      <c r="AC507" s="539" t="str">
        <f t="shared" si="177"/>
        <v/>
      </c>
      <c r="AD507" s="546" t="str">
        <f t="shared" si="178"/>
        <v/>
      </c>
      <c r="AE507" s="539" t="str">
        <f t="shared" si="179"/>
        <v/>
      </c>
      <c r="AF507" s="546" t="str">
        <f t="shared" si="180"/>
        <v/>
      </c>
      <c r="AG507" s="539" t="str">
        <f t="shared" si="181"/>
        <v/>
      </c>
      <c r="AH507" s="32">
        <f t="shared" si="183"/>
        <v>0</v>
      </c>
      <c r="AI507" s="32">
        <f t="shared" si="184"/>
        <v>0</v>
      </c>
      <c r="AJ507" s="32">
        <f t="shared" si="185"/>
        <v>0</v>
      </c>
      <c r="AK507" t="str">
        <f t="shared" si="186"/>
        <v/>
      </c>
      <c r="AL507" t="str">
        <f t="shared" si="187"/>
        <v/>
      </c>
      <c r="AM507" t="str">
        <f t="shared" si="188"/>
        <v/>
      </c>
      <c r="AO507" t="str">
        <f>IFERROR(VLOOKUP(M507,'Fixture Identities'!$B$9:$O$1045,14,FALSE),"")</f>
        <v/>
      </c>
      <c r="AP507" t="str">
        <f t="shared" si="182"/>
        <v/>
      </c>
    </row>
    <row r="508" spans="1:42">
      <c r="A508" s="71">
        <f t="shared" si="190"/>
        <v>0</v>
      </c>
      <c r="B508" s="513">
        <f t="shared" si="189"/>
        <v>496</v>
      </c>
      <c r="C508" s="530" t="str">
        <f>IF(Inventory!E505="","",Inventory!E505)</f>
        <v/>
      </c>
      <c r="D508" s="531">
        <f>IF(Inventory!D505="",0,Inventory!D505)</f>
        <v>0</v>
      </c>
      <c r="E508" s="532" t="str">
        <f>IF(Inventory!I505=0,"",Inventory!I505)</f>
        <v/>
      </c>
      <c r="F508" s="533" t="str">
        <f t="shared" si="169"/>
        <v/>
      </c>
      <c r="G508" s="534" t="str">
        <f>IF(Inventory!G505="","",Inventory!G505)</f>
        <v/>
      </c>
      <c r="H508" s="535" t="str">
        <f t="shared" si="170"/>
        <v/>
      </c>
      <c r="I508" s="536" t="str">
        <f>IF(Inventory!J505="","",Inventory!J505)</f>
        <v/>
      </c>
      <c r="J508" s="537" t="str">
        <f>IFERROR(IF(PRJ_Type="New Construction",IF(Inventory!C505="N",INDEX(xyLPD_BuildingArea,MATCH(Building_Type,Lookups!$F$37:$F$75,0),4),INDEX(xyLPD_SpaceBySpace,MATCH(INDEX(xyNCEx,MATCH(I508,yNCExArea,0),2),ySpace_by_Space_Type,0),2)),VLOOKUP(E508,xyWattage_Table,11,FALSE)),"")</f>
        <v/>
      </c>
      <c r="K508" s="538" t="str">
        <f>IFERROR(IF(AND(NC_Type="Building Area Method",Inventory!C505="N"),IF(ISERROR(INDEX('Usage Groups (&gt;120 MWh only)'!$N$8:$N$12,MATCH(C508,'Usage Groups (&gt;120 MWh only)'!$B$8:$B$12,0),1))=TRUE,SqFt/COUNTIFS(Inventory!$C$10:$C$1009,"N",$Q$13:$Q$1012,"&gt;=0"),INDEX('Usage Groups (&gt;120 MWh only)'!$N$8:$N$12,MATCH(C508,'Usage Groups (&gt;120 MWh only)'!$B$8:$B$12,0),1)/COUNTIF($C$13:$C$1012,C508)),IF(AND(NC_Type="Building Area Method",Inventory!C505="Y"),INDEX(xyNCEx,MATCH(I508,yNCExArea,0),3)/COUNTIF($I$13:$I$1012,I508),VLOOKUP(J508,xyWattage_Table,10,FALSE))),"")</f>
        <v/>
      </c>
      <c r="L508" s="539" t="str">
        <f t="shared" si="171"/>
        <v/>
      </c>
      <c r="M508" s="540">
        <f>IF(Inventory!N505="","",Inventory!N505)</f>
        <v>0</v>
      </c>
      <c r="N508" s="533" t="str">
        <f t="shared" si="172"/>
        <v/>
      </c>
      <c r="O508" s="534"/>
      <c r="P508" s="533" t="str">
        <f t="shared" si="173"/>
        <v/>
      </c>
      <c r="Q508" s="534" t="str">
        <f>IF(Inventory!L505="","",Inventory!L505)</f>
        <v/>
      </c>
      <c r="R508" s="535" t="str">
        <f t="shared" si="174"/>
        <v/>
      </c>
      <c r="S508" s="536" t="str">
        <f>IF(Inventory!O505="","",Inventory!O505)</f>
        <v/>
      </c>
      <c r="T508" s="541" t="str">
        <f>IFERROR(IF(C508="","",IF(INDEX(xyWattage_Table,MATCH(M508,'Fixture Identities'!$B$9:$B$997,0),2)="Exit Sign",8760,IF(VLOOKUP(C508,xySpace_Type_Details,8,FALSE)="TRM",INDEX('General Information'!$AF$17:$AG$28,11,MATCH(N508,'General Information'!$AF$16:$AG$16,0)),HLOOKUP(VLOOKUP(C508,xySpace_Type_Details,8,FALSE),'General Information'!$P$15:$AG$28,13,FALSE)))),"")</f>
        <v/>
      </c>
      <c r="U508" s="542" t="str">
        <f>IFERROR(IF(C508="","",IF(INDEX(xyWattage_Table,MATCH(M508,'Fixture Identities'!$B$9:$B$997,0),2)="Exit Sign",1,IF(VLOOKUP(C508,xySpace_Type_Details,8,FALSE)="TRM",INDEX('General Information'!$AF$17:$AG$28,12,MATCH(N508,'General Information'!$AF$16:$AG$16,0)),HLOOKUP(VLOOKUP(C508,xySpace_Type_Details,8,FALSE),'General Information'!$P$15:$AG$28,14,FALSE)))),"")</f>
        <v/>
      </c>
      <c r="V508" s="542" t="str">
        <f>IFERROR(VLOOKUP(INDEX(xySpace_Type_Details,MATCH($C508,'General Information'!$C$40:$C$60,0),12),Lookups!$L$8:$N$12,2,FALSE),"")</f>
        <v/>
      </c>
      <c r="W508" s="542" t="str">
        <f>IFERROR(VLOOKUP(INDEX(xySpace_Type_Details,MATCH($C508,'General Information'!$C$40:$C$60,0),12),Lookups!$L$8:$N$12,3,FALSE),"")</f>
        <v/>
      </c>
      <c r="Y508" s="542" t="str">
        <f>IFERROR(IF(C508="","",IF(INDEX(xyWattage_Table,MATCH(M508,'Fixture Identities'!$B$9:$B$997,0),2)="Exit Sign",0,IF(PRJ_Type="Retrofit",VLOOKUP(I508,xySVG_Factors,2,FALSE),IF(AND(PRJ_Type="New Construction",Inventory!C505="N"),VLOOKUP(VLOOKUP(Building_Type,xyLPD_BuildingArea,5,FALSE),xySVG_Factors_NC,3,FALSE),0)))),"")</f>
        <v/>
      </c>
      <c r="Z508" s="544" t="str">
        <f>IFERROR(IF(C508="","",IF(INDEX(xyWattage_Table,MATCH(M508,'Fixture Identities'!$B$9:$B$997,0),2)="Exit Sign",0,VLOOKUP(S508,xySVG_Factors,2,FALSE))),"")</f>
        <v/>
      </c>
      <c r="AA508" s="545" t="str">
        <f t="shared" si="175"/>
        <v/>
      </c>
      <c r="AB508" s="542" t="str">
        <f t="shared" si="176"/>
        <v/>
      </c>
      <c r="AC508" s="539" t="str">
        <f t="shared" si="177"/>
        <v/>
      </c>
      <c r="AD508" s="546" t="str">
        <f t="shared" si="178"/>
        <v/>
      </c>
      <c r="AE508" s="539" t="str">
        <f t="shared" si="179"/>
        <v/>
      </c>
      <c r="AF508" s="546" t="str">
        <f t="shared" si="180"/>
        <v/>
      </c>
      <c r="AG508" s="539" t="str">
        <f t="shared" si="181"/>
        <v/>
      </c>
      <c r="AH508" s="32">
        <f t="shared" si="183"/>
        <v>0</v>
      </c>
      <c r="AI508" s="32">
        <f t="shared" si="184"/>
        <v>0</v>
      </c>
      <c r="AJ508" s="32">
        <f t="shared" si="185"/>
        <v>0</v>
      </c>
      <c r="AK508" t="str">
        <f t="shared" si="186"/>
        <v/>
      </c>
      <c r="AL508" t="str">
        <f t="shared" si="187"/>
        <v/>
      </c>
      <c r="AM508" t="str">
        <f t="shared" si="188"/>
        <v/>
      </c>
      <c r="AO508" t="str">
        <f>IFERROR(VLOOKUP(M508,'Fixture Identities'!$B$9:$O$1045,14,FALSE),"")</f>
        <v/>
      </c>
      <c r="AP508" t="str">
        <f t="shared" si="182"/>
        <v/>
      </c>
    </row>
    <row r="509" spans="1:42">
      <c r="A509" s="71">
        <f t="shared" si="190"/>
        <v>0</v>
      </c>
      <c r="B509" s="513">
        <f t="shared" si="189"/>
        <v>497</v>
      </c>
      <c r="C509" s="530" t="str">
        <f>IF(Inventory!E506="","",Inventory!E506)</f>
        <v/>
      </c>
      <c r="D509" s="531">
        <f>IF(Inventory!D506="",0,Inventory!D506)</f>
        <v>0</v>
      </c>
      <c r="E509" s="532" t="str">
        <f>IF(Inventory!I506=0,"",Inventory!I506)</f>
        <v/>
      </c>
      <c r="F509" s="533" t="str">
        <f t="shared" si="169"/>
        <v/>
      </c>
      <c r="G509" s="534" t="str">
        <f>IF(Inventory!G506="","",Inventory!G506)</f>
        <v/>
      </c>
      <c r="H509" s="535" t="str">
        <f t="shared" si="170"/>
        <v/>
      </c>
      <c r="I509" s="536" t="str">
        <f>IF(Inventory!J506="","",Inventory!J506)</f>
        <v/>
      </c>
      <c r="J509" s="537" t="str">
        <f>IFERROR(IF(PRJ_Type="New Construction",IF(Inventory!C506="N",INDEX(xyLPD_BuildingArea,MATCH(Building_Type,Lookups!$F$37:$F$75,0),4),INDEX(xyLPD_SpaceBySpace,MATCH(INDEX(xyNCEx,MATCH(I509,yNCExArea,0),2),ySpace_by_Space_Type,0),2)),VLOOKUP(E509,xyWattage_Table,11,FALSE)),"")</f>
        <v/>
      </c>
      <c r="K509" s="538" t="str">
        <f>IFERROR(IF(AND(NC_Type="Building Area Method",Inventory!C506="N"),IF(ISERROR(INDEX('Usage Groups (&gt;120 MWh only)'!$N$8:$N$12,MATCH(C509,'Usage Groups (&gt;120 MWh only)'!$B$8:$B$12,0),1))=TRUE,SqFt/COUNTIFS(Inventory!$C$10:$C$1009,"N",$Q$13:$Q$1012,"&gt;=0"),INDEX('Usage Groups (&gt;120 MWh only)'!$N$8:$N$12,MATCH(C509,'Usage Groups (&gt;120 MWh only)'!$B$8:$B$12,0),1)/COUNTIF($C$13:$C$1012,C509)),IF(AND(NC_Type="Building Area Method",Inventory!C506="Y"),INDEX(xyNCEx,MATCH(I509,yNCExArea,0),3)/COUNTIF($I$13:$I$1012,I509),VLOOKUP(J509,xyWattage_Table,10,FALSE))),"")</f>
        <v/>
      </c>
      <c r="L509" s="539" t="str">
        <f t="shared" si="171"/>
        <v/>
      </c>
      <c r="M509" s="540">
        <f>IF(Inventory!N506="","",Inventory!N506)</f>
        <v>0</v>
      </c>
      <c r="N509" s="533" t="str">
        <f t="shared" si="172"/>
        <v/>
      </c>
      <c r="O509" s="534"/>
      <c r="P509" s="533" t="str">
        <f t="shared" si="173"/>
        <v/>
      </c>
      <c r="Q509" s="534" t="str">
        <f>IF(Inventory!L506="","",Inventory!L506)</f>
        <v/>
      </c>
      <c r="R509" s="535" t="str">
        <f t="shared" si="174"/>
        <v/>
      </c>
      <c r="S509" s="536" t="str">
        <f>IF(Inventory!O506="","",Inventory!O506)</f>
        <v/>
      </c>
      <c r="T509" s="541" t="str">
        <f>IFERROR(IF(C509="","",IF(INDEX(xyWattage_Table,MATCH(M509,'Fixture Identities'!$B$9:$B$997,0),2)="Exit Sign",8760,IF(VLOOKUP(C509,xySpace_Type_Details,8,FALSE)="TRM",INDEX('General Information'!$AF$17:$AG$28,11,MATCH(N509,'General Information'!$AF$16:$AG$16,0)),HLOOKUP(VLOOKUP(C509,xySpace_Type_Details,8,FALSE),'General Information'!$P$15:$AG$28,13,FALSE)))),"")</f>
        <v/>
      </c>
      <c r="U509" s="542" t="str">
        <f>IFERROR(IF(C509="","",IF(INDEX(xyWattage_Table,MATCH(M509,'Fixture Identities'!$B$9:$B$997,0),2)="Exit Sign",1,IF(VLOOKUP(C509,xySpace_Type_Details,8,FALSE)="TRM",INDEX('General Information'!$AF$17:$AG$28,12,MATCH(N509,'General Information'!$AF$16:$AG$16,0)),HLOOKUP(VLOOKUP(C509,xySpace_Type_Details,8,FALSE),'General Information'!$P$15:$AG$28,14,FALSE)))),"")</f>
        <v/>
      </c>
      <c r="V509" s="542" t="str">
        <f>IFERROR(VLOOKUP(INDEX(xySpace_Type_Details,MATCH($C509,'General Information'!$C$40:$C$60,0),12),Lookups!$L$8:$N$12,2,FALSE),"")</f>
        <v/>
      </c>
      <c r="W509" s="542" t="str">
        <f>IFERROR(VLOOKUP(INDEX(xySpace_Type_Details,MATCH($C509,'General Information'!$C$40:$C$60,0),12),Lookups!$L$8:$N$12,3,FALSE),"")</f>
        <v/>
      </c>
      <c r="Y509" s="542" t="str">
        <f>IFERROR(IF(C509="","",IF(INDEX(xyWattage_Table,MATCH(M509,'Fixture Identities'!$B$9:$B$997,0),2)="Exit Sign",0,IF(PRJ_Type="Retrofit",VLOOKUP(I509,xySVG_Factors,2,FALSE),IF(AND(PRJ_Type="New Construction",Inventory!C506="N"),VLOOKUP(VLOOKUP(Building_Type,xyLPD_BuildingArea,5,FALSE),xySVG_Factors_NC,3,FALSE),0)))),"")</f>
        <v/>
      </c>
      <c r="Z509" s="544" t="str">
        <f>IFERROR(IF(C509="","",IF(INDEX(xyWattage_Table,MATCH(M509,'Fixture Identities'!$B$9:$B$997,0),2)="Exit Sign",0,VLOOKUP(S509,xySVG_Factors,2,FALSE))),"")</f>
        <v/>
      </c>
      <c r="AA509" s="545" t="str">
        <f t="shared" si="175"/>
        <v/>
      </c>
      <c r="AB509" s="542" t="str">
        <f t="shared" si="176"/>
        <v/>
      </c>
      <c r="AC509" s="539" t="str">
        <f t="shared" si="177"/>
        <v/>
      </c>
      <c r="AD509" s="546" t="str">
        <f t="shared" si="178"/>
        <v/>
      </c>
      <c r="AE509" s="539" t="str">
        <f t="shared" si="179"/>
        <v/>
      </c>
      <c r="AF509" s="546" t="str">
        <f t="shared" si="180"/>
        <v/>
      </c>
      <c r="AG509" s="539" t="str">
        <f t="shared" si="181"/>
        <v/>
      </c>
      <c r="AH509" s="32">
        <f t="shared" si="183"/>
        <v>0</v>
      </c>
      <c r="AI509" s="32">
        <f t="shared" si="184"/>
        <v>0</v>
      </c>
      <c r="AJ509" s="32">
        <f t="shared" si="185"/>
        <v>0</v>
      </c>
      <c r="AK509" t="str">
        <f t="shared" si="186"/>
        <v/>
      </c>
      <c r="AL509" t="str">
        <f t="shared" si="187"/>
        <v/>
      </c>
      <c r="AM509" t="str">
        <f t="shared" si="188"/>
        <v/>
      </c>
      <c r="AO509" t="str">
        <f>IFERROR(VLOOKUP(M509,'Fixture Identities'!$B$9:$O$1045,14,FALSE),"")</f>
        <v/>
      </c>
      <c r="AP509" t="str">
        <f t="shared" si="182"/>
        <v/>
      </c>
    </row>
    <row r="510" spans="1:42">
      <c r="A510" s="71">
        <f t="shared" si="190"/>
        <v>0</v>
      </c>
      <c r="B510" s="513">
        <f t="shared" si="189"/>
        <v>498</v>
      </c>
      <c r="C510" s="530" t="str">
        <f>IF(Inventory!E507="","",Inventory!E507)</f>
        <v/>
      </c>
      <c r="D510" s="531">
        <f>IF(Inventory!D507="",0,Inventory!D507)</f>
        <v>0</v>
      </c>
      <c r="E510" s="532" t="str">
        <f>IF(Inventory!I507=0,"",Inventory!I507)</f>
        <v/>
      </c>
      <c r="F510" s="533" t="str">
        <f t="shared" si="169"/>
        <v/>
      </c>
      <c r="G510" s="534" t="str">
        <f>IF(Inventory!G507="","",Inventory!G507)</f>
        <v/>
      </c>
      <c r="H510" s="535" t="str">
        <f t="shared" si="170"/>
        <v/>
      </c>
      <c r="I510" s="536" t="str">
        <f>IF(Inventory!J507="","",Inventory!J507)</f>
        <v/>
      </c>
      <c r="J510" s="537" t="str">
        <f>IFERROR(IF(PRJ_Type="New Construction",IF(Inventory!C507="N",INDEX(xyLPD_BuildingArea,MATCH(Building_Type,Lookups!$F$37:$F$75,0),4),INDEX(xyLPD_SpaceBySpace,MATCH(INDEX(xyNCEx,MATCH(I510,yNCExArea,0),2),ySpace_by_Space_Type,0),2)),VLOOKUP(E510,xyWattage_Table,11,FALSE)),"")</f>
        <v/>
      </c>
      <c r="K510" s="538" t="str">
        <f>IFERROR(IF(AND(NC_Type="Building Area Method",Inventory!C507="N"),IF(ISERROR(INDEX('Usage Groups (&gt;120 MWh only)'!$N$8:$N$12,MATCH(C510,'Usage Groups (&gt;120 MWh only)'!$B$8:$B$12,0),1))=TRUE,SqFt/COUNTIFS(Inventory!$C$10:$C$1009,"N",$Q$13:$Q$1012,"&gt;=0"),INDEX('Usage Groups (&gt;120 MWh only)'!$N$8:$N$12,MATCH(C510,'Usage Groups (&gt;120 MWh only)'!$B$8:$B$12,0),1)/COUNTIF($C$13:$C$1012,C510)),IF(AND(NC_Type="Building Area Method",Inventory!C507="Y"),INDEX(xyNCEx,MATCH(I510,yNCExArea,0),3)/COUNTIF($I$13:$I$1012,I510),VLOOKUP(J510,xyWattage_Table,10,FALSE))),"")</f>
        <v/>
      </c>
      <c r="L510" s="539" t="str">
        <f t="shared" si="171"/>
        <v/>
      </c>
      <c r="M510" s="540">
        <f>IF(Inventory!N507="","",Inventory!N507)</f>
        <v>0</v>
      </c>
      <c r="N510" s="533" t="str">
        <f t="shared" si="172"/>
        <v/>
      </c>
      <c r="O510" s="534"/>
      <c r="P510" s="533" t="str">
        <f t="shared" si="173"/>
        <v/>
      </c>
      <c r="Q510" s="534" t="str">
        <f>IF(Inventory!L507="","",Inventory!L507)</f>
        <v/>
      </c>
      <c r="R510" s="535" t="str">
        <f t="shared" si="174"/>
        <v/>
      </c>
      <c r="S510" s="536" t="str">
        <f>IF(Inventory!O507="","",Inventory!O507)</f>
        <v/>
      </c>
      <c r="T510" s="541" t="str">
        <f>IFERROR(IF(C510="","",IF(INDEX(xyWattage_Table,MATCH(M510,'Fixture Identities'!$B$9:$B$997,0),2)="Exit Sign",8760,IF(VLOOKUP(C510,xySpace_Type_Details,8,FALSE)="TRM",INDEX('General Information'!$AF$17:$AG$28,11,MATCH(N510,'General Information'!$AF$16:$AG$16,0)),HLOOKUP(VLOOKUP(C510,xySpace_Type_Details,8,FALSE),'General Information'!$P$15:$AG$28,13,FALSE)))),"")</f>
        <v/>
      </c>
      <c r="U510" s="542" t="str">
        <f>IFERROR(IF(C510="","",IF(INDEX(xyWattage_Table,MATCH(M510,'Fixture Identities'!$B$9:$B$997,0),2)="Exit Sign",1,IF(VLOOKUP(C510,xySpace_Type_Details,8,FALSE)="TRM",INDEX('General Information'!$AF$17:$AG$28,12,MATCH(N510,'General Information'!$AF$16:$AG$16,0)),HLOOKUP(VLOOKUP(C510,xySpace_Type_Details,8,FALSE),'General Information'!$P$15:$AG$28,14,FALSE)))),"")</f>
        <v/>
      </c>
      <c r="V510" s="542" t="str">
        <f>IFERROR(VLOOKUP(INDEX(xySpace_Type_Details,MATCH($C510,'General Information'!$C$40:$C$60,0),12),Lookups!$L$8:$N$12,2,FALSE),"")</f>
        <v/>
      </c>
      <c r="W510" s="542" t="str">
        <f>IFERROR(VLOOKUP(INDEX(xySpace_Type_Details,MATCH($C510,'General Information'!$C$40:$C$60,0),12),Lookups!$L$8:$N$12,3,FALSE),"")</f>
        <v/>
      </c>
      <c r="Y510" s="542" t="str">
        <f>IFERROR(IF(C510="","",IF(INDEX(xyWattage_Table,MATCH(M510,'Fixture Identities'!$B$9:$B$997,0),2)="Exit Sign",0,IF(PRJ_Type="Retrofit",VLOOKUP(I510,xySVG_Factors,2,FALSE),IF(AND(PRJ_Type="New Construction",Inventory!C507="N"),VLOOKUP(VLOOKUP(Building_Type,xyLPD_BuildingArea,5,FALSE),xySVG_Factors_NC,3,FALSE),0)))),"")</f>
        <v/>
      </c>
      <c r="Z510" s="544" t="str">
        <f>IFERROR(IF(C510="","",IF(INDEX(xyWattage_Table,MATCH(M510,'Fixture Identities'!$B$9:$B$997,0),2)="Exit Sign",0,VLOOKUP(S510,xySVG_Factors,2,FALSE))),"")</f>
        <v/>
      </c>
      <c r="AA510" s="545" t="str">
        <f t="shared" si="175"/>
        <v/>
      </c>
      <c r="AB510" s="542" t="str">
        <f t="shared" si="176"/>
        <v/>
      </c>
      <c r="AC510" s="539" t="str">
        <f t="shared" si="177"/>
        <v/>
      </c>
      <c r="AD510" s="546" t="str">
        <f t="shared" si="178"/>
        <v/>
      </c>
      <c r="AE510" s="539" t="str">
        <f t="shared" si="179"/>
        <v/>
      </c>
      <c r="AF510" s="546" t="str">
        <f t="shared" si="180"/>
        <v/>
      </c>
      <c r="AG510" s="539" t="str">
        <f t="shared" si="181"/>
        <v/>
      </c>
      <c r="AH510" s="32">
        <f t="shared" si="183"/>
        <v>0</v>
      </c>
      <c r="AI510" s="32">
        <f t="shared" si="184"/>
        <v>0</v>
      </c>
      <c r="AJ510" s="32">
        <f t="shared" si="185"/>
        <v>0</v>
      </c>
      <c r="AK510" t="str">
        <f t="shared" si="186"/>
        <v/>
      </c>
      <c r="AL510" t="str">
        <f t="shared" si="187"/>
        <v/>
      </c>
      <c r="AM510" t="str">
        <f t="shared" si="188"/>
        <v/>
      </c>
      <c r="AO510" t="str">
        <f>IFERROR(VLOOKUP(M510,'Fixture Identities'!$B$9:$O$1045,14,FALSE),"")</f>
        <v/>
      </c>
      <c r="AP510" t="str">
        <f t="shared" si="182"/>
        <v/>
      </c>
    </row>
    <row r="511" spans="1:42">
      <c r="A511" s="71">
        <f t="shared" si="190"/>
        <v>0</v>
      </c>
      <c r="B511" s="513">
        <f t="shared" si="189"/>
        <v>499</v>
      </c>
      <c r="C511" s="530" t="str">
        <f>IF(Inventory!E508="","",Inventory!E508)</f>
        <v/>
      </c>
      <c r="D511" s="531">
        <f>IF(Inventory!D508="",0,Inventory!D508)</f>
        <v>0</v>
      </c>
      <c r="E511" s="532" t="str">
        <f>IF(Inventory!I508=0,"",Inventory!I508)</f>
        <v/>
      </c>
      <c r="F511" s="533" t="str">
        <f t="shared" si="169"/>
        <v/>
      </c>
      <c r="G511" s="534" t="str">
        <f>IF(Inventory!G508="","",Inventory!G508)</f>
        <v/>
      </c>
      <c r="H511" s="535" t="str">
        <f t="shared" si="170"/>
        <v/>
      </c>
      <c r="I511" s="536" t="str">
        <f>IF(Inventory!J508="","",Inventory!J508)</f>
        <v/>
      </c>
      <c r="J511" s="537" t="str">
        <f>IFERROR(IF(PRJ_Type="New Construction",IF(Inventory!C508="N",INDEX(xyLPD_BuildingArea,MATCH(Building_Type,Lookups!$F$37:$F$75,0),4),INDEX(xyLPD_SpaceBySpace,MATCH(INDEX(xyNCEx,MATCH(I511,yNCExArea,0),2),ySpace_by_Space_Type,0),2)),VLOOKUP(E511,xyWattage_Table,11,FALSE)),"")</f>
        <v/>
      </c>
      <c r="K511" s="538" t="str">
        <f>IFERROR(IF(AND(NC_Type="Building Area Method",Inventory!C508="N"),IF(ISERROR(INDEX('Usage Groups (&gt;120 MWh only)'!$N$8:$N$12,MATCH(C511,'Usage Groups (&gt;120 MWh only)'!$B$8:$B$12,0),1))=TRUE,SqFt/COUNTIFS(Inventory!$C$10:$C$1009,"N",$Q$13:$Q$1012,"&gt;=0"),INDEX('Usage Groups (&gt;120 MWh only)'!$N$8:$N$12,MATCH(C511,'Usage Groups (&gt;120 MWh only)'!$B$8:$B$12,0),1)/COUNTIF($C$13:$C$1012,C511)),IF(AND(NC_Type="Building Area Method",Inventory!C508="Y"),INDEX(xyNCEx,MATCH(I511,yNCExArea,0),3)/COUNTIF($I$13:$I$1012,I511),VLOOKUP(J511,xyWattage_Table,10,FALSE))),"")</f>
        <v/>
      </c>
      <c r="L511" s="539" t="str">
        <f t="shared" si="171"/>
        <v/>
      </c>
      <c r="M511" s="540">
        <f>IF(Inventory!N508="","",Inventory!N508)</f>
        <v>0</v>
      </c>
      <c r="N511" s="533" t="str">
        <f t="shared" si="172"/>
        <v/>
      </c>
      <c r="O511" s="534"/>
      <c r="P511" s="533" t="str">
        <f t="shared" si="173"/>
        <v/>
      </c>
      <c r="Q511" s="534" t="str">
        <f>IF(Inventory!L508="","",Inventory!L508)</f>
        <v/>
      </c>
      <c r="R511" s="535" t="str">
        <f t="shared" si="174"/>
        <v/>
      </c>
      <c r="S511" s="536" t="str">
        <f>IF(Inventory!O508="","",Inventory!O508)</f>
        <v/>
      </c>
      <c r="T511" s="541" t="str">
        <f>IFERROR(IF(C511="","",IF(INDEX(xyWattage_Table,MATCH(M511,'Fixture Identities'!$B$9:$B$997,0),2)="Exit Sign",8760,IF(VLOOKUP(C511,xySpace_Type_Details,8,FALSE)="TRM",INDEX('General Information'!$AF$17:$AG$28,11,MATCH(N511,'General Information'!$AF$16:$AG$16,0)),HLOOKUP(VLOOKUP(C511,xySpace_Type_Details,8,FALSE),'General Information'!$P$15:$AG$28,13,FALSE)))),"")</f>
        <v/>
      </c>
      <c r="U511" s="542" t="str">
        <f>IFERROR(IF(C511="","",IF(INDEX(xyWattage_Table,MATCH(M511,'Fixture Identities'!$B$9:$B$997,0),2)="Exit Sign",1,IF(VLOOKUP(C511,xySpace_Type_Details,8,FALSE)="TRM",INDEX('General Information'!$AF$17:$AG$28,12,MATCH(N511,'General Information'!$AF$16:$AG$16,0)),HLOOKUP(VLOOKUP(C511,xySpace_Type_Details,8,FALSE),'General Information'!$P$15:$AG$28,14,FALSE)))),"")</f>
        <v/>
      </c>
      <c r="V511" s="542" t="str">
        <f>IFERROR(VLOOKUP(INDEX(xySpace_Type_Details,MATCH($C511,'General Information'!$C$40:$C$60,0),12),Lookups!$L$8:$N$12,2,FALSE),"")</f>
        <v/>
      </c>
      <c r="W511" s="542" t="str">
        <f>IFERROR(VLOOKUP(INDEX(xySpace_Type_Details,MATCH($C511,'General Information'!$C$40:$C$60,0),12),Lookups!$L$8:$N$12,3,FALSE),"")</f>
        <v/>
      </c>
      <c r="Y511" s="542" t="str">
        <f>IFERROR(IF(C511="","",IF(INDEX(xyWattage_Table,MATCH(M511,'Fixture Identities'!$B$9:$B$997,0),2)="Exit Sign",0,IF(PRJ_Type="Retrofit",VLOOKUP(I511,xySVG_Factors,2,FALSE),IF(AND(PRJ_Type="New Construction",Inventory!C508="N"),VLOOKUP(VLOOKUP(Building_Type,xyLPD_BuildingArea,5,FALSE),xySVG_Factors_NC,3,FALSE),0)))),"")</f>
        <v/>
      </c>
      <c r="Z511" s="544" t="str">
        <f>IFERROR(IF(C511="","",IF(INDEX(xyWattage_Table,MATCH(M511,'Fixture Identities'!$B$9:$B$997,0),2)="Exit Sign",0,VLOOKUP(S511,xySVG_Factors,2,FALSE))),"")</f>
        <v/>
      </c>
      <c r="AA511" s="545" t="str">
        <f t="shared" si="175"/>
        <v/>
      </c>
      <c r="AB511" s="542" t="str">
        <f t="shared" si="176"/>
        <v/>
      </c>
      <c r="AC511" s="539" t="str">
        <f t="shared" si="177"/>
        <v/>
      </c>
      <c r="AD511" s="546" t="str">
        <f t="shared" si="178"/>
        <v/>
      </c>
      <c r="AE511" s="539" t="str">
        <f t="shared" si="179"/>
        <v/>
      </c>
      <c r="AF511" s="546" t="str">
        <f t="shared" si="180"/>
        <v/>
      </c>
      <c r="AG511" s="539" t="str">
        <f t="shared" si="181"/>
        <v/>
      </c>
      <c r="AH511" s="32">
        <f t="shared" si="183"/>
        <v>0</v>
      </c>
      <c r="AI511" s="32">
        <f t="shared" si="184"/>
        <v>0</v>
      </c>
      <c r="AJ511" s="32">
        <f t="shared" si="185"/>
        <v>0</v>
      </c>
      <c r="AK511" t="str">
        <f t="shared" si="186"/>
        <v/>
      </c>
      <c r="AL511" t="str">
        <f t="shared" si="187"/>
        <v/>
      </c>
      <c r="AM511" t="str">
        <f t="shared" si="188"/>
        <v/>
      </c>
      <c r="AO511" t="str">
        <f>IFERROR(VLOOKUP(M511,'Fixture Identities'!$B$9:$O$1045,14,FALSE),"")</f>
        <v/>
      </c>
      <c r="AP511" t="str">
        <f t="shared" si="182"/>
        <v/>
      </c>
    </row>
    <row r="512" spans="1:42">
      <c r="A512" s="71">
        <f t="shared" si="190"/>
        <v>0</v>
      </c>
      <c r="B512" s="513">
        <f t="shared" si="189"/>
        <v>500</v>
      </c>
      <c r="C512" s="530" t="str">
        <f>IF(Inventory!E509="","",Inventory!E509)</f>
        <v/>
      </c>
      <c r="D512" s="531">
        <f>IF(Inventory!D509="",0,Inventory!D509)</f>
        <v>0</v>
      </c>
      <c r="E512" s="532" t="str">
        <f>IF(Inventory!I509=0,"",Inventory!I509)</f>
        <v/>
      </c>
      <c r="F512" s="533" t="str">
        <f t="shared" si="169"/>
        <v/>
      </c>
      <c r="G512" s="534" t="str">
        <f>IF(Inventory!G509="","",Inventory!G509)</f>
        <v/>
      </c>
      <c r="H512" s="535" t="str">
        <f t="shared" si="170"/>
        <v/>
      </c>
      <c r="I512" s="536" t="str">
        <f>IF(Inventory!J509="","",Inventory!J509)</f>
        <v/>
      </c>
      <c r="J512" s="537" t="str">
        <f>IFERROR(IF(PRJ_Type="New Construction",IF(Inventory!C509="N",INDEX(xyLPD_BuildingArea,MATCH(Building_Type,Lookups!$F$37:$F$75,0),4),INDEX(xyLPD_SpaceBySpace,MATCH(INDEX(xyNCEx,MATCH(I512,yNCExArea,0),2),ySpace_by_Space_Type,0),2)),VLOOKUP(E512,xyWattage_Table,11,FALSE)),"")</f>
        <v/>
      </c>
      <c r="K512" s="538" t="str">
        <f>IFERROR(IF(AND(NC_Type="Building Area Method",Inventory!C509="N"),IF(ISERROR(INDEX('Usage Groups (&gt;120 MWh only)'!$N$8:$N$12,MATCH(C512,'Usage Groups (&gt;120 MWh only)'!$B$8:$B$12,0),1))=TRUE,SqFt/COUNTIFS(Inventory!$C$10:$C$1009,"N",$Q$13:$Q$1012,"&gt;=0"),INDEX('Usage Groups (&gt;120 MWh only)'!$N$8:$N$12,MATCH(C512,'Usage Groups (&gt;120 MWh only)'!$B$8:$B$12,0),1)/COUNTIF($C$13:$C$1012,C512)),IF(AND(NC_Type="Building Area Method",Inventory!C509="Y"),INDEX(xyNCEx,MATCH(I512,yNCExArea,0),3)/COUNTIF($I$13:$I$1012,I512),VLOOKUP(J512,xyWattage_Table,10,FALSE))),"")</f>
        <v/>
      </c>
      <c r="L512" s="539" t="str">
        <f t="shared" si="171"/>
        <v/>
      </c>
      <c r="M512" s="540">
        <f>IF(Inventory!N509="","",Inventory!N509)</f>
        <v>0</v>
      </c>
      <c r="N512" s="533" t="str">
        <f t="shared" si="172"/>
        <v/>
      </c>
      <c r="O512" s="534"/>
      <c r="P512" s="533" t="str">
        <f t="shared" si="173"/>
        <v/>
      </c>
      <c r="Q512" s="534" t="str">
        <f>IF(Inventory!L509="","",Inventory!L509)</f>
        <v/>
      </c>
      <c r="R512" s="535" t="str">
        <f t="shared" si="174"/>
        <v/>
      </c>
      <c r="S512" s="536" t="str">
        <f>IF(Inventory!O509="","",Inventory!O509)</f>
        <v/>
      </c>
      <c r="T512" s="541" t="str">
        <f>IFERROR(IF(C512="","",IF(INDEX(xyWattage_Table,MATCH(M512,'Fixture Identities'!$B$9:$B$997,0),2)="Exit Sign",8760,IF(VLOOKUP(C512,xySpace_Type_Details,8,FALSE)="TRM",INDEX('General Information'!$AF$17:$AG$28,11,MATCH(N512,'General Information'!$AF$16:$AG$16,0)),HLOOKUP(VLOOKUP(C512,xySpace_Type_Details,8,FALSE),'General Information'!$P$15:$AG$28,13,FALSE)))),"")</f>
        <v/>
      </c>
      <c r="U512" s="542" t="str">
        <f>IFERROR(IF(C512="","",IF(INDEX(xyWattage_Table,MATCH(M512,'Fixture Identities'!$B$9:$B$997,0),2)="Exit Sign",1,IF(VLOOKUP(C512,xySpace_Type_Details,8,FALSE)="TRM",INDEX('General Information'!$AF$17:$AG$28,12,MATCH(N512,'General Information'!$AF$16:$AG$16,0)),HLOOKUP(VLOOKUP(C512,xySpace_Type_Details,8,FALSE),'General Information'!$P$15:$AG$28,14,FALSE)))),"")</f>
        <v/>
      </c>
      <c r="V512" s="542" t="str">
        <f>IFERROR(VLOOKUP(INDEX(xySpace_Type_Details,MATCH($C512,'General Information'!$C$40:$C$60,0),12),Lookups!$L$8:$N$12,2,FALSE),"")</f>
        <v/>
      </c>
      <c r="W512" s="542" t="str">
        <f>IFERROR(VLOOKUP(INDEX(xySpace_Type_Details,MATCH($C512,'General Information'!$C$40:$C$60,0),12),Lookups!$L$8:$N$12,3,FALSE),"")</f>
        <v/>
      </c>
      <c r="Y512" s="542" t="str">
        <f>IFERROR(IF(C512="","",IF(INDEX(xyWattage_Table,MATCH(M512,'Fixture Identities'!$B$9:$B$997,0),2)="Exit Sign",0,IF(PRJ_Type="Retrofit",VLOOKUP(I512,xySVG_Factors,2,FALSE),IF(AND(PRJ_Type="New Construction",Inventory!C509="N"),VLOOKUP(VLOOKUP(Building_Type,xyLPD_BuildingArea,5,FALSE),xySVG_Factors_NC,3,FALSE),0)))),"")</f>
        <v/>
      </c>
      <c r="Z512" s="544" t="str">
        <f>IFERROR(IF(C512="","",IF(INDEX(xyWattage_Table,MATCH(M512,'Fixture Identities'!$B$9:$B$997,0),2)="Exit Sign",0,VLOOKUP(S512,xySVG_Factors,2,FALSE))),"")</f>
        <v/>
      </c>
      <c r="AA512" s="545" t="str">
        <f t="shared" si="175"/>
        <v/>
      </c>
      <c r="AB512" s="542" t="str">
        <f t="shared" si="176"/>
        <v/>
      </c>
      <c r="AC512" s="539" t="str">
        <f t="shared" si="177"/>
        <v/>
      </c>
      <c r="AD512" s="546" t="str">
        <f t="shared" si="178"/>
        <v/>
      </c>
      <c r="AE512" s="539" t="str">
        <f t="shared" si="179"/>
        <v/>
      </c>
      <c r="AF512" s="546" t="str">
        <f t="shared" si="180"/>
        <v/>
      </c>
      <c r="AG512" s="539" t="str">
        <f t="shared" si="181"/>
        <v/>
      </c>
      <c r="AH512" s="32">
        <f t="shared" si="183"/>
        <v>0</v>
      </c>
      <c r="AI512" s="32">
        <f t="shared" si="184"/>
        <v>0</v>
      </c>
      <c r="AJ512" s="32">
        <f t="shared" si="185"/>
        <v>0</v>
      </c>
      <c r="AK512" t="str">
        <f t="shared" si="186"/>
        <v/>
      </c>
      <c r="AL512" t="str">
        <f t="shared" si="187"/>
        <v/>
      </c>
      <c r="AM512" t="str">
        <f t="shared" si="188"/>
        <v/>
      </c>
      <c r="AO512" t="str">
        <f>IFERROR(VLOOKUP(M512,'Fixture Identities'!$B$9:$O$1045,14,FALSE),"")</f>
        <v/>
      </c>
      <c r="AP512" t="str">
        <f t="shared" si="182"/>
        <v/>
      </c>
    </row>
    <row r="513" spans="1:42">
      <c r="A513" s="71">
        <f t="shared" si="190"/>
        <v>0</v>
      </c>
      <c r="B513" s="513">
        <f t="shared" si="189"/>
        <v>501</v>
      </c>
      <c r="C513" s="530" t="str">
        <f>IF(Inventory!E510="","",Inventory!E510)</f>
        <v/>
      </c>
      <c r="D513" s="531">
        <f>IF(Inventory!D510="",0,Inventory!D510)</f>
        <v>0</v>
      </c>
      <c r="E513" s="532" t="str">
        <f>IF(Inventory!I510=0,"",Inventory!I510)</f>
        <v/>
      </c>
      <c r="F513" s="533" t="str">
        <f t="shared" si="169"/>
        <v/>
      </c>
      <c r="G513" s="534" t="str">
        <f>IF(Inventory!G510="","",Inventory!G510)</f>
        <v/>
      </c>
      <c r="H513" s="535" t="str">
        <f t="shared" si="170"/>
        <v/>
      </c>
      <c r="I513" s="536" t="str">
        <f>IF(Inventory!J510="","",Inventory!J510)</f>
        <v/>
      </c>
      <c r="J513" s="537" t="str">
        <f>IFERROR(IF(PRJ_Type="New Construction",IF(Inventory!C510="N",INDEX(xyLPD_BuildingArea,MATCH(Building_Type,Lookups!$F$37:$F$75,0),4),INDEX(xyLPD_SpaceBySpace,MATCH(INDEX(xyNCEx,MATCH(I513,yNCExArea,0),2),ySpace_by_Space_Type,0),2)),VLOOKUP(E513,xyWattage_Table,11,FALSE)),"")</f>
        <v/>
      </c>
      <c r="K513" s="538" t="str">
        <f>IFERROR(IF(AND(NC_Type="Building Area Method",Inventory!C510="N"),IF(ISERROR(INDEX('Usage Groups (&gt;120 MWh only)'!$N$8:$N$12,MATCH(C513,'Usage Groups (&gt;120 MWh only)'!$B$8:$B$12,0),1))=TRUE,SqFt/COUNTIFS(Inventory!$C$10:$C$1009,"N",$Q$13:$Q$1012,"&gt;=0"),INDEX('Usage Groups (&gt;120 MWh only)'!$N$8:$N$12,MATCH(C513,'Usage Groups (&gt;120 MWh only)'!$B$8:$B$12,0),1)/COUNTIF($C$13:$C$1012,C513)),IF(AND(NC_Type="Building Area Method",Inventory!C510="Y"),INDEX(xyNCEx,MATCH(I513,yNCExArea,0),3)/COUNTIF($I$13:$I$1012,I513),VLOOKUP(J513,xyWattage_Table,10,FALSE))),"")</f>
        <v/>
      </c>
      <c r="L513" s="539" t="str">
        <f t="shared" si="171"/>
        <v/>
      </c>
      <c r="M513" s="540">
        <f>IF(Inventory!N510="","",Inventory!N510)</f>
        <v>0</v>
      </c>
      <c r="N513" s="533" t="str">
        <f t="shared" si="172"/>
        <v/>
      </c>
      <c r="O513" s="534"/>
      <c r="P513" s="533" t="str">
        <f t="shared" si="173"/>
        <v/>
      </c>
      <c r="Q513" s="534" t="str">
        <f>IF(Inventory!L510="","",Inventory!L510)</f>
        <v/>
      </c>
      <c r="R513" s="535" t="str">
        <f t="shared" si="174"/>
        <v/>
      </c>
      <c r="S513" s="536" t="str">
        <f>IF(Inventory!O510="","",Inventory!O510)</f>
        <v/>
      </c>
      <c r="T513" s="541" t="str">
        <f>IFERROR(IF(C513="","",IF(INDEX(xyWattage_Table,MATCH(M513,'Fixture Identities'!$B$9:$B$997,0),2)="Exit Sign",8760,IF(VLOOKUP(C513,xySpace_Type_Details,8,FALSE)="TRM",INDEX('General Information'!$AF$17:$AG$28,11,MATCH(N513,'General Information'!$AF$16:$AG$16,0)),HLOOKUP(VLOOKUP(C513,xySpace_Type_Details,8,FALSE),'General Information'!$P$15:$AG$28,13,FALSE)))),"")</f>
        <v/>
      </c>
      <c r="U513" s="542" t="str">
        <f>IFERROR(IF(C513="","",IF(INDEX(xyWattage_Table,MATCH(M513,'Fixture Identities'!$B$9:$B$997,0),2)="Exit Sign",1,IF(VLOOKUP(C513,xySpace_Type_Details,8,FALSE)="TRM",INDEX('General Information'!$AF$17:$AG$28,12,MATCH(N513,'General Information'!$AF$16:$AG$16,0)),HLOOKUP(VLOOKUP(C513,xySpace_Type_Details,8,FALSE),'General Information'!$P$15:$AG$28,14,FALSE)))),"")</f>
        <v/>
      </c>
      <c r="V513" s="542" t="str">
        <f>IFERROR(VLOOKUP(INDEX(xySpace_Type_Details,MATCH($C513,'General Information'!$C$40:$C$60,0),12),Lookups!$L$8:$N$12,2,FALSE),"")</f>
        <v/>
      </c>
      <c r="W513" s="542" t="str">
        <f>IFERROR(VLOOKUP(INDEX(xySpace_Type_Details,MATCH($C513,'General Information'!$C$40:$C$60,0),12),Lookups!$L$8:$N$12,3,FALSE),"")</f>
        <v/>
      </c>
      <c r="Y513" s="542" t="str">
        <f>IFERROR(IF(C513="","",IF(INDEX(xyWattage_Table,MATCH(M513,'Fixture Identities'!$B$9:$B$997,0),2)="Exit Sign",0,IF(PRJ_Type="Retrofit",VLOOKUP(I513,xySVG_Factors,2,FALSE),IF(AND(PRJ_Type="New Construction",Inventory!C510="N"),VLOOKUP(VLOOKUP(Building_Type,xyLPD_BuildingArea,5,FALSE),xySVG_Factors_NC,3,FALSE),0)))),"")</f>
        <v/>
      </c>
      <c r="Z513" s="544" t="str">
        <f>IFERROR(IF(C513="","",IF(INDEX(xyWattage_Table,MATCH(M513,'Fixture Identities'!$B$9:$B$997,0),2)="Exit Sign",0,VLOOKUP(S513,xySVG_Factors,2,FALSE))),"")</f>
        <v/>
      </c>
      <c r="AA513" s="545" t="str">
        <f t="shared" si="175"/>
        <v/>
      </c>
      <c r="AB513" s="542" t="str">
        <f t="shared" si="176"/>
        <v/>
      </c>
      <c r="AC513" s="539" t="str">
        <f t="shared" si="177"/>
        <v/>
      </c>
      <c r="AD513" s="546" t="str">
        <f t="shared" si="178"/>
        <v/>
      </c>
      <c r="AE513" s="539" t="str">
        <f t="shared" si="179"/>
        <v/>
      </c>
      <c r="AF513" s="546" t="str">
        <f t="shared" si="180"/>
        <v/>
      </c>
      <c r="AG513" s="539" t="str">
        <f t="shared" si="181"/>
        <v/>
      </c>
      <c r="AH513" s="32">
        <f t="shared" si="183"/>
        <v>0</v>
      </c>
      <c r="AI513" s="32">
        <f t="shared" si="184"/>
        <v>0</v>
      </c>
      <c r="AJ513" s="32">
        <f t="shared" si="185"/>
        <v>0</v>
      </c>
      <c r="AK513" t="str">
        <f t="shared" si="186"/>
        <v/>
      </c>
      <c r="AL513" t="str">
        <f t="shared" si="187"/>
        <v/>
      </c>
      <c r="AM513" t="str">
        <f t="shared" si="188"/>
        <v/>
      </c>
      <c r="AO513" t="str">
        <f>IFERROR(VLOOKUP(M513,'Fixture Identities'!$B$9:$O$1045,14,FALSE),"")</f>
        <v/>
      </c>
      <c r="AP513" t="str">
        <f t="shared" si="182"/>
        <v/>
      </c>
    </row>
    <row r="514" spans="1:42">
      <c r="A514" s="71">
        <f t="shared" si="190"/>
        <v>0</v>
      </c>
      <c r="B514" s="513">
        <f t="shared" si="189"/>
        <v>502</v>
      </c>
      <c r="C514" s="530" t="str">
        <f>IF(Inventory!E511="","",Inventory!E511)</f>
        <v/>
      </c>
      <c r="D514" s="531">
        <f>IF(Inventory!D511="",0,Inventory!D511)</f>
        <v>0</v>
      </c>
      <c r="E514" s="532" t="str">
        <f>IF(Inventory!I511=0,"",Inventory!I511)</f>
        <v/>
      </c>
      <c r="F514" s="533" t="str">
        <f t="shared" si="169"/>
        <v/>
      </c>
      <c r="G514" s="534" t="str">
        <f>IF(Inventory!G511="","",Inventory!G511)</f>
        <v/>
      </c>
      <c r="H514" s="535" t="str">
        <f t="shared" si="170"/>
        <v/>
      </c>
      <c r="I514" s="536" t="str">
        <f>IF(Inventory!J511="","",Inventory!J511)</f>
        <v/>
      </c>
      <c r="J514" s="537" t="str">
        <f>IFERROR(IF(PRJ_Type="New Construction",IF(Inventory!C511="N",INDEX(xyLPD_BuildingArea,MATCH(Building_Type,Lookups!$F$37:$F$75,0),4),INDEX(xyLPD_SpaceBySpace,MATCH(INDEX(xyNCEx,MATCH(I514,yNCExArea,0),2),ySpace_by_Space_Type,0),2)),VLOOKUP(E514,xyWattage_Table,11,FALSE)),"")</f>
        <v/>
      </c>
      <c r="K514" s="538" t="str">
        <f>IFERROR(IF(AND(NC_Type="Building Area Method",Inventory!C511="N"),IF(ISERROR(INDEX('Usage Groups (&gt;120 MWh only)'!$N$8:$N$12,MATCH(C514,'Usage Groups (&gt;120 MWh only)'!$B$8:$B$12,0),1))=TRUE,SqFt/COUNTIFS(Inventory!$C$10:$C$1009,"N",$Q$13:$Q$1012,"&gt;=0"),INDEX('Usage Groups (&gt;120 MWh only)'!$N$8:$N$12,MATCH(C514,'Usage Groups (&gt;120 MWh only)'!$B$8:$B$12,0),1)/COUNTIF($C$13:$C$1012,C514)),IF(AND(NC_Type="Building Area Method",Inventory!C511="Y"),INDEX(xyNCEx,MATCH(I514,yNCExArea,0),3)/COUNTIF($I$13:$I$1012,I514),VLOOKUP(J514,xyWattage_Table,10,FALSE))),"")</f>
        <v/>
      </c>
      <c r="L514" s="539" t="str">
        <f t="shared" si="171"/>
        <v/>
      </c>
      <c r="M514" s="540">
        <f>IF(Inventory!N511="","",Inventory!N511)</f>
        <v>0</v>
      </c>
      <c r="N514" s="533" t="str">
        <f t="shared" si="172"/>
        <v/>
      </c>
      <c r="O514" s="534"/>
      <c r="P514" s="533" t="str">
        <f t="shared" si="173"/>
        <v/>
      </c>
      <c r="Q514" s="534" t="str">
        <f>IF(Inventory!L511="","",Inventory!L511)</f>
        <v/>
      </c>
      <c r="R514" s="535" t="str">
        <f t="shared" si="174"/>
        <v/>
      </c>
      <c r="S514" s="536" t="str">
        <f>IF(Inventory!O511="","",Inventory!O511)</f>
        <v/>
      </c>
      <c r="T514" s="541" t="str">
        <f>IFERROR(IF(C514="","",IF(INDEX(xyWattage_Table,MATCH(M514,'Fixture Identities'!$B$9:$B$997,0),2)="Exit Sign",8760,IF(VLOOKUP(C514,xySpace_Type_Details,8,FALSE)="TRM",INDEX('General Information'!$AF$17:$AG$28,11,MATCH(N514,'General Information'!$AF$16:$AG$16,0)),HLOOKUP(VLOOKUP(C514,xySpace_Type_Details,8,FALSE),'General Information'!$P$15:$AG$28,13,FALSE)))),"")</f>
        <v/>
      </c>
      <c r="U514" s="542" t="str">
        <f>IFERROR(IF(C514="","",IF(INDEX(xyWattage_Table,MATCH(M514,'Fixture Identities'!$B$9:$B$997,0),2)="Exit Sign",1,IF(VLOOKUP(C514,xySpace_Type_Details,8,FALSE)="TRM",INDEX('General Information'!$AF$17:$AG$28,12,MATCH(N514,'General Information'!$AF$16:$AG$16,0)),HLOOKUP(VLOOKUP(C514,xySpace_Type_Details,8,FALSE),'General Information'!$P$15:$AG$28,14,FALSE)))),"")</f>
        <v/>
      </c>
      <c r="V514" s="542" t="str">
        <f>IFERROR(VLOOKUP(INDEX(xySpace_Type_Details,MATCH($C514,'General Information'!$C$40:$C$60,0),12),Lookups!$L$8:$N$12,2,FALSE),"")</f>
        <v/>
      </c>
      <c r="W514" s="542" t="str">
        <f>IFERROR(VLOOKUP(INDEX(xySpace_Type_Details,MATCH($C514,'General Information'!$C$40:$C$60,0),12),Lookups!$L$8:$N$12,3,FALSE),"")</f>
        <v/>
      </c>
      <c r="Y514" s="542" t="str">
        <f>IFERROR(IF(C514="","",IF(INDEX(xyWattage_Table,MATCH(M514,'Fixture Identities'!$B$9:$B$997,0),2)="Exit Sign",0,IF(PRJ_Type="Retrofit",VLOOKUP(I514,xySVG_Factors,2,FALSE),IF(AND(PRJ_Type="New Construction",Inventory!C511="N"),VLOOKUP(VLOOKUP(Building_Type,xyLPD_BuildingArea,5,FALSE),xySVG_Factors_NC,3,FALSE),0)))),"")</f>
        <v/>
      </c>
      <c r="Z514" s="544" t="str">
        <f>IFERROR(IF(C514="","",IF(INDEX(xyWattage_Table,MATCH(M514,'Fixture Identities'!$B$9:$B$997,0),2)="Exit Sign",0,VLOOKUP(S514,xySVG_Factors,2,FALSE))),"")</f>
        <v/>
      </c>
      <c r="AA514" s="545" t="str">
        <f t="shared" si="175"/>
        <v/>
      </c>
      <c r="AB514" s="542" t="str">
        <f t="shared" si="176"/>
        <v/>
      </c>
      <c r="AC514" s="539" t="str">
        <f t="shared" si="177"/>
        <v/>
      </c>
      <c r="AD514" s="546" t="str">
        <f t="shared" si="178"/>
        <v/>
      </c>
      <c r="AE514" s="539" t="str">
        <f t="shared" si="179"/>
        <v/>
      </c>
      <c r="AF514" s="546" t="str">
        <f t="shared" si="180"/>
        <v/>
      </c>
      <c r="AG514" s="539" t="str">
        <f t="shared" si="181"/>
        <v/>
      </c>
      <c r="AH514" s="32">
        <f t="shared" si="183"/>
        <v>0</v>
      </c>
      <c r="AI514" s="32">
        <f t="shared" si="184"/>
        <v>0</v>
      </c>
      <c r="AJ514" s="32">
        <f t="shared" si="185"/>
        <v>0</v>
      </c>
      <c r="AK514" t="str">
        <f t="shared" si="186"/>
        <v/>
      </c>
      <c r="AL514" t="str">
        <f t="shared" si="187"/>
        <v/>
      </c>
      <c r="AM514" t="str">
        <f t="shared" si="188"/>
        <v/>
      </c>
      <c r="AO514" t="str">
        <f>IFERROR(VLOOKUP(M514,'Fixture Identities'!$B$9:$O$1045,14,FALSE),"")</f>
        <v/>
      </c>
      <c r="AP514" t="str">
        <f t="shared" si="182"/>
        <v/>
      </c>
    </row>
    <row r="515" spans="1:42">
      <c r="A515" s="71">
        <f t="shared" si="190"/>
        <v>0</v>
      </c>
      <c r="B515" s="513">
        <f t="shared" si="189"/>
        <v>503</v>
      </c>
      <c r="C515" s="530" t="str">
        <f>IF(Inventory!E512="","",Inventory!E512)</f>
        <v/>
      </c>
      <c r="D515" s="531">
        <f>IF(Inventory!D512="",0,Inventory!D512)</f>
        <v>0</v>
      </c>
      <c r="E515" s="532" t="str">
        <f>IF(Inventory!I512=0,"",Inventory!I512)</f>
        <v/>
      </c>
      <c r="F515" s="533" t="str">
        <f t="shared" si="169"/>
        <v/>
      </c>
      <c r="G515" s="534" t="str">
        <f>IF(Inventory!G512="","",Inventory!G512)</f>
        <v/>
      </c>
      <c r="H515" s="535" t="str">
        <f t="shared" si="170"/>
        <v/>
      </c>
      <c r="I515" s="536" t="str">
        <f>IF(Inventory!J512="","",Inventory!J512)</f>
        <v/>
      </c>
      <c r="J515" s="537" t="str">
        <f>IFERROR(IF(PRJ_Type="New Construction",IF(Inventory!C512="N",INDEX(xyLPD_BuildingArea,MATCH(Building_Type,Lookups!$F$37:$F$75,0),4),INDEX(xyLPD_SpaceBySpace,MATCH(INDEX(xyNCEx,MATCH(I515,yNCExArea,0),2),ySpace_by_Space_Type,0),2)),VLOOKUP(E515,xyWattage_Table,11,FALSE)),"")</f>
        <v/>
      </c>
      <c r="K515" s="538" t="str">
        <f>IFERROR(IF(AND(NC_Type="Building Area Method",Inventory!C512="N"),IF(ISERROR(INDEX('Usage Groups (&gt;120 MWh only)'!$N$8:$N$12,MATCH(C515,'Usage Groups (&gt;120 MWh only)'!$B$8:$B$12,0),1))=TRUE,SqFt/COUNTIFS(Inventory!$C$10:$C$1009,"N",$Q$13:$Q$1012,"&gt;=0"),INDEX('Usage Groups (&gt;120 MWh only)'!$N$8:$N$12,MATCH(C515,'Usage Groups (&gt;120 MWh only)'!$B$8:$B$12,0),1)/COUNTIF($C$13:$C$1012,C515)),IF(AND(NC_Type="Building Area Method",Inventory!C512="Y"),INDEX(xyNCEx,MATCH(I515,yNCExArea,0),3)/COUNTIF($I$13:$I$1012,I515),VLOOKUP(J515,xyWattage_Table,10,FALSE))),"")</f>
        <v/>
      </c>
      <c r="L515" s="539" t="str">
        <f t="shared" si="171"/>
        <v/>
      </c>
      <c r="M515" s="540">
        <f>IF(Inventory!N512="","",Inventory!N512)</f>
        <v>0</v>
      </c>
      <c r="N515" s="533" t="str">
        <f t="shared" si="172"/>
        <v/>
      </c>
      <c r="O515" s="534"/>
      <c r="P515" s="533" t="str">
        <f t="shared" si="173"/>
        <v/>
      </c>
      <c r="Q515" s="534" t="str">
        <f>IF(Inventory!L512="","",Inventory!L512)</f>
        <v/>
      </c>
      <c r="R515" s="535" t="str">
        <f t="shared" si="174"/>
        <v/>
      </c>
      <c r="S515" s="536" t="str">
        <f>IF(Inventory!O512="","",Inventory!O512)</f>
        <v/>
      </c>
      <c r="T515" s="541" t="str">
        <f>IFERROR(IF(C515="","",IF(INDEX(xyWattage_Table,MATCH(M515,'Fixture Identities'!$B$9:$B$997,0),2)="Exit Sign",8760,IF(VLOOKUP(C515,xySpace_Type_Details,8,FALSE)="TRM",INDEX('General Information'!$AF$17:$AG$28,11,MATCH(N515,'General Information'!$AF$16:$AG$16,0)),HLOOKUP(VLOOKUP(C515,xySpace_Type_Details,8,FALSE),'General Information'!$P$15:$AG$28,13,FALSE)))),"")</f>
        <v/>
      </c>
      <c r="U515" s="542" t="str">
        <f>IFERROR(IF(C515="","",IF(INDEX(xyWattage_Table,MATCH(M515,'Fixture Identities'!$B$9:$B$997,0),2)="Exit Sign",1,IF(VLOOKUP(C515,xySpace_Type_Details,8,FALSE)="TRM",INDEX('General Information'!$AF$17:$AG$28,12,MATCH(N515,'General Information'!$AF$16:$AG$16,0)),HLOOKUP(VLOOKUP(C515,xySpace_Type_Details,8,FALSE),'General Information'!$P$15:$AG$28,14,FALSE)))),"")</f>
        <v/>
      </c>
      <c r="V515" s="542" t="str">
        <f>IFERROR(VLOOKUP(INDEX(xySpace_Type_Details,MATCH($C515,'General Information'!$C$40:$C$60,0),12),Lookups!$L$8:$N$12,2,FALSE),"")</f>
        <v/>
      </c>
      <c r="W515" s="542" t="str">
        <f>IFERROR(VLOOKUP(INDEX(xySpace_Type_Details,MATCH($C515,'General Information'!$C$40:$C$60,0),12),Lookups!$L$8:$N$12,3,FALSE),"")</f>
        <v/>
      </c>
      <c r="Y515" s="542" t="str">
        <f>IFERROR(IF(C515="","",IF(INDEX(xyWattage_Table,MATCH(M515,'Fixture Identities'!$B$9:$B$997,0),2)="Exit Sign",0,IF(PRJ_Type="Retrofit",VLOOKUP(I515,xySVG_Factors,2,FALSE),IF(AND(PRJ_Type="New Construction",Inventory!C512="N"),VLOOKUP(VLOOKUP(Building_Type,xyLPD_BuildingArea,5,FALSE),xySVG_Factors_NC,3,FALSE),0)))),"")</f>
        <v/>
      </c>
      <c r="Z515" s="544" t="str">
        <f>IFERROR(IF(C515="","",IF(INDEX(xyWattage_Table,MATCH(M515,'Fixture Identities'!$B$9:$B$997,0),2)="Exit Sign",0,VLOOKUP(S515,xySVG_Factors,2,FALSE))),"")</f>
        <v/>
      </c>
      <c r="AA515" s="545" t="str">
        <f t="shared" si="175"/>
        <v/>
      </c>
      <c r="AB515" s="542" t="str">
        <f t="shared" si="176"/>
        <v/>
      </c>
      <c r="AC515" s="539" t="str">
        <f t="shared" si="177"/>
        <v/>
      </c>
      <c r="AD515" s="546" t="str">
        <f t="shared" si="178"/>
        <v/>
      </c>
      <c r="AE515" s="539" t="str">
        <f t="shared" si="179"/>
        <v/>
      </c>
      <c r="AF515" s="546" t="str">
        <f t="shared" si="180"/>
        <v/>
      </c>
      <c r="AG515" s="539" t="str">
        <f t="shared" si="181"/>
        <v/>
      </c>
      <c r="AH515" s="32">
        <f t="shared" si="183"/>
        <v>0</v>
      </c>
      <c r="AI515" s="32">
        <f t="shared" si="184"/>
        <v>0</v>
      </c>
      <c r="AJ515" s="32">
        <f t="shared" si="185"/>
        <v>0</v>
      </c>
      <c r="AK515" t="str">
        <f t="shared" si="186"/>
        <v/>
      </c>
      <c r="AL515" t="str">
        <f t="shared" si="187"/>
        <v/>
      </c>
      <c r="AM515" t="str">
        <f t="shared" si="188"/>
        <v/>
      </c>
      <c r="AO515" t="str">
        <f>IFERROR(VLOOKUP(M515,'Fixture Identities'!$B$9:$O$1045,14,FALSE),"")</f>
        <v/>
      </c>
      <c r="AP515" t="str">
        <f t="shared" si="182"/>
        <v/>
      </c>
    </row>
    <row r="516" spans="1:42">
      <c r="A516" s="71">
        <f t="shared" si="190"/>
        <v>0</v>
      </c>
      <c r="B516" s="513">
        <f t="shared" si="189"/>
        <v>504</v>
      </c>
      <c r="C516" s="530" t="str">
        <f>IF(Inventory!E513="","",Inventory!E513)</f>
        <v/>
      </c>
      <c r="D516" s="531">
        <f>IF(Inventory!D513="",0,Inventory!D513)</f>
        <v>0</v>
      </c>
      <c r="E516" s="532" t="str">
        <f>IF(Inventory!I513=0,"",Inventory!I513)</f>
        <v/>
      </c>
      <c r="F516" s="533" t="str">
        <f t="shared" si="169"/>
        <v/>
      </c>
      <c r="G516" s="534" t="str">
        <f>IF(Inventory!G513="","",Inventory!G513)</f>
        <v/>
      </c>
      <c r="H516" s="535" t="str">
        <f t="shared" si="170"/>
        <v/>
      </c>
      <c r="I516" s="536" t="str">
        <f>IF(Inventory!J513="","",Inventory!J513)</f>
        <v/>
      </c>
      <c r="J516" s="537" t="str">
        <f>IFERROR(IF(PRJ_Type="New Construction",IF(Inventory!C513="N",INDEX(xyLPD_BuildingArea,MATCH(Building_Type,Lookups!$F$37:$F$75,0),4),INDEX(xyLPD_SpaceBySpace,MATCH(INDEX(xyNCEx,MATCH(I516,yNCExArea,0),2),ySpace_by_Space_Type,0),2)),VLOOKUP(E516,xyWattage_Table,11,FALSE)),"")</f>
        <v/>
      </c>
      <c r="K516" s="538" t="str">
        <f>IFERROR(IF(AND(NC_Type="Building Area Method",Inventory!C513="N"),IF(ISERROR(INDEX('Usage Groups (&gt;120 MWh only)'!$N$8:$N$12,MATCH(C516,'Usage Groups (&gt;120 MWh only)'!$B$8:$B$12,0),1))=TRUE,SqFt/COUNTIFS(Inventory!$C$10:$C$1009,"N",$Q$13:$Q$1012,"&gt;=0"),INDEX('Usage Groups (&gt;120 MWh only)'!$N$8:$N$12,MATCH(C516,'Usage Groups (&gt;120 MWh only)'!$B$8:$B$12,0),1)/COUNTIF($C$13:$C$1012,C516)),IF(AND(NC_Type="Building Area Method",Inventory!C513="Y"),INDEX(xyNCEx,MATCH(I516,yNCExArea,0),3)/COUNTIF($I$13:$I$1012,I516),VLOOKUP(J516,xyWattage_Table,10,FALSE))),"")</f>
        <v/>
      </c>
      <c r="L516" s="539" t="str">
        <f t="shared" si="171"/>
        <v/>
      </c>
      <c r="M516" s="540">
        <f>IF(Inventory!N513="","",Inventory!N513)</f>
        <v>0</v>
      </c>
      <c r="N516" s="533" t="str">
        <f t="shared" si="172"/>
        <v/>
      </c>
      <c r="O516" s="534"/>
      <c r="P516" s="533" t="str">
        <f t="shared" si="173"/>
        <v/>
      </c>
      <c r="Q516" s="534" t="str">
        <f>IF(Inventory!L513="","",Inventory!L513)</f>
        <v/>
      </c>
      <c r="R516" s="535" t="str">
        <f t="shared" si="174"/>
        <v/>
      </c>
      <c r="S516" s="536" t="str">
        <f>IF(Inventory!O513="","",Inventory!O513)</f>
        <v/>
      </c>
      <c r="T516" s="541" t="str">
        <f>IFERROR(IF(C516="","",IF(INDEX(xyWattage_Table,MATCH(M516,'Fixture Identities'!$B$9:$B$997,0),2)="Exit Sign",8760,IF(VLOOKUP(C516,xySpace_Type_Details,8,FALSE)="TRM",INDEX('General Information'!$AF$17:$AG$28,11,MATCH(N516,'General Information'!$AF$16:$AG$16,0)),HLOOKUP(VLOOKUP(C516,xySpace_Type_Details,8,FALSE),'General Information'!$P$15:$AG$28,13,FALSE)))),"")</f>
        <v/>
      </c>
      <c r="U516" s="542" t="str">
        <f>IFERROR(IF(C516="","",IF(INDEX(xyWattage_Table,MATCH(M516,'Fixture Identities'!$B$9:$B$997,0),2)="Exit Sign",1,IF(VLOOKUP(C516,xySpace_Type_Details,8,FALSE)="TRM",INDEX('General Information'!$AF$17:$AG$28,12,MATCH(N516,'General Information'!$AF$16:$AG$16,0)),HLOOKUP(VLOOKUP(C516,xySpace_Type_Details,8,FALSE),'General Information'!$P$15:$AG$28,14,FALSE)))),"")</f>
        <v/>
      </c>
      <c r="V516" s="542" t="str">
        <f>IFERROR(VLOOKUP(INDEX(xySpace_Type_Details,MATCH($C516,'General Information'!$C$40:$C$60,0),12),Lookups!$L$8:$N$12,2,FALSE),"")</f>
        <v/>
      </c>
      <c r="W516" s="542" t="str">
        <f>IFERROR(VLOOKUP(INDEX(xySpace_Type_Details,MATCH($C516,'General Information'!$C$40:$C$60,0),12),Lookups!$L$8:$N$12,3,FALSE),"")</f>
        <v/>
      </c>
      <c r="Y516" s="542" t="str">
        <f>IFERROR(IF(C516="","",IF(INDEX(xyWattage_Table,MATCH(M516,'Fixture Identities'!$B$9:$B$997,0),2)="Exit Sign",0,IF(PRJ_Type="Retrofit",VLOOKUP(I516,xySVG_Factors,2,FALSE),IF(AND(PRJ_Type="New Construction",Inventory!C513="N"),VLOOKUP(VLOOKUP(Building_Type,xyLPD_BuildingArea,5,FALSE),xySVG_Factors_NC,3,FALSE),0)))),"")</f>
        <v/>
      </c>
      <c r="Z516" s="544" t="str">
        <f>IFERROR(IF(C516="","",IF(INDEX(xyWattage_Table,MATCH(M516,'Fixture Identities'!$B$9:$B$997,0),2)="Exit Sign",0,VLOOKUP(S516,xySVG_Factors,2,FALSE))),"")</f>
        <v/>
      </c>
      <c r="AA516" s="545" t="str">
        <f t="shared" si="175"/>
        <v/>
      </c>
      <c r="AB516" s="542" t="str">
        <f t="shared" si="176"/>
        <v/>
      </c>
      <c r="AC516" s="539" t="str">
        <f t="shared" si="177"/>
        <v/>
      </c>
      <c r="AD516" s="546" t="str">
        <f t="shared" si="178"/>
        <v/>
      </c>
      <c r="AE516" s="539" t="str">
        <f t="shared" si="179"/>
        <v/>
      </c>
      <c r="AF516" s="546" t="str">
        <f t="shared" si="180"/>
        <v/>
      </c>
      <c r="AG516" s="539" t="str">
        <f t="shared" si="181"/>
        <v/>
      </c>
      <c r="AH516" s="32">
        <f t="shared" si="183"/>
        <v>0</v>
      </c>
      <c r="AI516" s="32">
        <f t="shared" si="184"/>
        <v>0</v>
      </c>
      <c r="AJ516" s="32">
        <f t="shared" si="185"/>
        <v>0</v>
      </c>
      <c r="AK516" t="str">
        <f t="shared" si="186"/>
        <v/>
      </c>
      <c r="AL516" t="str">
        <f t="shared" si="187"/>
        <v/>
      </c>
      <c r="AM516" t="str">
        <f t="shared" si="188"/>
        <v/>
      </c>
      <c r="AO516" t="str">
        <f>IFERROR(VLOOKUP(M516,'Fixture Identities'!$B$9:$O$1045,14,FALSE),"")</f>
        <v/>
      </c>
      <c r="AP516" t="str">
        <f t="shared" si="182"/>
        <v/>
      </c>
    </row>
    <row r="517" spans="1:42">
      <c r="A517" s="71">
        <f t="shared" si="190"/>
        <v>0</v>
      </c>
      <c r="B517" s="513">
        <f t="shared" si="189"/>
        <v>505</v>
      </c>
      <c r="C517" s="530" t="str">
        <f>IF(Inventory!E514="","",Inventory!E514)</f>
        <v/>
      </c>
      <c r="D517" s="531">
        <f>IF(Inventory!D514="",0,Inventory!D514)</f>
        <v>0</v>
      </c>
      <c r="E517" s="532" t="str">
        <f>IF(Inventory!I514=0,"",Inventory!I514)</f>
        <v/>
      </c>
      <c r="F517" s="533" t="str">
        <f t="shared" si="169"/>
        <v/>
      </c>
      <c r="G517" s="534" t="str">
        <f>IF(Inventory!G514="","",Inventory!G514)</f>
        <v/>
      </c>
      <c r="H517" s="535" t="str">
        <f t="shared" si="170"/>
        <v/>
      </c>
      <c r="I517" s="536" t="str">
        <f>IF(Inventory!J514="","",Inventory!J514)</f>
        <v/>
      </c>
      <c r="J517" s="537" t="str">
        <f>IFERROR(IF(PRJ_Type="New Construction",IF(Inventory!C514="N",INDEX(xyLPD_BuildingArea,MATCH(Building_Type,Lookups!$F$37:$F$75,0),4),INDEX(xyLPD_SpaceBySpace,MATCH(INDEX(xyNCEx,MATCH(I517,yNCExArea,0),2),ySpace_by_Space_Type,0),2)),VLOOKUP(E517,xyWattage_Table,11,FALSE)),"")</f>
        <v/>
      </c>
      <c r="K517" s="538" t="str">
        <f>IFERROR(IF(AND(NC_Type="Building Area Method",Inventory!C514="N"),IF(ISERROR(INDEX('Usage Groups (&gt;120 MWh only)'!$N$8:$N$12,MATCH(C517,'Usage Groups (&gt;120 MWh only)'!$B$8:$B$12,0),1))=TRUE,SqFt/COUNTIFS(Inventory!$C$10:$C$1009,"N",$Q$13:$Q$1012,"&gt;=0"),INDEX('Usage Groups (&gt;120 MWh only)'!$N$8:$N$12,MATCH(C517,'Usage Groups (&gt;120 MWh only)'!$B$8:$B$12,0),1)/COUNTIF($C$13:$C$1012,C517)),IF(AND(NC_Type="Building Area Method",Inventory!C514="Y"),INDEX(xyNCEx,MATCH(I517,yNCExArea,0),3)/COUNTIF($I$13:$I$1012,I517),VLOOKUP(J517,xyWattage_Table,10,FALSE))),"")</f>
        <v/>
      </c>
      <c r="L517" s="539" t="str">
        <f t="shared" si="171"/>
        <v/>
      </c>
      <c r="M517" s="540">
        <f>IF(Inventory!N514="","",Inventory!N514)</f>
        <v>0</v>
      </c>
      <c r="N517" s="533" t="str">
        <f t="shared" si="172"/>
        <v/>
      </c>
      <c r="O517" s="534"/>
      <c r="P517" s="533" t="str">
        <f t="shared" si="173"/>
        <v/>
      </c>
      <c r="Q517" s="534" t="str">
        <f>IF(Inventory!L514="","",Inventory!L514)</f>
        <v/>
      </c>
      <c r="R517" s="535" t="str">
        <f t="shared" si="174"/>
        <v/>
      </c>
      <c r="S517" s="536" t="str">
        <f>IF(Inventory!O514="","",Inventory!O514)</f>
        <v/>
      </c>
      <c r="T517" s="541" t="str">
        <f>IFERROR(IF(C517="","",IF(INDEX(xyWattage_Table,MATCH(M517,'Fixture Identities'!$B$9:$B$997,0),2)="Exit Sign",8760,IF(VLOOKUP(C517,xySpace_Type_Details,8,FALSE)="TRM",INDEX('General Information'!$AF$17:$AG$28,11,MATCH(N517,'General Information'!$AF$16:$AG$16,0)),HLOOKUP(VLOOKUP(C517,xySpace_Type_Details,8,FALSE),'General Information'!$P$15:$AG$28,13,FALSE)))),"")</f>
        <v/>
      </c>
      <c r="U517" s="542" t="str">
        <f>IFERROR(IF(C517="","",IF(INDEX(xyWattage_Table,MATCH(M517,'Fixture Identities'!$B$9:$B$997,0),2)="Exit Sign",1,IF(VLOOKUP(C517,xySpace_Type_Details,8,FALSE)="TRM",INDEX('General Information'!$AF$17:$AG$28,12,MATCH(N517,'General Information'!$AF$16:$AG$16,0)),HLOOKUP(VLOOKUP(C517,xySpace_Type_Details,8,FALSE),'General Information'!$P$15:$AG$28,14,FALSE)))),"")</f>
        <v/>
      </c>
      <c r="V517" s="542" t="str">
        <f>IFERROR(VLOOKUP(INDEX(xySpace_Type_Details,MATCH($C517,'General Information'!$C$40:$C$60,0),12),Lookups!$L$8:$N$12,2,FALSE),"")</f>
        <v/>
      </c>
      <c r="W517" s="542" t="str">
        <f>IFERROR(VLOOKUP(INDEX(xySpace_Type_Details,MATCH($C517,'General Information'!$C$40:$C$60,0),12),Lookups!$L$8:$N$12,3,FALSE),"")</f>
        <v/>
      </c>
      <c r="Y517" s="542" t="str">
        <f>IFERROR(IF(C517="","",IF(INDEX(xyWattage_Table,MATCH(M517,'Fixture Identities'!$B$9:$B$997,0),2)="Exit Sign",0,IF(PRJ_Type="Retrofit",VLOOKUP(I517,xySVG_Factors,2,FALSE),IF(AND(PRJ_Type="New Construction",Inventory!C514="N"),VLOOKUP(VLOOKUP(Building_Type,xyLPD_BuildingArea,5,FALSE),xySVG_Factors_NC,3,FALSE),0)))),"")</f>
        <v/>
      </c>
      <c r="Z517" s="544" t="str">
        <f>IFERROR(IF(C517="","",IF(INDEX(xyWattage_Table,MATCH(M517,'Fixture Identities'!$B$9:$B$997,0),2)="Exit Sign",0,VLOOKUP(S517,xySVG_Factors,2,FALSE))),"")</f>
        <v/>
      </c>
      <c r="AA517" s="545" t="str">
        <f t="shared" si="175"/>
        <v/>
      </c>
      <c r="AB517" s="542" t="str">
        <f t="shared" si="176"/>
        <v/>
      </c>
      <c r="AC517" s="539" t="str">
        <f t="shared" si="177"/>
        <v/>
      </c>
      <c r="AD517" s="546" t="str">
        <f t="shared" si="178"/>
        <v/>
      </c>
      <c r="AE517" s="539" t="str">
        <f t="shared" si="179"/>
        <v/>
      </c>
      <c r="AF517" s="546" t="str">
        <f t="shared" si="180"/>
        <v/>
      </c>
      <c r="AG517" s="539" t="str">
        <f t="shared" si="181"/>
        <v/>
      </c>
      <c r="AH517" s="32">
        <f t="shared" si="183"/>
        <v>0</v>
      </c>
      <c r="AI517" s="32">
        <f t="shared" si="184"/>
        <v>0</v>
      </c>
      <c r="AJ517" s="32">
        <f t="shared" si="185"/>
        <v>0</v>
      </c>
      <c r="AK517" t="str">
        <f t="shared" si="186"/>
        <v/>
      </c>
      <c r="AL517" t="str">
        <f t="shared" si="187"/>
        <v/>
      </c>
      <c r="AM517" t="str">
        <f t="shared" si="188"/>
        <v/>
      </c>
      <c r="AO517" t="str">
        <f>IFERROR(VLOOKUP(M517,'Fixture Identities'!$B$9:$O$1045,14,FALSE),"")</f>
        <v/>
      </c>
      <c r="AP517" t="str">
        <f t="shared" si="182"/>
        <v/>
      </c>
    </row>
    <row r="518" spans="1:42">
      <c r="A518" s="71">
        <f t="shared" si="190"/>
        <v>0</v>
      </c>
      <c r="B518" s="513">
        <f t="shared" si="189"/>
        <v>506</v>
      </c>
      <c r="C518" s="530" t="str">
        <f>IF(Inventory!E515="","",Inventory!E515)</f>
        <v/>
      </c>
      <c r="D518" s="531">
        <f>IF(Inventory!D515="",0,Inventory!D515)</f>
        <v>0</v>
      </c>
      <c r="E518" s="532" t="str">
        <f>IF(Inventory!I515=0,"",Inventory!I515)</f>
        <v/>
      </c>
      <c r="F518" s="533" t="str">
        <f t="shared" si="169"/>
        <v/>
      </c>
      <c r="G518" s="534" t="str">
        <f>IF(Inventory!G515="","",Inventory!G515)</f>
        <v/>
      </c>
      <c r="H518" s="535" t="str">
        <f t="shared" si="170"/>
        <v/>
      </c>
      <c r="I518" s="536" t="str">
        <f>IF(Inventory!J515="","",Inventory!J515)</f>
        <v/>
      </c>
      <c r="J518" s="537" t="str">
        <f>IFERROR(IF(PRJ_Type="New Construction",IF(Inventory!C515="N",INDEX(xyLPD_BuildingArea,MATCH(Building_Type,Lookups!$F$37:$F$75,0),4),INDEX(xyLPD_SpaceBySpace,MATCH(INDEX(xyNCEx,MATCH(I518,yNCExArea,0),2),ySpace_by_Space_Type,0),2)),VLOOKUP(E518,xyWattage_Table,11,FALSE)),"")</f>
        <v/>
      </c>
      <c r="K518" s="538" t="str">
        <f>IFERROR(IF(AND(NC_Type="Building Area Method",Inventory!C515="N"),IF(ISERROR(INDEX('Usage Groups (&gt;120 MWh only)'!$N$8:$N$12,MATCH(C518,'Usage Groups (&gt;120 MWh only)'!$B$8:$B$12,0),1))=TRUE,SqFt/COUNTIFS(Inventory!$C$10:$C$1009,"N",$Q$13:$Q$1012,"&gt;=0"),INDEX('Usage Groups (&gt;120 MWh only)'!$N$8:$N$12,MATCH(C518,'Usage Groups (&gt;120 MWh only)'!$B$8:$B$12,0),1)/COUNTIF($C$13:$C$1012,C518)),IF(AND(NC_Type="Building Area Method",Inventory!C515="Y"),INDEX(xyNCEx,MATCH(I518,yNCExArea,0),3)/COUNTIF($I$13:$I$1012,I518),VLOOKUP(J518,xyWattage_Table,10,FALSE))),"")</f>
        <v/>
      </c>
      <c r="L518" s="539" t="str">
        <f t="shared" si="171"/>
        <v/>
      </c>
      <c r="M518" s="540">
        <f>IF(Inventory!N515="","",Inventory!N515)</f>
        <v>0</v>
      </c>
      <c r="N518" s="533" t="str">
        <f t="shared" si="172"/>
        <v/>
      </c>
      <c r="O518" s="534"/>
      <c r="P518" s="533" t="str">
        <f t="shared" si="173"/>
        <v/>
      </c>
      <c r="Q518" s="534" t="str">
        <f>IF(Inventory!L515="","",Inventory!L515)</f>
        <v/>
      </c>
      <c r="R518" s="535" t="str">
        <f t="shared" si="174"/>
        <v/>
      </c>
      <c r="S518" s="536" t="str">
        <f>IF(Inventory!O515="","",Inventory!O515)</f>
        <v/>
      </c>
      <c r="T518" s="541" t="str">
        <f>IFERROR(IF(C518="","",IF(INDEX(xyWattage_Table,MATCH(M518,'Fixture Identities'!$B$9:$B$997,0),2)="Exit Sign",8760,IF(VLOOKUP(C518,xySpace_Type_Details,8,FALSE)="TRM",INDEX('General Information'!$AF$17:$AG$28,11,MATCH(N518,'General Information'!$AF$16:$AG$16,0)),HLOOKUP(VLOOKUP(C518,xySpace_Type_Details,8,FALSE),'General Information'!$P$15:$AG$28,13,FALSE)))),"")</f>
        <v/>
      </c>
      <c r="U518" s="542" t="str">
        <f>IFERROR(IF(C518="","",IF(INDEX(xyWattage_Table,MATCH(M518,'Fixture Identities'!$B$9:$B$997,0),2)="Exit Sign",1,IF(VLOOKUP(C518,xySpace_Type_Details,8,FALSE)="TRM",INDEX('General Information'!$AF$17:$AG$28,12,MATCH(N518,'General Information'!$AF$16:$AG$16,0)),HLOOKUP(VLOOKUP(C518,xySpace_Type_Details,8,FALSE),'General Information'!$P$15:$AG$28,14,FALSE)))),"")</f>
        <v/>
      </c>
      <c r="V518" s="542" t="str">
        <f>IFERROR(VLOOKUP(INDEX(xySpace_Type_Details,MATCH($C518,'General Information'!$C$40:$C$60,0),12),Lookups!$L$8:$N$12,2,FALSE),"")</f>
        <v/>
      </c>
      <c r="W518" s="542" t="str">
        <f>IFERROR(VLOOKUP(INDEX(xySpace_Type_Details,MATCH($C518,'General Information'!$C$40:$C$60,0),12),Lookups!$L$8:$N$12,3,FALSE),"")</f>
        <v/>
      </c>
      <c r="Y518" s="542" t="str">
        <f>IFERROR(IF(C518="","",IF(INDEX(xyWattage_Table,MATCH(M518,'Fixture Identities'!$B$9:$B$997,0),2)="Exit Sign",0,IF(PRJ_Type="Retrofit",VLOOKUP(I518,xySVG_Factors,2,FALSE),IF(AND(PRJ_Type="New Construction",Inventory!C515="N"),VLOOKUP(VLOOKUP(Building_Type,xyLPD_BuildingArea,5,FALSE),xySVG_Factors_NC,3,FALSE),0)))),"")</f>
        <v/>
      </c>
      <c r="Z518" s="544" t="str">
        <f>IFERROR(IF(C518="","",IF(INDEX(xyWattage_Table,MATCH(M518,'Fixture Identities'!$B$9:$B$997,0),2)="Exit Sign",0,VLOOKUP(S518,xySVG_Factors,2,FALSE))),"")</f>
        <v/>
      </c>
      <c r="AA518" s="545" t="str">
        <f t="shared" si="175"/>
        <v/>
      </c>
      <c r="AB518" s="542" t="str">
        <f t="shared" si="176"/>
        <v/>
      </c>
      <c r="AC518" s="539" t="str">
        <f t="shared" si="177"/>
        <v/>
      </c>
      <c r="AD518" s="546" t="str">
        <f t="shared" si="178"/>
        <v/>
      </c>
      <c r="AE518" s="539" t="str">
        <f t="shared" si="179"/>
        <v/>
      </c>
      <c r="AF518" s="546" t="str">
        <f t="shared" si="180"/>
        <v/>
      </c>
      <c r="AG518" s="539" t="str">
        <f t="shared" si="181"/>
        <v/>
      </c>
      <c r="AH518" s="32">
        <f t="shared" si="183"/>
        <v>0</v>
      </c>
      <c r="AI518" s="32">
        <f t="shared" si="184"/>
        <v>0</v>
      </c>
      <c r="AJ518" s="32">
        <f t="shared" si="185"/>
        <v>0</v>
      </c>
      <c r="AK518" t="str">
        <f t="shared" si="186"/>
        <v/>
      </c>
      <c r="AL518" t="str">
        <f t="shared" si="187"/>
        <v/>
      </c>
      <c r="AM518" t="str">
        <f t="shared" si="188"/>
        <v/>
      </c>
      <c r="AO518" t="str">
        <f>IFERROR(VLOOKUP(M518,'Fixture Identities'!$B$9:$O$1045,14,FALSE),"")</f>
        <v/>
      </c>
      <c r="AP518" t="str">
        <f t="shared" si="182"/>
        <v/>
      </c>
    </row>
    <row r="519" spans="1:42">
      <c r="A519" s="71">
        <f t="shared" si="190"/>
        <v>0</v>
      </c>
      <c r="B519" s="513">
        <f t="shared" si="189"/>
        <v>507</v>
      </c>
      <c r="C519" s="530" t="str">
        <f>IF(Inventory!E516="","",Inventory!E516)</f>
        <v/>
      </c>
      <c r="D519" s="531">
        <f>IF(Inventory!D516="",0,Inventory!D516)</f>
        <v>0</v>
      </c>
      <c r="E519" s="532" t="str">
        <f>IF(Inventory!I516=0,"",Inventory!I516)</f>
        <v/>
      </c>
      <c r="F519" s="533" t="str">
        <f t="shared" ref="F519:F582" si="191">IFERROR(VLOOKUP(E519,xyWattage_Table,10,FALSE),"")</f>
        <v/>
      </c>
      <c r="G519" s="534" t="str">
        <f>IF(Inventory!G516="","",Inventory!G516)</f>
        <v/>
      </c>
      <c r="H519" s="535" t="str">
        <f t="shared" ref="H519:H582" si="192">IF(G519="","",G519*F519)</f>
        <v/>
      </c>
      <c r="I519" s="536" t="str">
        <f>IF(Inventory!J516="","",Inventory!J516)</f>
        <v/>
      </c>
      <c r="J519" s="537" t="str">
        <f>IFERROR(IF(PRJ_Type="New Construction",IF(Inventory!C516="N",INDEX(xyLPD_BuildingArea,MATCH(Building_Type,Lookups!$F$37:$F$75,0),4),INDEX(xyLPD_SpaceBySpace,MATCH(INDEX(xyNCEx,MATCH(I519,yNCExArea,0),2),ySpace_by_Space_Type,0),2)),VLOOKUP(E519,xyWattage_Table,11,FALSE)),"")</f>
        <v/>
      </c>
      <c r="K519" s="538" t="str">
        <f>IFERROR(IF(AND(NC_Type="Building Area Method",Inventory!C516="N"),IF(ISERROR(INDEX('Usage Groups (&gt;120 MWh only)'!$N$8:$N$12,MATCH(C519,'Usage Groups (&gt;120 MWh only)'!$B$8:$B$12,0),1))=TRUE,SqFt/COUNTIFS(Inventory!$C$10:$C$1009,"N",$Q$13:$Q$1012,"&gt;=0"),INDEX('Usage Groups (&gt;120 MWh only)'!$N$8:$N$12,MATCH(C519,'Usage Groups (&gt;120 MWh only)'!$B$8:$B$12,0),1)/COUNTIF($C$13:$C$1012,C519)),IF(AND(NC_Type="Building Area Method",Inventory!C516="Y"),INDEX(xyNCEx,MATCH(I519,yNCExArea,0),3)/COUNTIF($I$13:$I$1012,I519),VLOOKUP(J519,xyWattage_Table,10,FALSE))),"")</f>
        <v/>
      </c>
      <c r="L519" s="539" t="str">
        <f t="shared" ref="L519:L582" si="193">IFERROR(IF(PRJ_Type="New Construction",J519*K519,IF(G519="","",K519*G519)),"")</f>
        <v/>
      </c>
      <c r="M519" s="540">
        <f>IF(Inventory!N516="","",Inventory!N516)</f>
        <v>0</v>
      </c>
      <c r="N519" s="533" t="str">
        <f t="shared" ref="N519:N582" si="194">IFERROR(VLOOKUP(M519,xyWattage_Table,12,FALSE),"")</f>
        <v/>
      </c>
      <c r="O519" s="534"/>
      <c r="P519" s="533" t="str">
        <f t="shared" ref="P519:P582" si="195">IFERROR(VLOOKUP(M519,xyWattage_Table,10,FALSE),"")</f>
        <v/>
      </c>
      <c r="Q519" s="534" t="str">
        <f>IF(Inventory!L516="","",Inventory!L516)</f>
        <v/>
      </c>
      <c r="R519" s="535" t="str">
        <f t="shared" ref="R519:R582" si="196">IF(P519="","",Q519*P519)</f>
        <v/>
      </c>
      <c r="S519" s="536" t="str">
        <f>IF(Inventory!O516="","",Inventory!O516)</f>
        <v/>
      </c>
      <c r="T519" s="541" t="str">
        <f>IFERROR(IF(C519="","",IF(INDEX(xyWattage_Table,MATCH(M519,'Fixture Identities'!$B$9:$B$997,0),2)="Exit Sign",8760,IF(VLOOKUP(C519,xySpace_Type_Details,8,FALSE)="TRM",INDEX('General Information'!$AF$17:$AG$28,11,MATCH(N519,'General Information'!$AF$16:$AG$16,0)),HLOOKUP(VLOOKUP(C519,xySpace_Type_Details,8,FALSE),'General Information'!$P$15:$AG$28,13,FALSE)))),"")</f>
        <v/>
      </c>
      <c r="U519" s="542" t="str">
        <f>IFERROR(IF(C519="","",IF(INDEX(xyWattage_Table,MATCH(M519,'Fixture Identities'!$B$9:$B$997,0),2)="Exit Sign",1,IF(VLOOKUP(C519,xySpace_Type_Details,8,FALSE)="TRM",INDEX('General Information'!$AF$17:$AG$28,12,MATCH(N519,'General Information'!$AF$16:$AG$16,0)),HLOOKUP(VLOOKUP(C519,xySpace_Type_Details,8,FALSE),'General Information'!$P$15:$AG$28,14,FALSE)))),"")</f>
        <v/>
      </c>
      <c r="V519" s="542" t="str">
        <f>IFERROR(VLOOKUP(INDEX(xySpace_Type_Details,MATCH($C519,'General Information'!$C$40:$C$60,0),12),Lookups!$L$8:$N$12,2,FALSE),"")</f>
        <v/>
      </c>
      <c r="W519" s="542" t="str">
        <f>IFERROR(VLOOKUP(INDEX(xySpace_Type_Details,MATCH($C519,'General Information'!$C$40:$C$60,0),12),Lookups!$L$8:$N$12,3,FALSE),"")</f>
        <v/>
      </c>
      <c r="Y519" s="542" t="str">
        <f>IFERROR(IF(C519="","",IF(INDEX(xyWattage_Table,MATCH(M519,'Fixture Identities'!$B$9:$B$997,0),2)="Exit Sign",0,IF(PRJ_Type="Retrofit",VLOOKUP(I519,xySVG_Factors,2,FALSE),IF(AND(PRJ_Type="New Construction",Inventory!C516="N"),VLOOKUP(VLOOKUP(Building_Type,xyLPD_BuildingArea,5,FALSE),xySVG_Factors_NC,3,FALSE),0)))),"")</f>
        <v/>
      </c>
      <c r="Z519" s="544" t="str">
        <f>IFERROR(IF(C519="","",IF(INDEX(xyWattage_Table,MATCH(M519,'Fixture Identities'!$B$9:$B$997,0),2)="Exit Sign",0,VLOOKUP(S519,xySVG_Factors,2,FALSE))),"")</f>
        <v/>
      </c>
      <c r="AA519" s="545" t="str">
        <f t="shared" ref="AA519:AA582" si="197">IFERROR((L519-R519)/1000,"")</f>
        <v/>
      </c>
      <c r="AB519" s="542" t="str">
        <f t="shared" ref="AB519:AB582" si="198">IFERROR(AA519*U519*(1+W519)*(1-Y519),"")</f>
        <v/>
      </c>
      <c r="AC519" s="539" t="str">
        <f t="shared" ref="AC519:AC582" si="199">IFERROR(AA519*T519*(1+V519)*(1-Y519),"")</f>
        <v/>
      </c>
      <c r="AD519" s="546" t="str">
        <f t="shared" ref="AD519:AD582" si="200">IFERROR(R519/1000*(Z519-Y519)*(1+W519)*U519,"")</f>
        <v/>
      </c>
      <c r="AE519" s="539" t="str">
        <f t="shared" ref="AE519:AE582" si="201">IFERROR(R519/1000*T519*(Z519-Y519)*(1+V519),"")</f>
        <v/>
      </c>
      <c r="AF519" s="546" t="str">
        <f t="shared" ref="AF519:AF582" si="202">IFERROR(AB519+AD519,"")</f>
        <v/>
      </c>
      <c r="AG519" s="539" t="str">
        <f t="shared" ref="AG519:AG582" si="203">IFERROR(AC519+AE519,"")</f>
        <v/>
      </c>
      <c r="AH519" s="32">
        <f t="shared" si="183"/>
        <v>0</v>
      </c>
      <c r="AI519" s="32">
        <f t="shared" si="184"/>
        <v>0</v>
      </c>
      <c r="AJ519" s="32">
        <f t="shared" si="185"/>
        <v>0</v>
      </c>
      <c r="AK519" t="str">
        <f t="shared" si="186"/>
        <v/>
      </c>
      <c r="AL519" t="str">
        <f t="shared" si="187"/>
        <v/>
      </c>
      <c r="AM519" t="str">
        <f t="shared" si="188"/>
        <v/>
      </c>
      <c r="AO519" t="str">
        <f>IFERROR(VLOOKUP(M519,'Fixture Identities'!$B$9:$O$1045,14,FALSE),"")</f>
        <v/>
      </c>
      <c r="AP519" t="str">
        <f t="shared" si="182"/>
        <v/>
      </c>
    </row>
    <row r="520" spans="1:42">
      <c r="A520" s="71">
        <f t="shared" si="190"/>
        <v>0</v>
      </c>
      <c r="B520" s="513">
        <f t="shared" si="189"/>
        <v>508</v>
      </c>
      <c r="C520" s="530" t="str">
        <f>IF(Inventory!E517="","",Inventory!E517)</f>
        <v/>
      </c>
      <c r="D520" s="531">
        <f>IF(Inventory!D517="",0,Inventory!D517)</f>
        <v>0</v>
      </c>
      <c r="E520" s="532" t="str">
        <f>IF(Inventory!I517=0,"",Inventory!I517)</f>
        <v/>
      </c>
      <c r="F520" s="533" t="str">
        <f t="shared" si="191"/>
        <v/>
      </c>
      <c r="G520" s="534" t="str">
        <f>IF(Inventory!G517="","",Inventory!G517)</f>
        <v/>
      </c>
      <c r="H520" s="535" t="str">
        <f t="shared" si="192"/>
        <v/>
      </c>
      <c r="I520" s="536" t="str">
        <f>IF(Inventory!J517="","",Inventory!J517)</f>
        <v/>
      </c>
      <c r="J520" s="537" t="str">
        <f>IFERROR(IF(PRJ_Type="New Construction",IF(Inventory!C517="N",INDEX(xyLPD_BuildingArea,MATCH(Building_Type,Lookups!$F$37:$F$75,0),4),INDEX(xyLPD_SpaceBySpace,MATCH(INDEX(xyNCEx,MATCH(I520,yNCExArea,0),2),ySpace_by_Space_Type,0),2)),VLOOKUP(E520,xyWattage_Table,11,FALSE)),"")</f>
        <v/>
      </c>
      <c r="K520" s="538" t="str">
        <f>IFERROR(IF(AND(NC_Type="Building Area Method",Inventory!C517="N"),IF(ISERROR(INDEX('Usage Groups (&gt;120 MWh only)'!$N$8:$N$12,MATCH(C520,'Usage Groups (&gt;120 MWh only)'!$B$8:$B$12,0),1))=TRUE,SqFt/COUNTIFS(Inventory!$C$10:$C$1009,"N",$Q$13:$Q$1012,"&gt;=0"),INDEX('Usage Groups (&gt;120 MWh only)'!$N$8:$N$12,MATCH(C520,'Usage Groups (&gt;120 MWh only)'!$B$8:$B$12,0),1)/COUNTIF($C$13:$C$1012,C520)),IF(AND(NC_Type="Building Area Method",Inventory!C517="Y"),INDEX(xyNCEx,MATCH(I520,yNCExArea,0),3)/COUNTIF($I$13:$I$1012,I520),VLOOKUP(J520,xyWattage_Table,10,FALSE))),"")</f>
        <v/>
      </c>
      <c r="L520" s="539" t="str">
        <f t="shared" si="193"/>
        <v/>
      </c>
      <c r="M520" s="540">
        <f>IF(Inventory!N517="","",Inventory!N517)</f>
        <v>0</v>
      </c>
      <c r="N520" s="533" t="str">
        <f t="shared" si="194"/>
        <v/>
      </c>
      <c r="O520" s="534"/>
      <c r="P520" s="533" t="str">
        <f t="shared" si="195"/>
        <v/>
      </c>
      <c r="Q520" s="534" t="str">
        <f>IF(Inventory!L517="","",Inventory!L517)</f>
        <v/>
      </c>
      <c r="R520" s="535" t="str">
        <f t="shared" si="196"/>
        <v/>
      </c>
      <c r="S520" s="536" t="str">
        <f>IF(Inventory!O517="","",Inventory!O517)</f>
        <v/>
      </c>
      <c r="T520" s="541" t="str">
        <f>IFERROR(IF(C520="","",IF(INDEX(xyWattage_Table,MATCH(M520,'Fixture Identities'!$B$9:$B$997,0),2)="Exit Sign",8760,IF(VLOOKUP(C520,xySpace_Type_Details,8,FALSE)="TRM",INDEX('General Information'!$AF$17:$AG$28,11,MATCH(N520,'General Information'!$AF$16:$AG$16,0)),HLOOKUP(VLOOKUP(C520,xySpace_Type_Details,8,FALSE),'General Information'!$P$15:$AG$28,13,FALSE)))),"")</f>
        <v/>
      </c>
      <c r="U520" s="542" t="str">
        <f>IFERROR(IF(C520="","",IF(INDEX(xyWattage_Table,MATCH(M520,'Fixture Identities'!$B$9:$B$997,0),2)="Exit Sign",1,IF(VLOOKUP(C520,xySpace_Type_Details,8,FALSE)="TRM",INDEX('General Information'!$AF$17:$AG$28,12,MATCH(N520,'General Information'!$AF$16:$AG$16,0)),HLOOKUP(VLOOKUP(C520,xySpace_Type_Details,8,FALSE),'General Information'!$P$15:$AG$28,14,FALSE)))),"")</f>
        <v/>
      </c>
      <c r="V520" s="542" t="str">
        <f>IFERROR(VLOOKUP(INDEX(xySpace_Type_Details,MATCH($C520,'General Information'!$C$40:$C$60,0),12),Lookups!$L$8:$N$12,2,FALSE),"")</f>
        <v/>
      </c>
      <c r="W520" s="542" t="str">
        <f>IFERROR(VLOOKUP(INDEX(xySpace_Type_Details,MATCH($C520,'General Information'!$C$40:$C$60,0),12),Lookups!$L$8:$N$12,3,FALSE),"")</f>
        <v/>
      </c>
      <c r="Y520" s="542" t="str">
        <f>IFERROR(IF(C520="","",IF(INDEX(xyWattage_Table,MATCH(M520,'Fixture Identities'!$B$9:$B$997,0),2)="Exit Sign",0,IF(PRJ_Type="Retrofit",VLOOKUP(I520,xySVG_Factors,2,FALSE),IF(AND(PRJ_Type="New Construction",Inventory!C517="N"),VLOOKUP(VLOOKUP(Building_Type,xyLPD_BuildingArea,5,FALSE),xySVG_Factors_NC,3,FALSE),0)))),"")</f>
        <v/>
      </c>
      <c r="Z520" s="544" t="str">
        <f>IFERROR(IF(C520="","",IF(INDEX(xyWattage_Table,MATCH(M520,'Fixture Identities'!$B$9:$B$997,0),2)="Exit Sign",0,VLOOKUP(S520,xySVG_Factors,2,FALSE))),"")</f>
        <v/>
      </c>
      <c r="AA520" s="545" t="str">
        <f t="shared" si="197"/>
        <v/>
      </c>
      <c r="AB520" s="542" t="str">
        <f t="shared" si="198"/>
        <v/>
      </c>
      <c r="AC520" s="539" t="str">
        <f t="shared" si="199"/>
        <v/>
      </c>
      <c r="AD520" s="546" t="str">
        <f t="shared" si="200"/>
        <v/>
      </c>
      <c r="AE520" s="539" t="str">
        <f t="shared" si="201"/>
        <v/>
      </c>
      <c r="AF520" s="546" t="str">
        <f t="shared" si="202"/>
        <v/>
      </c>
      <c r="AG520" s="539" t="str">
        <f t="shared" si="203"/>
        <v/>
      </c>
      <c r="AH520" s="32">
        <f t="shared" si="183"/>
        <v>0</v>
      </c>
      <c r="AI520" s="32">
        <f t="shared" si="184"/>
        <v>0</v>
      </c>
      <c r="AJ520" s="32">
        <f t="shared" si="185"/>
        <v>0</v>
      </c>
      <c r="AK520" t="str">
        <f t="shared" si="186"/>
        <v/>
      </c>
      <c r="AL520" t="str">
        <f t="shared" si="187"/>
        <v/>
      </c>
      <c r="AM520" t="str">
        <f t="shared" si="188"/>
        <v/>
      </c>
      <c r="AO520" t="str">
        <f>IFERROR(VLOOKUP(M520,'Fixture Identities'!$B$9:$O$1045,14,FALSE),"")</f>
        <v/>
      </c>
      <c r="AP520" t="str">
        <f t="shared" si="182"/>
        <v/>
      </c>
    </row>
    <row r="521" spans="1:42">
      <c r="A521" s="71">
        <f t="shared" si="190"/>
        <v>0</v>
      </c>
      <c r="B521" s="513">
        <f t="shared" si="189"/>
        <v>509</v>
      </c>
      <c r="C521" s="530" t="str">
        <f>IF(Inventory!E518="","",Inventory!E518)</f>
        <v/>
      </c>
      <c r="D521" s="531">
        <f>IF(Inventory!D518="",0,Inventory!D518)</f>
        <v>0</v>
      </c>
      <c r="E521" s="532" t="str">
        <f>IF(Inventory!I518=0,"",Inventory!I518)</f>
        <v/>
      </c>
      <c r="F521" s="533" t="str">
        <f t="shared" si="191"/>
        <v/>
      </c>
      <c r="G521" s="534" t="str">
        <f>IF(Inventory!G518="","",Inventory!G518)</f>
        <v/>
      </c>
      <c r="H521" s="535" t="str">
        <f t="shared" si="192"/>
        <v/>
      </c>
      <c r="I521" s="536" t="str">
        <f>IF(Inventory!J518="","",Inventory!J518)</f>
        <v/>
      </c>
      <c r="J521" s="537" t="str">
        <f>IFERROR(IF(PRJ_Type="New Construction",IF(Inventory!C518="N",INDEX(xyLPD_BuildingArea,MATCH(Building_Type,Lookups!$F$37:$F$75,0),4),INDEX(xyLPD_SpaceBySpace,MATCH(INDEX(xyNCEx,MATCH(I521,yNCExArea,0),2),ySpace_by_Space_Type,0),2)),VLOOKUP(E521,xyWattage_Table,11,FALSE)),"")</f>
        <v/>
      </c>
      <c r="K521" s="538" t="str">
        <f>IFERROR(IF(AND(NC_Type="Building Area Method",Inventory!C518="N"),IF(ISERROR(INDEX('Usage Groups (&gt;120 MWh only)'!$N$8:$N$12,MATCH(C521,'Usage Groups (&gt;120 MWh only)'!$B$8:$B$12,0),1))=TRUE,SqFt/COUNTIFS(Inventory!$C$10:$C$1009,"N",$Q$13:$Q$1012,"&gt;=0"),INDEX('Usage Groups (&gt;120 MWh only)'!$N$8:$N$12,MATCH(C521,'Usage Groups (&gt;120 MWh only)'!$B$8:$B$12,0),1)/COUNTIF($C$13:$C$1012,C521)),IF(AND(NC_Type="Building Area Method",Inventory!C518="Y"),INDEX(xyNCEx,MATCH(I521,yNCExArea,0),3)/COUNTIF($I$13:$I$1012,I521),VLOOKUP(J521,xyWattage_Table,10,FALSE))),"")</f>
        <v/>
      </c>
      <c r="L521" s="539" t="str">
        <f t="shared" si="193"/>
        <v/>
      </c>
      <c r="M521" s="540">
        <f>IF(Inventory!N518="","",Inventory!N518)</f>
        <v>0</v>
      </c>
      <c r="N521" s="533" t="str">
        <f t="shared" si="194"/>
        <v/>
      </c>
      <c r="O521" s="534"/>
      <c r="P521" s="533" t="str">
        <f t="shared" si="195"/>
        <v/>
      </c>
      <c r="Q521" s="534" t="str">
        <f>IF(Inventory!L518="","",Inventory!L518)</f>
        <v/>
      </c>
      <c r="R521" s="535" t="str">
        <f t="shared" si="196"/>
        <v/>
      </c>
      <c r="S521" s="536" t="str">
        <f>IF(Inventory!O518="","",Inventory!O518)</f>
        <v/>
      </c>
      <c r="T521" s="541" t="str">
        <f>IFERROR(IF(C521="","",IF(INDEX(xyWattage_Table,MATCH(M521,'Fixture Identities'!$B$9:$B$997,0),2)="Exit Sign",8760,IF(VLOOKUP(C521,xySpace_Type_Details,8,FALSE)="TRM",INDEX('General Information'!$AF$17:$AG$28,11,MATCH(N521,'General Information'!$AF$16:$AG$16,0)),HLOOKUP(VLOOKUP(C521,xySpace_Type_Details,8,FALSE),'General Information'!$P$15:$AG$28,13,FALSE)))),"")</f>
        <v/>
      </c>
      <c r="U521" s="542" t="str">
        <f>IFERROR(IF(C521="","",IF(INDEX(xyWattage_Table,MATCH(M521,'Fixture Identities'!$B$9:$B$997,0),2)="Exit Sign",1,IF(VLOOKUP(C521,xySpace_Type_Details,8,FALSE)="TRM",INDEX('General Information'!$AF$17:$AG$28,12,MATCH(N521,'General Information'!$AF$16:$AG$16,0)),HLOOKUP(VLOOKUP(C521,xySpace_Type_Details,8,FALSE),'General Information'!$P$15:$AG$28,14,FALSE)))),"")</f>
        <v/>
      </c>
      <c r="V521" s="542" t="str">
        <f>IFERROR(VLOOKUP(INDEX(xySpace_Type_Details,MATCH($C521,'General Information'!$C$40:$C$60,0),12),Lookups!$L$8:$N$12,2,FALSE),"")</f>
        <v/>
      </c>
      <c r="W521" s="542" t="str">
        <f>IFERROR(VLOOKUP(INDEX(xySpace_Type_Details,MATCH($C521,'General Information'!$C$40:$C$60,0),12),Lookups!$L$8:$N$12,3,FALSE),"")</f>
        <v/>
      </c>
      <c r="Y521" s="542" t="str">
        <f>IFERROR(IF(C521="","",IF(INDEX(xyWattage_Table,MATCH(M521,'Fixture Identities'!$B$9:$B$997,0),2)="Exit Sign",0,IF(PRJ_Type="Retrofit",VLOOKUP(I521,xySVG_Factors,2,FALSE),IF(AND(PRJ_Type="New Construction",Inventory!C518="N"),VLOOKUP(VLOOKUP(Building_Type,xyLPD_BuildingArea,5,FALSE),xySVG_Factors_NC,3,FALSE),0)))),"")</f>
        <v/>
      </c>
      <c r="Z521" s="544" t="str">
        <f>IFERROR(IF(C521="","",IF(INDEX(xyWattage_Table,MATCH(M521,'Fixture Identities'!$B$9:$B$997,0),2)="Exit Sign",0,VLOOKUP(S521,xySVG_Factors,2,FALSE))),"")</f>
        <v/>
      </c>
      <c r="AA521" s="545" t="str">
        <f t="shared" si="197"/>
        <v/>
      </c>
      <c r="AB521" s="542" t="str">
        <f t="shared" si="198"/>
        <v/>
      </c>
      <c r="AC521" s="539" t="str">
        <f t="shared" si="199"/>
        <v/>
      </c>
      <c r="AD521" s="546" t="str">
        <f t="shared" si="200"/>
        <v/>
      </c>
      <c r="AE521" s="539" t="str">
        <f t="shared" si="201"/>
        <v/>
      </c>
      <c r="AF521" s="546" t="str">
        <f t="shared" si="202"/>
        <v/>
      </c>
      <c r="AG521" s="539" t="str">
        <f t="shared" si="203"/>
        <v/>
      </c>
      <c r="AH521" s="32">
        <f t="shared" si="183"/>
        <v>0</v>
      </c>
      <c r="AI521" s="32">
        <f t="shared" si="184"/>
        <v>0</v>
      </c>
      <c r="AJ521" s="32">
        <f t="shared" si="185"/>
        <v>0</v>
      </c>
      <c r="AK521" t="str">
        <f t="shared" si="186"/>
        <v/>
      </c>
      <c r="AL521" t="str">
        <f t="shared" si="187"/>
        <v/>
      </c>
      <c r="AM521" t="str">
        <f t="shared" si="188"/>
        <v/>
      </c>
      <c r="AO521" t="str">
        <f>IFERROR(VLOOKUP(M521,'Fixture Identities'!$B$9:$O$1045,14,FALSE),"")</f>
        <v/>
      </c>
      <c r="AP521" t="str">
        <f t="shared" si="182"/>
        <v/>
      </c>
    </row>
    <row r="522" spans="1:42">
      <c r="A522" s="71">
        <f t="shared" si="190"/>
        <v>0</v>
      </c>
      <c r="B522" s="513">
        <f t="shared" si="189"/>
        <v>510</v>
      </c>
      <c r="C522" s="530" t="str">
        <f>IF(Inventory!E519="","",Inventory!E519)</f>
        <v/>
      </c>
      <c r="D522" s="531">
        <f>IF(Inventory!D519="",0,Inventory!D519)</f>
        <v>0</v>
      </c>
      <c r="E522" s="532" t="str">
        <f>IF(Inventory!I519=0,"",Inventory!I519)</f>
        <v/>
      </c>
      <c r="F522" s="533" t="str">
        <f t="shared" si="191"/>
        <v/>
      </c>
      <c r="G522" s="534" t="str">
        <f>IF(Inventory!G519="","",Inventory!G519)</f>
        <v/>
      </c>
      <c r="H522" s="535" t="str">
        <f t="shared" si="192"/>
        <v/>
      </c>
      <c r="I522" s="536" t="str">
        <f>IF(Inventory!J519="","",Inventory!J519)</f>
        <v/>
      </c>
      <c r="J522" s="537" t="str">
        <f>IFERROR(IF(PRJ_Type="New Construction",IF(Inventory!C519="N",INDEX(xyLPD_BuildingArea,MATCH(Building_Type,Lookups!$F$37:$F$75,0),4),INDEX(xyLPD_SpaceBySpace,MATCH(INDEX(xyNCEx,MATCH(I522,yNCExArea,0),2),ySpace_by_Space_Type,0),2)),VLOOKUP(E522,xyWattage_Table,11,FALSE)),"")</f>
        <v/>
      </c>
      <c r="K522" s="538" t="str">
        <f>IFERROR(IF(AND(NC_Type="Building Area Method",Inventory!C519="N"),IF(ISERROR(INDEX('Usage Groups (&gt;120 MWh only)'!$N$8:$N$12,MATCH(C522,'Usage Groups (&gt;120 MWh only)'!$B$8:$B$12,0),1))=TRUE,SqFt/COUNTIFS(Inventory!$C$10:$C$1009,"N",$Q$13:$Q$1012,"&gt;=0"),INDEX('Usage Groups (&gt;120 MWh only)'!$N$8:$N$12,MATCH(C522,'Usage Groups (&gt;120 MWh only)'!$B$8:$B$12,0),1)/COUNTIF($C$13:$C$1012,C522)),IF(AND(NC_Type="Building Area Method",Inventory!C519="Y"),INDEX(xyNCEx,MATCH(I522,yNCExArea,0),3)/COUNTIF($I$13:$I$1012,I522),VLOOKUP(J522,xyWattage_Table,10,FALSE))),"")</f>
        <v/>
      </c>
      <c r="L522" s="539" t="str">
        <f t="shared" si="193"/>
        <v/>
      </c>
      <c r="M522" s="540">
        <f>IF(Inventory!N519="","",Inventory!N519)</f>
        <v>0</v>
      </c>
      <c r="N522" s="533" t="str">
        <f t="shared" si="194"/>
        <v/>
      </c>
      <c r="O522" s="534"/>
      <c r="P522" s="533" t="str">
        <f t="shared" si="195"/>
        <v/>
      </c>
      <c r="Q522" s="534" t="str">
        <f>IF(Inventory!L519="","",Inventory!L519)</f>
        <v/>
      </c>
      <c r="R522" s="535" t="str">
        <f t="shared" si="196"/>
        <v/>
      </c>
      <c r="S522" s="536" t="str">
        <f>IF(Inventory!O519="","",Inventory!O519)</f>
        <v/>
      </c>
      <c r="T522" s="541" t="str">
        <f>IFERROR(IF(C522="","",IF(INDEX(xyWattage_Table,MATCH(M522,'Fixture Identities'!$B$9:$B$997,0),2)="Exit Sign",8760,IF(VLOOKUP(C522,xySpace_Type_Details,8,FALSE)="TRM",INDEX('General Information'!$AF$17:$AG$28,11,MATCH(N522,'General Information'!$AF$16:$AG$16,0)),HLOOKUP(VLOOKUP(C522,xySpace_Type_Details,8,FALSE),'General Information'!$P$15:$AG$28,13,FALSE)))),"")</f>
        <v/>
      </c>
      <c r="U522" s="542" t="str">
        <f>IFERROR(IF(C522="","",IF(INDEX(xyWattage_Table,MATCH(M522,'Fixture Identities'!$B$9:$B$997,0),2)="Exit Sign",1,IF(VLOOKUP(C522,xySpace_Type_Details,8,FALSE)="TRM",INDEX('General Information'!$AF$17:$AG$28,12,MATCH(N522,'General Information'!$AF$16:$AG$16,0)),HLOOKUP(VLOOKUP(C522,xySpace_Type_Details,8,FALSE),'General Information'!$P$15:$AG$28,14,FALSE)))),"")</f>
        <v/>
      </c>
      <c r="V522" s="542" t="str">
        <f>IFERROR(VLOOKUP(INDEX(xySpace_Type_Details,MATCH($C522,'General Information'!$C$40:$C$60,0),12),Lookups!$L$8:$N$12,2,FALSE),"")</f>
        <v/>
      </c>
      <c r="W522" s="542" t="str">
        <f>IFERROR(VLOOKUP(INDEX(xySpace_Type_Details,MATCH($C522,'General Information'!$C$40:$C$60,0),12),Lookups!$L$8:$N$12,3,FALSE),"")</f>
        <v/>
      </c>
      <c r="Y522" s="542" t="str">
        <f>IFERROR(IF(C522="","",IF(INDEX(xyWattage_Table,MATCH(M522,'Fixture Identities'!$B$9:$B$997,0),2)="Exit Sign",0,IF(PRJ_Type="Retrofit",VLOOKUP(I522,xySVG_Factors,2,FALSE),IF(AND(PRJ_Type="New Construction",Inventory!C519="N"),VLOOKUP(VLOOKUP(Building_Type,xyLPD_BuildingArea,5,FALSE),xySVG_Factors_NC,3,FALSE),0)))),"")</f>
        <v/>
      </c>
      <c r="Z522" s="544" t="str">
        <f>IFERROR(IF(C522="","",IF(INDEX(xyWattage_Table,MATCH(M522,'Fixture Identities'!$B$9:$B$997,0),2)="Exit Sign",0,VLOOKUP(S522,xySVG_Factors,2,FALSE))),"")</f>
        <v/>
      </c>
      <c r="AA522" s="545" t="str">
        <f t="shared" si="197"/>
        <v/>
      </c>
      <c r="AB522" s="542" t="str">
        <f t="shared" si="198"/>
        <v/>
      </c>
      <c r="AC522" s="539" t="str">
        <f t="shared" si="199"/>
        <v/>
      </c>
      <c r="AD522" s="546" t="str">
        <f t="shared" si="200"/>
        <v/>
      </c>
      <c r="AE522" s="539" t="str">
        <f t="shared" si="201"/>
        <v/>
      </c>
      <c r="AF522" s="546" t="str">
        <f t="shared" si="202"/>
        <v/>
      </c>
      <c r="AG522" s="539" t="str">
        <f t="shared" si="203"/>
        <v/>
      </c>
      <c r="AH522" s="32">
        <f t="shared" si="183"/>
        <v>0</v>
      </c>
      <c r="AI522" s="32">
        <f t="shared" si="184"/>
        <v>0</v>
      </c>
      <c r="AJ522" s="32">
        <f t="shared" si="185"/>
        <v>0</v>
      </c>
      <c r="AK522" t="str">
        <f t="shared" si="186"/>
        <v/>
      </c>
      <c r="AL522" t="str">
        <f t="shared" si="187"/>
        <v/>
      </c>
      <c r="AM522" t="str">
        <f t="shared" si="188"/>
        <v/>
      </c>
      <c r="AO522" t="str">
        <f>IFERROR(VLOOKUP(M522,'Fixture Identities'!$B$9:$O$1045,14,FALSE),"")</f>
        <v/>
      </c>
      <c r="AP522" t="str">
        <f t="shared" si="182"/>
        <v/>
      </c>
    </row>
    <row r="523" spans="1:42">
      <c r="A523" s="71">
        <f t="shared" si="190"/>
        <v>0</v>
      </c>
      <c r="B523" s="513">
        <f t="shared" si="189"/>
        <v>511</v>
      </c>
      <c r="C523" s="530" t="str">
        <f>IF(Inventory!E520="","",Inventory!E520)</f>
        <v/>
      </c>
      <c r="D523" s="531">
        <f>IF(Inventory!D520="",0,Inventory!D520)</f>
        <v>0</v>
      </c>
      <c r="E523" s="532" t="str">
        <f>IF(Inventory!I520=0,"",Inventory!I520)</f>
        <v/>
      </c>
      <c r="F523" s="533" t="str">
        <f t="shared" si="191"/>
        <v/>
      </c>
      <c r="G523" s="534" t="str">
        <f>IF(Inventory!G520="","",Inventory!G520)</f>
        <v/>
      </c>
      <c r="H523" s="535" t="str">
        <f t="shared" si="192"/>
        <v/>
      </c>
      <c r="I523" s="536" t="str">
        <f>IF(Inventory!J520="","",Inventory!J520)</f>
        <v/>
      </c>
      <c r="J523" s="537" t="str">
        <f>IFERROR(IF(PRJ_Type="New Construction",IF(Inventory!C520="N",INDEX(xyLPD_BuildingArea,MATCH(Building_Type,Lookups!$F$37:$F$75,0),4),INDEX(xyLPD_SpaceBySpace,MATCH(INDEX(xyNCEx,MATCH(I523,yNCExArea,0),2),ySpace_by_Space_Type,0),2)),VLOOKUP(E523,xyWattage_Table,11,FALSE)),"")</f>
        <v/>
      </c>
      <c r="K523" s="538" t="str">
        <f>IFERROR(IF(AND(NC_Type="Building Area Method",Inventory!C520="N"),IF(ISERROR(INDEX('Usage Groups (&gt;120 MWh only)'!$N$8:$N$12,MATCH(C523,'Usage Groups (&gt;120 MWh only)'!$B$8:$B$12,0),1))=TRUE,SqFt/COUNTIFS(Inventory!$C$10:$C$1009,"N",$Q$13:$Q$1012,"&gt;=0"),INDEX('Usage Groups (&gt;120 MWh only)'!$N$8:$N$12,MATCH(C523,'Usage Groups (&gt;120 MWh only)'!$B$8:$B$12,0),1)/COUNTIF($C$13:$C$1012,C523)),IF(AND(NC_Type="Building Area Method",Inventory!C520="Y"),INDEX(xyNCEx,MATCH(I523,yNCExArea,0),3)/COUNTIF($I$13:$I$1012,I523),VLOOKUP(J523,xyWattage_Table,10,FALSE))),"")</f>
        <v/>
      </c>
      <c r="L523" s="539" t="str">
        <f t="shared" si="193"/>
        <v/>
      </c>
      <c r="M523" s="540">
        <f>IF(Inventory!N520="","",Inventory!N520)</f>
        <v>0</v>
      </c>
      <c r="N523" s="533" t="str">
        <f t="shared" si="194"/>
        <v/>
      </c>
      <c r="O523" s="534"/>
      <c r="P523" s="533" t="str">
        <f t="shared" si="195"/>
        <v/>
      </c>
      <c r="Q523" s="534" t="str">
        <f>IF(Inventory!L520="","",Inventory!L520)</f>
        <v/>
      </c>
      <c r="R523" s="535" t="str">
        <f t="shared" si="196"/>
        <v/>
      </c>
      <c r="S523" s="536" t="str">
        <f>IF(Inventory!O520="","",Inventory!O520)</f>
        <v/>
      </c>
      <c r="T523" s="541" t="str">
        <f>IFERROR(IF(C523="","",IF(INDEX(xyWattage_Table,MATCH(M523,'Fixture Identities'!$B$9:$B$997,0),2)="Exit Sign",8760,IF(VLOOKUP(C523,xySpace_Type_Details,8,FALSE)="TRM",INDEX('General Information'!$AF$17:$AG$28,11,MATCH(N523,'General Information'!$AF$16:$AG$16,0)),HLOOKUP(VLOOKUP(C523,xySpace_Type_Details,8,FALSE),'General Information'!$P$15:$AG$28,13,FALSE)))),"")</f>
        <v/>
      </c>
      <c r="U523" s="542" t="str">
        <f>IFERROR(IF(C523="","",IF(INDEX(xyWattage_Table,MATCH(M523,'Fixture Identities'!$B$9:$B$997,0),2)="Exit Sign",1,IF(VLOOKUP(C523,xySpace_Type_Details,8,FALSE)="TRM",INDEX('General Information'!$AF$17:$AG$28,12,MATCH(N523,'General Information'!$AF$16:$AG$16,0)),HLOOKUP(VLOOKUP(C523,xySpace_Type_Details,8,FALSE),'General Information'!$P$15:$AG$28,14,FALSE)))),"")</f>
        <v/>
      </c>
      <c r="V523" s="542" t="str">
        <f>IFERROR(VLOOKUP(INDEX(xySpace_Type_Details,MATCH($C523,'General Information'!$C$40:$C$60,0),12),Lookups!$L$8:$N$12,2,FALSE),"")</f>
        <v/>
      </c>
      <c r="W523" s="542" t="str">
        <f>IFERROR(VLOOKUP(INDEX(xySpace_Type_Details,MATCH($C523,'General Information'!$C$40:$C$60,0),12),Lookups!$L$8:$N$12,3,FALSE),"")</f>
        <v/>
      </c>
      <c r="Y523" s="542" t="str">
        <f>IFERROR(IF(C523="","",IF(INDEX(xyWattage_Table,MATCH(M523,'Fixture Identities'!$B$9:$B$997,0),2)="Exit Sign",0,IF(PRJ_Type="Retrofit",VLOOKUP(I523,xySVG_Factors,2,FALSE),IF(AND(PRJ_Type="New Construction",Inventory!C520="N"),VLOOKUP(VLOOKUP(Building_Type,xyLPD_BuildingArea,5,FALSE),xySVG_Factors_NC,3,FALSE),0)))),"")</f>
        <v/>
      </c>
      <c r="Z523" s="544" t="str">
        <f>IFERROR(IF(C523="","",IF(INDEX(xyWattage_Table,MATCH(M523,'Fixture Identities'!$B$9:$B$997,0),2)="Exit Sign",0,VLOOKUP(S523,xySVG_Factors,2,FALSE))),"")</f>
        <v/>
      </c>
      <c r="AA523" s="545" t="str">
        <f t="shared" si="197"/>
        <v/>
      </c>
      <c r="AB523" s="542" t="str">
        <f t="shared" si="198"/>
        <v/>
      </c>
      <c r="AC523" s="539" t="str">
        <f t="shared" si="199"/>
        <v/>
      </c>
      <c r="AD523" s="546" t="str">
        <f t="shared" si="200"/>
        <v/>
      </c>
      <c r="AE523" s="539" t="str">
        <f t="shared" si="201"/>
        <v/>
      </c>
      <c r="AF523" s="546" t="str">
        <f t="shared" si="202"/>
        <v/>
      </c>
      <c r="AG523" s="539" t="str">
        <f t="shared" si="203"/>
        <v/>
      </c>
      <c r="AH523" s="32">
        <f t="shared" si="183"/>
        <v>0</v>
      </c>
      <c r="AI523" s="32">
        <f t="shared" si="184"/>
        <v>0</v>
      </c>
      <c r="AJ523" s="32">
        <f t="shared" si="185"/>
        <v>0</v>
      </c>
      <c r="AK523" t="str">
        <f t="shared" si="186"/>
        <v/>
      </c>
      <c r="AL523" t="str">
        <f t="shared" si="187"/>
        <v/>
      </c>
      <c r="AM523" t="str">
        <f t="shared" si="188"/>
        <v/>
      </c>
      <c r="AO523" t="str">
        <f>IFERROR(VLOOKUP(M523,'Fixture Identities'!$B$9:$O$1045,14,FALSE),"")</f>
        <v/>
      </c>
      <c r="AP523" t="str">
        <f t="shared" si="182"/>
        <v/>
      </c>
    </row>
    <row r="524" spans="1:42">
      <c r="A524" s="71">
        <f t="shared" si="190"/>
        <v>0</v>
      </c>
      <c r="B524" s="513">
        <f t="shared" si="189"/>
        <v>512</v>
      </c>
      <c r="C524" s="530" t="str">
        <f>IF(Inventory!E521="","",Inventory!E521)</f>
        <v/>
      </c>
      <c r="D524" s="531">
        <f>IF(Inventory!D521="",0,Inventory!D521)</f>
        <v>0</v>
      </c>
      <c r="E524" s="532" t="str">
        <f>IF(Inventory!I521=0,"",Inventory!I521)</f>
        <v/>
      </c>
      <c r="F524" s="533" t="str">
        <f t="shared" si="191"/>
        <v/>
      </c>
      <c r="G524" s="534" t="str">
        <f>IF(Inventory!G521="","",Inventory!G521)</f>
        <v/>
      </c>
      <c r="H524" s="535" t="str">
        <f t="shared" si="192"/>
        <v/>
      </c>
      <c r="I524" s="536" t="str">
        <f>IF(Inventory!J521="","",Inventory!J521)</f>
        <v/>
      </c>
      <c r="J524" s="537" t="str">
        <f>IFERROR(IF(PRJ_Type="New Construction",IF(Inventory!C521="N",INDEX(xyLPD_BuildingArea,MATCH(Building_Type,Lookups!$F$37:$F$75,0),4),INDEX(xyLPD_SpaceBySpace,MATCH(INDEX(xyNCEx,MATCH(I524,yNCExArea,0),2),ySpace_by_Space_Type,0),2)),VLOOKUP(E524,xyWattage_Table,11,FALSE)),"")</f>
        <v/>
      </c>
      <c r="K524" s="538" t="str">
        <f>IFERROR(IF(AND(NC_Type="Building Area Method",Inventory!C521="N"),IF(ISERROR(INDEX('Usage Groups (&gt;120 MWh only)'!$N$8:$N$12,MATCH(C524,'Usage Groups (&gt;120 MWh only)'!$B$8:$B$12,0),1))=TRUE,SqFt/COUNTIFS(Inventory!$C$10:$C$1009,"N",$Q$13:$Q$1012,"&gt;=0"),INDEX('Usage Groups (&gt;120 MWh only)'!$N$8:$N$12,MATCH(C524,'Usage Groups (&gt;120 MWh only)'!$B$8:$B$12,0),1)/COUNTIF($C$13:$C$1012,C524)),IF(AND(NC_Type="Building Area Method",Inventory!C521="Y"),INDEX(xyNCEx,MATCH(I524,yNCExArea,0),3)/COUNTIF($I$13:$I$1012,I524),VLOOKUP(J524,xyWattage_Table,10,FALSE))),"")</f>
        <v/>
      </c>
      <c r="L524" s="539" t="str">
        <f t="shared" si="193"/>
        <v/>
      </c>
      <c r="M524" s="540">
        <f>IF(Inventory!N521="","",Inventory!N521)</f>
        <v>0</v>
      </c>
      <c r="N524" s="533" t="str">
        <f t="shared" si="194"/>
        <v/>
      </c>
      <c r="O524" s="534"/>
      <c r="P524" s="533" t="str">
        <f t="shared" si="195"/>
        <v/>
      </c>
      <c r="Q524" s="534" t="str">
        <f>IF(Inventory!L521="","",Inventory!L521)</f>
        <v/>
      </c>
      <c r="R524" s="535" t="str">
        <f t="shared" si="196"/>
        <v/>
      </c>
      <c r="S524" s="536" t="str">
        <f>IF(Inventory!O521="","",Inventory!O521)</f>
        <v/>
      </c>
      <c r="T524" s="541" t="str">
        <f>IFERROR(IF(C524="","",IF(INDEX(xyWattage_Table,MATCH(M524,'Fixture Identities'!$B$9:$B$997,0),2)="Exit Sign",8760,IF(VLOOKUP(C524,xySpace_Type_Details,8,FALSE)="TRM",INDEX('General Information'!$AF$17:$AG$28,11,MATCH(N524,'General Information'!$AF$16:$AG$16,0)),HLOOKUP(VLOOKUP(C524,xySpace_Type_Details,8,FALSE),'General Information'!$P$15:$AG$28,13,FALSE)))),"")</f>
        <v/>
      </c>
      <c r="U524" s="542" t="str">
        <f>IFERROR(IF(C524="","",IF(INDEX(xyWattage_Table,MATCH(M524,'Fixture Identities'!$B$9:$B$997,0),2)="Exit Sign",1,IF(VLOOKUP(C524,xySpace_Type_Details,8,FALSE)="TRM",INDEX('General Information'!$AF$17:$AG$28,12,MATCH(N524,'General Information'!$AF$16:$AG$16,0)),HLOOKUP(VLOOKUP(C524,xySpace_Type_Details,8,FALSE),'General Information'!$P$15:$AG$28,14,FALSE)))),"")</f>
        <v/>
      </c>
      <c r="V524" s="542" t="str">
        <f>IFERROR(VLOOKUP(INDEX(xySpace_Type_Details,MATCH($C524,'General Information'!$C$40:$C$60,0),12),Lookups!$L$8:$N$12,2,FALSE),"")</f>
        <v/>
      </c>
      <c r="W524" s="542" t="str">
        <f>IFERROR(VLOOKUP(INDEX(xySpace_Type_Details,MATCH($C524,'General Information'!$C$40:$C$60,0),12),Lookups!$L$8:$N$12,3,FALSE),"")</f>
        <v/>
      </c>
      <c r="Y524" s="542" t="str">
        <f>IFERROR(IF(C524="","",IF(INDEX(xyWattage_Table,MATCH(M524,'Fixture Identities'!$B$9:$B$997,0),2)="Exit Sign",0,IF(PRJ_Type="Retrofit",VLOOKUP(I524,xySVG_Factors,2,FALSE),IF(AND(PRJ_Type="New Construction",Inventory!C521="N"),VLOOKUP(VLOOKUP(Building_Type,xyLPD_BuildingArea,5,FALSE),xySVG_Factors_NC,3,FALSE),0)))),"")</f>
        <v/>
      </c>
      <c r="Z524" s="544" t="str">
        <f>IFERROR(IF(C524="","",IF(INDEX(xyWattage_Table,MATCH(M524,'Fixture Identities'!$B$9:$B$997,0),2)="Exit Sign",0,VLOOKUP(S524,xySVG_Factors,2,FALSE))),"")</f>
        <v/>
      </c>
      <c r="AA524" s="545" t="str">
        <f t="shared" si="197"/>
        <v/>
      </c>
      <c r="AB524" s="542" t="str">
        <f t="shared" si="198"/>
        <v/>
      </c>
      <c r="AC524" s="539" t="str">
        <f t="shared" si="199"/>
        <v/>
      </c>
      <c r="AD524" s="546" t="str">
        <f t="shared" si="200"/>
        <v/>
      </c>
      <c r="AE524" s="539" t="str">
        <f t="shared" si="201"/>
        <v/>
      </c>
      <c r="AF524" s="546" t="str">
        <f t="shared" si="202"/>
        <v/>
      </c>
      <c r="AG524" s="539" t="str">
        <f t="shared" si="203"/>
        <v/>
      </c>
      <c r="AH524" s="32">
        <f t="shared" si="183"/>
        <v>0</v>
      </c>
      <c r="AI524" s="32">
        <f t="shared" si="184"/>
        <v>0</v>
      </c>
      <c r="AJ524" s="32">
        <f t="shared" si="185"/>
        <v>0</v>
      </c>
      <c r="AK524" t="str">
        <f t="shared" si="186"/>
        <v/>
      </c>
      <c r="AL524" t="str">
        <f t="shared" si="187"/>
        <v/>
      </c>
      <c r="AM524" t="str">
        <f t="shared" si="188"/>
        <v/>
      </c>
      <c r="AO524" t="str">
        <f>IFERROR(VLOOKUP(M524,'Fixture Identities'!$B$9:$O$1045,14,FALSE),"")</f>
        <v/>
      </c>
      <c r="AP524" t="str">
        <f t="shared" si="182"/>
        <v/>
      </c>
    </row>
    <row r="525" spans="1:42">
      <c r="A525" s="71">
        <f t="shared" si="190"/>
        <v>0</v>
      </c>
      <c r="B525" s="513">
        <f t="shared" si="189"/>
        <v>513</v>
      </c>
      <c r="C525" s="530" t="str">
        <f>IF(Inventory!E522="","",Inventory!E522)</f>
        <v/>
      </c>
      <c r="D525" s="531">
        <f>IF(Inventory!D522="",0,Inventory!D522)</f>
        <v>0</v>
      </c>
      <c r="E525" s="532" t="str">
        <f>IF(Inventory!I522=0,"",Inventory!I522)</f>
        <v/>
      </c>
      <c r="F525" s="533" t="str">
        <f t="shared" si="191"/>
        <v/>
      </c>
      <c r="G525" s="534" t="str">
        <f>IF(Inventory!G522="","",Inventory!G522)</f>
        <v/>
      </c>
      <c r="H525" s="535" t="str">
        <f t="shared" si="192"/>
        <v/>
      </c>
      <c r="I525" s="536" t="str">
        <f>IF(Inventory!J522="","",Inventory!J522)</f>
        <v/>
      </c>
      <c r="J525" s="537" t="str">
        <f>IFERROR(IF(PRJ_Type="New Construction",IF(Inventory!C522="N",INDEX(xyLPD_BuildingArea,MATCH(Building_Type,Lookups!$F$37:$F$75,0),4),INDEX(xyLPD_SpaceBySpace,MATCH(INDEX(xyNCEx,MATCH(I525,yNCExArea,0),2),ySpace_by_Space_Type,0),2)),VLOOKUP(E525,xyWattage_Table,11,FALSE)),"")</f>
        <v/>
      </c>
      <c r="K525" s="538" t="str">
        <f>IFERROR(IF(AND(NC_Type="Building Area Method",Inventory!C522="N"),IF(ISERROR(INDEX('Usage Groups (&gt;120 MWh only)'!$N$8:$N$12,MATCH(C525,'Usage Groups (&gt;120 MWh only)'!$B$8:$B$12,0),1))=TRUE,SqFt/COUNTIFS(Inventory!$C$10:$C$1009,"N",$Q$13:$Q$1012,"&gt;=0"),INDEX('Usage Groups (&gt;120 MWh only)'!$N$8:$N$12,MATCH(C525,'Usage Groups (&gt;120 MWh only)'!$B$8:$B$12,0),1)/COUNTIF($C$13:$C$1012,C525)),IF(AND(NC_Type="Building Area Method",Inventory!C522="Y"),INDEX(xyNCEx,MATCH(I525,yNCExArea,0),3)/COUNTIF($I$13:$I$1012,I525),VLOOKUP(J525,xyWattage_Table,10,FALSE))),"")</f>
        <v/>
      </c>
      <c r="L525" s="539" t="str">
        <f t="shared" si="193"/>
        <v/>
      </c>
      <c r="M525" s="540">
        <f>IF(Inventory!N522="","",Inventory!N522)</f>
        <v>0</v>
      </c>
      <c r="N525" s="533" t="str">
        <f t="shared" si="194"/>
        <v/>
      </c>
      <c r="O525" s="534"/>
      <c r="P525" s="533" t="str">
        <f t="shared" si="195"/>
        <v/>
      </c>
      <c r="Q525" s="534" t="str">
        <f>IF(Inventory!L522="","",Inventory!L522)</f>
        <v/>
      </c>
      <c r="R525" s="535" t="str">
        <f t="shared" si="196"/>
        <v/>
      </c>
      <c r="S525" s="536" t="str">
        <f>IF(Inventory!O522="","",Inventory!O522)</f>
        <v/>
      </c>
      <c r="T525" s="541" t="str">
        <f>IFERROR(IF(C525="","",IF(INDEX(xyWattage_Table,MATCH(M525,'Fixture Identities'!$B$9:$B$997,0),2)="Exit Sign",8760,IF(VLOOKUP(C525,xySpace_Type_Details,8,FALSE)="TRM",INDEX('General Information'!$AF$17:$AG$28,11,MATCH(N525,'General Information'!$AF$16:$AG$16,0)),HLOOKUP(VLOOKUP(C525,xySpace_Type_Details,8,FALSE),'General Information'!$P$15:$AG$28,13,FALSE)))),"")</f>
        <v/>
      </c>
      <c r="U525" s="542" t="str">
        <f>IFERROR(IF(C525="","",IF(INDEX(xyWattage_Table,MATCH(M525,'Fixture Identities'!$B$9:$B$997,0),2)="Exit Sign",1,IF(VLOOKUP(C525,xySpace_Type_Details,8,FALSE)="TRM",INDEX('General Information'!$AF$17:$AG$28,12,MATCH(N525,'General Information'!$AF$16:$AG$16,0)),HLOOKUP(VLOOKUP(C525,xySpace_Type_Details,8,FALSE),'General Information'!$P$15:$AG$28,14,FALSE)))),"")</f>
        <v/>
      </c>
      <c r="V525" s="542" t="str">
        <f>IFERROR(VLOOKUP(INDEX(xySpace_Type_Details,MATCH($C525,'General Information'!$C$40:$C$60,0),12),Lookups!$L$8:$N$12,2,FALSE),"")</f>
        <v/>
      </c>
      <c r="W525" s="542" t="str">
        <f>IFERROR(VLOOKUP(INDEX(xySpace_Type_Details,MATCH($C525,'General Information'!$C$40:$C$60,0),12),Lookups!$L$8:$N$12,3,FALSE),"")</f>
        <v/>
      </c>
      <c r="Y525" s="542" t="str">
        <f>IFERROR(IF(C525="","",IF(INDEX(xyWattage_Table,MATCH(M525,'Fixture Identities'!$B$9:$B$997,0),2)="Exit Sign",0,IF(PRJ_Type="Retrofit",VLOOKUP(I525,xySVG_Factors,2,FALSE),IF(AND(PRJ_Type="New Construction",Inventory!C522="N"),VLOOKUP(VLOOKUP(Building_Type,xyLPD_BuildingArea,5,FALSE),xySVG_Factors_NC,3,FALSE),0)))),"")</f>
        <v/>
      </c>
      <c r="Z525" s="544" t="str">
        <f>IFERROR(IF(C525="","",IF(INDEX(xyWattage_Table,MATCH(M525,'Fixture Identities'!$B$9:$B$997,0),2)="Exit Sign",0,VLOOKUP(S525,xySVG_Factors,2,FALSE))),"")</f>
        <v/>
      </c>
      <c r="AA525" s="545" t="str">
        <f t="shared" si="197"/>
        <v/>
      </c>
      <c r="AB525" s="542" t="str">
        <f t="shared" si="198"/>
        <v/>
      </c>
      <c r="AC525" s="539" t="str">
        <f t="shared" si="199"/>
        <v/>
      </c>
      <c r="AD525" s="546" t="str">
        <f t="shared" si="200"/>
        <v/>
      </c>
      <c r="AE525" s="539" t="str">
        <f t="shared" si="201"/>
        <v/>
      </c>
      <c r="AF525" s="546" t="str">
        <f t="shared" si="202"/>
        <v/>
      </c>
      <c r="AG525" s="539" t="str">
        <f t="shared" si="203"/>
        <v/>
      </c>
      <c r="AH525" s="32">
        <f t="shared" si="183"/>
        <v>0</v>
      </c>
      <c r="AI525" s="32">
        <f t="shared" si="184"/>
        <v>0</v>
      </c>
      <c r="AJ525" s="32">
        <f t="shared" si="185"/>
        <v>0</v>
      </c>
      <c r="AK525" t="str">
        <f t="shared" si="186"/>
        <v/>
      </c>
      <c r="AL525" t="str">
        <f t="shared" si="187"/>
        <v/>
      </c>
      <c r="AM525" t="str">
        <f t="shared" si="188"/>
        <v/>
      </c>
      <c r="AO525" t="str">
        <f>IFERROR(VLOOKUP(M525,'Fixture Identities'!$B$9:$O$1045,14,FALSE),"")</f>
        <v/>
      </c>
      <c r="AP525" t="str">
        <f t="shared" ref="AP525:AP588" si="204">IF(M526="Signage",G526,"")</f>
        <v/>
      </c>
    </row>
    <row r="526" spans="1:42">
      <c r="A526" s="71">
        <f t="shared" si="190"/>
        <v>0</v>
      </c>
      <c r="B526" s="513">
        <f t="shared" si="189"/>
        <v>514</v>
      </c>
      <c r="C526" s="530" t="str">
        <f>IF(Inventory!E523="","",Inventory!E523)</f>
        <v/>
      </c>
      <c r="D526" s="531">
        <f>IF(Inventory!D523="",0,Inventory!D523)</f>
        <v>0</v>
      </c>
      <c r="E526" s="532" t="str">
        <f>IF(Inventory!I523=0,"",Inventory!I523)</f>
        <v/>
      </c>
      <c r="F526" s="533" t="str">
        <f t="shared" si="191"/>
        <v/>
      </c>
      <c r="G526" s="534" t="str">
        <f>IF(Inventory!G523="","",Inventory!G523)</f>
        <v/>
      </c>
      <c r="H526" s="535" t="str">
        <f t="shared" si="192"/>
        <v/>
      </c>
      <c r="I526" s="536" t="str">
        <f>IF(Inventory!J523="","",Inventory!J523)</f>
        <v/>
      </c>
      <c r="J526" s="537" t="str">
        <f>IFERROR(IF(PRJ_Type="New Construction",IF(Inventory!C523="N",INDEX(xyLPD_BuildingArea,MATCH(Building_Type,Lookups!$F$37:$F$75,0),4),INDEX(xyLPD_SpaceBySpace,MATCH(INDEX(xyNCEx,MATCH(I526,yNCExArea,0),2),ySpace_by_Space_Type,0),2)),VLOOKUP(E526,xyWattage_Table,11,FALSE)),"")</f>
        <v/>
      </c>
      <c r="K526" s="538" t="str">
        <f>IFERROR(IF(AND(NC_Type="Building Area Method",Inventory!C523="N"),IF(ISERROR(INDEX('Usage Groups (&gt;120 MWh only)'!$N$8:$N$12,MATCH(C526,'Usage Groups (&gt;120 MWh only)'!$B$8:$B$12,0),1))=TRUE,SqFt/COUNTIFS(Inventory!$C$10:$C$1009,"N",$Q$13:$Q$1012,"&gt;=0"),INDEX('Usage Groups (&gt;120 MWh only)'!$N$8:$N$12,MATCH(C526,'Usage Groups (&gt;120 MWh only)'!$B$8:$B$12,0),1)/COUNTIF($C$13:$C$1012,C526)),IF(AND(NC_Type="Building Area Method",Inventory!C523="Y"),INDEX(xyNCEx,MATCH(I526,yNCExArea,0),3)/COUNTIF($I$13:$I$1012,I526),VLOOKUP(J526,xyWattage_Table,10,FALSE))),"")</f>
        <v/>
      </c>
      <c r="L526" s="539" t="str">
        <f t="shared" si="193"/>
        <v/>
      </c>
      <c r="M526" s="540">
        <f>IF(Inventory!N523="","",Inventory!N523)</f>
        <v>0</v>
      </c>
      <c r="N526" s="533" t="str">
        <f t="shared" si="194"/>
        <v/>
      </c>
      <c r="O526" s="534"/>
      <c r="P526" s="533" t="str">
        <f t="shared" si="195"/>
        <v/>
      </c>
      <c r="Q526" s="534" t="str">
        <f>IF(Inventory!L523="","",Inventory!L523)</f>
        <v/>
      </c>
      <c r="R526" s="535" t="str">
        <f t="shared" si="196"/>
        <v/>
      </c>
      <c r="S526" s="536" t="str">
        <f>IF(Inventory!O523="","",Inventory!O523)</f>
        <v/>
      </c>
      <c r="T526" s="541" t="str">
        <f>IFERROR(IF(C526="","",IF(INDEX(xyWattage_Table,MATCH(M526,'Fixture Identities'!$B$9:$B$997,0),2)="Exit Sign",8760,IF(VLOOKUP(C526,xySpace_Type_Details,8,FALSE)="TRM",INDEX('General Information'!$AF$17:$AG$28,11,MATCH(N526,'General Information'!$AF$16:$AG$16,0)),HLOOKUP(VLOOKUP(C526,xySpace_Type_Details,8,FALSE),'General Information'!$P$15:$AG$28,13,FALSE)))),"")</f>
        <v/>
      </c>
      <c r="U526" s="542" t="str">
        <f>IFERROR(IF(C526="","",IF(INDEX(xyWattage_Table,MATCH(M526,'Fixture Identities'!$B$9:$B$997,0),2)="Exit Sign",1,IF(VLOOKUP(C526,xySpace_Type_Details,8,FALSE)="TRM",INDEX('General Information'!$AF$17:$AG$28,12,MATCH(N526,'General Information'!$AF$16:$AG$16,0)),HLOOKUP(VLOOKUP(C526,xySpace_Type_Details,8,FALSE),'General Information'!$P$15:$AG$28,14,FALSE)))),"")</f>
        <v/>
      </c>
      <c r="V526" s="542" t="str">
        <f>IFERROR(VLOOKUP(INDEX(xySpace_Type_Details,MATCH($C526,'General Information'!$C$40:$C$60,0),12),Lookups!$L$8:$N$12,2,FALSE),"")</f>
        <v/>
      </c>
      <c r="W526" s="542" t="str">
        <f>IFERROR(VLOOKUP(INDEX(xySpace_Type_Details,MATCH($C526,'General Information'!$C$40:$C$60,0),12),Lookups!$L$8:$N$12,3,FALSE),"")</f>
        <v/>
      </c>
      <c r="Y526" s="542" t="str">
        <f>IFERROR(IF(C526="","",IF(INDEX(xyWattage_Table,MATCH(M526,'Fixture Identities'!$B$9:$B$997,0),2)="Exit Sign",0,IF(PRJ_Type="Retrofit",VLOOKUP(I526,xySVG_Factors,2,FALSE),IF(AND(PRJ_Type="New Construction",Inventory!C523="N"),VLOOKUP(VLOOKUP(Building_Type,xyLPD_BuildingArea,5,FALSE),xySVG_Factors_NC,3,FALSE),0)))),"")</f>
        <v/>
      </c>
      <c r="Z526" s="544" t="str">
        <f>IFERROR(IF(C526="","",IF(INDEX(xyWattage_Table,MATCH(M526,'Fixture Identities'!$B$9:$B$997,0),2)="Exit Sign",0,VLOOKUP(S526,xySVG_Factors,2,FALSE))),"")</f>
        <v/>
      </c>
      <c r="AA526" s="545" t="str">
        <f t="shared" si="197"/>
        <v/>
      </c>
      <c r="AB526" s="542" t="str">
        <f t="shared" si="198"/>
        <v/>
      </c>
      <c r="AC526" s="539" t="str">
        <f t="shared" si="199"/>
        <v/>
      </c>
      <c r="AD526" s="546" t="str">
        <f t="shared" si="200"/>
        <v/>
      </c>
      <c r="AE526" s="539" t="str">
        <f t="shared" si="201"/>
        <v/>
      </c>
      <c r="AF526" s="546" t="str">
        <f t="shared" si="202"/>
        <v/>
      </c>
      <c r="AG526" s="539" t="str">
        <f t="shared" si="203"/>
        <v/>
      </c>
      <c r="AH526" s="32">
        <f t="shared" ref="AH526:AH589" si="205">IF(I526&lt;&gt;S526,R526,0)</f>
        <v>0</v>
      </c>
      <c r="AI526" s="32">
        <f t="shared" ref="AI526:AI589" si="206">IFERROR(VLOOKUP(E526,xyWattage_Table,8,FALSE)*G526,0)</f>
        <v>0</v>
      </c>
      <c r="AJ526" s="32">
        <f t="shared" ref="AJ526:AJ589" si="207">IFERROR(VLOOKUP(M526,xyWattage_Table,8,FALSE)*Q526,0)</f>
        <v>0</v>
      </c>
      <c r="AK526" t="str">
        <f t="shared" ref="AK526:AK589" si="208">IFERROR((L526)/1000,"")</f>
        <v/>
      </c>
      <c r="AL526" t="str">
        <f t="shared" ref="AL526:AL589" si="209">IFERROR(AK526*U526*(1+W526)*(1-Y526),"")</f>
        <v/>
      </c>
      <c r="AM526" t="str">
        <f t="shared" ref="AM526:AM589" si="210">IFERROR(AK526*T526*(1+V526)*(1-Y526),"")</f>
        <v/>
      </c>
      <c r="AO526" t="str">
        <f>IFERROR(VLOOKUP(M526,'Fixture Identities'!$B$9:$O$1045,14,FALSE),"")</f>
        <v/>
      </c>
      <c r="AP526" t="str">
        <f t="shared" si="204"/>
        <v/>
      </c>
    </row>
    <row r="527" spans="1:42">
      <c r="A527" s="71">
        <f t="shared" si="190"/>
        <v>0</v>
      </c>
      <c r="B527" s="513">
        <f t="shared" ref="B527:B590" si="211">B526+1</f>
        <v>515</v>
      </c>
      <c r="C527" s="530" t="str">
        <f>IF(Inventory!E524="","",Inventory!E524)</f>
        <v/>
      </c>
      <c r="D527" s="531">
        <f>IF(Inventory!D524="",0,Inventory!D524)</f>
        <v>0</v>
      </c>
      <c r="E527" s="532" t="str">
        <f>IF(Inventory!I524=0,"",Inventory!I524)</f>
        <v/>
      </c>
      <c r="F527" s="533" t="str">
        <f t="shared" si="191"/>
        <v/>
      </c>
      <c r="G527" s="534" t="str">
        <f>IF(Inventory!G524="","",Inventory!G524)</f>
        <v/>
      </c>
      <c r="H527" s="535" t="str">
        <f t="shared" si="192"/>
        <v/>
      </c>
      <c r="I527" s="536" t="str">
        <f>IF(Inventory!J524="","",Inventory!J524)</f>
        <v/>
      </c>
      <c r="J527" s="537" t="str">
        <f>IFERROR(IF(PRJ_Type="New Construction",IF(Inventory!C524="N",INDEX(xyLPD_BuildingArea,MATCH(Building_Type,Lookups!$F$37:$F$75,0),4),INDEX(xyLPD_SpaceBySpace,MATCH(INDEX(xyNCEx,MATCH(I527,yNCExArea,0),2),ySpace_by_Space_Type,0),2)),VLOOKUP(E527,xyWattage_Table,11,FALSE)),"")</f>
        <v/>
      </c>
      <c r="K527" s="538" t="str">
        <f>IFERROR(IF(AND(NC_Type="Building Area Method",Inventory!C524="N"),IF(ISERROR(INDEX('Usage Groups (&gt;120 MWh only)'!$N$8:$N$12,MATCH(C527,'Usage Groups (&gt;120 MWh only)'!$B$8:$B$12,0),1))=TRUE,SqFt/COUNTIFS(Inventory!$C$10:$C$1009,"N",$Q$13:$Q$1012,"&gt;=0"),INDEX('Usage Groups (&gt;120 MWh only)'!$N$8:$N$12,MATCH(C527,'Usage Groups (&gt;120 MWh only)'!$B$8:$B$12,0),1)/COUNTIF($C$13:$C$1012,C527)),IF(AND(NC_Type="Building Area Method",Inventory!C524="Y"),INDEX(xyNCEx,MATCH(I527,yNCExArea,0),3)/COUNTIF($I$13:$I$1012,I527),VLOOKUP(J527,xyWattage_Table,10,FALSE))),"")</f>
        <v/>
      </c>
      <c r="L527" s="539" t="str">
        <f t="shared" si="193"/>
        <v/>
      </c>
      <c r="M527" s="540">
        <f>IF(Inventory!N524="","",Inventory!N524)</f>
        <v>0</v>
      </c>
      <c r="N527" s="533" t="str">
        <f t="shared" si="194"/>
        <v/>
      </c>
      <c r="O527" s="534"/>
      <c r="P527" s="533" t="str">
        <f t="shared" si="195"/>
        <v/>
      </c>
      <c r="Q527" s="534" t="str">
        <f>IF(Inventory!L524="","",Inventory!L524)</f>
        <v/>
      </c>
      <c r="R527" s="535" t="str">
        <f t="shared" si="196"/>
        <v/>
      </c>
      <c r="S527" s="536" t="str">
        <f>IF(Inventory!O524="","",Inventory!O524)</f>
        <v/>
      </c>
      <c r="T527" s="541" t="str">
        <f>IFERROR(IF(C527="","",IF(INDEX(xyWattage_Table,MATCH(M527,'Fixture Identities'!$B$9:$B$997,0),2)="Exit Sign",8760,IF(VLOOKUP(C527,xySpace_Type_Details,8,FALSE)="TRM",INDEX('General Information'!$AF$17:$AG$28,11,MATCH(N527,'General Information'!$AF$16:$AG$16,0)),HLOOKUP(VLOOKUP(C527,xySpace_Type_Details,8,FALSE),'General Information'!$P$15:$AG$28,13,FALSE)))),"")</f>
        <v/>
      </c>
      <c r="U527" s="542" t="str">
        <f>IFERROR(IF(C527="","",IF(INDEX(xyWattage_Table,MATCH(M527,'Fixture Identities'!$B$9:$B$997,0),2)="Exit Sign",1,IF(VLOOKUP(C527,xySpace_Type_Details,8,FALSE)="TRM",INDEX('General Information'!$AF$17:$AG$28,12,MATCH(N527,'General Information'!$AF$16:$AG$16,0)),HLOOKUP(VLOOKUP(C527,xySpace_Type_Details,8,FALSE),'General Information'!$P$15:$AG$28,14,FALSE)))),"")</f>
        <v/>
      </c>
      <c r="V527" s="542" t="str">
        <f>IFERROR(VLOOKUP(INDEX(xySpace_Type_Details,MATCH($C527,'General Information'!$C$40:$C$60,0),12),Lookups!$L$8:$N$12,2,FALSE),"")</f>
        <v/>
      </c>
      <c r="W527" s="542" t="str">
        <f>IFERROR(VLOOKUP(INDEX(xySpace_Type_Details,MATCH($C527,'General Information'!$C$40:$C$60,0),12),Lookups!$L$8:$N$12,3,FALSE),"")</f>
        <v/>
      </c>
      <c r="Y527" s="542" t="str">
        <f>IFERROR(IF(C527="","",IF(INDEX(xyWattage_Table,MATCH(M527,'Fixture Identities'!$B$9:$B$997,0),2)="Exit Sign",0,IF(PRJ_Type="Retrofit",VLOOKUP(I527,xySVG_Factors,2,FALSE),IF(AND(PRJ_Type="New Construction",Inventory!C524="N"),VLOOKUP(VLOOKUP(Building_Type,xyLPD_BuildingArea,5,FALSE),xySVG_Factors_NC,3,FALSE),0)))),"")</f>
        <v/>
      </c>
      <c r="Z527" s="544" t="str">
        <f>IFERROR(IF(C527="","",IF(INDEX(xyWattage_Table,MATCH(M527,'Fixture Identities'!$B$9:$B$997,0),2)="Exit Sign",0,VLOOKUP(S527,xySVG_Factors,2,FALSE))),"")</f>
        <v/>
      </c>
      <c r="AA527" s="545" t="str">
        <f t="shared" si="197"/>
        <v/>
      </c>
      <c r="AB527" s="542" t="str">
        <f t="shared" si="198"/>
        <v/>
      </c>
      <c r="AC527" s="539" t="str">
        <f t="shared" si="199"/>
        <v/>
      </c>
      <c r="AD527" s="546" t="str">
        <f t="shared" si="200"/>
        <v/>
      </c>
      <c r="AE527" s="539" t="str">
        <f t="shared" si="201"/>
        <v/>
      </c>
      <c r="AF527" s="546" t="str">
        <f t="shared" si="202"/>
        <v/>
      </c>
      <c r="AG527" s="539" t="str">
        <f t="shared" si="203"/>
        <v/>
      </c>
      <c r="AH527" s="32">
        <f t="shared" si="205"/>
        <v>0</v>
      </c>
      <c r="AI527" s="32">
        <f t="shared" si="206"/>
        <v>0</v>
      </c>
      <c r="AJ527" s="32">
        <f t="shared" si="207"/>
        <v>0</v>
      </c>
      <c r="AK527" t="str">
        <f t="shared" si="208"/>
        <v/>
      </c>
      <c r="AL527" t="str">
        <f t="shared" si="209"/>
        <v/>
      </c>
      <c r="AM527" t="str">
        <f t="shared" si="210"/>
        <v/>
      </c>
      <c r="AO527" t="str">
        <f>IFERROR(VLOOKUP(M527,'Fixture Identities'!$B$9:$O$1045,14,FALSE),"")</f>
        <v/>
      </c>
      <c r="AP527" t="str">
        <f t="shared" si="204"/>
        <v/>
      </c>
    </row>
    <row r="528" spans="1:42">
      <c r="A528" s="71">
        <f t="shared" si="190"/>
        <v>0</v>
      </c>
      <c r="B528" s="513">
        <f t="shared" si="211"/>
        <v>516</v>
      </c>
      <c r="C528" s="530" t="str">
        <f>IF(Inventory!E525="","",Inventory!E525)</f>
        <v/>
      </c>
      <c r="D528" s="531">
        <f>IF(Inventory!D525="",0,Inventory!D525)</f>
        <v>0</v>
      </c>
      <c r="E528" s="532" t="str">
        <f>IF(Inventory!I525=0,"",Inventory!I525)</f>
        <v/>
      </c>
      <c r="F528" s="533" t="str">
        <f t="shared" si="191"/>
        <v/>
      </c>
      <c r="G528" s="534" t="str">
        <f>IF(Inventory!G525="","",Inventory!G525)</f>
        <v/>
      </c>
      <c r="H528" s="535" t="str">
        <f t="shared" si="192"/>
        <v/>
      </c>
      <c r="I528" s="536" t="str">
        <f>IF(Inventory!J525="","",Inventory!J525)</f>
        <v/>
      </c>
      <c r="J528" s="537" t="str">
        <f>IFERROR(IF(PRJ_Type="New Construction",IF(Inventory!C525="N",INDEX(xyLPD_BuildingArea,MATCH(Building_Type,Lookups!$F$37:$F$75,0),4),INDEX(xyLPD_SpaceBySpace,MATCH(INDEX(xyNCEx,MATCH(I528,yNCExArea,0),2),ySpace_by_Space_Type,0),2)),VLOOKUP(E528,xyWattage_Table,11,FALSE)),"")</f>
        <v/>
      </c>
      <c r="K528" s="538" t="str">
        <f>IFERROR(IF(AND(NC_Type="Building Area Method",Inventory!C525="N"),IF(ISERROR(INDEX('Usage Groups (&gt;120 MWh only)'!$N$8:$N$12,MATCH(C528,'Usage Groups (&gt;120 MWh only)'!$B$8:$B$12,0),1))=TRUE,SqFt/COUNTIFS(Inventory!$C$10:$C$1009,"N",$Q$13:$Q$1012,"&gt;=0"),INDEX('Usage Groups (&gt;120 MWh only)'!$N$8:$N$12,MATCH(C528,'Usage Groups (&gt;120 MWh only)'!$B$8:$B$12,0),1)/COUNTIF($C$13:$C$1012,C528)),IF(AND(NC_Type="Building Area Method",Inventory!C525="Y"),INDEX(xyNCEx,MATCH(I528,yNCExArea,0),3)/COUNTIF($I$13:$I$1012,I528),VLOOKUP(J528,xyWattage_Table,10,FALSE))),"")</f>
        <v/>
      </c>
      <c r="L528" s="539" t="str">
        <f t="shared" si="193"/>
        <v/>
      </c>
      <c r="M528" s="540">
        <f>IF(Inventory!N525="","",Inventory!N525)</f>
        <v>0</v>
      </c>
      <c r="N528" s="533" t="str">
        <f t="shared" si="194"/>
        <v/>
      </c>
      <c r="O528" s="534"/>
      <c r="P528" s="533" t="str">
        <f t="shared" si="195"/>
        <v/>
      </c>
      <c r="Q528" s="534" t="str">
        <f>IF(Inventory!L525="","",Inventory!L525)</f>
        <v/>
      </c>
      <c r="R528" s="535" t="str">
        <f t="shared" si="196"/>
        <v/>
      </c>
      <c r="S528" s="536" t="str">
        <f>IF(Inventory!O525="","",Inventory!O525)</f>
        <v/>
      </c>
      <c r="T528" s="541" t="str">
        <f>IFERROR(IF(C528="","",IF(INDEX(xyWattage_Table,MATCH(M528,'Fixture Identities'!$B$9:$B$997,0),2)="Exit Sign",8760,IF(VLOOKUP(C528,xySpace_Type_Details,8,FALSE)="TRM",INDEX('General Information'!$AF$17:$AG$28,11,MATCH(N528,'General Information'!$AF$16:$AG$16,0)),HLOOKUP(VLOOKUP(C528,xySpace_Type_Details,8,FALSE),'General Information'!$P$15:$AG$28,13,FALSE)))),"")</f>
        <v/>
      </c>
      <c r="U528" s="542" t="str">
        <f>IFERROR(IF(C528="","",IF(INDEX(xyWattage_Table,MATCH(M528,'Fixture Identities'!$B$9:$B$997,0),2)="Exit Sign",1,IF(VLOOKUP(C528,xySpace_Type_Details,8,FALSE)="TRM",INDEX('General Information'!$AF$17:$AG$28,12,MATCH(N528,'General Information'!$AF$16:$AG$16,0)),HLOOKUP(VLOOKUP(C528,xySpace_Type_Details,8,FALSE),'General Information'!$P$15:$AG$28,14,FALSE)))),"")</f>
        <v/>
      </c>
      <c r="V528" s="542" t="str">
        <f>IFERROR(VLOOKUP(INDEX(xySpace_Type_Details,MATCH($C528,'General Information'!$C$40:$C$60,0),12),Lookups!$L$8:$N$12,2,FALSE),"")</f>
        <v/>
      </c>
      <c r="W528" s="542" t="str">
        <f>IFERROR(VLOOKUP(INDEX(xySpace_Type_Details,MATCH($C528,'General Information'!$C$40:$C$60,0),12),Lookups!$L$8:$N$12,3,FALSE),"")</f>
        <v/>
      </c>
      <c r="Y528" s="542" t="str">
        <f>IFERROR(IF(C528="","",IF(INDEX(xyWattage_Table,MATCH(M528,'Fixture Identities'!$B$9:$B$997,0),2)="Exit Sign",0,IF(PRJ_Type="Retrofit",VLOOKUP(I528,xySVG_Factors,2,FALSE),IF(AND(PRJ_Type="New Construction",Inventory!C525="N"),VLOOKUP(VLOOKUP(Building_Type,xyLPD_BuildingArea,5,FALSE),xySVG_Factors_NC,3,FALSE),0)))),"")</f>
        <v/>
      </c>
      <c r="Z528" s="544" t="str">
        <f>IFERROR(IF(C528="","",IF(INDEX(xyWattage_Table,MATCH(M528,'Fixture Identities'!$B$9:$B$997,0),2)="Exit Sign",0,VLOOKUP(S528,xySVG_Factors,2,FALSE))),"")</f>
        <v/>
      </c>
      <c r="AA528" s="545" t="str">
        <f t="shared" si="197"/>
        <v/>
      </c>
      <c r="AB528" s="542" t="str">
        <f t="shared" si="198"/>
        <v/>
      </c>
      <c r="AC528" s="539" t="str">
        <f t="shared" si="199"/>
        <v/>
      </c>
      <c r="AD528" s="546" t="str">
        <f t="shared" si="200"/>
        <v/>
      </c>
      <c r="AE528" s="539" t="str">
        <f t="shared" si="201"/>
        <v/>
      </c>
      <c r="AF528" s="546" t="str">
        <f t="shared" si="202"/>
        <v/>
      </c>
      <c r="AG528" s="539" t="str">
        <f t="shared" si="203"/>
        <v/>
      </c>
      <c r="AH528" s="32">
        <f t="shared" si="205"/>
        <v>0</v>
      </c>
      <c r="AI528" s="32">
        <f t="shared" si="206"/>
        <v>0</v>
      </c>
      <c r="AJ528" s="32">
        <f t="shared" si="207"/>
        <v>0</v>
      </c>
      <c r="AK528" t="str">
        <f t="shared" si="208"/>
        <v/>
      </c>
      <c r="AL528" t="str">
        <f t="shared" si="209"/>
        <v/>
      </c>
      <c r="AM528" t="str">
        <f t="shared" si="210"/>
        <v/>
      </c>
      <c r="AO528" t="str">
        <f>IFERROR(VLOOKUP(M528,'Fixture Identities'!$B$9:$O$1045,14,FALSE),"")</f>
        <v/>
      </c>
      <c r="AP528" t="str">
        <f t="shared" si="204"/>
        <v/>
      </c>
    </row>
    <row r="529" spans="1:42">
      <c r="A529" s="71">
        <f t="shared" si="190"/>
        <v>0</v>
      </c>
      <c r="B529" s="513">
        <f t="shared" si="211"/>
        <v>517</v>
      </c>
      <c r="C529" s="530" t="str">
        <f>IF(Inventory!E526="","",Inventory!E526)</f>
        <v/>
      </c>
      <c r="D529" s="531">
        <f>IF(Inventory!D526="",0,Inventory!D526)</f>
        <v>0</v>
      </c>
      <c r="E529" s="532" t="str">
        <f>IF(Inventory!I526=0,"",Inventory!I526)</f>
        <v/>
      </c>
      <c r="F529" s="533" t="str">
        <f t="shared" si="191"/>
        <v/>
      </c>
      <c r="G529" s="534" t="str">
        <f>IF(Inventory!G526="","",Inventory!G526)</f>
        <v/>
      </c>
      <c r="H529" s="535" t="str">
        <f t="shared" si="192"/>
        <v/>
      </c>
      <c r="I529" s="536" t="str">
        <f>IF(Inventory!J526="","",Inventory!J526)</f>
        <v/>
      </c>
      <c r="J529" s="537" t="str">
        <f>IFERROR(IF(PRJ_Type="New Construction",IF(Inventory!C526="N",INDEX(xyLPD_BuildingArea,MATCH(Building_Type,Lookups!$F$37:$F$75,0),4),INDEX(xyLPD_SpaceBySpace,MATCH(INDEX(xyNCEx,MATCH(I529,yNCExArea,0),2),ySpace_by_Space_Type,0),2)),VLOOKUP(E529,xyWattage_Table,11,FALSE)),"")</f>
        <v/>
      </c>
      <c r="K529" s="538" t="str">
        <f>IFERROR(IF(AND(NC_Type="Building Area Method",Inventory!C526="N"),IF(ISERROR(INDEX('Usage Groups (&gt;120 MWh only)'!$N$8:$N$12,MATCH(C529,'Usage Groups (&gt;120 MWh only)'!$B$8:$B$12,0),1))=TRUE,SqFt/COUNTIFS(Inventory!$C$10:$C$1009,"N",$Q$13:$Q$1012,"&gt;=0"),INDEX('Usage Groups (&gt;120 MWh only)'!$N$8:$N$12,MATCH(C529,'Usage Groups (&gt;120 MWh only)'!$B$8:$B$12,0),1)/COUNTIF($C$13:$C$1012,C529)),IF(AND(NC_Type="Building Area Method",Inventory!C526="Y"),INDEX(xyNCEx,MATCH(I529,yNCExArea,0),3)/COUNTIF($I$13:$I$1012,I529),VLOOKUP(J529,xyWattage_Table,10,FALSE))),"")</f>
        <v/>
      </c>
      <c r="L529" s="539" t="str">
        <f t="shared" si="193"/>
        <v/>
      </c>
      <c r="M529" s="540">
        <f>IF(Inventory!N526="","",Inventory!N526)</f>
        <v>0</v>
      </c>
      <c r="N529" s="533" t="str">
        <f t="shared" si="194"/>
        <v/>
      </c>
      <c r="O529" s="534"/>
      <c r="P529" s="533" t="str">
        <f t="shared" si="195"/>
        <v/>
      </c>
      <c r="Q529" s="534" t="str">
        <f>IF(Inventory!L526="","",Inventory!L526)</f>
        <v/>
      </c>
      <c r="R529" s="535" t="str">
        <f t="shared" si="196"/>
        <v/>
      </c>
      <c r="S529" s="536" t="str">
        <f>IF(Inventory!O526="","",Inventory!O526)</f>
        <v/>
      </c>
      <c r="T529" s="541" t="str">
        <f>IFERROR(IF(C529="","",IF(INDEX(xyWattage_Table,MATCH(M529,'Fixture Identities'!$B$9:$B$997,0),2)="Exit Sign",8760,IF(VLOOKUP(C529,xySpace_Type_Details,8,FALSE)="TRM",INDEX('General Information'!$AF$17:$AG$28,11,MATCH(N529,'General Information'!$AF$16:$AG$16,0)),HLOOKUP(VLOOKUP(C529,xySpace_Type_Details,8,FALSE),'General Information'!$P$15:$AG$28,13,FALSE)))),"")</f>
        <v/>
      </c>
      <c r="U529" s="542" t="str">
        <f>IFERROR(IF(C529="","",IF(INDEX(xyWattage_Table,MATCH(M529,'Fixture Identities'!$B$9:$B$997,0),2)="Exit Sign",1,IF(VLOOKUP(C529,xySpace_Type_Details,8,FALSE)="TRM",INDEX('General Information'!$AF$17:$AG$28,12,MATCH(N529,'General Information'!$AF$16:$AG$16,0)),HLOOKUP(VLOOKUP(C529,xySpace_Type_Details,8,FALSE),'General Information'!$P$15:$AG$28,14,FALSE)))),"")</f>
        <v/>
      </c>
      <c r="V529" s="542" t="str">
        <f>IFERROR(VLOOKUP(INDEX(xySpace_Type_Details,MATCH($C529,'General Information'!$C$40:$C$60,0),12),Lookups!$L$8:$N$12,2,FALSE),"")</f>
        <v/>
      </c>
      <c r="W529" s="542" t="str">
        <f>IFERROR(VLOOKUP(INDEX(xySpace_Type_Details,MATCH($C529,'General Information'!$C$40:$C$60,0),12),Lookups!$L$8:$N$12,3,FALSE),"")</f>
        <v/>
      </c>
      <c r="Y529" s="542" t="str">
        <f>IFERROR(IF(C529="","",IF(INDEX(xyWattage_Table,MATCH(M529,'Fixture Identities'!$B$9:$B$997,0),2)="Exit Sign",0,IF(PRJ_Type="Retrofit",VLOOKUP(I529,xySVG_Factors,2,FALSE),IF(AND(PRJ_Type="New Construction",Inventory!C526="N"),VLOOKUP(VLOOKUP(Building_Type,xyLPD_BuildingArea,5,FALSE),xySVG_Factors_NC,3,FALSE),0)))),"")</f>
        <v/>
      </c>
      <c r="Z529" s="544" t="str">
        <f>IFERROR(IF(C529="","",IF(INDEX(xyWattage_Table,MATCH(M529,'Fixture Identities'!$B$9:$B$997,0),2)="Exit Sign",0,VLOOKUP(S529,xySVG_Factors,2,FALSE))),"")</f>
        <v/>
      </c>
      <c r="AA529" s="545" t="str">
        <f t="shared" si="197"/>
        <v/>
      </c>
      <c r="AB529" s="542" t="str">
        <f t="shared" si="198"/>
        <v/>
      </c>
      <c r="AC529" s="539" t="str">
        <f t="shared" si="199"/>
        <v/>
      </c>
      <c r="AD529" s="546" t="str">
        <f t="shared" si="200"/>
        <v/>
      </c>
      <c r="AE529" s="539" t="str">
        <f t="shared" si="201"/>
        <v/>
      </c>
      <c r="AF529" s="546" t="str">
        <f t="shared" si="202"/>
        <v/>
      </c>
      <c r="AG529" s="539" t="str">
        <f t="shared" si="203"/>
        <v/>
      </c>
      <c r="AH529" s="32">
        <f t="shared" si="205"/>
        <v>0</v>
      </c>
      <c r="AI529" s="32">
        <f t="shared" si="206"/>
        <v>0</v>
      </c>
      <c r="AJ529" s="32">
        <f t="shared" si="207"/>
        <v>0</v>
      </c>
      <c r="AK529" t="str">
        <f t="shared" si="208"/>
        <v/>
      </c>
      <c r="AL529" t="str">
        <f t="shared" si="209"/>
        <v/>
      </c>
      <c r="AM529" t="str">
        <f t="shared" si="210"/>
        <v/>
      </c>
      <c r="AO529" t="str">
        <f>IFERROR(VLOOKUP(M529,'Fixture Identities'!$B$9:$O$1045,14,FALSE),"")</f>
        <v/>
      </c>
      <c r="AP529" t="str">
        <f t="shared" si="204"/>
        <v/>
      </c>
    </row>
    <row r="530" spans="1:42">
      <c r="A530" s="71">
        <f t="shared" ref="A530:A593" si="212">IF(E530&lt;&gt;J530,1,0)</f>
        <v>0</v>
      </c>
      <c r="B530" s="513">
        <f t="shared" si="211"/>
        <v>518</v>
      </c>
      <c r="C530" s="530" t="str">
        <f>IF(Inventory!E527="","",Inventory!E527)</f>
        <v/>
      </c>
      <c r="D530" s="531">
        <f>IF(Inventory!D527="",0,Inventory!D527)</f>
        <v>0</v>
      </c>
      <c r="E530" s="532" t="str">
        <f>IF(Inventory!I527=0,"",Inventory!I527)</f>
        <v/>
      </c>
      <c r="F530" s="533" t="str">
        <f t="shared" si="191"/>
        <v/>
      </c>
      <c r="G530" s="534" t="str">
        <f>IF(Inventory!G527="","",Inventory!G527)</f>
        <v/>
      </c>
      <c r="H530" s="535" t="str">
        <f t="shared" si="192"/>
        <v/>
      </c>
      <c r="I530" s="536" t="str">
        <f>IF(Inventory!J527="","",Inventory!J527)</f>
        <v/>
      </c>
      <c r="J530" s="537" t="str">
        <f>IFERROR(IF(PRJ_Type="New Construction",IF(Inventory!C527="N",INDEX(xyLPD_BuildingArea,MATCH(Building_Type,Lookups!$F$37:$F$75,0),4),INDEX(xyLPD_SpaceBySpace,MATCH(INDEX(xyNCEx,MATCH(I530,yNCExArea,0),2),ySpace_by_Space_Type,0),2)),VLOOKUP(E530,xyWattage_Table,11,FALSE)),"")</f>
        <v/>
      </c>
      <c r="K530" s="538" t="str">
        <f>IFERROR(IF(AND(NC_Type="Building Area Method",Inventory!C527="N"),IF(ISERROR(INDEX('Usage Groups (&gt;120 MWh only)'!$N$8:$N$12,MATCH(C530,'Usage Groups (&gt;120 MWh only)'!$B$8:$B$12,0),1))=TRUE,SqFt/COUNTIFS(Inventory!$C$10:$C$1009,"N",$Q$13:$Q$1012,"&gt;=0"),INDEX('Usage Groups (&gt;120 MWh only)'!$N$8:$N$12,MATCH(C530,'Usage Groups (&gt;120 MWh only)'!$B$8:$B$12,0),1)/COUNTIF($C$13:$C$1012,C530)),IF(AND(NC_Type="Building Area Method",Inventory!C527="Y"),INDEX(xyNCEx,MATCH(I530,yNCExArea,0),3)/COUNTIF($I$13:$I$1012,I530),VLOOKUP(J530,xyWattage_Table,10,FALSE))),"")</f>
        <v/>
      </c>
      <c r="L530" s="539" t="str">
        <f t="shared" si="193"/>
        <v/>
      </c>
      <c r="M530" s="540">
        <f>IF(Inventory!N527="","",Inventory!N527)</f>
        <v>0</v>
      </c>
      <c r="N530" s="533" t="str">
        <f t="shared" si="194"/>
        <v/>
      </c>
      <c r="O530" s="534"/>
      <c r="P530" s="533" t="str">
        <f t="shared" si="195"/>
        <v/>
      </c>
      <c r="Q530" s="534" t="str">
        <f>IF(Inventory!L527="","",Inventory!L527)</f>
        <v/>
      </c>
      <c r="R530" s="535" t="str">
        <f t="shared" si="196"/>
        <v/>
      </c>
      <c r="S530" s="536" t="str">
        <f>IF(Inventory!O527="","",Inventory!O527)</f>
        <v/>
      </c>
      <c r="T530" s="541" t="str">
        <f>IFERROR(IF(C530="","",IF(INDEX(xyWattage_Table,MATCH(M530,'Fixture Identities'!$B$9:$B$997,0),2)="Exit Sign",8760,IF(VLOOKUP(C530,xySpace_Type_Details,8,FALSE)="TRM",INDEX('General Information'!$AF$17:$AG$28,11,MATCH(N530,'General Information'!$AF$16:$AG$16,0)),HLOOKUP(VLOOKUP(C530,xySpace_Type_Details,8,FALSE),'General Information'!$P$15:$AG$28,13,FALSE)))),"")</f>
        <v/>
      </c>
      <c r="U530" s="542" t="str">
        <f>IFERROR(IF(C530="","",IF(INDEX(xyWattage_Table,MATCH(M530,'Fixture Identities'!$B$9:$B$997,0),2)="Exit Sign",1,IF(VLOOKUP(C530,xySpace_Type_Details,8,FALSE)="TRM",INDEX('General Information'!$AF$17:$AG$28,12,MATCH(N530,'General Information'!$AF$16:$AG$16,0)),HLOOKUP(VLOOKUP(C530,xySpace_Type_Details,8,FALSE),'General Information'!$P$15:$AG$28,14,FALSE)))),"")</f>
        <v/>
      </c>
      <c r="V530" s="542" t="str">
        <f>IFERROR(VLOOKUP(INDEX(xySpace_Type_Details,MATCH($C530,'General Information'!$C$40:$C$60,0),12),Lookups!$L$8:$N$12,2,FALSE),"")</f>
        <v/>
      </c>
      <c r="W530" s="542" t="str">
        <f>IFERROR(VLOOKUP(INDEX(xySpace_Type_Details,MATCH($C530,'General Information'!$C$40:$C$60,0),12),Lookups!$L$8:$N$12,3,FALSE),"")</f>
        <v/>
      </c>
      <c r="Y530" s="542" t="str">
        <f>IFERROR(IF(C530="","",IF(INDEX(xyWattage_Table,MATCH(M530,'Fixture Identities'!$B$9:$B$997,0),2)="Exit Sign",0,IF(PRJ_Type="Retrofit",VLOOKUP(I530,xySVG_Factors,2,FALSE),IF(AND(PRJ_Type="New Construction",Inventory!C527="N"),VLOOKUP(VLOOKUP(Building_Type,xyLPD_BuildingArea,5,FALSE),xySVG_Factors_NC,3,FALSE),0)))),"")</f>
        <v/>
      </c>
      <c r="Z530" s="544" t="str">
        <f>IFERROR(IF(C530="","",IF(INDEX(xyWattage_Table,MATCH(M530,'Fixture Identities'!$B$9:$B$997,0),2)="Exit Sign",0,VLOOKUP(S530,xySVG_Factors,2,FALSE))),"")</f>
        <v/>
      </c>
      <c r="AA530" s="545" t="str">
        <f t="shared" si="197"/>
        <v/>
      </c>
      <c r="AB530" s="542" t="str">
        <f t="shared" si="198"/>
        <v/>
      </c>
      <c r="AC530" s="539" t="str">
        <f t="shared" si="199"/>
        <v/>
      </c>
      <c r="AD530" s="546" t="str">
        <f t="shared" si="200"/>
        <v/>
      </c>
      <c r="AE530" s="539" t="str">
        <f t="shared" si="201"/>
        <v/>
      </c>
      <c r="AF530" s="546" t="str">
        <f t="shared" si="202"/>
        <v/>
      </c>
      <c r="AG530" s="539" t="str">
        <f t="shared" si="203"/>
        <v/>
      </c>
      <c r="AH530" s="32">
        <f t="shared" si="205"/>
        <v>0</v>
      </c>
      <c r="AI530" s="32">
        <f t="shared" si="206"/>
        <v>0</v>
      </c>
      <c r="AJ530" s="32">
        <f t="shared" si="207"/>
        <v>0</v>
      </c>
      <c r="AK530" t="str">
        <f t="shared" si="208"/>
        <v/>
      </c>
      <c r="AL530" t="str">
        <f t="shared" si="209"/>
        <v/>
      </c>
      <c r="AM530" t="str">
        <f t="shared" si="210"/>
        <v/>
      </c>
      <c r="AO530" t="str">
        <f>IFERROR(VLOOKUP(M530,'Fixture Identities'!$B$9:$O$1045,14,FALSE),"")</f>
        <v/>
      </c>
      <c r="AP530" t="str">
        <f t="shared" si="204"/>
        <v/>
      </c>
    </row>
    <row r="531" spans="1:42">
      <c r="A531" s="71">
        <f t="shared" si="212"/>
        <v>0</v>
      </c>
      <c r="B531" s="513">
        <f t="shared" si="211"/>
        <v>519</v>
      </c>
      <c r="C531" s="530" t="str">
        <f>IF(Inventory!E528="","",Inventory!E528)</f>
        <v/>
      </c>
      <c r="D531" s="531">
        <f>IF(Inventory!D528="",0,Inventory!D528)</f>
        <v>0</v>
      </c>
      <c r="E531" s="532" t="str">
        <f>IF(Inventory!I528=0,"",Inventory!I528)</f>
        <v/>
      </c>
      <c r="F531" s="533" t="str">
        <f t="shared" si="191"/>
        <v/>
      </c>
      <c r="G531" s="534" t="str">
        <f>IF(Inventory!G528="","",Inventory!G528)</f>
        <v/>
      </c>
      <c r="H531" s="535" t="str">
        <f t="shared" si="192"/>
        <v/>
      </c>
      <c r="I531" s="536" t="str">
        <f>IF(Inventory!J528="","",Inventory!J528)</f>
        <v/>
      </c>
      <c r="J531" s="537" t="str">
        <f>IFERROR(IF(PRJ_Type="New Construction",IF(Inventory!C528="N",INDEX(xyLPD_BuildingArea,MATCH(Building_Type,Lookups!$F$37:$F$75,0),4),INDEX(xyLPD_SpaceBySpace,MATCH(INDEX(xyNCEx,MATCH(I531,yNCExArea,0),2),ySpace_by_Space_Type,0),2)),VLOOKUP(E531,xyWattage_Table,11,FALSE)),"")</f>
        <v/>
      </c>
      <c r="K531" s="538" t="str">
        <f>IFERROR(IF(AND(NC_Type="Building Area Method",Inventory!C528="N"),IF(ISERROR(INDEX('Usage Groups (&gt;120 MWh only)'!$N$8:$N$12,MATCH(C531,'Usage Groups (&gt;120 MWh only)'!$B$8:$B$12,0),1))=TRUE,SqFt/COUNTIFS(Inventory!$C$10:$C$1009,"N",$Q$13:$Q$1012,"&gt;=0"),INDEX('Usage Groups (&gt;120 MWh only)'!$N$8:$N$12,MATCH(C531,'Usage Groups (&gt;120 MWh only)'!$B$8:$B$12,0),1)/COUNTIF($C$13:$C$1012,C531)),IF(AND(NC_Type="Building Area Method",Inventory!C528="Y"),INDEX(xyNCEx,MATCH(I531,yNCExArea,0),3)/COUNTIF($I$13:$I$1012,I531),VLOOKUP(J531,xyWattage_Table,10,FALSE))),"")</f>
        <v/>
      </c>
      <c r="L531" s="539" t="str">
        <f t="shared" si="193"/>
        <v/>
      </c>
      <c r="M531" s="540">
        <f>IF(Inventory!N528="","",Inventory!N528)</f>
        <v>0</v>
      </c>
      <c r="N531" s="533" t="str">
        <f t="shared" si="194"/>
        <v/>
      </c>
      <c r="O531" s="534"/>
      <c r="P531" s="533" t="str">
        <f t="shared" si="195"/>
        <v/>
      </c>
      <c r="Q531" s="534" t="str">
        <f>IF(Inventory!L528="","",Inventory!L528)</f>
        <v/>
      </c>
      <c r="R531" s="535" t="str">
        <f t="shared" si="196"/>
        <v/>
      </c>
      <c r="S531" s="536" t="str">
        <f>IF(Inventory!O528="","",Inventory!O528)</f>
        <v/>
      </c>
      <c r="T531" s="541" t="str">
        <f>IFERROR(IF(C531="","",IF(INDEX(xyWattage_Table,MATCH(M531,'Fixture Identities'!$B$9:$B$997,0),2)="Exit Sign",8760,IF(VLOOKUP(C531,xySpace_Type_Details,8,FALSE)="TRM",INDEX('General Information'!$AF$17:$AG$28,11,MATCH(N531,'General Information'!$AF$16:$AG$16,0)),HLOOKUP(VLOOKUP(C531,xySpace_Type_Details,8,FALSE),'General Information'!$P$15:$AG$28,13,FALSE)))),"")</f>
        <v/>
      </c>
      <c r="U531" s="542" t="str">
        <f>IFERROR(IF(C531="","",IF(INDEX(xyWattage_Table,MATCH(M531,'Fixture Identities'!$B$9:$B$997,0),2)="Exit Sign",1,IF(VLOOKUP(C531,xySpace_Type_Details,8,FALSE)="TRM",INDEX('General Information'!$AF$17:$AG$28,12,MATCH(N531,'General Information'!$AF$16:$AG$16,0)),HLOOKUP(VLOOKUP(C531,xySpace_Type_Details,8,FALSE),'General Information'!$P$15:$AG$28,14,FALSE)))),"")</f>
        <v/>
      </c>
      <c r="V531" s="542" t="str">
        <f>IFERROR(VLOOKUP(INDEX(xySpace_Type_Details,MATCH($C531,'General Information'!$C$40:$C$60,0),12),Lookups!$L$8:$N$12,2,FALSE),"")</f>
        <v/>
      </c>
      <c r="W531" s="542" t="str">
        <f>IFERROR(VLOOKUP(INDEX(xySpace_Type_Details,MATCH($C531,'General Information'!$C$40:$C$60,0),12),Lookups!$L$8:$N$12,3,FALSE),"")</f>
        <v/>
      </c>
      <c r="Y531" s="542" t="str">
        <f>IFERROR(IF(C531="","",IF(INDEX(xyWattage_Table,MATCH(M531,'Fixture Identities'!$B$9:$B$997,0),2)="Exit Sign",0,IF(PRJ_Type="Retrofit",VLOOKUP(I531,xySVG_Factors,2,FALSE),IF(AND(PRJ_Type="New Construction",Inventory!C528="N"),VLOOKUP(VLOOKUP(Building_Type,xyLPD_BuildingArea,5,FALSE),xySVG_Factors_NC,3,FALSE),0)))),"")</f>
        <v/>
      </c>
      <c r="Z531" s="544" t="str">
        <f>IFERROR(IF(C531="","",IF(INDEX(xyWattage_Table,MATCH(M531,'Fixture Identities'!$B$9:$B$997,0),2)="Exit Sign",0,VLOOKUP(S531,xySVG_Factors,2,FALSE))),"")</f>
        <v/>
      </c>
      <c r="AA531" s="545" t="str">
        <f t="shared" si="197"/>
        <v/>
      </c>
      <c r="AB531" s="542" t="str">
        <f t="shared" si="198"/>
        <v/>
      </c>
      <c r="AC531" s="539" t="str">
        <f t="shared" si="199"/>
        <v/>
      </c>
      <c r="AD531" s="546" t="str">
        <f t="shared" si="200"/>
        <v/>
      </c>
      <c r="AE531" s="539" t="str">
        <f t="shared" si="201"/>
        <v/>
      </c>
      <c r="AF531" s="546" t="str">
        <f t="shared" si="202"/>
        <v/>
      </c>
      <c r="AG531" s="539" t="str">
        <f t="shared" si="203"/>
        <v/>
      </c>
      <c r="AH531" s="32">
        <f t="shared" si="205"/>
        <v>0</v>
      </c>
      <c r="AI531" s="32">
        <f t="shared" si="206"/>
        <v>0</v>
      </c>
      <c r="AJ531" s="32">
        <f t="shared" si="207"/>
        <v>0</v>
      </c>
      <c r="AK531" t="str">
        <f t="shared" si="208"/>
        <v/>
      </c>
      <c r="AL531" t="str">
        <f t="shared" si="209"/>
        <v/>
      </c>
      <c r="AM531" t="str">
        <f t="shared" si="210"/>
        <v/>
      </c>
      <c r="AO531" t="str">
        <f>IFERROR(VLOOKUP(M531,'Fixture Identities'!$B$9:$O$1045,14,FALSE),"")</f>
        <v/>
      </c>
      <c r="AP531" t="str">
        <f t="shared" si="204"/>
        <v/>
      </c>
    </row>
    <row r="532" spans="1:42">
      <c r="A532" s="71">
        <f t="shared" si="212"/>
        <v>0</v>
      </c>
      <c r="B532" s="513">
        <f t="shared" si="211"/>
        <v>520</v>
      </c>
      <c r="C532" s="530" t="str">
        <f>IF(Inventory!E529="","",Inventory!E529)</f>
        <v/>
      </c>
      <c r="D532" s="531">
        <f>IF(Inventory!D529="",0,Inventory!D529)</f>
        <v>0</v>
      </c>
      <c r="E532" s="532" t="str">
        <f>IF(Inventory!I529=0,"",Inventory!I529)</f>
        <v/>
      </c>
      <c r="F532" s="533" t="str">
        <f t="shared" si="191"/>
        <v/>
      </c>
      <c r="G532" s="534" t="str">
        <f>IF(Inventory!G529="","",Inventory!G529)</f>
        <v/>
      </c>
      <c r="H532" s="535" t="str">
        <f t="shared" si="192"/>
        <v/>
      </c>
      <c r="I532" s="536" t="str">
        <f>IF(Inventory!J529="","",Inventory!J529)</f>
        <v/>
      </c>
      <c r="J532" s="537" t="str">
        <f>IFERROR(IF(PRJ_Type="New Construction",IF(Inventory!C529="N",INDEX(xyLPD_BuildingArea,MATCH(Building_Type,Lookups!$F$37:$F$75,0),4),INDEX(xyLPD_SpaceBySpace,MATCH(INDEX(xyNCEx,MATCH(I532,yNCExArea,0),2),ySpace_by_Space_Type,0),2)),VLOOKUP(E532,xyWattage_Table,11,FALSE)),"")</f>
        <v/>
      </c>
      <c r="K532" s="538" t="str">
        <f>IFERROR(IF(AND(NC_Type="Building Area Method",Inventory!C529="N"),IF(ISERROR(INDEX('Usage Groups (&gt;120 MWh only)'!$N$8:$N$12,MATCH(C532,'Usage Groups (&gt;120 MWh only)'!$B$8:$B$12,0),1))=TRUE,SqFt/COUNTIFS(Inventory!$C$10:$C$1009,"N",$Q$13:$Q$1012,"&gt;=0"),INDEX('Usage Groups (&gt;120 MWh only)'!$N$8:$N$12,MATCH(C532,'Usage Groups (&gt;120 MWh only)'!$B$8:$B$12,0),1)/COUNTIF($C$13:$C$1012,C532)),IF(AND(NC_Type="Building Area Method",Inventory!C529="Y"),INDEX(xyNCEx,MATCH(I532,yNCExArea,0),3)/COUNTIF($I$13:$I$1012,I532),VLOOKUP(J532,xyWattage_Table,10,FALSE))),"")</f>
        <v/>
      </c>
      <c r="L532" s="539" t="str">
        <f t="shared" si="193"/>
        <v/>
      </c>
      <c r="M532" s="540">
        <f>IF(Inventory!N529="","",Inventory!N529)</f>
        <v>0</v>
      </c>
      <c r="N532" s="533" t="str">
        <f t="shared" si="194"/>
        <v/>
      </c>
      <c r="O532" s="534"/>
      <c r="P532" s="533" t="str">
        <f t="shared" si="195"/>
        <v/>
      </c>
      <c r="Q532" s="534" t="str">
        <f>IF(Inventory!L529="","",Inventory!L529)</f>
        <v/>
      </c>
      <c r="R532" s="535" t="str">
        <f t="shared" si="196"/>
        <v/>
      </c>
      <c r="S532" s="536" t="str">
        <f>IF(Inventory!O529="","",Inventory!O529)</f>
        <v/>
      </c>
      <c r="T532" s="541" t="str">
        <f>IFERROR(IF(C532="","",IF(INDEX(xyWattage_Table,MATCH(M532,'Fixture Identities'!$B$9:$B$997,0),2)="Exit Sign",8760,IF(VLOOKUP(C532,xySpace_Type_Details,8,FALSE)="TRM",INDEX('General Information'!$AF$17:$AG$28,11,MATCH(N532,'General Information'!$AF$16:$AG$16,0)),HLOOKUP(VLOOKUP(C532,xySpace_Type_Details,8,FALSE),'General Information'!$P$15:$AG$28,13,FALSE)))),"")</f>
        <v/>
      </c>
      <c r="U532" s="542" t="str">
        <f>IFERROR(IF(C532="","",IF(INDEX(xyWattage_Table,MATCH(M532,'Fixture Identities'!$B$9:$B$997,0),2)="Exit Sign",1,IF(VLOOKUP(C532,xySpace_Type_Details,8,FALSE)="TRM",INDEX('General Information'!$AF$17:$AG$28,12,MATCH(N532,'General Information'!$AF$16:$AG$16,0)),HLOOKUP(VLOOKUP(C532,xySpace_Type_Details,8,FALSE),'General Information'!$P$15:$AG$28,14,FALSE)))),"")</f>
        <v/>
      </c>
      <c r="V532" s="542" t="str">
        <f>IFERROR(VLOOKUP(INDEX(xySpace_Type_Details,MATCH($C532,'General Information'!$C$40:$C$60,0),12),Lookups!$L$8:$N$12,2,FALSE),"")</f>
        <v/>
      </c>
      <c r="W532" s="542" t="str">
        <f>IFERROR(VLOOKUP(INDEX(xySpace_Type_Details,MATCH($C532,'General Information'!$C$40:$C$60,0),12),Lookups!$L$8:$N$12,3,FALSE),"")</f>
        <v/>
      </c>
      <c r="Y532" s="542" t="str">
        <f>IFERROR(IF(C532="","",IF(INDEX(xyWattage_Table,MATCH(M532,'Fixture Identities'!$B$9:$B$997,0),2)="Exit Sign",0,IF(PRJ_Type="Retrofit",VLOOKUP(I532,xySVG_Factors,2,FALSE),IF(AND(PRJ_Type="New Construction",Inventory!C529="N"),VLOOKUP(VLOOKUP(Building_Type,xyLPD_BuildingArea,5,FALSE),xySVG_Factors_NC,3,FALSE),0)))),"")</f>
        <v/>
      </c>
      <c r="Z532" s="544" t="str">
        <f>IFERROR(IF(C532="","",IF(INDEX(xyWattage_Table,MATCH(M532,'Fixture Identities'!$B$9:$B$997,0),2)="Exit Sign",0,VLOOKUP(S532,xySVG_Factors,2,FALSE))),"")</f>
        <v/>
      </c>
      <c r="AA532" s="545" t="str">
        <f t="shared" si="197"/>
        <v/>
      </c>
      <c r="AB532" s="542" t="str">
        <f t="shared" si="198"/>
        <v/>
      </c>
      <c r="AC532" s="539" t="str">
        <f t="shared" si="199"/>
        <v/>
      </c>
      <c r="AD532" s="546" t="str">
        <f t="shared" si="200"/>
        <v/>
      </c>
      <c r="AE532" s="539" t="str">
        <f t="shared" si="201"/>
        <v/>
      </c>
      <c r="AF532" s="546" t="str">
        <f t="shared" si="202"/>
        <v/>
      </c>
      <c r="AG532" s="539" t="str">
        <f t="shared" si="203"/>
        <v/>
      </c>
      <c r="AH532" s="32">
        <f t="shared" si="205"/>
        <v>0</v>
      </c>
      <c r="AI532" s="32">
        <f t="shared" si="206"/>
        <v>0</v>
      </c>
      <c r="AJ532" s="32">
        <f t="shared" si="207"/>
        <v>0</v>
      </c>
      <c r="AK532" t="str">
        <f t="shared" si="208"/>
        <v/>
      </c>
      <c r="AL532" t="str">
        <f t="shared" si="209"/>
        <v/>
      </c>
      <c r="AM532" t="str">
        <f t="shared" si="210"/>
        <v/>
      </c>
      <c r="AO532" t="str">
        <f>IFERROR(VLOOKUP(M532,'Fixture Identities'!$B$9:$O$1045,14,FALSE),"")</f>
        <v/>
      </c>
      <c r="AP532" t="str">
        <f t="shared" si="204"/>
        <v/>
      </c>
    </row>
    <row r="533" spans="1:42">
      <c r="A533" s="71">
        <f t="shared" si="212"/>
        <v>0</v>
      </c>
      <c r="B533" s="513">
        <f t="shared" si="211"/>
        <v>521</v>
      </c>
      <c r="C533" s="530" t="str">
        <f>IF(Inventory!E530="","",Inventory!E530)</f>
        <v/>
      </c>
      <c r="D533" s="531">
        <f>IF(Inventory!D530="",0,Inventory!D530)</f>
        <v>0</v>
      </c>
      <c r="E533" s="532" t="str">
        <f>IF(Inventory!I530=0,"",Inventory!I530)</f>
        <v/>
      </c>
      <c r="F533" s="533" t="str">
        <f t="shared" si="191"/>
        <v/>
      </c>
      <c r="G533" s="534" t="str">
        <f>IF(Inventory!G530="","",Inventory!G530)</f>
        <v/>
      </c>
      <c r="H533" s="535" t="str">
        <f t="shared" si="192"/>
        <v/>
      </c>
      <c r="I533" s="536" t="str">
        <f>IF(Inventory!J530="","",Inventory!J530)</f>
        <v/>
      </c>
      <c r="J533" s="537" t="str">
        <f>IFERROR(IF(PRJ_Type="New Construction",IF(Inventory!C530="N",INDEX(xyLPD_BuildingArea,MATCH(Building_Type,Lookups!$F$37:$F$75,0),4),INDEX(xyLPD_SpaceBySpace,MATCH(INDEX(xyNCEx,MATCH(I533,yNCExArea,0),2),ySpace_by_Space_Type,0),2)),VLOOKUP(E533,xyWattage_Table,11,FALSE)),"")</f>
        <v/>
      </c>
      <c r="K533" s="538" t="str">
        <f>IFERROR(IF(AND(NC_Type="Building Area Method",Inventory!C530="N"),IF(ISERROR(INDEX('Usage Groups (&gt;120 MWh only)'!$N$8:$N$12,MATCH(C533,'Usage Groups (&gt;120 MWh only)'!$B$8:$B$12,0),1))=TRUE,SqFt/COUNTIFS(Inventory!$C$10:$C$1009,"N",$Q$13:$Q$1012,"&gt;=0"),INDEX('Usage Groups (&gt;120 MWh only)'!$N$8:$N$12,MATCH(C533,'Usage Groups (&gt;120 MWh only)'!$B$8:$B$12,0),1)/COUNTIF($C$13:$C$1012,C533)),IF(AND(NC_Type="Building Area Method",Inventory!C530="Y"),INDEX(xyNCEx,MATCH(I533,yNCExArea,0),3)/COUNTIF($I$13:$I$1012,I533),VLOOKUP(J533,xyWattage_Table,10,FALSE))),"")</f>
        <v/>
      </c>
      <c r="L533" s="539" t="str">
        <f t="shared" si="193"/>
        <v/>
      </c>
      <c r="M533" s="540">
        <f>IF(Inventory!N530="","",Inventory!N530)</f>
        <v>0</v>
      </c>
      <c r="N533" s="533" t="str">
        <f t="shared" si="194"/>
        <v/>
      </c>
      <c r="O533" s="534"/>
      <c r="P533" s="533" t="str">
        <f t="shared" si="195"/>
        <v/>
      </c>
      <c r="Q533" s="534" t="str">
        <f>IF(Inventory!L530="","",Inventory!L530)</f>
        <v/>
      </c>
      <c r="R533" s="535" t="str">
        <f t="shared" si="196"/>
        <v/>
      </c>
      <c r="S533" s="536" t="str">
        <f>IF(Inventory!O530="","",Inventory!O530)</f>
        <v/>
      </c>
      <c r="T533" s="541" t="str">
        <f>IFERROR(IF(C533="","",IF(INDEX(xyWattage_Table,MATCH(M533,'Fixture Identities'!$B$9:$B$997,0),2)="Exit Sign",8760,IF(VLOOKUP(C533,xySpace_Type_Details,8,FALSE)="TRM",INDEX('General Information'!$AF$17:$AG$28,11,MATCH(N533,'General Information'!$AF$16:$AG$16,0)),HLOOKUP(VLOOKUP(C533,xySpace_Type_Details,8,FALSE),'General Information'!$P$15:$AG$28,13,FALSE)))),"")</f>
        <v/>
      </c>
      <c r="U533" s="542" t="str">
        <f>IFERROR(IF(C533="","",IF(INDEX(xyWattage_Table,MATCH(M533,'Fixture Identities'!$B$9:$B$997,0),2)="Exit Sign",1,IF(VLOOKUP(C533,xySpace_Type_Details,8,FALSE)="TRM",INDEX('General Information'!$AF$17:$AG$28,12,MATCH(N533,'General Information'!$AF$16:$AG$16,0)),HLOOKUP(VLOOKUP(C533,xySpace_Type_Details,8,FALSE),'General Information'!$P$15:$AG$28,14,FALSE)))),"")</f>
        <v/>
      </c>
      <c r="V533" s="542" t="str">
        <f>IFERROR(VLOOKUP(INDEX(xySpace_Type_Details,MATCH($C533,'General Information'!$C$40:$C$60,0),12),Lookups!$L$8:$N$12,2,FALSE),"")</f>
        <v/>
      </c>
      <c r="W533" s="542" t="str">
        <f>IFERROR(VLOOKUP(INDEX(xySpace_Type_Details,MATCH($C533,'General Information'!$C$40:$C$60,0),12),Lookups!$L$8:$N$12,3,FALSE),"")</f>
        <v/>
      </c>
      <c r="Y533" s="542" t="str">
        <f>IFERROR(IF(C533="","",IF(INDEX(xyWattage_Table,MATCH(M533,'Fixture Identities'!$B$9:$B$997,0),2)="Exit Sign",0,IF(PRJ_Type="Retrofit",VLOOKUP(I533,xySVG_Factors,2,FALSE),IF(AND(PRJ_Type="New Construction",Inventory!C530="N"),VLOOKUP(VLOOKUP(Building_Type,xyLPD_BuildingArea,5,FALSE),xySVG_Factors_NC,3,FALSE),0)))),"")</f>
        <v/>
      </c>
      <c r="Z533" s="544" t="str">
        <f>IFERROR(IF(C533="","",IF(INDEX(xyWattage_Table,MATCH(M533,'Fixture Identities'!$B$9:$B$997,0),2)="Exit Sign",0,VLOOKUP(S533,xySVG_Factors,2,FALSE))),"")</f>
        <v/>
      </c>
      <c r="AA533" s="545" t="str">
        <f t="shared" si="197"/>
        <v/>
      </c>
      <c r="AB533" s="542" t="str">
        <f t="shared" si="198"/>
        <v/>
      </c>
      <c r="AC533" s="539" t="str">
        <f t="shared" si="199"/>
        <v/>
      </c>
      <c r="AD533" s="546" t="str">
        <f t="shared" si="200"/>
        <v/>
      </c>
      <c r="AE533" s="539" t="str">
        <f t="shared" si="201"/>
        <v/>
      </c>
      <c r="AF533" s="546" t="str">
        <f t="shared" si="202"/>
        <v/>
      </c>
      <c r="AG533" s="539" t="str">
        <f t="shared" si="203"/>
        <v/>
      </c>
      <c r="AH533" s="32">
        <f t="shared" si="205"/>
        <v>0</v>
      </c>
      <c r="AI533" s="32">
        <f t="shared" si="206"/>
        <v>0</v>
      </c>
      <c r="AJ533" s="32">
        <f t="shared" si="207"/>
        <v>0</v>
      </c>
      <c r="AK533" t="str">
        <f t="shared" si="208"/>
        <v/>
      </c>
      <c r="AL533" t="str">
        <f t="shared" si="209"/>
        <v/>
      </c>
      <c r="AM533" t="str">
        <f t="shared" si="210"/>
        <v/>
      </c>
      <c r="AO533" t="str">
        <f>IFERROR(VLOOKUP(M533,'Fixture Identities'!$B$9:$O$1045,14,FALSE),"")</f>
        <v/>
      </c>
      <c r="AP533" t="str">
        <f t="shared" si="204"/>
        <v/>
      </c>
    </row>
    <row r="534" spans="1:42">
      <c r="A534" s="71">
        <f t="shared" si="212"/>
        <v>0</v>
      </c>
      <c r="B534" s="513">
        <f t="shared" si="211"/>
        <v>522</v>
      </c>
      <c r="C534" s="530" t="str">
        <f>IF(Inventory!E531="","",Inventory!E531)</f>
        <v/>
      </c>
      <c r="D534" s="531">
        <f>IF(Inventory!D531="",0,Inventory!D531)</f>
        <v>0</v>
      </c>
      <c r="E534" s="532" t="str">
        <f>IF(Inventory!I531=0,"",Inventory!I531)</f>
        <v/>
      </c>
      <c r="F534" s="533" t="str">
        <f t="shared" si="191"/>
        <v/>
      </c>
      <c r="G534" s="534" t="str">
        <f>IF(Inventory!G531="","",Inventory!G531)</f>
        <v/>
      </c>
      <c r="H534" s="535" t="str">
        <f t="shared" si="192"/>
        <v/>
      </c>
      <c r="I534" s="536" t="str">
        <f>IF(Inventory!J531="","",Inventory!J531)</f>
        <v/>
      </c>
      <c r="J534" s="537" t="str">
        <f>IFERROR(IF(PRJ_Type="New Construction",IF(Inventory!C531="N",INDEX(xyLPD_BuildingArea,MATCH(Building_Type,Lookups!$F$37:$F$75,0),4),INDEX(xyLPD_SpaceBySpace,MATCH(INDEX(xyNCEx,MATCH(I534,yNCExArea,0),2),ySpace_by_Space_Type,0),2)),VLOOKUP(E534,xyWattage_Table,11,FALSE)),"")</f>
        <v/>
      </c>
      <c r="K534" s="538" t="str">
        <f>IFERROR(IF(AND(NC_Type="Building Area Method",Inventory!C531="N"),IF(ISERROR(INDEX('Usage Groups (&gt;120 MWh only)'!$N$8:$N$12,MATCH(C534,'Usage Groups (&gt;120 MWh only)'!$B$8:$B$12,0),1))=TRUE,SqFt/COUNTIFS(Inventory!$C$10:$C$1009,"N",$Q$13:$Q$1012,"&gt;=0"),INDEX('Usage Groups (&gt;120 MWh only)'!$N$8:$N$12,MATCH(C534,'Usage Groups (&gt;120 MWh only)'!$B$8:$B$12,0),1)/COUNTIF($C$13:$C$1012,C534)),IF(AND(NC_Type="Building Area Method",Inventory!C531="Y"),INDEX(xyNCEx,MATCH(I534,yNCExArea,0),3)/COUNTIF($I$13:$I$1012,I534),VLOOKUP(J534,xyWattage_Table,10,FALSE))),"")</f>
        <v/>
      </c>
      <c r="L534" s="539" t="str">
        <f t="shared" si="193"/>
        <v/>
      </c>
      <c r="M534" s="540">
        <f>IF(Inventory!N531="","",Inventory!N531)</f>
        <v>0</v>
      </c>
      <c r="N534" s="533" t="str">
        <f t="shared" si="194"/>
        <v/>
      </c>
      <c r="O534" s="534"/>
      <c r="P534" s="533" t="str">
        <f t="shared" si="195"/>
        <v/>
      </c>
      <c r="Q534" s="534" t="str">
        <f>IF(Inventory!L531="","",Inventory!L531)</f>
        <v/>
      </c>
      <c r="R534" s="535" t="str">
        <f t="shared" si="196"/>
        <v/>
      </c>
      <c r="S534" s="536" t="str">
        <f>IF(Inventory!O531="","",Inventory!O531)</f>
        <v/>
      </c>
      <c r="T534" s="541" t="str">
        <f>IFERROR(IF(C534="","",IF(INDEX(xyWattage_Table,MATCH(M534,'Fixture Identities'!$B$9:$B$997,0),2)="Exit Sign",8760,IF(VLOOKUP(C534,xySpace_Type_Details,8,FALSE)="TRM",INDEX('General Information'!$AF$17:$AG$28,11,MATCH(N534,'General Information'!$AF$16:$AG$16,0)),HLOOKUP(VLOOKUP(C534,xySpace_Type_Details,8,FALSE),'General Information'!$P$15:$AG$28,13,FALSE)))),"")</f>
        <v/>
      </c>
      <c r="U534" s="542" t="str">
        <f>IFERROR(IF(C534="","",IF(INDEX(xyWattage_Table,MATCH(M534,'Fixture Identities'!$B$9:$B$997,0),2)="Exit Sign",1,IF(VLOOKUP(C534,xySpace_Type_Details,8,FALSE)="TRM",INDEX('General Information'!$AF$17:$AG$28,12,MATCH(N534,'General Information'!$AF$16:$AG$16,0)),HLOOKUP(VLOOKUP(C534,xySpace_Type_Details,8,FALSE),'General Information'!$P$15:$AG$28,14,FALSE)))),"")</f>
        <v/>
      </c>
      <c r="V534" s="542" t="str">
        <f>IFERROR(VLOOKUP(INDEX(xySpace_Type_Details,MATCH($C534,'General Information'!$C$40:$C$60,0),12),Lookups!$L$8:$N$12,2,FALSE),"")</f>
        <v/>
      </c>
      <c r="W534" s="542" t="str">
        <f>IFERROR(VLOOKUP(INDEX(xySpace_Type_Details,MATCH($C534,'General Information'!$C$40:$C$60,0),12),Lookups!$L$8:$N$12,3,FALSE),"")</f>
        <v/>
      </c>
      <c r="Y534" s="542" t="str">
        <f>IFERROR(IF(C534="","",IF(INDEX(xyWattage_Table,MATCH(M534,'Fixture Identities'!$B$9:$B$997,0),2)="Exit Sign",0,IF(PRJ_Type="Retrofit",VLOOKUP(I534,xySVG_Factors,2,FALSE),IF(AND(PRJ_Type="New Construction",Inventory!C531="N"),VLOOKUP(VLOOKUP(Building_Type,xyLPD_BuildingArea,5,FALSE),xySVG_Factors_NC,3,FALSE),0)))),"")</f>
        <v/>
      </c>
      <c r="Z534" s="544" t="str">
        <f>IFERROR(IF(C534="","",IF(INDEX(xyWattage_Table,MATCH(M534,'Fixture Identities'!$B$9:$B$997,0),2)="Exit Sign",0,VLOOKUP(S534,xySVG_Factors,2,FALSE))),"")</f>
        <v/>
      </c>
      <c r="AA534" s="545" t="str">
        <f t="shared" si="197"/>
        <v/>
      </c>
      <c r="AB534" s="542" t="str">
        <f t="shared" si="198"/>
        <v/>
      </c>
      <c r="AC534" s="539" t="str">
        <f t="shared" si="199"/>
        <v/>
      </c>
      <c r="AD534" s="546" t="str">
        <f t="shared" si="200"/>
        <v/>
      </c>
      <c r="AE534" s="539" t="str">
        <f t="shared" si="201"/>
        <v/>
      </c>
      <c r="AF534" s="546" t="str">
        <f t="shared" si="202"/>
        <v/>
      </c>
      <c r="AG534" s="539" t="str">
        <f t="shared" si="203"/>
        <v/>
      </c>
      <c r="AH534" s="32">
        <f t="shared" si="205"/>
        <v>0</v>
      </c>
      <c r="AI534" s="32">
        <f t="shared" si="206"/>
        <v>0</v>
      </c>
      <c r="AJ534" s="32">
        <f t="shared" si="207"/>
        <v>0</v>
      </c>
      <c r="AK534" t="str">
        <f t="shared" si="208"/>
        <v/>
      </c>
      <c r="AL534" t="str">
        <f t="shared" si="209"/>
        <v/>
      </c>
      <c r="AM534" t="str">
        <f t="shared" si="210"/>
        <v/>
      </c>
      <c r="AO534" t="str">
        <f>IFERROR(VLOOKUP(M534,'Fixture Identities'!$B$9:$O$1045,14,FALSE),"")</f>
        <v/>
      </c>
      <c r="AP534" t="str">
        <f t="shared" si="204"/>
        <v/>
      </c>
    </row>
    <row r="535" spans="1:42">
      <c r="A535" s="71">
        <f t="shared" si="212"/>
        <v>0</v>
      </c>
      <c r="B535" s="513">
        <f t="shared" si="211"/>
        <v>523</v>
      </c>
      <c r="C535" s="530" t="str">
        <f>IF(Inventory!E532="","",Inventory!E532)</f>
        <v/>
      </c>
      <c r="D535" s="531">
        <f>IF(Inventory!D532="",0,Inventory!D532)</f>
        <v>0</v>
      </c>
      <c r="E535" s="532" t="str">
        <f>IF(Inventory!I532=0,"",Inventory!I532)</f>
        <v/>
      </c>
      <c r="F535" s="533" t="str">
        <f t="shared" si="191"/>
        <v/>
      </c>
      <c r="G535" s="534" t="str">
        <f>IF(Inventory!G532="","",Inventory!G532)</f>
        <v/>
      </c>
      <c r="H535" s="535" t="str">
        <f t="shared" si="192"/>
        <v/>
      </c>
      <c r="I535" s="536" t="str">
        <f>IF(Inventory!J532="","",Inventory!J532)</f>
        <v/>
      </c>
      <c r="J535" s="537" t="str">
        <f>IFERROR(IF(PRJ_Type="New Construction",IF(Inventory!C532="N",INDEX(xyLPD_BuildingArea,MATCH(Building_Type,Lookups!$F$37:$F$75,0),4),INDEX(xyLPD_SpaceBySpace,MATCH(INDEX(xyNCEx,MATCH(I535,yNCExArea,0),2),ySpace_by_Space_Type,0),2)),VLOOKUP(E535,xyWattage_Table,11,FALSE)),"")</f>
        <v/>
      </c>
      <c r="K535" s="538" t="str">
        <f>IFERROR(IF(AND(NC_Type="Building Area Method",Inventory!C532="N"),IF(ISERROR(INDEX('Usage Groups (&gt;120 MWh only)'!$N$8:$N$12,MATCH(C535,'Usage Groups (&gt;120 MWh only)'!$B$8:$B$12,0),1))=TRUE,SqFt/COUNTIFS(Inventory!$C$10:$C$1009,"N",$Q$13:$Q$1012,"&gt;=0"),INDEX('Usage Groups (&gt;120 MWh only)'!$N$8:$N$12,MATCH(C535,'Usage Groups (&gt;120 MWh only)'!$B$8:$B$12,0),1)/COUNTIF($C$13:$C$1012,C535)),IF(AND(NC_Type="Building Area Method",Inventory!C532="Y"),INDEX(xyNCEx,MATCH(I535,yNCExArea,0),3)/COUNTIF($I$13:$I$1012,I535),VLOOKUP(J535,xyWattage_Table,10,FALSE))),"")</f>
        <v/>
      </c>
      <c r="L535" s="539" t="str">
        <f t="shared" si="193"/>
        <v/>
      </c>
      <c r="M535" s="540">
        <f>IF(Inventory!N532="","",Inventory!N532)</f>
        <v>0</v>
      </c>
      <c r="N535" s="533" t="str">
        <f t="shared" si="194"/>
        <v/>
      </c>
      <c r="O535" s="534"/>
      <c r="P535" s="533" t="str">
        <f t="shared" si="195"/>
        <v/>
      </c>
      <c r="Q535" s="534" t="str">
        <f>IF(Inventory!L532="","",Inventory!L532)</f>
        <v/>
      </c>
      <c r="R535" s="535" t="str">
        <f t="shared" si="196"/>
        <v/>
      </c>
      <c r="S535" s="536" t="str">
        <f>IF(Inventory!O532="","",Inventory!O532)</f>
        <v/>
      </c>
      <c r="T535" s="541" t="str">
        <f>IFERROR(IF(C535="","",IF(INDEX(xyWattage_Table,MATCH(M535,'Fixture Identities'!$B$9:$B$997,0),2)="Exit Sign",8760,IF(VLOOKUP(C535,xySpace_Type_Details,8,FALSE)="TRM",INDEX('General Information'!$AF$17:$AG$28,11,MATCH(N535,'General Information'!$AF$16:$AG$16,0)),HLOOKUP(VLOOKUP(C535,xySpace_Type_Details,8,FALSE),'General Information'!$P$15:$AG$28,13,FALSE)))),"")</f>
        <v/>
      </c>
      <c r="U535" s="542" t="str">
        <f>IFERROR(IF(C535="","",IF(INDEX(xyWattage_Table,MATCH(M535,'Fixture Identities'!$B$9:$B$997,0),2)="Exit Sign",1,IF(VLOOKUP(C535,xySpace_Type_Details,8,FALSE)="TRM",INDEX('General Information'!$AF$17:$AG$28,12,MATCH(N535,'General Information'!$AF$16:$AG$16,0)),HLOOKUP(VLOOKUP(C535,xySpace_Type_Details,8,FALSE),'General Information'!$P$15:$AG$28,14,FALSE)))),"")</f>
        <v/>
      </c>
      <c r="V535" s="542" t="str">
        <f>IFERROR(VLOOKUP(INDEX(xySpace_Type_Details,MATCH($C535,'General Information'!$C$40:$C$60,0),12),Lookups!$L$8:$N$12,2,FALSE),"")</f>
        <v/>
      </c>
      <c r="W535" s="542" t="str">
        <f>IFERROR(VLOOKUP(INDEX(xySpace_Type_Details,MATCH($C535,'General Information'!$C$40:$C$60,0),12),Lookups!$L$8:$N$12,3,FALSE),"")</f>
        <v/>
      </c>
      <c r="Y535" s="542" t="str">
        <f>IFERROR(IF(C535="","",IF(INDEX(xyWattage_Table,MATCH(M535,'Fixture Identities'!$B$9:$B$997,0),2)="Exit Sign",0,IF(PRJ_Type="Retrofit",VLOOKUP(I535,xySVG_Factors,2,FALSE),IF(AND(PRJ_Type="New Construction",Inventory!C532="N"),VLOOKUP(VLOOKUP(Building_Type,xyLPD_BuildingArea,5,FALSE),xySVG_Factors_NC,3,FALSE),0)))),"")</f>
        <v/>
      </c>
      <c r="Z535" s="544" t="str">
        <f>IFERROR(IF(C535="","",IF(INDEX(xyWattage_Table,MATCH(M535,'Fixture Identities'!$B$9:$B$997,0),2)="Exit Sign",0,VLOOKUP(S535,xySVG_Factors,2,FALSE))),"")</f>
        <v/>
      </c>
      <c r="AA535" s="545" t="str">
        <f t="shared" si="197"/>
        <v/>
      </c>
      <c r="AB535" s="542" t="str">
        <f t="shared" si="198"/>
        <v/>
      </c>
      <c r="AC535" s="539" t="str">
        <f t="shared" si="199"/>
        <v/>
      </c>
      <c r="AD535" s="546" t="str">
        <f t="shared" si="200"/>
        <v/>
      </c>
      <c r="AE535" s="539" t="str">
        <f t="shared" si="201"/>
        <v/>
      </c>
      <c r="AF535" s="546" t="str">
        <f t="shared" si="202"/>
        <v/>
      </c>
      <c r="AG535" s="539" t="str">
        <f t="shared" si="203"/>
        <v/>
      </c>
      <c r="AH535" s="32">
        <f t="shared" si="205"/>
        <v>0</v>
      </c>
      <c r="AI535" s="32">
        <f t="shared" si="206"/>
        <v>0</v>
      </c>
      <c r="AJ535" s="32">
        <f t="shared" si="207"/>
        <v>0</v>
      </c>
      <c r="AK535" t="str">
        <f t="shared" si="208"/>
        <v/>
      </c>
      <c r="AL535" t="str">
        <f t="shared" si="209"/>
        <v/>
      </c>
      <c r="AM535" t="str">
        <f t="shared" si="210"/>
        <v/>
      </c>
      <c r="AO535" t="str">
        <f>IFERROR(VLOOKUP(M535,'Fixture Identities'!$B$9:$O$1045,14,FALSE),"")</f>
        <v/>
      </c>
      <c r="AP535" t="str">
        <f t="shared" si="204"/>
        <v/>
      </c>
    </row>
    <row r="536" spans="1:42">
      <c r="A536" s="71">
        <f t="shared" si="212"/>
        <v>0</v>
      </c>
      <c r="B536" s="513">
        <f t="shared" si="211"/>
        <v>524</v>
      </c>
      <c r="C536" s="530" t="str">
        <f>IF(Inventory!E533="","",Inventory!E533)</f>
        <v/>
      </c>
      <c r="D536" s="531">
        <f>IF(Inventory!D533="",0,Inventory!D533)</f>
        <v>0</v>
      </c>
      <c r="E536" s="532" t="str">
        <f>IF(Inventory!I533=0,"",Inventory!I533)</f>
        <v/>
      </c>
      <c r="F536" s="533" t="str">
        <f t="shared" si="191"/>
        <v/>
      </c>
      <c r="G536" s="534" t="str">
        <f>IF(Inventory!G533="","",Inventory!G533)</f>
        <v/>
      </c>
      <c r="H536" s="535" t="str">
        <f t="shared" si="192"/>
        <v/>
      </c>
      <c r="I536" s="536" t="str">
        <f>IF(Inventory!J533="","",Inventory!J533)</f>
        <v/>
      </c>
      <c r="J536" s="537" t="str">
        <f>IFERROR(IF(PRJ_Type="New Construction",IF(Inventory!C533="N",INDEX(xyLPD_BuildingArea,MATCH(Building_Type,Lookups!$F$37:$F$75,0),4),INDEX(xyLPD_SpaceBySpace,MATCH(INDEX(xyNCEx,MATCH(I536,yNCExArea,0),2),ySpace_by_Space_Type,0),2)),VLOOKUP(E536,xyWattage_Table,11,FALSE)),"")</f>
        <v/>
      </c>
      <c r="K536" s="538" t="str">
        <f>IFERROR(IF(AND(NC_Type="Building Area Method",Inventory!C533="N"),IF(ISERROR(INDEX('Usage Groups (&gt;120 MWh only)'!$N$8:$N$12,MATCH(C536,'Usage Groups (&gt;120 MWh only)'!$B$8:$B$12,0),1))=TRUE,SqFt/COUNTIFS(Inventory!$C$10:$C$1009,"N",$Q$13:$Q$1012,"&gt;=0"),INDEX('Usage Groups (&gt;120 MWh only)'!$N$8:$N$12,MATCH(C536,'Usage Groups (&gt;120 MWh only)'!$B$8:$B$12,0),1)/COUNTIF($C$13:$C$1012,C536)),IF(AND(NC_Type="Building Area Method",Inventory!C533="Y"),INDEX(xyNCEx,MATCH(I536,yNCExArea,0),3)/COUNTIF($I$13:$I$1012,I536),VLOOKUP(J536,xyWattage_Table,10,FALSE))),"")</f>
        <v/>
      </c>
      <c r="L536" s="539" t="str">
        <f t="shared" si="193"/>
        <v/>
      </c>
      <c r="M536" s="540">
        <f>IF(Inventory!N533="","",Inventory!N533)</f>
        <v>0</v>
      </c>
      <c r="N536" s="533" t="str">
        <f t="shared" si="194"/>
        <v/>
      </c>
      <c r="O536" s="534"/>
      <c r="P536" s="533" t="str">
        <f t="shared" si="195"/>
        <v/>
      </c>
      <c r="Q536" s="534" t="str">
        <f>IF(Inventory!L533="","",Inventory!L533)</f>
        <v/>
      </c>
      <c r="R536" s="535" t="str">
        <f t="shared" si="196"/>
        <v/>
      </c>
      <c r="S536" s="536" t="str">
        <f>IF(Inventory!O533="","",Inventory!O533)</f>
        <v/>
      </c>
      <c r="T536" s="541" t="str">
        <f>IFERROR(IF(C536="","",IF(INDEX(xyWattage_Table,MATCH(M536,'Fixture Identities'!$B$9:$B$997,0),2)="Exit Sign",8760,IF(VLOOKUP(C536,xySpace_Type_Details,8,FALSE)="TRM",INDEX('General Information'!$AF$17:$AG$28,11,MATCH(N536,'General Information'!$AF$16:$AG$16,0)),HLOOKUP(VLOOKUP(C536,xySpace_Type_Details,8,FALSE),'General Information'!$P$15:$AG$28,13,FALSE)))),"")</f>
        <v/>
      </c>
      <c r="U536" s="542" t="str">
        <f>IFERROR(IF(C536="","",IF(INDEX(xyWattage_Table,MATCH(M536,'Fixture Identities'!$B$9:$B$997,0),2)="Exit Sign",1,IF(VLOOKUP(C536,xySpace_Type_Details,8,FALSE)="TRM",INDEX('General Information'!$AF$17:$AG$28,12,MATCH(N536,'General Information'!$AF$16:$AG$16,0)),HLOOKUP(VLOOKUP(C536,xySpace_Type_Details,8,FALSE),'General Information'!$P$15:$AG$28,14,FALSE)))),"")</f>
        <v/>
      </c>
      <c r="V536" s="542" t="str">
        <f>IFERROR(VLOOKUP(INDEX(xySpace_Type_Details,MATCH($C536,'General Information'!$C$40:$C$60,0),12),Lookups!$L$8:$N$12,2,FALSE),"")</f>
        <v/>
      </c>
      <c r="W536" s="542" t="str">
        <f>IFERROR(VLOOKUP(INDEX(xySpace_Type_Details,MATCH($C536,'General Information'!$C$40:$C$60,0),12),Lookups!$L$8:$N$12,3,FALSE),"")</f>
        <v/>
      </c>
      <c r="Y536" s="542" t="str">
        <f>IFERROR(IF(C536="","",IF(INDEX(xyWattage_Table,MATCH(M536,'Fixture Identities'!$B$9:$B$997,0),2)="Exit Sign",0,IF(PRJ_Type="Retrofit",VLOOKUP(I536,xySVG_Factors,2,FALSE),IF(AND(PRJ_Type="New Construction",Inventory!C533="N"),VLOOKUP(VLOOKUP(Building_Type,xyLPD_BuildingArea,5,FALSE),xySVG_Factors_NC,3,FALSE),0)))),"")</f>
        <v/>
      </c>
      <c r="Z536" s="544" t="str">
        <f>IFERROR(IF(C536="","",IF(INDEX(xyWattage_Table,MATCH(M536,'Fixture Identities'!$B$9:$B$997,0),2)="Exit Sign",0,VLOOKUP(S536,xySVG_Factors,2,FALSE))),"")</f>
        <v/>
      </c>
      <c r="AA536" s="545" t="str">
        <f t="shared" si="197"/>
        <v/>
      </c>
      <c r="AB536" s="542" t="str">
        <f t="shared" si="198"/>
        <v/>
      </c>
      <c r="AC536" s="539" t="str">
        <f t="shared" si="199"/>
        <v/>
      </c>
      <c r="AD536" s="546" t="str">
        <f t="shared" si="200"/>
        <v/>
      </c>
      <c r="AE536" s="539" t="str">
        <f t="shared" si="201"/>
        <v/>
      </c>
      <c r="AF536" s="546" t="str">
        <f t="shared" si="202"/>
        <v/>
      </c>
      <c r="AG536" s="539" t="str">
        <f t="shared" si="203"/>
        <v/>
      </c>
      <c r="AH536" s="32">
        <f t="shared" si="205"/>
        <v>0</v>
      </c>
      <c r="AI536" s="32">
        <f t="shared" si="206"/>
        <v>0</v>
      </c>
      <c r="AJ536" s="32">
        <f t="shared" si="207"/>
        <v>0</v>
      </c>
      <c r="AK536" t="str">
        <f t="shared" si="208"/>
        <v/>
      </c>
      <c r="AL536" t="str">
        <f t="shared" si="209"/>
        <v/>
      </c>
      <c r="AM536" t="str">
        <f t="shared" si="210"/>
        <v/>
      </c>
      <c r="AO536" t="str">
        <f>IFERROR(VLOOKUP(M536,'Fixture Identities'!$B$9:$O$1045,14,FALSE),"")</f>
        <v/>
      </c>
      <c r="AP536" t="str">
        <f t="shared" si="204"/>
        <v/>
      </c>
    </row>
    <row r="537" spans="1:42">
      <c r="A537" s="71">
        <f t="shared" si="212"/>
        <v>0</v>
      </c>
      <c r="B537" s="513">
        <f t="shared" si="211"/>
        <v>525</v>
      </c>
      <c r="C537" s="530" t="str">
        <f>IF(Inventory!E534="","",Inventory!E534)</f>
        <v/>
      </c>
      <c r="D537" s="531">
        <f>IF(Inventory!D534="",0,Inventory!D534)</f>
        <v>0</v>
      </c>
      <c r="E537" s="532" t="str">
        <f>IF(Inventory!I534=0,"",Inventory!I534)</f>
        <v/>
      </c>
      <c r="F537" s="533" t="str">
        <f t="shared" si="191"/>
        <v/>
      </c>
      <c r="G537" s="534" t="str">
        <f>IF(Inventory!G534="","",Inventory!G534)</f>
        <v/>
      </c>
      <c r="H537" s="535" t="str">
        <f t="shared" si="192"/>
        <v/>
      </c>
      <c r="I537" s="536" t="str">
        <f>IF(Inventory!J534="","",Inventory!J534)</f>
        <v/>
      </c>
      <c r="J537" s="537" t="str">
        <f>IFERROR(IF(PRJ_Type="New Construction",IF(Inventory!C534="N",INDEX(xyLPD_BuildingArea,MATCH(Building_Type,Lookups!$F$37:$F$75,0),4),INDEX(xyLPD_SpaceBySpace,MATCH(INDEX(xyNCEx,MATCH(I537,yNCExArea,0),2),ySpace_by_Space_Type,0),2)),VLOOKUP(E537,xyWattage_Table,11,FALSE)),"")</f>
        <v/>
      </c>
      <c r="K537" s="538" t="str">
        <f>IFERROR(IF(AND(NC_Type="Building Area Method",Inventory!C534="N"),IF(ISERROR(INDEX('Usage Groups (&gt;120 MWh only)'!$N$8:$N$12,MATCH(C537,'Usage Groups (&gt;120 MWh only)'!$B$8:$B$12,0),1))=TRUE,SqFt/COUNTIFS(Inventory!$C$10:$C$1009,"N",$Q$13:$Q$1012,"&gt;=0"),INDEX('Usage Groups (&gt;120 MWh only)'!$N$8:$N$12,MATCH(C537,'Usage Groups (&gt;120 MWh only)'!$B$8:$B$12,0),1)/COUNTIF($C$13:$C$1012,C537)),IF(AND(NC_Type="Building Area Method",Inventory!C534="Y"),INDEX(xyNCEx,MATCH(I537,yNCExArea,0),3)/COUNTIF($I$13:$I$1012,I537),VLOOKUP(J537,xyWattage_Table,10,FALSE))),"")</f>
        <v/>
      </c>
      <c r="L537" s="539" t="str">
        <f t="shared" si="193"/>
        <v/>
      </c>
      <c r="M537" s="540">
        <f>IF(Inventory!N534="","",Inventory!N534)</f>
        <v>0</v>
      </c>
      <c r="N537" s="533" t="str">
        <f t="shared" si="194"/>
        <v/>
      </c>
      <c r="O537" s="534"/>
      <c r="P537" s="533" t="str">
        <f t="shared" si="195"/>
        <v/>
      </c>
      <c r="Q537" s="534" t="str">
        <f>IF(Inventory!L534="","",Inventory!L534)</f>
        <v/>
      </c>
      <c r="R537" s="535" t="str">
        <f t="shared" si="196"/>
        <v/>
      </c>
      <c r="S537" s="536" t="str">
        <f>IF(Inventory!O534="","",Inventory!O534)</f>
        <v/>
      </c>
      <c r="T537" s="541" t="str">
        <f>IFERROR(IF(C537="","",IF(INDEX(xyWattage_Table,MATCH(M537,'Fixture Identities'!$B$9:$B$997,0),2)="Exit Sign",8760,IF(VLOOKUP(C537,xySpace_Type_Details,8,FALSE)="TRM",INDEX('General Information'!$AF$17:$AG$28,11,MATCH(N537,'General Information'!$AF$16:$AG$16,0)),HLOOKUP(VLOOKUP(C537,xySpace_Type_Details,8,FALSE),'General Information'!$P$15:$AG$28,13,FALSE)))),"")</f>
        <v/>
      </c>
      <c r="U537" s="542" t="str">
        <f>IFERROR(IF(C537="","",IF(INDEX(xyWattage_Table,MATCH(M537,'Fixture Identities'!$B$9:$B$997,0),2)="Exit Sign",1,IF(VLOOKUP(C537,xySpace_Type_Details,8,FALSE)="TRM",INDEX('General Information'!$AF$17:$AG$28,12,MATCH(N537,'General Information'!$AF$16:$AG$16,0)),HLOOKUP(VLOOKUP(C537,xySpace_Type_Details,8,FALSE),'General Information'!$P$15:$AG$28,14,FALSE)))),"")</f>
        <v/>
      </c>
      <c r="V537" s="542" t="str">
        <f>IFERROR(VLOOKUP(INDEX(xySpace_Type_Details,MATCH($C537,'General Information'!$C$40:$C$60,0),12),Lookups!$L$8:$N$12,2,FALSE),"")</f>
        <v/>
      </c>
      <c r="W537" s="542" t="str">
        <f>IFERROR(VLOOKUP(INDEX(xySpace_Type_Details,MATCH($C537,'General Information'!$C$40:$C$60,0),12),Lookups!$L$8:$N$12,3,FALSE),"")</f>
        <v/>
      </c>
      <c r="Y537" s="542" t="str">
        <f>IFERROR(IF(C537="","",IF(INDEX(xyWattage_Table,MATCH(M537,'Fixture Identities'!$B$9:$B$997,0),2)="Exit Sign",0,IF(PRJ_Type="Retrofit",VLOOKUP(I537,xySVG_Factors,2,FALSE),IF(AND(PRJ_Type="New Construction",Inventory!C534="N"),VLOOKUP(VLOOKUP(Building_Type,xyLPD_BuildingArea,5,FALSE),xySVG_Factors_NC,3,FALSE),0)))),"")</f>
        <v/>
      </c>
      <c r="Z537" s="544" t="str">
        <f>IFERROR(IF(C537="","",IF(INDEX(xyWattage_Table,MATCH(M537,'Fixture Identities'!$B$9:$B$997,0),2)="Exit Sign",0,VLOOKUP(S537,xySVG_Factors,2,FALSE))),"")</f>
        <v/>
      </c>
      <c r="AA537" s="545" t="str">
        <f t="shared" si="197"/>
        <v/>
      </c>
      <c r="AB537" s="542" t="str">
        <f t="shared" si="198"/>
        <v/>
      </c>
      <c r="AC537" s="539" t="str">
        <f t="shared" si="199"/>
        <v/>
      </c>
      <c r="AD537" s="546" t="str">
        <f t="shared" si="200"/>
        <v/>
      </c>
      <c r="AE537" s="539" t="str">
        <f t="shared" si="201"/>
        <v/>
      </c>
      <c r="AF537" s="546" t="str">
        <f t="shared" si="202"/>
        <v/>
      </c>
      <c r="AG537" s="539" t="str">
        <f t="shared" si="203"/>
        <v/>
      </c>
      <c r="AH537" s="32">
        <f t="shared" si="205"/>
        <v>0</v>
      </c>
      <c r="AI537" s="32">
        <f t="shared" si="206"/>
        <v>0</v>
      </c>
      <c r="AJ537" s="32">
        <f t="shared" si="207"/>
        <v>0</v>
      </c>
      <c r="AK537" t="str">
        <f t="shared" si="208"/>
        <v/>
      </c>
      <c r="AL537" t="str">
        <f t="shared" si="209"/>
        <v/>
      </c>
      <c r="AM537" t="str">
        <f t="shared" si="210"/>
        <v/>
      </c>
      <c r="AO537" t="str">
        <f>IFERROR(VLOOKUP(M537,'Fixture Identities'!$B$9:$O$1045,14,FALSE),"")</f>
        <v/>
      </c>
      <c r="AP537" t="str">
        <f t="shared" si="204"/>
        <v/>
      </c>
    </row>
    <row r="538" spans="1:42">
      <c r="A538" s="71">
        <f t="shared" si="212"/>
        <v>0</v>
      </c>
      <c r="B538" s="513">
        <f t="shared" si="211"/>
        <v>526</v>
      </c>
      <c r="C538" s="530" t="str">
        <f>IF(Inventory!E535="","",Inventory!E535)</f>
        <v/>
      </c>
      <c r="D538" s="531">
        <f>IF(Inventory!D535="",0,Inventory!D535)</f>
        <v>0</v>
      </c>
      <c r="E538" s="532" t="str">
        <f>IF(Inventory!I535=0,"",Inventory!I535)</f>
        <v/>
      </c>
      <c r="F538" s="533" t="str">
        <f t="shared" si="191"/>
        <v/>
      </c>
      <c r="G538" s="534" t="str">
        <f>IF(Inventory!G535="","",Inventory!G535)</f>
        <v/>
      </c>
      <c r="H538" s="535" t="str">
        <f t="shared" si="192"/>
        <v/>
      </c>
      <c r="I538" s="536" t="str">
        <f>IF(Inventory!J535="","",Inventory!J535)</f>
        <v/>
      </c>
      <c r="J538" s="537" t="str">
        <f>IFERROR(IF(PRJ_Type="New Construction",IF(Inventory!C535="N",INDEX(xyLPD_BuildingArea,MATCH(Building_Type,Lookups!$F$37:$F$75,0),4),INDEX(xyLPD_SpaceBySpace,MATCH(INDEX(xyNCEx,MATCH(I538,yNCExArea,0),2),ySpace_by_Space_Type,0),2)),VLOOKUP(E538,xyWattage_Table,11,FALSE)),"")</f>
        <v/>
      </c>
      <c r="K538" s="538" t="str">
        <f>IFERROR(IF(AND(NC_Type="Building Area Method",Inventory!C535="N"),IF(ISERROR(INDEX('Usage Groups (&gt;120 MWh only)'!$N$8:$N$12,MATCH(C538,'Usage Groups (&gt;120 MWh only)'!$B$8:$B$12,0),1))=TRUE,SqFt/COUNTIFS(Inventory!$C$10:$C$1009,"N",$Q$13:$Q$1012,"&gt;=0"),INDEX('Usage Groups (&gt;120 MWh only)'!$N$8:$N$12,MATCH(C538,'Usage Groups (&gt;120 MWh only)'!$B$8:$B$12,0),1)/COUNTIF($C$13:$C$1012,C538)),IF(AND(NC_Type="Building Area Method",Inventory!C535="Y"),INDEX(xyNCEx,MATCH(I538,yNCExArea,0),3)/COUNTIF($I$13:$I$1012,I538),VLOOKUP(J538,xyWattage_Table,10,FALSE))),"")</f>
        <v/>
      </c>
      <c r="L538" s="539" t="str">
        <f t="shared" si="193"/>
        <v/>
      </c>
      <c r="M538" s="540">
        <f>IF(Inventory!N535="","",Inventory!N535)</f>
        <v>0</v>
      </c>
      <c r="N538" s="533" t="str">
        <f t="shared" si="194"/>
        <v/>
      </c>
      <c r="O538" s="534"/>
      <c r="P538" s="533" t="str">
        <f t="shared" si="195"/>
        <v/>
      </c>
      <c r="Q538" s="534" t="str">
        <f>IF(Inventory!L535="","",Inventory!L535)</f>
        <v/>
      </c>
      <c r="R538" s="535" t="str">
        <f t="shared" si="196"/>
        <v/>
      </c>
      <c r="S538" s="536" t="str">
        <f>IF(Inventory!O535="","",Inventory!O535)</f>
        <v/>
      </c>
      <c r="T538" s="541" t="str">
        <f>IFERROR(IF(C538="","",IF(INDEX(xyWattage_Table,MATCH(M538,'Fixture Identities'!$B$9:$B$997,0),2)="Exit Sign",8760,IF(VLOOKUP(C538,xySpace_Type_Details,8,FALSE)="TRM",INDEX('General Information'!$AF$17:$AG$28,11,MATCH(N538,'General Information'!$AF$16:$AG$16,0)),HLOOKUP(VLOOKUP(C538,xySpace_Type_Details,8,FALSE),'General Information'!$P$15:$AG$28,13,FALSE)))),"")</f>
        <v/>
      </c>
      <c r="U538" s="542" t="str">
        <f>IFERROR(IF(C538="","",IF(INDEX(xyWattage_Table,MATCH(M538,'Fixture Identities'!$B$9:$B$997,0),2)="Exit Sign",1,IF(VLOOKUP(C538,xySpace_Type_Details,8,FALSE)="TRM",INDEX('General Information'!$AF$17:$AG$28,12,MATCH(N538,'General Information'!$AF$16:$AG$16,0)),HLOOKUP(VLOOKUP(C538,xySpace_Type_Details,8,FALSE),'General Information'!$P$15:$AG$28,14,FALSE)))),"")</f>
        <v/>
      </c>
      <c r="V538" s="542" t="str">
        <f>IFERROR(VLOOKUP(INDEX(xySpace_Type_Details,MATCH($C538,'General Information'!$C$40:$C$60,0),12),Lookups!$L$8:$N$12,2,FALSE),"")</f>
        <v/>
      </c>
      <c r="W538" s="542" t="str">
        <f>IFERROR(VLOOKUP(INDEX(xySpace_Type_Details,MATCH($C538,'General Information'!$C$40:$C$60,0),12),Lookups!$L$8:$N$12,3,FALSE),"")</f>
        <v/>
      </c>
      <c r="Y538" s="542" t="str">
        <f>IFERROR(IF(C538="","",IF(INDEX(xyWattage_Table,MATCH(M538,'Fixture Identities'!$B$9:$B$997,0),2)="Exit Sign",0,IF(PRJ_Type="Retrofit",VLOOKUP(I538,xySVG_Factors,2,FALSE),IF(AND(PRJ_Type="New Construction",Inventory!C535="N"),VLOOKUP(VLOOKUP(Building_Type,xyLPD_BuildingArea,5,FALSE),xySVG_Factors_NC,3,FALSE),0)))),"")</f>
        <v/>
      </c>
      <c r="Z538" s="544" t="str">
        <f>IFERROR(IF(C538="","",IF(INDEX(xyWattage_Table,MATCH(M538,'Fixture Identities'!$B$9:$B$997,0),2)="Exit Sign",0,VLOOKUP(S538,xySVG_Factors,2,FALSE))),"")</f>
        <v/>
      </c>
      <c r="AA538" s="545" t="str">
        <f t="shared" si="197"/>
        <v/>
      </c>
      <c r="AB538" s="542" t="str">
        <f t="shared" si="198"/>
        <v/>
      </c>
      <c r="AC538" s="539" t="str">
        <f t="shared" si="199"/>
        <v/>
      </c>
      <c r="AD538" s="546" t="str">
        <f t="shared" si="200"/>
        <v/>
      </c>
      <c r="AE538" s="539" t="str">
        <f t="shared" si="201"/>
        <v/>
      </c>
      <c r="AF538" s="546" t="str">
        <f t="shared" si="202"/>
        <v/>
      </c>
      <c r="AG538" s="539" t="str">
        <f t="shared" si="203"/>
        <v/>
      </c>
      <c r="AH538" s="32">
        <f t="shared" si="205"/>
        <v>0</v>
      </c>
      <c r="AI538" s="32">
        <f t="shared" si="206"/>
        <v>0</v>
      </c>
      <c r="AJ538" s="32">
        <f t="shared" si="207"/>
        <v>0</v>
      </c>
      <c r="AK538" t="str">
        <f t="shared" si="208"/>
        <v/>
      </c>
      <c r="AL538" t="str">
        <f t="shared" si="209"/>
        <v/>
      </c>
      <c r="AM538" t="str">
        <f t="shared" si="210"/>
        <v/>
      </c>
      <c r="AO538" t="str">
        <f>IFERROR(VLOOKUP(M538,'Fixture Identities'!$B$9:$O$1045,14,FALSE),"")</f>
        <v/>
      </c>
      <c r="AP538" t="str">
        <f t="shared" si="204"/>
        <v/>
      </c>
    </row>
    <row r="539" spans="1:42">
      <c r="A539" s="71">
        <f t="shared" si="212"/>
        <v>0</v>
      </c>
      <c r="B539" s="513">
        <f t="shared" si="211"/>
        <v>527</v>
      </c>
      <c r="C539" s="530" t="str">
        <f>IF(Inventory!E536="","",Inventory!E536)</f>
        <v/>
      </c>
      <c r="D539" s="531">
        <f>IF(Inventory!D536="",0,Inventory!D536)</f>
        <v>0</v>
      </c>
      <c r="E539" s="532" t="str">
        <f>IF(Inventory!I536=0,"",Inventory!I536)</f>
        <v/>
      </c>
      <c r="F539" s="533" t="str">
        <f t="shared" si="191"/>
        <v/>
      </c>
      <c r="G539" s="534" t="str">
        <f>IF(Inventory!G536="","",Inventory!G536)</f>
        <v/>
      </c>
      <c r="H539" s="535" t="str">
        <f t="shared" si="192"/>
        <v/>
      </c>
      <c r="I539" s="536" t="str">
        <f>IF(Inventory!J536="","",Inventory!J536)</f>
        <v/>
      </c>
      <c r="J539" s="537" t="str">
        <f>IFERROR(IF(PRJ_Type="New Construction",IF(Inventory!C536="N",INDEX(xyLPD_BuildingArea,MATCH(Building_Type,Lookups!$F$37:$F$75,0),4),INDEX(xyLPD_SpaceBySpace,MATCH(INDEX(xyNCEx,MATCH(I539,yNCExArea,0),2),ySpace_by_Space_Type,0),2)),VLOOKUP(E539,xyWattage_Table,11,FALSE)),"")</f>
        <v/>
      </c>
      <c r="K539" s="538" t="str">
        <f>IFERROR(IF(AND(NC_Type="Building Area Method",Inventory!C536="N"),IF(ISERROR(INDEX('Usage Groups (&gt;120 MWh only)'!$N$8:$N$12,MATCH(C539,'Usage Groups (&gt;120 MWh only)'!$B$8:$B$12,0),1))=TRUE,SqFt/COUNTIFS(Inventory!$C$10:$C$1009,"N",$Q$13:$Q$1012,"&gt;=0"),INDEX('Usage Groups (&gt;120 MWh only)'!$N$8:$N$12,MATCH(C539,'Usage Groups (&gt;120 MWh only)'!$B$8:$B$12,0),1)/COUNTIF($C$13:$C$1012,C539)),IF(AND(NC_Type="Building Area Method",Inventory!C536="Y"),INDEX(xyNCEx,MATCH(I539,yNCExArea,0),3)/COUNTIF($I$13:$I$1012,I539),VLOOKUP(J539,xyWattage_Table,10,FALSE))),"")</f>
        <v/>
      </c>
      <c r="L539" s="539" t="str">
        <f t="shared" si="193"/>
        <v/>
      </c>
      <c r="M539" s="540">
        <f>IF(Inventory!N536="","",Inventory!N536)</f>
        <v>0</v>
      </c>
      <c r="N539" s="533" t="str">
        <f t="shared" si="194"/>
        <v/>
      </c>
      <c r="O539" s="534"/>
      <c r="P539" s="533" t="str">
        <f t="shared" si="195"/>
        <v/>
      </c>
      <c r="Q539" s="534" t="str">
        <f>IF(Inventory!L536="","",Inventory!L536)</f>
        <v/>
      </c>
      <c r="R539" s="535" t="str">
        <f t="shared" si="196"/>
        <v/>
      </c>
      <c r="S539" s="536" t="str">
        <f>IF(Inventory!O536="","",Inventory!O536)</f>
        <v/>
      </c>
      <c r="T539" s="541" t="str">
        <f>IFERROR(IF(C539="","",IF(INDEX(xyWattage_Table,MATCH(M539,'Fixture Identities'!$B$9:$B$997,0),2)="Exit Sign",8760,IF(VLOOKUP(C539,xySpace_Type_Details,8,FALSE)="TRM",INDEX('General Information'!$AF$17:$AG$28,11,MATCH(N539,'General Information'!$AF$16:$AG$16,0)),HLOOKUP(VLOOKUP(C539,xySpace_Type_Details,8,FALSE),'General Information'!$P$15:$AG$28,13,FALSE)))),"")</f>
        <v/>
      </c>
      <c r="U539" s="542" t="str">
        <f>IFERROR(IF(C539="","",IF(INDEX(xyWattage_Table,MATCH(M539,'Fixture Identities'!$B$9:$B$997,0),2)="Exit Sign",1,IF(VLOOKUP(C539,xySpace_Type_Details,8,FALSE)="TRM",INDEX('General Information'!$AF$17:$AG$28,12,MATCH(N539,'General Information'!$AF$16:$AG$16,0)),HLOOKUP(VLOOKUP(C539,xySpace_Type_Details,8,FALSE),'General Information'!$P$15:$AG$28,14,FALSE)))),"")</f>
        <v/>
      </c>
      <c r="V539" s="542" t="str">
        <f>IFERROR(VLOOKUP(INDEX(xySpace_Type_Details,MATCH($C539,'General Information'!$C$40:$C$60,0),12),Lookups!$L$8:$N$12,2,FALSE),"")</f>
        <v/>
      </c>
      <c r="W539" s="542" t="str">
        <f>IFERROR(VLOOKUP(INDEX(xySpace_Type_Details,MATCH($C539,'General Information'!$C$40:$C$60,0),12),Lookups!$L$8:$N$12,3,FALSE),"")</f>
        <v/>
      </c>
      <c r="Y539" s="542" t="str">
        <f>IFERROR(IF(C539="","",IF(INDEX(xyWattage_Table,MATCH(M539,'Fixture Identities'!$B$9:$B$997,0),2)="Exit Sign",0,IF(PRJ_Type="Retrofit",VLOOKUP(I539,xySVG_Factors,2,FALSE),IF(AND(PRJ_Type="New Construction",Inventory!C536="N"),VLOOKUP(VLOOKUP(Building_Type,xyLPD_BuildingArea,5,FALSE),xySVG_Factors_NC,3,FALSE),0)))),"")</f>
        <v/>
      </c>
      <c r="Z539" s="544" t="str">
        <f>IFERROR(IF(C539="","",IF(INDEX(xyWattage_Table,MATCH(M539,'Fixture Identities'!$B$9:$B$997,0),2)="Exit Sign",0,VLOOKUP(S539,xySVG_Factors,2,FALSE))),"")</f>
        <v/>
      </c>
      <c r="AA539" s="545" t="str">
        <f t="shared" si="197"/>
        <v/>
      </c>
      <c r="AB539" s="542" t="str">
        <f t="shared" si="198"/>
        <v/>
      </c>
      <c r="AC539" s="539" t="str">
        <f t="shared" si="199"/>
        <v/>
      </c>
      <c r="AD539" s="546" t="str">
        <f t="shared" si="200"/>
        <v/>
      </c>
      <c r="AE539" s="539" t="str">
        <f t="shared" si="201"/>
        <v/>
      </c>
      <c r="AF539" s="546" t="str">
        <f t="shared" si="202"/>
        <v/>
      </c>
      <c r="AG539" s="539" t="str">
        <f t="shared" si="203"/>
        <v/>
      </c>
      <c r="AH539" s="32">
        <f t="shared" si="205"/>
        <v>0</v>
      </c>
      <c r="AI539" s="32">
        <f t="shared" si="206"/>
        <v>0</v>
      </c>
      <c r="AJ539" s="32">
        <f t="shared" si="207"/>
        <v>0</v>
      </c>
      <c r="AK539" t="str">
        <f t="shared" si="208"/>
        <v/>
      </c>
      <c r="AL539" t="str">
        <f t="shared" si="209"/>
        <v/>
      </c>
      <c r="AM539" t="str">
        <f t="shared" si="210"/>
        <v/>
      </c>
      <c r="AO539" t="str">
        <f>IFERROR(VLOOKUP(M539,'Fixture Identities'!$B$9:$O$1045,14,FALSE),"")</f>
        <v/>
      </c>
      <c r="AP539" t="str">
        <f t="shared" si="204"/>
        <v/>
      </c>
    </row>
    <row r="540" spans="1:42">
      <c r="A540" s="71">
        <f t="shared" si="212"/>
        <v>0</v>
      </c>
      <c r="B540" s="513">
        <f t="shared" si="211"/>
        <v>528</v>
      </c>
      <c r="C540" s="530" t="str">
        <f>IF(Inventory!E537="","",Inventory!E537)</f>
        <v/>
      </c>
      <c r="D540" s="531">
        <f>IF(Inventory!D537="",0,Inventory!D537)</f>
        <v>0</v>
      </c>
      <c r="E540" s="532" t="str">
        <f>IF(Inventory!I537=0,"",Inventory!I537)</f>
        <v/>
      </c>
      <c r="F540" s="533" t="str">
        <f t="shared" si="191"/>
        <v/>
      </c>
      <c r="G540" s="534" t="str">
        <f>IF(Inventory!G537="","",Inventory!G537)</f>
        <v/>
      </c>
      <c r="H540" s="535" t="str">
        <f t="shared" si="192"/>
        <v/>
      </c>
      <c r="I540" s="536" t="str">
        <f>IF(Inventory!J537="","",Inventory!J537)</f>
        <v/>
      </c>
      <c r="J540" s="537" t="str">
        <f>IFERROR(IF(PRJ_Type="New Construction",IF(Inventory!C537="N",INDEX(xyLPD_BuildingArea,MATCH(Building_Type,Lookups!$F$37:$F$75,0),4),INDEX(xyLPD_SpaceBySpace,MATCH(INDEX(xyNCEx,MATCH(I540,yNCExArea,0),2),ySpace_by_Space_Type,0),2)),VLOOKUP(E540,xyWattage_Table,11,FALSE)),"")</f>
        <v/>
      </c>
      <c r="K540" s="538" t="str">
        <f>IFERROR(IF(AND(NC_Type="Building Area Method",Inventory!C537="N"),IF(ISERROR(INDEX('Usage Groups (&gt;120 MWh only)'!$N$8:$N$12,MATCH(C540,'Usage Groups (&gt;120 MWh only)'!$B$8:$B$12,0),1))=TRUE,SqFt/COUNTIFS(Inventory!$C$10:$C$1009,"N",$Q$13:$Q$1012,"&gt;=0"),INDEX('Usage Groups (&gt;120 MWh only)'!$N$8:$N$12,MATCH(C540,'Usage Groups (&gt;120 MWh only)'!$B$8:$B$12,0),1)/COUNTIF($C$13:$C$1012,C540)),IF(AND(NC_Type="Building Area Method",Inventory!C537="Y"),INDEX(xyNCEx,MATCH(I540,yNCExArea,0),3)/COUNTIF($I$13:$I$1012,I540),VLOOKUP(J540,xyWattage_Table,10,FALSE))),"")</f>
        <v/>
      </c>
      <c r="L540" s="539" t="str">
        <f t="shared" si="193"/>
        <v/>
      </c>
      <c r="M540" s="540">
        <f>IF(Inventory!N537="","",Inventory!N537)</f>
        <v>0</v>
      </c>
      <c r="N540" s="533" t="str">
        <f t="shared" si="194"/>
        <v/>
      </c>
      <c r="O540" s="534"/>
      <c r="P540" s="533" t="str">
        <f t="shared" si="195"/>
        <v/>
      </c>
      <c r="Q540" s="534" t="str">
        <f>IF(Inventory!L537="","",Inventory!L537)</f>
        <v/>
      </c>
      <c r="R540" s="535" t="str">
        <f t="shared" si="196"/>
        <v/>
      </c>
      <c r="S540" s="536" t="str">
        <f>IF(Inventory!O537="","",Inventory!O537)</f>
        <v/>
      </c>
      <c r="T540" s="541" t="str">
        <f>IFERROR(IF(C540="","",IF(INDEX(xyWattage_Table,MATCH(M540,'Fixture Identities'!$B$9:$B$997,0),2)="Exit Sign",8760,IF(VLOOKUP(C540,xySpace_Type_Details,8,FALSE)="TRM",INDEX('General Information'!$AF$17:$AG$28,11,MATCH(N540,'General Information'!$AF$16:$AG$16,0)),HLOOKUP(VLOOKUP(C540,xySpace_Type_Details,8,FALSE),'General Information'!$P$15:$AG$28,13,FALSE)))),"")</f>
        <v/>
      </c>
      <c r="U540" s="542" t="str">
        <f>IFERROR(IF(C540="","",IF(INDEX(xyWattage_Table,MATCH(M540,'Fixture Identities'!$B$9:$B$997,0),2)="Exit Sign",1,IF(VLOOKUP(C540,xySpace_Type_Details,8,FALSE)="TRM",INDEX('General Information'!$AF$17:$AG$28,12,MATCH(N540,'General Information'!$AF$16:$AG$16,0)),HLOOKUP(VLOOKUP(C540,xySpace_Type_Details,8,FALSE),'General Information'!$P$15:$AG$28,14,FALSE)))),"")</f>
        <v/>
      </c>
      <c r="V540" s="542" t="str">
        <f>IFERROR(VLOOKUP(INDEX(xySpace_Type_Details,MATCH($C540,'General Information'!$C$40:$C$60,0),12),Lookups!$L$8:$N$12,2,FALSE),"")</f>
        <v/>
      </c>
      <c r="W540" s="542" t="str">
        <f>IFERROR(VLOOKUP(INDEX(xySpace_Type_Details,MATCH($C540,'General Information'!$C$40:$C$60,0),12),Lookups!$L$8:$N$12,3,FALSE),"")</f>
        <v/>
      </c>
      <c r="Y540" s="542" t="str">
        <f>IFERROR(IF(C540="","",IF(INDEX(xyWattage_Table,MATCH(M540,'Fixture Identities'!$B$9:$B$997,0),2)="Exit Sign",0,IF(PRJ_Type="Retrofit",VLOOKUP(I540,xySVG_Factors,2,FALSE),IF(AND(PRJ_Type="New Construction",Inventory!C537="N"),VLOOKUP(VLOOKUP(Building_Type,xyLPD_BuildingArea,5,FALSE),xySVG_Factors_NC,3,FALSE),0)))),"")</f>
        <v/>
      </c>
      <c r="Z540" s="544" t="str">
        <f>IFERROR(IF(C540="","",IF(INDEX(xyWattage_Table,MATCH(M540,'Fixture Identities'!$B$9:$B$997,0),2)="Exit Sign",0,VLOOKUP(S540,xySVG_Factors,2,FALSE))),"")</f>
        <v/>
      </c>
      <c r="AA540" s="545" t="str">
        <f t="shared" si="197"/>
        <v/>
      </c>
      <c r="AB540" s="542" t="str">
        <f t="shared" si="198"/>
        <v/>
      </c>
      <c r="AC540" s="539" t="str">
        <f t="shared" si="199"/>
        <v/>
      </c>
      <c r="AD540" s="546" t="str">
        <f t="shared" si="200"/>
        <v/>
      </c>
      <c r="AE540" s="539" t="str">
        <f t="shared" si="201"/>
        <v/>
      </c>
      <c r="AF540" s="546" t="str">
        <f t="shared" si="202"/>
        <v/>
      </c>
      <c r="AG540" s="539" t="str">
        <f t="shared" si="203"/>
        <v/>
      </c>
      <c r="AH540" s="32">
        <f t="shared" si="205"/>
        <v>0</v>
      </c>
      <c r="AI540" s="32">
        <f t="shared" si="206"/>
        <v>0</v>
      </c>
      <c r="AJ540" s="32">
        <f t="shared" si="207"/>
        <v>0</v>
      </c>
      <c r="AK540" t="str">
        <f t="shared" si="208"/>
        <v/>
      </c>
      <c r="AL540" t="str">
        <f t="shared" si="209"/>
        <v/>
      </c>
      <c r="AM540" t="str">
        <f t="shared" si="210"/>
        <v/>
      </c>
      <c r="AO540" t="str">
        <f>IFERROR(VLOOKUP(M540,'Fixture Identities'!$B$9:$O$1045,14,FALSE),"")</f>
        <v/>
      </c>
      <c r="AP540" t="str">
        <f t="shared" si="204"/>
        <v/>
      </c>
    </row>
    <row r="541" spans="1:42">
      <c r="A541" s="71">
        <f t="shared" si="212"/>
        <v>0</v>
      </c>
      <c r="B541" s="513">
        <f t="shared" si="211"/>
        <v>529</v>
      </c>
      <c r="C541" s="530" t="str">
        <f>IF(Inventory!E538="","",Inventory!E538)</f>
        <v/>
      </c>
      <c r="D541" s="531">
        <f>IF(Inventory!D538="",0,Inventory!D538)</f>
        <v>0</v>
      </c>
      <c r="E541" s="532" t="str">
        <f>IF(Inventory!I538=0,"",Inventory!I538)</f>
        <v/>
      </c>
      <c r="F541" s="533" t="str">
        <f t="shared" si="191"/>
        <v/>
      </c>
      <c r="G541" s="534" t="str">
        <f>IF(Inventory!G538="","",Inventory!G538)</f>
        <v/>
      </c>
      <c r="H541" s="535" t="str">
        <f t="shared" si="192"/>
        <v/>
      </c>
      <c r="I541" s="536" t="str">
        <f>IF(Inventory!J538="","",Inventory!J538)</f>
        <v/>
      </c>
      <c r="J541" s="537" t="str">
        <f>IFERROR(IF(PRJ_Type="New Construction",IF(Inventory!C538="N",INDEX(xyLPD_BuildingArea,MATCH(Building_Type,Lookups!$F$37:$F$75,0),4),INDEX(xyLPD_SpaceBySpace,MATCH(INDEX(xyNCEx,MATCH(I541,yNCExArea,0),2),ySpace_by_Space_Type,0),2)),VLOOKUP(E541,xyWattage_Table,11,FALSE)),"")</f>
        <v/>
      </c>
      <c r="K541" s="538" t="str">
        <f>IFERROR(IF(AND(NC_Type="Building Area Method",Inventory!C538="N"),IF(ISERROR(INDEX('Usage Groups (&gt;120 MWh only)'!$N$8:$N$12,MATCH(C541,'Usage Groups (&gt;120 MWh only)'!$B$8:$B$12,0),1))=TRUE,SqFt/COUNTIFS(Inventory!$C$10:$C$1009,"N",$Q$13:$Q$1012,"&gt;=0"),INDEX('Usage Groups (&gt;120 MWh only)'!$N$8:$N$12,MATCH(C541,'Usage Groups (&gt;120 MWh only)'!$B$8:$B$12,0),1)/COUNTIF($C$13:$C$1012,C541)),IF(AND(NC_Type="Building Area Method",Inventory!C538="Y"),INDEX(xyNCEx,MATCH(I541,yNCExArea,0),3)/COUNTIF($I$13:$I$1012,I541),VLOOKUP(J541,xyWattage_Table,10,FALSE))),"")</f>
        <v/>
      </c>
      <c r="L541" s="539" t="str">
        <f t="shared" si="193"/>
        <v/>
      </c>
      <c r="M541" s="540">
        <f>IF(Inventory!N538="","",Inventory!N538)</f>
        <v>0</v>
      </c>
      <c r="N541" s="533" t="str">
        <f t="shared" si="194"/>
        <v/>
      </c>
      <c r="O541" s="534"/>
      <c r="P541" s="533" t="str">
        <f t="shared" si="195"/>
        <v/>
      </c>
      <c r="Q541" s="534" t="str">
        <f>IF(Inventory!L538="","",Inventory!L538)</f>
        <v/>
      </c>
      <c r="R541" s="535" t="str">
        <f t="shared" si="196"/>
        <v/>
      </c>
      <c r="S541" s="536" t="str">
        <f>IF(Inventory!O538="","",Inventory!O538)</f>
        <v/>
      </c>
      <c r="T541" s="541" t="str">
        <f>IFERROR(IF(C541="","",IF(INDEX(xyWattage_Table,MATCH(M541,'Fixture Identities'!$B$9:$B$997,0),2)="Exit Sign",8760,IF(VLOOKUP(C541,xySpace_Type_Details,8,FALSE)="TRM",INDEX('General Information'!$AF$17:$AG$28,11,MATCH(N541,'General Information'!$AF$16:$AG$16,0)),HLOOKUP(VLOOKUP(C541,xySpace_Type_Details,8,FALSE),'General Information'!$P$15:$AG$28,13,FALSE)))),"")</f>
        <v/>
      </c>
      <c r="U541" s="542" t="str">
        <f>IFERROR(IF(C541="","",IF(INDEX(xyWattage_Table,MATCH(M541,'Fixture Identities'!$B$9:$B$997,0),2)="Exit Sign",1,IF(VLOOKUP(C541,xySpace_Type_Details,8,FALSE)="TRM",INDEX('General Information'!$AF$17:$AG$28,12,MATCH(N541,'General Information'!$AF$16:$AG$16,0)),HLOOKUP(VLOOKUP(C541,xySpace_Type_Details,8,FALSE),'General Information'!$P$15:$AG$28,14,FALSE)))),"")</f>
        <v/>
      </c>
      <c r="V541" s="542" t="str">
        <f>IFERROR(VLOOKUP(INDEX(xySpace_Type_Details,MATCH($C541,'General Information'!$C$40:$C$60,0),12),Lookups!$L$8:$N$12,2,FALSE),"")</f>
        <v/>
      </c>
      <c r="W541" s="542" t="str">
        <f>IFERROR(VLOOKUP(INDEX(xySpace_Type_Details,MATCH($C541,'General Information'!$C$40:$C$60,0),12),Lookups!$L$8:$N$12,3,FALSE),"")</f>
        <v/>
      </c>
      <c r="Y541" s="542" t="str">
        <f>IFERROR(IF(C541="","",IF(INDEX(xyWattage_Table,MATCH(M541,'Fixture Identities'!$B$9:$B$997,0),2)="Exit Sign",0,IF(PRJ_Type="Retrofit",VLOOKUP(I541,xySVG_Factors,2,FALSE),IF(AND(PRJ_Type="New Construction",Inventory!C538="N"),VLOOKUP(VLOOKUP(Building_Type,xyLPD_BuildingArea,5,FALSE),xySVG_Factors_NC,3,FALSE),0)))),"")</f>
        <v/>
      </c>
      <c r="Z541" s="544" t="str">
        <f>IFERROR(IF(C541="","",IF(INDEX(xyWattage_Table,MATCH(M541,'Fixture Identities'!$B$9:$B$997,0),2)="Exit Sign",0,VLOOKUP(S541,xySVG_Factors,2,FALSE))),"")</f>
        <v/>
      </c>
      <c r="AA541" s="545" t="str">
        <f t="shared" si="197"/>
        <v/>
      </c>
      <c r="AB541" s="542" t="str">
        <f t="shared" si="198"/>
        <v/>
      </c>
      <c r="AC541" s="539" t="str">
        <f t="shared" si="199"/>
        <v/>
      </c>
      <c r="AD541" s="546" t="str">
        <f t="shared" si="200"/>
        <v/>
      </c>
      <c r="AE541" s="539" t="str">
        <f t="shared" si="201"/>
        <v/>
      </c>
      <c r="AF541" s="546" t="str">
        <f t="shared" si="202"/>
        <v/>
      </c>
      <c r="AG541" s="539" t="str">
        <f t="shared" si="203"/>
        <v/>
      </c>
      <c r="AH541" s="32">
        <f t="shared" si="205"/>
        <v>0</v>
      </c>
      <c r="AI541" s="32">
        <f t="shared" si="206"/>
        <v>0</v>
      </c>
      <c r="AJ541" s="32">
        <f t="shared" si="207"/>
        <v>0</v>
      </c>
      <c r="AK541" t="str">
        <f t="shared" si="208"/>
        <v/>
      </c>
      <c r="AL541" t="str">
        <f t="shared" si="209"/>
        <v/>
      </c>
      <c r="AM541" t="str">
        <f t="shared" si="210"/>
        <v/>
      </c>
      <c r="AO541" t="str">
        <f>IFERROR(VLOOKUP(M541,'Fixture Identities'!$B$9:$O$1045,14,FALSE),"")</f>
        <v/>
      </c>
      <c r="AP541" t="str">
        <f t="shared" si="204"/>
        <v/>
      </c>
    </row>
    <row r="542" spans="1:42">
      <c r="A542" s="71">
        <f t="shared" si="212"/>
        <v>0</v>
      </c>
      <c r="B542" s="513">
        <f t="shared" si="211"/>
        <v>530</v>
      </c>
      <c r="C542" s="530" t="str">
        <f>IF(Inventory!E539="","",Inventory!E539)</f>
        <v/>
      </c>
      <c r="D542" s="531">
        <f>IF(Inventory!D539="",0,Inventory!D539)</f>
        <v>0</v>
      </c>
      <c r="E542" s="532" t="str">
        <f>IF(Inventory!I539=0,"",Inventory!I539)</f>
        <v/>
      </c>
      <c r="F542" s="533" t="str">
        <f t="shared" si="191"/>
        <v/>
      </c>
      <c r="G542" s="534" t="str">
        <f>IF(Inventory!G539="","",Inventory!G539)</f>
        <v/>
      </c>
      <c r="H542" s="535" t="str">
        <f t="shared" si="192"/>
        <v/>
      </c>
      <c r="I542" s="536" t="str">
        <f>IF(Inventory!J539="","",Inventory!J539)</f>
        <v/>
      </c>
      <c r="J542" s="537" t="str">
        <f>IFERROR(IF(PRJ_Type="New Construction",IF(Inventory!C539="N",INDEX(xyLPD_BuildingArea,MATCH(Building_Type,Lookups!$F$37:$F$75,0),4),INDEX(xyLPD_SpaceBySpace,MATCH(INDEX(xyNCEx,MATCH(I542,yNCExArea,0),2),ySpace_by_Space_Type,0),2)),VLOOKUP(E542,xyWattage_Table,11,FALSE)),"")</f>
        <v/>
      </c>
      <c r="K542" s="538" t="str">
        <f>IFERROR(IF(AND(NC_Type="Building Area Method",Inventory!C539="N"),IF(ISERROR(INDEX('Usage Groups (&gt;120 MWh only)'!$N$8:$N$12,MATCH(C542,'Usage Groups (&gt;120 MWh only)'!$B$8:$B$12,0),1))=TRUE,SqFt/COUNTIFS(Inventory!$C$10:$C$1009,"N",$Q$13:$Q$1012,"&gt;=0"),INDEX('Usage Groups (&gt;120 MWh only)'!$N$8:$N$12,MATCH(C542,'Usage Groups (&gt;120 MWh only)'!$B$8:$B$12,0),1)/COUNTIF($C$13:$C$1012,C542)),IF(AND(NC_Type="Building Area Method",Inventory!C539="Y"),INDEX(xyNCEx,MATCH(I542,yNCExArea,0),3)/COUNTIF($I$13:$I$1012,I542),VLOOKUP(J542,xyWattage_Table,10,FALSE))),"")</f>
        <v/>
      </c>
      <c r="L542" s="539" t="str">
        <f t="shared" si="193"/>
        <v/>
      </c>
      <c r="M542" s="540">
        <f>IF(Inventory!N539="","",Inventory!N539)</f>
        <v>0</v>
      </c>
      <c r="N542" s="533" t="str">
        <f t="shared" si="194"/>
        <v/>
      </c>
      <c r="O542" s="534"/>
      <c r="P542" s="533" t="str">
        <f t="shared" si="195"/>
        <v/>
      </c>
      <c r="Q542" s="534" t="str">
        <f>IF(Inventory!L539="","",Inventory!L539)</f>
        <v/>
      </c>
      <c r="R542" s="535" t="str">
        <f t="shared" si="196"/>
        <v/>
      </c>
      <c r="S542" s="536" t="str">
        <f>IF(Inventory!O539="","",Inventory!O539)</f>
        <v/>
      </c>
      <c r="T542" s="541" t="str">
        <f>IFERROR(IF(C542="","",IF(INDEX(xyWattage_Table,MATCH(M542,'Fixture Identities'!$B$9:$B$997,0),2)="Exit Sign",8760,IF(VLOOKUP(C542,xySpace_Type_Details,8,FALSE)="TRM",INDEX('General Information'!$AF$17:$AG$28,11,MATCH(N542,'General Information'!$AF$16:$AG$16,0)),HLOOKUP(VLOOKUP(C542,xySpace_Type_Details,8,FALSE),'General Information'!$P$15:$AG$28,13,FALSE)))),"")</f>
        <v/>
      </c>
      <c r="U542" s="542" t="str">
        <f>IFERROR(IF(C542="","",IF(INDEX(xyWattage_Table,MATCH(M542,'Fixture Identities'!$B$9:$B$997,0),2)="Exit Sign",1,IF(VLOOKUP(C542,xySpace_Type_Details,8,FALSE)="TRM",INDEX('General Information'!$AF$17:$AG$28,12,MATCH(N542,'General Information'!$AF$16:$AG$16,0)),HLOOKUP(VLOOKUP(C542,xySpace_Type_Details,8,FALSE),'General Information'!$P$15:$AG$28,14,FALSE)))),"")</f>
        <v/>
      </c>
      <c r="V542" s="542" t="str">
        <f>IFERROR(VLOOKUP(INDEX(xySpace_Type_Details,MATCH($C542,'General Information'!$C$40:$C$60,0),12),Lookups!$L$8:$N$12,2,FALSE),"")</f>
        <v/>
      </c>
      <c r="W542" s="542" t="str">
        <f>IFERROR(VLOOKUP(INDEX(xySpace_Type_Details,MATCH($C542,'General Information'!$C$40:$C$60,0),12),Lookups!$L$8:$N$12,3,FALSE),"")</f>
        <v/>
      </c>
      <c r="Y542" s="542" t="str">
        <f>IFERROR(IF(C542="","",IF(INDEX(xyWattage_Table,MATCH(M542,'Fixture Identities'!$B$9:$B$997,0),2)="Exit Sign",0,IF(PRJ_Type="Retrofit",VLOOKUP(I542,xySVG_Factors,2,FALSE),IF(AND(PRJ_Type="New Construction",Inventory!C539="N"),VLOOKUP(VLOOKUP(Building_Type,xyLPD_BuildingArea,5,FALSE),xySVG_Factors_NC,3,FALSE),0)))),"")</f>
        <v/>
      </c>
      <c r="Z542" s="544" t="str">
        <f>IFERROR(IF(C542="","",IF(INDEX(xyWattage_Table,MATCH(M542,'Fixture Identities'!$B$9:$B$997,0),2)="Exit Sign",0,VLOOKUP(S542,xySVG_Factors,2,FALSE))),"")</f>
        <v/>
      </c>
      <c r="AA542" s="545" t="str">
        <f t="shared" si="197"/>
        <v/>
      </c>
      <c r="AB542" s="542" t="str">
        <f t="shared" si="198"/>
        <v/>
      </c>
      <c r="AC542" s="539" t="str">
        <f t="shared" si="199"/>
        <v/>
      </c>
      <c r="AD542" s="546" t="str">
        <f t="shared" si="200"/>
        <v/>
      </c>
      <c r="AE542" s="539" t="str">
        <f t="shared" si="201"/>
        <v/>
      </c>
      <c r="AF542" s="546" t="str">
        <f t="shared" si="202"/>
        <v/>
      </c>
      <c r="AG542" s="539" t="str">
        <f t="shared" si="203"/>
        <v/>
      </c>
      <c r="AH542" s="32">
        <f t="shared" si="205"/>
        <v>0</v>
      </c>
      <c r="AI542" s="32">
        <f t="shared" si="206"/>
        <v>0</v>
      </c>
      <c r="AJ542" s="32">
        <f t="shared" si="207"/>
        <v>0</v>
      </c>
      <c r="AK542" t="str">
        <f t="shared" si="208"/>
        <v/>
      </c>
      <c r="AL542" t="str">
        <f t="shared" si="209"/>
        <v/>
      </c>
      <c r="AM542" t="str">
        <f t="shared" si="210"/>
        <v/>
      </c>
      <c r="AO542" t="str">
        <f>IFERROR(VLOOKUP(M542,'Fixture Identities'!$B$9:$O$1045,14,FALSE),"")</f>
        <v/>
      </c>
      <c r="AP542" t="str">
        <f t="shared" si="204"/>
        <v/>
      </c>
    </row>
    <row r="543" spans="1:42">
      <c r="A543" s="71">
        <f t="shared" si="212"/>
        <v>0</v>
      </c>
      <c r="B543" s="513">
        <f t="shared" si="211"/>
        <v>531</v>
      </c>
      <c r="C543" s="530" t="str">
        <f>IF(Inventory!E540="","",Inventory!E540)</f>
        <v/>
      </c>
      <c r="D543" s="531">
        <f>IF(Inventory!D540="",0,Inventory!D540)</f>
        <v>0</v>
      </c>
      <c r="E543" s="532" t="str">
        <f>IF(Inventory!I540=0,"",Inventory!I540)</f>
        <v/>
      </c>
      <c r="F543" s="533" t="str">
        <f t="shared" si="191"/>
        <v/>
      </c>
      <c r="G543" s="534" t="str">
        <f>IF(Inventory!G540="","",Inventory!G540)</f>
        <v/>
      </c>
      <c r="H543" s="535" t="str">
        <f t="shared" si="192"/>
        <v/>
      </c>
      <c r="I543" s="536" t="str">
        <f>IF(Inventory!J540="","",Inventory!J540)</f>
        <v/>
      </c>
      <c r="J543" s="537" t="str">
        <f>IFERROR(IF(PRJ_Type="New Construction",IF(Inventory!C540="N",INDEX(xyLPD_BuildingArea,MATCH(Building_Type,Lookups!$F$37:$F$75,0),4),INDEX(xyLPD_SpaceBySpace,MATCH(INDEX(xyNCEx,MATCH(I543,yNCExArea,0),2),ySpace_by_Space_Type,0),2)),VLOOKUP(E543,xyWattage_Table,11,FALSE)),"")</f>
        <v/>
      </c>
      <c r="K543" s="538" t="str">
        <f>IFERROR(IF(AND(NC_Type="Building Area Method",Inventory!C540="N"),IF(ISERROR(INDEX('Usage Groups (&gt;120 MWh only)'!$N$8:$N$12,MATCH(C543,'Usage Groups (&gt;120 MWh only)'!$B$8:$B$12,0),1))=TRUE,SqFt/COUNTIFS(Inventory!$C$10:$C$1009,"N",$Q$13:$Q$1012,"&gt;=0"),INDEX('Usage Groups (&gt;120 MWh only)'!$N$8:$N$12,MATCH(C543,'Usage Groups (&gt;120 MWh only)'!$B$8:$B$12,0),1)/COUNTIF($C$13:$C$1012,C543)),IF(AND(NC_Type="Building Area Method",Inventory!C540="Y"),INDEX(xyNCEx,MATCH(I543,yNCExArea,0),3)/COUNTIF($I$13:$I$1012,I543),VLOOKUP(J543,xyWattage_Table,10,FALSE))),"")</f>
        <v/>
      </c>
      <c r="L543" s="539" t="str">
        <f t="shared" si="193"/>
        <v/>
      </c>
      <c r="M543" s="540">
        <f>IF(Inventory!N540="","",Inventory!N540)</f>
        <v>0</v>
      </c>
      <c r="N543" s="533" t="str">
        <f t="shared" si="194"/>
        <v/>
      </c>
      <c r="O543" s="534"/>
      <c r="P543" s="533" t="str">
        <f t="shared" si="195"/>
        <v/>
      </c>
      <c r="Q543" s="534" t="str">
        <f>IF(Inventory!L540="","",Inventory!L540)</f>
        <v/>
      </c>
      <c r="R543" s="535" t="str">
        <f t="shared" si="196"/>
        <v/>
      </c>
      <c r="S543" s="536" t="str">
        <f>IF(Inventory!O540="","",Inventory!O540)</f>
        <v/>
      </c>
      <c r="T543" s="541" t="str">
        <f>IFERROR(IF(C543="","",IF(INDEX(xyWattage_Table,MATCH(M543,'Fixture Identities'!$B$9:$B$997,0),2)="Exit Sign",8760,IF(VLOOKUP(C543,xySpace_Type_Details,8,FALSE)="TRM",INDEX('General Information'!$AF$17:$AG$28,11,MATCH(N543,'General Information'!$AF$16:$AG$16,0)),HLOOKUP(VLOOKUP(C543,xySpace_Type_Details,8,FALSE),'General Information'!$P$15:$AG$28,13,FALSE)))),"")</f>
        <v/>
      </c>
      <c r="U543" s="542" t="str">
        <f>IFERROR(IF(C543="","",IF(INDEX(xyWattage_Table,MATCH(M543,'Fixture Identities'!$B$9:$B$997,0),2)="Exit Sign",1,IF(VLOOKUP(C543,xySpace_Type_Details,8,FALSE)="TRM",INDEX('General Information'!$AF$17:$AG$28,12,MATCH(N543,'General Information'!$AF$16:$AG$16,0)),HLOOKUP(VLOOKUP(C543,xySpace_Type_Details,8,FALSE),'General Information'!$P$15:$AG$28,14,FALSE)))),"")</f>
        <v/>
      </c>
      <c r="V543" s="542" t="str">
        <f>IFERROR(VLOOKUP(INDEX(xySpace_Type_Details,MATCH($C543,'General Information'!$C$40:$C$60,0),12),Lookups!$L$8:$N$12,2,FALSE),"")</f>
        <v/>
      </c>
      <c r="W543" s="542" t="str">
        <f>IFERROR(VLOOKUP(INDEX(xySpace_Type_Details,MATCH($C543,'General Information'!$C$40:$C$60,0),12),Lookups!$L$8:$N$12,3,FALSE),"")</f>
        <v/>
      </c>
      <c r="Y543" s="542" t="str">
        <f>IFERROR(IF(C543="","",IF(INDEX(xyWattage_Table,MATCH(M543,'Fixture Identities'!$B$9:$B$997,0),2)="Exit Sign",0,IF(PRJ_Type="Retrofit",VLOOKUP(I543,xySVG_Factors,2,FALSE),IF(AND(PRJ_Type="New Construction",Inventory!C540="N"),VLOOKUP(VLOOKUP(Building_Type,xyLPD_BuildingArea,5,FALSE),xySVG_Factors_NC,3,FALSE),0)))),"")</f>
        <v/>
      </c>
      <c r="Z543" s="544" t="str">
        <f>IFERROR(IF(C543="","",IF(INDEX(xyWattage_Table,MATCH(M543,'Fixture Identities'!$B$9:$B$997,0),2)="Exit Sign",0,VLOOKUP(S543,xySVG_Factors,2,FALSE))),"")</f>
        <v/>
      </c>
      <c r="AA543" s="545" t="str">
        <f t="shared" si="197"/>
        <v/>
      </c>
      <c r="AB543" s="542" t="str">
        <f t="shared" si="198"/>
        <v/>
      </c>
      <c r="AC543" s="539" t="str">
        <f t="shared" si="199"/>
        <v/>
      </c>
      <c r="AD543" s="546" t="str">
        <f t="shared" si="200"/>
        <v/>
      </c>
      <c r="AE543" s="539" t="str">
        <f t="shared" si="201"/>
        <v/>
      </c>
      <c r="AF543" s="546" t="str">
        <f t="shared" si="202"/>
        <v/>
      </c>
      <c r="AG543" s="539" t="str">
        <f t="shared" si="203"/>
        <v/>
      </c>
      <c r="AH543" s="32">
        <f t="shared" si="205"/>
        <v>0</v>
      </c>
      <c r="AI543" s="32">
        <f t="shared" si="206"/>
        <v>0</v>
      </c>
      <c r="AJ543" s="32">
        <f t="shared" si="207"/>
        <v>0</v>
      </c>
      <c r="AK543" t="str">
        <f t="shared" si="208"/>
        <v/>
      </c>
      <c r="AL543" t="str">
        <f t="shared" si="209"/>
        <v/>
      </c>
      <c r="AM543" t="str">
        <f t="shared" si="210"/>
        <v/>
      </c>
      <c r="AO543" t="str">
        <f>IFERROR(VLOOKUP(M543,'Fixture Identities'!$B$9:$O$1045,14,FALSE),"")</f>
        <v/>
      </c>
      <c r="AP543" t="str">
        <f t="shared" si="204"/>
        <v/>
      </c>
    </row>
    <row r="544" spans="1:42">
      <c r="A544" s="71">
        <f t="shared" si="212"/>
        <v>0</v>
      </c>
      <c r="B544" s="513">
        <f t="shared" si="211"/>
        <v>532</v>
      </c>
      <c r="C544" s="530" t="str">
        <f>IF(Inventory!E541="","",Inventory!E541)</f>
        <v/>
      </c>
      <c r="D544" s="531">
        <f>IF(Inventory!D541="",0,Inventory!D541)</f>
        <v>0</v>
      </c>
      <c r="E544" s="532" t="str">
        <f>IF(Inventory!I541=0,"",Inventory!I541)</f>
        <v/>
      </c>
      <c r="F544" s="533" t="str">
        <f t="shared" si="191"/>
        <v/>
      </c>
      <c r="G544" s="534" t="str">
        <f>IF(Inventory!G541="","",Inventory!G541)</f>
        <v/>
      </c>
      <c r="H544" s="535" t="str">
        <f t="shared" si="192"/>
        <v/>
      </c>
      <c r="I544" s="536" t="str">
        <f>IF(Inventory!J541="","",Inventory!J541)</f>
        <v/>
      </c>
      <c r="J544" s="537" t="str">
        <f>IFERROR(IF(PRJ_Type="New Construction",IF(Inventory!C541="N",INDEX(xyLPD_BuildingArea,MATCH(Building_Type,Lookups!$F$37:$F$75,0),4),INDEX(xyLPD_SpaceBySpace,MATCH(INDEX(xyNCEx,MATCH(I544,yNCExArea,0),2),ySpace_by_Space_Type,0),2)),VLOOKUP(E544,xyWattage_Table,11,FALSE)),"")</f>
        <v/>
      </c>
      <c r="K544" s="538" t="str">
        <f>IFERROR(IF(AND(NC_Type="Building Area Method",Inventory!C541="N"),IF(ISERROR(INDEX('Usage Groups (&gt;120 MWh only)'!$N$8:$N$12,MATCH(C544,'Usage Groups (&gt;120 MWh only)'!$B$8:$B$12,0),1))=TRUE,SqFt/COUNTIFS(Inventory!$C$10:$C$1009,"N",$Q$13:$Q$1012,"&gt;=0"),INDEX('Usage Groups (&gt;120 MWh only)'!$N$8:$N$12,MATCH(C544,'Usage Groups (&gt;120 MWh only)'!$B$8:$B$12,0),1)/COUNTIF($C$13:$C$1012,C544)),IF(AND(NC_Type="Building Area Method",Inventory!C541="Y"),INDEX(xyNCEx,MATCH(I544,yNCExArea,0),3)/COUNTIF($I$13:$I$1012,I544),VLOOKUP(J544,xyWattage_Table,10,FALSE))),"")</f>
        <v/>
      </c>
      <c r="L544" s="539" t="str">
        <f t="shared" si="193"/>
        <v/>
      </c>
      <c r="M544" s="540">
        <f>IF(Inventory!N541="","",Inventory!N541)</f>
        <v>0</v>
      </c>
      <c r="N544" s="533" t="str">
        <f t="shared" si="194"/>
        <v/>
      </c>
      <c r="O544" s="534"/>
      <c r="P544" s="533" t="str">
        <f t="shared" si="195"/>
        <v/>
      </c>
      <c r="Q544" s="534" t="str">
        <f>IF(Inventory!L541="","",Inventory!L541)</f>
        <v/>
      </c>
      <c r="R544" s="535" t="str">
        <f t="shared" si="196"/>
        <v/>
      </c>
      <c r="S544" s="536" t="str">
        <f>IF(Inventory!O541="","",Inventory!O541)</f>
        <v/>
      </c>
      <c r="T544" s="541" t="str">
        <f>IFERROR(IF(C544="","",IF(INDEX(xyWattage_Table,MATCH(M544,'Fixture Identities'!$B$9:$B$997,0),2)="Exit Sign",8760,IF(VLOOKUP(C544,xySpace_Type_Details,8,FALSE)="TRM",INDEX('General Information'!$AF$17:$AG$28,11,MATCH(N544,'General Information'!$AF$16:$AG$16,0)),HLOOKUP(VLOOKUP(C544,xySpace_Type_Details,8,FALSE),'General Information'!$P$15:$AG$28,13,FALSE)))),"")</f>
        <v/>
      </c>
      <c r="U544" s="542" t="str">
        <f>IFERROR(IF(C544="","",IF(INDEX(xyWattage_Table,MATCH(M544,'Fixture Identities'!$B$9:$B$997,0),2)="Exit Sign",1,IF(VLOOKUP(C544,xySpace_Type_Details,8,FALSE)="TRM",INDEX('General Information'!$AF$17:$AG$28,12,MATCH(N544,'General Information'!$AF$16:$AG$16,0)),HLOOKUP(VLOOKUP(C544,xySpace_Type_Details,8,FALSE),'General Information'!$P$15:$AG$28,14,FALSE)))),"")</f>
        <v/>
      </c>
      <c r="V544" s="542" t="str">
        <f>IFERROR(VLOOKUP(INDEX(xySpace_Type_Details,MATCH($C544,'General Information'!$C$40:$C$60,0),12),Lookups!$L$8:$N$12,2,FALSE),"")</f>
        <v/>
      </c>
      <c r="W544" s="542" t="str">
        <f>IFERROR(VLOOKUP(INDEX(xySpace_Type_Details,MATCH($C544,'General Information'!$C$40:$C$60,0),12),Lookups!$L$8:$N$12,3,FALSE),"")</f>
        <v/>
      </c>
      <c r="Y544" s="542" t="str">
        <f>IFERROR(IF(C544="","",IF(INDEX(xyWattage_Table,MATCH(M544,'Fixture Identities'!$B$9:$B$997,0),2)="Exit Sign",0,IF(PRJ_Type="Retrofit",VLOOKUP(I544,xySVG_Factors,2,FALSE),IF(AND(PRJ_Type="New Construction",Inventory!C541="N"),VLOOKUP(VLOOKUP(Building_Type,xyLPD_BuildingArea,5,FALSE),xySVG_Factors_NC,3,FALSE),0)))),"")</f>
        <v/>
      </c>
      <c r="Z544" s="544" t="str">
        <f>IFERROR(IF(C544="","",IF(INDEX(xyWattage_Table,MATCH(M544,'Fixture Identities'!$B$9:$B$997,0),2)="Exit Sign",0,VLOOKUP(S544,xySVG_Factors,2,FALSE))),"")</f>
        <v/>
      </c>
      <c r="AA544" s="545" t="str">
        <f t="shared" si="197"/>
        <v/>
      </c>
      <c r="AB544" s="542" t="str">
        <f t="shared" si="198"/>
        <v/>
      </c>
      <c r="AC544" s="539" t="str">
        <f t="shared" si="199"/>
        <v/>
      </c>
      <c r="AD544" s="546" t="str">
        <f t="shared" si="200"/>
        <v/>
      </c>
      <c r="AE544" s="539" t="str">
        <f t="shared" si="201"/>
        <v/>
      </c>
      <c r="AF544" s="546" t="str">
        <f t="shared" si="202"/>
        <v/>
      </c>
      <c r="AG544" s="539" t="str">
        <f t="shared" si="203"/>
        <v/>
      </c>
      <c r="AH544" s="32">
        <f t="shared" si="205"/>
        <v>0</v>
      </c>
      <c r="AI544" s="32">
        <f t="shared" si="206"/>
        <v>0</v>
      </c>
      <c r="AJ544" s="32">
        <f t="shared" si="207"/>
        <v>0</v>
      </c>
      <c r="AK544" t="str">
        <f t="shared" si="208"/>
        <v/>
      </c>
      <c r="AL544" t="str">
        <f t="shared" si="209"/>
        <v/>
      </c>
      <c r="AM544" t="str">
        <f t="shared" si="210"/>
        <v/>
      </c>
      <c r="AO544" t="str">
        <f>IFERROR(VLOOKUP(M544,'Fixture Identities'!$B$9:$O$1045,14,FALSE),"")</f>
        <v/>
      </c>
      <c r="AP544" t="str">
        <f t="shared" si="204"/>
        <v/>
      </c>
    </row>
    <row r="545" spans="1:42">
      <c r="A545" s="71">
        <f t="shared" si="212"/>
        <v>0</v>
      </c>
      <c r="B545" s="513">
        <f t="shared" si="211"/>
        <v>533</v>
      </c>
      <c r="C545" s="530" t="str">
        <f>IF(Inventory!E542="","",Inventory!E542)</f>
        <v/>
      </c>
      <c r="D545" s="531">
        <f>IF(Inventory!D542="",0,Inventory!D542)</f>
        <v>0</v>
      </c>
      <c r="E545" s="532" t="str">
        <f>IF(Inventory!I542=0,"",Inventory!I542)</f>
        <v/>
      </c>
      <c r="F545" s="533" t="str">
        <f t="shared" si="191"/>
        <v/>
      </c>
      <c r="G545" s="534" t="str">
        <f>IF(Inventory!G542="","",Inventory!G542)</f>
        <v/>
      </c>
      <c r="H545" s="535" t="str">
        <f t="shared" si="192"/>
        <v/>
      </c>
      <c r="I545" s="536" t="str">
        <f>IF(Inventory!J542="","",Inventory!J542)</f>
        <v/>
      </c>
      <c r="J545" s="537" t="str">
        <f>IFERROR(IF(PRJ_Type="New Construction",IF(Inventory!C542="N",INDEX(xyLPD_BuildingArea,MATCH(Building_Type,Lookups!$F$37:$F$75,0),4),INDEX(xyLPD_SpaceBySpace,MATCH(INDEX(xyNCEx,MATCH(I545,yNCExArea,0),2),ySpace_by_Space_Type,0),2)),VLOOKUP(E545,xyWattage_Table,11,FALSE)),"")</f>
        <v/>
      </c>
      <c r="K545" s="538" t="str">
        <f>IFERROR(IF(AND(NC_Type="Building Area Method",Inventory!C542="N"),IF(ISERROR(INDEX('Usage Groups (&gt;120 MWh only)'!$N$8:$N$12,MATCH(C545,'Usage Groups (&gt;120 MWh only)'!$B$8:$B$12,0),1))=TRUE,SqFt/COUNTIFS(Inventory!$C$10:$C$1009,"N",$Q$13:$Q$1012,"&gt;=0"),INDEX('Usage Groups (&gt;120 MWh only)'!$N$8:$N$12,MATCH(C545,'Usage Groups (&gt;120 MWh only)'!$B$8:$B$12,0),1)/COUNTIF($C$13:$C$1012,C545)),IF(AND(NC_Type="Building Area Method",Inventory!C542="Y"),INDEX(xyNCEx,MATCH(I545,yNCExArea,0),3)/COUNTIF($I$13:$I$1012,I545),VLOOKUP(J545,xyWattage_Table,10,FALSE))),"")</f>
        <v/>
      </c>
      <c r="L545" s="539" t="str">
        <f t="shared" si="193"/>
        <v/>
      </c>
      <c r="M545" s="540">
        <f>IF(Inventory!N542="","",Inventory!N542)</f>
        <v>0</v>
      </c>
      <c r="N545" s="533" t="str">
        <f t="shared" si="194"/>
        <v/>
      </c>
      <c r="O545" s="534"/>
      <c r="P545" s="533" t="str">
        <f t="shared" si="195"/>
        <v/>
      </c>
      <c r="Q545" s="534" t="str">
        <f>IF(Inventory!L542="","",Inventory!L542)</f>
        <v/>
      </c>
      <c r="R545" s="535" t="str">
        <f t="shared" si="196"/>
        <v/>
      </c>
      <c r="S545" s="536" t="str">
        <f>IF(Inventory!O542="","",Inventory!O542)</f>
        <v/>
      </c>
      <c r="T545" s="541" t="str">
        <f>IFERROR(IF(C545="","",IF(INDEX(xyWattage_Table,MATCH(M545,'Fixture Identities'!$B$9:$B$997,0),2)="Exit Sign",8760,IF(VLOOKUP(C545,xySpace_Type_Details,8,FALSE)="TRM",INDEX('General Information'!$AF$17:$AG$28,11,MATCH(N545,'General Information'!$AF$16:$AG$16,0)),HLOOKUP(VLOOKUP(C545,xySpace_Type_Details,8,FALSE),'General Information'!$P$15:$AG$28,13,FALSE)))),"")</f>
        <v/>
      </c>
      <c r="U545" s="542" t="str">
        <f>IFERROR(IF(C545="","",IF(INDEX(xyWattage_Table,MATCH(M545,'Fixture Identities'!$B$9:$B$997,0),2)="Exit Sign",1,IF(VLOOKUP(C545,xySpace_Type_Details,8,FALSE)="TRM",INDEX('General Information'!$AF$17:$AG$28,12,MATCH(N545,'General Information'!$AF$16:$AG$16,0)),HLOOKUP(VLOOKUP(C545,xySpace_Type_Details,8,FALSE),'General Information'!$P$15:$AG$28,14,FALSE)))),"")</f>
        <v/>
      </c>
      <c r="V545" s="542" t="str">
        <f>IFERROR(VLOOKUP(INDEX(xySpace_Type_Details,MATCH($C545,'General Information'!$C$40:$C$60,0),12),Lookups!$L$8:$N$12,2,FALSE),"")</f>
        <v/>
      </c>
      <c r="W545" s="542" t="str">
        <f>IFERROR(VLOOKUP(INDEX(xySpace_Type_Details,MATCH($C545,'General Information'!$C$40:$C$60,0),12),Lookups!$L$8:$N$12,3,FALSE),"")</f>
        <v/>
      </c>
      <c r="Y545" s="542" t="str">
        <f>IFERROR(IF(C545="","",IF(INDEX(xyWattage_Table,MATCH(M545,'Fixture Identities'!$B$9:$B$997,0),2)="Exit Sign",0,IF(PRJ_Type="Retrofit",VLOOKUP(I545,xySVG_Factors,2,FALSE),IF(AND(PRJ_Type="New Construction",Inventory!C542="N"),VLOOKUP(VLOOKUP(Building_Type,xyLPD_BuildingArea,5,FALSE),xySVG_Factors_NC,3,FALSE),0)))),"")</f>
        <v/>
      </c>
      <c r="Z545" s="544" t="str">
        <f>IFERROR(IF(C545="","",IF(INDEX(xyWattage_Table,MATCH(M545,'Fixture Identities'!$B$9:$B$997,0),2)="Exit Sign",0,VLOOKUP(S545,xySVG_Factors,2,FALSE))),"")</f>
        <v/>
      </c>
      <c r="AA545" s="545" t="str">
        <f t="shared" si="197"/>
        <v/>
      </c>
      <c r="AB545" s="542" t="str">
        <f t="shared" si="198"/>
        <v/>
      </c>
      <c r="AC545" s="539" t="str">
        <f t="shared" si="199"/>
        <v/>
      </c>
      <c r="AD545" s="546" t="str">
        <f t="shared" si="200"/>
        <v/>
      </c>
      <c r="AE545" s="539" t="str">
        <f t="shared" si="201"/>
        <v/>
      </c>
      <c r="AF545" s="546" t="str">
        <f t="shared" si="202"/>
        <v/>
      </c>
      <c r="AG545" s="539" t="str">
        <f t="shared" si="203"/>
        <v/>
      </c>
      <c r="AH545" s="32">
        <f t="shared" si="205"/>
        <v>0</v>
      </c>
      <c r="AI545" s="32">
        <f t="shared" si="206"/>
        <v>0</v>
      </c>
      <c r="AJ545" s="32">
        <f t="shared" si="207"/>
        <v>0</v>
      </c>
      <c r="AK545" t="str">
        <f t="shared" si="208"/>
        <v/>
      </c>
      <c r="AL545" t="str">
        <f t="shared" si="209"/>
        <v/>
      </c>
      <c r="AM545" t="str">
        <f t="shared" si="210"/>
        <v/>
      </c>
      <c r="AO545" t="str">
        <f>IFERROR(VLOOKUP(M545,'Fixture Identities'!$B$9:$O$1045,14,FALSE),"")</f>
        <v/>
      </c>
      <c r="AP545" t="str">
        <f t="shared" si="204"/>
        <v/>
      </c>
    </row>
    <row r="546" spans="1:42">
      <c r="A546" s="71">
        <f t="shared" si="212"/>
        <v>0</v>
      </c>
      <c r="B546" s="513">
        <f t="shared" si="211"/>
        <v>534</v>
      </c>
      <c r="C546" s="530" t="str">
        <f>IF(Inventory!E543="","",Inventory!E543)</f>
        <v/>
      </c>
      <c r="D546" s="531">
        <f>IF(Inventory!D543="",0,Inventory!D543)</f>
        <v>0</v>
      </c>
      <c r="E546" s="532" t="str">
        <f>IF(Inventory!I543=0,"",Inventory!I543)</f>
        <v/>
      </c>
      <c r="F546" s="533" t="str">
        <f t="shared" si="191"/>
        <v/>
      </c>
      <c r="G546" s="534" t="str">
        <f>IF(Inventory!G543="","",Inventory!G543)</f>
        <v/>
      </c>
      <c r="H546" s="535" t="str">
        <f t="shared" si="192"/>
        <v/>
      </c>
      <c r="I546" s="536" t="str">
        <f>IF(Inventory!J543="","",Inventory!J543)</f>
        <v/>
      </c>
      <c r="J546" s="537" t="str">
        <f>IFERROR(IF(PRJ_Type="New Construction",IF(Inventory!C543="N",INDEX(xyLPD_BuildingArea,MATCH(Building_Type,Lookups!$F$37:$F$75,0),4),INDEX(xyLPD_SpaceBySpace,MATCH(INDEX(xyNCEx,MATCH(I546,yNCExArea,0),2),ySpace_by_Space_Type,0),2)),VLOOKUP(E546,xyWattage_Table,11,FALSE)),"")</f>
        <v/>
      </c>
      <c r="K546" s="538" t="str">
        <f>IFERROR(IF(AND(NC_Type="Building Area Method",Inventory!C543="N"),IF(ISERROR(INDEX('Usage Groups (&gt;120 MWh only)'!$N$8:$N$12,MATCH(C546,'Usage Groups (&gt;120 MWh only)'!$B$8:$B$12,0),1))=TRUE,SqFt/COUNTIFS(Inventory!$C$10:$C$1009,"N",$Q$13:$Q$1012,"&gt;=0"),INDEX('Usage Groups (&gt;120 MWh only)'!$N$8:$N$12,MATCH(C546,'Usage Groups (&gt;120 MWh only)'!$B$8:$B$12,0),1)/COUNTIF($C$13:$C$1012,C546)),IF(AND(NC_Type="Building Area Method",Inventory!C543="Y"),INDEX(xyNCEx,MATCH(I546,yNCExArea,0),3)/COUNTIF($I$13:$I$1012,I546),VLOOKUP(J546,xyWattage_Table,10,FALSE))),"")</f>
        <v/>
      </c>
      <c r="L546" s="539" t="str">
        <f t="shared" si="193"/>
        <v/>
      </c>
      <c r="M546" s="540">
        <f>IF(Inventory!N543="","",Inventory!N543)</f>
        <v>0</v>
      </c>
      <c r="N546" s="533" t="str">
        <f t="shared" si="194"/>
        <v/>
      </c>
      <c r="O546" s="534"/>
      <c r="P546" s="533" t="str">
        <f t="shared" si="195"/>
        <v/>
      </c>
      <c r="Q546" s="534" t="str">
        <f>IF(Inventory!L543="","",Inventory!L543)</f>
        <v/>
      </c>
      <c r="R546" s="535" t="str">
        <f t="shared" si="196"/>
        <v/>
      </c>
      <c r="S546" s="536" t="str">
        <f>IF(Inventory!O543="","",Inventory!O543)</f>
        <v/>
      </c>
      <c r="T546" s="541" t="str">
        <f>IFERROR(IF(C546="","",IF(INDEX(xyWattage_Table,MATCH(M546,'Fixture Identities'!$B$9:$B$997,0),2)="Exit Sign",8760,IF(VLOOKUP(C546,xySpace_Type_Details,8,FALSE)="TRM",INDEX('General Information'!$AF$17:$AG$28,11,MATCH(N546,'General Information'!$AF$16:$AG$16,0)),HLOOKUP(VLOOKUP(C546,xySpace_Type_Details,8,FALSE),'General Information'!$P$15:$AG$28,13,FALSE)))),"")</f>
        <v/>
      </c>
      <c r="U546" s="542" t="str">
        <f>IFERROR(IF(C546="","",IF(INDEX(xyWattage_Table,MATCH(M546,'Fixture Identities'!$B$9:$B$997,0),2)="Exit Sign",1,IF(VLOOKUP(C546,xySpace_Type_Details,8,FALSE)="TRM",INDEX('General Information'!$AF$17:$AG$28,12,MATCH(N546,'General Information'!$AF$16:$AG$16,0)),HLOOKUP(VLOOKUP(C546,xySpace_Type_Details,8,FALSE),'General Information'!$P$15:$AG$28,14,FALSE)))),"")</f>
        <v/>
      </c>
      <c r="V546" s="542" t="str">
        <f>IFERROR(VLOOKUP(INDEX(xySpace_Type_Details,MATCH($C546,'General Information'!$C$40:$C$60,0),12),Lookups!$L$8:$N$12,2,FALSE),"")</f>
        <v/>
      </c>
      <c r="W546" s="542" t="str">
        <f>IFERROR(VLOOKUP(INDEX(xySpace_Type_Details,MATCH($C546,'General Information'!$C$40:$C$60,0),12),Lookups!$L$8:$N$12,3,FALSE),"")</f>
        <v/>
      </c>
      <c r="Y546" s="542" t="str">
        <f>IFERROR(IF(C546="","",IF(INDEX(xyWattage_Table,MATCH(M546,'Fixture Identities'!$B$9:$B$997,0),2)="Exit Sign",0,IF(PRJ_Type="Retrofit",VLOOKUP(I546,xySVG_Factors,2,FALSE),IF(AND(PRJ_Type="New Construction",Inventory!C543="N"),VLOOKUP(VLOOKUP(Building_Type,xyLPD_BuildingArea,5,FALSE),xySVG_Factors_NC,3,FALSE),0)))),"")</f>
        <v/>
      </c>
      <c r="Z546" s="544" t="str">
        <f>IFERROR(IF(C546="","",IF(INDEX(xyWattage_Table,MATCH(M546,'Fixture Identities'!$B$9:$B$997,0),2)="Exit Sign",0,VLOOKUP(S546,xySVG_Factors,2,FALSE))),"")</f>
        <v/>
      </c>
      <c r="AA546" s="545" t="str">
        <f t="shared" si="197"/>
        <v/>
      </c>
      <c r="AB546" s="542" t="str">
        <f t="shared" si="198"/>
        <v/>
      </c>
      <c r="AC546" s="539" t="str">
        <f t="shared" si="199"/>
        <v/>
      </c>
      <c r="AD546" s="546" t="str">
        <f t="shared" si="200"/>
        <v/>
      </c>
      <c r="AE546" s="539" t="str">
        <f t="shared" si="201"/>
        <v/>
      </c>
      <c r="AF546" s="546" t="str">
        <f t="shared" si="202"/>
        <v/>
      </c>
      <c r="AG546" s="539" t="str">
        <f t="shared" si="203"/>
        <v/>
      </c>
      <c r="AH546" s="32">
        <f t="shared" si="205"/>
        <v>0</v>
      </c>
      <c r="AI546" s="32">
        <f t="shared" si="206"/>
        <v>0</v>
      </c>
      <c r="AJ546" s="32">
        <f t="shared" si="207"/>
        <v>0</v>
      </c>
      <c r="AK546" t="str">
        <f t="shared" si="208"/>
        <v/>
      </c>
      <c r="AL546" t="str">
        <f t="shared" si="209"/>
        <v/>
      </c>
      <c r="AM546" t="str">
        <f t="shared" si="210"/>
        <v/>
      </c>
      <c r="AO546" t="str">
        <f>IFERROR(VLOOKUP(M546,'Fixture Identities'!$B$9:$O$1045,14,FALSE),"")</f>
        <v/>
      </c>
      <c r="AP546" t="str">
        <f t="shared" si="204"/>
        <v/>
      </c>
    </row>
    <row r="547" spans="1:42">
      <c r="A547" s="71">
        <f t="shared" si="212"/>
        <v>0</v>
      </c>
      <c r="B547" s="513">
        <f t="shared" si="211"/>
        <v>535</v>
      </c>
      <c r="C547" s="530" t="str">
        <f>IF(Inventory!E544="","",Inventory!E544)</f>
        <v/>
      </c>
      <c r="D547" s="531">
        <f>IF(Inventory!D544="",0,Inventory!D544)</f>
        <v>0</v>
      </c>
      <c r="E547" s="532" t="str">
        <f>IF(Inventory!I544=0,"",Inventory!I544)</f>
        <v/>
      </c>
      <c r="F547" s="533" t="str">
        <f t="shared" si="191"/>
        <v/>
      </c>
      <c r="G547" s="534" t="str">
        <f>IF(Inventory!G544="","",Inventory!G544)</f>
        <v/>
      </c>
      <c r="H547" s="535" t="str">
        <f t="shared" si="192"/>
        <v/>
      </c>
      <c r="I547" s="536" t="str">
        <f>IF(Inventory!J544="","",Inventory!J544)</f>
        <v/>
      </c>
      <c r="J547" s="537" t="str">
        <f>IFERROR(IF(PRJ_Type="New Construction",IF(Inventory!C544="N",INDEX(xyLPD_BuildingArea,MATCH(Building_Type,Lookups!$F$37:$F$75,0),4),INDEX(xyLPD_SpaceBySpace,MATCH(INDEX(xyNCEx,MATCH(I547,yNCExArea,0),2),ySpace_by_Space_Type,0),2)),VLOOKUP(E547,xyWattage_Table,11,FALSE)),"")</f>
        <v/>
      </c>
      <c r="K547" s="538" t="str">
        <f>IFERROR(IF(AND(NC_Type="Building Area Method",Inventory!C544="N"),IF(ISERROR(INDEX('Usage Groups (&gt;120 MWh only)'!$N$8:$N$12,MATCH(C547,'Usage Groups (&gt;120 MWh only)'!$B$8:$B$12,0),1))=TRUE,SqFt/COUNTIFS(Inventory!$C$10:$C$1009,"N",$Q$13:$Q$1012,"&gt;=0"),INDEX('Usage Groups (&gt;120 MWh only)'!$N$8:$N$12,MATCH(C547,'Usage Groups (&gt;120 MWh only)'!$B$8:$B$12,0),1)/COUNTIF($C$13:$C$1012,C547)),IF(AND(NC_Type="Building Area Method",Inventory!C544="Y"),INDEX(xyNCEx,MATCH(I547,yNCExArea,0),3)/COUNTIF($I$13:$I$1012,I547),VLOOKUP(J547,xyWattage_Table,10,FALSE))),"")</f>
        <v/>
      </c>
      <c r="L547" s="539" t="str">
        <f t="shared" si="193"/>
        <v/>
      </c>
      <c r="M547" s="540">
        <f>IF(Inventory!N544="","",Inventory!N544)</f>
        <v>0</v>
      </c>
      <c r="N547" s="533" t="str">
        <f t="shared" si="194"/>
        <v/>
      </c>
      <c r="O547" s="534"/>
      <c r="P547" s="533" t="str">
        <f t="shared" si="195"/>
        <v/>
      </c>
      <c r="Q547" s="534" t="str">
        <f>IF(Inventory!L544="","",Inventory!L544)</f>
        <v/>
      </c>
      <c r="R547" s="535" t="str">
        <f t="shared" si="196"/>
        <v/>
      </c>
      <c r="S547" s="536" t="str">
        <f>IF(Inventory!O544="","",Inventory!O544)</f>
        <v/>
      </c>
      <c r="T547" s="541" t="str">
        <f>IFERROR(IF(C547="","",IF(INDEX(xyWattage_Table,MATCH(M547,'Fixture Identities'!$B$9:$B$997,0),2)="Exit Sign",8760,IF(VLOOKUP(C547,xySpace_Type_Details,8,FALSE)="TRM",INDEX('General Information'!$AF$17:$AG$28,11,MATCH(N547,'General Information'!$AF$16:$AG$16,0)),HLOOKUP(VLOOKUP(C547,xySpace_Type_Details,8,FALSE),'General Information'!$P$15:$AG$28,13,FALSE)))),"")</f>
        <v/>
      </c>
      <c r="U547" s="542" t="str">
        <f>IFERROR(IF(C547="","",IF(INDEX(xyWattage_Table,MATCH(M547,'Fixture Identities'!$B$9:$B$997,0),2)="Exit Sign",1,IF(VLOOKUP(C547,xySpace_Type_Details,8,FALSE)="TRM",INDEX('General Information'!$AF$17:$AG$28,12,MATCH(N547,'General Information'!$AF$16:$AG$16,0)),HLOOKUP(VLOOKUP(C547,xySpace_Type_Details,8,FALSE),'General Information'!$P$15:$AG$28,14,FALSE)))),"")</f>
        <v/>
      </c>
      <c r="V547" s="542" t="str">
        <f>IFERROR(VLOOKUP(INDEX(xySpace_Type_Details,MATCH($C547,'General Information'!$C$40:$C$60,0),12),Lookups!$L$8:$N$12,2,FALSE),"")</f>
        <v/>
      </c>
      <c r="W547" s="542" t="str">
        <f>IFERROR(VLOOKUP(INDEX(xySpace_Type_Details,MATCH($C547,'General Information'!$C$40:$C$60,0),12),Lookups!$L$8:$N$12,3,FALSE),"")</f>
        <v/>
      </c>
      <c r="Y547" s="542" t="str">
        <f>IFERROR(IF(C547="","",IF(INDEX(xyWattage_Table,MATCH(M547,'Fixture Identities'!$B$9:$B$997,0),2)="Exit Sign",0,IF(PRJ_Type="Retrofit",VLOOKUP(I547,xySVG_Factors,2,FALSE),IF(AND(PRJ_Type="New Construction",Inventory!C544="N"),VLOOKUP(VLOOKUP(Building_Type,xyLPD_BuildingArea,5,FALSE),xySVG_Factors_NC,3,FALSE),0)))),"")</f>
        <v/>
      </c>
      <c r="Z547" s="544" t="str">
        <f>IFERROR(IF(C547="","",IF(INDEX(xyWattage_Table,MATCH(M547,'Fixture Identities'!$B$9:$B$997,0),2)="Exit Sign",0,VLOOKUP(S547,xySVG_Factors,2,FALSE))),"")</f>
        <v/>
      </c>
      <c r="AA547" s="545" t="str">
        <f t="shared" si="197"/>
        <v/>
      </c>
      <c r="AB547" s="542" t="str">
        <f t="shared" si="198"/>
        <v/>
      </c>
      <c r="AC547" s="539" t="str">
        <f t="shared" si="199"/>
        <v/>
      </c>
      <c r="AD547" s="546" t="str">
        <f t="shared" si="200"/>
        <v/>
      </c>
      <c r="AE547" s="539" t="str">
        <f t="shared" si="201"/>
        <v/>
      </c>
      <c r="AF547" s="546" t="str">
        <f t="shared" si="202"/>
        <v/>
      </c>
      <c r="AG547" s="539" t="str">
        <f t="shared" si="203"/>
        <v/>
      </c>
      <c r="AH547" s="32">
        <f t="shared" si="205"/>
        <v>0</v>
      </c>
      <c r="AI547" s="32">
        <f t="shared" si="206"/>
        <v>0</v>
      </c>
      <c r="AJ547" s="32">
        <f t="shared" si="207"/>
        <v>0</v>
      </c>
      <c r="AK547" t="str">
        <f t="shared" si="208"/>
        <v/>
      </c>
      <c r="AL547" t="str">
        <f t="shared" si="209"/>
        <v/>
      </c>
      <c r="AM547" t="str">
        <f t="shared" si="210"/>
        <v/>
      </c>
      <c r="AO547" t="str">
        <f>IFERROR(VLOOKUP(M547,'Fixture Identities'!$B$9:$O$1045,14,FALSE),"")</f>
        <v/>
      </c>
      <c r="AP547" t="str">
        <f t="shared" si="204"/>
        <v/>
      </c>
    </row>
    <row r="548" spans="1:42">
      <c r="A548" s="71">
        <f t="shared" si="212"/>
        <v>0</v>
      </c>
      <c r="B548" s="513">
        <f t="shared" si="211"/>
        <v>536</v>
      </c>
      <c r="C548" s="530" t="str">
        <f>IF(Inventory!E545="","",Inventory!E545)</f>
        <v/>
      </c>
      <c r="D548" s="531">
        <f>IF(Inventory!D545="",0,Inventory!D545)</f>
        <v>0</v>
      </c>
      <c r="E548" s="532" t="str">
        <f>IF(Inventory!I545=0,"",Inventory!I545)</f>
        <v/>
      </c>
      <c r="F548" s="533" t="str">
        <f t="shared" si="191"/>
        <v/>
      </c>
      <c r="G548" s="534" t="str">
        <f>IF(Inventory!G545="","",Inventory!G545)</f>
        <v/>
      </c>
      <c r="H548" s="535" t="str">
        <f t="shared" si="192"/>
        <v/>
      </c>
      <c r="I548" s="536" t="str">
        <f>IF(Inventory!J545="","",Inventory!J545)</f>
        <v/>
      </c>
      <c r="J548" s="537" t="str">
        <f>IFERROR(IF(PRJ_Type="New Construction",IF(Inventory!C545="N",INDEX(xyLPD_BuildingArea,MATCH(Building_Type,Lookups!$F$37:$F$75,0),4),INDEX(xyLPD_SpaceBySpace,MATCH(INDEX(xyNCEx,MATCH(I548,yNCExArea,0),2),ySpace_by_Space_Type,0),2)),VLOOKUP(E548,xyWattage_Table,11,FALSE)),"")</f>
        <v/>
      </c>
      <c r="K548" s="538" t="str">
        <f>IFERROR(IF(AND(NC_Type="Building Area Method",Inventory!C545="N"),IF(ISERROR(INDEX('Usage Groups (&gt;120 MWh only)'!$N$8:$N$12,MATCH(C548,'Usage Groups (&gt;120 MWh only)'!$B$8:$B$12,0),1))=TRUE,SqFt/COUNTIFS(Inventory!$C$10:$C$1009,"N",$Q$13:$Q$1012,"&gt;=0"),INDEX('Usage Groups (&gt;120 MWh only)'!$N$8:$N$12,MATCH(C548,'Usage Groups (&gt;120 MWh only)'!$B$8:$B$12,0),1)/COUNTIF($C$13:$C$1012,C548)),IF(AND(NC_Type="Building Area Method",Inventory!C545="Y"),INDEX(xyNCEx,MATCH(I548,yNCExArea,0),3)/COUNTIF($I$13:$I$1012,I548),VLOOKUP(J548,xyWattage_Table,10,FALSE))),"")</f>
        <v/>
      </c>
      <c r="L548" s="539" t="str">
        <f t="shared" si="193"/>
        <v/>
      </c>
      <c r="M548" s="540">
        <f>IF(Inventory!N545="","",Inventory!N545)</f>
        <v>0</v>
      </c>
      <c r="N548" s="533" t="str">
        <f t="shared" si="194"/>
        <v/>
      </c>
      <c r="O548" s="534"/>
      <c r="P548" s="533" t="str">
        <f t="shared" si="195"/>
        <v/>
      </c>
      <c r="Q548" s="534" t="str">
        <f>IF(Inventory!L545="","",Inventory!L545)</f>
        <v/>
      </c>
      <c r="R548" s="535" t="str">
        <f t="shared" si="196"/>
        <v/>
      </c>
      <c r="S548" s="536" t="str">
        <f>IF(Inventory!O545="","",Inventory!O545)</f>
        <v/>
      </c>
      <c r="T548" s="541" t="str">
        <f>IFERROR(IF(C548="","",IF(INDEX(xyWattage_Table,MATCH(M548,'Fixture Identities'!$B$9:$B$997,0),2)="Exit Sign",8760,IF(VLOOKUP(C548,xySpace_Type_Details,8,FALSE)="TRM",INDEX('General Information'!$AF$17:$AG$28,11,MATCH(N548,'General Information'!$AF$16:$AG$16,0)),HLOOKUP(VLOOKUP(C548,xySpace_Type_Details,8,FALSE),'General Information'!$P$15:$AG$28,13,FALSE)))),"")</f>
        <v/>
      </c>
      <c r="U548" s="542" t="str">
        <f>IFERROR(IF(C548="","",IF(INDEX(xyWattage_Table,MATCH(M548,'Fixture Identities'!$B$9:$B$997,0),2)="Exit Sign",1,IF(VLOOKUP(C548,xySpace_Type_Details,8,FALSE)="TRM",INDEX('General Information'!$AF$17:$AG$28,12,MATCH(N548,'General Information'!$AF$16:$AG$16,0)),HLOOKUP(VLOOKUP(C548,xySpace_Type_Details,8,FALSE),'General Information'!$P$15:$AG$28,14,FALSE)))),"")</f>
        <v/>
      </c>
      <c r="V548" s="542" t="str">
        <f>IFERROR(VLOOKUP(INDEX(xySpace_Type_Details,MATCH($C548,'General Information'!$C$40:$C$60,0),12),Lookups!$L$8:$N$12,2,FALSE),"")</f>
        <v/>
      </c>
      <c r="W548" s="542" t="str">
        <f>IFERROR(VLOOKUP(INDEX(xySpace_Type_Details,MATCH($C548,'General Information'!$C$40:$C$60,0),12),Lookups!$L$8:$N$12,3,FALSE),"")</f>
        <v/>
      </c>
      <c r="Y548" s="542" t="str">
        <f>IFERROR(IF(C548="","",IF(INDEX(xyWattage_Table,MATCH(M548,'Fixture Identities'!$B$9:$B$997,0),2)="Exit Sign",0,IF(PRJ_Type="Retrofit",VLOOKUP(I548,xySVG_Factors,2,FALSE),IF(AND(PRJ_Type="New Construction",Inventory!C545="N"),VLOOKUP(VLOOKUP(Building_Type,xyLPD_BuildingArea,5,FALSE),xySVG_Factors_NC,3,FALSE),0)))),"")</f>
        <v/>
      </c>
      <c r="Z548" s="544" t="str">
        <f>IFERROR(IF(C548="","",IF(INDEX(xyWattage_Table,MATCH(M548,'Fixture Identities'!$B$9:$B$997,0),2)="Exit Sign",0,VLOOKUP(S548,xySVG_Factors,2,FALSE))),"")</f>
        <v/>
      </c>
      <c r="AA548" s="545" t="str">
        <f t="shared" si="197"/>
        <v/>
      </c>
      <c r="AB548" s="542" t="str">
        <f t="shared" si="198"/>
        <v/>
      </c>
      <c r="AC548" s="539" t="str">
        <f t="shared" si="199"/>
        <v/>
      </c>
      <c r="AD548" s="546" t="str">
        <f t="shared" si="200"/>
        <v/>
      </c>
      <c r="AE548" s="539" t="str">
        <f t="shared" si="201"/>
        <v/>
      </c>
      <c r="AF548" s="546" t="str">
        <f t="shared" si="202"/>
        <v/>
      </c>
      <c r="AG548" s="539" t="str">
        <f t="shared" si="203"/>
        <v/>
      </c>
      <c r="AH548" s="32">
        <f t="shared" si="205"/>
        <v>0</v>
      </c>
      <c r="AI548" s="32">
        <f t="shared" si="206"/>
        <v>0</v>
      </c>
      <c r="AJ548" s="32">
        <f t="shared" si="207"/>
        <v>0</v>
      </c>
      <c r="AK548" t="str">
        <f t="shared" si="208"/>
        <v/>
      </c>
      <c r="AL548" t="str">
        <f t="shared" si="209"/>
        <v/>
      </c>
      <c r="AM548" t="str">
        <f t="shared" si="210"/>
        <v/>
      </c>
      <c r="AO548" t="str">
        <f>IFERROR(VLOOKUP(M548,'Fixture Identities'!$B$9:$O$1045,14,FALSE),"")</f>
        <v/>
      </c>
      <c r="AP548" t="str">
        <f t="shared" si="204"/>
        <v/>
      </c>
    </row>
    <row r="549" spans="1:42">
      <c r="A549" s="71">
        <f t="shared" si="212"/>
        <v>0</v>
      </c>
      <c r="B549" s="513">
        <f t="shared" si="211"/>
        <v>537</v>
      </c>
      <c r="C549" s="530" t="str">
        <f>IF(Inventory!E546="","",Inventory!E546)</f>
        <v/>
      </c>
      <c r="D549" s="531">
        <f>IF(Inventory!D546="",0,Inventory!D546)</f>
        <v>0</v>
      </c>
      <c r="E549" s="532" t="str">
        <f>IF(Inventory!I546=0,"",Inventory!I546)</f>
        <v/>
      </c>
      <c r="F549" s="533" t="str">
        <f t="shared" si="191"/>
        <v/>
      </c>
      <c r="G549" s="534" t="str">
        <f>IF(Inventory!G546="","",Inventory!G546)</f>
        <v/>
      </c>
      <c r="H549" s="535" t="str">
        <f t="shared" si="192"/>
        <v/>
      </c>
      <c r="I549" s="536" t="str">
        <f>IF(Inventory!J546="","",Inventory!J546)</f>
        <v/>
      </c>
      <c r="J549" s="537" t="str">
        <f>IFERROR(IF(PRJ_Type="New Construction",IF(Inventory!C546="N",INDEX(xyLPD_BuildingArea,MATCH(Building_Type,Lookups!$F$37:$F$75,0),4),INDEX(xyLPD_SpaceBySpace,MATCH(INDEX(xyNCEx,MATCH(I549,yNCExArea,0),2),ySpace_by_Space_Type,0),2)),VLOOKUP(E549,xyWattage_Table,11,FALSE)),"")</f>
        <v/>
      </c>
      <c r="K549" s="538" t="str">
        <f>IFERROR(IF(AND(NC_Type="Building Area Method",Inventory!C546="N"),IF(ISERROR(INDEX('Usage Groups (&gt;120 MWh only)'!$N$8:$N$12,MATCH(C549,'Usage Groups (&gt;120 MWh only)'!$B$8:$B$12,0),1))=TRUE,SqFt/COUNTIFS(Inventory!$C$10:$C$1009,"N",$Q$13:$Q$1012,"&gt;=0"),INDEX('Usage Groups (&gt;120 MWh only)'!$N$8:$N$12,MATCH(C549,'Usage Groups (&gt;120 MWh only)'!$B$8:$B$12,0),1)/COUNTIF($C$13:$C$1012,C549)),IF(AND(NC_Type="Building Area Method",Inventory!C546="Y"),INDEX(xyNCEx,MATCH(I549,yNCExArea,0),3)/COUNTIF($I$13:$I$1012,I549),VLOOKUP(J549,xyWattage_Table,10,FALSE))),"")</f>
        <v/>
      </c>
      <c r="L549" s="539" t="str">
        <f t="shared" si="193"/>
        <v/>
      </c>
      <c r="M549" s="540">
        <f>IF(Inventory!N546="","",Inventory!N546)</f>
        <v>0</v>
      </c>
      <c r="N549" s="533" t="str">
        <f t="shared" si="194"/>
        <v/>
      </c>
      <c r="O549" s="534"/>
      <c r="P549" s="533" t="str">
        <f t="shared" si="195"/>
        <v/>
      </c>
      <c r="Q549" s="534" t="str">
        <f>IF(Inventory!L546="","",Inventory!L546)</f>
        <v/>
      </c>
      <c r="R549" s="535" t="str">
        <f t="shared" si="196"/>
        <v/>
      </c>
      <c r="S549" s="536" t="str">
        <f>IF(Inventory!O546="","",Inventory!O546)</f>
        <v/>
      </c>
      <c r="T549" s="541" t="str">
        <f>IFERROR(IF(C549="","",IF(INDEX(xyWattage_Table,MATCH(M549,'Fixture Identities'!$B$9:$B$997,0),2)="Exit Sign",8760,IF(VLOOKUP(C549,xySpace_Type_Details,8,FALSE)="TRM",INDEX('General Information'!$AF$17:$AG$28,11,MATCH(N549,'General Information'!$AF$16:$AG$16,0)),HLOOKUP(VLOOKUP(C549,xySpace_Type_Details,8,FALSE),'General Information'!$P$15:$AG$28,13,FALSE)))),"")</f>
        <v/>
      </c>
      <c r="U549" s="542" t="str">
        <f>IFERROR(IF(C549="","",IF(INDEX(xyWattage_Table,MATCH(M549,'Fixture Identities'!$B$9:$B$997,0),2)="Exit Sign",1,IF(VLOOKUP(C549,xySpace_Type_Details,8,FALSE)="TRM",INDEX('General Information'!$AF$17:$AG$28,12,MATCH(N549,'General Information'!$AF$16:$AG$16,0)),HLOOKUP(VLOOKUP(C549,xySpace_Type_Details,8,FALSE),'General Information'!$P$15:$AG$28,14,FALSE)))),"")</f>
        <v/>
      </c>
      <c r="V549" s="542" t="str">
        <f>IFERROR(VLOOKUP(INDEX(xySpace_Type_Details,MATCH($C549,'General Information'!$C$40:$C$60,0),12),Lookups!$L$8:$N$12,2,FALSE),"")</f>
        <v/>
      </c>
      <c r="W549" s="542" t="str">
        <f>IFERROR(VLOOKUP(INDEX(xySpace_Type_Details,MATCH($C549,'General Information'!$C$40:$C$60,0),12),Lookups!$L$8:$N$12,3,FALSE),"")</f>
        <v/>
      </c>
      <c r="Y549" s="542" t="str">
        <f>IFERROR(IF(C549="","",IF(INDEX(xyWattage_Table,MATCH(M549,'Fixture Identities'!$B$9:$B$997,0),2)="Exit Sign",0,IF(PRJ_Type="Retrofit",VLOOKUP(I549,xySVG_Factors,2,FALSE),IF(AND(PRJ_Type="New Construction",Inventory!C546="N"),VLOOKUP(VLOOKUP(Building_Type,xyLPD_BuildingArea,5,FALSE),xySVG_Factors_NC,3,FALSE),0)))),"")</f>
        <v/>
      </c>
      <c r="Z549" s="544" t="str">
        <f>IFERROR(IF(C549="","",IF(INDEX(xyWattage_Table,MATCH(M549,'Fixture Identities'!$B$9:$B$997,0),2)="Exit Sign",0,VLOOKUP(S549,xySVG_Factors,2,FALSE))),"")</f>
        <v/>
      </c>
      <c r="AA549" s="545" t="str">
        <f t="shared" si="197"/>
        <v/>
      </c>
      <c r="AB549" s="542" t="str">
        <f t="shared" si="198"/>
        <v/>
      </c>
      <c r="AC549" s="539" t="str">
        <f t="shared" si="199"/>
        <v/>
      </c>
      <c r="AD549" s="546" t="str">
        <f t="shared" si="200"/>
        <v/>
      </c>
      <c r="AE549" s="539" t="str">
        <f t="shared" si="201"/>
        <v/>
      </c>
      <c r="AF549" s="546" t="str">
        <f t="shared" si="202"/>
        <v/>
      </c>
      <c r="AG549" s="539" t="str">
        <f t="shared" si="203"/>
        <v/>
      </c>
      <c r="AH549" s="32">
        <f t="shared" si="205"/>
        <v>0</v>
      </c>
      <c r="AI549" s="32">
        <f t="shared" si="206"/>
        <v>0</v>
      </c>
      <c r="AJ549" s="32">
        <f t="shared" si="207"/>
        <v>0</v>
      </c>
      <c r="AK549" t="str">
        <f t="shared" si="208"/>
        <v/>
      </c>
      <c r="AL549" t="str">
        <f t="shared" si="209"/>
        <v/>
      </c>
      <c r="AM549" t="str">
        <f t="shared" si="210"/>
        <v/>
      </c>
      <c r="AO549" t="str">
        <f>IFERROR(VLOOKUP(M549,'Fixture Identities'!$B$9:$O$1045,14,FALSE),"")</f>
        <v/>
      </c>
      <c r="AP549" t="str">
        <f t="shared" si="204"/>
        <v/>
      </c>
    </row>
    <row r="550" spans="1:42">
      <c r="A550" s="71">
        <f t="shared" si="212"/>
        <v>0</v>
      </c>
      <c r="B550" s="513">
        <f t="shared" si="211"/>
        <v>538</v>
      </c>
      <c r="C550" s="530" t="str">
        <f>IF(Inventory!E547="","",Inventory!E547)</f>
        <v/>
      </c>
      <c r="D550" s="531">
        <f>IF(Inventory!D547="",0,Inventory!D547)</f>
        <v>0</v>
      </c>
      <c r="E550" s="532" t="str">
        <f>IF(Inventory!I547=0,"",Inventory!I547)</f>
        <v/>
      </c>
      <c r="F550" s="533" t="str">
        <f t="shared" si="191"/>
        <v/>
      </c>
      <c r="G550" s="534" t="str">
        <f>IF(Inventory!G547="","",Inventory!G547)</f>
        <v/>
      </c>
      <c r="H550" s="535" t="str">
        <f t="shared" si="192"/>
        <v/>
      </c>
      <c r="I550" s="536" t="str">
        <f>IF(Inventory!J547="","",Inventory!J547)</f>
        <v/>
      </c>
      <c r="J550" s="537" t="str">
        <f>IFERROR(IF(PRJ_Type="New Construction",IF(Inventory!C547="N",INDEX(xyLPD_BuildingArea,MATCH(Building_Type,Lookups!$F$37:$F$75,0),4),INDEX(xyLPD_SpaceBySpace,MATCH(INDEX(xyNCEx,MATCH(I550,yNCExArea,0),2),ySpace_by_Space_Type,0),2)),VLOOKUP(E550,xyWattage_Table,11,FALSE)),"")</f>
        <v/>
      </c>
      <c r="K550" s="538" t="str">
        <f>IFERROR(IF(AND(NC_Type="Building Area Method",Inventory!C547="N"),IF(ISERROR(INDEX('Usage Groups (&gt;120 MWh only)'!$N$8:$N$12,MATCH(C550,'Usage Groups (&gt;120 MWh only)'!$B$8:$B$12,0),1))=TRUE,SqFt/COUNTIFS(Inventory!$C$10:$C$1009,"N",$Q$13:$Q$1012,"&gt;=0"),INDEX('Usage Groups (&gt;120 MWh only)'!$N$8:$N$12,MATCH(C550,'Usage Groups (&gt;120 MWh only)'!$B$8:$B$12,0),1)/COUNTIF($C$13:$C$1012,C550)),IF(AND(NC_Type="Building Area Method",Inventory!C547="Y"),INDEX(xyNCEx,MATCH(I550,yNCExArea,0),3)/COUNTIF($I$13:$I$1012,I550),VLOOKUP(J550,xyWattage_Table,10,FALSE))),"")</f>
        <v/>
      </c>
      <c r="L550" s="539" t="str">
        <f t="shared" si="193"/>
        <v/>
      </c>
      <c r="M550" s="540">
        <f>IF(Inventory!N547="","",Inventory!N547)</f>
        <v>0</v>
      </c>
      <c r="N550" s="533" t="str">
        <f t="shared" si="194"/>
        <v/>
      </c>
      <c r="O550" s="534"/>
      <c r="P550" s="533" t="str">
        <f t="shared" si="195"/>
        <v/>
      </c>
      <c r="Q550" s="534" t="str">
        <f>IF(Inventory!L547="","",Inventory!L547)</f>
        <v/>
      </c>
      <c r="R550" s="535" t="str">
        <f t="shared" si="196"/>
        <v/>
      </c>
      <c r="S550" s="536" t="str">
        <f>IF(Inventory!O547="","",Inventory!O547)</f>
        <v/>
      </c>
      <c r="T550" s="541" t="str">
        <f>IFERROR(IF(C550="","",IF(INDEX(xyWattage_Table,MATCH(M550,'Fixture Identities'!$B$9:$B$997,0),2)="Exit Sign",8760,IF(VLOOKUP(C550,xySpace_Type_Details,8,FALSE)="TRM",INDEX('General Information'!$AF$17:$AG$28,11,MATCH(N550,'General Information'!$AF$16:$AG$16,0)),HLOOKUP(VLOOKUP(C550,xySpace_Type_Details,8,FALSE),'General Information'!$P$15:$AG$28,13,FALSE)))),"")</f>
        <v/>
      </c>
      <c r="U550" s="542" t="str">
        <f>IFERROR(IF(C550="","",IF(INDEX(xyWattage_Table,MATCH(M550,'Fixture Identities'!$B$9:$B$997,0),2)="Exit Sign",1,IF(VLOOKUP(C550,xySpace_Type_Details,8,FALSE)="TRM",INDEX('General Information'!$AF$17:$AG$28,12,MATCH(N550,'General Information'!$AF$16:$AG$16,0)),HLOOKUP(VLOOKUP(C550,xySpace_Type_Details,8,FALSE),'General Information'!$P$15:$AG$28,14,FALSE)))),"")</f>
        <v/>
      </c>
      <c r="V550" s="542" t="str">
        <f>IFERROR(VLOOKUP(INDEX(xySpace_Type_Details,MATCH($C550,'General Information'!$C$40:$C$60,0),12),Lookups!$L$8:$N$12,2,FALSE),"")</f>
        <v/>
      </c>
      <c r="W550" s="542" t="str">
        <f>IFERROR(VLOOKUP(INDEX(xySpace_Type_Details,MATCH($C550,'General Information'!$C$40:$C$60,0),12),Lookups!$L$8:$N$12,3,FALSE),"")</f>
        <v/>
      </c>
      <c r="Y550" s="542" t="str">
        <f>IFERROR(IF(C550="","",IF(INDEX(xyWattage_Table,MATCH(M550,'Fixture Identities'!$B$9:$B$997,0),2)="Exit Sign",0,IF(PRJ_Type="Retrofit",VLOOKUP(I550,xySVG_Factors,2,FALSE),IF(AND(PRJ_Type="New Construction",Inventory!C547="N"),VLOOKUP(VLOOKUP(Building_Type,xyLPD_BuildingArea,5,FALSE),xySVG_Factors_NC,3,FALSE),0)))),"")</f>
        <v/>
      </c>
      <c r="Z550" s="544" t="str">
        <f>IFERROR(IF(C550="","",IF(INDEX(xyWattage_Table,MATCH(M550,'Fixture Identities'!$B$9:$B$997,0),2)="Exit Sign",0,VLOOKUP(S550,xySVG_Factors,2,FALSE))),"")</f>
        <v/>
      </c>
      <c r="AA550" s="545" t="str">
        <f t="shared" si="197"/>
        <v/>
      </c>
      <c r="AB550" s="542" t="str">
        <f t="shared" si="198"/>
        <v/>
      </c>
      <c r="AC550" s="539" t="str">
        <f t="shared" si="199"/>
        <v/>
      </c>
      <c r="AD550" s="546" t="str">
        <f t="shared" si="200"/>
        <v/>
      </c>
      <c r="AE550" s="539" t="str">
        <f t="shared" si="201"/>
        <v/>
      </c>
      <c r="AF550" s="546" t="str">
        <f t="shared" si="202"/>
        <v/>
      </c>
      <c r="AG550" s="539" t="str">
        <f t="shared" si="203"/>
        <v/>
      </c>
      <c r="AH550" s="32">
        <f t="shared" si="205"/>
        <v>0</v>
      </c>
      <c r="AI550" s="32">
        <f t="shared" si="206"/>
        <v>0</v>
      </c>
      <c r="AJ550" s="32">
        <f t="shared" si="207"/>
        <v>0</v>
      </c>
      <c r="AK550" t="str">
        <f t="shared" si="208"/>
        <v/>
      </c>
      <c r="AL550" t="str">
        <f t="shared" si="209"/>
        <v/>
      </c>
      <c r="AM550" t="str">
        <f t="shared" si="210"/>
        <v/>
      </c>
      <c r="AO550" t="str">
        <f>IFERROR(VLOOKUP(M550,'Fixture Identities'!$B$9:$O$1045,14,FALSE),"")</f>
        <v/>
      </c>
      <c r="AP550" t="str">
        <f t="shared" si="204"/>
        <v/>
      </c>
    </row>
    <row r="551" spans="1:42">
      <c r="A551" s="71">
        <f t="shared" si="212"/>
        <v>0</v>
      </c>
      <c r="B551" s="513">
        <f t="shared" si="211"/>
        <v>539</v>
      </c>
      <c r="C551" s="530" t="str">
        <f>IF(Inventory!E548="","",Inventory!E548)</f>
        <v/>
      </c>
      <c r="D551" s="531">
        <f>IF(Inventory!D548="",0,Inventory!D548)</f>
        <v>0</v>
      </c>
      <c r="E551" s="532" t="str">
        <f>IF(Inventory!I548=0,"",Inventory!I548)</f>
        <v/>
      </c>
      <c r="F551" s="533" t="str">
        <f t="shared" si="191"/>
        <v/>
      </c>
      <c r="G551" s="534" t="str">
        <f>IF(Inventory!G548="","",Inventory!G548)</f>
        <v/>
      </c>
      <c r="H551" s="535" t="str">
        <f t="shared" si="192"/>
        <v/>
      </c>
      <c r="I551" s="536" t="str">
        <f>IF(Inventory!J548="","",Inventory!J548)</f>
        <v/>
      </c>
      <c r="J551" s="537" t="str">
        <f>IFERROR(IF(PRJ_Type="New Construction",IF(Inventory!C548="N",INDEX(xyLPD_BuildingArea,MATCH(Building_Type,Lookups!$F$37:$F$75,0),4),INDEX(xyLPD_SpaceBySpace,MATCH(INDEX(xyNCEx,MATCH(I551,yNCExArea,0),2),ySpace_by_Space_Type,0),2)),VLOOKUP(E551,xyWattage_Table,11,FALSE)),"")</f>
        <v/>
      </c>
      <c r="K551" s="538" t="str">
        <f>IFERROR(IF(AND(NC_Type="Building Area Method",Inventory!C548="N"),IF(ISERROR(INDEX('Usage Groups (&gt;120 MWh only)'!$N$8:$N$12,MATCH(C551,'Usage Groups (&gt;120 MWh only)'!$B$8:$B$12,0),1))=TRUE,SqFt/COUNTIFS(Inventory!$C$10:$C$1009,"N",$Q$13:$Q$1012,"&gt;=0"),INDEX('Usage Groups (&gt;120 MWh only)'!$N$8:$N$12,MATCH(C551,'Usage Groups (&gt;120 MWh only)'!$B$8:$B$12,0),1)/COUNTIF($C$13:$C$1012,C551)),IF(AND(NC_Type="Building Area Method",Inventory!C548="Y"),INDEX(xyNCEx,MATCH(I551,yNCExArea,0),3)/COUNTIF($I$13:$I$1012,I551),VLOOKUP(J551,xyWattage_Table,10,FALSE))),"")</f>
        <v/>
      </c>
      <c r="L551" s="539" t="str">
        <f t="shared" si="193"/>
        <v/>
      </c>
      <c r="M551" s="540">
        <f>IF(Inventory!N548="","",Inventory!N548)</f>
        <v>0</v>
      </c>
      <c r="N551" s="533" t="str">
        <f t="shared" si="194"/>
        <v/>
      </c>
      <c r="O551" s="534"/>
      <c r="P551" s="533" t="str">
        <f t="shared" si="195"/>
        <v/>
      </c>
      <c r="Q551" s="534" t="str">
        <f>IF(Inventory!L548="","",Inventory!L548)</f>
        <v/>
      </c>
      <c r="R551" s="535" t="str">
        <f t="shared" si="196"/>
        <v/>
      </c>
      <c r="S551" s="536" t="str">
        <f>IF(Inventory!O548="","",Inventory!O548)</f>
        <v/>
      </c>
      <c r="T551" s="541" t="str">
        <f>IFERROR(IF(C551="","",IF(INDEX(xyWattage_Table,MATCH(M551,'Fixture Identities'!$B$9:$B$997,0),2)="Exit Sign",8760,IF(VLOOKUP(C551,xySpace_Type_Details,8,FALSE)="TRM",INDEX('General Information'!$AF$17:$AG$28,11,MATCH(N551,'General Information'!$AF$16:$AG$16,0)),HLOOKUP(VLOOKUP(C551,xySpace_Type_Details,8,FALSE),'General Information'!$P$15:$AG$28,13,FALSE)))),"")</f>
        <v/>
      </c>
      <c r="U551" s="542" t="str">
        <f>IFERROR(IF(C551="","",IF(INDEX(xyWattage_Table,MATCH(M551,'Fixture Identities'!$B$9:$B$997,0),2)="Exit Sign",1,IF(VLOOKUP(C551,xySpace_Type_Details,8,FALSE)="TRM",INDEX('General Information'!$AF$17:$AG$28,12,MATCH(N551,'General Information'!$AF$16:$AG$16,0)),HLOOKUP(VLOOKUP(C551,xySpace_Type_Details,8,FALSE),'General Information'!$P$15:$AG$28,14,FALSE)))),"")</f>
        <v/>
      </c>
      <c r="V551" s="542" t="str">
        <f>IFERROR(VLOOKUP(INDEX(xySpace_Type_Details,MATCH($C551,'General Information'!$C$40:$C$60,0),12),Lookups!$L$8:$N$12,2,FALSE),"")</f>
        <v/>
      </c>
      <c r="W551" s="542" t="str">
        <f>IFERROR(VLOOKUP(INDEX(xySpace_Type_Details,MATCH($C551,'General Information'!$C$40:$C$60,0),12),Lookups!$L$8:$N$12,3,FALSE),"")</f>
        <v/>
      </c>
      <c r="Y551" s="542" t="str">
        <f>IFERROR(IF(C551="","",IF(INDEX(xyWattage_Table,MATCH(M551,'Fixture Identities'!$B$9:$B$997,0),2)="Exit Sign",0,IF(PRJ_Type="Retrofit",VLOOKUP(I551,xySVG_Factors,2,FALSE),IF(AND(PRJ_Type="New Construction",Inventory!C548="N"),VLOOKUP(VLOOKUP(Building_Type,xyLPD_BuildingArea,5,FALSE),xySVG_Factors_NC,3,FALSE),0)))),"")</f>
        <v/>
      </c>
      <c r="Z551" s="544" t="str">
        <f>IFERROR(IF(C551="","",IF(INDEX(xyWattage_Table,MATCH(M551,'Fixture Identities'!$B$9:$B$997,0),2)="Exit Sign",0,VLOOKUP(S551,xySVG_Factors,2,FALSE))),"")</f>
        <v/>
      </c>
      <c r="AA551" s="545" t="str">
        <f t="shared" si="197"/>
        <v/>
      </c>
      <c r="AB551" s="542" t="str">
        <f t="shared" si="198"/>
        <v/>
      </c>
      <c r="AC551" s="539" t="str">
        <f t="shared" si="199"/>
        <v/>
      </c>
      <c r="AD551" s="546" t="str">
        <f t="shared" si="200"/>
        <v/>
      </c>
      <c r="AE551" s="539" t="str">
        <f t="shared" si="201"/>
        <v/>
      </c>
      <c r="AF551" s="546" t="str">
        <f t="shared" si="202"/>
        <v/>
      </c>
      <c r="AG551" s="539" t="str">
        <f t="shared" si="203"/>
        <v/>
      </c>
      <c r="AH551" s="32">
        <f t="shared" si="205"/>
        <v>0</v>
      </c>
      <c r="AI551" s="32">
        <f t="shared" si="206"/>
        <v>0</v>
      </c>
      <c r="AJ551" s="32">
        <f t="shared" si="207"/>
        <v>0</v>
      </c>
      <c r="AK551" t="str">
        <f t="shared" si="208"/>
        <v/>
      </c>
      <c r="AL551" t="str">
        <f t="shared" si="209"/>
        <v/>
      </c>
      <c r="AM551" t="str">
        <f t="shared" si="210"/>
        <v/>
      </c>
      <c r="AO551" t="str">
        <f>IFERROR(VLOOKUP(M551,'Fixture Identities'!$B$9:$O$1045,14,FALSE),"")</f>
        <v/>
      </c>
      <c r="AP551" t="str">
        <f t="shared" si="204"/>
        <v/>
      </c>
    </row>
    <row r="552" spans="1:42">
      <c r="A552" s="71">
        <f t="shared" si="212"/>
        <v>0</v>
      </c>
      <c r="B552" s="513">
        <f t="shared" si="211"/>
        <v>540</v>
      </c>
      <c r="C552" s="530" t="str">
        <f>IF(Inventory!E549="","",Inventory!E549)</f>
        <v/>
      </c>
      <c r="D552" s="531">
        <f>IF(Inventory!D549="",0,Inventory!D549)</f>
        <v>0</v>
      </c>
      <c r="E552" s="532" t="str">
        <f>IF(Inventory!I549=0,"",Inventory!I549)</f>
        <v/>
      </c>
      <c r="F552" s="533" t="str">
        <f t="shared" si="191"/>
        <v/>
      </c>
      <c r="G552" s="534" t="str">
        <f>IF(Inventory!G549="","",Inventory!G549)</f>
        <v/>
      </c>
      <c r="H552" s="535" t="str">
        <f t="shared" si="192"/>
        <v/>
      </c>
      <c r="I552" s="536" t="str">
        <f>IF(Inventory!J549="","",Inventory!J549)</f>
        <v/>
      </c>
      <c r="J552" s="537" t="str">
        <f>IFERROR(IF(PRJ_Type="New Construction",IF(Inventory!C549="N",INDEX(xyLPD_BuildingArea,MATCH(Building_Type,Lookups!$F$37:$F$75,0),4),INDEX(xyLPD_SpaceBySpace,MATCH(INDEX(xyNCEx,MATCH(I552,yNCExArea,0),2),ySpace_by_Space_Type,0),2)),VLOOKUP(E552,xyWattage_Table,11,FALSE)),"")</f>
        <v/>
      </c>
      <c r="K552" s="538" t="str">
        <f>IFERROR(IF(AND(NC_Type="Building Area Method",Inventory!C549="N"),IF(ISERROR(INDEX('Usage Groups (&gt;120 MWh only)'!$N$8:$N$12,MATCH(C552,'Usage Groups (&gt;120 MWh only)'!$B$8:$B$12,0),1))=TRUE,SqFt/COUNTIFS(Inventory!$C$10:$C$1009,"N",$Q$13:$Q$1012,"&gt;=0"),INDEX('Usage Groups (&gt;120 MWh only)'!$N$8:$N$12,MATCH(C552,'Usage Groups (&gt;120 MWh only)'!$B$8:$B$12,0),1)/COUNTIF($C$13:$C$1012,C552)),IF(AND(NC_Type="Building Area Method",Inventory!C549="Y"),INDEX(xyNCEx,MATCH(I552,yNCExArea,0),3)/COUNTIF($I$13:$I$1012,I552),VLOOKUP(J552,xyWattage_Table,10,FALSE))),"")</f>
        <v/>
      </c>
      <c r="L552" s="539" t="str">
        <f t="shared" si="193"/>
        <v/>
      </c>
      <c r="M552" s="540">
        <f>IF(Inventory!N549="","",Inventory!N549)</f>
        <v>0</v>
      </c>
      <c r="N552" s="533" t="str">
        <f t="shared" si="194"/>
        <v/>
      </c>
      <c r="O552" s="534"/>
      <c r="P552" s="533" t="str">
        <f t="shared" si="195"/>
        <v/>
      </c>
      <c r="Q552" s="534" t="str">
        <f>IF(Inventory!L549="","",Inventory!L549)</f>
        <v/>
      </c>
      <c r="R552" s="535" t="str">
        <f t="shared" si="196"/>
        <v/>
      </c>
      <c r="S552" s="536" t="str">
        <f>IF(Inventory!O549="","",Inventory!O549)</f>
        <v/>
      </c>
      <c r="T552" s="541" t="str">
        <f>IFERROR(IF(C552="","",IF(INDEX(xyWattage_Table,MATCH(M552,'Fixture Identities'!$B$9:$B$997,0),2)="Exit Sign",8760,IF(VLOOKUP(C552,xySpace_Type_Details,8,FALSE)="TRM",INDEX('General Information'!$AF$17:$AG$28,11,MATCH(N552,'General Information'!$AF$16:$AG$16,0)),HLOOKUP(VLOOKUP(C552,xySpace_Type_Details,8,FALSE),'General Information'!$P$15:$AG$28,13,FALSE)))),"")</f>
        <v/>
      </c>
      <c r="U552" s="542" t="str">
        <f>IFERROR(IF(C552="","",IF(INDEX(xyWattage_Table,MATCH(M552,'Fixture Identities'!$B$9:$B$997,0),2)="Exit Sign",1,IF(VLOOKUP(C552,xySpace_Type_Details,8,FALSE)="TRM",INDEX('General Information'!$AF$17:$AG$28,12,MATCH(N552,'General Information'!$AF$16:$AG$16,0)),HLOOKUP(VLOOKUP(C552,xySpace_Type_Details,8,FALSE),'General Information'!$P$15:$AG$28,14,FALSE)))),"")</f>
        <v/>
      </c>
      <c r="V552" s="542" t="str">
        <f>IFERROR(VLOOKUP(INDEX(xySpace_Type_Details,MATCH($C552,'General Information'!$C$40:$C$60,0),12),Lookups!$L$8:$N$12,2,FALSE),"")</f>
        <v/>
      </c>
      <c r="W552" s="542" t="str">
        <f>IFERROR(VLOOKUP(INDEX(xySpace_Type_Details,MATCH($C552,'General Information'!$C$40:$C$60,0),12),Lookups!$L$8:$N$12,3,FALSE),"")</f>
        <v/>
      </c>
      <c r="Y552" s="542" t="str">
        <f>IFERROR(IF(C552="","",IF(INDEX(xyWattage_Table,MATCH(M552,'Fixture Identities'!$B$9:$B$997,0),2)="Exit Sign",0,IF(PRJ_Type="Retrofit",VLOOKUP(I552,xySVG_Factors,2,FALSE),IF(AND(PRJ_Type="New Construction",Inventory!C549="N"),VLOOKUP(VLOOKUP(Building_Type,xyLPD_BuildingArea,5,FALSE),xySVG_Factors_NC,3,FALSE),0)))),"")</f>
        <v/>
      </c>
      <c r="Z552" s="544" t="str">
        <f>IFERROR(IF(C552="","",IF(INDEX(xyWattage_Table,MATCH(M552,'Fixture Identities'!$B$9:$B$997,0),2)="Exit Sign",0,VLOOKUP(S552,xySVG_Factors,2,FALSE))),"")</f>
        <v/>
      </c>
      <c r="AA552" s="545" t="str">
        <f t="shared" si="197"/>
        <v/>
      </c>
      <c r="AB552" s="542" t="str">
        <f t="shared" si="198"/>
        <v/>
      </c>
      <c r="AC552" s="539" t="str">
        <f t="shared" si="199"/>
        <v/>
      </c>
      <c r="AD552" s="546" t="str">
        <f t="shared" si="200"/>
        <v/>
      </c>
      <c r="AE552" s="539" t="str">
        <f t="shared" si="201"/>
        <v/>
      </c>
      <c r="AF552" s="546" t="str">
        <f t="shared" si="202"/>
        <v/>
      </c>
      <c r="AG552" s="539" t="str">
        <f t="shared" si="203"/>
        <v/>
      </c>
      <c r="AH552" s="32">
        <f t="shared" si="205"/>
        <v>0</v>
      </c>
      <c r="AI552" s="32">
        <f t="shared" si="206"/>
        <v>0</v>
      </c>
      <c r="AJ552" s="32">
        <f t="shared" si="207"/>
        <v>0</v>
      </c>
      <c r="AK552" t="str">
        <f t="shared" si="208"/>
        <v/>
      </c>
      <c r="AL552" t="str">
        <f t="shared" si="209"/>
        <v/>
      </c>
      <c r="AM552" t="str">
        <f t="shared" si="210"/>
        <v/>
      </c>
      <c r="AO552" t="str">
        <f>IFERROR(VLOOKUP(M552,'Fixture Identities'!$B$9:$O$1045,14,FALSE),"")</f>
        <v/>
      </c>
      <c r="AP552" t="str">
        <f t="shared" si="204"/>
        <v/>
      </c>
    </row>
    <row r="553" spans="1:42">
      <c r="A553" s="71">
        <f t="shared" si="212"/>
        <v>0</v>
      </c>
      <c r="B553" s="513">
        <f t="shared" si="211"/>
        <v>541</v>
      </c>
      <c r="C553" s="530" t="str">
        <f>IF(Inventory!E550="","",Inventory!E550)</f>
        <v/>
      </c>
      <c r="D553" s="531">
        <f>IF(Inventory!D550="",0,Inventory!D550)</f>
        <v>0</v>
      </c>
      <c r="E553" s="532" t="str">
        <f>IF(Inventory!I550=0,"",Inventory!I550)</f>
        <v/>
      </c>
      <c r="F553" s="533" t="str">
        <f t="shared" si="191"/>
        <v/>
      </c>
      <c r="G553" s="534" t="str">
        <f>IF(Inventory!G550="","",Inventory!G550)</f>
        <v/>
      </c>
      <c r="H553" s="535" t="str">
        <f t="shared" si="192"/>
        <v/>
      </c>
      <c r="I553" s="536" t="str">
        <f>IF(Inventory!J550="","",Inventory!J550)</f>
        <v/>
      </c>
      <c r="J553" s="537" t="str">
        <f>IFERROR(IF(PRJ_Type="New Construction",IF(Inventory!C550="N",INDEX(xyLPD_BuildingArea,MATCH(Building_Type,Lookups!$F$37:$F$75,0),4),INDEX(xyLPD_SpaceBySpace,MATCH(INDEX(xyNCEx,MATCH(I553,yNCExArea,0),2),ySpace_by_Space_Type,0),2)),VLOOKUP(E553,xyWattage_Table,11,FALSE)),"")</f>
        <v/>
      </c>
      <c r="K553" s="538" t="str">
        <f>IFERROR(IF(AND(NC_Type="Building Area Method",Inventory!C550="N"),IF(ISERROR(INDEX('Usage Groups (&gt;120 MWh only)'!$N$8:$N$12,MATCH(C553,'Usage Groups (&gt;120 MWh only)'!$B$8:$B$12,0),1))=TRUE,SqFt/COUNTIFS(Inventory!$C$10:$C$1009,"N",$Q$13:$Q$1012,"&gt;=0"),INDEX('Usage Groups (&gt;120 MWh only)'!$N$8:$N$12,MATCH(C553,'Usage Groups (&gt;120 MWh only)'!$B$8:$B$12,0),1)/COUNTIF($C$13:$C$1012,C553)),IF(AND(NC_Type="Building Area Method",Inventory!C550="Y"),INDEX(xyNCEx,MATCH(I553,yNCExArea,0),3)/COUNTIF($I$13:$I$1012,I553),VLOOKUP(J553,xyWattage_Table,10,FALSE))),"")</f>
        <v/>
      </c>
      <c r="L553" s="539" t="str">
        <f t="shared" si="193"/>
        <v/>
      </c>
      <c r="M553" s="540">
        <f>IF(Inventory!N550="","",Inventory!N550)</f>
        <v>0</v>
      </c>
      <c r="N553" s="533" t="str">
        <f t="shared" si="194"/>
        <v/>
      </c>
      <c r="O553" s="534"/>
      <c r="P553" s="533" t="str">
        <f t="shared" si="195"/>
        <v/>
      </c>
      <c r="Q553" s="534" t="str">
        <f>IF(Inventory!L550="","",Inventory!L550)</f>
        <v/>
      </c>
      <c r="R553" s="535" t="str">
        <f t="shared" si="196"/>
        <v/>
      </c>
      <c r="S553" s="536" t="str">
        <f>IF(Inventory!O550="","",Inventory!O550)</f>
        <v/>
      </c>
      <c r="T553" s="541" t="str">
        <f>IFERROR(IF(C553="","",IF(INDEX(xyWattage_Table,MATCH(M553,'Fixture Identities'!$B$9:$B$997,0),2)="Exit Sign",8760,IF(VLOOKUP(C553,xySpace_Type_Details,8,FALSE)="TRM",INDEX('General Information'!$AF$17:$AG$28,11,MATCH(N553,'General Information'!$AF$16:$AG$16,0)),HLOOKUP(VLOOKUP(C553,xySpace_Type_Details,8,FALSE),'General Information'!$P$15:$AG$28,13,FALSE)))),"")</f>
        <v/>
      </c>
      <c r="U553" s="542" t="str">
        <f>IFERROR(IF(C553="","",IF(INDEX(xyWattage_Table,MATCH(M553,'Fixture Identities'!$B$9:$B$997,0),2)="Exit Sign",1,IF(VLOOKUP(C553,xySpace_Type_Details,8,FALSE)="TRM",INDEX('General Information'!$AF$17:$AG$28,12,MATCH(N553,'General Information'!$AF$16:$AG$16,0)),HLOOKUP(VLOOKUP(C553,xySpace_Type_Details,8,FALSE),'General Information'!$P$15:$AG$28,14,FALSE)))),"")</f>
        <v/>
      </c>
      <c r="V553" s="542" t="str">
        <f>IFERROR(VLOOKUP(INDEX(xySpace_Type_Details,MATCH($C553,'General Information'!$C$40:$C$60,0),12),Lookups!$L$8:$N$12,2,FALSE),"")</f>
        <v/>
      </c>
      <c r="W553" s="542" t="str">
        <f>IFERROR(VLOOKUP(INDEX(xySpace_Type_Details,MATCH($C553,'General Information'!$C$40:$C$60,0),12),Lookups!$L$8:$N$12,3,FALSE),"")</f>
        <v/>
      </c>
      <c r="Y553" s="542" t="str">
        <f>IFERROR(IF(C553="","",IF(INDEX(xyWattage_Table,MATCH(M553,'Fixture Identities'!$B$9:$B$997,0),2)="Exit Sign",0,IF(PRJ_Type="Retrofit",VLOOKUP(I553,xySVG_Factors,2,FALSE),IF(AND(PRJ_Type="New Construction",Inventory!C550="N"),VLOOKUP(VLOOKUP(Building_Type,xyLPD_BuildingArea,5,FALSE),xySVG_Factors_NC,3,FALSE),0)))),"")</f>
        <v/>
      </c>
      <c r="Z553" s="544" t="str">
        <f>IFERROR(IF(C553="","",IF(INDEX(xyWattage_Table,MATCH(M553,'Fixture Identities'!$B$9:$B$997,0),2)="Exit Sign",0,VLOOKUP(S553,xySVG_Factors,2,FALSE))),"")</f>
        <v/>
      </c>
      <c r="AA553" s="545" t="str">
        <f t="shared" si="197"/>
        <v/>
      </c>
      <c r="AB553" s="542" t="str">
        <f t="shared" si="198"/>
        <v/>
      </c>
      <c r="AC553" s="539" t="str">
        <f t="shared" si="199"/>
        <v/>
      </c>
      <c r="AD553" s="546" t="str">
        <f t="shared" si="200"/>
        <v/>
      </c>
      <c r="AE553" s="539" t="str">
        <f t="shared" si="201"/>
        <v/>
      </c>
      <c r="AF553" s="546" t="str">
        <f t="shared" si="202"/>
        <v/>
      </c>
      <c r="AG553" s="539" t="str">
        <f t="shared" si="203"/>
        <v/>
      </c>
      <c r="AH553" s="32">
        <f t="shared" si="205"/>
        <v>0</v>
      </c>
      <c r="AI553" s="32">
        <f t="shared" si="206"/>
        <v>0</v>
      </c>
      <c r="AJ553" s="32">
        <f t="shared" si="207"/>
        <v>0</v>
      </c>
      <c r="AK553" t="str">
        <f t="shared" si="208"/>
        <v/>
      </c>
      <c r="AL553" t="str">
        <f t="shared" si="209"/>
        <v/>
      </c>
      <c r="AM553" t="str">
        <f t="shared" si="210"/>
        <v/>
      </c>
      <c r="AO553" t="str">
        <f>IFERROR(VLOOKUP(M553,'Fixture Identities'!$B$9:$O$1045,14,FALSE),"")</f>
        <v/>
      </c>
      <c r="AP553" t="str">
        <f t="shared" si="204"/>
        <v/>
      </c>
    </row>
    <row r="554" spans="1:42">
      <c r="A554" s="71">
        <f t="shared" si="212"/>
        <v>0</v>
      </c>
      <c r="B554" s="513">
        <f t="shared" si="211"/>
        <v>542</v>
      </c>
      <c r="C554" s="530" t="str">
        <f>IF(Inventory!E551="","",Inventory!E551)</f>
        <v/>
      </c>
      <c r="D554" s="531">
        <f>IF(Inventory!D551="",0,Inventory!D551)</f>
        <v>0</v>
      </c>
      <c r="E554" s="532" t="str">
        <f>IF(Inventory!I551=0,"",Inventory!I551)</f>
        <v/>
      </c>
      <c r="F554" s="533" t="str">
        <f t="shared" si="191"/>
        <v/>
      </c>
      <c r="G554" s="534" t="str">
        <f>IF(Inventory!G551="","",Inventory!G551)</f>
        <v/>
      </c>
      <c r="H554" s="535" t="str">
        <f t="shared" si="192"/>
        <v/>
      </c>
      <c r="I554" s="536" t="str">
        <f>IF(Inventory!J551="","",Inventory!J551)</f>
        <v/>
      </c>
      <c r="J554" s="537" t="str">
        <f>IFERROR(IF(PRJ_Type="New Construction",IF(Inventory!C551="N",INDEX(xyLPD_BuildingArea,MATCH(Building_Type,Lookups!$F$37:$F$75,0),4),INDEX(xyLPD_SpaceBySpace,MATCH(INDEX(xyNCEx,MATCH(I554,yNCExArea,0),2),ySpace_by_Space_Type,0),2)),VLOOKUP(E554,xyWattage_Table,11,FALSE)),"")</f>
        <v/>
      </c>
      <c r="K554" s="538" t="str">
        <f>IFERROR(IF(AND(NC_Type="Building Area Method",Inventory!C551="N"),IF(ISERROR(INDEX('Usage Groups (&gt;120 MWh only)'!$N$8:$N$12,MATCH(C554,'Usage Groups (&gt;120 MWh only)'!$B$8:$B$12,0),1))=TRUE,SqFt/COUNTIFS(Inventory!$C$10:$C$1009,"N",$Q$13:$Q$1012,"&gt;=0"),INDEX('Usage Groups (&gt;120 MWh only)'!$N$8:$N$12,MATCH(C554,'Usage Groups (&gt;120 MWh only)'!$B$8:$B$12,0),1)/COUNTIF($C$13:$C$1012,C554)),IF(AND(NC_Type="Building Area Method",Inventory!C551="Y"),INDEX(xyNCEx,MATCH(I554,yNCExArea,0),3)/COUNTIF($I$13:$I$1012,I554),VLOOKUP(J554,xyWattage_Table,10,FALSE))),"")</f>
        <v/>
      </c>
      <c r="L554" s="539" t="str">
        <f t="shared" si="193"/>
        <v/>
      </c>
      <c r="M554" s="540">
        <f>IF(Inventory!N551="","",Inventory!N551)</f>
        <v>0</v>
      </c>
      <c r="N554" s="533" t="str">
        <f t="shared" si="194"/>
        <v/>
      </c>
      <c r="O554" s="534"/>
      <c r="P554" s="533" t="str">
        <f t="shared" si="195"/>
        <v/>
      </c>
      <c r="Q554" s="534" t="str">
        <f>IF(Inventory!L551="","",Inventory!L551)</f>
        <v/>
      </c>
      <c r="R554" s="535" t="str">
        <f t="shared" si="196"/>
        <v/>
      </c>
      <c r="S554" s="536" t="str">
        <f>IF(Inventory!O551="","",Inventory!O551)</f>
        <v/>
      </c>
      <c r="T554" s="541" t="str">
        <f>IFERROR(IF(C554="","",IF(INDEX(xyWattage_Table,MATCH(M554,'Fixture Identities'!$B$9:$B$997,0),2)="Exit Sign",8760,IF(VLOOKUP(C554,xySpace_Type_Details,8,FALSE)="TRM",INDEX('General Information'!$AF$17:$AG$28,11,MATCH(N554,'General Information'!$AF$16:$AG$16,0)),HLOOKUP(VLOOKUP(C554,xySpace_Type_Details,8,FALSE),'General Information'!$P$15:$AG$28,13,FALSE)))),"")</f>
        <v/>
      </c>
      <c r="U554" s="542" t="str">
        <f>IFERROR(IF(C554="","",IF(INDEX(xyWattage_Table,MATCH(M554,'Fixture Identities'!$B$9:$B$997,0),2)="Exit Sign",1,IF(VLOOKUP(C554,xySpace_Type_Details,8,FALSE)="TRM",INDEX('General Information'!$AF$17:$AG$28,12,MATCH(N554,'General Information'!$AF$16:$AG$16,0)),HLOOKUP(VLOOKUP(C554,xySpace_Type_Details,8,FALSE),'General Information'!$P$15:$AG$28,14,FALSE)))),"")</f>
        <v/>
      </c>
      <c r="V554" s="542" t="str">
        <f>IFERROR(VLOOKUP(INDEX(xySpace_Type_Details,MATCH($C554,'General Information'!$C$40:$C$60,0),12),Lookups!$L$8:$N$12,2,FALSE),"")</f>
        <v/>
      </c>
      <c r="W554" s="542" t="str">
        <f>IFERROR(VLOOKUP(INDEX(xySpace_Type_Details,MATCH($C554,'General Information'!$C$40:$C$60,0),12),Lookups!$L$8:$N$12,3,FALSE),"")</f>
        <v/>
      </c>
      <c r="Y554" s="542" t="str">
        <f>IFERROR(IF(C554="","",IF(INDEX(xyWattage_Table,MATCH(M554,'Fixture Identities'!$B$9:$B$997,0),2)="Exit Sign",0,IF(PRJ_Type="Retrofit",VLOOKUP(I554,xySVG_Factors,2,FALSE),IF(AND(PRJ_Type="New Construction",Inventory!C551="N"),VLOOKUP(VLOOKUP(Building_Type,xyLPD_BuildingArea,5,FALSE),xySVG_Factors_NC,3,FALSE),0)))),"")</f>
        <v/>
      </c>
      <c r="Z554" s="544" t="str">
        <f>IFERROR(IF(C554="","",IF(INDEX(xyWattage_Table,MATCH(M554,'Fixture Identities'!$B$9:$B$997,0),2)="Exit Sign",0,VLOOKUP(S554,xySVG_Factors,2,FALSE))),"")</f>
        <v/>
      </c>
      <c r="AA554" s="545" t="str">
        <f t="shared" si="197"/>
        <v/>
      </c>
      <c r="AB554" s="542" t="str">
        <f t="shared" si="198"/>
        <v/>
      </c>
      <c r="AC554" s="539" t="str">
        <f t="shared" si="199"/>
        <v/>
      </c>
      <c r="AD554" s="546" t="str">
        <f t="shared" si="200"/>
        <v/>
      </c>
      <c r="AE554" s="539" t="str">
        <f t="shared" si="201"/>
        <v/>
      </c>
      <c r="AF554" s="546" t="str">
        <f t="shared" si="202"/>
        <v/>
      </c>
      <c r="AG554" s="539" t="str">
        <f t="shared" si="203"/>
        <v/>
      </c>
      <c r="AH554" s="32">
        <f t="shared" si="205"/>
        <v>0</v>
      </c>
      <c r="AI554" s="32">
        <f t="shared" si="206"/>
        <v>0</v>
      </c>
      <c r="AJ554" s="32">
        <f t="shared" si="207"/>
        <v>0</v>
      </c>
      <c r="AK554" t="str">
        <f t="shared" si="208"/>
        <v/>
      </c>
      <c r="AL554" t="str">
        <f t="shared" si="209"/>
        <v/>
      </c>
      <c r="AM554" t="str">
        <f t="shared" si="210"/>
        <v/>
      </c>
      <c r="AO554" t="str">
        <f>IFERROR(VLOOKUP(M554,'Fixture Identities'!$B$9:$O$1045,14,FALSE),"")</f>
        <v/>
      </c>
      <c r="AP554" t="str">
        <f t="shared" si="204"/>
        <v/>
      </c>
    </row>
    <row r="555" spans="1:42">
      <c r="A555" s="71">
        <f t="shared" si="212"/>
        <v>0</v>
      </c>
      <c r="B555" s="513">
        <f t="shared" si="211"/>
        <v>543</v>
      </c>
      <c r="C555" s="530" t="str">
        <f>IF(Inventory!E552="","",Inventory!E552)</f>
        <v/>
      </c>
      <c r="D555" s="531">
        <f>IF(Inventory!D552="",0,Inventory!D552)</f>
        <v>0</v>
      </c>
      <c r="E555" s="532" t="str">
        <f>IF(Inventory!I552=0,"",Inventory!I552)</f>
        <v/>
      </c>
      <c r="F555" s="533" t="str">
        <f t="shared" si="191"/>
        <v/>
      </c>
      <c r="G555" s="534" t="str">
        <f>IF(Inventory!G552="","",Inventory!G552)</f>
        <v/>
      </c>
      <c r="H555" s="535" t="str">
        <f t="shared" si="192"/>
        <v/>
      </c>
      <c r="I555" s="536" t="str">
        <f>IF(Inventory!J552="","",Inventory!J552)</f>
        <v/>
      </c>
      <c r="J555" s="537" t="str">
        <f>IFERROR(IF(PRJ_Type="New Construction",IF(Inventory!C552="N",INDEX(xyLPD_BuildingArea,MATCH(Building_Type,Lookups!$F$37:$F$75,0),4),INDEX(xyLPD_SpaceBySpace,MATCH(INDEX(xyNCEx,MATCH(I555,yNCExArea,0),2),ySpace_by_Space_Type,0),2)),VLOOKUP(E555,xyWattage_Table,11,FALSE)),"")</f>
        <v/>
      </c>
      <c r="K555" s="538" t="str">
        <f>IFERROR(IF(AND(NC_Type="Building Area Method",Inventory!C552="N"),IF(ISERROR(INDEX('Usage Groups (&gt;120 MWh only)'!$N$8:$N$12,MATCH(C555,'Usage Groups (&gt;120 MWh only)'!$B$8:$B$12,0),1))=TRUE,SqFt/COUNTIFS(Inventory!$C$10:$C$1009,"N",$Q$13:$Q$1012,"&gt;=0"),INDEX('Usage Groups (&gt;120 MWh only)'!$N$8:$N$12,MATCH(C555,'Usage Groups (&gt;120 MWh only)'!$B$8:$B$12,0),1)/COUNTIF($C$13:$C$1012,C555)),IF(AND(NC_Type="Building Area Method",Inventory!C552="Y"),INDEX(xyNCEx,MATCH(I555,yNCExArea,0),3)/COUNTIF($I$13:$I$1012,I555),VLOOKUP(J555,xyWattage_Table,10,FALSE))),"")</f>
        <v/>
      </c>
      <c r="L555" s="539" t="str">
        <f t="shared" si="193"/>
        <v/>
      </c>
      <c r="M555" s="540">
        <f>IF(Inventory!N552="","",Inventory!N552)</f>
        <v>0</v>
      </c>
      <c r="N555" s="533" t="str">
        <f t="shared" si="194"/>
        <v/>
      </c>
      <c r="O555" s="534"/>
      <c r="P555" s="533" t="str">
        <f t="shared" si="195"/>
        <v/>
      </c>
      <c r="Q555" s="534" t="str">
        <f>IF(Inventory!L552="","",Inventory!L552)</f>
        <v/>
      </c>
      <c r="R555" s="535" t="str">
        <f t="shared" si="196"/>
        <v/>
      </c>
      <c r="S555" s="536" t="str">
        <f>IF(Inventory!O552="","",Inventory!O552)</f>
        <v/>
      </c>
      <c r="T555" s="541" t="str">
        <f>IFERROR(IF(C555="","",IF(INDEX(xyWattage_Table,MATCH(M555,'Fixture Identities'!$B$9:$B$997,0),2)="Exit Sign",8760,IF(VLOOKUP(C555,xySpace_Type_Details,8,FALSE)="TRM",INDEX('General Information'!$AF$17:$AG$28,11,MATCH(N555,'General Information'!$AF$16:$AG$16,0)),HLOOKUP(VLOOKUP(C555,xySpace_Type_Details,8,FALSE),'General Information'!$P$15:$AG$28,13,FALSE)))),"")</f>
        <v/>
      </c>
      <c r="U555" s="542" t="str">
        <f>IFERROR(IF(C555="","",IF(INDEX(xyWattage_Table,MATCH(M555,'Fixture Identities'!$B$9:$B$997,0),2)="Exit Sign",1,IF(VLOOKUP(C555,xySpace_Type_Details,8,FALSE)="TRM",INDEX('General Information'!$AF$17:$AG$28,12,MATCH(N555,'General Information'!$AF$16:$AG$16,0)),HLOOKUP(VLOOKUP(C555,xySpace_Type_Details,8,FALSE),'General Information'!$P$15:$AG$28,14,FALSE)))),"")</f>
        <v/>
      </c>
      <c r="V555" s="542" t="str">
        <f>IFERROR(VLOOKUP(INDEX(xySpace_Type_Details,MATCH($C555,'General Information'!$C$40:$C$60,0),12),Lookups!$L$8:$N$12,2,FALSE),"")</f>
        <v/>
      </c>
      <c r="W555" s="542" t="str">
        <f>IFERROR(VLOOKUP(INDEX(xySpace_Type_Details,MATCH($C555,'General Information'!$C$40:$C$60,0),12),Lookups!$L$8:$N$12,3,FALSE),"")</f>
        <v/>
      </c>
      <c r="Y555" s="542" t="str">
        <f>IFERROR(IF(C555="","",IF(INDEX(xyWattage_Table,MATCH(M555,'Fixture Identities'!$B$9:$B$997,0),2)="Exit Sign",0,IF(PRJ_Type="Retrofit",VLOOKUP(I555,xySVG_Factors,2,FALSE),IF(AND(PRJ_Type="New Construction",Inventory!C552="N"),VLOOKUP(VLOOKUP(Building_Type,xyLPD_BuildingArea,5,FALSE),xySVG_Factors_NC,3,FALSE),0)))),"")</f>
        <v/>
      </c>
      <c r="Z555" s="544" t="str">
        <f>IFERROR(IF(C555="","",IF(INDEX(xyWattage_Table,MATCH(M555,'Fixture Identities'!$B$9:$B$997,0),2)="Exit Sign",0,VLOOKUP(S555,xySVG_Factors,2,FALSE))),"")</f>
        <v/>
      </c>
      <c r="AA555" s="545" t="str">
        <f t="shared" si="197"/>
        <v/>
      </c>
      <c r="AB555" s="542" t="str">
        <f t="shared" si="198"/>
        <v/>
      </c>
      <c r="AC555" s="539" t="str">
        <f t="shared" si="199"/>
        <v/>
      </c>
      <c r="AD555" s="546" t="str">
        <f t="shared" si="200"/>
        <v/>
      </c>
      <c r="AE555" s="539" t="str">
        <f t="shared" si="201"/>
        <v/>
      </c>
      <c r="AF555" s="546" t="str">
        <f t="shared" si="202"/>
        <v/>
      </c>
      <c r="AG555" s="539" t="str">
        <f t="shared" si="203"/>
        <v/>
      </c>
      <c r="AH555" s="32">
        <f t="shared" si="205"/>
        <v>0</v>
      </c>
      <c r="AI555" s="32">
        <f t="shared" si="206"/>
        <v>0</v>
      </c>
      <c r="AJ555" s="32">
        <f t="shared" si="207"/>
        <v>0</v>
      </c>
      <c r="AK555" t="str">
        <f t="shared" si="208"/>
        <v/>
      </c>
      <c r="AL555" t="str">
        <f t="shared" si="209"/>
        <v/>
      </c>
      <c r="AM555" t="str">
        <f t="shared" si="210"/>
        <v/>
      </c>
      <c r="AO555" t="str">
        <f>IFERROR(VLOOKUP(M555,'Fixture Identities'!$B$9:$O$1045,14,FALSE),"")</f>
        <v/>
      </c>
      <c r="AP555" t="str">
        <f t="shared" si="204"/>
        <v/>
      </c>
    </row>
    <row r="556" spans="1:42">
      <c r="A556" s="71">
        <f t="shared" si="212"/>
        <v>0</v>
      </c>
      <c r="B556" s="513">
        <f t="shared" si="211"/>
        <v>544</v>
      </c>
      <c r="C556" s="530" t="str">
        <f>IF(Inventory!E553="","",Inventory!E553)</f>
        <v/>
      </c>
      <c r="D556" s="531">
        <f>IF(Inventory!D553="",0,Inventory!D553)</f>
        <v>0</v>
      </c>
      <c r="E556" s="532" t="str">
        <f>IF(Inventory!I553=0,"",Inventory!I553)</f>
        <v/>
      </c>
      <c r="F556" s="533" t="str">
        <f t="shared" si="191"/>
        <v/>
      </c>
      <c r="G556" s="534" t="str">
        <f>IF(Inventory!G553="","",Inventory!G553)</f>
        <v/>
      </c>
      <c r="H556" s="535" t="str">
        <f t="shared" si="192"/>
        <v/>
      </c>
      <c r="I556" s="536" t="str">
        <f>IF(Inventory!J553="","",Inventory!J553)</f>
        <v/>
      </c>
      <c r="J556" s="537" t="str">
        <f>IFERROR(IF(PRJ_Type="New Construction",IF(Inventory!C553="N",INDEX(xyLPD_BuildingArea,MATCH(Building_Type,Lookups!$F$37:$F$75,0),4),INDEX(xyLPD_SpaceBySpace,MATCH(INDEX(xyNCEx,MATCH(I556,yNCExArea,0),2),ySpace_by_Space_Type,0),2)),VLOOKUP(E556,xyWattage_Table,11,FALSE)),"")</f>
        <v/>
      </c>
      <c r="K556" s="538" t="str">
        <f>IFERROR(IF(AND(NC_Type="Building Area Method",Inventory!C553="N"),IF(ISERROR(INDEX('Usage Groups (&gt;120 MWh only)'!$N$8:$N$12,MATCH(C556,'Usage Groups (&gt;120 MWh only)'!$B$8:$B$12,0),1))=TRUE,SqFt/COUNTIFS(Inventory!$C$10:$C$1009,"N",$Q$13:$Q$1012,"&gt;=0"),INDEX('Usage Groups (&gt;120 MWh only)'!$N$8:$N$12,MATCH(C556,'Usage Groups (&gt;120 MWh only)'!$B$8:$B$12,0),1)/COUNTIF($C$13:$C$1012,C556)),IF(AND(NC_Type="Building Area Method",Inventory!C553="Y"),INDEX(xyNCEx,MATCH(I556,yNCExArea,0),3)/COUNTIF($I$13:$I$1012,I556),VLOOKUP(J556,xyWattage_Table,10,FALSE))),"")</f>
        <v/>
      </c>
      <c r="L556" s="539" t="str">
        <f t="shared" si="193"/>
        <v/>
      </c>
      <c r="M556" s="540">
        <f>IF(Inventory!N553="","",Inventory!N553)</f>
        <v>0</v>
      </c>
      <c r="N556" s="533" t="str">
        <f t="shared" si="194"/>
        <v/>
      </c>
      <c r="O556" s="534"/>
      <c r="P556" s="533" t="str">
        <f t="shared" si="195"/>
        <v/>
      </c>
      <c r="Q556" s="534" t="str">
        <f>IF(Inventory!L553="","",Inventory!L553)</f>
        <v/>
      </c>
      <c r="R556" s="535" t="str">
        <f t="shared" si="196"/>
        <v/>
      </c>
      <c r="S556" s="536" t="str">
        <f>IF(Inventory!O553="","",Inventory!O553)</f>
        <v/>
      </c>
      <c r="T556" s="541" t="str">
        <f>IFERROR(IF(C556="","",IF(INDEX(xyWattage_Table,MATCH(M556,'Fixture Identities'!$B$9:$B$997,0),2)="Exit Sign",8760,IF(VLOOKUP(C556,xySpace_Type_Details,8,FALSE)="TRM",INDEX('General Information'!$AF$17:$AG$28,11,MATCH(N556,'General Information'!$AF$16:$AG$16,0)),HLOOKUP(VLOOKUP(C556,xySpace_Type_Details,8,FALSE),'General Information'!$P$15:$AG$28,13,FALSE)))),"")</f>
        <v/>
      </c>
      <c r="U556" s="542" t="str">
        <f>IFERROR(IF(C556="","",IF(INDEX(xyWattage_Table,MATCH(M556,'Fixture Identities'!$B$9:$B$997,0),2)="Exit Sign",1,IF(VLOOKUP(C556,xySpace_Type_Details,8,FALSE)="TRM",INDEX('General Information'!$AF$17:$AG$28,12,MATCH(N556,'General Information'!$AF$16:$AG$16,0)),HLOOKUP(VLOOKUP(C556,xySpace_Type_Details,8,FALSE),'General Information'!$P$15:$AG$28,14,FALSE)))),"")</f>
        <v/>
      </c>
      <c r="V556" s="542" t="str">
        <f>IFERROR(VLOOKUP(INDEX(xySpace_Type_Details,MATCH($C556,'General Information'!$C$40:$C$60,0),12),Lookups!$L$8:$N$12,2,FALSE),"")</f>
        <v/>
      </c>
      <c r="W556" s="542" t="str">
        <f>IFERROR(VLOOKUP(INDEX(xySpace_Type_Details,MATCH($C556,'General Information'!$C$40:$C$60,0),12),Lookups!$L$8:$N$12,3,FALSE),"")</f>
        <v/>
      </c>
      <c r="Y556" s="542" t="str">
        <f>IFERROR(IF(C556="","",IF(INDEX(xyWattage_Table,MATCH(M556,'Fixture Identities'!$B$9:$B$997,0),2)="Exit Sign",0,IF(PRJ_Type="Retrofit",VLOOKUP(I556,xySVG_Factors,2,FALSE),IF(AND(PRJ_Type="New Construction",Inventory!C553="N"),VLOOKUP(VLOOKUP(Building_Type,xyLPD_BuildingArea,5,FALSE),xySVG_Factors_NC,3,FALSE),0)))),"")</f>
        <v/>
      </c>
      <c r="Z556" s="544" t="str">
        <f>IFERROR(IF(C556="","",IF(INDEX(xyWattage_Table,MATCH(M556,'Fixture Identities'!$B$9:$B$997,0),2)="Exit Sign",0,VLOOKUP(S556,xySVG_Factors,2,FALSE))),"")</f>
        <v/>
      </c>
      <c r="AA556" s="545" t="str">
        <f t="shared" si="197"/>
        <v/>
      </c>
      <c r="AB556" s="542" t="str">
        <f t="shared" si="198"/>
        <v/>
      </c>
      <c r="AC556" s="539" t="str">
        <f t="shared" si="199"/>
        <v/>
      </c>
      <c r="AD556" s="546" t="str">
        <f t="shared" si="200"/>
        <v/>
      </c>
      <c r="AE556" s="539" t="str">
        <f t="shared" si="201"/>
        <v/>
      </c>
      <c r="AF556" s="546" t="str">
        <f t="shared" si="202"/>
        <v/>
      </c>
      <c r="AG556" s="539" t="str">
        <f t="shared" si="203"/>
        <v/>
      </c>
      <c r="AH556" s="32">
        <f t="shared" si="205"/>
        <v>0</v>
      </c>
      <c r="AI556" s="32">
        <f t="shared" si="206"/>
        <v>0</v>
      </c>
      <c r="AJ556" s="32">
        <f t="shared" si="207"/>
        <v>0</v>
      </c>
      <c r="AK556" t="str">
        <f t="shared" si="208"/>
        <v/>
      </c>
      <c r="AL556" t="str">
        <f t="shared" si="209"/>
        <v/>
      </c>
      <c r="AM556" t="str">
        <f t="shared" si="210"/>
        <v/>
      </c>
      <c r="AO556" t="str">
        <f>IFERROR(VLOOKUP(M556,'Fixture Identities'!$B$9:$O$1045,14,FALSE),"")</f>
        <v/>
      </c>
      <c r="AP556" t="str">
        <f t="shared" si="204"/>
        <v/>
      </c>
    </row>
    <row r="557" spans="1:42">
      <c r="A557" s="71">
        <f t="shared" si="212"/>
        <v>0</v>
      </c>
      <c r="B557" s="513">
        <f t="shared" si="211"/>
        <v>545</v>
      </c>
      <c r="C557" s="530" t="str">
        <f>IF(Inventory!E554="","",Inventory!E554)</f>
        <v/>
      </c>
      <c r="D557" s="531">
        <f>IF(Inventory!D554="",0,Inventory!D554)</f>
        <v>0</v>
      </c>
      <c r="E557" s="532" t="str">
        <f>IF(Inventory!I554=0,"",Inventory!I554)</f>
        <v/>
      </c>
      <c r="F557" s="533" t="str">
        <f t="shared" si="191"/>
        <v/>
      </c>
      <c r="G557" s="534" t="str">
        <f>IF(Inventory!G554="","",Inventory!G554)</f>
        <v/>
      </c>
      <c r="H557" s="535" t="str">
        <f t="shared" si="192"/>
        <v/>
      </c>
      <c r="I557" s="536" t="str">
        <f>IF(Inventory!J554="","",Inventory!J554)</f>
        <v/>
      </c>
      <c r="J557" s="537" t="str">
        <f>IFERROR(IF(PRJ_Type="New Construction",IF(Inventory!C554="N",INDEX(xyLPD_BuildingArea,MATCH(Building_Type,Lookups!$F$37:$F$75,0),4),INDEX(xyLPD_SpaceBySpace,MATCH(INDEX(xyNCEx,MATCH(I557,yNCExArea,0),2),ySpace_by_Space_Type,0),2)),VLOOKUP(E557,xyWattage_Table,11,FALSE)),"")</f>
        <v/>
      </c>
      <c r="K557" s="538" t="str">
        <f>IFERROR(IF(AND(NC_Type="Building Area Method",Inventory!C554="N"),IF(ISERROR(INDEX('Usage Groups (&gt;120 MWh only)'!$N$8:$N$12,MATCH(C557,'Usage Groups (&gt;120 MWh only)'!$B$8:$B$12,0),1))=TRUE,SqFt/COUNTIFS(Inventory!$C$10:$C$1009,"N",$Q$13:$Q$1012,"&gt;=0"),INDEX('Usage Groups (&gt;120 MWh only)'!$N$8:$N$12,MATCH(C557,'Usage Groups (&gt;120 MWh only)'!$B$8:$B$12,0),1)/COUNTIF($C$13:$C$1012,C557)),IF(AND(NC_Type="Building Area Method",Inventory!C554="Y"),INDEX(xyNCEx,MATCH(I557,yNCExArea,0),3)/COUNTIF($I$13:$I$1012,I557),VLOOKUP(J557,xyWattage_Table,10,FALSE))),"")</f>
        <v/>
      </c>
      <c r="L557" s="539" t="str">
        <f t="shared" si="193"/>
        <v/>
      </c>
      <c r="M557" s="540">
        <f>IF(Inventory!N554="","",Inventory!N554)</f>
        <v>0</v>
      </c>
      <c r="N557" s="533" t="str">
        <f t="shared" si="194"/>
        <v/>
      </c>
      <c r="O557" s="534"/>
      <c r="P557" s="533" t="str">
        <f t="shared" si="195"/>
        <v/>
      </c>
      <c r="Q557" s="534" t="str">
        <f>IF(Inventory!L554="","",Inventory!L554)</f>
        <v/>
      </c>
      <c r="R557" s="535" t="str">
        <f t="shared" si="196"/>
        <v/>
      </c>
      <c r="S557" s="536" t="str">
        <f>IF(Inventory!O554="","",Inventory!O554)</f>
        <v/>
      </c>
      <c r="T557" s="541" t="str">
        <f>IFERROR(IF(C557="","",IF(INDEX(xyWattage_Table,MATCH(M557,'Fixture Identities'!$B$9:$B$997,0),2)="Exit Sign",8760,IF(VLOOKUP(C557,xySpace_Type_Details,8,FALSE)="TRM",INDEX('General Information'!$AF$17:$AG$28,11,MATCH(N557,'General Information'!$AF$16:$AG$16,0)),HLOOKUP(VLOOKUP(C557,xySpace_Type_Details,8,FALSE),'General Information'!$P$15:$AG$28,13,FALSE)))),"")</f>
        <v/>
      </c>
      <c r="U557" s="542" t="str">
        <f>IFERROR(IF(C557="","",IF(INDEX(xyWattage_Table,MATCH(M557,'Fixture Identities'!$B$9:$B$997,0),2)="Exit Sign",1,IF(VLOOKUP(C557,xySpace_Type_Details,8,FALSE)="TRM",INDEX('General Information'!$AF$17:$AG$28,12,MATCH(N557,'General Information'!$AF$16:$AG$16,0)),HLOOKUP(VLOOKUP(C557,xySpace_Type_Details,8,FALSE),'General Information'!$P$15:$AG$28,14,FALSE)))),"")</f>
        <v/>
      </c>
      <c r="V557" s="542" t="str">
        <f>IFERROR(VLOOKUP(INDEX(xySpace_Type_Details,MATCH($C557,'General Information'!$C$40:$C$60,0),12),Lookups!$L$8:$N$12,2,FALSE),"")</f>
        <v/>
      </c>
      <c r="W557" s="542" t="str">
        <f>IFERROR(VLOOKUP(INDEX(xySpace_Type_Details,MATCH($C557,'General Information'!$C$40:$C$60,0),12),Lookups!$L$8:$N$12,3,FALSE),"")</f>
        <v/>
      </c>
      <c r="Y557" s="542" t="str">
        <f>IFERROR(IF(C557="","",IF(INDEX(xyWattage_Table,MATCH(M557,'Fixture Identities'!$B$9:$B$997,0),2)="Exit Sign",0,IF(PRJ_Type="Retrofit",VLOOKUP(I557,xySVG_Factors,2,FALSE),IF(AND(PRJ_Type="New Construction",Inventory!C554="N"),VLOOKUP(VLOOKUP(Building_Type,xyLPD_BuildingArea,5,FALSE),xySVG_Factors_NC,3,FALSE),0)))),"")</f>
        <v/>
      </c>
      <c r="Z557" s="544" t="str">
        <f>IFERROR(IF(C557="","",IF(INDEX(xyWattage_Table,MATCH(M557,'Fixture Identities'!$B$9:$B$997,0),2)="Exit Sign",0,VLOOKUP(S557,xySVG_Factors,2,FALSE))),"")</f>
        <v/>
      </c>
      <c r="AA557" s="545" t="str">
        <f t="shared" si="197"/>
        <v/>
      </c>
      <c r="AB557" s="542" t="str">
        <f t="shared" si="198"/>
        <v/>
      </c>
      <c r="AC557" s="539" t="str">
        <f t="shared" si="199"/>
        <v/>
      </c>
      <c r="AD557" s="546" t="str">
        <f t="shared" si="200"/>
        <v/>
      </c>
      <c r="AE557" s="539" t="str">
        <f t="shared" si="201"/>
        <v/>
      </c>
      <c r="AF557" s="546" t="str">
        <f t="shared" si="202"/>
        <v/>
      </c>
      <c r="AG557" s="539" t="str">
        <f t="shared" si="203"/>
        <v/>
      </c>
      <c r="AH557" s="32">
        <f t="shared" si="205"/>
        <v>0</v>
      </c>
      <c r="AI557" s="32">
        <f t="shared" si="206"/>
        <v>0</v>
      </c>
      <c r="AJ557" s="32">
        <f t="shared" si="207"/>
        <v>0</v>
      </c>
      <c r="AK557" t="str">
        <f t="shared" si="208"/>
        <v/>
      </c>
      <c r="AL557" t="str">
        <f t="shared" si="209"/>
        <v/>
      </c>
      <c r="AM557" t="str">
        <f t="shared" si="210"/>
        <v/>
      </c>
      <c r="AO557" t="str">
        <f>IFERROR(VLOOKUP(M557,'Fixture Identities'!$B$9:$O$1045,14,FALSE),"")</f>
        <v/>
      </c>
      <c r="AP557" t="str">
        <f t="shared" si="204"/>
        <v/>
      </c>
    </row>
    <row r="558" spans="1:42">
      <c r="A558" s="71">
        <f t="shared" si="212"/>
        <v>0</v>
      </c>
      <c r="B558" s="513">
        <f t="shared" si="211"/>
        <v>546</v>
      </c>
      <c r="C558" s="530" t="str">
        <f>IF(Inventory!E555="","",Inventory!E555)</f>
        <v/>
      </c>
      <c r="D558" s="531">
        <f>IF(Inventory!D555="",0,Inventory!D555)</f>
        <v>0</v>
      </c>
      <c r="E558" s="532" t="str">
        <f>IF(Inventory!I555=0,"",Inventory!I555)</f>
        <v/>
      </c>
      <c r="F558" s="533" t="str">
        <f t="shared" si="191"/>
        <v/>
      </c>
      <c r="G558" s="534" t="str">
        <f>IF(Inventory!G555="","",Inventory!G555)</f>
        <v/>
      </c>
      <c r="H558" s="535" t="str">
        <f t="shared" si="192"/>
        <v/>
      </c>
      <c r="I558" s="536" t="str">
        <f>IF(Inventory!J555="","",Inventory!J555)</f>
        <v/>
      </c>
      <c r="J558" s="537" t="str">
        <f>IFERROR(IF(PRJ_Type="New Construction",IF(Inventory!C555="N",INDEX(xyLPD_BuildingArea,MATCH(Building_Type,Lookups!$F$37:$F$75,0),4),INDEX(xyLPD_SpaceBySpace,MATCH(INDEX(xyNCEx,MATCH(I558,yNCExArea,0),2),ySpace_by_Space_Type,0),2)),VLOOKUP(E558,xyWattage_Table,11,FALSE)),"")</f>
        <v/>
      </c>
      <c r="K558" s="538" t="str">
        <f>IFERROR(IF(AND(NC_Type="Building Area Method",Inventory!C555="N"),IF(ISERROR(INDEX('Usage Groups (&gt;120 MWh only)'!$N$8:$N$12,MATCH(C558,'Usage Groups (&gt;120 MWh only)'!$B$8:$B$12,0),1))=TRUE,SqFt/COUNTIFS(Inventory!$C$10:$C$1009,"N",$Q$13:$Q$1012,"&gt;=0"),INDEX('Usage Groups (&gt;120 MWh only)'!$N$8:$N$12,MATCH(C558,'Usage Groups (&gt;120 MWh only)'!$B$8:$B$12,0),1)/COUNTIF($C$13:$C$1012,C558)),IF(AND(NC_Type="Building Area Method",Inventory!C555="Y"),INDEX(xyNCEx,MATCH(I558,yNCExArea,0),3)/COUNTIF($I$13:$I$1012,I558),VLOOKUP(J558,xyWattage_Table,10,FALSE))),"")</f>
        <v/>
      </c>
      <c r="L558" s="539" t="str">
        <f t="shared" si="193"/>
        <v/>
      </c>
      <c r="M558" s="540">
        <f>IF(Inventory!N555="","",Inventory!N555)</f>
        <v>0</v>
      </c>
      <c r="N558" s="533" t="str">
        <f t="shared" si="194"/>
        <v/>
      </c>
      <c r="O558" s="534"/>
      <c r="P558" s="533" t="str">
        <f t="shared" si="195"/>
        <v/>
      </c>
      <c r="Q558" s="534" t="str">
        <f>IF(Inventory!L555="","",Inventory!L555)</f>
        <v/>
      </c>
      <c r="R558" s="535" t="str">
        <f t="shared" si="196"/>
        <v/>
      </c>
      <c r="S558" s="536" t="str">
        <f>IF(Inventory!O555="","",Inventory!O555)</f>
        <v/>
      </c>
      <c r="T558" s="541" t="str">
        <f>IFERROR(IF(C558="","",IF(INDEX(xyWattage_Table,MATCH(M558,'Fixture Identities'!$B$9:$B$997,0),2)="Exit Sign",8760,IF(VLOOKUP(C558,xySpace_Type_Details,8,FALSE)="TRM",INDEX('General Information'!$AF$17:$AG$28,11,MATCH(N558,'General Information'!$AF$16:$AG$16,0)),HLOOKUP(VLOOKUP(C558,xySpace_Type_Details,8,FALSE),'General Information'!$P$15:$AG$28,13,FALSE)))),"")</f>
        <v/>
      </c>
      <c r="U558" s="542" t="str">
        <f>IFERROR(IF(C558="","",IF(INDEX(xyWattage_Table,MATCH(M558,'Fixture Identities'!$B$9:$B$997,0),2)="Exit Sign",1,IF(VLOOKUP(C558,xySpace_Type_Details,8,FALSE)="TRM",INDEX('General Information'!$AF$17:$AG$28,12,MATCH(N558,'General Information'!$AF$16:$AG$16,0)),HLOOKUP(VLOOKUP(C558,xySpace_Type_Details,8,FALSE),'General Information'!$P$15:$AG$28,14,FALSE)))),"")</f>
        <v/>
      </c>
      <c r="V558" s="542" t="str">
        <f>IFERROR(VLOOKUP(INDEX(xySpace_Type_Details,MATCH($C558,'General Information'!$C$40:$C$60,0),12),Lookups!$L$8:$N$12,2,FALSE),"")</f>
        <v/>
      </c>
      <c r="W558" s="542" t="str">
        <f>IFERROR(VLOOKUP(INDEX(xySpace_Type_Details,MATCH($C558,'General Information'!$C$40:$C$60,0),12),Lookups!$L$8:$N$12,3,FALSE),"")</f>
        <v/>
      </c>
      <c r="Y558" s="542" t="str">
        <f>IFERROR(IF(C558="","",IF(INDEX(xyWattage_Table,MATCH(M558,'Fixture Identities'!$B$9:$B$997,0),2)="Exit Sign",0,IF(PRJ_Type="Retrofit",VLOOKUP(I558,xySVG_Factors,2,FALSE),IF(AND(PRJ_Type="New Construction",Inventory!C555="N"),VLOOKUP(VLOOKUP(Building_Type,xyLPD_BuildingArea,5,FALSE),xySVG_Factors_NC,3,FALSE),0)))),"")</f>
        <v/>
      </c>
      <c r="Z558" s="544" t="str">
        <f>IFERROR(IF(C558="","",IF(INDEX(xyWattage_Table,MATCH(M558,'Fixture Identities'!$B$9:$B$997,0),2)="Exit Sign",0,VLOOKUP(S558,xySVG_Factors,2,FALSE))),"")</f>
        <v/>
      </c>
      <c r="AA558" s="545" t="str">
        <f t="shared" si="197"/>
        <v/>
      </c>
      <c r="AB558" s="542" t="str">
        <f t="shared" si="198"/>
        <v/>
      </c>
      <c r="AC558" s="539" t="str">
        <f t="shared" si="199"/>
        <v/>
      </c>
      <c r="AD558" s="546" t="str">
        <f t="shared" si="200"/>
        <v/>
      </c>
      <c r="AE558" s="539" t="str">
        <f t="shared" si="201"/>
        <v/>
      </c>
      <c r="AF558" s="546" t="str">
        <f t="shared" si="202"/>
        <v/>
      </c>
      <c r="AG558" s="539" t="str">
        <f t="shared" si="203"/>
        <v/>
      </c>
      <c r="AH558" s="32">
        <f t="shared" si="205"/>
        <v>0</v>
      </c>
      <c r="AI558" s="32">
        <f t="shared" si="206"/>
        <v>0</v>
      </c>
      <c r="AJ558" s="32">
        <f t="shared" si="207"/>
        <v>0</v>
      </c>
      <c r="AK558" t="str">
        <f t="shared" si="208"/>
        <v/>
      </c>
      <c r="AL558" t="str">
        <f t="shared" si="209"/>
        <v/>
      </c>
      <c r="AM558" t="str">
        <f t="shared" si="210"/>
        <v/>
      </c>
      <c r="AO558" t="str">
        <f>IFERROR(VLOOKUP(M558,'Fixture Identities'!$B$9:$O$1045,14,FALSE),"")</f>
        <v/>
      </c>
      <c r="AP558" t="str">
        <f t="shared" si="204"/>
        <v/>
      </c>
    </row>
    <row r="559" spans="1:42">
      <c r="A559" s="71">
        <f t="shared" si="212"/>
        <v>0</v>
      </c>
      <c r="B559" s="513">
        <f t="shared" si="211"/>
        <v>547</v>
      </c>
      <c r="C559" s="530" t="str">
        <f>IF(Inventory!E556="","",Inventory!E556)</f>
        <v/>
      </c>
      <c r="D559" s="531">
        <f>IF(Inventory!D556="",0,Inventory!D556)</f>
        <v>0</v>
      </c>
      <c r="E559" s="532" t="str">
        <f>IF(Inventory!I556=0,"",Inventory!I556)</f>
        <v/>
      </c>
      <c r="F559" s="533" t="str">
        <f t="shared" si="191"/>
        <v/>
      </c>
      <c r="G559" s="534" t="str">
        <f>IF(Inventory!G556="","",Inventory!G556)</f>
        <v/>
      </c>
      <c r="H559" s="535" t="str">
        <f t="shared" si="192"/>
        <v/>
      </c>
      <c r="I559" s="536" t="str">
        <f>IF(Inventory!J556="","",Inventory!J556)</f>
        <v/>
      </c>
      <c r="J559" s="537" t="str">
        <f>IFERROR(IF(PRJ_Type="New Construction",IF(Inventory!C556="N",INDEX(xyLPD_BuildingArea,MATCH(Building_Type,Lookups!$F$37:$F$75,0),4),INDEX(xyLPD_SpaceBySpace,MATCH(INDEX(xyNCEx,MATCH(I559,yNCExArea,0),2),ySpace_by_Space_Type,0),2)),VLOOKUP(E559,xyWattage_Table,11,FALSE)),"")</f>
        <v/>
      </c>
      <c r="K559" s="538" t="str">
        <f>IFERROR(IF(AND(NC_Type="Building Area Method",Inventory!C556="N"),IF(ISERROR(INDEX('Usage Groups (&gt;120 MWh only)'!$N$8:$N$12,MATCH(C559,'Usage Groups (&gt;120 MWh only)'!$B$8:$B$12,0),1))=TRUE,SqFt/COUNTIFS(Inventory!$C$10:$C$1009,"N",$Q$13:$Q$1012,"&gt;=0"),INDEX('Usage Groups (&gt;120 MWh only)'!$N$8:$N$12,MATCH(C559,'Usage Groups (&gt;120 MWh only)'!$B$8:$B$12,0),1)/COUNTIF($C$13:$C$1012,C559)),IF(AND(NC_Type="Building Area Method",Inventory!C556="Y"),INDEX(xyNCEx,MATCH(I559,yNCExArea,0),3)/COUNTIF($I$13:$I$1012,I559),VLOOKUP(J559,xyWattage_Table,10,FALSE))),"")</f>
        <v/>
      </c>
      <c r="L559" s="539" t="str">
        <f t="shared" si="193"/>
        <v/>
      </c>
      <c r="M559" s="540">
        <f>IF(Inventory!N556="","",Inventory!N556)</f>
        <v>0</v>
      </c>
      <c r="N559" s="533" t="str">
        <f t="shared" si="194"/>
        <v/>
      </c>
      <c r="O559" s="534"/>
      <c r="P559" s="533" t="str">
        <f t="shared" si="195"/>
        <v/>
      </c>
      <c r="Q559" s="534" t="str">
        <f>IF(Inventory!L556="","",Inventory!L556)</f>
        <v/>
      </c>
      <c r="R559" s="535" t="str">
        <f t="shared" si="196"/>
        <v/>
      </c>
      <c r="S559" s="536" t="str">
        <f>IF(Inventory!O556="","",Inventory!O556)</f>
        <v/>
      </c>
      <c r="T559" s="541" t="str">
        <f>IFERROR(IF(C559="","",IF(INDEX(xyWattage_Table,MATCH(M559,'Fixture Identities'!$B$9:$B$997,0),2)="Exit Sign",8760,IF(VLOOKUP(C559,xySpace_Type_Details,8,FALSE)="TRM",INDEX('General Information'!$AF$17:$AG$28,11,MATCH(N559,'General Information'!$AF$16:$AG$16,0)),HLOOKUP(VLOOKUP(C559,xySpace_Type_Details,8,FALSE),'General Information'!$P$15:$AG$28,13,FALSE)))),"")</f>
        <v/>
      </c>
      <c r="U559" s="542" t="str">
        <f>IFERROR(IF(C559="","",IF(INDEX(xyWattage_Table,MATCH(M559,'Fixture Identities'!$B$9:$B$997,0),2)="Exit Sign",1,IF(VLOOKUP(C559,xySpace_Type_Details,8,FALSE)="TRM",INDEX('General Information'!$AF$17:$AG$28,12,MATCH(N559,'General Information'!$AF$16:$AG$16,0)),HLOOKUP(VLOOKUP(C559,xySpace_Type_Details,8,FALSE),'General Information'!$P$15:$AG$28,14,FALSE)))),"")</f>
        <v/>
      </c>
      <c r="V559" s="542" t="str">
        <f>IFERROR(VLOOKUP(INDEX(xySpace_Type_Details,MATCH($C559,'General Information'!$C$40:$C$60,0),12),Lookups!$L$8:$N$12,2,FALSE),"")</f>
        <v/>
      </c>
      <c r="W559" s="542" t="str">
        <f>IFERROR(VLOOKUP(INDEX(xySpace_Type_Details,MATCH($C559,'General Information'!$C$40:$C$60,0),12),Lookups!$L$8:$N$12,3,FALSE),"")</f>
        <v/>
      </c>
      <c r="Y559" s="542" t="str">
        <f>IFERROR(IF(C559="","",IF(INDEX(xyWattage_Table,MATCH(M559,'Fixture Identities'!$B$9:$B$997,0),2)="Exit Sign",0,IF(PRJ_Type="Retrofit",VLOOKUP(I559,xySVG_Factors,2,FALSE),IF(AND(PRJ_Type="New Construction",Inventory!C556="N"),VLOOKUP(VLOOKUP(Building_Type,xyLPD_BuildingArea,5,FALSE),xySVG_Factors_NC,3,FALSE),0)))),"")</f>
        <v/>
      </c>
      <c r="Z559" s="544" t="str">
        <f>IFERROR(IF(C559="","",IF(INDEX(xyWattage_Table,MATCH(M559,'Fixture Identities'!$B$9:$B$997,0),2)="Exit Sign",0,VLOOKUP(S559,xySVG_Factors,2,FALSE))),"")</f>
        <v/>
      </c>
      <c r="AA559" s="545" t="str">
        <f t="shared" si="197"/>
        <v/>
      </c>
      <c r="AB559" s="542" t="str">
        <f t="shared" si="198"/>
        <v/>
      </c>
      <c r="AC559" s="539" t="str">
        <f t="shared" si="199"/>
        <v/>
      </c>
      <c r="AD559" s="546" t="str">
        <f t="shared" si="200"/>
        <v/>
      </c>
      <c r="AE559" s="539" t="str">
        <f t="shared" si="201"/>
        <v/>
      </c>
      <c r="AF559" s="546" t="str">
        <f t="shared" si="202"/>
        <v/>
      </c>
      <c r="AG559" s="539" t="str">
        <f t="shared" si="203"/>
        <v/>
      </c>
      <c r="AH559" s="32">
        <f t="shared" si="205"/>
        <v>0</v>
      </c>
      <c r="AI559" s="32">
        <f t="shared" si="206"/>
        <v>0</v>
      </c>
      <c r="AJ559" s="32">
        <f t="shared" si="207"/>
        <v>0</v>
      </c>
      <c r="AK559" t="str">
        <f t="shared" si="208"/>
        <v/>
      </c>
      <c r="AL559" t="str">
        <f t="shared" si="209"/>
        <v/>
      </c>
      <c r="AM559" t="str">
        <f t="shared" si="210"/>
        <v/>
      </c>
      <c r="AO559" t="str">
        <f>IFERROR(VLOOKUP(M559,'Fixture Identities'!$B$9:$O$1045,14,FALSE),"")</f>
        <v/>
      </c>
      <c r="AP559" t="str">
        <f t="shared" si="204"/>
        <v/>
      </c>
    </row>
    <row r="560" spans="1:42">
      <c r="A560" s="71">
        <f t="shared" si="212"/>
        <v>0</v>
      </c>
      <c r="B560" s="513">
        <f t="shared" si="211"/>
        <v>548</v>
      </c>
      <c r="C560" s="530" t="str">
        <f>IF(Inventory!E557="","",Inventory!E557)</f>
        <v/>
      </c>
      <c r="D560" s="531">
        <f>IF(Inventory!D557="",0,Inventory!D557)</f>
        <v>0</v>
      </c>
      <c r="E560" s="532" t="str">
        <f>IF(Inventory!I557=0,"",Inventory!I557)</f>
        <v/>
      </c>
      <c r="F560" s="533" t="str">
        <f t="shared" si="191"/>
        <v/>
      </c>
      <c r="G560" s="534" t="str">
        <f>IF(Inventory!G557="","",Inventory!G557)</f>
        <v/>
      </c>
      <c r="H560" s="535" t="str">
        <f t="shared" si="192"/>
        <v/>
      </c>
      <c r="I560" s="536" t="str">
        <f>IF(Inventory!J557="","",Inventory!J557)</f>
        <v/>
      </c>
      <c r="J560" s="537" t="str">
        <f>IFERROR(IF(PRJ_Type="New Construction",IF(Inventory!C557="N",INDEX(xyLPD_BuildingArea,MATCH(Building_Type,Lookups!$F$37:$F$75,0),4),INDEX(xyLPD_SpaceBySpace,MATCH(INDEX(xyNCEx,MATCH(I560,yNCExArea,0),2),ySpace_by_Space_Type,0),2)),VLOOKUP(E560,xyWattage_Table,11,FALSE)),"")</f>
        <v/>
      </c>
      <c r="K560" s="538" t="str">
        <f>IFERROR(IF(AND(NC_Type="Building Area Method",Inventory!C557="N"),IF(ISERROR(INDEX('Usage Groups (&gt;120 MWh only)'!$N$8:$N$12,MATCH(C560,'Usage Groups (&gt;120 MWh only)'!$B$8:$B$12,0),1))=TRUE,SqFt/COUNTIFS(Inventory!$C$10:$C$1009,"N",$Q$13:$Q$1012,"&gt;=0"),INDEX('Usage Groups (&gt;120 MWh only)'!$N$8:$N$12,MATCH(C560,'Usage Groups (&gt;120 MWh only)'!$B$8:$B$12,0),1)/COUNTIF($C$13:$C$1012,C560)),IF(AND(NC_Type="Building Area Method",Inventory!C557="Y"),INDEX(xyNCEx,MATCH(I560,yNCExArea,0),3)/COUNTIF($I$13:$I$1012,I560),VLOOKUP(J560,xyWattage_Table,10,FALSE))),"")</f>
        <v/>
      </c>
      <c r="L560" s="539" t="str">
        <f t="shared" si="193"/>
        <v/>
      </c>
      <c r="M560" s="540">
        <f>IF(Inventory!N557="","",Inventory!N557)</f>
        <v>0</v>
      </c>
      <c r="N560" s="533" t="str">
        <f t="shared" si="194"/>
        <v/>
      </c>
      <c r="O560" s="534"/>
      <c r="P560" s="533" t="str">
        <f t="shared" si="195"/>
        <v/>
      </c>
      <c r="Q560" s="534" t="str">
        <f>IF(Inventory!L557="","",Inventory!L557)</f>
        <v/>
      </c>
      <c r="R560" s="535" t="str">
        <f t="shared" si="196"/>
        <v/>
      </c>
      <c r="S560" s="536" t="str">
        <f>IF(Inventory!O557="","",Inventory!O557)</f>
        <v/>
      </c>
      <c r="T560" s="541" t="str">
        <f>IFERROR(IF(C560="","",IF(INDEX(xyWattage_Table,MATCH(M560,'Fixture Identities'!$B$9:$B$997,0),2)="Exit Sign",8760,IF(VLOOKUP(C560,xySpace_Type_Details,8,FALSE)="TRM",INDEX('General Information'!$AF$17:$AG$28,11,MATCH(N560,'General Information'!$AF$16:$AG$16,0)),HLOOKUP(VLOOKUP(C560,xySpace_Type_Details,8,FALSE),'General Information'!$P$15:$AG$28,13,FALSE)))),"")</f>
        <v/>
      </c>
      <c r="U560" s="542" t="str">
        <f>IFERROR(IF(C560="","",IF(INDEX(xyWattage_Table,MATCH(M560,'Fixture Identities'!$B$9:$B$997,0),2)="Exit Sign",1,IF(VLOOKUP(C560,xySpace_Type_Details,8,FALSE)="TRM",INDEX('General Information'!$AF$17:$AG$28,12,MATCH(N560,'General Information'!$AF$16:$AG$16,0)),HLOOKUP(VLOOKUP(C560,xySpace_Type_Details,8,FALSE),'General Information'!$P$15:$AG$28,14,FALSE)))),"")</f>
        <v/>
      </c>
      <c r="V560" s="542" t="str">
        <f>IFERROR(VLOOKUP(INDEX(xySpace_Type_Details,MATCH($C560,'General Information'!$C$40:$C$60,0),12),Lookups!$L$8:$N$12,2,FALSE),"")</f>
        <v/>
      </c>
      <c r="W560" s="542" t="str">
        <f>IFERROR(VLOOKUP(INDEX(xySpace_Type_Details,MATCH($C560,'General Information'!$C$40:$C$60,0),12),Lookups!$L$8:$N$12,3,FALSE),"")</f>
        <v/>
      </c>
      <c r="Y560" s="542" t="str">
        <f>IFERROR(IF(C560="","",IF(INDEX(xyWattage_Table,MATCH(M560,'Fixture Identities'!$B$9:$B$997,0),2)="Exit Sign",0,IF(PRJ_Type="Retrofit",VLOOKUP(I560,xySVG_Factors,2,FALSE),IF(AND(PRJ_Type="New Construction",Inventory!C557="N"),VLOOKUP(VLOOKUP(Building_Type,xyLPD_BuildingArea,5,FALSE),xySVG_Factors_NC,3,FALSE),0)))),"")</f>
        <v/>
      </c>
      <c r="Z560" s="544" t="str">
        <f>IFERROR(IF(C560="","",IF(INDEX(xyWattage_Table,MATCH(M560,'Fixture Identities'!$B$9:$B$997,0),2)="Exit Sign",0,VLOOKUP(S560,xySVG_Factors,2,FALSE))),"")</f>
        <v/>
      </c>
      <c r="AA560" s="545" t="str">
        <f t="shared" si="197"/>
        <v/>
      </c>
      <c r="AB560" s="542" t="str">
        <f t="shared" si="198"/>
        <v/>
      </c>
      <c r="AC560" s="539" t="str">
        <f t="shared" si="199"/>
        <v/>
      </c>
      <c r="AD560" s="546" t="str">
        <f t="shared" si="200"/>
        <v/>
      </c>
      <c r="AE560" s="539" t="str">
        <f t="shared" si="201"/>
        <v/>
      </c>
      <c r="AF560" s="546" t="str">
        <f t="shared" si="202"/>
        <v/>
      </c>
      <c r="AG560" s="539" t="str">
        <f t="shared" si="203"/>
        <v/>
      </c>
      <c r="AH560" s="32">
        <f t="shared" si="205"/>
        <v>0</v>
      </c>
      <c r="AI560" s="32">
        <f t="shared" si="206"/>
        <v>0</v>
      </c>
      <c r="AJ560" s="32">
        <f t="shared" si="207"/>
        <v>0</v>
      </c>
      <c r="AK560" t="str">
        <f t="shared" si="208"/>
        <v/>
      </c>
      <c r="AL560" t="str">
        <f t="shared" si="209"/>
        <v/>
      </c>
      <c r="AM560" t="str">
        <f t="shared" si="210"/>
        <v/>
      </c>
      <c r="AO560" t="str">
        <f>IFERROR(VLOOKUP(M560,'Fixture Identities'!$B$9:$O$1045,14,FALSE),"")</f>
        <v/>
      </c>
      <c r="AP560" t="str">
        <f t="shared" si="204"/>
        <v/>
      </c>
    </row>
    <row r="561" spans="1:42">
      <c r="A561" s="71">
        <f t="shared" si="212"/>
        <v>0</v>
      </c>
      <c r="B561" s="513">
        <f t="shared" si="211"/>
        <v>549</v>
      </c>
      <c r="C561" s="530" t="str">
        <f>IF(Inventory!E558="","",Inventory!E558)</f>
        <v/>
      </c>
      <c r="D561" s="531">
        <f>IF(Inventory!D558="",0,Inventory!D558)</f>
        <v>0</v>
      </c>
      <c r="E561" s="532" t="str">
        <f>IF(Inventory!I558=0,"",Inventory!I558)</f>
        <v/>
      </c>
      <c r="F561" s="533" t="str">
        <f t="shared" si="191"/>
        <v/>
      </c>
      <c r="G561" s="534" t="str">
        <f>IF(Inventory!G558="","",Inventory!G558)</f>
        <v/>
      </c>
      <c r="H561" s="535" t="str">
        <f t="shared" si="192"/>
        <v/>
      </c>
      <c r="I561" s="536" t="str">
        <f>IF(Inventory!J558="","",Inventory!J558)</f>
        <v/>
      </c>
      <c r="J561" s="537" t="str">
        <f>IFERROR(IF(PRJ_Type="New Construction",IF(Inventory!C558="N",INDEX(xyLPD_BuildingArea,MATCH(Building_Type,Lookups!$F$37:$F$75,0),4),INDEX(xyLPD_SpaceBySpace,MATCH(INDEX(xyNCEx,MATCH(I561,yNCExArea,0),2),ySpace_by_Space_Type,0),2)),VLOOKUP(E561,xyWattage_Table,11,FALSE)),"")</f>
        <v/>
      </c>
      <c r="K561" s="538" t="str">
        <f>IFERROR(IF(AND(NC_Type="Building Area Method",Inventory!C558="N"),IF(ISERROR(INDEX('Usage Groups (&gt;120 MWh only)'!$N$8:$N$12,MATCH(C561,'Usage Groups (&gt;120 MWh only)'!$B$8:$B$12,0),1))=TRUE,SqFt/COUNTIFS(Inventory!$C$10:$C$1009,"N",$Q$13:$Q$1012,"&gt;=0"),INDEX('Usage Groups (&gt;120 MWh only)'!$N$8:$N$12,MATCH(C561,'Usage Groups (&gt;120 MWh only)'!$B$8:$B$12,0),1)/COUNTIF($C$13:$C$1012,C561)),IF(AND(NC_Type="Building Area Method",Inventory!C558="Y"),INDEX(xyNCEx,MATCH(I561,yNCExArea,0),3)/COUNTIF($I$13:$I$1012,I561),VLOOKUP(J561,xyWattage_Table,10,FALSE))),"")</f>
        <v/>
      </c>
      <c r="L561" s="539" t="str">
        <f t="shared" si="193"/>
        <v/>
      </c>
      <c r="M561" s="540">
        <f>IF(Inventory!N558="","",Inventory!N558)</f>
        <v>0</v>
      </c>
      <c r="N561" s="533" t="str">
        <f t="shared" si="194"/>
        <v/>
      </c>
      <c r="O561" s="534"/>
      <c r="P561" s="533" t="str">
        <f t="shared" si="195"/>
        <v/>
      </c>
      <c r="Q561" s="534" t="str">
        <f>IF(Inventory!L558="","",Inventory!L558)</f>
        <v/>
      </c>
      <c r="R561" s="535" t="str">
        <f t="shared" si="196"/>
        <v/>
      </c>
      <c r="S561" s="536" t="str">
        <f>IF(Inventory!O558="","",Inventory!O558)</f>
        <v/>
      </c>
      <c r="T561" s="541" t="str">
        <f>IFERROR(IF(C561="","",IF(INDEX(xyWattage_Table,MATCH(M561,'Fixture Identities'!$B$9:$B$997,0),2)="Exit Sign",8760,IF(VLOOKUP(C561,xySpace_Type_Details,8,FALSE)="TRM",INDEX('General Information'!$AF$17:$AG$28,11,MATCH(N561,'General Information'!$AF$16:$AG$16,0)),HLOOKUP(VLOOKUP(C561,xySpace_Type_Details,8,FALSE),'General Information'!$P$15:$AG$28,13,FALSE)))),"")</f>
        <v/>
      </c>
      <c r="U561" s="542" t="str">
        <f>IFERROR(IF(C561="","",IF(INDEX(xyWattage_Table,MATCH(M561,'Fixture Identities'!$B$9:$B$997,0),2)="Exit Sign",1,IF(VLOOKUP(C561,xySpace_Type_Details,8,FALSE)="TRM",INDEX('General Information'!$AF$17:$AG$28,12,MATCH(N561,'General Information'!$AF$16:$AG$16,0)),HLOOKUP(VLOOKUP(C561,xySpace_Type_Details,8,FALSE),'General Information'!$P$15:$AG$28,14,FALSE)))),"")</f>
        <v/>
      </c>
      <c r="V561" s="542" t="str">
        <f>IFERROR(VLOOKUP(INDEX(xySpace_Type_Details,MATCH($C561,'General Information'!$C$40:$C$60,0),12),Lookups!$L$8:$N$12,2,FALSE),"")</f>
        <v/>
      </c>
      <c r="W561" s="542" t="str">
        <f>IFERROR(VLOOKUP(INDEX(xySpace_Type_Details,MATCH($C561,'General Information'!$C$40:$C$60,0),12),Lookups!$L$8:$N$12,3,FALSE),"")</f>
        <v/>
      </c>
      <c r="Y561" s="542" t="str">
        <f>IFERROR(IF(C561="","",IF(INDEX(xyWattage_Table,MATCH(M561,'Fixture Identities'!$B$9:$B$997,0),2)="Exit Sign",0,IF(PRJ_Type="Retrofit",VLOOKUP(I561,xySVG_Factors,2,FALSE),IF(AND(PRJ_Type="New Construction",Inventory!C558="N"),VLOOKUP(VLOOKUP(Building_Type,xyLPD_BuildingArea,5,FALSE),xySVG_Factors_NC,3,FALSE),0)))),"")</f>
        <v/>
      </c>
      <c r="Z561" s="544" t="str">
        <f>IFERROR(IF(C561="","",IF(INDEX(xyWattage_Table,MATCH(M561,'Fixture Identities'!$B$9:$B$997,0),2)="Exit Sign",0,VLOOKUP(S561,xySVG_Factors,2,FALSE))),"")</f>
        <v/>
      </c>
      <c r="AA561" s="545" t="str">
        <f t="shared" si="197"/>
        <v/>
      </c>
      <c r="AB561" s="542" t="str">
        <f t="shared" si="198"/>
        <v/>
      </c>
      <c r="AC561" s="539" t="str">
        <f t="shared" si="199"/>
        <v/>
      </c>
      <c r="AD561" s="546" t="str">
        <f t="shared" si="200"/>
        <v/>
      </c>
      <c r="AE561" s="539" t="str">
        <f t="shared" si="201"/>
        <v/>
      </c>
      <c r="AF561" s="546" t="str">
        <f t="shared" si="202"/>
        <v/>
      </c>
      <c r="AG561" s="539" t="str">
        <f t="shared" si="203"/>
        <v/>
      </c>
      <c r="AH561" s="32">
        <f t="shared" si="205"/>
        <v>0</v>
      </c>
      <c r="AI561" s="32">
        <f t="shared" si="206"/>
        <v>0</v>
      </c>
      <c r="AJ561" s="32">
        <f t="shared" si="207"/>
        <v>0</v>
      </c>
      <c r="AK561" t="str">
        <f t="shared" si="208"/>
        <v/>
      </c>
      <c r="AL561" t="str">
        <f t="shared" si="209"/>
        <v/>
      </c>
      <c r="AM561" t="str">
        <f t="shared" si="210"/>
        <v/>
      </c>
      <c r="AO561" t="str">
        <f>IFERROR(VLOOKUP(M561,'Fixture Identities'!$B$9:$O$1045,14,FALSE),"")</f>
        <v/>
      </c>
      <c r="AP561" t="str">
        <f t="shared" si="204"/>
        <v/>
      </c>
    </row>
    <row r="562" spans="1:42">
      <c r="A562" s="71">
        <f t="shared" si="212"/>
        <v>0</v>
      </c>
      <c r="B562" s="513">
        <f t="shared" si="211"/>
        <v>550</v>
      </c>
      <c r="C562" s="530" t="str">
        <f>IF(Inventory!E559="","",Inventory!E559)</f>
        <v/>
      </c>
      <c r="D562" s="531">
        <f>IF(Inventory!D559="",0,Inventory!D559)</f>
        <v>0</v>
      </c>
      <c r="E562" s="532" t="str">
        <f>IF(Inventory!I559=0,"",Inventory!I559)</f>
        <v/>
      </c>
      <c r="F562" s="533" t="str">
        <f t="shared" si="191"/>
        <v/>
      </c>
      <c r="G562" s="534" t="str">
        <f>IF(Inventory!G559="","",Inventory!G559)</f>
        <v/>
      </c>
      <c r="H562" s="535" t="str">
        <f t="shared" si="192"/>
        <v/>
      </c>
      <c r="I562" s="536" t="str">
        <f>IF(Inventory!J559="","",Inventory!J559)</f>
        <v/>
      </c>
      <c r="J562" s="537" t="str">
        <f>IFERROR(IF(PRJ_Type="New Construction",IF(Inventory!C559="N",INDEX(xyLPD_BuildingArea,MATCH(Building_Type,Lookups!$F$37:$F$75,0),4),INDEX(xyLPD_SpaceBySpace,MATCH(INDEX(xyNCEx,MATCH(I562,yNCExArea,0),2),ySpace_by_Space_Type,0),2)),VLOOKUP(E562,xyWattage_Table,11,FALSE)),"")</f>
        <v/>
      </c>
      <c r="K562" s="538" t="str">
        <f>IFERROR(IF(AND(NC_Type="Building Area Method",Inventory!C559="N"),IF(ISERROR(INDEX('Usage Groups (&gt;120 MWh only)'!$N$8:$N$12,MATCH(C562,'Usage Groups (&gt;120 MWh only)'!$B$8:$B$12,0),1))=TRUE,SqFt/COUNTIFS(Inventory!$C$10:$C$1009,"N",$Q$13:$Q$1012,"&gt;=0"),INDEX('Usage Groups (&gt;120 MWh only)'!$N$8:$N$12,MATCH(C562,'Usage Groups (&gt;120 MWh only)'!$B$8:$B$12,0),1)/COUNTIF($C$13:$C$1012,C562)),IF(AND(NC_Type="Building Area Method",Inventory!C559="Y"),INDEX(xyNCEx,MATCH(I562,yNCExArea,0),3)/COUNTIF($I$13:$I$1012,I562),VLOOKUP(J562,xyWattage_Table,10,FALSE))),"")</f>
        <v/>
      </c>
      <c r="L562" s="539" t="str">
        <f t="shared" si="193"/>
        <v/>
      </c>
      <c r="M562" s="540">
        <f>IF(Inventory!N559="","",Inventory!N559)</f>
        <v>0</v>
      </c>
      <c r="N562" s="533" t="str">
        <f t="shared" si="194"/>
        <v/>
      </c>
      <c r="O562" s="534"/>
      <c r="P562" s="533" t="str">
        <f t="shared" si="195"/>
        <v/>
      </c>
      <c r="Q562" s="534" t="str">
        <f>IF(Inventory!L559="","",Inventory!L559)</f>
        <v/>
      </c>
      <c r="R562" s="535" t="str">
        <f t="shared" si="196"/>
        <v/>
      </c>
      <c r="S562" s="536" t="str">
        <f>IF(Inventory!O559="","",Inventory!O559)</f>
        <v/>
      </c>
      <c r="T562" s="541" t="str">
        <f>IFERROR(IF(C562="","",IF(INDEX(xyWattage_Table,MATCH(M562,'Fixture Identities'!$B$9:$B$997,0),2)="Exit Sign",8760,IF(VLOOKUP(C562,xySpace_Type_Details,8,FALSE)="TRM",INDEX('General Information'!$AF$17:$AG$28,11,MATCH(N562,'General Information'!$AF$16:$AG$16,0)),HLOOKUP(VLOOKUP(C562,xySpace_Type_Details,8,FALSE),'General Information'!$P$15:$AG$28,13,FALSE)))),"")</f>
        <v/>
      </c>
      <c r="U562" s="542" t="str">
        <f>IFERROR(IF(C562="","",IF(INDEX(xyWattage_Table,MATCH(M562,'Fixture Identities'!$B$9:$B$997,0),2)="Exit Sign",1,IF(VLOOKUP(C562,xySpace_Type_Details,8,FALSE)="TRM",INDEX('General Information'!$AF$17:$AG$28,12,MATCH(N562,'General Information'!$AF$16:$AG$16,0)),HLOOKUP(VLOOKUP(C562,xySpace_Type_Details,8,FALSE),'General Information'!$P$15:$AG$28,14,FALSE)))),"")</f>
        <v/>
      </c>
      <c r="V562" s="542" t="str">
        <f>IFERROR(VLOOKUP(INDEX(xySpace_Type_Details,MATCH($C562,'General Information'!$C$40:$C$60,0),12),Lookups!$L$8:$N$12,2,FALSE),"")</f>
        <v/>
      </c>
      <c r="W562" s="542" t="str">
        <f>IFERROR(VLOOKUP(INDEX(xySpace_Type_Details,MATCH($C562,'General Information'!$C$40:$C$60,0),12),Lookups!$L$8:$N$12,3,FALSE),"")</f>
        <v/>
      </c>
      <c r="Y562" s="542" t="str">
        <f>IFERROR(IF(C562="","",IF(INDEX(xyWattage_Table,MATCH(M562,'Fixture Identities'!$B$9:$B$997,0),2)="Exit Sign",0,IF(PRJ_Type="Retrofit",VLOOKUP(I562,xySVG_Factors,2,FALSE),IF(AND(PRJ_Type="New Construction",Inventory!C559="N"),VLOOKUP(VLOOKUP(Building_Type,xyLPD_BuildingArea,5,FALSE),xySVG_Factors_NC,3,FALSE),0)))),"")</f>
        <v/>
      </c>
      <c r="Z562" s="544" t="str">
        <f>IFERROR(IF(C562="","",IF(INDEX(xyWattage_Table,MATCH(M562,'Fixture Identities'!$B$9:$B$997,0),2)="Exit Sign",0,VLOOKUP(S562,xySVG_Factors,2,FALSE))),"")</f>
        <v/>
      </c>
      <c r="AA562" s="545" t="str">
        <f t="shared" si="197"/>
        <v/>
      </c>
      <c r="AB562" s="542" t="str">
        <f t="shared" si="198"/>
        <v/>
      </c>
      <c r="AC562" s="539" t="str">
        <f t="shared" si="199"/>
        <v/>
      </c>
      <c r="AD562" s="546" t="str">
        <f t="shared" si="200"/>
        <v/>
      </c>
      <c r="AE562" s="539" t="str">
        <f t="shared" si="201"/>
        <v/>
      </c>
      <c r="AF562" s="546" t="str">
        <f t="shared" si="202"/>
        <v/>
      </c>
      <c r="AG562" s="539" t="str">
        <f t="shared" si="203"/>
        <v/>
      </c>
      <c r="AH562" s="32">
        <f t="shared" si="205"/>
        <v>0</v>
      </c>
      <c r="AI562" s="32">
        <f t="shared" si="206"/>
        <v>0</v>
      </c>
      <c r="AJ562" s="32">
        <f t="shared" si="207"/>
        <v>0</v>
      </c>
      <c r="AK562" t="str">
        <f t="shared" si="208"/>
        <v/>
      </c>
      <c r="AL562" t="str">
        <f t="shared" si="209"/>
        <v/>
      </c>
      <c r="AM562" t="str">
        <f t="shared" si="210"/>
        <v/>
      </c>
      <c r="AO562" t="str">
        <f>IFERROR(VLOOKUP(M562,'Fixture Identities'!$B$9:$O$1045,14,FALSE),"")</f>
        <v/>
      </c>
      <c r="AP562" t="str">
        <f t="shared" si="204"/>
        <v/>
      </c>
    </row>
    <row r="563" spans="1:42">
      <c r="A563" s="71">
        <f t="shared" si="212"/>
        <v>0</v>
      </c>
      <c r="B563" s="513">
        <f t="shared" si="211"/>
        <v>551</v>
      </c>
      <c r="C563" s="530" t="str">
        <f>IF(Inventory!E560="","",Inventory!E560)</f>
        <v/>
      </c>
      <c r="D563" s="531">
        <f>IF(Inventory!D560="",0,Inventory!D560)</f>
        <v>0</v>
      </c>
      <c r="E563" s="532" t="str">
        <f>IF(Inventory!I560=0,"",Inventory!I560)</f>
        <v/>
      </c>
      <c r="F563" s="533" t="str">
        <f t="shared" si="191"/>
        <v/>
      </c>
      <c r="G563" s="534" t="str">
        <f>IF(Inventory!G560="","",Inventory!G560)</f>
        <v/>
      </c>
      <c r="H563" s="535" t="str">
        <f t="shared" si="192"/>
        <v/>
      </c>
      <c r="I563" s="536" t="str">
        <f>IF(Inventory!J560="","",Inventory!J560)</f>
        <v/>
      </c>
      <c r="J563" s="537" t="str">
        <f>IFERROR(IF(PRJ_Type="New Construction",IF(Inventory!C560="N",INDEX(xyLPD_BuildingArea,MATCH(Building_Type,Lookups!$F$37:$F$75,0),4),INDEX(xyLPD_SpaceBySpace,MATCH(INDEX(xyNCEx,MATCH(I563,yNCExArea,0),2),ySpace_by_Space_Type,0),2)),VLOOKUP(E563,xyWattage_Table,11,FALSE)),"")</f>
        <v/>
      </c>
      <c r="K563" s="538" t="str">
        <f>IFERROR(IF(AND(NC_Type="Building Area Method",Inventory!C560="N"),IF(ISERROR(INDEX('Usage Groups (&gt;120 MWh only)'!$N$8:$N$12,MATCH(C563,'Usage Groups (&gt;120 MWh only)'!$B$8:$B$12,0),1))=TRUE,SqFt/COUNTIFS(Inventory!$C$10:$C$1009,"N",$Q$13:$Q$1012,"&gt;=0"),INDEX('Usage Groups (&gt;120 MWh only)'!$N$8:$N$12,MATCH(C563,'Usage Groups (&gt;120 MWh only)'!$B$8:$B$12,0),1)/COUNTIF($C$13:$C$1012,C563)),IF(AND(NC_Type="Building Area Method",Inventory!C560="Y"),INDEX(xyNCEx,MATCH(I563,yNCExArea,0),3)/COUNTIF($I$13:$I$1012,I563),VLOOKUP(J563,xyWattage_Table,10,FALSE))),"")</f>
        <v/>
      </c>
      <c r="L563" s="539" t="str">
        <f t="shared" si="193"/>
        <v/>
      </c>
      <c r="M563" s="540">
        <f>IF(Inventory!N560="","",Inventory!N560)</f>
        <v>0</v>
      </c>
      <c r="N563" s="533" t="str">
        <f t="shared" si="194"/>
        <v/>
      </c>
      <c r="O563" s="534"/>
      <c r="P563" s="533" t="str">
        <f t="shared" si="195"/>
        <v/>
      </c>
      <c r="Q563" s="534" t="str">
        <f>IF(Inventory!L560="","",Inventory!L560)</f>
        <v/>
      </c>
      <c r="R563" s="535" t="str">
        <f t="shared" si="196"/>
        <v/>
      </c>
      <c r="S563" s="536" t="str">
        <f>IF(Inventory!O560="","",Inventory!O560)</f>
        <v/>
      </c>
      <c r="T563" s="541" t="str">
        <f>IFERROR(IF(C563="","",IF(INDEX(xyWattage_Table,MATCH(M563,'Fixture Identities'!$B$9:$B$997,0),2)="Exit Sign",8760,IF(VLOOKUP(C563,xySpace_Type_Details,8,FALSE)="TRM",INDEX('General Information'!$AF$17:$AG$28,11,MATCH(N563,'General Information'!$AF$16:$AG$16,0)),HLOOKUP(VLOOKUP(C563,xySpace_Type_Details,8,FALSE),'General Information'!$P$15:$AG$28,13,FALSE)))),"")</f>
        <v/>
      </c>
      <c r="U563" s="542" t="str">
        <f>IFERROR(IF(C563="","",IF(INDEX(xyWattage_Table,MATCH(M563,'Fixture Identities'!$B$9:$B$997,0),2)="Exit Sign",1,IF(VLOOKUP(C563,xySpace_Type_Details,8,FALSE)="TRM",INDEX('General Information'!$AF$17:$AG$28,12,MATCH(N563,'General Information'!$AF$16:$AG$16,0)),HLOOKUP(VLOOKUP(C563,xySpace_Type_Details,8,FALSE),'General Information'!$P$15:$AG$28,14,FALSE)))),"")</f>
        <v/>
      </c>
      <c r="V563" s="542" t="str">
        <f>IFERROR(VLOOKUP(INDEX(xySpace_Type_Details,MATCH($C563,'General Information'!$C$40:$C$60,0),12),Lookups!$L$8:$N$12,2,FALSE),"")</f>
        <v/>
      </c>
      <c r="W563" s="542" t="str">
        <f>IFERROR(VLOOKUP(INDEX(xySpace_Type_Details,MATCH($C563,'General Information'!$C$40:$C$60,0),12),Lookups!$L$8:$N$12,3,FALSE),"")</f>
        <v/>
      </c>
      <c r="Y563" s="542" t="str">
        <f>IFERROR(IF(C563="","",IF(INDEX(xyWattage_Table,MATCH(M563,'Fixture Identities'!$B$9:$B$997,0),2)="Exit Sign",0,IF(PRJ_Type="Retrofit",VLOOKUP(I563,xySVG_Factors,2,FALSE),IF(AND(PRJ_Type="New Construction",Inventory!C560="N"),VLOOKUP(VLOOKUP(Building_Type,xyLPD_BuildingArea,5,FALSE),xySVG_Factors_NC,3,FALSE),0)))),"")</f>
        <v/>
      </c>
      <c r="Z563" s="544" t="str">
        <f>IFERROR(IF(C563="","",IF(INDEX(xyWattage_Table,MATCH(M563,'Fixture Identities'!$B$9:$B$997,0),2)="Exit Sign",0,VLOOKUP(S563,xySVG_Factors,2,FALSE))),"")</f>
        <v/>
      </c>
      <c r="AA563" s="545" t="str">
        <f t="shared" si="197"/>
        <v/>
      </c>
      <c r="AB563" s="542" t="str">
        <f t="shared" si="198"/>
        <v/>
      </c>
      <c r="AC563" s="539" t="str">
        <f t="shared" si="199"/>
        <v/>
      </c>
      <c r="AD563" s="546" t="str">
        <f t="shared" si="200"/>
        <v/>
      </c>
      <c r="AE563" s="539" t="str">
        <f t="shared" si="201"/>
        <v/>
      </c>
      <c r="AF563" s="546" t="str">
        <f t="shared" si="202"/>
        <v/>
      </c>
      <c r="AG563" s="539" t="str">
        <f t="shared" si="203"/>
        <v/>
      </c>
      <c r="AH563" s="32">
        <f t="shared" si="205"/>
        <v>0</v>
      </c>
      <c r="AI563" s="32">
        <f t="shared" si="206"/>
        <v>0</v>
      </c>
      <c r="AJ563" s="32">
        <f t="shared" si="207"/>
        <v>0</v>
      </c>
      <c r="AK563" t="str">
        <f t="shared" si="208"/>
        <v/>
      </c>
      <c r="AL563" t="str">
        <f t="shared" si="209"/>
        <v/>
      </c>
      <c r="AM563" t="str">
        <f t="shared" si="210"/>
        <v/>
      </c>
      <c r="AO563" t="str">
        <f>IFERROR(VLOOKUP(M563,'Fixture Identities'!$B$9:$O$1045,14,FALSE),"")</f>
        <v/>
      </c>
      <c r="AP563" t="str">
        <f t="shared" si="204"/>
        <v/>
      </c>
    </row>
    <row r="564" spans="1:42">
      <c r="A564" s="71">
        <f t="shared" si="212"/>
        <v>0</v>
      </c>
      <c r="B564" s="513">
        <f t="shared" si="211"/>
        <v>552</v>
      </c>
      <c r="C564" s="530" t="str">
        <f>IF(Inventory!E561="","",Inventory!E561)</f>
        <v/>
      </c>
      <c r="D564" s="531">
        <f>IF(Inventory!D561="",0,Inventory!D561)</f>
        <v>0</v>
      </c>
      <c r="E564" s="532" t="str">
        <f>IF(Inventory!I561=0,"",Inventory!I561)</f>
        <v/>
      </c>
      <c r="F564" s="533" t="str">
        <f t="shared" si="191"/>
        <v/>
      </c>
      <c r="G564" s="534" t="str">
        <f>IF(Inventory!G561="","",Inventory!G561)</f>
        <v/>
      </c>
      <c r="H564" s="535" t="str">
        <f t="shared" si="192"/>
        <v/>
      </c>
      <c r="I564" s="536" t="str">
        <f>IF(Inventory!J561="","",Inventory!J561)</f>
        <v/>
      </c>
      <c r="J564" s="537" t="str">
        <f>IFERROR(IF(PRJ_Type="New Construction",IF(Inventory!C561="N",INDEX(xyLPD_BuildingArea,MATCH(Building_Type,Lookups!$F$37:$F$75,0),4),INDEX(xyLPD_SpaceBySpace,MATCH(INDEX(xyNCEx,MATCH(I564,yNCExArea,0),2),ySpace_by_Space_Type,0),2)),VLOOKUP(E564,xyWattage_Table,11,FALSE)),"")</f>
        <v/>
      </c>
      <c r="K564" s="538" t="str">
        <f>IFERROR(IF(AND(NC_Type="Building Area Method",Inventory!C561="N"),IF(ISERROR(INDEX('Usage Groups (&gt;120 MWh only)'!$N$8:$N$12,MATCH(C564,'Usage Groups (&gt;120 MWh only)'!$B$8:$B$12,0),1))=TRUE,SqFt/COUNTIFS(Inventory!$C$10:$C$1009,"N",$Q$13:$Q$1012,"&gt;=0"),INDEX('Usage Groups (&gt;120 MWh only)'!$N$8:$N$12,MATCH(C564,'Usage Groups (&gt;120 MWh only)'!$B$8:$B$12,0),1)/COUNTIF($C$13:$C$1012,C564)),IF(AND(NC_Type="Building Area Method",Inventory!C561="Y"),INDEX(xyNCEx,MATCH(I564,yNCExArea,0),3)/COUNTIF($I$13:$I$1012,I564),VLOOKUP(J564,xyWattage_Table,10,FALSE))),"")</f>
        <v/>
      </c>
      <c r="L564" s="539" t="str">
        <f t="shared" si="193"/>
        <v/>
      </c>
      <c r="M564" s="540">
        <f>IF(Inventory!N561="","",Inventory!N561)</f>
        <v>0</v>
      </c>
      <c r="N564" s="533" t="str">
        <f t="shared" si="194"/>
        <v/>
      </c>
      <c r="O564" s="534"/>
      <c r="P564" s="533" t="str">
        <f t="shared" si="195"/>
        <v/>
      </c>
      <c r="Q564" s="534" t="str">
        <f>IF(Inventory!L561="","",Inventory!L561)</f>
        <v/>
      </c>
      <c r="R564" s="535" t="str">
        <f t="shared" si="196"/>
        <v/>
      </c>
      <c r="S564" s="536" t="str">
        <f>IF(Inventory!O561="","",Inventory!O561)</f>
        <v/>
      </c>
      <c r="T564" s="541" t="str">
        <f>IFERROR(IF(C564="","",IF(INDEX(xyWattage_Table,MATCH(M564,'Fixture Identities'!$B$9:$B$997,0),2)="Exit Sign",8760,IF(VLOOKUP(C564,xySpace_Type_Details,8,FALSE)="TRM",INDEX('General Information'!$AF$17:$AG$28,11,MATCH(N564,'General Information'!$AF$16:$AG$16,0)),HLOOKUP(VLOOKUP(C564,xySpace_Type_Details,8,FALSE),'General Information'!$P$15:$AG$28,13,FALSE)))),"")</f>
        <v/>
      </c>
      <c r="U564" s="542" t="str">
        <f>IFERROR(IF(C564="","",IF(INDEX(xyWattage_Table,MATCH(M564,'Fixture Identities'!$B$9:$B$997,0),2)="Exit Sign",1,IF(VLOOKUP(C564,xySpace_Type_Details,8,FALSE)="TRM",INDEX('General Information'!$AF$17:$AG$28,12,MATCH(N564,'General Information'!$AF$16:$AG$16,0)),HLOOKUP(VLOOKUP(C564,xySpace_Type_Details,8,FALSE),'General Information'!$P$15:$AG$28,14,FALSE)))),"")</f>
        <v/>
      </c>
      <c r="V564" s="542" t="str">
        <f>IFERROR(VLOOKUP(INDEX(xySpace_Type_Details,MATCH($C564,'General Information'!$C$40:$C$60,0),12),Lookups!$L$8:$N$12,2,FALSE),"")</f>
        <v/>
      </c>
      <c r="W564" s="542" t="str">
        <f>IFERROR(VLOOKUP(INDEX(xySpace_Type_Details,MATCH($C564,'General Information'!$C$40:$C$60,0),12),Lookups!$L$8:$N$12,3,FALSE),"")</f>
        <v/>
      </c>
      <c r="Y564" s="542" t="str">
        <f>IFERROR(IF(C564="","",IF(INDEX(xyWattage_Table,MATCH(M564,'Fixture Identities'!$B$9:$B$997,0),2)="Exit Sign",0,IF(PRJ_Type="Retrofit",VLOOKUP(I564,xySVG_Factors,2,FALSE),IF(AND(PRJ_Type="New Construction",Inventory!C561="N"),VLOOKUP(VLOOKUP(Building_Type,xyLPD_BuildingArea,5,FALSE),xySVG_Factors_NC,3,FALSE),0)))),"")</f>
        <v/>
      </c>
      <c r="Z564" s="544" t="str">
        <f>IFERROR(IF(C564="","",IF(INDEX(xyWattage_Table,MATCH(M564,'Fixture Identities'!$B$9:$B$997,0),2)="Exit Sign",0,VLOOKUP(S564,xySVG_Factors,2,FALSE))),"")</f>
        <v/>
      </c>
      <c r="AA564" s="545" t="str">
        <f t="shared" si="197"/>
        <v/>
      </c>
      <c r="AB564" s="542" t="str">
        <f t="shared" si="198"/>
        <v/>
      </c>
      <c r="AC564" s="539" t="str">
        <f t="shared" si="199"/>
        <v/>
      </c>
      <c r="AD564" s="546" t="str">
        <f t="shared" si="200"/>
        <v/>
      </c>
      <c r="AE564" s="539" t="str">
        <f t="shared" si="201"/>
        <v/>
      </c>
      <c r="AF564" s="546" t="str">
        <f t="shared" si="202"/>
        <v/>
      </c>
      <c r="AG564" s="539" t="str">
        <f t="shared" si="203"/>
        <v/>
      </c>
      <c r="AH564" s="32">
        <f t="shared" si="205"/>
        <v>0</v>
      </c>
      <c r="AI564" s="32">
        <f t="shared" si="206"/>
        <v>0</v>
      </c>
      <c r="AJ564" s="32">
        <f t="shared" si="207"/>
        <v>0</v>
      </c>
      <c r="AK564" t="str">
        <f t="shared" si="208"/>
        <v/>
      </c>
      <c r="AL564" t="str">
        <f t="shared" si="209"/>
        <v/>
      </c>
      <c r="AM564" t="str">
        <f t="shared" si="210"/>
        <v/>
      </c>
      <c r="AO564" t="str">
        <f>IFERROR(VLOOKUP(M564,'Fixture Identities'!$B$9:$O$1045,14,FALSE),"")</f>
        <v/>
      </c>
      <c r="AP564" t="str">
        <f t="shared" si="204"/>
        <v/>
      </c>
    </row>
    <row r="565" spans="1:42">
      <c r="A565" s="71">
        <f t="shared" si="212"/>
        <v>0</v>
      </c>
      <c r="B565" s="513">
        <f t="shared" si="211"/>
        <v>553</v>
      </c>
      <c r="C565" s="530" t="str">
        <f>IF(Inventory!E562="","",Inventory!E562)</f>
        <v/>
      </c>
      <c r="D565" s="531">
        <f>IF(Inventory!D562="",0,Inventory!D562)</f>
        <v>0</v>
      </c>
      <c r="E565" s="532" t="str">
        <f>IF(Inventory!I562=0,"",Inventory!I562)</f>
        <v/>
      </c>
      <c r="F565" s="533" t="str">
        <f t="shared" si="191"/>
        <v/>
      </c>
      <c r="G565" s="534" t="str">
        <f>IF(Inventory!G562="","",Inventory!G562)</f>
        <v/>
      </c>
      <c r="H565" s="535" t="str">
        <f t="shared" si="192"/>
        <v/>
      </c>
      <c r="I565" s="536" t="str">
        <f>IF(Inventory!J562="","",Inventory!J562)</f>
        <v/>
      </c>
      <c r="J565" s="537" t="str">
        <f>IFERROR(IF(PRJ_Type="New Construction",IF(Inventory!C562="N",INDEX(xyLPD_BuildingArea,MATCH(Building_Type,Lookups!$F$37:$F$75,0),4),INDEX(xyLPD_SpaceBySpace,MATCH(INDEX(xyNCEx,MATCH(I565,yNCExArea,0),2),ySpace_by_Space_Type,0),2)),VLOOKUP(E565,xyWattage_Table,11,FALSE)),"")</f>
        <v/>
      </c>
      <c r="K565" s="538" t="str">
        <f>IFERROR(IF(AND(NC_Type="Building Area Method",Inventory!C562="N"),IF(ISERROR(INDEX('Usage Groups (&gt;120 MWh only)'!$N$8:$N$12,MATCH(C565,'Usage Groups (&gt;120 MWh only)'!$B$8:$B$12,0),1))=TRUE,SqFt/COUNTIFS(Inventory!$C$10:$C$1009,"N",$Q$13:$Q$1012,"&gt;=0"),INDEX('Usage Groups (&gt;120 MWh only)'!$N$8:$N$12,MATCH(C565,'Usage Groups (&gt;120 MWh only)'!$B$8:$B$12,0),1)/COUNTIF($C$13:$C$1012,C565)),IF(AND(NC_Type="Building Area Method",Inventory!C562="Y"),INDEX(xyNCEx,MATCH(I565,yNCExArea,0),3)/COUNTIF($I$13:$I$1012,I565),VLOOKUP(J565,xyWattage_Table,10,FALSE))),"")</f>
        <v/>
      </c>
      <c r="L565" s="539" t="str">
        <f t="shared" si="193"/>
        <v/>
      </c>
      <c r="M565" s="540">
        <f>IF(Inventory!N562="","",Inventory!N562)</f>
        <v>0</v>
      </c>
      <c r="N565" s="533" t="str">
        <f t="shared" si="194"/>
        <v/>
      </c>
      <c r="O565" s="534"/>
      <c r="P565" s="533" t="str">
        <f t="shared" si="195"/>
        <v/>
      </c>
      <c r="Q565" s="534" t="str">
        <f>IF(Inventory!L562="","",Inventory!L562)</f>
        <v/>
      </c>
      <c r="R565" s="535" t="str">
        <f t="shared" si="196"/>
        <v/>
      </c>
      <c r="S565" s="536" t="str">
        <f>IF(Inventory!O562="","",Inventory!O562)</f>
        <v/>
      </c>
      <c r="T565" s="541" t="str">
        <f>IFERROR(IF(C565="","",IF(INDEX(xyWattage_Table,MATCH(M565,'Fixture Identities'!$B$9:$B$997,0),2)="Exit Sign",8760,IF(VLOOKUP(C565,xySpace_Type_Details,8,FALSE)="TRM",INDEX('General Information'!$AF$17:$AG$28,11,MATCH(N565,'General Information'!$AF$16:$AG$16,0)),HLOOKUP(VLOOKUP(C565,xySpace_Type_Details,8,FALSE),'General Information'!$P$15:$AG$28,13,FALSE)))),"")</f>
        <v/>
      </c>
      <c r="U565" s="542" t="str">
        <f>IFERROR(IF(C565="","",IF(INDEX(xyWattage_Table,MATCH(M565,'Fixture Identities'!$B$9:$B$997,0),2)="Exit Sign",1,IF(VLOOKUP(C565,xySpace_Type_Details,8,FALSE)="TRM",INDEX('General Information'!$AF$17:$AG$28,12,MATCH(N565,'General Information'!$AF$16:$AG$16,0)),HLOOKUP(VLOOKUP(C565,xySpace_Type_Details,8,FALSE),'General Information'!$P$15:$AG$28,14,FALSE)))),"")</f>
        <v/>
      </c>
      <c r="V565" s="542" t="str">
        <f>IFERROR(VLOOKUP(INDEX(xySpace_Type_Details,MATCH($C565,'General Information'!$C$40:$C$60,0),12),Lookups!$L$8:$N$12,2,FALSE),"")</f>
        <v/>
      </c>
      <c r="W565" s="542" t="str">
        <f>IFERROR(VLOOKUP(INDEX(xySpace_Type_Details,MATCH($C565,'General Information'!$C$40:$C$60,0),12),Lookups!$L$8:$N$12,3,FALSE),"")</f>
        <v/>
      </c>
      <c r="Y565" s="542" t="str">
        <f>IFERROR(IF(C565="","",IF(INDEX(xyWattage_Table,MATCH(M565,'Fixture Identities'!$B$9:$B$997,0),2)="Exit Sign",0,IF(PRJ_Type="Retrofit",VLOOKUP(I565,xySVG_Factors,2,FALSE),IF(AND(PRJ_Type="New Construction",Inventory!C562="N"),VLOOKUP(VLOOKUP(Building_Type,xyLPD_BuildingArea,5,FALSE),xySVG_Factors_NC,3,FALSE),0)))),"")</f>
        <v/>
      </c>
      <c r="Z565" s="544" t="str">
        <f>IFERROR(IF(C565="","",IF(INDEX(xyWattage_Table,MATCH(M565,'Fixture Identities'!$B$9:$B$997,0),2)="Exit Sign",0,VLOOKUP(S565,xySVG_Factors,2,FALSE))),"")</f>
        <v/>
      </c>
      <c r="AA565" s="545" t="str">
        <f t="shared" si="197"/>
        <v/>
      </c>
      <c r="AB565" s="542" t="str">
        <f t="shared" si="198"/>
        <v/>
      </c>
      <c r="AC565" s="539" t="str">
        <f t="shared" si="199"/>
        <v/>
      </c>
      <c r="AD565" s="546" t="str">
        <f t="shared" si="200"/>
        <v/>
      </c>
      <c r="AE565" s="539" t="str">
        <f t="shared" si="201"/>
        <v/>
      </c>
      <c r="AF565" s="546" t="str">
        <f t="shared" si="202"/>
        <v/>
      </c>
      <c r="AG565" s="539" t="str">
        <f t="shared" si="203"/>
        <v/>
      </c>
      <c r="AH565" s="32">
        <f t="shared" si="205"/>
        <v>0</v>
      </c>
      <c r="AI565" s="32">
        <f t="shared" si="206"/>
        <v>0</v>
      </c>
      <c r="AJ565" s="32">
        <f t="shared" si="207"/>
        <v>0</v>
      </c>
      <c r="AK565" t="str">
        <f t="shared" si="208"/>
        <v/>
      </c>
      <c r="AL565" t="str">
        <f t="shared" si="209"/>
        <v/>
      </c>
      <c r="AM565" t="str">
        <f t="shared" si="210"/>
        <v/>
      </c>
      <c r="AO565" t="str">
        <f>IFERROR(VLOOKUP(M565,'Fixture Identities'!$B$9:$O$1045,14,FALSE),"")</f>
        <v/>
      </c>
      <c r="AP565" t="str">
        <f t="shared" si="204"/>
        <v/>
      </c>
    </row>
    <row r="566" spans="1:42">
      <c r="A566" s="71">
        <f t="shared" si="212"/>
        <v>0</v>
      </c>
      <c r="B566" s="513">
        <f t="shared" si="211"/>
        <v>554</v>
      </c>
      <c r="C566" s="530" t="str">
        <f>IF(Inventory!E563="","",Inventory!E563)</f>
        <v/>
      </c>
      <c r="D566" s="531">
        <f>IF(Inventory!D563="",0,Inventory!D563)</f>
        <v>0</v>
      </c>
      <c r="E566" s="532" t="str">
        <f>IF(Inventory!I563=0,"",Inventory!I563)</f>
        <v/>
      </c>
      <c r="F566" s="533" t="str">
        <f t="shared" si="191"/>
        <v/>
      </c>
      <c r="G566" s="534" t="str">
        <f>IF(Inventory!G563="","",Inventory!G563)</f>
        <v/>
      </c>
      <c r="H566" s="535" t="str">
        <f t="shared" si="192"/>
        <v/>
      </c>
      <c r="I566" s="536" t="str">
        <f>IF(Inventory!J563="","",Inventory!J563)</f>
        <v/>
      </c>
      <c r="J566" s="537" t="str">
        <f>IFERROR(IF(PRJ_Type="New Construction",IF(Inventory!C563="N",INDEX(xyLPD_BuildingArea,MATCH(Building_Type,Lookups!$F$37:$F$75,0),4),INDEX(xyLPD_SpaceBySpace,MATCH(INDEX(xyNCEx,MATCH(I566,yNCExArea,0),2),ySpace_by_Space_Type,0),2)),VLOOKUP(E566,xyWattage_Table,11,FALSE)),"")</f>
        <v/>
      </c>
      <c r="K566" s="538" t="str">
        <f>IFERROR(IF(AND(NC_Type="Building Area Method",Inventory!C563="N"),IF(ISERROR(INDEX('Usage Groups (&gt;120 MWh only)'!$N$8:$N$12,MATCH(C566,'Usage Groups (&gt;120 MWh only)'!$B$8:$B$12,0),1))=TRUE,SqFt/COUNTIFS(Inventory!$C$10:$C$1009,"N",$Q$13:$Q$1012,"&gt;=0"),INDEX('Usage Groups (&gt;120 MWh only)'!$N$8:$N$12,MATCH(C566,'Usage Groups (&gt;120 MWh only)'!$B$8:$B$12,0),1)/COUNTIF($C$13:$C$1012,C566)),IF(AND(NC_Type="Building Area Method",Inventory!C563="Y"),INDEX(xyNCEx,MATCH(I566,yNCExArea,0),3)/COUNTIF($I$13:$I$1012,I566),VLOOKUP(J566,xyWattage_Table,10,FALSE))),"")</f>
        <v/>
      </c>
      <c r="L566" s="539" t="str">
        <f t="shared" si="193"/>
        <v/>
      </c>
      <c r="M566" s="540">
        <f>IF(Inventory!N563="","",Inventory!N563)</f>
        <v>0</v>
      </c>
      <c r="N566" s="533" t="str">
        <f t="shared" si="194"/>
        <v/>
      </c>
      <c r="O566" s="534"/>
      <c r="P566" s="533" t="str">
        <f t="shared" si="195"/>
        <v/>
      </c>
      <c r="Q566" s="534" t="str">
        <f>IF(Inventory!L563="","",Inventory!L563)</f>
        <v/>
      </c>
      <c r="R566" s="535" t="str">
        <f t="shared" si="196"/>
        <v/>
      </c>
      <c r="S566" s="536" t="str">
        <f>IF(Inventory!O563="","",Inventory!O563)</f>
        <v/>
      </c>
      <c r="T566" s="541" t="str">
        <f>IFERROR(IF(C566="","",IF(INDEX(xyWattage_Table,MATCH(M566,'Fixture Identities'!$B$9:$B$997,0),2)="Exit Sign",8760,IF(VLOOKUP(C566,xySpace_Type_Details,8,FALSE)="TRM",INDEX('General Information'!$AF$17:$AG$28,11,MATCH(N566,'General Information'!$AF$16:$AG$16,0)),HLOOKUP(VLOOKUP(C566,xySpace_Type_Details,8,FALSE),'General Information'!$P$15:$AG$28,13,FALSE)))),"")</f>
        <v/>
      </c>
      <c r="U566" s="542" t="str">
        <f>IFERROR(IF(C566="","",IF(INDEX(xyWattage_Table,MATCH(M566,'Fixture Identities'!$B$9:$B$997,0),2)="Exit Sign",1,IF(VLOOKUP(C566,xySpace_Type_Details,8,FALSE)="TRM",INDEX('General Information'!$AF$17:$AG$28,12,MATCH(N566,'General Information'!$AF$16:$AG$16,0)),HLOOKUP(VLOOKUP(C566,xySpace_Type_Details,8,FALSE),'General Information'!$P$15:$AG$28,14,FALSE)))),"")</f>
        <v/>
      </c>
      <c r="V566" s="542" t="str">
        <f>IFERROR(VLOOKUP(INDEX(xySpace_Type_Details,MATCH($C566,'General Information'!$C$40:$C$60,0),12),Lookups!$L$8:$N$12,2,FALSE),"")</f>
        <v/>
      </c>
      <c r="W566" s="542" t="str">
        <f>IFERROR(VLOOKUP(INDEX(xySpace_Type_Details,MATCH($C566,'General Information'!$C$40:$C$60,0),12),Lookups!$L$8:$N$12,3,FALSE),"")</f>
        <v/>
      </c>
      <c r="Y566" s="542" t="str">
        <f>IFERROR(IF(C566="","",IF(INDEX(xyWattage_Table,MATCH(M566,'Fixture Identities'!$B$9:$B$997,0),2)="Exit Sign",0,IF(PRJ_Type="Retrofit",VLOOKUP(I566,xySVG_Factors,2,FALSE),IF(AND(PRJ_Type="New Construction",Inventory!C563="N"),VLOOKUP(VLOOKUP(Building_Type,xyLPD_BuildingArea,5,FALSE),xySVG_Factors_NC,3,FALSE),0)))),"")</f>
        <v/>
      </c>
      <c r="Z566" s="544" t="str">
        <f>IFERROR(IF(C566="","",IF(INDEX(xyWattage_Table,MATCH(M566,'Fixture Identities'!$B$9:$B$997,0),2)="Exit Sign",0,VLOOKUP(S566,xySVG_Factors,2,FALSE))),"")</f>
        <v/>
      </c>
      <c r="AA566" s="545" t="str">
        <f t="shared" si="197"/>
        <v/>
      </c>
      <c r="AB566" s="542" t="str">
        <f t="shared" si="198"/>
        <v/>
      </c>
      <c r="AC566" s="539" t="str">
        <f t="shared" si="199"/>
        <v/>
      </c>
      <c r="AD566" s="546" t="str">
        <f t="shared" si="200"/>
        <v/>
      </c>
      <c r="AE566" s="539" t="str">
        <f t="shared" si="201"/>
        <v/>
      </c>
      <c r="AF566" s="546" t="str">
        <f t="shared" si="202"/>
        <v/>
      </c>
      <c r="AG566" s="539" t="str">
        <f t="shared" si="203"/>
        <v/>
      </c>
      <c r="AH566" s="32">
        <f t="shared" si="205"/>
        <v>0</v>
      </c>
      <c r="AI566" s="32">
        <f t="shared" si="206"/>
        <v>0</v>
      </c>
      <c r="AJ566" s="32">
        <f t="shared" si="207"/>
        <v>0</v>
      </c>
      <c r="AK566" t="str">
        <f t="shared" si="208"/>
        <v/>
      </c>
      <c r="AL566" t="str">
        <f t="shared" si="209"/>
        <v/>
      </c>
      <c r="AM566" t="str">
        <f t="shared" si="210"/>
        <v/>
      </c>
      <c r="AO566" t="str">
        <f>IFERROR(VLOOKUP(M566,'Fixture Identities'!$B$9:$O$1045,14,FALSE),"")</f>
        <v/>
      </c>
      <c r="AP566" t="str">
        <f t="shared" si="204"/>
        <v/>
      </c>
    </row>
    <row r="567" spans="1:42">
      <c r="A567" s="71">
        <f t="shared" si="212"/>
        <v>0</v>
      </c>
      <c r="B567" s="513">
        <f t="shared" si="211"/>
        <v>555</v>
      </c>
      <c r="C567" s="530" t="str">
        <f>IF(Inventory!E564="","",Inventory!E564)</f>
        <v/>
      </c>
      <c r="D567" s="531">
        <f>IF(Inventory!D564="",0,Inventory!D564)</f>
        <v>0</v>
      </c>
      <c r="E567" s="532" t="str">
        <f>IF(Inventory!I564=0,"",Inventory!I564)</f>
        <v/>
      </c>
      <c r="F567" s="533" t="str">
        <f t="shared" si="191"/>
        <v/>
      </c>
      <c r="G567" s="534" t="str">
        <f>IF(Inventory!G564="","",Inventory!G564)</f>
        <v/>
      </c>
      <c r="H567" s="535" t="str">
        <f t="shared" si="192"/>
        <v/>
      </c>
      <c r="I567" s="536" t="str">
        <f>IF(Inventory!J564="","",Inventory!J564)</f>
        <v/>
      </c>
      <c r="J567" s="537" t="str">
        <f>IFERROR(IF(PRJ_Type="New Construction",IF(Inventory!C564="N",INDEX(xyLPD_BuildingArea,MATCH(Building_Type,Lookups!$F$37:$F$75,0),4),INDEX(xyLPD_SpaceBySpace,MATCH(INDEX(xyNCEx,MATCH(I567,yNCExArea,0),2),ySpace_by_Space_Type,0),2)),VLOOKUP(E567,xyWattage_Table,11,FALSE)),"")</f>
        <v/>
      </c>
      <c r="K567" s="538" t="str">
        <f>IFERROR(IF(AND(NC_Type="Building Area Method",Inventory!C564="N"),IF(ISERROR(INDEX('Usage Groups (&gt;120 MWh only)'!$N$8:$N$12,MATCH(C567,'Usage Groups (&gt;120 MWh only)'!$B$8:$B$12,0),1))=TRUE,SqFt/COUNTIFS(Inventory!$C$10:$C$1009,"N",$Q$13:$Q$1012,"&gt;=0"),INDEX('Usage Groups (&gt;120 MWh only)'!$N$8:$N$12,MATCH(C567,'Usage Groups (&gt;120 MWh only)'!$B$8:$B$12,0),1)/COUNTIF($C$13:$C$1012,C567)),IF(AND(NC_Type="Building Area Method",Inventory!C564="Y"),INDEX(xyNCEx,MATCH(I567,yNCExArea,0),3)/COUNTIF($I$13:$I$1012,I567),VLOOKUP(J567,xyWattage_Table,10,FALSE))),"")</f>
        <v/>
      </c>
      <c r="L567" s="539" t="str">
        <f t="shared" si="193"/>
        <v/>
      </c>
      <c r="M567" s="540">
        <f>IF(Inventory!N564="","",Inventory!N564)</f>
        <v>0</v>
      </c>
      <c r="N567" s="533" t="str">
        <f t="shared" si="194"/>
        <v/>
      </c>
      <c r="O567" s="534"/>
      <c r="P567" s="533" t="str">
        <f t="shared" si="195"/>
        <v/>
      </c>
      <c r="Q567" s="534" t="str">
        <f>IF(Inventory!L564="","",Inventory!L564)</f>
        <v/>
      </c>
      <c r="R567" s="535" t="str">
        <f t="shared" si="196"/>
        <v/>
      </c>
      <c r="S567" s="536" t="str">
        <f>IF(Inventory!O564="","",Inventory!O564)</f>
        <v/>
      </c>
      <c r="T567" s="541" t="str">
        <f>IFERROR(IF(C567="","",IF(INDEX(xyWattage_Table,MATCH(M567,'Fixture Identities'!$B$9:$B$997,0),2)="Exit Sign",8760,IF(VLOOKUP(C567,xySpace_Type_Details,8,FALSE)="TRM",INDEX('General Information'!$AF$17:$AG$28,11,MATCH(N567,'General Information'!$AF$16:$AG$16,0)),HLOOKUP(VLOOKUP(C567,xySpace_Type_Details,8,FALSE),'General Information'!$P$15:$AG$28,13,FALSE)))),"")</f>
        <v/>
      </c>
      <c r="U567" s="542" t="str">
        <f>IFERROR(IF(C567="","",IF(INDEX(xyWattage_Table,MATCH(M567,'Fixture Identities'!$B$9:$B$997,0),2)="Exit Sign",1,IF(VLOOKUP(C567,xySpace_Type_Details,8,FALSE)="TRM",INDEX('General Information'!$AF$17:$AG$28,12,MATCH(N567,'General Information'!$AF$16:$AG$16,0)),HLOOKUP(VLOOKUP(C567,xySpace_Type_Details,8,FALSE),'General Information'!$P$15:$AG$28,14,FALSE)))),"")</f>
        <v/>
      </c>
      <c r="V567" s="542" t="str">
        <f>IFERROR(VLOOKUP(INDEX(xySpace_Type_Details,MATCH($C567,'General Information'!$C$40:$C$60,0),12),Lookups!$L$8:$N$12,2,FALSE),"")</f>
        <v/>
      </c>
      <c r="W567" s="542" t="str">
        <f>IFERROR(VLOOKUP(INDEX(xySpace_Type_Details,MATCH($C567,'General Information'!$C$40:$C$60,0),12),Lookups!$L$8:$N$12,3,FALSE),"")</f>
        <v/>
      </c>
      <c r="Y567" s="542" t="str">
        <f>IFERROR(IF(C567="","",IF(INDEX(xyWattage_Table,MATCH(M567,'Fixture Identities'!$B$9:$B$997,0),2)="Exit Sign",0,IF(PRJ_Type="Retrofit",VLOOKUP(I567,xySVG_Factors,2,FALSE),IF(AND(PRJ_Type="New Construction",Inventory!C564="N"),VLOOKUP(VLOOKUP(Building_Type,xyLPD_BuildingArea,5,FALSE),xySVG_Factors_NC,3,FALSE),0)))),"")</f>
        <v/>
      </c>
      <c r="Z567" s="544" t="str">
        <f>IFERROR(IF(C567="","",IF(INDEX(xyWattage_Table,MATCH(M567,'Fixture Identities'!$B$9:$B$997,0),2)="Exit Sign",0,VLOOKUP(S567,xySVG_Factors,2,FALSE))),"")</f>
        <v/>
      </c>
      <c r="AA567" s="545" t="str">
        <f t="shared" si="197"/>
        <v/>
      </c>
      <c r="AB567" s="542" t="str">
        <f t="shared" si="198"/>
        <v/>
      </c>
      <c r="AC567" s="539" t="str">
        <f t="shared" si="199"/>
        <v/>
      </c>
      <c r="AD567" s="546" t="str">
        <f t="shared" si="200"/>
        <v/>
      </c>
      <c r="AE567" s="539" t="str">
        <f t="shared" si="201"/>
        <v/>
      </c>
      <c r="AF567" s="546" t="str">
        <f t="shared" si="202"/>
        <v/>
      </c>
      <c r="AG567" s="539" t="str">
        <f t="shared" si="203"/>
        <v/>
      </c>
      <c r="AH567" s="32">
        <f t="shared" si="205"/>
        <v>0</v>
      </c>
      <c r="AI567" s="32">
        <f t="shared" si="206"/>
        <v>0</v>
      </c>
      <c r="AJ567" s="32">
        <f t="shared" si="207"/>
        <v>0</v>
      </c>
      <c r="AK567" t="str">
        <f t="shared" si="208"/>
        <v/>
      </c>
      <c r="AL567" t="str">
        <f t="shared" si="209"/>
        <v/>
      </c>
      <c r="AM567" t="str">
        <f t="shared" si="210"/>
        <v/>
      </c>
      <c r="AO567" t="str">
        <f>IFERROR(VLOOKUP(M567,'Fixture Identities'!$B$9:$O$1045,14,FALSE),"")</f>
        <v/>
      </c>
      <c r="AP567" t="str">
        <f t="shared" si="204"/>
        <v/>
      </c>
    </row>
    <row r="568" spans="1:42">
      <c r="A568" s="71">
        <f t="shared" si="212"/>
        <v>0</v>
      </c>
      <c r="B568" s="513">
        <f t="shared" si="211"/>
        <v>556</v>
      </c>
      <c r="C568" s="530" t="str">
        <f>IF(Inventory!E565="","",Inventory!E565)</f>
        <v/>
      </c>
      <c r="D568" s="531">
        <f>IF(Inventory!D565="",0,Inventory!D565)</f>
        <v>0</v>
      </c>
      <c r="E568" s="532" t="str">
        <f>IF(Inventory!I565=0,"",Inventory!I565)</f>
        <v/>
      </c>
      <c r="F568" s="533" t="str">
        <f t="shared" si="191"/>
        <v/>
      </c>
      <c r="G568" s="534" t="str">
        <f>IF(Inventory!G565="","",Inventory!G565)</f>
        <v/>
      </c>
      <c r="H568" s="535" t="str">
        <f t="shared" si="192"/>
        <v/>
      </c>
      <c r="I568" s="536" t="str">
        <f>IF(Inventory!J565="","",Inventory!J565)</f>
        <v/>
      </c>
      <c r="J568" s="537" t="str">
        <f>IFERROR(IF(PRJ_Type="New Construction",IF(Inventory!C565="N",INDEX(xyLPD_BuildingArea,MATCH(Building_Type,Lookups!$F$37:$F$75,0),4),INDEX(xyLPD_SpaceBySpace,MATCH(INDEX(xyNCEx,MATCH(I568,yNCExArea,0),2),ySpace_by_Space_Type,0),2)),VLOOKUP(E568,xyWattage_Table,11,FALSE)),"")</f>
        <v/>
      </c>
      <c r="K568" s="538" t="str">
        <f>IFERROR(IF(AND(NC_Type="Building Area Method",Inventory!C565="N"),IF(ISERROR(INDEX('Usage Groups (&gt;120 MWh only)'!$N$8:$N$12,MATCH(C568,'Usage Groups (&gt;120 MWh only)'!$B$8:$B$12,0),1))=TRUE,SqFt/COUNTIFS(Inventory!$C$10:$C$1009,"N",$Q$13:$Q$1012,"&gt;=0"),INDEX('Usage Groups (&gt;120 MWh only)'!$N$8:$N$12,MATCH(C568,'Usage Groups (&gt;120 MWh only)'!$B$8:$B$12,0),1)/COUNTIF($C$13:$C$1012,C568)),IF(AND(NC_Type="Building Area Method",Inventory!C565="Y"),INDEX(xyNCEx,MATCH(I568,yNCExArea,0),3)/COUNTIF($I$13:$I$1012,I568),VLOOKUP(J568,xyWattage_Table,10,FALSE))),"")</f>
        <v/>
      </c>
      <c r="L568" s="539" t="str">
        <f t="shared" si="193"/>
        <v/>
      </c>
      <c r="M568" s="540">
        <f>IF(Inventory!N565="","",Inventory!N565)</f>
        <v>0</v>
      </c>
      <c r="N568" s="533" t="str">
        <f t="shared" si="194"/>
        <v/>
      </c>
      <c r="O568" s="534"/>
      <c r="P568" s="533" t="str">
        <f t="shared" si="195"/>
        <v/>
      </c>
      <c r="Q568" s="534" t="str">
        <f>IF(Inventory!L565="","",Inventory!L565)</f>
        <v/>
      </c>
      <c r="R568" s="535" t="str">
        <f t="shared" si="196"/>
        <v/>
      </c>
      <c r="S568" s="536" t="str">
        <f>IF(Inventory!O565="","",Inventory!O565)</f>
        <v/>
      </c>
      <c r="T568" s="541" t="str">
        <f>IFERROR(IF(C568="","",IF(INDEX(xyWattage_Table,MATCH(M568,'Fixture Identities'!$B$9:$B$997,0),2)="Exit Sign",8760,IF(VLOOKUP(C568,xySpace_Type_Details,8,FALSE)="TRM",INDEX('General Information'!$AF$17:$AG$28,11,MATCH(N568,'General Information'!$AF$16:$AG$16,0)),HLOOKUP(VLOOKUP(C568,xySpace_Type_Details,8,FALSE),'General Information'!$P$15:$AG$28,13,FALSE)))),"")</f>
        <v/>
      </c>
      <c r="U568" s="542" t="str">
        <f>IFERROR(IF(C568="","",IF(INDEX(xyWattage_Table,MATCH(M568,'Fixture Identities'!$B$9:$B$997,0),2)="Exit Sign",1,IF(VLOOKUP(C568,xySpace_Type_Details,8,FALSE)="TRM",INDEX('General Information'!$AF$17:$AG$28,12,MATCH(N568,'General Information'!$AF$16:$AG$16,0)),HLOOKUP(VLOOKUP(C568,xySpace_Type_Details,8,FALSE),'General Information'!$P$15:$AG$28,14,FALSE)))),"")</f>
        <v/>
      </c>
      <c r="V568" s="542" t="str">
        <f>IFERROR(VLOOKUP(INDEX(xySpace_Type_Details,MATCH($C568,'General Information'!$C$40:$C$60,0),12),Lookups!$L$8:$N$12,2,FALSE),"")</f>
        <v/>
      </c>
      <c r="W568" s="542" t="str">
        <f>IFERROR(VLOOKUP(INDEX(xySpace_Type_Details,MATCH($C568,'General Information'!$C$40:$C$60,0),12),Lookups!$L$8:$N$12,3,FALSE),"")</f>
        <v/>
      </c>
      <c r="Y568" s="542" t="str">
        <f>IFERROR(IF(C568="","",IF(INDEX(xyWattage_Table,MATCH(M568,'Fixture Identities'!$B$9:$B$997,0),2)="Exit Sign",0,IF(PRJ_Type="Retrofit",VLOOKUP(I568,xySVG_Factors,2,FALSE),IF(AND(PRJ_Type="New Construction",Inventory!C565="N"),VLOOKUP(VLOOKUP(Building_Type,xyLPD_BuildingArea,5,FALSE),xySVG_Factors_NC,3,FALSE),0)))),"")</f>
        <v/>
      </c>
      <c r="Z568" s="544" t="str">
        <f>IFERROR(IF(C568="","",IF(INDEX(xyWattage_Table,MATCH(M568,'Fixture Identities'!$B$9:$B$997,0),2)="Exit Sign",0,VLOOKUP(S568,xySVG_Factors,2,FALSE))),"")</f>
        <v/>
      </c>
      <c r="AA568" s="545" t="str">
        <f t="shared" si="197"/>
        <v/>
      </c>
      <c r="AB568" s="542" t="str">
        <f t="shared" si="198"/>
        <v/>
      </c>
      <c r="AC568" s="539" t="str">
        <f t="shared" si="199"/>
        <v/>
      </c>
      <c r="AD568" s="546" t="str">
        <f t="shared" si="200"/>
        <v/>
      </c>
      <c r="AE568" s="539" t="str">
        <f t="shared" si="201"/>
        <v/>
      </c>
      <c r="AF568" s="546" t="str">
        <f t="shared" si="202"/>
        <v/>
      </c>
      <c r="AG568" s="539" t="str">
        <f t="shared" si="203"/>
        <v/>
      </c>
      <c r="AH568" s="32">
        <f t="shared" si="205"/>
        <v>0</v>
      </c>
      <c r="AI568" s="32">
        <f t="shared" si="206"/>
        <v>0</v>
      </c>
      <c r="AJ568" s="32">
        <f t="shared" si="207"/>
        <v>0</v>
      </c>
      <c r="AK568" t="str">
        <f t="shared" si="208"/>
        <v/>
      </c>
      <c r="AL568" t="str">
        <f t="shared" si="209"/>
        <v/>
      </c>
      <c r="AM568" t="str">
        <f t="shared" si="210"/>
        <v/>
      </c>
      <c r="AO568" t="str">
        <f>IFERROR(VLOOKUP(M568,'Fixture Identities'!$B$9:$O$1045,14,FALSE),"")</f>
        <v/>
      </c>
      <c r="AP568" t="str">
        <f t="shared" si="204"/>
        <v/>
      </c>
    </row>
    <row r="569" spans="1:42">
      <c r="A569" s="71">
        <f t="shared" si="212"/>
        <v>0</v>
      </c>
      <c r="B569" s="513">
        <f t="shared" si="211"/>
        <v>557</v>
      </c>
      <c r="C569" s="530" t="str">
        <f>IF(Inventory!E566="","",Inventory!E566)</f>
        <v/>
      </c>
      <c r="D569" s="531">
        <f>IF(Inventory!D566="",0,Inventory!D566)</f>
        <v>0</v>
      </c>
      <c r="E569" s="532" t="str">
        <f>IF(Inventory!I566=0,"",Inventory!I566)</f>
        <v/>
      </c>
      <c r="F569" s="533" t="str">
        <f t="shared" si="191"/>
        <v/>
      </c>
      <c r="G569" s="534" t="str">
        <f>IF(Inventory!G566="","",Inventory!G566)</f>
        <v/>
      </c>
      <c r="H569" s="535" t="str">
        <f t="shared" si="192"/>
        <v/>
      </c>
      <c r="I569" s="536" t="str">
        <f>IF(Inventory!J566="","",Inventory!J566)</f>
        <v/>
      </c>
      <c r="J569" s="537" t="str">
        <f>IFERROR(IF(PRJ_Type="New Construction",IF(Inventory!C566="N",INDEX(xyLPD_BuildingArea,MATCH(Building_Type,Lookups!$F$37:$F$75,0),4),INDEX(xyLPD_SpaceBySpace,MATCH(INDEX(xyNCEx,MATCH(I569,yNCExArea,0),2),ySpace_by_Space_Type,0),2)),VLOOKUP(E569,xyWattage_Table,11,FALSE)),"")</f>
        <v/>
      </c>
      <c r="K569" s="538" t="str">
        <f>IFERROR(IF(AND(NC_Type="Building Area Method",Inventory!C566="N"),IF(ISERROR(INDEX('Usage Groups (&gt;120 MWh only)'!$N$8:$N$12,MATCH(C569,'Usage Groups (&gt;120 MWh only)'!$B$8:$B$12,0),1))=TRUE,SqFt/COUNTIFS(Inventory!$C$10:$C$1009,"N",$Q$13:$Q$1012,"&gt;=0"),INDEX('Usage Groups (&gt;120 MWh only)'!$N$8:$N$12,MATCH(C569,'Usage Groups (&gt;120 MWh only)'!$B$8:$B$12,0),1)/COUNTIF($C$13:$C$1012,C569)),IF(AND(NC_Type="Building Area Method",Inventory!C566="Y"),INDEX(xyNCEx,MATCH(I569,yNCExArea,0),3)/COUNTIF($I$13:$I$1012,I569),VLOOKUP(J569,xyWattage_Table,10,FALSE))),"")</f>
        <v/>
      </c>
      <c r="L569" s="539" t="str">
        <f t="shared" si="193"/>
        <v/>
      </c>
      <c r="M569" s="540">
        <f>IF(Inventory!N566="","",Inventory!N566)</f>
        <v>0</v>
      </c>
      <c r="N569" s="533" t="str">
        <f t="shared" si="194"/>
        <v/>
      </c>
      <c r="O569" s="534"/>
      <c r="P569" s="533" t="str">
        <f t="shared" si="195"/>
        <v/>
      </c>
      <c r="Q569" s="534" t="str">
        <f>IF(Inventory!L566="","",Inventory!L566)</f>
        <v/>
      </c>
      <c r="R569" s="535" t="str">
        <f t="shared" si="196"/>
        <v/>
      </c>
      <c r="S569" s="536" t="str">
        <f>IF(Inventory!O566="","",Inventory!O566)</f>
        <v/>
      </c>
      <c r="T569" s="541" t="str">
        <f>IFERROR(IF(C569="","",IF(INDEX(xyWattage_Table,MATCH(M569,'Fixture Identities'!$B$9:$B$997,0),2)="Exit Sign",8760,IF(VLOOKUP(C569,xySpace_Type_Details,8,FALSE)="TRM",INDEX('General Information'!$AF$17:$AG$28,11,MATCH(N569,'General Information'!$AF$16:$AG$16,0)),HLOOKUP(VLOOKUP(C569,xySpace_Type_Details,8,FALSE),'General Information'!$P$15:$AG$28,13,FALSE)))),"")</f>
        <v/>
      </c>
      <c r="U569" s="542" t="str">
        <f>IFERROR(IF(C569="","",IF(INDEX(xyWattage_Table,MATCH(M569,'Fixture Identities'!$B$9:$B$997,0),2)="Exit Sign",1,IF(VLOOKUP(C569,xySpace_Type_Details,8,FALSE)="TRM",INDEX('General Information'!$AF$17:$AG$28,12,MATCH(N569,'General Information'!$AF$16:$AG$16,0)),HLOOKUP(VLOOKUP(C569,xySpace_Type_Details,8,FALSE),'General Information'!$P$15:$AG$28,14,FALSE)))),"")</f>
        <v/>
      </c>
      <c r="V569" s="542" t="str">
        <f>IFERROR(VLOOKUP(INDEX(xySpace_Type_Details,MATCH($C569,'General Information'!$C$40:$C$60,0),12),Lookups!$L$8:$N$12,2,FALSE),"")</f>
        <v/>
      </c>
      <c r="W569" s="542" t="str">
        <f>IFERROR(VLOOKUP(INDEX(xySpace_Type_Details,MATCH($C569,'General Information'!$C$40:$C$60,0),12),Lookups!$L$8:$N$12,3,FALSE),"")</f>
        <v/>
      </c>
      <c r="Y569" s="542" t="str">
        <f>IFERROR(IF(C569="","",IF(INDEX(xyWattage_Table,MATCH(M569,'Fixture Identities'!$B$9:$B$997,0),2)="Exit Sign",0,IF(PRJ_Type="Retrofit",VLOOKUP(I569,xySVG_Factors,2,FALSE),IF(AND(PRJ_Type="New Construction",Inventory!C566="N"),VLOOKUP(VLOOKUP(Building_Type,xyLPD_BuildingArea,5,FALSE),xySVG_Factors_NC,3,FALSE),0)))),"")</f>
        <v/>
      </c>
      <c r="Z569" s="544" t="str">
        <f>IFERROR(IF(C569="","",IF(INDEX(xyWattage_Table,MATCH(M569,'Fixture Identities'!$B$9:$B$997,0),2)="Exit Sign",0,VLOOKUP(S569,xySVG_Factors,2,FALSE))),"")</f>
        <v/>
      </c>
      <c r="AA569" s="545" t="str">
        <f t="shared" si="197"/>
        <v/>
      </c>
      <c r="AB569" s="542" t="str">
        <f t="shared" si="198"/>
        <v/>
      </c>
      <c r="AC569" s="539" t="str">
        <f t="shared" si="199"/>
        <v/>
      </c>
      <c r="AD569" s="546" t="str">
        <f t="shared" si="200"/>
        <v/>
      </c>
      <c r="AE569" s="539" t="str">
        <f t="shared" si="201"/>
        <v/>
      </c>
      <c r="AF569" s="546" t="str">
        <f t="shared" si="202"/>
        <v/>
      </c>
      <c r="AG569" s="539" t="str">
        <f t="shared" si="203"/>
        <v/>
      </c>
      <c r="AH569" s="32">
        <f t="shared" si="205"/>
        <v>0</v>
      </c>
      <c r="AI569" s="32">
        <f t="shared" si="206"/>
        <v>0</v>
      </c>
      <c r="AJ569" s="32">
        <f t="shared" si="207"/>
        <v>0</v>
      </c>
      <c r="AK569" t="str">
        <f t="shared" si="208"/>
        <v/>
      </c>
      <c r="AL569" t="str">
        <f t="shared" si="209"/>
        <v/>
      </c>
      <c r="AM569" t="str">
        <f t="shared" si="210"/>
        <v/>
      </c>
      <c r="AO569" t="str">
        <f>IFERROR(VLOOKUP(M569,'Fixture Identities'!$B$9:$O$1045,14,FALSE),"")</f>
        <v/>
      </c>
      <c r="AP569" t="str">
        <f t="shared" si="204"/>
        <v/>
      </c>
    </row>
    <row r="570" spans="1:42">
      <c r="A570" s="71">
        <f t="shared" si="212"/>
        <v>0</v>
      </c>
      <c r="B570" s="513">
        <f t="shared" si="211"/>
        <v>558</v>
      </c>
      <c r="C570" s="530" t="str">
        <f>IF(Inventory!E567="","",Inventory!E567)</f>
        <v/>
      </c>
      <c r="D570" s="531">
        <f>IF(Inventory!D567="",0,Inventory!D567)</f>
        <v>0</v>
      </c>
      <c r="E570" s="532" t="str">
        <f>IF(Inventory!I567=0,"",Inventory!I567)</f>
        <v/>
      </c>
      <c r="F570" s="533" t="str">
        <f t="shared" si="191"/>
        <v/>
      </c>
      <c r="G570" s="534" t="str">
        <f>IF(Inventory!G567="","",Inventory!G567)</f>
        <v/>
      </c>
      <c r="H570" s="535" t="str">
        <f t="shared" si="192"/>
        <v/>
      </c>
      <c r="I570" s="536" t="str">
        <f>IF(Inventory!J567="","",Inventory!J567)</f>
        <v/>
      </c>
      <c r="J570" s="537" t="str">
        <f>IFERROR(IF(PRJ_Type="New Construction",IF(Inventory!C567="N",INDEX(xyLPD_BuildingArea,MATCH(Building_Type,Lookups!$F$37:$F$75,0),4),INDEX(xyLPD_SpaceBySpace,MATCH(INDEX(xyNCEx,MATCH(I570,yNCExArea,0),2),ySpace_by_Space_Type,0),2)),VLOOKUP(E570,xyWattage_Table,11,FALSE)),"")</f>
        <v/>
      </c>
      <c r="K570" s="538" t="str">
        <f>IFERROR(IF(AND(NC_Type="Building Area Method",Inventory!C567="N"),IF(ISERROR(INDEX('Usage Groups (&gt;120 MWh only)'!$N$8:$N$12,MATCH(C570,'Usage Groups (&gt;120 MWh only)'!$B$8:$B$12,0),1))=TRUE,SqFt/COUNTIFS(Inventory!$C$10:$C$1009,"N",$Q$13:$Q$1012,"&gt;=0"),INDEX('Usage Groups (&gt;120 MWh only)'!$N$8:$N$12,MATCH(C570,'Usage Groups (&gt;120 MWh only)'!$B$8:$B$12,0),1)/COUNTIF($C$13:$C$1012,C570)),IF(AND(NC_Type="Building Area Method",Inventory!C567="Y"),INDEX(xyNCEx,MATCH(I570,yNCExArea,0),3)/COUNTIF($I$13:$I$1012,I570),VLOOKUP(J570,xyWattage_Table,10,FALSE))),"")</f>
        <v/>
      </c>
      <c r="L570" s="539" t="str">
        <f t="shared" si="193"/>
        <v/>
      </c>
      <c r="M570" s="540">
        <f>IF(Inventory!N567="","",Inventory!N567)</f>
        <v>0</v>
      </c>
      <c r="N570" s="533" t="str">
        <f t="shared" si="194"/>
        <v/>
      </c>
      <c r="O570" s="534"/>
      <c r="P570" s="533" t="str">
        <f t="shared" si="195"/>
        <v/>
      </c>
      <c r="Q570" s="534" t="str">
        <f>IF(Inventory!L567="","",Inventory!L567)</f>
        <v/>
      </c>
      <c r="R570" s="535" t="str">
        <f t="shared" si="196"/>
        <v/>
      </c>
      <c r="S570" s="536" t="str">
        <f>IF(Inventory!O567="","",Inventory!O567)</f>
        <v/>
      </c>
      <c r="T570" s="541" t="str">
        <f>IFERROR(IF(C570="","",IF(INDEX(xyWattage_Table,MATCH(M570,'Fixture Identities'!$B$9:$B$997,0),2)="Exit Sign",8760,IF(VLOOKUP(C570,xySpace_Type_Details,8,FALSE)="TRM",INDEX('General Information'!$AF$17:$AG$28,11,MATCH(N570,'General Information'!$AF$16:$AG$16,0)),HLOOKUP(VLOOKUP(C570,xySpace_Type_Details,8,FALSE),'General Information'!$P$15:$AG$28,13,FALSE)))),"")</f>
        <v/>
      </c>
      <c r="U570" s="542" t="str">
        <f>IFERROR(IF(C570="","",IF(INDEX(xyWattage_Table,MATCH(M570,'Fixture Identities'!$B$9:$B$997,0),2)="Exit Sign",1,IF(VLOOKUP(C570,xySpace_Type_Details,8,FALSE)="TRM",INDEX('General Information'!$AF$17:$AG$28,12,MATCH(N570,'General Information'!$AF$16:$AG$16,0)),HLOOKUP(VLOOKUP(C570,xySpace_Type_Details,8,FALSE),'General Information'!$P$15:$AG$28,14,FALSE)))),"")</f>
        <v/>
      </c>
      <c r="V570" s="542" t="str">
        <f>IFERROR(VLOOKUP(INDEX(xySpace_Type_Details,MATCH($C570,'General Information'!$C$40:$C$60,0),12),Lookups!$L$8:$N$12,2,FALSE),"")</f>
        <v/>
      </c>
      <c r="W570" s="542" t="str">
        <f>IFERROR(VLOOKUP(INDEX(xySpace_Type_Details,MATCH($C570,'General Information'!$C$40:$C$60,0),12),Lookups!$L$8:$N$12,3,FALSE),"")</f>
        <v/>
      </c>
      <c r="Y570" s="542" t="str">
        <f>IFERROR(IF(C570="","",IF(INDEX(xyWattage_Table,MATCH(M570,'Fixture Identities'!$B$9:$B$997,0),2)="Exit Sign",0,IF(PRJ_Type="Retrofit",VLOOKUP(I570,xySVG_Factors,2,FALSE),IF(AND(PRJ_Type="New Construction",Inventory!C567="N"),VLOOKUP(VLOOKUP(Building_Type,xyLPD_BuildingArea,5,FALSE),xySVG_Factors_NC,3,FALSE),0)))),"")</f>
        <v/>
      </c>
      <c r="Z570" s="544" t="str">
        <f>IFERROR(IF(C570="","",IF(INDEX(xyWattage_Table,MATCH(M570,'Fixture Identities'!$B$9:$B$997,0),2)="Exit Sign",0,VLOOKUP(S570,xySVG_Factors,2,FALSE))),"")</f>
        <v/>
      </c>
      <c r="AA570" s="545" t="str">
        <f t="shared" si="197"/>
        <v/>
      </c>
      <c r="AB570" s="542" t="str">
        <f t="shared" si="198"/>
        <v/>
      </c>
      <c r="AC570" s="539" t="str">
        <f t="shared" si="199"/>
        <v/>
      </c>
      <c r="AD570" s="546" t="str">
        <f t="shared" si="200"/>
        <v/>
      </c>
      <c r="AE570" s="539" t="str">
        <f t="shared" si="201"/>
        <v/>
      </c>
      <c r="AF570" s="546" t="str">
        <f t="shared" si="202"/>
        <v/>
      </c>
      <c r="AG570" s="539" t="str">
        <f t="shared" si="203"/>
        <v/>
      </c>
      <c r="AH570" s="32">
        <f t="shared" si="205"/>
        <v>0</v>
      </c>
      <c r="AI570" s="32">
        <f t="shared" si="206"/>
        <v>0</v>
      </c>
      <c r="AJ570" s="32">
        <f t="shared" si="207"/>
        <v>0</v>
      </c>
      <c r="AK570" t="str">
        <f t="shared" si="208"/>
        <v/>
      </c>
      <c r="AL570" t="str">
        <f t="shared" si="209"/>
        <v/>
      </c>
      <c r="AM570" t="str">
        <f t="shared" si="210"/>
        <v/>
      </c>
      <c r="AO570" t="str">
        <f>IFERROR(VLOOKUP(M570,'Fixture Identities'!$B$9:$O$1045,14,FALSE),"")</f>
        <v/>
      </c>
      <c r="AP570" t="str">
        <f t="shared" si="204"/>
        <v/>
      </c>
    </row>
    <row r="571" spans="1:42">
      <c r="A571" s="71">
        <f t="shared" si="212"/>
        <v>0</v>
      </c>
      <c r="B571" s="513">
        <f t="shared" si="211"/>
        <v>559</v>
      </c>
      <c r="C571" s="530" t="str">
        <f>IF(Inventory!E568="","",Inventory!E568)</f>
        <v/>
      </c>
      <c r="D571" s="531">
        <f>IF(Inventory!D568="",0,Inventory!D568)</f>
        <v>0</v>
      </c>
      <c r="E571" s="532" t="str">
        <f>IF(Inventory!I568=0,"",Inventory!I568)</f>
        <v/>
      </c>
      <c r="F571" s="533" t="str">
        <f t="shared" si="191"/>
        <v/>
      </c>
      <c r="G571" s="534" t="str">
        <f>IF(Inventory!G568="","",Inventory!G568)</f>
        <v/>
      </c>
      <c r="H571" s="535" t="str">
        <f t="shared" si="192"/>
        <v/>
      </c>
      <c r="I571" s="536" t="str">
        <f>IF(Inventory!J568="","",Inventory!J568)</f>
        <v/>
      </c>
      <c r="J571" s="537" t="str">
        <f>IFERROR(IF(PRJ_Type="New Construction",IF(Inventory!C568="N",INDEX(xyLPD_BuildingArea,MATCH(Building_Type,Lookups!$F$37:$F$75,0),4),INDEX(xyLPD_SpaceBySpace,MATCH(INDEX(xyNCEx,MATCH(I571,yNCExArea,0),2),ySpace_by_Space_Type,0),2)),VLOOKUP(E571,xyWattage_Table,11,FALSE)),"")</f>
        <v/>
      </c>
      <c r="K571" s="538" t="str">
        <f>IFERROR(IF(AND(NC_Type="Building Area Method",Inventory!C568="N"),IF(ISERROR(INDEX('Usage Groups (&gt;120 MWh only)'!$N$8:$N$12,MATCH(C571,'Usage Groups (&gt;120 MWh only)'!$B$8:$B$12,0),1))=TRUE,SqFt/COUNTIFS(Inventory!$C$10:$C$1009,"N",$Q$13:$Q$1012,"&gt;=0"),INDEX('Usage Groups (&gt;120 MWh only)'!$N$8:$N$12,MATCH(C571,'Usage Groups (&gt;120 MWh only)'!$B$8:$B$12,0),1)/COUNTIF($C$13:$C$1012,C571)),IF(AND(NC_Type="Building Area Method",Inventory!C568="Y"),INDEX(xyNCEx,MATCH(I571,yNCExArea,0),3)/COUNTIF($I$13:$I$1012,I571),VLOOKUP(J571,xyWattage_Table,10,FALSE))),"")</f>
        <v/>
      </c>
      <c r="L571" s="539" t="str">
        <f t="shared" si="193"/>
        <v/>
      </c>
      <c r="M571" s="540">
        <f>IF(Inventory!N568="","",Inventory!N568)</f>
        <v>0</v>
      </c>
      <c r="N571" s="533" t="str">
        <f t="shared" si="194"/>
        <v/>
      </c>
      <c r="O571" s="534"/>
      <c r="P571" s="533" t="str">
        <f t="shared" si="195"/>
        <v/>
      </c>
      <c r="Q571" s="534" t="str">
        <f>IF(Inventory!L568="","",Inventory!L568)</f>
        <v/>
      </c>
      <c r="R571" s="535" t="str">
        <f t="shared" si="196"/>
        <v/>
      </c>
      <c r="S571" s="536" t="str">
        <f>IF(Inventory!O568="","",Inventory!O568)</f>
        <v/>
      </c>
      <c r="T571" s="541" t="str">
        <f>IFERROR(IF(C571="","",IF(INDEX(xyWattage_Table,MATCH(M571,'Fixture Identities'!$B$9:$B$997,0),2)="Exit Sign",8760,IF(VLOOKUP(C571,xySpace_Type_Details,8,FALSE)="TRM",INDEX('General Information'!$AF$17:$AG$28,11,MATCH(N571,'General Information'!$AF$16:$AG$16,0)),HLOOKUP(VLOOKUP(C571,xySpace_Type_Details,8,FALSE),'General Information'!$P$15:$AG$28,13,FALSE)))),"")</f>
        <v/>
      </c>
      <c r="U571" s="542" t="str">
        <f>IFERROR(IF(C571="","",IF(INDEX(xyWattage_Table,MATCH(M571,'Fixture Identities'!$B$9:$B$997,0),2)="Exit Sign",1,IF(VLOOKUP(C571,xySpace_Type_Details,8,FALSE)="TRM",INDEX('General Information'!$AF$17:$AG$28,12,MATCH(N571,'General Information'!$AF$16:$AG$16,0)),HLOOKUP(VLOOKUP(C571,xySpace_Type_Details,8,FALSE),'General Information'!$P$15:$AG$28,14,FALSE)))),"")</f>
        <v/>
      </c>
      <c r="V571" s="542" t="str">
        <f>IFERROR(VLOOKUP(INDEX(xySpace_Type_Details,MATCH($C571,'General Information'!$C$40:$C$60,0),12),Lookups!$L$8:$N$12,2,FALSE),"")</f>
        <v/>
      </c>
      <c r="W571" s="542" t="str">
        <f>IFERROR(VLOOKUP(INDEX(xySpace_Type_Details,MATCH($C571,'General Information'!$C$40:$C$60,0),12),Lookups!$L$8:$N$12,3,FALSE),"")</f>
        <v/>
      </c>
      <c r="Y571" s="542" t="str">
        <f>IFERROR(IF(C571="","",IF(INDEX(xyWattage_Table,MATCH(M571,'Fixture Identities'!$B$9:$B$997,0),2)="Exit Sign",0,IF(PRJ_Type="Retrofit",VLOOKUP(I571,xySVG_Factors,2,FALSE),IF(AND(PRJ_Type="New Construction",Inventory!C568="N"),VLOOKUP(VLOOKUP(Building_Type,xyLPD_BuildingArea,5,FALSE),xySVG_Factors_NC,3,FALSE),0)))),"")</f>
        <v/>
      </c>
      <c r="Z571" s="544" t="str">
        <f>IFERROR(IF(C571="","",IF(INDEX(xyWattage_Table,MATCH(M571,'Fixture Identities'!$B$9:$B$997,0),2)="Exit Sign",0,VLOOKUP(S571,xySVG_Factors,2,FALSE))),"")</f>
        <v/>
      </c>
      <c r="AA571" s="545" t="str">
        <f t="shared" si="197"/>
        <v/>
      </c>
      <c r="AB571" s="542" t="str">
        <f t="shared" si="198"/>
        <v/>
      </c>
      <c r="AC571" s="539" t="str">
        <f t="shared" si="199"/>
        <v/>
      </c>
      <c r="AD571" s="546" t="str">
        <f t="shared" si="200"/>
        <v/>
      </c>
      <c r="AE571" s="539" t="str">
        <f t="shared" si="201"/>
        <v/>
      </c>
      <c r="AF571" s="546" t="str">
        <f t="shared" si="202"/>
        <v/>
      </c>
      <c r="AG571" s="539" t="str">
        <f t="shared" si="203"/>
        <v/>
      </c>
      <c r="AH571" s="32">
        <f t="shared" si="205"/>
        <v>0</v>
      </c>
      <c r="AI571" s="32">
        <f t="shared" si="206"/>
        <v>0</v>
      </c>
      <c r="AJ571" s="32">
        <f t="shared" si="207"/>
        <v>0</v>
      </c>
      <c r="AK571" t="str">
        <f t="shared" si="208"/>
        <v/>
      </c>
      <c r="AL571" t="str">
        <f t="shared" si="209"/>
        <v/>
      </c>
      <c r="AM571" t="str">
        <f t="shared" si="210"/>
        <v/>
      </c>
      <c r="AO571" t="str">
        <f>IFERROR(VLOOKUP(M571,'Fixture Identities'!$B$9:$O$1045,14,FALSE),"")</f>
        <v/>
      </c>
      <c r="AP571" t="str">
        <f t="shared" si="204"/>
        <v/>
      </c>
    </row>
    <row r="572" spans="1:42">
      <c r="A572" s="71">
        <f t="shared" si="212"/>
        <v>0</v>
      </c>
      <c r="B572" s="513">
        <f t="shared" si="211"/>
        <v>560</v>
      </c>
      <c r="C572" s="530" t="str">
        <f>IF(Inventory!E569="","",Inventory!E569)</f>
        <v/>
      </c>
      <c r="D572" s="531">
        <f>IF(Inventory!D569="",0,Inventory!D569)</f>
        <v>0</v>
      </c>
      <c r="E572" s="532" t="str">
        <f>IF(Inventory!I569=0,"",Inventory!I569)</f>
        <v/>
      </c>
      <c r="F572" s="533" t="str">
        <f t="shared" si="191"/>
        <v/>
      </c>
      <c r="G572" s="534" t="str">
        <f>IF(Inventory!G569="","",Inventory!G569)</f>
        <v/>
      </c>
      <c r="H572" s="535" t="str">
        <f t="shared" si="192"/>
        <v/>
      </c>
      <c r="I572" s="536" t="str">
        <f>IF(Inventory!J569="","",Inventory!J569)</f>
        <v/>
      </c>
      <c r="J572" s="537" t="str">
        <f>IFERROR(IF(PRJ_Type="New Construction",IF(Inventory!C569="N",INDEX(xyLPD_BuildingArea,MATCH(Building_Type,Lookups!$F$37:$F$75,0),4),INDEX(xyLPD_SpaceBySpace,MATCH(INDEX(xyNCEx,MATCH(I572,yNCExArea,0),2),ySpace_by_Space_Type,0),2)),VLOOKUP(E572,xyWattage_Table,11,FALSE)),"")</f>
        <v/>
      </c>
      <c r="K572" s="538" t="str">
        <f>IFERROR(IF(AND(NC_Type="Building Area Method",Inventory!C569="N"),IF(ISERROR(INDEX('Usage Groups (&gt;120 MWh only)'!$N$8:$N$12,MATCH(C572,'Usage Groups (&gt;120 MWh only)'!$B$8:$B$12,0),1))=TRUE,SqFt/COUNTIFS(Inventory!$C$10:$C$1009,"N",$Q$13:$Q$1012,"&gt;=0"),INDEX('Usage Groups (&gt;120 MWh only)'!$N$8:$N$12,MATCH(C572,'Usage Groups (&gt;120 MWh only)'!$B$8:$B$12,0),1)/COUNTIF($C$13:$C$1012,C572)),IF(AND(NC_Type="Building Area Method",Inventory!C569="Y"),INDEX(xyNCEx,MATCH(I572,yNCExArea,0),3)/COUNTIF($I$13:$I$1012,I572),VLOOKUP(J572,xyWattage_Table,10,FALSE))),"")</f>
        <v/>
      </c>
      <c r="L572" s="539" t="str">
        <f t="shared" si="193"/>
        <v/>
      </c>
      <c r="M572" s="540">
        <f>IF(Inventory!N569="","",Inventory!N569)</f>
        <v>0</v>
      </c>
      <c r="N572" s="533" t="str">
        <f t="shared" si="194"/>
        <v/>
      </c>
      <c r="O572" s="534"/>
      <c r="P572" s="533" t="str">
        <f t="shared" si="195"/>
        <v/>
      </c>
      <c r="Q572" s="534" t="str">
        <f>IF(Inventory!L569="","",Inventory!L569)</f>
        <v/>
      </c>
      <c r="R572" s="535" t="str">
        <f t="shared" si="196"/>
        <v/>
      </c>
      <c r="S572" s="536" t="str">
        <f>IF(Inventory!O569="","",Inventory!O569)</f>
        <v/>
      </c>
      <c r="T572" s="541" t="str">
        <f>IFERROR(IF(C572="","",IF(INDEX(xyWattage_Table,MATCH(M572,'Fixture Identities'!$B$9:$B$997,0),2)="Exit Sign",8760,IF(VLOOKUP(C572,xySpace_Type_Details,8,FALSE)="TRM",INDEX('General Information'!$AF$17:$AG$28,11,MATCH(N572,'General Information'!$AF$16:$AG$16,0)),HLOOKUP(VLOOKUP(C572,xySpace_Type_Details,8,FALSE),'General Information'!$P$15:$AG$28,13,FALSE)))),"")</f>
        <v/>
      </c>
      <c r="U572" s="542" t="str">
        <f>IFERROR(IF(C572="","",IF(INDEX(xyWattage_Table,MATCH(M572,'Fixture Identities'!$B$9:$B$997,0),2)="Exit Sign",1,IF(VLOOKUP(C572,xySpace_Type_Details,8,FALSE)="TRM",INDEX('General Information'!$AF$17:$AG$28,12,MATCH(N572,'General Information'!$AF$16:$AG$16,0)),HLOOKUP(VLOOKUP(C572,xySpace_Type_Details,8,FALSE),'General Information'!$P$15:$AG$28,14,FALSE)))),"")</f>
        <v/>
      </c>
      <c r="V572" s="542" t="str">
        <f>IFERROR(VLOOKUP(INDEX(xySpace_Type_Details,MATCH($C572,'General Information'!$C$40:$C$60,0),12),Lookups!$L$8:$N$12,2,FALSE),"")</f>
        <v/>
      </c>
      <c r="W572" s="542" t="str">
        <f>IFERROR(VLOOKUP(INDEX(xySpace_Type_Details,MATCH($C572,'General Information'!$C$40:$C$60,0),12),Lookups!$L$8:$N$12,3,FALSE),"")</f>
        <v/>
      </c>
      <c r="Y572" s="542" t="str">
        <f>IFERROR(IF(C572="","",IF(INDEX(xyWattage_Table,MATCH(M572,'Fixture Identities'!$B$9:$B$997,0),2)="Exit Sign",0,IF(PRJ_Type="Retrofit",VLOOKUP(I572,xySVG_Factors,2,FALSE),IF(AND(PRJ_Type="New Construction",Inventory!C569="N"),VLOOKUP(VLOOKUP(Building_Type,xyLPD_BuildingArea,5,FALSE),xySVG_Factors_NC,3,FALSE),0)))),"")</f>
        <v/>
      </c>
      <c r="Z572" s="544" t="str">
        <f>IFERROR(IF(C572="","",IF(INDEX(xyWattage_Table,MATCH(M572,'Fixture Identities'!$B$9:$B$997,0),2)="Exit Sign",0,VLOOKUP(S572,xySVG_Factors,2,FALSE))),"")</f>
        <v/>
      </c>
      <c r="AA572" s="545" t="str">
        <f t="shared" si="197"/>
        <v/>
      </c>
      <c r="AB572" s="542" t="str">
        <f t="shared" si="198"/>
        <v/>
      </c>
      <c r="AC572" s="539" t="str">
        <f t="shared" si="199"/>
        <v/>
      </c>
      <c r="AD572" s="546" t="str">
        <f t="shared" si="200"/>
        <v/>
      </c>
      <c r="AE572" s="539" t="str">
        <f t="shared" si="201"/>
        <v/>
      </c>
      <c r="AF572" s="546" t="str">
        <f t="shared" si="202"/>
        <v/>
      </c>
      <c r="AG572" s="539" t="str">
        <f t="shared" si="203"/>
        <v/>
      </c>
      <c r="AH572" s="32">
        <f t="shared" si="205"/>
        <v>0</v>
      </c>
      <c r="AI572" s="32">
        <f t="shared" si="206"/>
        <v>0</v>
      </c>
      <c r="AJ572" s="32">
        <f t="shared" si="207"/>
        <v>0</v>
      </c>
      <c r="AK572" t="str">
        <f t="shared" si="208"/>
        <v/>
      </c>
      <c r="AL572" t="str">
        <f t="shared" si="209"/>
        <v/>
      </c>
      <c r="AM572" t="str">
        <f t="shared" si="210"/>
        <v/>
      </c>
      <c r="AO572" t="str">
        <f>IFERROR(VLOOKUP(M572,'Fixture Identities'!$B$9:$O$1045,14,FALSE),"")</f>
        <v/>
      </c>
      <c r="AP572" t="str">
        <f t="shared" si="204"/>
        <v/>
      </c>
    </row>
    <row r="573" spans="1:42">
      <c r="A573" s="71">
        <f t="shared" si="212"/>
        <v>0</v>
      </c>
      <c r="B573" s="513">
        <f t="shared" si="211"/>
        <v>561</v>
      </c>
      <c r="C573" s="530" t="str">
        <f>IF(Inventory!E570="","",Inventory!E570)</f>
        <v/>
      </c>
      <c r="D573" s="531">
        <f>IF(Inventory!D570="",0,Inventory!D570)</f>
        <v>0</v>
      </c>
      <c r="E573" s="532" t="str">
        <f>IF(Inventory!I570=0,"",Inventory!I570)</f>
        <v/>
      </c>
      <c r="F573" s="533" t="str">
        <f t="shared" si="191"/>
        <v/>
      </c>
      <c r="G573" s="534" t="str">
        <f>IF(Inventory!G570="","",Inventory!G570)</f>
        <v/>
      </c>
      <c r="H573" s="535" t="str">
        <f t="shared" si="192"/>
        <v/>
      </c>
      <c r="I573" s="536" t="str">
        <f>IF(Inventory!J570="","",Inventory!J570)</f>
        <v/>
      </c>
      <c r="J573" s="537" t="str">
        <f>IFERROR(IF(PRJ_Type="New Construction",IF(Inventory!C570="N",INDEX(xyLPD_BuildingArea,MATCH(Building_Type,Lookups!$F$37:$F$75,0),4),INDEX(xyLPD_SpaceBySpace,MATCH(INDEX(xyNCEx,MATCH(I573,yNCExArea,0),2),ySpace_by_Space_Type,0),2)),VLOOKUP(E573,xyWattage_Table,11,FALSE)),"")</f>
        <v/>
      </c>
      <c r="K573" s="538" t="str">
        <f>IFERROR(IF(AND(NC_Type="Building Area Method",Inventory!C570="N"),IF(ISERROR(INDEX('Usage Groups (&gt;120 MWh only)'!$N$8:$N$12,MATCH(C573,'Usage Groups (&gt;120 MWh only)'!$B$8:$B$12,0),1))=TRUE,SqFt/COUNTIFS(Inventory!$C$10:$C$1009,"N",$Q$13:$Q$1012,"&gt;=0"),INDEX('Usage Groups (&gt;120 MWh only)'!$N$8:$N$12,MATCH(C573,'Usage Groups (&gt;120 MWh only)'!$B$8:$B$12,0),1)/COUNTIF($C$13:$C$1012,C573)),IF(AND(NC_Type="Building Area Method",Inventory!C570="Y"),INDEX(xyNCEx,MATCH(I573,yNCExArea,0),3)/COUNTIF($I$13:$I$1012,I573),VLOOKUP(J573,xyWattage_Table,10,FALSE))),"")</f>
        <v/>
      </c>
      <c r="L573" s="539" t="str">
        <f t="shared" si="193"/>
        <v/>
      </c>
      <c r="M573" s="540">
        <f>IF(Inventory!N570="","",Inventory!N570)</f>
        <v>0</v>
      </c>
      <c r="N573" s="533" t="str">
        <f t="shared" si="194"/>
        <v/>
      </c>
      <c r="O573" s="534"/>
      <c r="P573" s="533" t="str">
        <f t="shared" si="195"/>
        <v/>
      </c>
      <c r="Q573" s="534" t="str">
        <f>IF(Inventory!L570="","",Inventory!L570)</f>
        <v/>
      </c>
      <c r="R573" s="535" t="str">
        <f t="shared" si="196"/>
        <v/>
      </c>
      <c r="S573" s="536" t="str">
        <f>IF(Inventory!O570="","",Inventory!O570)</f>
        <v/>
      </c>
      <c r="T573" s="541" t="str">
        <f>IFERROR(IF(C573="","",IF(INDEX(xyWattage_Table,MATCH(M573,'Fixture Identities'!$B$9:$B$997,0),2)="Exit Sign",8760,IF(VLOOKUP(C573,xySpace_Type_Details,8,FALSE)="TRM",INDEX('General Information'!$AF$17:$AG$28,11,MATCH(N573,'General Information'!$AF$16:$AG$16,0)),HLOOKUP(VLOOKUP(C573,xySpace_Type_Details,8,FALSE),'General Information'!$P$15:$AG$28,13,FALSE)))),"")</f>
        <v/>
      </c>
      <c r="U573" s="542" t="str">
        <f>IFERROR(IF(C573="","",IF(INDEX(xyWattage_Table,MATCH(M573,'Fixture Identities'!$B$9:$B$997,0),2)="Exit Sign",1,IF(VLOOKUP(C573,xySpace_Type_Details,8,FALSE)="TRM",INDEX('General Information'!$AF$17:$AG$28,12,MATCH(N573,'General Information'!$AF$16:$AG$16,0)),HLOOKUP(VLOOKUP(C573,xySpace_Type_Details,8,FALSE),'General Information'!$P$15:$AG$28,14,FALSE)))),"")</f>
        <v/>
      </c>
      <c r="V573" s="542" t="str">
        <f>IFERROR(VLOOKUP(INDEX(xySpace_Type_Details,MATCH($C573,'General Information'!$C$40:$C$60,0),12),Lookups!$L$8:$N$12,2,FALSE),"")</f>
        <v/>
      </c>
      <c r="W573" s="542" t="str">
        <f>IFERROR(VLOOKUP(INDEX(xySpace_Type_Details,MATCH($C573,'General Information'!$C$40:$C$60,0),12),Lookups!$L$8:$N$12,3,FALSE),"")</f>
        <v/>
      </c>
      <c r="Y573" s="542" t="str">
        <f>IFERROR(IF(C573="","",IF(INDEX(xyWattage_Table,MATCH(M573,'Fixture Identities'!$B$9:$B$997,0),2)="Exit Sign",0,IF(PRJ_Type="Retrofit",VLOOKUP(I573,xySVG_Factors,2,FALSE),IF(AND(PRJ_Type="New Construction",Inventory!C570="N"),VLOOKUP(VLOOKUP(Building_Type,xyLPD_BuildingArea,5,FALSE),xySVG_Factors_NC,3,FALSE),0)))),"")</f>
        <v/>
      </c>
      <c r="Z573" s="544" t="str">
        <f>IFERROR(IF(C573="","",IF(INDEX(xyWattage_Table,MATCH(M573,'Fixture Identities'!$B$9:$B$997,0),2)="Exit Sign",0,VLOOKUP(S573,xySVG_Factors,2,FALSE))),"")</f>
        <v/>
      </c>
      <c r="AA573" s="545" t="str">
        <f t="shared" si="197"/>
        <v/>
      </c>
      <c r="AB573" s="542" t="str">
        <f t="shared" si="198"/>
        <v/>
      </c>
      <c r="AC573" s="539" t="str">
        <f t="shared" si="199"/>
        <v/>
      </c>
      <c r="AD573" s="546" t="str">
        <f t="shared" si="200"/>
        <v/>
      </c>
      <c r="AE573" s="539" t="str">
        <f t="shared" si="201"/>
        <v/>
      </c>
      <c r="AF573" s="546" t="str">
        <f t="shared" si="202"/>
        <v/>
      </c>
      <c r="AG573" s="539" t="str">
        <f t="shared" si="203"/>
        <v/>
      </c>
      <c r="AH573" s="32">
        <f t="shared" si="205"/>
        <v>0</v>
      </c>
      <c r="AI573" s="32">
        <f t="shared" si="206"/>
        <v>0</v>
      </c>
      <c r="AJ573" s="32">
        <f t="shared" si="207"/>
        <v>0</v>
      </c>
      <c r="AK573" t="str">
        <f t="shared" si="208"/>
        <v/>
      </c>
      <c r="AL573" t="str">
        <f t="shared" si="209"/>
        <v/>
      </c>
      <c r="AM573" t="str">
        <f t="shared" si="210"/>
        <v/>
      </c>
      <c r="AO573" t="str">
        <f>IFERROR(VLOOKUP(M573,'Fixture Identities'!$B$9:$O$1045,14,FALSE),"")</f>
        <v/>
      </c>
      <c r="AP573" t="str">
        <f t="shared" si="204"/>
        <v/>
      </c>
    </row>
    <row r="574" spans="1:42">
      <c r="A574" s="71">
        <f t="shared" si="212"/>
        <v>0</v>
      </c>
      <c r="B574" s="513">
        <f t="shared" si="211"/>
        <v>562</v>
      </c>
      <c r="C574" s="530" t="str">
        <f>IF(Inventory!E571="","",Inventory!E571)</f>
        <v/>
      </c>
      <c r="D574" s="531">
        <f>IF(Inventory!D571="",0,Inventory!D571)</f>
        <v>0</v>
      </c>
      <c r="E574" s="532" t="str">
        <f>IF(Inventory!I571=0,"",Inventory!I571)</f>
        <v/>
      </c>
      <c r="F574" s="533" t="str">
        <f t="shared" si="191"/>
        <v/>
      </c>
      <c r="G574" s="534" t="str">
        <f>IF(Inventory!G571="","",Inventory!G571)</f>
        <v/>
      </c>
      <c r="H574" s="535" t="str">
        <f t="shared" si="192"/>
        <v/>
      </c>
      <c r="I574" s="536" t="str">
        <f>IF(Inventory!J571="","",Inventory!J571)</f>
        <v/>
      </c>
      <c r="J574" s="537" t="str">
        <f>IFERROR(IF(PRJ_Type="New Construction",IF(Inventory!C571="N",INDEX(xyLPD_BuildingArea,MATCH(Building_Type,Lookups!$F$37:$F$75,0),4),INDEX(xyLPD_SpaceBySpace,MATCH(INDEX(xyNCEx,MATCH(I574,yNCExArea,0),2),ySpace_by_Space_Type,0),2)),VLOOKUP(E574,xyWattage_Table,11,FALSE)),"")</f>
        <v/>
      </c>
      <c r="K574" s="538" t="str">
        <f>IFERROR(IF(AND(NC_Type="Building Area Method",Inventory!C571="N"),IF(ISERROR(INDEX('Usage Groups (&gt;120 MWh only)'!$N$8:$N$12,MATCH(C574,'Usage Groups (&gt;120 MWh only)'!$B$8:$B$12,0),1))=TRUE,SqFt/COUNTIFS(Inventory!$C$10:$C$1009,"N",$Q$13:$Q$1012,"&gt;=0"),INDEX('Usage Groups (&gt;120 MWh only)'!$N$8:$N$12,MATCH(C574,'Usage Groups (&gt;120 MWh only)'!$B$8:$B$12,0),1)/COUNTIF($C$13:$C$1012,C574)),IF(AND(NC_Type="Building Area Method",Inventory!C571="Y"),INDEX(xyNCEx,MATCH(I574,yNCExArea,0),3)/COUNTIF($I$13:$I$1012,I574),VLOOKUP(J574,xyWattage_Table,10,FALSE))),"")</f>
        <v/>
      </c>
      <c r="L574" s="539" t="str">
        <f t="shared" si="193"/>
        <v/>
      </c>
      <c r="M574" s="540">
        <f>IF(Inventory!N571="","",Inventory!N571)</f>
        <v>0</v>
      </c>
      <c r="N574" s="533" t="str">
        <f t="shared" si="194"/>
        <v/>
      </c>
      <c r="O574" s="534"/>
      <c r="P574" s="533" t="str">
        <f t="shared" si="195"/>
        <v/>
      </c>
      <c r="Q574" s="534" t="str">
        <f>IF(Inventory!L571="","",Inventory!L571)</f>
        <v/>
      </c>
      <c r="R574" s="535" t="str">
        <f t="shared" si="196"/>
        <v/>
      </c>
      <c r="S574" s="536" t="str">
        <f>IF(Inventory!O571="","",Inventory!O571)</f>
        <v/>
      </c>
      <c r="T574" s="541" t="str">
        <f>IFERROR(IF(C574="","",IF(INDEX(xyWattage_Table,MATCH(M574,'Fixture Identities'!$B$9:$B$997,0),2)="Exit Sign",8760,IF(VLOOKUP(C574,xySpace_Type_Details,8,FALSE)="TRM",INDEX('General Information'!$AF$17:$AG$28,11,MATCH(N574,'General Information'!$AF$16:$AG$16,0)),HLOOKUP(VLOOKUP(C574,xySpace_Type_Details,8,FALSE),'General Information'!$P$15:$AG$28,13,FALSE)))),"")</f>
        <v/>
      </c>
      <c r="U574" s="542" t="str">
        <f>IFERROR(IF(C574="","",IF(INDEX(xyWattage_Table,MATCH(M574,'Fixture Identities'!$B$9:$B$997,0),2)="Exit Sign",1,IF(VLOOKUP(C574,xySpace_Type_Details,8,FALSE)="TRM",INDEX('General Information'!$AF$17:$AG$28,12,MATCH(N574,'General Information'!$AF$16:$AG$16,0)),HLOOKUP(VLOOKUP(C574,xySpace_Type_Details,8,FALSE),'General Information'!$P$15:$AG$28,14,FALSE)))),"")</f>
        <v/>
      </c>
      <c r="V574" s="542" t="str">
        <f>IFERROR(VLOOKUP(INDEX(xySpace_Type_Details,MATCH($C574,'General Information'!$C$40:$C$60,0),12),Lookups!$L$8:$N$12,2,FALSE),"")</f>
        <v/>
      </c>
      <c r="W574" s="542" t="str">
        <f>IFERROR(VLOOKUP(INDEX(xySpace_Type_Details,MATCH($C574,'General Information'!$C$40:$C$60,0),12),Lookups!$L$8:$N$12,3,FALSE),"")</f>
        <v/>
      </c>
      <c r="Y574" s="542" t="str">
        <f>IFERROR(IF(C574="","",IF(INDEX(xyWattage_Table,MATCH(M574,'Fixture Identities'!$B$9:$B$997,0),2)="Exit Sign",0,IF(PRJ_Type="Retrofit",VLOOKUP(I574,xySVG_Factors,2,FALSE),IF(AND(PRJ_Type="New Construction",Inventory!C571="N"),VLOOKUP(VLOOKUP(Building_Type,xyLPD_BuildingArea,5,FALSE),xySVG_Factors_NC,3,FALSE),0)))),"")</f>
        <v/>
      </c>
      <c r="Z574" s="544" t="str">
        <f>IFERROR(IF(C574="","",IF(INDEX(xyWattage_Table,MATCH(M574,'Fixture Identities'!$B$9:$B$997,0),2)="Exit Sign",0,VLOOKUP(S574,xySVG_Factors,2,FALSE))),"")</f>
        <v/>
      </c>
      <c r="AA574" s="545" t="str">
        <f t="shared" si="197"/>
        <v/>
      </c>
      <c r="AB574" s="542" t="str">
        <f t="shared" si="198"/>
        <v/>
      </c>
      <c r="AC574" s="539" t="str">
        <f t="shared" si="199"/>
        <v/>
      </c>
      <c r="AD574" s="546" t="str">
        <f t="shared" si="200"/>
        <v/>
      </c>
      <c r="AE574" s="539" t="str">
        <f t="shared" si="201"/>
        <v/>
      </c>
      <c r="AF574" s="546" t="str">
        <f t="shared" si="202"/>
        <v/>
      </c>
      <c r="AG574" s="539" t="str">
        <f t="shared" si="203"/>
        <v/>
      </c>
      <c r="AH574" s="32">
        <f t="shared" si="205"/>
        <v>0</v>
      </c>
      <c r="AI574" s="32">
        <f t="shared" si="206"/>
        <v>0</v>
      </c>
      <c r="AJ574" s="32">
        <f t="shared" si="207"/>
        <v>0</v>
      </c>
      <c r="AK574" t="str">
        <f t="shared" si="208"/>
        <v/>
      </c>
      <c r="AL574" t="str">
        <f t="shared" si="209"/>
        <v/>
      </c>
      <c r="AM574" t="str">
        <f t="shared" si="210"/>
        <v/>
      </c>
      <c r="AO574" t="str">
        <f>IFERROR(VLOOKUP(M574,'Fixture Identities'!$B$9:$O$1045,14,FALSE),"")</f>
        <v/>
      </c>
      <c r="AP574" t="str">
        <f t="shared" si="204"/>
        <v/>
      </c>
    </row>
    <row r="575" spans="1:42">
      <c r="A575" s="71">
        <f t="shared" si="212"/>
        <v>0</v>
      </c>
      <c r="B575" s="513">
        <f t="shared" si="211"/>
        <v>563</v>
      </c>
      <c r="C575" s="530" t="str">
        <f>IF(Inventory!E572="","",Inventory!E572)</f>
        <v/>
      </c>
      <c r="D575" s="531">
        <f>IF(Inventory!D572="",0,Inventory!D572)</f>
        <v>0</v>
      </c>
      <c r="E575" s="532" t="str">
        <f>IF(Inventory!I572=0,"",Inventory!I572)</f>
        <v/>
      </c>
      <c r="F575" s="533" t="str">
        <f t="shared" si="191"/>
        <v/>
      </c>
      <c r="G575" s="534" t="str">
        <f>IF(Inventory!G572="","",Inventory!G572)</f>
        <v/>
      </c>
      <c r="H575" s="535" t="str">
        <f t="shared" si="192"/>
        <v/>
      </c>
      <c r="I575" s="536" t="str">
        <f>IF(Inventory!J572="","",Inventory!J572)</f>
        <v/>
      </c>
      <c r="J575" s="537" t="str">
        <f>IFERROR(IF(PRJ_Type="New Construction",IF(Inventory!C572="N",INDEX(xyLPD_BuildingArea,MATCH(Building_Type,Lookups!$F$37:$F$75,0),4),INDEX(xyLPD_SpaceBySpace,MATCH(INDEX(xyNCEx,MATCH(I575,yNCExArea,0),2),ySpace_by_Space_Type,0),2)),VLOOKUP(E575,xyWattage_Table,11,FALSE)),"")</f>
        <v/>
      </c>
      <c r="K575" s="538" t="str">
        <f>IFERROR(IF(AND(NC_Type="Building Area Method",Inventory!C572="N"),IF(ISERROR(INDEX('Usage Groups (&gt;120 MWh only)'!$N$8:$N$12,MATCH(C575,'Usage Groups (&gt;120 MWh only)'!$B$8:$B$12,0),1))=TRUE,SqFt/COUNTIFS(Inventory!$C$10:$C$1009,"N",$Q$13:$Q$1012,"&gt;=0"),INDEX('Usage Groups (&gt;120 MWh only)'!$N$8:$N$12,MATCH(C575,'Usage Groups (&gt;120 MWh only)'!$B$8:$B$12,0),1)/COUNTIF($C$13:$C$1012,C575)),IF(AND(NC_Type="Building Area Method",Inventory!C572="Y"),INDEX(xyNCEx,MATCH(I575,yNCExArea,0),3)/COUNTIF($I$13:$I$1012,I575),VLOOKUP(J575,xyWattage_Table,10,FALSE))),"")</f>
        <v/>
      </c>
      <c r="L575" s="539" t="str">
        <f t="shared" si="193"/>
        <v/>
      </c>
      <c r="M575" s="540">
        <f>IF(Inventory!N572="","",Inventory!N572)</f>
        <v>0</v>
      </c>
      <c r="N575" s="533" t="str">
        <f t="shared" si="194"/>
        <v/>
      </c>
      <c r="O575" s="534"/>
      <c r="P575" s="533" t="str">
        <f t="shared" si="195"/>
        <v/>
      </c>
      <c r="Q575" s="534" t="str">
        <f>IF(Inventory!L572="","",Inventory!L572)</f>
        <v/>
      </c>
      <c r="R575" s="535" t="str">
        <f t="shared" si="196"/>
        <v/>
      </c>
      <c r="S575" s="536" t="str">
        <f>IF(Inventory!O572="","",Inventory!O572)</f>
        <v/>
      </c>
      <c r="T575" s="541" t="str">
        <f>IFERROR(IF(C575="","",IF(INDEX(xyWattage_Table,MATCH(M575,'Fixture Identities'!$B$9:$B$997,0),2)="Exit Sign",8760,IF(VLOOKUP(C575,xySpace_Type_Details,8,FALSE)="TRM",INDEX('General Information'!$AF$17:$AG$28,11,MATCH(N575,'General Information'!$AF$16:$AG$16,0)),HLOOKUP(VLOOKUP(C575,xySpace_Type_Details,8,FALSE),'General Information'!$P$15:$AG$28,13,FALSE)))),"")</f>
        <v/>
      </c>
      <c r="U575" s="542" t="str">
        <f>IFERROR(IF(C575="","",IF(INDEX(xyWattage_Table,MATCH(M575,'Fixture Identities'!$B$9:$B$997,0),2)="Exit Sign",1,IF(VLOOKUP(C575,xySpace_Type_Details,8,FALSE)="TRM",INDEX('General Information'!$AF$17:$AG$28,12,MATCH(N575,'General Information'!$AF$16:$AG$16,0)),HLOOKUP(VLOOKUP(C575,xySpace_Type_Details,8,FALSE),'General Information'!$P$15:$AG$28,14,FALSE)))),"")</f>
        <v/>
      </c>
      <c r="V575" s="542" t="str">
        <f>IFERROR(VLOOKUP(INDEX(xySpace_Type_Details,MATCH($C575,'General Information'!$C$40:$C$60,0),12),Lookups!$L$8:$N$12,2,FALSE),"")</f>
        <v/>
      </c>
      <c r="W575" s="542" t="str">
        <f>IFERROR(VLOOKUP(INDEX(xySpace_Type_Details,MATCH($C575,'General Information'!$C$40:$C$60,0),12),Lookups!$L$8:$N$12,3,FALSE),"")</f>
        <v/>
      </c>
      <c r="Y575" s="542" t="str">
        <f>IFERROR(IF(C575="","",IF(INDEX(xyWattage_Table,MATCH(M575,'Fixture Identities'!$B$9:$B$997,0),2)="Exit Sign",0,IF(PRJ_Type="Retrofit",VLOOKUP(I575,xySVG_Factors,2,FALSE),IF(AND(PRJ_Type="New Construction",Inventory!C572="N"),VLOOKUP(VLOOKUP(Building_Type,xyLPD_BuildingArea,5,FALSE),xySVG_Factors_NC,3,FALSE),0)))),"")</f>
        <v/>
      </c>
      <c r="Z575" s="544" t="str">
        <f>IFERROR(IF(C575="","",IF(INDEX(xyWattage_Table,MATCH(M575,'Fixture Identities'!$B$9:$B$997,0),2)="Exit Sign",0,VLOOKUP(S575,xySVG_Factors,2,FALSE))),"")</f>
        <v/>
      </c>
      <c r="AA575" s="545" t="str">
        <f t="shared" si="197"/>
        <v/>
      </c>
      <c r="AB575" s="542" t="str">
        <f t="shared" si="198"/>
        <v/>
      </c>
      <c r="AC575" s="539" t="str">
        <f t="shared" si="199"/>
        <v/>
      </c>
      <c r="AD575" s="546" t="str">
        <f t="shared" si="200"/>
        <v/>
      </c>
      <c r="AE575" s="539" t="str">
        <f t="shared" si="201"/>
        <v/>
      </c>
      <c r="AF575" s="546" t="str">
        <f t="shared" si="202"/>
        <v/>
      </c>
      <c r="AG575" s="539" t="str">
        <f t="shared" si="203"/>
        <v/>
      </c>
      <c r="AH575" s="32">
        <f t="shared" si="205"/>
        <v>0</v>
      </c>
      <c r="AI575" s="32">
        <f t="shared" si="206"/>
        <v>0</v>
      </c>
      <c r="AJ575" s="32">
        <f t="shared" si="207"/>
        <v>0</v>
      </c>
      <c r="AK575" t="str">
        <f t="shared" si="208"/>
        <v/>
      </c>
      <c r="AL575" t="str">
        <f t="shared" si="209"/>
        <v/>
      </c>
      <c r="AM575" t="str">
        <f t="shared" si="210"/>
        <v/>
      </c>
      <c r="AO575" t="str">
        <f>IFERROR(VLOOKUP(M575,'Fixture Identities'!$B$9:$O$1045,14,FALSE),"")</f>
        <v/>
      </c>
      <c r="AP575" t="str">
        <f t="shared" si="204"/>
        <v/>
      </c>
    </row>
    <row r="576" spans="1:42">
      <c r="A576" s="71">
        <f t="shared" si="212"/>
        <v>0</v>
      </c>
      <c r="B576" s="513">
        <f t="shared" si="211"/>
        <v>564</v>
      </c>
      <c r="C576" s="530" t="str">
        <f>IF(Inventory!E573="","",Inventory!E573)</f>
        <v/>
      </c>
      <c r="D576" s="531">
        <f>IF(Inventory!D573="",0,Inventory!D573)</f>
        <v>0</v>
      </c>
      <c r="E576" s="532" t="str">
        <f>IF(Inventory!I573=0,"",Inventory!I573)</f>
        <v/>
      </c>
      <c r="F576" s="533" t="str">
        <f t="shared" si="191"/>
        <v/>
      </c>
      <c r="G576" s="534" t="str">
        <f>IF(Inventory!G573="","",Inventory!G573)</f>
        <v/>
      </c>
      <c r="H576" s="535" t="str">
        <f t="shared" si="192"/>
        <v/>
      </c>
      <c r="I576" s="536" t="str">
        <f>IF(Inventory!J573="","",Inventory!J573)</f>
        <v/>
      </c>
      <c r="J576" s="537" t="str">
        <f>IFERROR(IF(PRJ_Type="New Construction",IF(Inventory!C573="N",INDEX(xyLPD_BuildingArea,MATCH(Building_Type,Lookups!$F$37:$F$75,0),4),INDEX(xyLPD_SpaceBySpace,MATCH(INDEX(xyNCEx,MATCH(I576,yNCExArea,0),2),ySpace_by_Space_Type,0),2)),VLOOKUP(E576,xyWattage_Table,11,FALSE)),"")</f>
        <v/>
      </c>
      <c r="K576" s="538" t="str">
        <f>IFERROR(IF(AND(NC_Type="Building Area Method",Inventory!C573="N"),IF(ISERROR(INDEX('Usage Groups (&gt;120 MWh only)'!$N$8:$N$12,MATCH(C576,'Usage Groups (&gt;120 MWh only)'!$B$8:$B$12,0),1))=TRUE,SqFt/COUNTIFS(Inventory!$C$10:$C$1009,"N",$Q$13:$Q$1012,"&gt;=0"),INDEX('Usage Groups (&gt;120 MWh only)'!$N$8:$N$12,MATCH(C576,'Usage Groups (&gt;120 MWh only)'!$B$8:$B$12,0),1)/COUNTIF($C$13:$C$1012,C576)),IF(AND(NC_Type="Building Area Method",Inventory!C573="Y"),INDEX(xyNCEx,MATCH(I576,yNCExArea,0),3)/COUNTIF($I$13:$I$1012,I576),VLOOKUP(J576,xyWattage_Table,10,FALSE))),"")</f>
        <v/>
      </c>
      <c r="L576" s="539" t="str">
        <f t="shared" si="193"/>
        <v/>
      </c>
      <c r="M576" s="540">
        <f>IF(Inventory!N573="","",Inventory!N573)</f>
        <v>0</v>
      </c>
      <c r="N576" s="533" t="str">
        <f t="shared" si="194"/>
        <v/>
      </c>
      <c r="O576" s="534"/>
      <c r="P576" s="533" t="str">
        <f t="shared" si="195"/>
        <v/>
      </c>
      <c r="Q576" s="534" t="str">
        <f>IF(Inventory!L573="","",Inventory!L573)</f>
        <v/>
      </c>
      <c r="R576" s="535" t="str">
        <f t="shared" si="196"/>
        <v/>
      </c>
      <c r="S576" s="536" t="str">
        <f>IF(Inventory!O573="","",Inventory!O573)</f>
        <v/>
      </c>
      <c r="T576" s="541" t="str">
        <f>IFERROR(IF(C576="","",IF(INDEX(xyWattage_Table,MATCH(M576,'Fixture Identities'!$B$9:$B$997,0),2)="Exit Sign",8760,IF(VLOOKUP(C576,xySpace_Type_Details,8,FALSE)="TRM",INDEX('General Information'!$AF$17:$AG$28,11,MATCH(N576,'General Information'!$AF$16:$AG$16,0)),HLOOKUP(VLOOKUP(C576,xySpace_Type_Details,8,FALSE),'General Information'!$P$15:$AG$28,13,FALSE)))),"")</f>
        <v/>
      </c>
      <c r="U576" s="542" t="str">
        <f>IFERROR(IF(C576="","",IF(INDEX(xyWattage_Table,MATCH(M576,'Fixture Identities'!$B$9:$B$997,0),2)="Exit Sign",1,IF(VLOOKUP(C576,xySpace_Type_Details,8,FALSE)="TRM",INDEX('General Information'!$AF$17:$AG$28,12,MATCH(N576,'General Information'!$AF$16:$AG$16,0)),HLOOKUP(VLOOKUP(C576,xySpace_Type_Details,8,FALSE),'General Information'!$P$15:$AG$28,14,FALSE)))),"")</f>
        <v/>
      </c>
      <c r="V576" s="542" t="str">
        <f>IFERROR(VLOOKUP(INDEX(xySpace_Type_Details,MATCH($C576,'General Information'!$C$40:$C$60,0),12),Lookups!$L$8:$N$12,2,FALSE),"")</f>
        <v/>
      </c>
      <c r="W576" s="542" t="str">
        <f>IFERROR(VLOOKUP(INDEX(xySpace_Type_Details,MATCH($C576,'General Information'!$C$40:$C$60,0),12),Lookups!$L$8:$N$12,3,FALSE),"")</f>
        <v/>
      </c>
      <c r="Y576" s="542" t="str">
        <f>IFERROR(IF(C576="","",IF(INDEX(xyWattage_Table,MATCH(M576,'Fixture Identities'!$B$9:$B$997,0),2)="Exit Sign",0,IF(PRJ_Type="Retrofit",VLOOKUP(I576,xySVG_Factors,2,FALSE),IF(AND(PRJ_Type="New Construction",Inventory!C573="N"),VLOOKUP(VLOOKUP(Building_Type,xyLPD_BuildingArea,5,FALSE),xySVG_Factors_NC,3,FALSE),0)))),"")</f>
        <v/>
      </c>
      <c r="Z576" s="544" t="str">
        <f>IFERROR(IF(C576="","",IF(INDEX(xyWattage_Table,MATCH(M576,'Fixture Identities'!$B$9:$B$997,0),2)="Exit Sign",0,VLOOKUP(S576,xySVG_Factors,2,FALSE))),"")</f>
        <v/>
      </c>
      <c r="AA576" s="545" t="str">
        <f t="shared" si="197"/>
        <v/>
      </c>
      <c r="AB576" s="542" t="str">
        <f t="shared" si="198"/>
        <v/>
      </c>
      <c r="AC576" s="539" t="str">
        <f t="shared" si="199"/>
        <v/>
      </c>
      <c r="AD576" s="546" t="str">
        <f t="shared" si="200"/>
        <v/>
      </c>
      <c r="AE576" s="539" t="str">
        <f t="shared" si="201"/>
        <v/>
      </c>
      <c r="AF576" s="546" t="str">
        <f t="shared" si="202"/>
        <v/>
      </c>
      <c r="AG576" s="539" t="str">
        <f t="shared" si="203"/>
        <v/>
      </c>
      <c r="AH576" s="32">
        <f t="shared" si="205"/>
        <v>0</v>
      </c>
      <c r="AI576" s="32">
        <f t="shared" si="206"/>
        <v>0</v>
      </c>
      <c r="AJ576" s="32">
        <f t="shared" si="207"/>
        <v>0</v>
      </c>
      <c r="AK576" t="str">
        <f t="shared" si="208"/>
        <v/>
      </c>
      <c r="AL576" t="str">
        <f t="shared" si="209"/>
        <v/>
      </c>
      <c r="AM576" t="str">
        <f t="shared" si="210"/>
        <v/>
      </c>
      <c r="AO576" t="str">
        <f>IFERROR(VLOOKUP(M576,'Fixture Identities'!$B$9:$O$1045,14,FALSE),"")</f>
        <v/>
      </c>
      <c r="AP576" t="str">
        <f t="shared" si="204"/>
        <v/>
      </c>
    </row>
    <row r="577" spans="1:42">
      <c r="A577" s="71">
        <f t="shared" si="212"/>
        <v>0</v>
      </c>
      <c r="B577" s="513">
        <f t="shared" si="211"/>
        <v>565</v>
      </c>
      <c r="C577" s="530" t="str">
        <f>IF(Inventory!E574="","",Inventory!E574)</f>
        <v/>
      </c>
      <c r="D577" s="531">
        <f>IF(Inventory!D574="",0,Inventory!D574)</f>
        <v>0</v>
      </c>
      <c r="E577" s="532" t="str">
        <f>IF(Inventory!I574=0,"",Inventory!I574)</f>
        <v/>
      </c>
      <c r="F577" s="533" t="str">
        <f t="shared" si="191"/>
        <v/>
      </c>
      <c r="G577" s="534" t="str">
        <f>IF(Inventory!G574="","",Inventory!G574)</f>
        <v/>
      </c>
      <c r="H577" s="535" t="str">
        <f t="shared" si="192"/>
        <v/>
      </c>
      <c r="I577" s="536" t="str">
        <f>IF(Inventory!J574="","",Inventory!J574)</f>
        <v/>
      </c>
      <c r="J577" s="537" t="str">
        <f>IFERROR(IF(PRJ_Type="New Construction",IF(Inventory!C574="N",INDEX(xyLPD_BuildingArea,MATCH(Building_Type,Lookups!$F$37:$F$75,0),4),INDEX(xyLPD_SpaceBySpace,MATCH(INDEX(xyNCEx,MATCH(I577,yNCExArea,0),2),ySpace_by_Space_Type,0),2)),VLOOKUP(E577,xyWattage_Table,11,FALSE)),"")</f>
        <v/>
      </c>
      <c r="K577" s="538" t="str">
        <f>IFERROR(IF(AND(NC_Type="Building Area Method",Inventory!C574="N"),IF(ISERROR(INDEX('Usage Groups (&gt;120 MWh only)'!$N$8:$N$12,MATCH(C577,'Usage Groups (&gt;120 MWh only)'!$B$8:$B$12,0),1))=TRUE,SqFt/COUNTIFS(Inventory!$C$10:$C$1009,"N",$Q$13:$Q$1012,"&gt;=0"),INDEX('Usage Groups (&gt;120 MWh only)'!$N$8:$N$12,MATCH(C577,'Usage Groups (&gt;120 MWh only)'!$B$8:$B$12,0),1)/COUNTIF($C$13:$C$1012,C577)),IF(AND(NC_Type="Building Area Method",Inventory!C574="Y"),INDEX(xyNCEx,MATCH(I577,yNCExArea,0),3)/COUNTIF($I$13:$I$1012,I577),VLOOKUP(J577,xyWattage_Table,10,FALSE))),"")</f>
        <v/>
      </c>
      <c r="L577" s="539" t="str">
        <f t="shared" si="193"/>
        <v/>
      </c>
      <c r="M577" s="540">
        <f>IF(Inventory!N574="","",Inventory!N574)</f>
        <v>0</v>
      </c>
      <c r="N577" s="533" t="str">
        <f t="shared" si="194"/>
        <v/>
      </c>
      <c r="O577" s="534"/>
      <c r="P577" s="533" t="str">
        <f t="shared" si="195"/>
        <v/>
      </c>
      <c r="Q577" s="534" t="str">
        <f>IF(Inventory!L574="","",Inventory!L574)</f>
        <v/>
      </c>
      <c r="R577" s="535" t="str">
        <f t="shared" si="196"/>
        <v/>
      </c>
      <c r="S577" s="536" t="str">
        <f>IF(Inventory!O574="","",Inventory!O574)</f>
        <v/>
      </c>
      <c r="T577" s="541" t="str">
        <f>IFERROR(IF(C577="","",IF(INDEX(xyWattage_Table,MATCH(M577,'Fixture Identities'!$B$9:$B$997,0),2)="Exit Sign",8760,IF(VLOOKUP(C577,xySpace_Type_Details,8,FALSE)="TRM",INDEX('General Information'!$AF$17:$AG$28,11,MATCH(N577,'General Information'!$AF$16:$AG$16,0)),HLOOKUP(VLOOKUP(C577,xySpace_Type_Details,8,FALSE),'General Information'!$P$15:$AG$28,13,FALSE)))),"")</f>
        <v/>
      </c>
      <c r="U577" s="542" t="str">
        <f>IFERROR(IF(C577="","",IF(INDEX(xyWattage_Table,MATCH(M577,'Fixture Identities'!$B$9:$B$997,0),2)="Exit Sign",1,IF(VLOOKUP(C577,xySpace_Type_Details,8,FALSE)="TRM",INDEX('General Information'!$AF$17:$AG$28,12,MATCH(N577,'General Information'!$AF$16:$AG$16,0)),HLOOKUP(VLOOKUP(C577,xySpace_Type_Details,8,FALSE),'General Information'!$P$15:$AG$28,14,FALSE)))),"")</f>
        <v/>
      </c>
      <c r="V577" s="542" t="str">
        <f>IFERROR(VLOOKUP(INDEX(xySpace_Type_Details,MATCH($C577,'General Information'!$C$40:$C$60,0),12),Lookups!$L$8:$N$12,2,FALSE),"")</f>
        <v/>
      </c>
      <c r="W577" s="542" t="str">
        <f>IFERROR(VLOOKUP(INDEX(xySpace_Type_Details,MATCH($C577,'General Information'!$C$40:$C$60,0),12),Lookups!$L$8:$N$12,3,FALSE),"")</f>
        <v/>
      </c>
      <c r="Y577" s="542" t="str">
        <f>IFERROR(IF(C577="","",IF(INDEX(xyWattage_Table,MATCH(M577,'Fixture Identities'!$B$9:$B$997,0),2)="Exit Sign",0,IF(PRJ_Type="Retrofit",VLOOKUP(I577,xySVG_Factors,2,FALSE),IF(AND(PRJ_Type="New Construction",Inventory!C574="N"),VLOOKUP(VLOOKUP(Building_Type,xyLPD_BuildingArea,5,FALSE),xySVG_Factors_NC,3,FALSE),0)))),"")</f>
        <v/>
      </c>
      <c r="Z577" s="544" t="str">
        <f>IFERROR(IF(C577="","",IF(INDEX(xyWattage_Table,MATCH(M577,'Fixture Identities'!$B$9:$B$997,0),2)="Exit Sign",0,VLOOKUP(S577,xySVG_Factors,2,FALSE))),"")</f>
        <v/>
      </c>
      <c r="AA577" s="545" t="str">
        <f t="shared" si="197"/>
        <v/>
      </c>
      <c r="AB577" s="542" t="str">
        <f t="shared" si="198"/>
        <v/>
      </c>
      <c r="AC577" s="539" t="str">
        <f t="shared" si="199"/>
        <v/>
      </c>
      <c r="AD577" s="546" t="str">
        <f t="shared" si="200"/>
        <v/>
      </c>
      <c r="AE577" s="539" t="str">
        <f t="shared" si="201"/>
        <v/>
      </c>
      <c r="AF577" s="546" t="str">
        <f t="shared" si="202"/>
        <v/>
      </c>
      <c r="AG577" s="539" t="str">
        <f t="shared" si="203"/>
        <v/>
      </c>
      <c r="AH577" s="32">
        <f t="shared" si="205"/>
        <v>0</v>
      </c>
      <c r="AI577" s="32">
        <f t="shared" si="206"/>
        <v>0</v>
      </c>
      <c r="AJ577" s="32">
        <f t="shared" si="207"/>
        <v>0</v>
      </c>
      <c r="AK577" t="str">
        <f t="shared" si="208"/>
        <v/>
      </c>
      <c r="AL577" t="str">
        <f t="shared" si="209"/>
        <v/>
      </c>
      <c r="AM577" t="str">
        <f t="shared" si="210"/>
        <v/>
      </c>
      <c r="AO577" t="str">
        <f>IFERROR(VLOOKUP(M577,'Fixture Identities'!$B$9:$O$1045,14,FALSE),"")</f>
        <v/>
      </c>
      <c r="AP577" t="str">
        <f t="shared" si="204"/>
        <v/>
      </c>
    </row>
    <row r="578" spans="1:42">
      <c r="A578" s="71">
        <f t="shared" si="212"/>
        <v>0</v>
      </c>
      <c r="B578" s="513">
        <f t="shared" si="211"/>
        <v>566</v>
      </c>
      <c r="C578" s="530" t="str">
        <f>IF(Inventory!E575="","",Inventory!E575)</f>
        <v/>
      </c>
      <c r="D578" s="531">
        <f>IF(Inventory!D575="",0,Inventory!D575)</f>
        <v>0</v>
      </c>
      <c r="E578" s="532" t="str">
        <f>IF(Inventory!I575=0,"",Inventory!I575)</f>
        <v/>
      </c>
      <c r="F578" s="533" t="str">
        <f t="shared" si="191"/>
        <v/>
      </c>
      <c r="G578" s="534" t="str">
        <f>IF(Inventory!G575="","",Inventory!G575)</f>
        <v/>
      </c>
      <c r="H578" s="535" t="str">
        <f t="shared" si="192"/>
        <v/>
      </c>
      <c r="I578" s="536" t="str">
        <f>IF(Inventory!J575="","",Inventory!J575)</f>
        <v/>
      </c>
      <c r="J578" s="537" t="str">
        <f>IFERROR(IF(PRJ_Type="New Construction",IF(Inventory!C575="N",INDEX(xyLPD_BuildingArea,MATCH(Building_Type,Lookups!$F$37:$F$75,0),4),INDEX(xyLPD_SpaceBySpace,MATCH(INDEX(xyNCEx,MATCH(I578,yNCExArea,0),2),ySpace_by_Space_Type,0),2)),VLOOKUP(E578,xyWattage_Table,11,FALSE)),"")</f>
        <v/>
      </c>
      <c r="K578" s="538" t="str">
        <f>IFERROR(IF(AND(NC_Type="Building Area Method",Inventory!C575="N"),IF(ISERROR(INDEX('Usage Groups (&gt;120 MWh only)'!$N$8:$N$12,MATCH(C578,'Usage Groups (&gt;120 MWh only)'!$B$8:$B$12,0),1))=TRUE,SqFt/COUNTIFS(Inventory!$C$10:$C$1009,"N",$Q$13:$Q$1012,"&gt;=0"),INDEX('Usage Groups (&gt;120 MWh only)'!$N$8:$N$12,MATCH(C578,'Usage Groups (&gt;120 MWh only)'!$B$8:$B$12,0),1)/COUNTIF($C$13:$C$1012,C578)),IF(AND(NC_Type="Building Area Method",Inventory!C575="Y"),INDEX(xyNCEx,MATCH(I578,yNCExArea,0),3)/COUNTIF($I$13:$I$1012,I578),VLOOKUP(J578,xyWattage_Table,10,FALSE))),"")</f>
        <v/>
      </c>
      <c r="L578" s="539" t="str">
        <f t="shared" si="193"/>
        <v/>
      </c>
      <c r="M578" s="540">
        <f>IF(Inventory!N575="","",Inventory!N575)</f>
        <v>0</v>
      </c>
      <c r="N578" s="533" t="str">
        <f t="shared" si="194"/>
        <v/>
      </c>
      <c r="O578" s="534"/>
      <c r="P578" s="533" t="str">
        <f t="shared" si="195"/>
        <v/>
      </c>
      <c r="Q578" s="534" t="str">
        <f>IF(Inventory!L575="","",Inventory!L575)</f>
        <v/>
      </c>
      <c r="R578" s="535" t="str">
        <f t="shared" si="196"/>
        <v/>
      </c>
      <c r="S578" s="536" t="str">
        <f>IF(Inventory!O575="","",Inventory!O575)</f>
        <v/>
      </c>
      <c r="T578" s="541" t="str">
        <f>IFERROR(IF(C578="","",IF(INDEX(xyWattage_Table,MATCH(M578,'Fixture Identities'!$B$9:$B$997,0),2)="Exit Sign",8760,IF(VLOOKUP(C578,xySpace_Type_Details,8,FALSE)="TRM",INDEX('General Information'!$AF$17:$AG$28,11,MATCH(N578,'General Information'!$AF$16:$AG$16,0)),HLOOKUP(VLOOKUP(C578,xySpace_Type_Details,8,FALSE),'General Information'!$P$15:$AG$28,13,FALSE)))),"")</f>
        <v/>
      </c>
      <c r="U578" s="542" t="str">
        <f>IFERROR(IF(C578="","",IF(INDEX(xyWattage_Table,MATCH(M578,'Fixture Identities'!$B$9:$B$997,0),2)="Exit Sign",1,IF(VLOOKUP(C578,xySpace_Type_Details,8,FALSE)="TRM",INDEX('General Information'!$AF$17:$AG$28,12,MATCH(N578,'General Information'!$AF$16:$AG$16,0)),HLOOKUP(VLOOKUP(C578,xySpace_Type_Details,8,FALSE),'General Information'!$P$15:$AG$28,14,FALSE)))),"")</f>
        <v/>
      </c>
      <c r="V578" s="542" t="str">
        <f>IFERROR(VLOOKUP(INDEX(xySpace_Type_Details,MATCH($C578,'General Information'!$C$40:$C$60,0),12),Lookups!$L$8:$N$12,2,FALSE),"")</f>
        <v/>
      </c>
      <c r="W578" s="542" t="str">
        <f>IFERROR(VLOOKUP(INDEX(xySpace_Type_Details,MATCH($C578,'General Information'!$C$40:$C$60,0),12),Lookups!$L$8:$N$12,3,FALSE),"")</f>
        <v/>
      </c>
      <c r="Y578" s="542" t="str">
        <f>IFERROR(IF(C578="","",IF(INDEX(xyWattage_Table,MATCH(M578,'Fixture Identities'!$B$9:$B$997,0),2)="Exit Sign",0,IF(PRJ_Type="Retrofit",VLOOKUP(I578,xySVG_Factors,2,FALSE),IF(AND(PRJ_Type="New Construction",Inventory!C575="N"),VLOOKUP(VLOOKUP(Building_Type,xyLPD_BuildingArea,5,FALSE),xySVG_Factors_NC,3,FALSE),0)))),"")</f>
        <v/>
      </c>
      <c r="Z578" s="544" t="str">
        <f>IFERROR(IF(C578="","",IF(INDEX(xyWattage_Table,MATCH(M578,'Fixture Identities'!$B$9:$B$997,0),2)="Exit Sign",0,VLOOKUP(S578,xySVG_Factors,2,FALSE))),"")</f>
        <v/>
      </c>
      <c r="AA578" s="545" t="str">
        <f t="shared" si="197"/>
        <v/>
      </c>
      <c r="AB578" s="542" t="str">
        <f t="shared" si="198"/>
        <v/>
      </c>
      <c r="AC578" s="539" t="str">
        <f t="shared" si="199"/>
        <v/>
      </c>
      <c r="AD578" s="546" t="str">
        <f t="shared" si="200"/>
        <v/>
      </c>
      <c r="AE578" s="539" t="str">
        <f t="shared" si="201"/>
        <v/>
      </c>
      <c r="AF578" s="546" t="str">
        <f t="shared" si="202"/>
        <v/>
      </c>
      <c r="AG578" s="539" t="str">
        <f t="shared" si="203"/>
        <v/>
      </c>
      <c r="AH578" s="32">
        <f t="shared" si="205"/>
        <v>0</v>
      </c>
      <c r="AI578" s="32">
        <f t="shared" si="206"/>
        <v>0</v>
      </c>
      <c r="AJ578" s="32">
        <f t="shared" si="207"/>
        <v>0</v>
      </c>
      <c r="AK578" t="str">
        <f t="shared" si="208"/>
        <v/>
      </c>
      <c r="AL578" t="str">
        <f t="shared" si="209"/>
        <v/>
      </c>
      <c r="AM578" t="str">
        <f t="shared" si="210"/>
        <v/>
      </c>
      <c r="AO578" t="str">
        <f>IFERROR(VLOOKUP(M578,'Fixture Identities'!$B$9:$O$1045,14,FALSE),"")</f>
        <v/>
      </c>
      <c r="AP578" t="str">
        <f t="shared" si="204"/>
        <v/>
      </c>
    </row>
    <row r="579" spans="1:42">
      <c r="A579" s="71">
        <f t="shared" si="212"/>
        <v>0</v>
      </c>
      <c r="B579" s="513">
        <f t="shared" si="211"/>
        <v>567</v>
      </c>
      <c r="C579" s="530" t="str">
        <f>IF(Inventory!E576="","",Inventory!E576)</f>
        <v/>
      </c>
      <c r="D579" s="531">
        <f>IF(Inventory!D576="",0,Inventory!D576)</f>
        <v>0</v>
      </c>
      <c r="E579" s="532" t="str">
        <f>IF(Inventory!I576=0,"",Inventory!I576)</f>
        <v/>
      </c>
      <c r="F579" s="533" t="str">
        <f t="shared" si="191"/>
        <v/>
      </c>
      <c r="G579" s="534" t="str">
        <f>IF(Inventory!G576="","",Inventory!G576)</f>
        <v/>
      </c>
      <c r="H579" s="535" t="str">
        <f t="shared" si="192"/>
        <v/>
      </c>
      <c r="I579" s="536" t="str">
        <f>IF(Inventory!J576="","",Inventory!J576)</f>
        <v/>
      </c>
      <c r="J579" s="537" t="str">
        <f>IFERROR(IF(PRJ_Type="New Construction",IF(Inventory!C576="N",INDEX(xyLPD_BuildingArea,MATCH(Building_Type,Lookups!$F$37:$F$75,0),4),INDEX(xyLPD_SpaceBySpace,MATCH(INDEX(xyNCEx,MATCH(I579,yNCExArea,0),2),ySpace_by_Space_Type,0),2)),VLOOKUP(E579,xyWattage_Table,11,FALSE)),"")</f>
        <v/>
      </c>
      <c r="K579" s="538" t="str">
        <f>IFERROR(IF(AND(NC_Type="Building Area Method",Inventory!C576="N"),IF(ISERROR(INDEX('Usage Groups (&gt;120 MWh only)'!$N$8:$N$12,MATCH(C579,'Usage Groups (&gt;120 MWh only)'!$B$8:$B$12,0),1))=TRUE,SqFt/COUNTIFS(Inventory!$C$10:$C$1009,"N",$Q$13:$Q$1012,"&gt;=0"),INDEX('Usage Groups (&gt;120 MWh only)'!$N$8:$N$12,MATCH(C579,'Usage Groups (&gt;120 MWh only)'!$B$8:$B$12,0),1)/COUNTIF($C$13:$C$1012,C579)),IF(AND(NC_Type="Building Area Method",Inventory!C576="Y"),INDEX(xyNCEx,MATCH(I579,yNCExArea,0),3)/COUNTIF($I$13:$I$1012,I579),VLOOKUP(J579,xyWattage_Table,10,FALSE))),"")</f>
        <v/>
      </c>
      <c r="L579" s="539" t="str">
        <f t="shared" si="193"/>
        <v/>
      </c>
      <c r="M579" s="540">
        <f>IF(Inventory!N576="","",Inventory!N576)</f>
        <v>0</v>
      </c>
      <c r="N579" s="533" t="str">
        <f t="shared" si="194"/>
        <v/>
      </c>
      <c r="O579" s="534"/>
      <c r="P579" s="533" t="str">
        <f t="shared" si="195"/>
        <v/>
      </c>
      <c r="Q579" s="534" t="str">
        <f>IF(Inventory!L576="","",Inventory!L576)</f>
        <v/>
      </c>
      <c r="R579" s="535" t="str">
        <f t="shared" si="196"/>
        <v/>
      </c>
      <c r="S579" s="536" t="str">
        <f>IF(Inventory!O576="","",Inventory!O576)</f>
        <v/>
      </c>
      <c r="T579" s="541" t="str">
        <f>IFERROR(IF(C579="","",IF(INDEX(xyWattage_Table,MATCH(M579,'Fixture Identities'!$B$9:$B$997,0),2)="Exit Sign",8760,IF(VLOOKUP(C579,xySpace_Type_Details,8,FALSE)="TRM",INDEX('General Information'!$AF$17:$AG$28,11,MATCH(N579,'General Information'!$AF$16:$AG$16,0)),HLOOKUP(VLOOKUP(C579,xySpace_Type_Details,8,FALSE),'General Information'!$P$15:$AG$28,13,FALSE)))),"")</f>
        <v/>
      </c>
      <c r="U579" s="542" t="str">
        <f>IFERROR(IF(C579="","",IF(INDEX(xyWattage_Table,MATCH(M579,'Fixture Identities'!$B$9:$B$997,0),2)="Exit Sign",1,IF(VLOOKUP(C579,xySpace_Type_Details,8,FALSE)="TRM",INDEX('General Information'!$AF$17:$AG$28,12,MATCH(N579,'General Information'!$AF$16:$AG$16,0)),HLOOKUP(VLOOKUP(C579,xySpace_Type_Details,8,FALSE),'General Information'!$P$15:$AG$28,14,FALSE)))),"")</f>
        <v/>
      </c>
      <c r="V579" s="542" t="str">
        <f>IFERROR(VLOOKUP(INDEX(xySpace_Type_Details,MATCH($C579,'General Information'!$C$40:$C$60,0),12),Lookups!$L$8:$N$12,2,FALSE),"")</f>
        <v/>
      </c>
      <c r="W579" s="542" t="str">
        <f>IFERROR(VLOOKUP(INDEX(xySpace_Type_Details,MATCH($C579,'General Information'!$C$40:$C$60,0),12),Lookups!$L$8:$N$12,3,FALSE),"")</f>
        <v/>
      </c>
      <c r="Y579" s="542" t="str">
        <f>IFERROR(IF(C579="","",IF(INDEX(xyWattage_Table,MATCH(M579,'Fixture Identities'!$B$9:$B$997,0),2)="Exit Sign",0,IF(PRJ_Type="Retrofit",VLOOKUP(I579,xySVG_Factors,2,FALSE),IF(AND(PRJ_Type="New Construction",Inventory!C576="N"),VLOOKUP(VLOOKUP(Building_Type,xyLPD_BuildingArea,5,FALSE),xySVG_Factors_NC,3,FALSE),0)))),"")</f>
        <v/>
      </c>
      <c r="Z579" s="544" t="str">
        <f>IFERROR(IF(C579="","",IF(INDEX(xyWattage_Table,MATCH(M579,'Fixture Identities'!$B$9:$B$997,0),2)="Exit Sign",0,VLOOKUP(S579,xySVG_Factors,2,FALSE))),"")</f>
        <v/>
      </c>
      <c r="AA579" s="545" t="str">
        <f t="shared" si="197"/>
        <v/>
      </c>
      <c r="AB579" s="542" t="str">
        <f t="shared" si="198"/>
        <v/>
      </c>
      <c r="AC579" s="539" t="str">
        <f t="shared" si="199"/>
        <v/>
      </c>
      <c r="AD579" s="546" t="str">
        <f t="shared" si="200"/>
        <v/>
      </c>
      <c r="AE579" s="539" t="str">
        <f t="shared" si="201"/>
        <v/>
      </c>
      <c r="AF579" s="546" t="str">
        <f t="shared" si="202"/>
        <v/>
      </c>
      <c r="AG579" s="539" t="str">
        <f t="shared" si="203"/>
        <v/>
      </c>
      <c r="AH579" s="32">
        <f t="shared" si="205"/>
        <v>0</v>
      </c>
      <c r="AI579" s="32">
        <f t="shared" si="206"/>
        <v>0</v>
      </c>
      <c r="AJ579" s="32">
        <f t="shared" si="207"/>
        <v>0</v>
      </c>
      <c r="AK579" t="str">
        <f t="shared" si="208"/>
        <v/>
      </c>
      <c r="AL579" t="str">
        <f t="shared" si="209"/>
        <v/>
      </c>
      <c r="AM579" t="str">
        <f t="shared" si="210"/>
        <v/>
      </c>
      <c r="AO579" t="str">
        <f>IFERROR(VLOOKUP(M579,'Fixture Identities'!$B$9:$O$1045,14,FALSE),"")</f>
        <v/>
      </c>
      <c r="AP579" t="str">
        <f t="shared" si="204"/>
        <v/>
      </c>
    </row>
    <row r="580" spans="1:42">
      <c r="A580" s="71">
        <f t="shared" si="212"/>
        <v>0</v>
      </c>
      <c r="B580" s="513">
        <f t="shared" si="211"/>
        <v>568</v>
      </c>
      <c r="C580" s="530" t="str">
        <f>IF(Inventory!E577="","",Inventory!E577)</f>
        <v/>
      </c>
      <c r="D580" s="531">
        <f>IF(Inventory!D577="",0,Inventory!D577)</f>
        <v>0</v>
      </c>
      <c r="E580" s="532" t="str">
        <f>IF(Inventory!I577=0,"",Inventory!I577)</f>
        <v/>
      </c>
      <c r="F580" s="533" t="str">
        <f t="shared" si="191"/>
        <v/>
      </c>
      <c r="G580" s="534" t="str">
        <f>IF(Inventory!G577="","",Inventory!G577)</f>
        <v/>
      </c>
      <c r="H580" s="535" t="str">
        <f t="shared" si="192"/>
        <v/>
      </c>
      <c r="I580" s="536" t="str">
        <f>IF(Inventory!J577="","",Inventory!J577)</f>
        <v/>
      </c>
      <c r="J580" s="537" t="str">
        <f>IFERROR(IF(PRJ_Type="New Construction",IF(Inventory!C577="N",INDEX(xyLPD_BuildingArea,MATCH(Building_Type,Lookups!$F$37:$F$75,0),4),INDEX(xyLPD_SpaceBySpace,MATCH(INDEX(xyNCEx,MATCH(I580,yNCExArea,0),2),ySpace_by_Space_Type,0),2)),VLOOKUP(E580,xyWattage_Table,11,FALSE)),"")</f>
        <v/>
      </c>
      <c r="K580" s="538" t="str">
        <f>IFERROR(IF(AND(NC_Type="Building Area Method",Inventory!C577="N"),IF(ISERROR(INDEX('Usage Groups (&gt;120 MWh only)'!$N$8:$N$12,MATCH(C580,'Usage Groups (&gt;120 MWh only)'!$B$8:$B$12,0),1))=TRUE,SqFt/COUNTIFS(Inventory!$C$10:$C$1009,"N",$Q$13:$Q$1012,"&gt;=0"),INDEX('Usage Groups (&gt;120 MWh only)'!$N$8:$N$12,MATCH(C580,'Usage Groups (&gt;120 MWh only)'!$B$8:$B$12,0),1)/COUNTIF($C$13:$C$1012,C580)),IF(AND(NC_Type="Building Area Method",Inventory!C577="Y"),INDEX(xyNCEx,MATCH(I580,yNCExArea,0),3)/COUNTIF($I$13:$I$1012,I580),VLOOKUP(J580,xyWattage_Table,10,FALSE))),"")</f>
        <v/>
      </c>
      <c r="L580" s="539" t="str">
        <f t="shared" si="193"/>
        <v/>
      </c>
      <c r="M580" s="540">
        <f>IF(Inventory!N577="","",Inventory!N577)</f>
        <v>0</v>
      </c>
      <c r="N580" s="533" t="str">
        <f t="shared" si="194"/>
        <v/>
      </c>
      <c r="O580" s="534"/>
      <c r="P580" s="533" t="str">
        <f t="shared" si="195"/>
        <v/>
      </c>
      <c r="Q580" s="534" t="str">
        <f>IF(Inventory!L577="","",Inventory!L577)</f>
        <v/>
      </c>
      <c r="R580" s="535" t="str">
        <f t="shared" si="196"/>
        <v/>
      </c>
      <c r="S580" s="536" t="str">
        <f>IF(Inventory!O577="","",Inventory!O577)</f>
        <v/>
      </c>
      <c r="T580" s="541" t="str">
        <f>IFERROR(IF(C580="","",IF(INDEX(xyWattage_Table,MATCH(M580,'Fixture Identities'!$B$9:$B$997,0),2)="Exit Sign",8760,IF(VLOOKUP(C580,xySpace_Type_Details,8,FALSE)="TRM",INDEX('General Information'!$AF$17:$AG$28,11,MATCH(N580,'General Information'!$AF$16:$AG$16,0)),HLOOKUP(VLOOKUP(C580,xySpace_Type_Details,8,FALSE),'General Information'!$P$15:$AG$28,13,FALSE)))),"")</f>
        <v/>
      </c>
      <c r="U580" s="542" t="str">
        <f>IFERROR(IF(C580="","",IF(INDEX(xyWattage_Table,MATCH(M580,'Fixture Identities'!$B$9:$B$997,0),2)="Exit Sign",1,IF(VLOOKUP(C580,xySpace_Type_Details,8,FALSE)="TRM",INDEX('General Information'!$AF$17:$AG$28,12,MATCH(N580,'General Information'!$AF$16:$AG$16,0)),HLOOKUP(VLOOKUP(C580,xySpace_Type_Details,8,FALSE),'General Information'!$P$15:$AG$28,14,FALSE)))),"")</f>
        <v/>
      </c>
      <c r="V580" s="542" t="str">
        <f>IFERROR(VLOOKUP(INDEX(xySpace_Type_Details,MATCH($C580,'General Information'!$C$40:$C$60,0),12),Lookups!$L$8:$N$12,2,FALSE),"")</f>
        <v/>
      </c>
      <c r="W580" s="542" t="str">
        <f>IFERROR(VLOOKUP(INDEX(xySpace_Type_Details,MATCH($C580,'General Information'!$C$40:$C$60,0),12),Lookups!$L$8:$N$12,3,FALSE),"")</f>
        <v/>
      </c>
      <c r="Y580" s="542" t="str">
        <f>IFERROR(IF(C580="","",IF(INDEX(xyWattage_Table,MATCH(M580,'Fixture Identities'!$B$9:$B$997,0),2)="Exit Sign",0,IF(PRJ_Type="Retrofit",VLOOKUP(I580,xySVG_Factors,2,FALSE),IF(AND(PRJ_Type="New Construction",Inventory!C577="N"),VLOOKUP(VLOOKUP(Building_Type,xyLPD_BuildingArea,5,FALSE),xySVG_Factors_NC,3,FALSE),0)))),"")</f>
        <v/>
      </c>
      <c r="Z580" s="544" t="str">
        <f>IFERROR(IF(C580="","",IF(INDEX(xyWattage_Table,MATCH(M580,'Fixture Identities'!$B$9:$B$997,0),2)="Exit Sign",0,VLOOKUP(S580,xySVG_Factors,2,FALSE))),"")</f>
        <v/>
      </c>
      <c r="AA580" s="545" t="str">
        <f t="shared" si="197"/>
        <v/>
      </c>
      <c r="AB580" s="542" t="str">
        <f t="shared" si="198"/>
        <v/>
      </c>
      <c r="AC580" s="539" t="str">
        <f t="shared" si="199"/>
        <v/>
      </c>
      <c r="AD580" s="546" t="str">
        <f t="shared" si="200"/>
        <v/>
      </c>
      <c r="AE580" s="539" t="str">
        <f t="shared" si="201"/>
        <v/>
      </c>
      <c r="AF580" s="546" t="str">
        <f t="shared" si="202"/>
        <v/>
      </c>
      <c r="AG580" s="539" t="str">
        <f t="shared" si="203"/>
        <v/>
      </c>
      <c r="AH580" s="32">
        <f t="shared" si="205"/>
        <v>0</v>
      </c>
      <c r="AI580" s="32">
        <f t="shared" si="206"/>
        <v>0</v>
      </c>
      <c r="AJ580" s="32">
        <f t="shared" si="207"/>
        <v>0</v>
      </c>
      <c r="AK580" t="str">
        <f t="shared" si="208"/>
        <v/>
      </c>
      <c r="AL580" t="str">
        <f t="shared" si="209"/>
        <v/>
      </c>
      <c r="AM580" t="str">
        <f t="shared" si="210"/>
        <v/>
      </c>
      <c r="AO580" t="str">
        <f>IFERROR(VLOOKUP(M580,'Fixture Identities'!$B$9:$O$1045,14,FALSE),"")</f>
        <v/>
      </c>
      <c r="AP580" t="str">
        <f t="shared" si="204"/>
        <v/>
      </c>
    </row>
    <row r="581" spans="1:42">
      <c r="A581" s="71">
        <f t="shared" si="212"/>
        <v>0</v>
      </c>
      <c r="B581" s="513">
        <f t="shared" si="211"/>
        <v>569</v>
      </c>
      <c r="C581" s="530" t="str">
        <f>IF(Inventory!E578="","",Inventory!E578)</f>
        <v/>
      </c>
      <c r="D581" s="531">
        <f>IF(Inventory!D578="",0,Inventory!D578)</f>
        <v>0</v>
      </c>
      <c r="E581" s="532" t="str">
        <f>IF(Inventory!I578=0,"",Inventory!I578)</f>
        <v/>
      </c>
      <c r="F581" s="533" t="str">
        <f t="shared" si="191"/>
        <v/>
      </c>
      <c r="G581" s="534" t="str">
        <f>IF(Inventory!G578="","",Inventory!G578)</f>
        <v/>
      </c>
      <c r="H581" s="535" t="str">
        <f t="shared" si="192"/>
        <v/>
      </c>
      <c r="I581" s="536" t="str">
        <f>IF(Inventory!J578="","",Inventory!J578)</f>
        <v/>
      </c>
      <c r="J581" s="537" t="str">
        <f>IFERROR(IF(PRJ_Type="New Construction",IF(Inventory!C578="N",INDEX(xyLPD_BuildingArea,MATCH(Building_Type,Lookups!$F$37:$F$75,0),4),INDEX(xyLPD_SpaceBySpace,MATCH(INDEX(xyNCEx,MATCH(I581,yNCExArea,0),2),ySpace_by_Space_Type,0),2)),VLOOKUP(E581,xyWattage_Table,11,FALSE)),"")</f>
        <v/>
      </c>
      <c r="K581" s="538" t="str">
        <f>IFERROR(IF(AND(NC_Type="Building Area Method",Inventory!C578="N"),IF(ISERROR(INDEX('Usage Groups (&gt;120 MWh only)'!$N$8:$N$12,MATCH(C581,'Usage Groups (&gt;120 MWh only)'!$B$8:$B$12,0),1))=TRUE,SqFt/COUNTIFS(Inventory!$C$10:$C$1009,"N",$Q$13:$Q$1012,"&gt;=0"),INDEX('Usage Groups (&gt;120 MWh only)'!$N$8:$N$12,MATCH(C581,'Usage Groups (&gt;120 MWh only)'!$B$8:$B$12,0),1)/COUNTIF($C$13:$C$1012,C581)),IF(AND(NC_Type="Building Area Method",Inventory!C578="Y"),INDEX(xyNCEx,MATCH(I581,yNCExArea,0),3)/COUNTIF($I$13:$I$1012,I581),VLOOKUP(J581,xyWattage_Table,10,FALSE))),"")</f>
        <v/>
      </c>
      <c r="L581" s="539" t="str">
        <f t="shared" si="193"/>
        <v/>
      </c>
      <c r="M581" s="540">
        <f>IF(Inventory!N578="","",Inventory!N578)</f>
        <v>0</v>
      </c>
      <c r="N581" s="533" t="str">
        <f t="shared" si="194"/>
        <v/>
      </c>
      <c r="O581" s="534"/>
      <c r="P581" s="533" t="str">
        <f t="shared" si="195"/>
        <v/>
      </c>
      <c r="Q581" s="534" t="str">
        <f>IF(Inventory!L578="","",Inventory!L578)</f>
        <v/>
      </c>
      <c r="R581" s="535" t="str">
        <f t="shared" si="196"/>
        <v/>
      </c>
      <c r="S581" s="536" t="str">
        <f>IF(Inventory!O578="","",Inventory!O578)</f>
        <v/>
      </c>
      <c r="T581" s="541" t="str">
        <f>IFERROR(IF(C581="","",IF(INDEX(xyWattage_Table,MATCH(M581,'Fixture Identities'!$B$9:$B$997,0),2)="Exit Sign",8760,IF(VLOOKUP(C581,xySpace_Type_Details,8,FALSE)="TRM",INDEX('General Information'!$AF$17:$AG$28,11,MATCH(N581,'General Information'!$AF$16:$AG$16,0)),HLOOKUP(VLOOKUP(C581,xySpace_Type_Details,8,FALSE),'General Information'!$P$15:$AG$28,13,FALSE)))),"")</f>
        <v/>
      </c>
      <c r="U581" s="542" t="str">
        <f>IFERROR(IF(C581="","",IF(INDEX(xyWattage_Table,MATCH(M581,'Fixture Identities'!$B$9:$B$997,0),2)="Exit Sign",1,IF(VLOOKUP(C581,xySpace_Type_Details,8,FALSE)="TRM",INDEX('General Information'!$AF$17:$AG$28,12,MATCH(N581,'General Information'!$AF$16:$AG$16,0)),HLOOKUP(VLOOKUP(C581,xySpace_Type_Details,8,FALSE),'General Information'!$P$15:$AG$28,14,FALSE)))),"")</f>
        <v/>
      </c>
      <c r="V581" s="542" t="str">
        <f>IFERROR(VLOOKUP(INDEX(xySpace_Type_Details,MATCH($C581,'General Information'!$C$40:$C$60,0),12),Lookups!$L$8:$N$12,2,FALSE),"")</f>
        <v/>
      </c>
      <c r="W581" s="542" t="str">
        <f>IFERROR(VLOOKUP(INDEX(xySpace_Type_Details,MATCH($C581,'General Information'!$C$40:$C$60,0),12),Lookups!$L$8:$N$12,3,FALSE),"")</f>
        <v/>
      </c>
      <c r="Y581" s="542" t="str">
        <f>IFERROR(IF(C581="","",IF(INDEX(xyWattage_Table,MATCH(M581,'Fixture Identities'!$B$9:$B$997,0),2)="Exit Sign",0,IF(PRJ_Type="Retrofit",VLOOKUP(I581,xySVG_Factors,2,FALSE),IF(AND(PRJ_Type="New Construction",Inventory!C578="N"),VLOOKUP(VLOOKUP(Building_Type,xyLPD_BuildingArea,5,FALSE),xySVG_Factors_NC,3,FALSE),0)))),"")</f>
        <v/>
      </c>
      <c r="Z581" s="544" t="str">
        <f>IFERROR(IF(C581="","",IF(INDEX(xyWattage_Table,MATCH(M581,'Fixture Identities'!$B$9:$B$997,0),2)="Exit Sign",0,VLOOKUP(S581,xySVG_Factors,2,FALSE))),"")</f>
        <v/>
      </c>
      <c r="AA581" s="545" t="str">
        <f t="shared" si="197"/>
        <v/>
      </c>
      <c r="AB581" s="542" t="str">
        <f t="shared" si="198"/>
        <v/>
      </c>
      <c r="AC581" s="539" t="str">
        <f t="shared" si="199"/>
        <v/>
      </c>
      <c r="AD581" s="546" t="str">
        <f t="shared" si="200"/>
        <v/>
      </c>
      <c r="AE581" s="539" t="str">
        <f t="shared" si="201"/>
        <v/>
      </c>
      <c r="AF581" s="546" t="str">
        <f t="shared" si="202"/>
        <v/>
      </c>
      <c r="AG581" s="539" t="str">
        <f t="shared" si="203"/>
        <v/>
      </c>
      <c r="AH581" s="32">
        <f t="shared" si="205"/>
        <v>0</v>
      </c>
      <c r="AI581" s="32">
        <f t="shared" si="206"/>
        <v>0</v>
      </c>
      <c r="AJ581" s="32">
        <f t="shared" si="207"/>
        <v>0</v>
      </c>
      <c r="AK581" t="str">
        <f t="shared" si="208"/>
        <v/>
      </c>
      <c r="AL581" t="str">
        <f t="shared" si="209"/>
        <v/>
      </c>
      <c r="AM581" t="str">
        <f t="shared" si="210"/>
        <v/>
      </c>
      <c r="AO581" t="str">
        <f>IFERROR(VLOOKUP(M581,'Fixture Identities'!$B$9:$O$1045,14,FALSE),"")</f>
        <v/>
      </c>
      <c r="AP581" t="str">
        <f t="shared" si="204"/>
        <v/>
      </c>
    </row>
    <row r="582" spans="1:42">
      <c r="A582" s="71">
        <f t="shared" si="212"/>
        <v>0</v>
      </c>
      <c r="B582" s="513">
        <f t="shared" si="211"/>
        <v>570</v>
      </c>
      <c r="C582" s="530" t="str">
        <f>IF(Inventory!E579="","",Inventory!E579)</f>
        <v/>
      </c>
      <c r="D582" s="531">
        <f>IF(Inventory!D579="",0,Inventory!D579)</f>
        <v>0</v>
      </c>
      <c r="E582" s="532" t="str">
        <f>IF(Inventory!I579=0,"",Inventory!I579)</f>
        <v/>
      </c>
      <c r="F582" s="533" t="str">
        <f t="shared" si="191"/>
        <v/>
      </c>
      <c r="G582" s="534" t="str">
        <f>IF(Inventory!G579="","",Inventory!G579)</f>
        <v/>
      </c>
      <c r="H582" s="535" t="str">
        <f t="shared" si="192"/>
        <v/>
      </c>
      <c r="I582" s="536" t="str">
        <f>IF(Inventory!J579="","",Inventory!J579)</f>
        <v/>
      </c>
      <c r="J582" s="537" t="str">
        <f>IFERROR(IF(PRJ_Type="New Construction",IF(Inventory!C579="N",INDEX(xyLPD_BuildingArea,MATCH(Building_Type,Lookups!$F$37:$F$75,0),4),INDEX(xyLPD_SpaceBySpace,MATCH(INDEX(xyNCEx,MATCH(I582,yNCExArea,0),2),ySpace_by_Space_Type,0),2)),VLOOKUP(E582,xyWattage_Table,11,FALSE)),"")</f>
        <v/>
      </c>
      <c r="K582" s="538" t="str">
        <f>IFERROR(IF(AND(NC_Type="Building Area Method",Inventory!C579="N"),IF(ISERROR(INDEX('Usage Groups (&gt;120 MWh only)'!$N$8:$N$12,MATCH(C582,'Usage Groups (&gt;120 MWh only)'!$B$8:$B$12,0),1))=TRUE,SqFt/COUNTIFS(Inventory!$C$10:$C$1009,"N",$Q$13:$Q$1012,"&gt;=0"),INDEX('Usage Groups (&gt;120 MWh only)'!$N$8:$N$12,MATCH(C582,'Usage Groups (&gt;120 MWh only)'!$B$8:$B$12,0),1)/COUNTIF($C$13:$C$1012,C582)),IF(AND(NC_Type="Building Area Method",Inventory!C579="Y"),INDEX(xyNCEx,MATCH(I582,yNCExArea,0),3)/COUNTIF($I$13:$I$1012,I582),VLOOKUP(J582,xyWattage_Table,10,FALSE))),"")</f>
        <v/>
      </c>
      <c r="L582" s="539" t="str">
        <f t="shared" si="193"/>
        <v/>
      </c>
      <c r="M582" s="540">
        <f>IF(Inventory!N579="","",Inventory!N579)</f>
        <v>0</v>
      </c>
      <c r="N582" s="533" t="str">
        <f t="shared" si="194"/>
        <v/>
      </c>
      <c r="O582" s="534"/>
      <c r="P582" s="533" t="str">
        <f t="shared" si="195"/>
        <v/>
      </c>
      <c r="Q582" s="534" t="str">
        <f>IF(Inventory!L579="","",Inventory!L579)</f>
        <v/>
      </c>
      <c r="R582" s="535" t="str">
        <f t="shared" si="196"/>
        <v/>
      </c>
      <c r="S582" s="536" t="str">
        <f>IF(Inventory!O579="","",Inventory!O579)</f>
        <v/>
      </c>
      <c r="T582" s="541" t="str">
        <f>IFERROR(IF(C582="","",IF(INDEX(xyWattage_Table,MATCH(M582,'Fixture Identities'!$B$9:$B$997,0),2)="Exit Sign",8760,IF(VLOOKUP(C582,xySpace_Type_Details,8,FALSE)="TRM",INDEX('General Information'!$AF$17:$AG$28,11,MATCH(N582,'General Information'!$AF$16:$AG$16,0)),HLOOKUP(VLOOKUP(C582,xySpace_Type_Details,8,FALSE),'General Information'!$P$15:$AG$28,13,FALSE)))),"")</f>
        <v/>
      </c>
      <c r="U582" s="542" t="str">
        <f>IFERROR(IF(C582="","",IF(INDEX(xyWattage_Table,MATCH(M582,'Fixture Identities'!$B$9:$B$997,0),2)="Exit Sign",1,IF(VLOOKUP(C582,xySpace_Type_Details,8,FALSE)="TRM",INDEX('General Information'!$AF$17:$AG$28,12,MATCH(N582,'General Information'!$AF$16:$AG$16,0)),HLOOKUP(VLOOKUP(C582,xySpace_Type_Details,8,FALSE),'General Information'!$P$15:$AG$28,14,FALSE)))),"")</f>
        <v/>
      </c>
      <c r="V582" s="542" t="str">
        <f>IFERROR(VLOOKUP(INDEX(xySpace_Type_Details,MATCH($C582,'General Information'!$C$40:$C$60,0),12),Lookups!$L$8:$N$12,2,FALSE),"")</f>
        <v/>
      </c>
      <c r="W582" s="542" t="str">
        <f>IFERROR(VLOOKUP(INDEX(xySpace_Type_Details,MATCH($C582,'General Information'!$C$40:$C$60,0),12),Lookups!$L$8:$N$12,3,FALSE),"")</f>
        <v/>
      </c>
      <c r="Y582" s="542" t="str">
        <f>IFERROR(IF(C582="","",IF(INDEX(xyWattage_Table,MATCH(M582,'Fixture Identities'!$B$9:$B$997,0),2)="Exit Sign",0,IF(PRJ_Type="Retrofit",VLOOKUP(I582,xySVG_Factors,2,FALSE),IF(AND(PRJ_Type="New Construction",Inventory!C579="N"),VLOOKUP(VLOOKUP(Building_Type,xyLPD_BuildingArea,5,FALSE),xySVG_Factors_NC,3,FALSE),0)))),"")</f>
        <v/>
      </c>
      <c r="Z582" s="544" t="str">
        <f>IFERROR(IF(C582="","",IF(INDEX(xyWattage_Table,MATCH(M582,'Fixture Identities'!$B$9:$B$997,0),2)="Exit Sign",0,VLOOKUP(S582,xySVG_Factors,2,FALSE))),"")</f>
        <v/>
      </c>
      <c r="AA582" s="545" t="str">
        <f t="shared" si="197"/>
        <v/>
      </c>
      <c r="AB582" s="542" t="str">
        <f t="shared" si="198"/>
        <v/>
      </c>
      <c r="AC582" s="539" t="str">
        <f t="shared" si="199"/>
        <v/>
      </c>
      <c r="AD582" s="546" t="str">
        <f t="shared" si="200"/>
        <v/>
      </c>
      <c r="AE582" s="539" t="str">
        <f t="shared" si="201"/>
        <v/>
      </c>
      <c r="AF582" s="546" t="str">
        <f t="shared" si="202"/>
        <v/>
      </c>
      <c r="AG582" s="539" t="str">
        <f t="shared" si="203"/>
        <v/>
      </c>
      <c r="AH582" s="32">
        <f t="shared" si="205"/>
        <v>0</v>
      </c>
      <c r="AI582" s="32">
        <f t="shared" si="206"/>
        <v>0</v>
      </c>
      <c r="AJ582" s="32">
        <f t="shared" si="207"/>
        <v>0</v>
      </c>
      <c r="AK582" t="str">
        <f t="shared" si="208"/>
        <v/>
      </c>
      <c r="AL582" t="str">
        <f t="shared" si="209"/>
        <v/>
      </c>
      <c r="AM582" t="str">
        <f t="shared" si="210"/>
        <v/>
      </c>
      <c r="AO582" t="str">
        <f>IFERROR(VLOOKUP(M582,'Fixture Identities'!$B$9:$O$1045,14,FALSE),"")</f>
        <v/>
      </c>
      <c r="AP582" t="str">
        <f t="shared" si="204"/>
        <v/>
      </c>
    </row>
    <row r="583" spans="1:42">
      <c r="A583" s="71">
        <f t="shared" si="212"/>
        <v>0</v>
      </c>
      <c r="B583" s="513">
        <f t="shared" si="211"/>
        <v>571</v>
      </c>
      <c r="C583" s="530" t="str">
        <f>IF(Inventory!E580="","",Inventory!E580)</f>
        <v/>
      </c>
      <c r="D583" s="531">
        <f>IF(Inventory!D580="",0,Inventory!D580)</f>
        <v>0</v>
      </c>
      <c r="E583" s="532" t="str">
        <f>IF(Inventory!I580=0,"",Inventory!I580)</f>
        <v/>
      </c>
      <c r="F583" s="533" t="str">
        <f t="shared" ref="F583:F646" si="213">IFERROR(VLOOKUP(E583,xyWattage_Table,10,FALSE),"")</f>
        <v/>
      </c>
      <c r="G583" s="534" t="str">
        <f>IF(Inventory!G580="","",Inventory!G580)</f>
        <v/>
      </c>
      <c r="H583" s="535" t="str">
        <f t="shared" ref="H583:H646" si="214">IF(G583="","",G583*F583)</f>
        <v/>
      </c>
      <c r="I583" s="536" t="str">
        <f>IF(Inventory!J580="","",Inventory!J580)</f>
        <v/>
      </c>
      <c r="J583" s="537" t="str">
        <f>IFERROR(IF(PRJ_Type="New Construction",IF(Inventory!C580="N",INDEX(xyLPD_BuildingArea,MATCH(Building_Type,Lookups!$F$37:$F$75,0),4),INDEX(xyLPD_SpaceBySpace,MATCH(INDEX(xyNCEx,MATCH(I583,yNCExArea,0),2),ySpace_by_Space_Type,0),2)),VLOOKUP(E583,xyWattage_Table,11,FALSE)),"")</f>
        <v/>
      </c>
      <c r="K583" s="538" t="str">
        <f>IFERROR(IF(AND(NC_Type="Building Area Method",Inventory!C580="N"),IF(ISERROR(INDEX('Usage Groups (&gt;120 MWh only)'!$N$8:$N$12,MATCH(C583,'Usage Groups (&gt;120 MWh only)'!$B$8:$B$12,0),1))=TRUE,SqFt/COUNTIFS(Inventory!$C$10:$C$1009,"N",$Q$13:$Q$1012,"&gt;=0"),INDEX('Usage Groups (&gt;120 MWh only)'!$N$8:$N$12,MATCH(C583,'Usage Groups (&gt;120 MWh only)'!$B$8:$B$12,0),1)/COUNTIF($C$13:$C$1012,C583)),IF(AND(NC_Type="Building Area Method",Inventory!C580="Y"),INDEX(xyNCEx,MATCH(I583,yNCExArea,0),3)/COUNTIF($I$13:$I$1012,I583),VLOOKUP(J583,xyWattage_Table,10,FALSE))),"")</f>
        <v/>
      </c>
      <c r="L583" s="539" t="str">
        <f t="shared" ref="L583:L646" si="215">IFERROR(IF(PRJ_Type="New Construction",J583*K583,IF(G583="","",K583*G583)),"")</f>
        <v/>
      </c>
      <c r="M583" s="540">
        <f>IF(Inventory!N580="","",Inventory!N580)</f>
        <v>0</v>
      </c>
      <c r="N583" s="533" t="str">
        <f t="shared" ref="N583:N646" si="216">IFERROR(VLOOKUP(M583,xyWattage_Table,12,FALSE),"")</f>
        <v/>
      </c>
      <c r="O583" s="534"/>
      <c r="P583" s="533" t="str">
        <f t="shared" ref="P583:P646" si="217">IFERROR(VLOOKUP(M583,xyWattage_Table,10,FALSE),"")</f>
        <v/>
      </c>
      <c r="Q583" s="534" t="str">
        <f>IF(Inventory!L580="","",Inventory!L580)</f>
        <v/>
      </c>
      <c r="R583" s="535" t="str">
        <f t="shared" ref="R583:R646" si="218">IF(P583="","",Q583*P583)</f>
        <v/>
      </c>
      <c r="S583" s="536" t="str">
        <f>IF(Inventory!O580="","",Inventory!O580)</f>
        <v/>
      </c>
      <c r="T583" s="541" t="str">
        <f>IFERROR(IF(C583="","",IF(INDEX(xyWattage_Table,MATCH(M583,'Fixture Identities'!$B$9:$B$997,0),2)="Exit Sign",8760,IF(VLOOKUP(C583,xySpace_Type_Details,8,FALSE)="TRM",INDEX('General Information'!$AF$17:$AG$28,11,MATCH(N583,'General Information'!$AF$16:$AG$16,0)),HLOOKUP(VLOOKUP(C583,xySpace_Type_Details,8,FALSE),'General Information'!$P$15:$AG$28,13,FALSE)))),"")</f>
        <v/>
      </c>
      <c r="U583" s="542" t="str">
        <f>IFERROR(IF(C583="","",IF(INDEX(xyWattage_Table,MATCH(M583,'Fixture Identities'!$B$9:$B$997,0),2)="Exit Sign",1,IF(VLOOKUP(C583,xySpace_Type_Details,8,FALSE)="TRM",INDEX('General Information'!$AF$17:$AG$28,12,MATCH(N583,'General Information'!$AF$16:$AG$16,0)),HLOOKUP(VLOOKUP(C583,xySpace_Type_Details,8,FALSE),'General Information'!$P$15:$AG$28,14,FALSE)))),"")</f>
        <v/>
      </c>
      <c r="V583" s="542" t="str">
        <f>IFERROR(VLOOKUP(INDEX(xySpace_Type_Details,MATCH($C583,'General Information'!$C$40:$C$60,0),12),Lookups!$L$8:$N$12,2,FALSE),"")</f>
        <v/>
      </c>
      <c r="W583" s="542" t="str">
        <f>IFERROR(VLOOKUP(INDEX(xySpace_Type_Details,MATCH($C583,'General Information'!$C$40:$C$60,0),12),Lookups!$L$8:$N$12,3,FALSE),"")</f>
        <v/>
      </c>
      <c r="Y583" s="542" t="str">
        <f>IFERROR(IF(C583="","",IF(INDEX(xyWattage_Table,MATCH(M583,'Fixture Identities'!$B$9:$B$997,0),2)="Exit Sign",0,IF(PRJ_Type="Retrofit",VLOOKUP(I583,xySVG_Factors,2,FALSE),IF(AND(PRJ_Type="New Construction",Inventory!C580="N"),VLOOKUP(VLOOKUP(Building_Type,xyLPD_BuildingArea,5,FALSE),xySVG_Factors_NC,3,FALSE),0)))),"")</f>
        <v/>
      </c>
      <c r="Z583" s="544" t="str">
        <f>IFERROR(IF(C583="","",IF(INDEX(xyWattage_Table,MATCH(M583,'Fixture Identities'!$B$9:$B$997,0),2)="Exit Sign",0,VLOOKUP(S583,xySVG_Factors,2,FALSE))),"")</f>
        <v/>
      </c>
      <c r="AA583" s="545" t="str">
        <f t="shared" ref="AA583:AA646" si="219">IFERROR((L583-R583)/1000,"")</f>
        <v/>
      </c>
      <c r="AB583" s="542" t="str">
        <f t="shared" ref="AB583:AB646" si="220">IFERROR(AA583*U583*(1+W583)*(1-Y583),"")</f>
        <v/>
      </c>
      <c r="AC583" s="539" t="str">
        <f t="shared" ref="AC583:AC646" si="221">IFERROR(AA583*T583*(1+V583)*(1-Y583),"")</f>
        <v/>
      </c>
      <c r="AD583" s="546" t="str">
        <f t="shared" ref="AD583:AD646" si="222">IFERROR(R583/1000*(Z583-Y583)*(1+W583)*U583,"")</f>
        <v/>
      </c>
      <c r="AE583" s="539" t="str">
        <f t="shared" ref="AE583:AE646" si="223">IFERROR(R583/1000*T583*(Z583-Y583)*(1+V583),"")</f>
        <v/>
      </c>
      <c r="AF583" s="546" t="str">
        <f t="shared" ref="AF583:AF646" si="224">IFERROR(AB583+AD583,"")</f>
        <v/>
      </c>
      <c r="AG583" s="539" t="str">
        <f t="shared" ref="AG583:AG646" si="225">IFERROR(AC583+AE583,"")</f>
        <v/>
      </c>
      <c r="AH583" s="32">
        <f t="shared" si="205"/>
        <v>0</v>
      </c>
      <c r="AI583" s="32">
        <f t="shared" si="206"/>
        <v>0</v>
      </c>
      <c r="AJ583" s="32">
        <f t="shared" si="207"/>
        <v>0</v>
      </c>
      <c r="AK583" t="str">
        <f t="shared" si="208"/>
        <v/>
      </c>
      <c r="AL583" t="str">
        <f t="shared" si="209"/>
        <v/>
      </c>
      <c r="AM583" t="str">
        <f t="shared" si="210"/>
        <v/>
      </c>
      <c r="AO583" t="str">
        <f>IFERROR(VLOOKUP(M583,'Fixture Identities'!$B$9:$O$1045,14,FALSE),"")</f>
        <v/>
      </c>
      <c r="AP583" t="str">
        <f t="shared" si="204"/>
        <v/>
      </c>
    </row>
    <row r="584" spans="1:42">
      <c r="A584" s="71">
        <f t="shared" si="212"/>
        <v>0</v>
      </c>
      <c r="B584" s="513">
        <f t="shared" si="211"/>
        <v>572</v>
      </c>
      <c r="C584" s="530" t="str">
        <f>IF(Inventory!E581="","",Inventory!E581)</f>
        <v/>
      </c>
      <c r="D584" s="531">
        <f>IF(Inventory!D581="",0,Inventory!D581)</f>
        <v>0</v>
      </c>
      <c r="E584" s="532" t="str">
        <f>IF(Inventory!I581=0,"",Inventory!I581)</f>
        <v/>
      </c>
      <c r="F584" s="533" t="str">
        <f t="shared" si="213"/>
        <v/>
      </c>
      <c r="G584" s="534" t="str">
        <f>IF(Inventory!G581="","",Inventory!G581)</f>
        <v/>
      </c>
      <c r="H584" s="535" t="str">
        <f t="shared" si="214"/>
        <v/>
      </c>
      <c r="I584" s="536" t="str">
        <f>IF(Inventory!J581="","",Inventory!J581)</f>
        <v/>
      </c>
      <c r="J584" s="537" t="str">
        <f>IFERROR(IF(PRJ_Type="New Construction",IF(Inventory!C581="N",INDEX(xyLPD_BuildingArea,MATCH(Building_Type,Lookups!$F$37:$F$75,0),4),INDEX(xyLPD_SpaceBySpace,MATCH(INDEX(xyNCEx,MATCH(I584,yNCExArea,0),2),ySpace_by_Space_Type,0),2)),VLOOKUP(E584,xyWattage_Table,11,FALSE)),"")</f>
        <v/>
      </c>
      <c r="K584" s="538" t="str">
        <f>IFERROR(IF(AND(NC_Type="Building Area Method",Inventory!C581="N"),IF(ISERROR(INDEX('Usage Groups (&gt;120 MWh only)'!$N$8:$N$12,MATCH(C584,'Usage Groups (&gt;120 MWh only)'!$B$8:$B$12,0),1))=TRUE,SqFt/COUNTIFS(Inventory!$C$10:$C$1009,"N",$Q$13:$Q$1012,"&gt;=0"),INDEX('Usage Groups (&gt;120 MWh only)'!$N$8:$N$12,MATCH(C584,'Usage Groups (&gt;120 MWh only)'!$B$8:$B$12,0),1)/COUNTIF($C$13:$C$1012,C584)),IF(AND(NC_Type="Building Area Method",Inventory!C581="Y"),INDEX(xyNCEx,MATCH(I584,yNCExArea,0),3)/COUNTIF($I$13:$I$1012,I584),VLOOKUP(J584,xyWattage_Table,10,FALSE))),"")</f>
        <v/>
      </c>
      <c r="L584" s="539" t="str">
        <f t="shared" si="215"/>
        <v/>
      </c>
      <c r="M584" s="540">
        <f>IF(Inventory!N581="","",Inventory!N581)</f>
        <v>0</v>
      </c>
      <c r="N584" s="533" t="str">
        <f t="shared" si="216"/>
        <v/>
      </c>
      <c r="O584" s="534"/>
      <c r="P584" s="533" t="str">
        <f t="shared" si="217"/>
        <v/>
      </c>
      <c r="Q584" s="534" t="str">
        <f>IF(Inventory!L581="","",Inventory!L581)</f>
        <v/>
      </c>
      <c r="R584" s="535" t="str">
        <f t="shared" si="218"/>
        <v/>
      </c>
      <c r="S584" s="536" t="str">
        <f>IF(Inventory!O581="","",Inventory!O581)</f>
        <v/>
      </c>
      <c r="T584" s="541" t="str">
        <f>IFERROR(IF(C584="","",IF(INDEX(xyWattage_Table,MATCH(M584,'Fixture Identities'!$B$9:$B$997,0),2)="Exit Sign",8760,IF(VLOOKUP(C584,xySpace_Type_Details,8,FALSE)="TRM",INDEX('General Information'!$AF$17:$AG$28,11,MATCH(N584,'General Information'!$AF$16:$AG$16,0)),HLOOKUP(VLOOKUP(C584,xySpace_Type_Details,8,FALSE),'General Information'!$P$15:$AG$28,13,FALSE)))),"")</f>
        <v/>
      </c>
      <c r="U584" s="542" t="str">
        <f>IFERROR(IF(C584="","",IF(INDEX(xyWattage_Table,MATCH(M584,'Fixture Identities'!$B$9:$B$997,0),2)="Exit Sign",1,IF(VLOOKUP(C584,xySpace_Type_Details,8,FALSE)="TRM",INDEX('General Information'!$AF$17:$AG$28,12,MATCH(N584,'General Information'!$AF$16:$AG$16,0)),HLOOKUP(VLOOKUP(C584,xySpace_Type_Details,8,FALSE),'General Information'!$P$15:$AG$28,14,FALSE)))),"")</f>
        <v/>
      </c>
      <c r="V584" s="542" t="str">
        <f>IFERROR(VLOOKUP(INDEX(xySpace_Type_Details,MATCH($C584,'General Information'!$C$40:$C$60,0),12),Lookups!$L$8:$N$12,2,FALSE),"")</f>
        <v/>
      </c>
      <c r="W584" s="542" t="str">
        <f>IFERROR(VLOOKUP(INDEX(xySpace_Type_Details,MATCH($C584,'General Information'!$C$40:$C$60,0),12),Lookups!$L$8:$N$12,3,FALSE),"")</f>
        <v/>
      </c>
      <c r="Y584" s="542" t="str">
        <f>IFERROR(IF(C584="","",IF(INDEX(xyWattage_Table,MATCH(M584,'Fixture Identities'!$B$9:$B$997,0),2)="Exit Sign",0,IF(PRJ_Type="Retrofit",VLOOKUP(I584,xySVG_Factors,2,FALSE),IF(AND(PRJ_Type="New Construction",Inventory!C581="N"),VLOOKUP(VLOOKUP(Building_Type,xyLPD_BuildingArea,5,FALSE),xySVG_Factors_NC,3,FALSE),0)))),"")</f>
        <v/>
      </c>
      <c r="Z584" s="544" t="str">
        <f>IFERROR(IF(C584="","",IF(INDEX(xyWattage_Table,MATCH(M584,'Fixture Identities'!$B$9:$B$997,0),2)="Exit Sign",0,VLOOKUP(S584,xySVG_Factors,2,FALSE))),"")</f>
        <v/>
      </c>
      <c r="AA584" s="545" t="str">
        <f t="shared" si="219"/>
        <v/>
      </c>
      <c r="AB584" s="542" t="str">
        <f t="shared" si="220"/>
        <v/>
      </c>
      <c r="AC584" s="539" t="str">
        <f t="shared" si="221"/>
        <v/>
      </c>
      <c r="AD584" s="546" t="str">
        <f t="shared" si="222"/>
        <v/>
      </c>
      <c r="AE584" s="539" t="str">
        <f t="shared" si="223"/>
        <v/>
      </c>
      <c r="AF584" s="546" t="str">
        <f t="shared" si="224"/>
        <v/>
      </c>
      <c r="AG584" s="539" t="str">
        <f t="shared" si="225"/>
        <v/>
      </c>
      <c r="AH584" s="32">
        <f t="shared" si="205"/>
        <v>0</v>
      </c>
      <c r="AI584" s="32">
        <f t="shared" si="206"/>
        <v>0</v>
      </c>
      <c r="AJ584" s="32">
        <f t="shared" si="207"/>
        <v>0</v>
      </c>
      <c r="AK584" t="str">
        <f t="shared" si="208"/>
        <v/>
      </c>
      <c r="AL584" t="str">
        <f t="shared" si="209"/>
        <v/>
      </c>
      <c r="AM584" t="str">
        <f t="shared" si="210"/>
        <v/>
      </c>
      <c r="AO584" t="str">
        <f>IFERROR(VLOOKUP(M584,'Fixture Identities'!$B$9:$O$1045,14,FALSE),"")</f>
        <v/>
      </c>
      <c r="AP584" t="str">
        <f t="shared" si="204"/>
        <v/>
      </c>
    </row>
    <row r="585" spans="1:42">
      <c r="A585" s="71">
        <f t="shared" si="212"/>
        <v>0</v>
      </c>
      <c r="B585" s="513">
        <f t="shared" si="211"/>
        <v>573</v>
      </c>
      <c r="C585" s="530" t="str">
        <f>IF(Inventory!E582="","",Inventory!E582)</f>
        <v/>
      </c>
      <c r="D585" s="531">
        <f>IF(Inventory!D582="",0,Inventory!D582)</f>
        <v>0</v>
      </c>
      <c r="E585" s="532" t="str">
        <f>IF(Inventory!I582=0,"",Inventory!I582)</f>
        <v/>
      </c>
      <c r="F585" s="533" t="str">
        <f t="shared" si="213"/>
        <v/>
      </c>
      <c r="G585" s="534" t="str">
        <f>IF(Inventory!G582="","",Inventory!G582)</f>
        <v/>
      </c>
      <c r="H585" s="535" t="str">
        <f t="shared" si="214"/>
        <v/>
      </c>
      <c r="I585" s="536" t="str">
        <f>IF(Inventory!J582="","",Inventory!J582)</f>
        <v/>
      </c>
      <c r="J585" s="537" t="str">
        <f>IFERROR(IF(PRJ_Type="New Construction",IF(Inventory!C582="N",INDEX(xyLPD_BuildingArea,MATCH(Building_Type,Lookups!$F$37:$F$75,0),4),INDEX(xyLPD_SpaceBySpace,MATCH(INDEX(xyNCEx,MATCH(I585,yNCExArea,0),2),ySpace_by_Space_Type,0),2)),VLOOKUP(E585,xyWattage_Table,11,FALSE)),"")</f>
        <v/>
      </c>
      <c r="K585" s="538" t="str">
        <f>IFERROR(IF(AND(NC_Type="Building Area Method",Inventory!C582="N"),IF(ISERROR(INDEX('Usage Groups (&gt;120 MWh only)'!$N$8:$N$12,MATCH(C585,'Usage Groups (&gt;120 MWh only)'!$B$8:$B$12,0),1))=TRUE,SqFt/COUNTIFS(Inventory!$C$10:$C$1009,"N",$Q$13:$Q$1012,"&gt;=0"),INDEX('Usage Groups (&gt;120 MWh only)'!$N$8:$N$12,MATCH(C585,'Usage Groups (&gt;120 MWh only)'!$B$8:$B$12,0),1)/COUNTIF($C$13:$C$1012,C585)),IF(AND(NC_Type="Building Area Method",Inventory!C582="Y"),INDEX(xyNCEx,MATCH(I585,yNCExArea,0),3)/COUNTIF($I$13:$I$1012,I585),VLOOKUP(J585,xyWattage_Table,10,FALSE))),"")</f>
        <v/>
      </c>
      <c r="L585" s="539" t="str">
        <f t="shared" si="215"/>
        <v/>
      </c>
      <c r="M585" s="540">
        <f>IF(Inventory!N582="","",Inventory!N582)</f>
        <v>0</v>
      </c>
      <c r="N585" s="533" t="str">
        <f t="shared" si="216"/>
        <v/>
      </c>
      <c r="O585" s="534"/>
      <c r="P585" s="533" t="str">
        <f t="shared" si="217"/>
        <v/>
      </c>
      <c r="Q585" s="534" t="str">
        <f>IF(Inventory!L582="","",Inventory!L582)</f>
        <v/>
      </c>
      <c r="R585" s="535" t="str">
        <f t="shared" si="218"/>
        <v/>
      </c>
      <c r="S585" s="536" t="str">
        <f>IF(Inventory!O582="","",Inventory!O582)</f>
        <v/>
      </c>
      <c r="T585" s="541" t="str">
        <f>IFERROR(IF(C585="","",IF(INDEX(xyWattage_Table,MATCH(M585,'Fixture Identities'!$B$9:$B$997,0),2)="Exit Sign",8760,IF(VLOOKUP(C585,xySpace_Type_Details,8,FALSE)="TRM",INDEX('General Information'!$AF$17:$AG$28,11,MATCH(N585,'General Information'!$AF$16:$AG$16,0)),HLOOKUP(VLOOKUP(C585,xySpace_Type_Details,8,FALSE),'General Information'!$P$15:$AG$28,13,FALSE)))),"")</f>
        <v/>
      </c>
      <c r="U585" s="542" t="str">
        <f>IFERROR(IF(C585="","",IF(INDEX(xyWattage_Table,MATCH(M585,'Fixture Identities'!$B$9:$B$997,0),2)="Exit Sign",1,IF(VLOOKUP(C585,xySpace_Type_Details,8,FALSE)="TRM",INDEX('General Information'!$AF$17:$AG$28,12,MATCH(N585,'General Information'!$AF$16:$AG$16,0)),HLOOKUP(VLOOKUP(C585,xySpace_Type_Details,8,FALSE),'General Information'!$P$15:$AG$28,14,FALSE)))),"")</f>
        <v/>
      </c>
      <c r="V585" s="542" t="str">
        <f>IFERROR(VLOOKUP(INDEX(xySpace_Type_Details,MATCH($C585,'General Information'!$C$40:$C$60,0),12),Lookups!$L$8:$N$12,2,FALSE),"")</f>
        <v/>
      </c>
      <c r="W585" s="542" t="str">
        <f>IFERROR(VLOOKUP(INDEX(xySpace_Type_Details,MATCH($C585,'General Information'!$C$40:$C$60,0),12),Lookups!$L$8:$N$12,3,FALSE),"")</f>
        <v/>
      </c>
      <c r="Y585" s="542" t="str">
        <f>IFERROR(IF(C585="","",IF(INDEX(xyWattage_Table,MATCH(M585,'Fixture Identities'!$B$9:$B$997,0),2)="Exit Sign",0,IF(PRJ_Type="Retrofit",VLOOKUP(I585,xySVG_Factors,2,FALSE),IF(AND(PRJ_Type="New Construction",Inventory!C582="N"),VLOOKUP(VLOOKUP(Building_Type,xyLPD_BuildingArea,5,FALSE),xySVG_Factors_NC,3,FALSE),0)))),"")</f>
        <v/>
      </c>
      <c r="Z585" s="544" t="str">
        <f>IFERROR(IF(C585="","",IF(INDEX(xyWattage_Table,MATCH(M585,'Fixture Identities'!$B$9:$B$997,0),2)="Exit Sign",0,VLOOKUP(S585,xySVG_Factors,2,FALSE))),"")</f>
        <v/>
      </c>
      <c r="AA585" s="545" t="str">
        <f t="shared" si="219"/>
        <v/>
      </c>
      <c r="AB585" s="542" t="str">
        <f t="shared" si="220"/>
        <v/>
      </c>
      <c r="AC585" s="539" t="str">
        <f t="shared" si="221"/>
        <v/>
      </c>
      <c r="AD585" s="546" t="str">
        <f t="shared" si="222"/>
        <v/>
      </c>
      <c r="AE585" s="539" t="str">
        <f t="shared" si="223"/>
        <v/>
      </c>
      <c r="AF585" s="546" t="str">
        <f t="shared" si="224"/>
        <v/>
      </c>
      <c r="AG585" s="539" t="str">
        <f t="shared" si="225"/>
        <v/>
      </c>
      <c r="AH585" s="32">
        <f t="shared" si="205"/>
        <v>0</v>
      </c>
      <c r="AI585" s="32">
        <f t="shared" si="206"/>
        <v>0</v>
      </c>
      <c r="AJ585" s="32">
        <f t="shared" si="207"/>
        <v>0</v>
      </c>
      <c r="AK585" t="str">
        <f t="shared" si="208"/>
        <v/>
      </c>
      <c r="AL585" t="str">
        <f t="shared" si="209"/>
        <v/>
      </c>
      <c r="AM585" t="str">
        <f t="shared" si="210"/>
        <v/>
      </c>
      <c r="AO585" t="str">
        <f>IFERROR(VLOOKUP(M585,'Fixture Identities'!$B$9:$O$1045,14,FALSE),"")</f>
        <v/>
      </c>
      <c r="AP585" t="str">
        <f t="shared" si="204"/>
        <v/>
      </c>
    </row>
    <row r="586" spans="1:42">
      <c r="A586" s="71">
        <f t="shared" si="212"/>
        <v>0</v>
      </c>
      <c r="B586" s="513">
        <f t="shared" si="211"/>
        <v>574</v>
      </c>
      <c r="C586" s="530" t="str">
        <f>IF(Inventory!E583="","",Inventory!E583)</f>
        <v/>
      </c>
      <c r="D586" s="531">
        <f>IF(Inventory!D583="",0,Inventory!D583)</f>
        <v>0</v>
      </c>
      <c r="E586" s="532" t="str">
        <f>IF(Inventory!I583=0,"",Inventory!I583)</f>
        <v/>
      </c>
      <c r="F586" s="533" t="str">
        <f t="shared" si="213"/>
        <v/>
      </c>
      <c r="G586" s="534" t="str">
        <f>IF(Inventory!G583="","",Inventory!G583)</f>
        <v/>
      </c>
      <c r="H586" s="535" t="str">
        <f t="shared" si="214"/>
        <v/>
      </c>
      <c r="I586" s="536" t="str">
        <f>IF(Inventory!J583="","",Inventory!J583)</f>
        <v/>
      </c>
      <c r="J586" s="537" t="str">
        <f>IFERROR(IF(PRJ_Type="New Construction",IF(Inventory!C583="N",INDEX(xyLPD_BuildingArea,MATCH(Building_Type,Lookups!$F$37:$F$75,0),4),INDEX(xyLPD_SpaceBySpace,MATCH(INDEX(xyNCEx,MATCH(I586,yNCExArea,0),2),ySpace_by_Space_Type,0),2)),VLOOKUP(E586,xyWattage_Table,11,FALSE)),"")</f>
        <v/>
      </c>
      <c r="K586" s="538" t="str">
        <f>IFERROR(IF(AND(NC_Type="Building Area Method",Inventory!C583="N"),IF(ISERROR(INDEX('Usage Groups (&gt;120 MWh only)'!$N$8:$N$12,MATCH(C586,'Usage Groups (&gt;120 MWh only)'!$B$8:$B$12,0),1))=TRUE,SqFt/COUNTIFS(Inventory!$C$10:$C$1009,"N",$Q$13:$Q$1012,"&gt;=0"),INDEX('Usage Groups (&gt;120 MWh only)'!$N$8:$N$12,MATCH(C586,'Usage Groups (&gt;120 MWh only)'!$B$8:$B$12,0),1)/COUNTIF($C$13:$C$1012,C586)),IF(AND(NC_Type="Building Area Method",Inventory!C583="Y"),INDEX(xyNCEx,MATCH(I586,yNCExArea,0),3)/COUNTIF($I$13:$I$1012,I586),VLOOKUP(J586,xyWattage_Table,10,FALSE))),"")</f>
        <v/>
      </c>
      <c r="L586" s="539" t="str">
        <f t="shared" si="215"/>
        <v/>
      </c>
      <c r="M586" s="540">
        <f>IF(Inventory!N583="","",Inventory!N583)</f>
        <v>0</v>
      </c>
      <c r="N586" s="533" t="str">
        <f t="shared" si="216"/>
        <v/>
      </c>
      <c r="O586" s="534"/>
      <c r="P586" s="533" t="str">
        <f t="shared" si="217"/>
        <v/>
      </c>
      <c r="Q586" s="534" t="str">
        <f>IF(Inventory!L583="","",Inventory!L583)</f>
        <v/>
      </c>
      <c r="R586" s="535" t="str">
        <f t="shared" si="218"/>
        <v/>
      </c>
      <c r="S586" s="536" t="str">
        <f>IF(Inventory!O583="","",Inventory!O583)</f>
        <v/>
      </c>
      <c r="T586" s="541" t="str">
        <f>IFERROR(IF(C586="","",IF(INDEX(xyWattage_Table,MATCH(M586,'Fixture Identities'!$B$9:$B$997,0),2)="Exit Sign",8760,IF(VLOOKUP(C586,xySpace_Type_Details,8,FALSE)="TRM",INDEX('General Information'!$AF$17:$AG$28,11,MATCH(N586,'General Information'!$AF$16:$AG$16,0)),HLOOKUP(VLOOKUP(C586,xySpace_Type_Details,8,FALSE),'General Information'!$P$15:$AG$28,13,FALSE)))),"")</f>
        <v/>
      </c>
      <c r="U586" s="542" t="str">
        <f>IFERROR(IF(C586="","",IF(INDEX(xyWattage_Table,MATCH(M586,'Fixture Identities'!$B$9:$B$997,0),2)="Exit Sign",1,IF(VLOOKUP(C586,xySpace_Type_Details,8,FALSE)="TRM",INDEX('General Information'!$AF$17:$AG$28,12,MATCH(N586,'General Information'!$AF$16:$AG$16,0)),HLOOKUP(VLOOKUP(C586,xySpace_Type_Details,8,FALSE),'General Information'!$P$15:$AG$28,14,FALSE)))),"")</f>
        <v/>
      </c>
      <c r="V586" s="542" t="str">
        <f>IFERROR(VLOOKUP(INDEX(xySpace_Type_Details,MATCH($C586,'General Information'!$C$40:$C$60,0),12),Lookups!$L$8:$N$12,2,FALSE),"")</f>
        <v/>
      </c>
      <c r="W586" s="542" t="str">
        <f>IFERROR(VLOOKUP(INDEX(xySpace_Type_Details,MATCH($C586,'General Information'!$C$40:$C$60,0),12),Lookups!$L$8:$N$12,3,FALSE),"")</f>
        <v/>
      </c>
      <c r="Y586" s="542" t="str">
        <f>IFERROR(IF(C586="","",IF(INDEX(xyWattage_Table,MATCH(M586,'Fixture Identities'!$B$9:$B$997,0),2)="Exit Sign",0,IF(PRJ_Type="Retrofit",VLOOKUP(I586,xySVG_Factors,2,FALSE),IF(AND(PRJ_Type="New Construction",Inventory!C583="N"),VLOOKUP(VLOOKUP(Building_Type,xyLPD_BuildingArea,5,FALSE),xySVG_Factors_NC,3,FALSE),0)))),"")</f>
        <v/>
      </c>
      <c r="Z586" s="544" t="str">
        <f>IFERROR(IF(C586="","",IF(INDEX(xyWattage_Table,MATCH(M586,'Fixture Identities'!$B$9:$B$997,0),2)="Exit Sign",0,VLOOKUP(S586,xySVG_Factors,2,FALSE))),"")</f>
        <v/>
      </c>
      <c r="AA586" s="545" t="str">
        <f t="shared" si="219"/>
        <v/>
      </c>
      <c r="AB586" s="542" t="str">
        <f t="shared" si="220"/>
        <v/>
      </c>
      <c r="AC586" s="539" t="str">
        <f t="shared" si="221"/>
        <v/>
      </c>
      <c r="AD586" s="546" t="str">
        <f t="shared" si="222"/>
        <v/>
      </c>
      <c r="AE586" s="539" t="str">
        <f t="shared" si="223"/>
        <v/>
      </c>
      <c r="AF586" s="546" t="str">
        <f t="shared" si="224"/>
        <v/>
      </c>
      <c r="AG586" s="539" t="str">
        <f t="shared" si="225"/>
        <v/>
      </c>
      <c r="AH586" s="32">
        <f t="shared" si="205"/>
        <v>0</v>
      </c>
      <c r="AI586" s="32">
        <f t="shared" si="206"/>
        <v>0</v>
      </c>
      <c r="AJ586" s="32">
        <f t="shared" si="207"/>
        <v>0</v>
      </c>
      <c r="AK586" t="str">
        <f t="shared" si="208"/>
        <v/>
      </c>
      <c r="AL586" t="str">
        <f t="shared" si="209"/>
        <v/>
      </c>
      <c r="AM586" t="str">
        <f t="shared" si="210"/>
        <v/>
      </c>
      <c r="AO586" t="str">
        <f>IFERROR(VLOOKUP(M586,'Fixture Identities'!$B$9:$O$1045,14,FALSE),"")</f>
        <v/>
      </c>
      <c r="AP586" t="str">
        <f t="shared" si="204"/>
        <v/>
      </c>
    </row>
    <row r="587" spans="1:42">
      <c r="A587" s="71">
        <f t="shared" si="212"/>
        <v>0</v>
      </c>
      <c r="B587" s="513">
        <f t="shared" si="211"/>
        <v>575</v>
      </c>
      <c r="C587" s="530" t="str">
        <f>IF(Inventory!E584="","",Inventory!E584)</f>
        <v/>
      </c>
      <c r="D587" s="531">
        <f>IF(Inventory!D584="",0,Inventory!D584)</f>
        <v>0</v>
      </c>
      <c r="E587" s="532" t="str">
        <f>IF(Inventory!I584=0,"",Inventory!I584)</f>
        <v/>
      </c>
      <c r="F587" s="533" t="str">
        <f t="shared" si="213"/>
        <v/>
      </c>
      <c r="G587" s="534" t="str">
        <f>IF(Inventory!G584="","",Inventory!G584)</f>
        <v/>
      </c>
      <c r="H587" s="535" t="str">
        <f t="shared" si="214"/>
        <v/>
      </c>
      <c r="I587" s="536" t="str">
        <f>IF(Inventory!J584="","",Inventory!J584)</f>
        <v/>
      </c>
      <c r="J587" s="537" t="str">
        <f>IFERROR(IF(PRJ_Type="New Construction",IF(Inventory!C584="N",INDEX(xyLPD_BuildingArea,MATCH(Building_Type,Lookups!$F$37:$F$75,0),4),INDEX(xyLPD_SpaceBySpace,MATCH(INDEX(xyNCEx,MATCH(I587,yNCExArea,0),2),ySpace_by_Space_Type,0),2)),VLOOKUP(E587,xyWattage_Table,11,FALSE)),"")</f>
        <v/>
      </c>
      <c r="K587" s="538" t="str">
        <f>IFERROR(IF(AND(NC_Type="Building Area Method",Inventory!C584="N"),IF(ISERROR(INDEX('Usage Groups (&gt;120 MWh only)'!$N$8:$N$12,MATCH(C587,'Usage Groups (&gt;120 MWh only)'!$B$8:$B$12,0),1))=TRUE,SqFt/COUNTIFS(Inventory!$C$10:$C$1009,"N",$Q$13:$Q$1012,"&gt;=0"),INDEX('Usage Groups (&gt;120 MWh only)'!$N$8:$N$12,MATCH(C587,'Usage Groups (&gt;120 MWh only)'!$B$8:$B$12,0),1)/COUNTIF($C$13:$C$1012,C587)),IF(AND(NC_Type="Building Area Method",Inventory!C584="Y"),INDEX(xyNCEx,MATCH(I587,yNCExArea,0),3)/COUNTIF($I$13:$I$1012,I587),VLOOKUP(J587,xyWattage_Table,10,FALSE))),"")</f>
        <v/>
      </c>
      <c r="L587" s="539" t="str">
        <f t="shared" si="215"/>
        <v/>
      </c>
      <c r="M587" s="540">
        <f>IF(Inventory!N584="","",Inventory!N584)</f>
        <v>0</v>
      </c>
      <c r="N587" s="533" t="str">
        <f t="shared" si="216"/>
        <v/>
      </c>
      <c r="O587" s="534"/>
      <c r="P587" s="533" t="str">
        <f t="shared" si="217"/>
        <v/>
      </c>
      <c r="Q587" s="534" t="str">
        <f>IF(Inventory!L584="","",Inventory!L584)</f>
        <v/>
      </c>
      <c r="R587" s="535" t="str">
        <f t="shared" si="218"/>
        <v/>
      </c>
      <c r="S587" s="536" t="str">
        <f>IF(Inventory!O584="","",Inventory!O584)</f>
        <v/>
      </c>
      <c r="T587" s="541" t="str">
        <f>IFERROR(IF(C587="","",IF(INDEX(xyWattage_Table,MATCH(M587,'Fixture Identities'!$B$9:$B$997,0),2)="Exit Sign",8760,IF(VLOOKUP(C587,xySpace_Type_Details,8,FALSE)="TRM",INDEX('General Information'!$AF$17:$AG$28,11,MATCH(N587,'General Information'!$AF$16:$AG$16,0)),HLOOKUP(VLOOKUP(C587,xySpace_Type_Details,8,FALSE),'General Information'!$P$15:$AG$28,13,FALSE)))),"")</f>
        <v/>
      </c>
      <c r="U587" s="542" t="str">
        <f>IFERROR(IF(C587="","",IF(INDEX(xyWattage_Table,MATCH(M587,'Fixture Identities'!$B$9:$B$997,0),2)="Exit Sign",1,IF(VLOOKUP(C587,xySpace_Type_Details,8,FALSE)="TRM",INDEX('General Information'!$AF$17:$AG$28,12,MATCH(N587,'General Information'!$AF$16:$AG$16,0)),HLOOKUP(VLOOKUP(C587,xySpace_Type_Details,8,FALSE),'General Information'!$P$15:$AG$28,14,FALSE)))),"")</f>
        <v/>
      </c>
      <c r="V587" s="542" t="str">
        <f>IFERROR(VLOOKUP(INDEX(xySpace_Type_Details,MATCH($C587,'General Information'!$C$40:$C$60,0),12),Lookups!$L$8:$N$12,2,FALSE),"")</f>
        <v/>
      </c>
      <c r="W587" s="542" t="str">
        <f>IFERROR(VLOOKUP(INDEX(xySpace_Type_Details,MATCH($C587,'General Information'!$C$40:$C$60,0),12),Lookups!$L$8:$N$12,3,FALSE),"")</f>
        <v/>
      </c>
      <c r="Y587" s="542" t="str">
        <f>IFERROR(IF(C587="","",IF(INDEX(xyWattage_Table,MATCH(M587,'Fixture Identities'!$B$9:$B$997,0),2)="Exit Sign",0,IF(PRJ_Type="Retrofit",VLOOKUP(I587,xySVG_Factors,2,FALSE),IF(AND(PRJ_Type="New Construction",Inventory!C584="N"),VLOOKUP(VLOOKUP(Building_Type,xyLPD_BuildingArea,5,FALSE),xySVG_Factors_NC,3,FALSE),0)))),"")</f>
        <v/>
      </c>
      <c r="Z587" s="544" t="str">
        <f>IFERROR(IF(C587="","",IF(INDEX(xyWattage_Table,MATCH(M587,'Fixture Identities'!$B$9:$B$997,0),2)="Exit Sign",0,VLOOKUP(S587,xySVG_Factors,2,FALSE))),"")</f>
        <v/>
      </c>
      <c r="AA587" s="545" t="str">
        <f t="shared" si="219"/>
        <v/>
      </c>
      <c r="AB587" s="542" t="str">
        <f t="shared" si="220"/>
        <v/>
      </c>
      <c r="AC587" s="539" t="str">
        <f t="shared" si="221"/>
        <v/>
      </c>
      <c r="AD587" s="546" t="str">
        <f t="shared" si="222"/>
        <v/>
      </c>
      <c r="AE587" s="539" t="str">
        <f t="shared" si="223"/>
        <v/>
      </c>
      <c r="AF587" s="546" t="str">
        <f t="shared" si="224"/>
        <v/>
      </c>
      <c r="AG587" s="539" t="str">
        <f t="shared" si="225"/>
        <v/>
      </c>
      <c r="AH587" s="32">
        <f t="shared" si="205"/>
        <v>0</v>
      </c>
      <c r="AI587" s="32">
        <f t="shared" si="206"/>
        <v>0</v>
      </c>
      <c r="AJ587" s="32">
        <f t="shared" si="207"/>
        <v>0</v>
      </c>
      <c r="AK587" t="str">
        <f t="shared" si="208"/>
        <v/>
      </c>
      <c r="AL587" t="str">
        <f t="shared" si="209"/>
        <v/>
      </c>
      <c r="AM587" t="str">
        <f t="shared" si="210"/>
        <v/>
      </c>
      <c r="AO587" t="str">
        <f>IFERROR(VLOOKUP(M587,'Fixture Identities'!$B$9:$O$1045,14,FALSE),"")</f>
        <v/>
      </c>
      <c r="AP587" t="str">
        <f t="shared" si="204"/>
        <v/>
      </c>
    </row>
    <row r="588" spans="1:42">
      <c r="A588" s="71">
        <f t="shared" si="212"/>
        <v>0</v>
      </c>
      <c r="B588" s="513">
        <f t="shared" si="211"/>
        <v>576</v>
      </c>
      <c r="C588" s="530" t="str">
        <f>IF(Inventory!E585="","",Inventory!E585)</f>
        <v/>
      </c>
      <c r="D588" s="531">
        <f>IF(Inventory!D585="",0,Inventory!D585)</f>
        <v>0</v>
      </c>
      <c r="E588" s="532" t="str">
        <f>IF(Inventory!I585=0,"",Inventory!I585)</f>
        <v/>
      </c>
      <c r="F588" s="533" t="str">
        <f t="shared" si="213"/>
        <v/>
      </c>
      <c r="G588" s="534" t="str">
        <f>IF(Inventory!G585="","",Inventory!G585)</f>
        <v/>
      </c>
      <c r="H588" s="535" t="str">
        <f t="shared" si="214"/>
        <v/>
      </c>
      <c r="I588" s="536" t="str">
        <f>IF(Inventory!J585="","",Inventory!J585)</f>
        <v/>
      </c>
      <c r="J588" s="537" t="str">
        <f>IFERROR(IF(PRJ_Type="New Construction",IF(Inventory!C585="N",INDEX(xyLPD_BuildingArea,MATCH(Building_Type,Lookups!$F$37:$F$75,0),4),INDEX(xyLPD_SpaceBySpace,MATCH(INDEX(xyNCEx,MATCH(I588,yNCExArea,0),2),ySpace_by_Space_Type,0),2)),VLOOKUP(E588,xyWattage_Table,11,FALSE)),"")</f>
        <v/>
      </c>
      <c r="K588" s="538" t="str">
        <f>IFERROR(IF(AND(NC_Type="Building Area Method",Inventory!C585="N"),IF(ISERROR(INDEX('Usage Groups (&gt;120 MWh only)'!$N$8:$N$12,MATCH(C588,'Usage Groups (&gt;120 MWh only)'!$B$8:$B$12,0),1))=TRUE,SqFt/COUNTIFS(Inventory!$C$10:$C$1009,"N",$Q$13:$Q$1012,"&gt;=0"),INDEX('Usage Groups (&gt;120 MWh only)'!$N$8:$N$12,MATCH(C588,'Usage Groups (&gt;120 MWh only)'!$B$8:$B$12,0),1)/COUNTIF($C$13:$C$1012,C588)),IF(AND(NC_Type="Building Area Method",Inventory!C585="Y"),INDEX(xyNCEx,MATCH(I588,yNCExArea,0),3)/COUNTIF($I$13:$I$1012,I588),VLOOKUP(J588,xyWattage_Table,10,FALSE))),"")</f>
        <v/>
      </c>
      <c r="L588" s="539" t="str">
        <f t="shared" si="215"/>
        <v/>
      </c>
      <c r="M588" s="540">
        <f>IF(Inventory!N585="","",Inventory!N585)</f>
        <v>0</v>
      </c>
      <c r="N588" s="533" t="str">
        <f t="shared" si="216"/>
        <v/>
      </c>
      <c r="O588" s="534"/>
      <c r="P588" s="533" t="str">
        <f t="shared" si="217"/>
        <v/>
      </c>
      <c r="Q588" s="534" t="str">
        <f>IF(Inventory!L585="","",Inventory!L585)</f>
        <v/>
      </c>
      <c r="R588" s="535" t="str">
        <f t="shared" si="218"/>
        <v/>
      </c>
      <c r="S588" s="536" t="str">
        <f>IF(Inventory!O585="","",Inventory!O585)</f>
        <v/>
      </c>
      <c r="T588" s="541" t="str">
        <f>IFERROR(IF(C588="","",IF(INDEX(xyWattage_Table,MATCH(M588,'Fixture Identities'!$B$9:$B$997,0),2)="Exit Sign",8760,IF(VLOOKUP(C588,xySpace_Type_Details,8,FALSE)="TRM",INDEX('General Information'!$AF$17:$AG$28,11,MATCH(N588,'General Information'!$AF$16:$AG$16,0)),HLOOKUP(VLOOKUP(C588,xySpace_Type_Details,8,FALSE),'General Information'!$P$15:$AG$28,13,FALSE)))),"")</f>
        <v/>
      </c>
      <c r="U588" s="542" t="str">
        <f>IFERROR(IF(C588="","",IF(INDEX(xyWattage_Table,MATCH(M588,'Fixture Identities'!$B$9:$B$997,0),2)="Exit Sign",1,IF(VLOOKUP(C588,xySpace_Type_Details,8,FALSE)="TRM",INDEX('General Information'!$AF$17:$AG$28,12,MATCH(N588,'General Information'!$AF$16:$AG$16,0)),HLOOKUP(VLOOKUP(C588,xySpace_Type_Details,8,FALSE),'General Information'!$P$15:$AG$28,14,FALSE)))),"")</f>
        <v/>
      </c>
      <c r="V588" s="542" t="str">
        <f>IFERROR(VLOOKUP(INDEX(xySpace_Type_Details,MATCH($C588,'General Information'!$C$40:$C$60,0),12),Lookups!$L$8:$N$12,2,FALSE),"")</f>
        <v/>
      </c>
      <c r="W588" s="542" t="str">
        <f>IFERROR(VLOOKUP(INDEX(xySpace_Type_Details,MATCH($C588,'General Information'!$C$40:$C$60,0),12),Lookups!$L$8:$N$12,3,FALSE),"")</f>
        <v/>
      </c>
      <c r="Y588" s="542" t="str">
        <f>IFERROR(IF(C588="","",IF(INDEX(xyWattage_Table,MATCH(M588,'Fixture Identities'!$B$9:$B$997,0),2)="Exit Sign",0,IF(PRJ_Type="Retrofit",VLOOKUP(I588,xySVG_Factors,2,FALSE),IF(AND(PRJ_Type="New Construction",Inventory!C585="N"),VLOOKUP(VLOOKUP(Building_Type,xyLPD_BuildingArea,5,FALSE),xySVG_Factors_NC,3,FALSE),0)))),"")</f>
        <v/>
      </c>
      <c r="Z588" s="544" t="str">
        <f>IFERROR(IF(C588="","",IF(INDEX(xyWattage_Table,MATCH(M588,'Fixture Identities'!$B$9:$B$997,0),2)="Exit Sign",0,VLOOKUP(S588,xySVG_Factors,2,FALSE))),"")</f>
        <v/>
      </c>
      <c r="AA588" s="545" t="str">
        <f t="shared" si="219"/>
        <v/>
      </c>
      <c r="AB588" s="542" t="str">
        <f t="shared" si="220"/>
        <v/>
      </c>
      <c r="AC588" s="539" t="str">
        <f t="shared" si="221"/>
        <v/>
      </c>
      <c r="AD588" s="546" t="str">
        <f t="shared" si="222"/>
        <v/>
      </c>
      <c r="AE588" s="539" t="str">
        <f t="shared" si="223"/>
        <v/>
      </c>
      <c r="AF588" s="546" t="str">
        <f t="shared" si="224"/>
        <v/>
      </c>
      <c r="AG588" s="539" t="str">
        <f t="shared" si="225"/>
        <v/>
      </c>
      <c r="AH588" s="32">
        <f t="shared" si="205"/>
        <v>0</v>
      </c>
      <c r="AI588" s="32">
        <f t="shared" si="206"/>
        <v>0</v>
      </c>
      <c r="AJ588" s="32">
        <f t="shared" si="207"/>
        <v>0</v>
      </c>
      <c r="AK588" t="str">
        <f t="shared" si="208"/>
        <v/>
      </c>
      <c r="AL588" t="str">
        <f t="shared" si="209"/>
        <v/>
      </c>
      <c r="AM588" t="str">
        <f t="shared" si="210"/>
        <v/>
      </c>
      <c r="AO588" t="str">
        <f>IFERROR(VLOOKUP(M588,'Fixture Identities'!$B$9:$O$1045,14,FALSE),"")</f>
        <v/>
      </c>
      <c r="AP588" t="str">
        <f t="shared" si="204"/>
        <v/>
      </c>
    </row>
    <row r="589" spans="1:42">
      <c r="A589" s="71">
        <f t="shared" si="212"/>
        <v>0</v>
      </c>
      <c r="B589" s="513">
        <f t="shared" si="211"/>
        <v>577</v>
      </c>
      <c r="C589" s="530" t="str">
        <f>IF(Inventory!E586="","",Inventory!E586)</f>
        <v/>
      </c>
      <c r="D589" s="531">
        <f>IF(Inventory!D586="",0,Inventory!D586)</f>
        <v>0</v>
      </c>
      <c r="E589" s="532" t="str">
        <f>IF(Inventory!I586=0,"",Inventory!I586)</f>
        <v/>
      </c>
      <c r="F589" s="533" t="str">
        <f t="shared" si="213"/>
        <v/>
      </c>
      <c r="G589" s="534" t="str">
        <f>IF(Inventory!G586="","",Inventory!G586)</f>
        <v/>
      </c>
      <c r="H589" s="535" t="str">
        <f t="shared" si="214"/>
        <v/>
      </c>
      <c r="I589" s="536" t="str">
        <f>IF(Inventory!J586="","",Inventory!J586)</f>
        <v/>
      </c>
      <c r="J589" s="537" t="str">
        <f>IFERROR(IF(PRJ_Type="New Construction",IF(Inventory!C586="N",INDEX(xyLPD_BuildingArea,MATCH(Building_Type,Lookups!$F$37:$F$75,0),4),INDEX(xyLPD_SpaceBySpace,MATCH(INDEX(xyNCEx,MATCH(I589,yNCExArea,0),2),ySpace_by_Space_Type,0),2)),VLOOKUP(E589,xyWattage_Table,11,FALSE)),"")</f>
        <v/>
      </c>
      <c r="K589" s="538" t="str">
        <f>IFERROR(IF(AND(NC_Type="Building Area Method",Inventory!C586="N"),IF(ISERROR(INDEX('Usage Groups (&gt;120 MWh only)'!$N$8:$N$12,MATCH(C589,'Usage Groups (&gt;120 MWh only)'!$B$8:$B$12,0),1))=TRUE,SqFt/COUNTIFS(Inventory!$C$10:$C$1009,"N",$Q$13:$Q$1012,"&gt;=0"),INDEX('Usage Groups (&gt;120 MWh only)'!$N$8:$N$12,MATCH(C589,'Usage Groups (&gt;120 MWh only)'!$B$8:$B$12,0),1)/COUNTIF($C$13:$C$1012,C589)),IF(AND(NC_Type="Building Area Method",Inventory!C586="Y"),INDEX(xyNCEx,MATCH(I589,yNCExArea,0),3)/COUNTIF($I$13:$I$1012,I589),VLOOKUP(J589,xyWattage_Table,10,FALSE))),"")</f>
        <v/>
      </c>
      <c r="L589" s="539" t="str">
        <f t="shared" si="215"/>
        <v/>
      </c>
      <c r="M589" s="540">
        <f>IF(Inventory!N586="","",Inventory!N586)</f>
        <v>0</v>
      </c>
      <c r="N589" s="533" t="str">
        <f t="shared" si="216"/>
        <v/>
      </c>
      <c r="O589" s="534"/>
      <c r="P589" s="533" t="str">
        <f t="shared" si="217"/>
        <v/>
      </c>
      <c r="Q589" s="534" t="str">
        <f>IF(Inventory!L586="","",Inventory!L586)</f>
        <v/>
      </c>
      <c r="R589" s="535" t="str">
        <f t="shared" si="218"/>
        <v/>
      </c>
      <c r="S589" s="536" t="str">
        <f>IF(Inventory!O586="","",Inventory!O586)</f>
        <v/>
      </c>
      <c r="T589" s="541" t="str">
        <f>IFERROR(IF(C589="","",IF(INDEX(xyWattage_Table,MATCH(M589,'Fixture Identities'!$B$9:$B$997,0),2)="Exit Sign",8760,IF(VLOOKUP(C589,xySpace_Type_Details,8,FALSE)="TRM",INDEX('General Information'!$AF$17:$AG$28,11,MATCH(N589,'General Information'!$AF$16:$AG$16,0)),HLOOKUP(VLOOKUP(C589,xySpace_Type_Details,8,FALSE),'General Information'!$P$15:$AG$28,13,FALSE)))),"")</f>
        <v/>
      </c>
      <c r="U589" s="542" t="str">
        <f>IFERROR(IF(C589="","",IF(INDEX(xyWattage_Table,MATCH(M589,'Fixture Identities'!$B$9:$B$997,0),2)="Exit Sign",1,IF(VLOOKUP(C589,xySpace_Type_Details,8,FALSE)="TRM",INDEX('General Information'!$AF$17:$AG$28,12,MATCH(N589,'General Information'!$AF$16:$AG$16,0)),HLOOKUP(VLOOKUP(C589,xySpace_Type_Details,8,FALSE),'General Information'!$P$15:$AG$28,14,FALSE)))),"")</f>
        <v/>
      </c>
      <c r="V589" s="542" t="str">
        <f>IFERROR(VLOOKUP(INDEX(xySpace_Type_Details,MATCH($C589,'General Information'!$C$40:$C$60,0),12),Lookups!$L$8:$N$12,2,FALSE),"")</f>
        <v/>
      </c>
      <c r="W589" s="542" t="str">
        <f>IFERROR(VLOOKUP(INDEX(xySpace_Type_Details,MATCH($C589,'General Information'!$C$40:$C$60,0),12),Lookups!$L$8:$N$12,3,FALSE),"")</f>
        <v/>
      </c>
      <c r="Y589" s="542" t="str">
        <f>IFERROR(IF(C589="","",IF(INDEX(xyWattage_Table,MATCH(M589,'Fixture Identities'!$B$9:$B$997,0),2)="Exit Sign",0,IF(PRJ_Type="Retrofit",VLOOKUP(I589,xySVG_Factors,2,FALSE),IF(AND(PRJ_Type="New Construction",Inventory!C586="N"),VLOOKUP(VLOOKUP(Building_Type,xyLPD_BuildingArea,5,FALSE),xySVG_Factors_NC,3,FALSE),0)))),"")</f>
        <v/>
      </c>
      <c r="Z589" s="544" t="str">
        <f>IFERROR(IF(C589="","",IF(INDEX(xyWattage_Table,MATCH(M589,'Fixture Identities'!$B$9:$B$997,0),2)="Exit Sign",0,VLOOKUP(S589,xySVG_Factors,2,FALSE))),"")</f>
        <v/>
      </c>
      <c r="AA589" s="545" t="str">
        <f t="shared" si="219"/>
        <v/>
      </c>
      <c r="AB589" s="542" t="str">
        <f t="shared" si="220"/>
        <v/>
      </c>
      <c r="AC589" s="539" t="str">
        <f t="shared" si="221"/>
        <v/>
      </c>
      <c r="AD589" s="546" t="str">
        <f t="shared" si="222"/>
        <v/>
      </c>
      <c r="AE589" s="539" t="str">
        <f t="shared" si="223"/>
        <v/>
      </c>
      <c r="AF589" s="546" t="str">
        <f t="shared" si="224"/>
        <v/>
      </c>
      <c r="AG589" s="539" t="str">
        <f t="shared" si="225"/>
        <v/>
      </c>
      <c r="AH589" s="32">
        <f t="shared" si="205"/>
        <v>0</v>
      </c>
      <c r="AI589" s="32">
        <f t="shared" si="206"/>
        <v>0</v>
      </c>
      <c r="AJ589" s="32">
        <f t="shared" si="207"/>
        <v>0</v>
      </c>
      <c r="AK589" t="str">
        <f t="shared" si="208"/>
        <v/>
      </c>
      <c r="AL589" t="str">
        <f t="shared" si="209"/>
        <v/>
      </c>
      <c r="AM589" t="str">
        <f t="shared" si="210"/>
        <v/>
      </c>
      <c r="AO589" t="str">
        <f>IFERROR(VLOOKUP(M589,'Fixture Identities'!$B$9:$O$1045,14,FALSE),"")</f>
        <v/>
      </c>
      <c r="AP589" t="str">
        <f t="shared" ref="AP589:AP652" si="226">IF(M590="Signage",G590,"")</f>
        <v/>
      </c>
    </row>
    <row r="590" spans="1:42">
      <c r="A590" s="71">
        <f t="shared" si="212"/>
        <v>0</v>
      </c>
      <c r="B590" s="513">
        <f t="shared" si="211"/>
        <v>578</v>
      </c>
      <c r="C590" s="530" t="str">
        <f>IF(Inventory!E587="","",Inventory!E587)</f>
        <v/>
      </c>
      <c r="D590" s="531">
        <f>IF(Inventory!D587="",0,Inventory!D587)</f>
        <v>0</v>
      </c>
      <c r="E590" s="532" t="str">
        <f>IF(Inventory!I587=0,"",Inventory!I587)</f>
        <v/>
      </c>
      <c r="F590" s="533" t="str">
        <f t="shared" si="213"/>
        <v/>
      </c>
      <c r="G590" s="534" t="str">
        <f>IF(Inventory!G587="","",Inventory!G587)</f>
        <v/>
      </c>
      <c r="H590" s="535" t="str">
        <f t="shared" si="214"/>
        <v/>
      </c>
      <c r="I590" s="536" t="str">
        <f>IF(Inventory!J587="","",Inventory!J587)</f>
        <v/>
      </c>
      <c r="J590" s="537" t="str">
        <f>IFERROR(IF(PRJ_Type="New Construction",IF(Inventory!C587="N",INDEX(xyLPD_BuildingArea,MATCH(Building_Type,Lookups!$F$37:$F$75,0),4),INDEX(xyLPD_SpaceBySpace,MATCH(INDEX(xyNCEx,MATCH(I590,yNCExArea,0),2),ySpace_by_Space_Type,0),2)),VLOOKUP(E590,xyWattage_Table,11,FALSE)),"")</f>
        <v/>
      </c>
      <c r="K590" s="538" t="str">
        <f>IFERROR(IF(AND(NC_Type="Building Area Method",Inventory!C587="N"),IF(ISERROR(INDEX('Usage Groups (&gt;120 MWh only)'!$N$8:$N$12,MATCH(C590,'Usage Groups (&gt;120 MWh only)'!$B$8:$B$12,0),1))=TRUE,SqFt/COUNTIFS(Inventory!$C$10:$C$1009,"N",$Q$13:$Q$1012,"&gt;=0"),INDEX('Usage Groups (&gt;120 MWh only)'!$N$8:$N$12,MATCH(C590,'Usage Groups (&gt;120 MWh only)'!$B$8:$B$12,0),1)/COUNTIF($C$13:$C$1012,C590)),IF(AND(NC_Type="Building Area Method",Inventory!C587="Y"),INDEX(xyNCEx,MATCH(I590,yNCExArea,0),3)/COUNTIF($I$13:$I$1012,I590),VLOOKUP(J590,xyWattage_Table,10,FALSE))),"")</f>
        <v/>
      </c>
      <c r="L590" s="539" t="str">
        <f t="shared" si="215"/>
        <v/>
      </c>
      <c r="M590" s="540">
        <f>IF(Inventory!N587="","",Inventory!N587)</f>
        <v>0</v>
      </c>
      <c r="N590" s="533" t="str">
        <f t="shared" si="216"/>
        <v/>
      </c>
      <c r="O590" s="534"/>
      <c r="P590" s="533" t="str">
        <f t="shared" si="217"/>
        <v/>
      </c>
      <c r="Q590" s="534" t="str">
        <f>IF(Inventory!L587="","",Inventory!L587)</f>
        <v/>
      </c>
      <c r="R590" s="535" t="str">
        <f t="shared" si="218"/>
        <v/>
      </c>
      <c r="S590" s="536" t="str">
        <f>IF(Inventory!O587="","",Inventory!O587)</f>
        <v/>
      </c>
      <c r="T590" s="541" t="str">
        <f>IFERROR(IF(C590="","",IF(INDEX(xyWattage_Table,MATCH(M590,'Fixture Identities'!$B$9:$B$997,0),2)="Exit Sign",8760,IF(VLOOKUP(C590,xySpace_Type_Details,8,FALSE)="TRM",INDEX('General Information'!$AF$17:$AG$28,11,MATCH(N590,'General Information'!$AF$16:$AG$16,0)),HLOOKUP(VLOOKUP(C590,xySpace_Type_Details,8,FALSE),'General Information'!$P$15:$AG$28,13,FALSE)))),"")</f>
        <v/>
      </c>
      <c r="U590" s="542" t="str">
        <f>IFERROR(IF(C590="","",IF(INDEX(xyWattage_Table,MATCH(M590,'Fixture Identities'!$B$9:$B$997,0),2)="Exit Sign",1,IF(VLOOKUP(C590,xySpace_Type_Details,8,FALSE)="TRM",INDEX('General Information'!$AF$17:$AG$28,12,MATCH(N590,'General Information'!$AF$16:$AG$16,0)),HLOOKUP(VLOOKUP(C590,xySpace_Type_Details,8,FALSE),'General Information'!$P$15:$AG$28,14,FALSE)))),"")</f>
        <v/>
      </c>
      <c r="V590" s="542" t="str">
        <f>IFERROR(VLOOKUP(INDEX(xySpace_Type_Details,MATCH($C590,'General Information'!$C$40:$C$60,0),12),Lookups!$L$8:$N$12,2,FALSE),"")</f>
        <v/>
      </c>
      <c r="W590" s="542" t="str">
        <f>IFERROR(VLOOKUP(INDEX(xySpace_Type_Details,MATCH($C590,'General Information'!$C$40:$C$60,0),12),Lookups!$L$8:$N$12,3,FALSE),"")</f>
        <v/>
      </c>
      <c r="Y590" s="542" t="str">
        <f>IFERROR(IF(C590="","",IF(INDEX(xyWattage_Table,MATCH(M590,'Fixture Identities'!$B$9:$B$997,0),2)="Exit Sign",0,IF(PRJ_Type="Retrofit",VLOOKUP(I590,xySVG_Factors,2,FALSE),IF(AND(PRJ_Type="New Construction",Inventory!C587="N"),VLOOKUP(VLOOKUP(Building_Type,xyLPD_BuildingArea,5,FALSE),xySVG_Factors_NC,3,FALSE),0)))),"")</f>
        <v/>
      </c>
      <c r="Z590" s="544" t="str">
        <f>IFERROR(IF(C590="","",IF(INDEX(xyWattage_Table,MATCH(M590,'Fixture Identities'!$B$9:$B$997,0),2)="Exit Sign",0,VLOOKUP(S590,xySVG_Factors,2,FALSE))),"")</f>
        <v/>
      </c>
      <c r="AA590" s="545" t="str">
        <f t="shared" si="219"/>
        <v/>
      </c>
      <c r="AB590" s="542" t="str">
        <f t="shared" si="220"/>
        <v/>
      </c>
      <c r="AC590" s="539" t="str">
        <f t="shared" si="221"/>
        <v/>
      </c>
      <c r="AD590" s="546" t="str">
        <f t="shared" si="222"/>
        <v/>
      </c>
      <c r="AE590" s="539" t="str">
        <f t="shared" si="223"/>
        <v/>
      </c>
      <c r="AF590" s="546" t="str">
        <f t="shared" si="224"/>
        <v/>
      </c>
      <c r="AG590" s="539" t="str">
        <f t="shared" si="225"/>
        <v/>
      </c>
      <c r="AH590" s="32">
        <f t="shared" ref="AH590:AH653" si="227">IF(I590&lt;&gt;S590,R590,0)</f>
        <v>0</v>
      </c>
      <c r="AI590" s="32">
        <f t="shared" ref="AI590:AI653" si="228">IFERROR(VLOOKUP(E590,xyWattage_Table,8,FALSE)*G590,0)</f>
        <v>0</v>
      </c>
      <c r="AJ590" s="32">
        <f t="shared" ref="AJ590:AJ653" si="229">IFERROR(VLOOKUP(M590,xyWattage_Table,8,FALSE)*Q590,0)</f>
        <v>0</v>
      </c>
      <c r="AK590" t="str">
        <f t="shared" ref="AK590:AK653" si="230">IFERROR((L590)/1000,"")</f>
        <v/>
      </c>
      <c r="AL590" t="str">
        <f t="shared" ref="AL590:AL653" si="231">IFERROR(AK590*U590*(1+W590)*(1-Y590),"")</f>
        <v/>
      </c>
      <c r="AM590" t="str">
        <f t="shared" ref="AM590:AM653" si="232">IFERROR(AK590*T590*(1+V590)*(1-Y590),"")</f>
        <v/>
      </c>
      <c r="AO590" t="str">
        <f>IFERROR(VLOOKUP(M590,'Fixture Identities'!$B$9:$O$1045,14,FALSE),"")</f>
        <v/>
      </c>
      <c r="AP590" t="str">
        <f t="shared" si="226"/>
        <v/>
      </c>
    </row>
    <row r="591" spans="1:42">
      <c r="A591" s="71">
        <f t="shared" si="212"/>
        <v>0</v>
      </c>
      <c r="B591" s="513">
        <f t="shared" ref="B591:B654" si="233">B590+1</f>
        <v>579</v>
      </c>
      <c r="C591" s="530" t="str">
        <f>IF(Inventory!E588="","",Inventory!E588)</f>
        <v/>
      </c>
      <c r="D591" s="531">
        <f>IF(Inventory!D588="",0,Inventory!D588)</f>
        <v>0</v>
      </c>
      <c r="E591" s="532" t="str">
        <f>IF(Inventory!I588=0,"",Inventory!I588)</f>
        <v/>
      </c>
      <c r="F591" s="533" t="str">
        <f t="shared" si="213"/>
        <v/>
      </c>
      <c r="G591" s="534" t="str">
        <f>IF(Inventory!G588="","",Inventory!G588)</f>
        <v/>
      </c>
      <c r="H591" s="535" t="str">
        <f t="shared" si="214"/>
        <v/>
      </c>
      <c r="I591" s="536" t="str">
        <f>IF(Inventory!J588="","",Inventory!J588)</f>
        <v/>
      </c>
      <c r="J591" s="537" t="str">
        <f>IFERROR(IF(PRJ_Type="New Construction",IF(Inventory!C588="N",INDEX(xyLPD_BuildingArea,MATCH(Building_Type,Lookups!$F$37:$F$75,0),4),INDEX(xyLPD_SpaceBySpace,MATCH(INDEX(xyNCEx,MATCH(I591,yNCExArea,0),2),ySpace_by_Space_Type,0),2)),VLOOKUP(E591,xyWattage_Table,11,FALSE)),"")</f>
        <v/>
      </c>
      <c r="K591" s="538" t="str">
        <f>IFERROR(IF(AND(NC_Type="Building Area Method",Inventory!C588="N"),IF(ISERROR(INDEX('Usage Groups (&gt;120 MWh only)'!$N$8:$N$12,MATCH(C591,'Usage Groups (&gt;120 MWh only)'!$B$8:$B$12,0),1))=TRUE,SqFt/COUNTIFS(Inventory!$C$10:$C$1009,"N",$Q$13:$Q$1012,"&gt;=0"),INDEX('Usage Groups (&gt;120 MWh only)'!$N$8:$N$12,MATCH(C591,'Usage Groups (&gt;120 MWh only)'!$B$8:$B$12,0),1)/COUNTIF($C$13:$C$1012,C591)),IF(AND(NC_Type="Building Area Method",Inventory!C588="Y"),INDEX(xyNCEx,MATCH(I591,yNCExArea,0),3)/COUNTIF($I$13:$I$1012,I591),VLOOKUP(J591,xyWattage_Table,10,FALSE))),"")</f>
        <v/>
      </c>
      <c r="L591" s="539" t="str">
        <f t="shared" si="215"/>
        <v/>
      </c>
      <c r="M591" s="540">
        <f>IF(Inventory!N588="","",Inventory!N588)</f>
        <v>0</v>
      </c>
      <c r="N591" s="533" t="str">
        <f t="shared" si="216"/>
        <v/>
      </c>
      <c r="O591" s="534"/>
      <c r="P591" s="533" t="str">
        <f t="shared" si="217"/>
        <v/>
      </c>
      <c r="Q591" s="534" t="str">
        <f>IF(Inventory!L588="","",Inventory!L588)</f>
        <v/>
      </c>
      <c r="R591" s="535" t="str">
        <f t="shared" si="218"/>
        <v/>
      </c>
      <c r="S591" s="536" t="str">
        <f>IF(Inventory!O588="","",Inventory!O588)</f>
        <v/>
      </c>
      <c r="T591" s="541" t="str">
        <f>IFERROR(IF(C591="","",IF(INDEX(xyWattage_Table,MATCH(M591,'Fixture Identities'!$B$9:$B$997,0),2)="Exit Sign",8760,IF(VLOOKUP(C591,xySpace_Type_Details,8,FALSE)="TRM",INDEX('General Information'!$AF$17:$AG$28,11,MATCH(N591,'General Information'!$AF$16:$AG$16,0)),HLOOKUP(VLOOKUP(C591,xySpace_Type_Details,8,FALSE),'General Information'!$P$15:$AG$28,13,FALSE)))),"")</f>
        <v/>
      </c>
      <c r="U591" s="542" t="str">
        <f>IFERROR(IF(C591="","",IF(INDEX(xyWattage_Table,MATCH(M591,'Fixture Identities'!$B$9:$B$997,0),2)="Exit Sign",1,IF(VLOOKUP(C591,xySpace_Type_Details,8,FALSE)="TRM",INDEX('General Information'!$AF$17:$AG$28,12,MATCH(N591,'General Information'!$AF$16:$AG$16,0)),HLOOKUP(VLOOKUP(C591,xySpace_Type_Details,8,FALSE),'General Information'!$P$15:$AG$28,14,FALSE)))),"")</f>
        <v/>
      </c>
      <c r="V591" s="542" t="str">
        <f>IFERROR(VLOOKUP(INDEX(xySpace_Type_Details,MATCH($C591,'General Information'!$C$40:$C$60,0),12),Lookups!$L$8:$N$12,2,FALSE),"")</f>
        <v/>
      </c>
      <c r="W591" s="542" t="str">
        <f>IFERROR(VLOOKUP(INDEX(xySpace_Type_Details,MATCH($C591,'General Information'!$C$40:$C$60,0),12),Lookups!$L$8:$N$12,3,FALSE),"")</f>
        <v/>
      </c>
      <c r="Y591" s="542" t="str">
        <f>IFERROR(IF(C591="","",IF(INDEX(xyWattage_Table,MATCH(M591,'Fixture Identities'!$B$9:$B$997,0),2)="Exit Sign",0,IF(PRJ_Type="Retrofit",VLOOKUP(I591,xySVG_Factors,2,FALSE),IF(AND(PRJ_Type="New Construction",Inventory!C588="N"),VLOOKUP(VLOOKUP(Building_Type,xyLPD_BuildingArea,5,FALSE),xySVG_Factors_NC,3,FALSE),0)))),"")</f>
        <v/>
      </c>
      <c r="Z591" s="544" t="str">
        <f>IFERROR(IF(C591="","",IF(INDEX(xyWattage_Table,MATCH(M591,'Fixture Identities'!$B$9:$B$997,0),2)="Exit Sign",0,VLOOKUP(S591,xySVG_Factors,2,FALSE))),"")</f>
        <v/>
      </c>
      <c r="AA591" s="545" t="str">
        <f t="shared" si="219"/>
        <v/>
      </c>
      <c r="AB591" s="542" t="str">
        <f t="shared" si="220"/>
        <v/>
      </c>
      <c r="AC591" s="539" t="str">
        <f t="shared" si="221"/>
        <v/>
      </c>
      <c r="AD591" s="546" t="str">
        <f t="shared" si="222"/>
        <v/>
      </c>
      <c r="AE591" s="539" t="str">
        <f t="shared" si="223"/>
        <v/>
      </c>
      <c r="AF591" s="546" t="str">
        <f t="shared" si="224"/>
        <v/>
      </c>
      <c r="AG591" s="539" t="str">
        <f t="shared" si="225"/>
        <v/>
      </c>
      <c r="AH591" s="32">
        <f t="shared" si="227"/>
        <v>0</v>
      </c>
      <c r="AI591" s="32">
        <f t="shared" si="228"/>
        <v>0</v>
      </c>
      <c r="AJ591" s="32">
        <f t="shared" si="229"/>
        <v>0</v>
      </c>
      <c r="AK591" t="str">
        <f t="shared" si="230"/>
        <v/>
      </c>
      <c r="AL591" t="str">
        <f t="shared" si="231"/>
        <v/>
      </c>
      <c r="AM591" t="str">
        <f t="shared" si="232"/>
        <v/>
      </c>
      <c r="AO591" t="str">
        <f>IFERROR(VLOOKUP(M591,'Fixture Identities'!$B$9:$O$1045,14,FALSE),"")</f>
        <v/>
      </c>
      <c r="AP591" t="str">
        <f t="shared" si="226"/>
        <v/>
      </c>
    </row>
    <row r="592" spans="1:42">
      <c r="A592" s="71">
        <f t="shared" si="212"/>
        <v>0</v>
      </c>
      <c r="B592" s="513">
        <f t="shared" si="233"/>
        <v>580</v>
      </c>
      <c r="C592" s="530" t="str">
        <f>IF(Inventory!E589="","",Inventory!E589)</f>
        <v/>
      </c>
      <c r="D592" s="531">
        <f>IF(Inventory!D589="",0,Inventory!D589)</f>
        <v>0</v>
      </c>
      <c r="E592" s="532" t="str">
        <f>IF(Inventory!I589=0,"",Inventory!I589)</f>
        <v/>
      </c>
      <c r="F592" s="533" t="str">
        <f t="shared" si="213"/>
        <v/>
      </c>
      <c r="G592" s="534" t="str">
        <f>IF(Inventory!G589="","",Inventory!G589)</f>
        <v/>
      </c>
      <c r="H592" s="535" t="str">
        <f t="shared" si="214"/>
        <v/>
      </c>
      <c r="I592" s="536" t="str">
        <f>IF(Inventory!J589="","",Inventory!J589)</f>
        <v/>
      </c>
      <c r="J592" s="537" t="str">
        <f>IFERROR(IF(PRJ_Type="New Construction",IF(Inventory!C589="N",INDEX(xyLPD_BuildingArea,MATCH(Building_Type,Lookups!$F$37:$F$75,0),4),INDEX(xyLPD_SpaceBySpace,MATCH(INDEX(xyNCEx,MATCH(I592,yNCExArea,0),2),ySpace_by_Space_Type,0),2)),VLOOKUP(E592,xyWattage_Table,11,FALSE)),"")</f>
        <v/>
      </c>
      <c r="K592" s="538" t="str">
        <f>IFERROR(IF(AND(NC_Type="Building Area Method",Inventory!C589="N"),IF(ISERROR(INDEX('Usage Groups (&gt;120 MWh only)'!$N$8:$N$12,MATCH(C592,'Usage Groups (&gt;120 MWh only)'!$B$8:$B$12,0),1))=TRUE,SqFt/COUNTIFS(Inventory!$C$10:$C$1009,"N",$Q$13:$Q$1012,"&gt;=0"),INDEX('Usage Groups (&gt;120 MWh only)'!$N$8:$N$12,MATCH(C592,'Usage Groups (&gt;120 MWh only)'!$B$8:$B$12,0),1)/COUNTIF($C$13:$C$1012,C592)),IF(AND(NC_Type="Building Area Method",Inventory!C589="Y"),INDEX(xyNCEx,MATCH(I592,yNCExArea,0),3)/COUNTIF($I$13:$I$1012,I592),VLOOKUP(J592,xyWattage_Table,10,FALSE))),"")</f>
        <v/>
      </c>
      <c r="L592" s="539" t="str">
        <f t="shared" si="215"/>
        <v/>
      </c>
      <c r="M592" s="540">
        <f>IF(Inventory!N589="","",Inventory!N589)</f>
        <v>0</v>
      </c>
      <c r="N592" s="533" t="str">
        <f t="shared" si="216"/>
        <v/>
      </c>
      <c r="O592" s="534"/>
      <c r="P592" s="533" t="str">
        <f t="shared" si="217"/>
        <v/>
      </c>
      <c r="Q592" s="534" t="str">
        <f>IF(Inventory!L589="","",Inventory!L589)</f>
        <v/>
      </c>
      <c r="R592" s="535" t="str">
        <f t="shared" si="218"/>
        <v/>
      </c>
      <c r="S592" s="536" t="str">
        <f>IF(Inventory!O589="","",Inventory!O589)</f>
        <v/>
      </c>
      <c r="T592" s="541" t="str">
        <f>IFERROR(IF(C592="","",IF(INDEX(xyWattage_Table,MATCH(M592,'Fixture Identities'!$B$9:$B$997,0),2)="Exit Sign",8760,IF(VLOOKUP(C592,xySpace_Type_Details,8,FALSE)="TRM",INDEX('General Information'!$AF$17:$AG$28,11,MATCH(N592,'General Information'!$AF$16:$AG$16,0)),HLOOKUP(VLOOKUP(C592,xySpace_Type_Details,8,FALSE),'General Information'!$P$15:$AG$28,13,FALSE)))),"")</f>
        <v/>
      </c>
      <c r="U592" s="542" t="str">
        <f>IFERROR(IF(C592="","",IF(INDEX(xyWattage_Table,MATCH(M592,'Fixture Identities'!$B$9:$B$997,0),2)="Exit Sign",1,IF(VLOOKUP(C592,xySpace_Type_Details,8,FALSE)="TRM",INDEX('General Information'!$AF$17:$AG$28,12,MATCH(N592,'General Information'!$AF$16:$AG$16,0)),HLOOKUP(VLOOKUP(C592,xySpace_Type_Details,8,FALSE),'General Information'!$P$15:$AG$28,14,FALSE)))),"")</f>
        <v/>
      </c>
      <c r="V592" s="542" t="str">
        <f>IFERROR(VLOOKUP(INDEX(xySpace_Type_Details,MATCH($C592,'General Information'!$C$40:$C$60,0),12),Lookups!$L$8:$N$12,2,FALSE),"")</f>
        <v/>
      </c>
      <c r="W592" s="542" t="str">
        <f>IFERROR(VLOOKUP(INDEX(xySpace_Type_Details,MATCH($C592,'General Information'!$C$40:$C$60,0),12),Lookups!$L$8:$N$12,3,FALSE),"")</f>
        <v/>
      </c>
      <c r="Y592" s="542" t="str">
        <f>IFERROR(IF(C592="","",IF(INDEX(xyWattage_Table,MATCH(M592,'Fixture Identities'!$B$9:$B$997,0),2)="Exit Sign",0,IF(PRJ_Type="Retrofit",VLOOKUP(I592,xySVG_Factors,2,FALSE),IF(AND(PRJ_Type="New Construction",Inventory!C589="N"),VLOOKUP(VLOOKUP(Building_Type,xyLPD_BuildingArea,5,FALSE),xySVG_Factors_NC,3,FALSE),0)))),"")</f>
        <v/>
      </c>
      <c r="Z592" s="544" t="str">
        <f>IFERROR(IF(C592="","",IF(INDEX(xyWattage_Table,MATCH(M592,'Fixture Identities'!$B$9:$B$997,0),2)="Exit Sign",0,VLOOKUP(S592,xySVG_Factors,2,FALSE))),"")</f>
        <v/>
      </c>
      <c r="AA592" s="545" t="str">
        <f t="shared" si="219"/>
        <v/>
      </c>
      <c r="AB592" s="542" t="str">
        <f t="shared" si="220"/>
        <v/>
      </c>
      <c r="AC592" s="539" t="str">
        <f t="shared" si="221"/>
        <v/>
      </c>
      <c r="AD592" s="546" t="str">
        <f t="shared" si="222"/>
        <v/>
      </c>
      <c r="AE592" s="539" t="str">
        <f t="shared" si="223"/>
        <v/>
      </c>
      <c r="AF592" s="546" t="str">
        <f t="shared" si="224"/>
        <v/>
      </c>
      <c r="AG592" s="539" t="str">
        <f t="shared" si="225"/>
        <v/>
      </c>
      <c r="AH592" s="32">
        <f t="shared" si="227"/>
        <v>0</v>
      </c>
      <c r="AI592" s="32">
        <f t="shared" si="228"/>
        <v>0</v>
      </c>
      <c r="AJ592" s="32">
        <f t="shared" si="229"/>
        <v>0</v>
      </c>
      <c r="AK592" t="str">
        <f t="shared" si="230"/>
        <v/>
      </c>
      <c r="AL592" t="str">
        <f t="shared" si="231"/>
        <v/>
      </c>
      <c r="AM592" t="str">
        <f t="shared" si="232"/>
        <v/>
      </c>
      <c r="AO592" t="str">
        <f>IFERROR(VLOOKUP(M592,'Fixture Identities'!$B$9:$O$1045,14,FALSE),"")</f>
        <v/>
      </c>
      <c r="AP592" t="str">
        <f t="shared" si="226"/>
        <v/>
      </c>
    </row>
    <row r="593" spans="1:42">
      <c r="A593" s="71">
        <f t="shared" si="212"/>
        <v>0</v>
      </c>
      <c r="B593" s="513">
        <f t="shared" si="233"/>
        <v>581</v>
      </c>
      <c r="C593" s="530" t="str">
        <f>IF(Inventory!E590="","",Inventory!E590)</f>
        <v/>
      </c>
      <c r="D593" s="531">
        <f>IF(Inventory!D590="",0,Inventory!D590)</f>
        <v>0</v>
      </c>
      <c r="E593" s="532" t="str">
        <f>IF(Inventory!I590=0,"",Inventory!I590)</f>
        <v/>
      </c>
      <c r="F593" s="533" t="str">
        <f t="shared" si="213"/>
        <v/>
      </c>
      <c r="G593" s="534" t="str">
        <f>IF(Inventory!G590="","",Inventory!G590)</f>
        <v/>
      </c>
      <c r="H593" s="535" t="str">
        <f t="shared" si="214"/>
        <v/>
      </c>
      <c r="I593" s="536" t="str">
        <f>IF(Inventory!J590="","",Inventory!J590)</f>
        <v/>
      </c>
      <c r="J593" s="537" t="str">
        <f>IFERROR(IF(PRJ_Type="New Construction",IF(Inventory!C590="N",INDEX(xyLPD_BuildingArea,MATCH(Building_Type,Lookups!$F$37:$F$75,0),4),INDEX(xyLPD_SpaceBySpace,MATCH(INDEX(xyNCEx,MATCH(I593,yNCExArea,0),2),ySpace_by_Space_Type,0),2)),VLOOKUP(E593,xyWattage_Table,11,FALSE)),"")</f>
        <v/>
      </c>
      <c r="K593" s="538" t="str">
        <f>IFERROR(IF(AND(NC_Type="Building Area Method",Inventory!C590="N"),IF(ISERROR(INDEX('Usage Groups (&gt;120 MWh only)'!$N$8:$N$12,MATCH(C593,'Usage Groups (&gt;120 MWh only)'!$B$8:$B$12,0),1))=TRUE,SqFt/COUNTIFS(Inventory!$C$10:$C$1009,"N",$Q$13:$Q$1012,"&gt;=0"),INDEX('Usage Groups (&gt;120 MWh only)'!$N$8:$N$12,MATCH(C593,'Usage Groups (&gt;120 MWh only)'!$B$8:$B$12,0),1)/COUNTIF($C$13:$C$1012,C593)),IF(AND(NC_Type="Building Area Method",Inventory!C590="Y"),INDEX(xyNCEx,MATCH(I593,yNCExArea,0),3)/COUNTIF($I$13:$I$1012,I593),VLOOKUP(J593,xyWattage_Table,10,FALSE))),"")</f>
        <v/>
      </c>
      <c r="L593" s="539" t="str">
        <f t="shared" si="215"/>
        <v/>
      </c>
      <c r="M593" s="540">
        <f>IF(Inventory!N590="","",Inventory!N590)</f>
        <v>0</v>
      </c>
      <c r="N593" s="533" t="str">
        <f t="shared" si="216"/>
        <v/>
      </c>
      <c r="O593" s="534"/>
      <c r="P593" s="533" t="str">
        <f t="shared" si="217"/>
        <v/>
      </c>
      <c r="Q593" s="534" t="str">
        <f>IF(Inventory!L590="","",Inventory!L590)</f>
        <v/>
      </c>
      <c r="R593" s="535" t="str">
        <f t="shared" si="218"/>
        <v/>
      </c>
      <c r="S593" s="536" t="str">
        <f>IF(Inventory!O590="","",Inventory!O590)</f>
        <v/>
      </c>
      <c r="T593" s="541" t="str">
        <f>IFERROR(IF(C593="","",IF(INDEX(xyWattage_Table,MATCH(M593,'Fixture Identities'!$B$9:$B$997,0),2)="Exit Sign",8760,IF(VLOOKUP(C593,xySpace_Type_Details,8,FALSE)="TRM",INDEX('General Information'!$AF$17:$AG$28,11,MATCH(N593,'General Information'!$AF$16:$AG$16,0)),HLOOKUP(VLOOKUP(C593,xySpace_Type_Details,8,FALSE),'General Information'!$P$15:$AG$28,13,FALSE)))),"")</f>
        <v/>
      </c>
      <c r="U593" s="542" t="str">
        <f>IFERROR(IF(C593="","",IF(INDEX(xyWattage_Table,MATCH(M593,'Fixture Identities'!$B$9:$B$997,0),2)="Exit Sign",1,IF(VLOOKUP(C593,xySpace_Type_Details,8,FALSE)="TRM",INDEX('General Information'!$AF$17:$AG$28,12,MATCH(N593,'General Information'!$AF$16:$AG$16,0)),HLOOKUP(VLOOKUP(C593,xySpace_Type_Details,8,FALSE),'General Information'!$P$15:$AG$28,14,FALSE)))),"")</f>
        <v/>
      </c>
      <c r="V593" s="542" t="str">
        <f>IFERROR(VLOOKUP(INDEX(xySpace_Type_Details,MATCH($C593,'General Information'!$C$40:$C$60,0),12),Lookups!$L$8:$N$12,2,FALSE),"")</f>
        <v/>
      </c>
      <c r="W593" s="542" t="str">
        <f>IFERROR(VLOOKUP(INDEX(xySpace_Type_Details,MATCH($C593,'General Information'!$C$40:$C$60,0),12),Lookups!$L$8:$N$12,3,FALSE),"")</f>
        <v/>
      </c>
      <c r="Y593" s="542" t="str">
        <f>IFERROR(IF(C593="","",IF(INDEX(xyWattage_Table,MATCH(M593,'Fixture Identities'!$B$9:$B$997,0),2)="Exit Sign",0,IF(PRJ_Type="Retrofit",VLOOKUP(I593,xySVG_Factors,2,FALSE),IF(AND(PRJ_Type="New Construction",Inventory!C590="N"),VLOOKUP(VLOOKUP(Building_Type,xyLPD_BuildingArea,5,FALSE),xySVG_Factors_NC,3,FALSE),0)))),"")</f>
        <v/>
      </c>
      <c r="Z593" s="544" t="str">
        <f>IFERROR(IF(C593="","",IF(INDEX(xyWattage_Table,MATCH(M593,'Fixture Identities'!$B$9:$B$997,0),2)="Exit Sign",0,VLOOKUP(S593,xySVG_Factors,2,FALSE))),"")</f>
        <v/>
      </c>
      <c r="AA593" s="545" t="str">
        <f t="shared" si="219"/>
        <v/>
      </c>
      <c r="AB593" s="542" t="str">
        <f t="shared" si="220"/>
        <v/>
      </c>
      <c r="AC593" s="539" t="str">
        <f t="shared" si="221"/>
        <v/>
      </c>
      <c r="AD593" s="546" t="str">
        <f t="shared" si="222"/>
        <v/>
      </c>
      <c r="AE593" s="539" t="str">
        <f t="shared" si="223"/>
        <v/>
      </c>
      <c r="AF593" s="546" t="str">
        <f t="shared" si="224"/>
        <v/>
      </c>
      <c r="AG593" s="539" t="str">
        <f t="shared" si="225"/>
        <v/>
      </c>
      <c r="AH593" s="32">
        <f t="shared" si="227"/>
        <v>0</v>
      </c>
      <c r="AI593" s="32">
        <f t="shared" si="228"/>
        <v>0</v>
      </c>
      <c r="AJ593" s="32">
        <f t="shared" si="229"/>
        <v>0</v>
      </c>
      <c r="AK593" t="str">
        <f t="shared" si="230"/>
        <v/>
      </c>
      <c r="AL593" t="str">
        <f t="shared" si="231"/>
        <v/>
      </c>
      <c r="AM593" t="str">
        <f t="shared" si="232"/>
        <v/>
      </c>
      <c r="AO593" t="str">
        <f>IFERROR(VLOOKUP(M593,'Fixture Identities'!$B$9:$O$1045,14,FALSE),"")</f>
        <v/>
      </c>
      <c r="AP593" t="str">
        <f t="shared" si="226"/>
        <v/>
      </c>
    </row>
    <row r="594" spans="1:42">
      <c r="A594" s="71">
        <f t="shared" ref="A594:A657" si="234">IF(E594&lt;&gt;J594,1,0)</f>
        <v>0</v>
      </c>
      <c r="B594" s="513">
        <f t="shared" si="233"/>
        <v>582</v>
      </c>
      <c r="C594" s="530" t="str">
        <f>IF(Inventory!E591="","",Inventory!E591)</f>
        <v/>
      </c>
      <c r="D594" s="531">
        <f>IF(Inventory!D591="",0,Inventory!D591)</f>
        <v>0</v>
      </c>
      <c r="E594" s="532" t="str">
        <f>IF(Inventory!I591=0,"",Inventory!I591)</f>
        <v/>
      </c>
      <c r="F594" s="533" t="str">
        <f t="shared" si="213"/>
        <v/>
      </c>
      <c r="G594" s="534" t="str">
        <f>IF(Inventory!G591="","",Inventory!G591)</f>
        <v/>
      </c>
      <c r="H594" s="535" t="str">
        <f t="shared" si="214"/>
        <v/>
      </c>
      <c r="I594" s="536" t="str">
        <f>IF(Inventory!J591="","",Inventory!J591)</f>
        <v/>
      </c>
      <c r="J594" s="537" t="str">
        <f>IFERROR(IF(PRJ_Type="New Construction",IF(Inventory!C591="N",INDEX(xyLPD_BuildingArea,MATCH(Building_Type,Lookups!$F$37:$F$75,0),4),INDEX(xyLPD_SpaceBySpace,MATCH(INDEX(xyNCEx,MATCH(I594,yNCExArea,0),2),ySpace_by_Space_Type,0),2)),VLOOKUP(E594,xyWattage_Table,11,FALSE)),"")</f>
        <v/>
      </c>
      <c r="K594" s="538" t="str">
        <f>IFERROR(IF(AND(NC_Type="Building Area Method",Inventory!C591="N"),IF(ISERROR(INDEX('Usage Groups (&gt;120 MWh only)'!$N$8:$N$12,MATCH(C594,'Usage Groups (&gt;120 MWh only)'!$B$8:$B$12,0),1))=TRUE,SqFt/COUNTIFS(Inventory!$C$10:$C$1009,"N",$Q$13:$Q$1012,"&gt;=0"),INDEX('Usage Groups (&gt;120 MWh only)'!$N$8:$N$12,MATCH(C594,'Usage Groups (&gt;120 MWh only)'!$B$8:$B$12,0),1)/COUNTIF($C$13:$C$1012,C594)),IF(AND(NC_Type="Building Area Method",Inventory!C591="Y"),INDEX(xyNCEx,MATCH(I594,yNCExArea,0),3)/COUNTIF($I$13:$I$1012,I594),VLOOKUP(J594,xyWattage_Table,10,FALSE))),"")</f>
        <v/>
      </c>
      <c r="L594" s="539" t="str">
        <f t="shared" si="215"/>
        <v/>
      </c>
      <c r="M594" s="540">
        <f>IF(Inventory!N591="","",Inventory!N591)</f>
        <v>0</v>
      </c>
      <c r="N594" s="533" t="str">
        <f t="shared" si="216"/>
        <v/>
      </c>
      <c r="O594" s="534"/>
      <c r="P594" s="533" t="str">
        <f t="shared" si="217"/>
        <v/>
      </c>
      <c r="Q594" s="534" t="str">
        <f>IF(Inventory!L591="","",Inventory!L591)</f>
        <v/>
      </c>
      <c r="R594" s="535" t="str">
        <f t="shared" si="218"/>
        <v/>
      </c>
      <c r="S594" s="536" t="str">
        <f>IF(Inventory!O591="","",Inventory!O591)</f>
        <v/>
      </c>
      <c r="T594" s="541" t="str">
        <f>IFERROR(IF(C594="","",IF(INDEX(xyWattage_Table,MATCH(M594,'Fixture Identities'!$B$9:$B$997,0),2)="Exit Sign",8760,IF(VLOOKUP(C594,xySpace_Type_Details,8,FALSE)="TRM",INDEX('General Information'!$AF$17:$AG$28,11,MATCH(N594,'General Information'!$AF$16:$AG$16,0)),HLOOKUP(VLOOKUP(C594,xySpace_Type_Details,8,FALSE),'General Information'!$P$15:$AG$28,13,FALSE)))),"")</f>
        <v/>
      </c>
      <c r="U594" s="542" t="str">
        <f>IFERROR(IF(C594="","",IF(INDEX(xyWattage_Table,MATCH(M594,'Fixture Identities'!$B$9:$B$997,0),2)="Exit Sign",1,IF(VLOOKUP(C594,xySpace_Type_Details,8,FALSE)="TRM",INDEX('General Information'!$AF$17:$AG$28,12,MATCH(N594,'General Information'!$AF$16:$AG$16,0)),HLOOKUP(VLOOKUP(C594,xySpace_Type_Details,8,FALSE),'General Information'!$P$15:$AG$28,14,FALSE)))),"")</f>
        <v/>
      </c>
      <c r="V594" s="542" t="str">
        <f>IFERROR(VLOOKUP(INDEX(xySpace_Type_Details,MATCH($C594,'General Information'!$C$40:$C$60,0),12),Lookups!$L$8:$N$12,2,FALSE),"")</f>
        <v/>
      </c>
      <c r="W594" s="542" t="str">
        <f>IFERROR(VLOOKUP(INDEX(xySpace_Type_Details,MATCH($C594,'General Information'!$C$40:$C$60,0),12),Lookups!$L$8:$N$12,3,FALSE),"")</f>
        <v/>
      </c>
      <c r="Y594" s="542" t="str">
        <f>IFERROR(IF(C594="","",IF(INDEX(xyWattage_Table,MATCH(M594,'Fixture Identities'!$B$9:$B$997,0),2)="Exit Sign",0,IF(PRJ_Type="Retrofit",VLOOKUP(I594,xySVG_Factors,2,FALSE),IF(AND(PRJ_Type="New Construction",Inventory!C591="N"),VLOOKUP(VLOOKUP(Building_Type,xyLPD_BuildingArea,5,FALSE),xySVG_Factors_NC,3,FALSE),0)))),"")</f>
        <v/>
      </c>
      <c r="Z594" s="544" t="str">
        <f>IFERROR(IF(C594="","",IF(INDEX(xyWattage_Table,MATCH(M594,'Fixture Identities'!$B$9:$B$997,0),2)="Exit Sign",0,VLOOKUP(S594,xySVG_Factors,2,FALSE))),"")</f>
        <v/>
      </c>
      <c r="AA594" s="545" t="str">
        <f t="shared" si="219"/>
        <v/>
      </c>
      <c r="AB594" s="542" t="str">
        <f t="shared" si="220"/>
        <v/>
      </c>
      <c r="AC594" s="539" t="str">
        <f t="shared" si="221"/>
        <v/>
      </c>
      <c r="AD594" s="546" t="str">
        <f t="shared" si="222"/>
        <v/>
      </c>
      <c r="AE594" s="539" t="str">
        <f t="shared" si="223"/>
        <v/>
      </c>
      <c r="AF594" s="546" t="str">
        <f t="shared" si="224"/>
        <v/>
      </c>
      <c r="AG594" s="539" t="str">
        <f t="shared" si="225"/>
        <v/>
      </c>
      <c r="AH594" s="32">
        <f t="shared" si="227"/>
        <v>0</v>
      </c>
      <c r="AI594" s="32">
        <f t="shared" si="228"/>
        <v>0</v>
      </c>
      <c r="AJ594" s="32">
        <f t="shared" si="229"/>
        <v>0</v>
      </c>
      <c r="AK594" t="str">
        <f t="shared" si="230"/>
        <v/>
      </c>
      <c r="AL594" t="str">
        <f t="shared" si="231"/>
        <v/>
      </c>
      <c r="AM594" t="str">
        <f t="shared" si="232"/>
        <v/>
      </c>
      <c r="AO594" t="str">
        <f>IFERROR(VLOOKUP(M594,'Fixture Identities'!$B$9:$O$1045,14,FALSE),"")</f>
        <v/>
      </c>
      <c r="AP594" t="str">
        <f t="shared" si="226"/>
        <v/>
      </c>
    </row>
    <row r="595" spans="1:42">
      <c r="A595" s="71">
        <f t="shared" si="234"/>
        <v>0</v>
      </c>
      <c r="B595" s="513">
        <f t="shared" si="233"/>
        <v>583</v>
      </c>
      <c r="C595" s="530" t="str">
        <f>IF(Inventory!E592="","",Inventory!E592)</f>
        <v/>
      </c>
      <c r="D595" s="531">
        <f>IF(Inventory!D592="",0,Inventory!D592)</f>
        <v>0</v>
      </c>
      <c r="E595" s="532" t="str">
        <f>IF(Inventory!I592=0,"",Inventory!I592)</f>
        <v/>
      </c>
      <c r="F595" s="533" t="str">
        <f t="shared" si="213"/>
        <v/>
      </c>
      <c r="G595" s="534" t="str">
        <f>IF(Inventory!G592="","",Inventory!G592)</f>
        <v/>
      </c>
      <c r="H595" s="535" t="str">
        <f t="shared" si="214"/>
        <v/>
      </c>
      <c r="I595" s="536" t="str">
        <f>IF(Inventory!J592="","",Inventory!J592)</f>
        <v/>
      </c>
      <c r="J595" s="537" t="str">
        <f>IFERROR(IF(PRJ_Type="New Construction",IF(Inventory!C592="N",INDEX(xyLPD_BuildingArea,MATCH(Building_Type,Lookups!$F$37:$F$75,0),4),INDEX(xyLPD_SpaceBySpace,MATCH(INDEX(xyNCEx,MATCH(I595,yNCExArea,0),2),ySpace_by_Space_Type,0),2)),VLOOKUP(E595,xyWattage_Table,11,FALSE)),"")</f>
        <v/>
      </c>
      <c r="K595" s="538" t="str">
        <f>IFERROR(IF(AND(NC_Type="Building Area Method",Inventory!C592="N"),IF(ISERROR(INDEX('Usage Groups (&gt;120 MWh only)'!$N$8:$N$12,MATCH(C595,'Usage Groups (&gt;120 MWh only)'!$B$8:$B$12,0),1))=TRUE,SqFt/COUNTIFS(Inventory!$C$10:$C$1009,"N",$Q$13:$Q$1012,"&gt;=0"),INDEX('Usage Groups (&gt;120 MWh only)'!$N$8:$N$12,MATCH(C595,'Usage Groups (&gt;120 MWh only)'!$B$8:$B$12,0),1)/COUNTIF($C$13:$C$1012,C595)),IF(AND(NC_Type="Building Area Method",Inventory!C592="Y"),INDEX(xyNCEx,MATCH(I595,yNCExArea,0),3)/COUNTIF($I$13:$I$1012,I595),VLOOKUP(J595,xyWattage_Table,10,FALSE))),"")</f>
        <v/>
      </c>
      <c r="L595" s="539" t="str">
        <f t="shared" si="215"/>
        <v/>
      </c>
      <c r="M595" s="540">
        <f>IF(Inventory!N592="","",Inventory!N592)</f>
        <v>0</v>
      </c>
      <c r="N595" s="533" t="str">
        <f t="shared" si="216"/>
        <v/>
      </c>
      <c r="O595" s="534"/>
      <c r="P595" s="533" t="str">
        <f t="shared" si="217"/>
        <v/>
      </c>
      <c r="Q595" s="534" t="str">
        <f>IF(Inventory!L592="","",Inventory!L592)</f>
        <v/>
      </c>
      <c r="R595" s="535" t="str">
        <f t="shared" si="218"/>
        <v/>
      </c>
      <c r="S595" s="536" t="str">
        <f>IF(Inventory!O592="","",Inventory!O592)</f>
        <v/>
      </c>
      <c r="T595" s="541" t="str">
        <f>IFERROR(IF(C595="","",IF(INDEX(xyWattage_Table,MATCH(M595,'Fixture Identities'!$B$9:$B$997,0),2)="Exit Sign",8760,IF(VLOOKUP(C595,xySpace_Type_Details,8,FALSE)="TRM",INDEX('General Information'!$AF$17:$AG$28,11,MATCH(N595,'General Information'!$AF$16:$AG$16,0)),HLOOKUP(VLOOKUP(C595,xySpace_Type_Details,8,FALSE),'General Information'!$P$15:$AG$28,13,FALSE)))),"")</f>
        <v/>
      </c>
      <c r="U595" s="542" t="str">
        <f>IFERROR(IF(C595="","",IF(INDEX(xyWattage_Table,MATCH(M595,'Fixture Identities'!$B$9:$B$997,0),2)="Exit Sign",1,IF(VLOOKUP(C595,xySpace_Type_Details,8,FALSE)="TRM",INDEX('General Information'!$AF$17:$AG$28,12,MATCH(N595,'General Information'!$AF$16:$AG$16,0)),HLOOKUP(VLOOKUP(C595,xySpace_Type_Details,8,FALSE),'General Information'!$P$15:$AG$28,14,FALSE)))),"")</f>
        <v/>
      </c>
      <c r="V595" s="542" t="str">
        <f>IFERROR(VLOOKUP(INDEX(xySpace_Type_Details,MATCH($C595,'General Information'!$C$40:$C$60,0),12),Lookups!$L$8:$N$12,2,FALSE),"")</f>
        <v/>
      </c>
      <c r="W595" s="542" t="str">
        <f>IFERROR(VLOOKUP(INDEX(xySpace_Type_Details,MATCH($C595,'General Information'!$C$40:$C$60,0),12),Lookups!$L$8:$N$12,3,FALSE),"")</f>
        <v/>
      </c>
      <c r="Y595" s="542" t="str">
        <f>IFERROR(IF(C595="","",IF(INDEX(xyWattage_Table,MATCH(M595,'Fixture Identities'!$B$9:$B$997,0),2)="Exit Sign",0,IF(PRJ_Type="Retrofit",VLOOKUP(I595,xySVG_Factors,2,FALSE),IF(AND(PRJ_Type="New Construction",Inventory!C592="N"),VLOOKUP(VLOOKUP(Building_Type,xyLPD_BuildingArea,5,FALSE),xySVG_Factors_NC,3,FALSE),0)))),"")</f>
        <v/>
      </c>
      <c r="Z595" s="544" t="str">
        <f>IFERROR(IF(C595="","",IF(INDEX(xyWattage_Table,MATCH(M595,'Fixture Identities'!$B$9:$B$997,0),2)="Exit Sign",0,VLOOKUP(S595,xySVG_Factors,2,FALSE))),"")</f>
        <v/>
      </c>
      <c r="AA595" s="545" t="str">
        <f t="shared" si="219"/>
        <v/>
      </c>
      <c r="AB595" s="542" t="str">
        <f t="shared" si="220"/>
        <v/>
      </c>
      <c r="AC595" s="539" t="str">
        <f t="shared" si="221"/>
        <v/>
      </c>
      <c r="AD595" s="546" t="str">
        <f t="shared" si="222"/>
        <v/>
      </c>
      <c r="AE595" s="539" t="str">
        <f t="shared" si="223"/>
        <v/>
      </c>
      <c r="AF595" s="546" t="str">
        <f t="shared" si="224"/>
        <v/>
      </c>
      <c r="AG595" s="539" t="str">
        <f t="shared" si="225"/>
        <v/>
      </c>
      <c r="AH595" s="32">
        <f t="shared" si="227"/>
        <v>0</v>
      </c>
      <c r="AI595" s="32">
        <f t="shared" si="228"/>
        <v>0</v>
      </c>
      <c r="AJ595" s="32">
        <f t="shared" si="229"/>
        <v>0</v>
      </c>
      <c r="AK595" t="str">
        <f t="shared" si="230"/>
        <v/>
      </c>
      <c r="AL595" t="str">
        <f t="shared" si="231"/>
        <v/>
      </c>
      <c r="AM595" t="str">
        <f t="shared" si="232"/>
        <v/>
      </c>
      <c r="AO595" t="str">
        <f>IFERROR(VLOOKUP(M595,'Fixture Identities'!$B$9:$O$1045,14,FALSE),"")</f>
        <v/>
      </c>
      <c r="AP595" t="str">
        <f t="shared" si="226"/>
        <v/>
      </c>
    </row>
    <row r="596" spans="1:42">
      <c r="A596" s="71">
        <f t="shared" si="234"/>
        <v>0</v>
      </c>
      <c r="B596" s="513">
        <f t="shared" si="233"/>
        <v>584</v>
      </c>
      <c r="C596" s="530" t="str">
        <f>IF(Inventory!E593="","",Inventory!E593)</f>
        <v/>
      </c>
      <c r="D596" s="531">
        <f>IF(Inventory!D593="",0,Inventory!D593)</f>
        <v>0</v>
      </c>
      <c r="E596" s="532" t="str">
        <f>IF(Inventory!I593=0,"",Inventory!I593)</f>
        <v/>
      </c>
      <c r="F596" s="533" t="str">
        <f t="shared" si="213"/>
        <v/>
      </c>
      <c r="G596" s="534" t="str">
        <f>IF(Inventory!G593="","",Inventory!G593)</f>
        <v/>
      </c>
      <c r="H596" s="535" t="str">
        <f t="shared" si="214"/>
        <v/>
      </c>
      <c r="I596" s="536" t="str">
        <f>IF(Inventory!J593="","",Inventory!J593)</f>
        <v/>
      </c>
      <c r="J596" s="537" t="str">
        <f>IFERROR(IF(PRJ_Type="New Construction",IF(Inventory!C593="N",INDEX(xyLPD_BuildingArea,MATCH(Building_Type,Lookups!$F$37:$F$75,0),4),INDEX(xyLPD_SpaceBySpace,MATCH(INDEX(xyNCEx,MATCH(I596,yNCExArea,0),2),ySpace_by_Space_Type,0),2)),VLOOKUP(E596,xyWattage_Table,11,FALSE)),"")</f>
        <v/>
      </c>
      <c r="K596" s="538" t="str">
        <f>IFERROR(IF(AND(NC_Type="Building Area Method",Inventory!C593="N"),IF(ISERROR(INDEX('Usage Groups (&gt;120 MWh only)'!$N$8:$N$12,MATCH(C596,'Usage Groups (&gt;120 MWh only)'!$B$8:$B$12,0),1))=TRUE,SqFt/COUNTIFS(Inventory!$C$10:$C$1009,"N",$Q$13:$Q$1012,"&gt;=0"),INDEX('Usage Groups (&gt;120 MWh only)'!$N$8:$N$12,MATCH(C596,'Usage Groups (&gt;120 MWh only)'!$B$8:$B$12,0),1)/COUNTIF($C$13:$C$1012,C596)),IF(AND(NC_Type="Building Area Method",Inventory!C593="Y"),INDEX(xyNCEx,MATCH(I596,yNCExArea,0),3)/COUNTIF($I$13:$I$1012,I596),VLOOKUP(J596,xyWattage_Table,10,FALSE))),"")</f>
        <v/>
      </c>
      <c r="L596" s="539" t="str">
        <f t="shared" si="215"/>
        <v/>
      </c>
      <c r="M596" s="540">
        <f>IF(Inventory!N593="","",Inventory!N593)</f>
        <v>0</v>
      </c>
      <c r="N596" s="533" t="str">
        <f t="shared" si="216"/>
        <v/>
      </c>
      <c r="O596" s="534"/>
      <c r="P596" s="533" t="str">
        <f t="shared" si="217"/>
        <v/>
      </c>
      <c r="Q596" s="534" t="str">
        <f>IF(Inventory!L593="","",Inventory!L593)</f>
        <v/>
      </c>
      <c r="R596" s="535" t="str">
        <f t="shared" si="218"/>
        <v/>
      </c>
      <c r="S596" s="536" t="str">
        <f>IF(Inventory!O593="","",Inventory!O593)</f>
        <v/>
      </c>
      <c r="T596" s="541" t="str">
        <f>IFERROR(IF(C596="","",IF(INDEX(xyWattage_Table,MATCH(M596,'Fixture Identities'!$B$9:$B$997,0),2)="Exit Sign",8760,IF(VLOOKUP(C596,xySpace_Type_Details,8,FALSE)="TRM",INDEX('General Information'!$AF$17:$AG$28,11,MATCH(N596,'General Information'!$AF$16:$AG$16,0)),HLOOKUP(VLOOKUP(C596,xySpace_Type_Details,8,FALSE),'General Information'!$P$15:$AG$28,13,FALSE)))),"")</f>
        <v/>
      </c>
      <c r="U596" s="542" t="str">
        <f>IFERROR(IF(C596="","",IF(INDEX(xyWattage_Table,MATCH(M596,'Fixture Identities'!$B$9:$B$997,0),2)="Exit Sign",1,IF(VLOOKUP(C596,xySpace_Type_Details,8,FALSE)="TRM",INDEX('General Information'!$AF$17:$AG$28,12,MATCH(N596,'General Information'!$AF$16:$AG$16,0)),HLOOKUP(VLOOKUP(C596,xySpace_Type_Details,8,FALSE),'General Information'!$P$15:$AG$28,14,FALSE)))),"")</f>
        <v/>
      </c>
      <c r="V596" s="542" t="str">
        <f>IFERROR(VLOOKUP(INDEX(xySpace_Type_Details,MATCH($C596,'General Information'!$C$40:$C$60,0),12),Lookups!$L$8:$N$12,2,FALSE),"")</f>
        <v/>
      </c>
      <c r="W596" s="542" t="str">
        <f>IFERROR(VLOOKUP(INDEX(xySpace_Type_Details,MATCH($C596,'General Information'!$C$40:$C$60,0),12),Lookups!$L$8:$N$12,3,FALSE),"")</f>
        <v/>
      </c>
      <c r="Y596" s="542" t="str">
        <f>IFERROR(IF(C596="","",IF(INDEX(xyWattage_Table,MATCH(M596,'Fixture Identities'!$B$9:$B$997,0),2)="Exit Sign",0,IF(PRJ_Type="Retrofit",VLOOKUP(I596,xySVG_Factors,2,FALSE),IF(AND(PRJ_Type="New Construction",Inventory!C593="N"),VLOOKUP(VLOOKUP(Building_Type,xyLPD_BuildingArea,5,FALSE),xySVG_Factors_NC,3,FALSE),0)))),"")</f>
        <v/>
      </c>
      <c r="Z596" s="544" t="str">
        <f>IFERROR(IF(C596="","",IF(INDEX(xyWattage_Table,MATCH(M596,'Fixture Identities'!$B$9:$B$997,0),2)="Exit Sign",0,VLOOKUP(S596,xySVG_Factors,2,FALSE))),"")</f>
        <v/>
      </c>
      <c r="AA596" s="545" t="str">
        <f t="shared" si="219"/>
        <v/>
      </c>
      <c r="AB596" s="542" t="str">
        <f t="shared" si="220"/>
        <v/>
      </c>
      <c r="AC596" s="539" t="str">
        <f t="shared" si="221"/>
        <v/>
      </c>
      <c r="AD596" s="546" t="str">
        <f t="shared" si="222"/>
        <v/>
      </c>
      <c r="AE596" s="539" t="str">
        <f t="shared" si="223"/>
        <v/>
      </c>
      <c r="AF596" s="546" t="str">
        <f t="shared" si="224"/>
        <v/>
      </c>
      <c r="AG596" s="539" t="str">
        <f t="shared" si="225"/>
        <v/>
      </c>
      <c r="AH596" s="32">
        <f t="shared" si="227"/>
        <v>0</v>
      </c>
      <c r="AI596" s="32">
        <f t="shared" si="228"/>
        <v>0</v>
      </c>
      <c r="AJ596" s="32">
        <f t="shared" si="229"/>
        <v>0</v>
      </c>
      <c r="AK596" t="str">
        <f t="shared" si="230"/>
        <v/>
      </c>
      <c r="AL596" t="str">
        <f t="shared" si="231"/>
        <v/>
      </c>
      <c r="AM596" t="str">
        <f t="shared" si="232"/>
        <v/>
      </c>
      <c r="AO596" t="str">
        <f>IFERROR(VLOOKUP(M596,'Fixture Identities'!$B$9:$O$1045,14,FALSE),"")</f>
        <v/>
      </c>
      <c r="AP596" t="str">
        <f t="shared" si="226"/>
        <v/>
      </c>
    </row>
    <row r="597" spans="1:42">
      <c r="A597" s="71">
        <f t="shared" si="234"/>
        <v>0</v>
      </c>
      <c r="B597" s="513">
        <f t="shared" si="233"/>
        <v>585</v>
      </c>
      <c r="C597" s="530" t="str">
        <f>IF(Inventory!E594="","",Inventory!E594)</f>
        <v/>
      </c>
      <c r="D597" s="531">
        <f>IF(Inventory!D594="",0,Inventory!D594)</f>
        <v>0</v>
      </c>
      <c r="E597" s="532" t="str">
        <f>IF(Inventory!I594=0,"",Inventory!I594)</f>
        <v/>
      </c>
      <c r="F597" s="533" t="str">
        <f t="shared" si="213"/>
        <v/>
      </c>
      <c r="G597" s="534" t="str">
        <f>IF(Inventory!G594="","",Inventory!G594)</f>
        <v/>
      </c>
      <c r="H597" s="535" t="str">
        <f t="shared" si="214"/>
        <v/>
      </c>
      <c r="I597" s="536" t="str">
        <f>IF(Inventory!J594="","",Inventory!J594)</f>
        <v/>
      </c>
      <c r="J597" s="537" t="str">
        <f>IFERROR(IF(PRJ_Type="New Construction",IF(Inventory!C594="N",INDEX(xyLPD_BuildingArea,MATCH(Building_Type,Lookups!$F$37:$F$75,0),4),INDEX(xyLPD_SpaceBySpace,MATCH(INDEX(xyNCEx,MATCH(I597,yNCExArea,0),2),ySpace_by_Space_Type,0),2)),VLOOKUP(E597,xyWattage_Table,11,FALSE)),"")</f>
        <v/>
      </c>
      <c r="K597" s="538" t="str">
        <f>IFERROR(IF(AND(NC_Type="Building Area Method",Inventory!C594="N"),IF(ISERROR(INDEX('Usage Groups (&gt;120 MWh only)'!$N$8:$N$12,MATCH(C597,'Usage Groups (&gt;120 MWh only)'!$B$8:$B$12,0),1))=TRUE,SqFt/COUNTIFS(Inventory!$C$10:$C$1009,"N",$Q$13:$Q$1012,"&gt;=0"),INDEX('Usage Groups (&gt;120 MWh only)'!$N$8:$N$12,MATCH(C597,'Usage Groups (&gt;120 MWh only)'!$B$8:$B$12,0),1)/COUNTIF($C$13:$C$1012,C597)),IF(AND(NC_Type="Building Area Method",Inventory!C594="Y"),INDEX(xyNCEx,MATCH(I597,yNCExArea,0),3)/COUNTIF($I$13:$I$1012,I597),VLOOKUP(J597,xyWattage_Table,10,FALSE))),"")</f>
        <v/>
      </c>
      <c r="L597" s="539" t="str">
        <f t="shared" si="215"/>
        <v/>
      </c>
      <c r="M597" s="540">
        <f>IF(Inventory!N594="","",Inventory!N594)</f>
        <v>0</v>
      </c>
      <c r="N597" s="533" t="str">
        <f t="shared" si="216"/>
        <v/>
      </c>
      <c r="O597" s="534"/>
      <c r="P597" s="533" t="str">
        <f t="shared" si="217"/>
        <v/>
      </c>
      <c r="Q597" s="534" t="str">
        <f>IF(Inventory!L594="","",Inventory!L594)</f>
        <v/>
      </c>
      <c r="R597" s="535" t="str">
        <f t="shared" si="218"/>
        <v/>
      </c>
      <c r="S597" s="536" t="str">
        <f>IF(Inventory!O594="","",Inventory!O594)</f>
        <v/>
      </c>
      <c r="T597" s="541" t="str">
        <f>IFERROR(IF(C597="","",IF(INDEX(xyWattage_Table,MATCH(M597,'Fixture Identities'!$B$9:$B$997,0),2)="Exit Sign",8760,IF(VLOOKUP(C597,xySpace_Type_Details,8,FALSE)="TRM",INDEX('General Information'!$AF$17:$AG$28,11,MATCH(N597,'General Information'!$AF$16:$AG$16,0)),HLOOKUP(VLOOKUP(C597,xySpace_Type_Details,8,FALSE),'General Information'!$P$15:$AG$28,13,FALSE)))),"")</f>
        <v/>
      </c>
      <c r="U597" s="542" t="str">
        <f>IFERROR(IF(C597="","",IF(INDEX(xyWattage_Table,MATCH(M597,'Fixture Identities'!$B$9:$B$997,0),2)="Exit Sign",1,IF(VLOOKUP(C597,xySpace_Type_Details,8,FALSE)="TRM",INDEX('General Information'!$AF$17:$AG$28,12,MATCH(N597,'General Information'!$AF$16:$AG$16,0)),HLOOKUP(VLOOKUP(C597,xySpace_Type_Details,8,FALSE),'General Information'!$P$15:$AG$28,14,FALSE)))),"")</f>
        <v/>
      </c>
      <c r="V597" s="542" t="str">
        <f>IFERROR(VLOOKUP(INDEX(xySpace_Type_Details,MATCH($C597,'General Information'!$C$40:$C$60,0),12),Lookups!$L$8:$N$12,2,FALSE),"")</f>
        <v/>
      </c>
      <c r="W597" s="542" t="str">
        <f>IFERROR(VLOOKUP(INDEX(xySpace_Type_Details,MATCH($C597,'General Information'!$C$40:$C$60,0),12),Lookups!$L$8:$N$12,3,FALSE),"")</f>
        <v/>
      </c>
      <c r="Y597" s="542" t="str">
        <f>IFERROR(IF(C597="","",IF(INDEX(xyWattage_Table,MATCH(M597,'Fixture Identities'!$B$9:$B$997,0),2)="Exit Sign",0,IF(PRJ_Type="Retrofit",VLOOKUP(I597,xySVG_Factors,2,FALSE),IF(AND(PRJ_Type="New Construction",Inventory!C594="N"),VLOOKUP(VLOOKUP(Building_Type,xyLPD_BuildingArea,5,FALSE),xySVG_Factors_NC,3,FALSE),0)))),"")</f>
        <v/>
      </c>
      <c r="Z597" s="544" t="str">
        <f>IFERROR(IF(C597="","",IF(INDEX(xyWattage_Table,MATCH(M597,'Fixture Identities'!$B$9:$B$997,0),2)="Exit Sign",0,VLOOKUP(S597,xySVG_Factors,2,FALSE))),"")</f>
        <v/>
      </c>
      <c r="AA597" s="545" t="str">
        <f t="shared" si="219"/>
        <v/>
      </c>
      <c r="AB597" s="542" t="str">
        <f t="shared" si="220"/>
        <v/>
      </c>
      <c r="AC597" s="539" t="str">
        <f t="shared" si="221"/>
        <v/>
      </c>
      <c r="AD597" s="546" t="str">
        <f t="shared" si="222"/>
        <v/>
      </c>
      <c r="AE597" s="539" t="str">
        <f t="shared" si="223"/>
        <v/>
      </c>
      <c r="AF597" s="546" t="str">
        <f t="shared" si="224"/>
        <v/>
      </c>
      <c r="AG597" s="539" t="str">
        <f t="shared" si="225"/>
        <v/>
      </c>
      <c r="AH597" s="32">
        <f t="shared" si="227"/>
        <v>0</v>
      </c>
      <c r="AI597" s="32">
        <f t="shared" si="228"/>
        <v>0</v>
      </c>
      <c r="AJ597" s="32">
        <f t="shared" si="229"/>
        <v>0</v>
      </c>
      <c r="AK597" t="str">
        <f t="shared" si="230"/>
        <v/>
      </c>
      <c r="AL597" t="str">
        <f t="shared" si="231"/>
        <v/>
      </c>
      <c r="AM597" t="str">
        <f t="shared" si="232"/>
        <v/>
      </c>
      <c r="AO597" t="str">
        <f>IFERROR(VLOOKUP(M597,'Fixture Identities'!$B$9:$O$1045,14,FALSE),"")</f>
        <v/>
      </c>
      <c r="AP597" t="str">
        <f t="shared" si="226"/>
        <v/>
      </c>
    </row>
    <row r="598" spans="1:42">
      <c r="A598" s="71">
        <f t="shared" si="234"/>
        <v>0</v>
      </c>
      <c r="B598" s="513">
        <f t="shared" si="233"/>
        <v>586</v>
      </c>
      <c r="C598" s="530" t="str">
        <f>IF(Inventory!E595="","",Inventory!E595)</f>
        <v/>
      </c>
      <c r="D598" s="531">
        <f>IF(Inventory!D595="",0,Inventory!D595)</f>
        <v>0</v>
      </c>
      <c r="E598" s="532" t="str">
        <f>IF(Inventory!I595=0,"",Inventory!I595)</f>
        <v/>
      </c>
      <c r="F598" s="533" t="str">
        <f t="shared" si="213"/>
        <v/>
      </c>
      <c r="G598" s="534" t="str">
        <f>IF(Inventory!G595="","",Inventory!G595)</f>
        <v/>
      </c>
      <c r="H598" s="535" t="str">
        <f t="shared" si="214"/>
        <v/>
      </c>
      <c r="I598" s="536" t="str">
        <f>IF(Inventory!J595="","",Inventory!J595)</f>
        <v/>
      </c>
      <c r="J598" s="537" t="str">
        <f>IFERROR(IF(PRJ_Type="New Construction",IF(Inventory!C595="N",INDEX(xyLPD_BuildingArea,MATCH(Building_Type,Lookups!$F$37:$F$75,0),4),INDEX(xyLPD_SpaceBySpace,MATCH(INDEX(xyNCEx,MATCH(I598,yNCExArea,0),2),ySpace_by_Space_Type,0),2)),VLOOKUP(E598,xyWattage_Table,11,FALSE)),"")</f>
        <v/>
      </c>
      <c r="K598" s="538" t="str">
        <f>IFERROR(IF(AND(NC_Type="Building Area Method",Inventory!C595="N"),IF(ISERROR(INDEX('Usage Groups (&gt;120 MWh only)'!$N$8:$N$12,MATCH(C598,'Usage Groups (&gt;120 MWh only)'!$B$8:$B$12,0),1))=TRUE,SqFt/COUNTIFS(Inventory!$C$10:$C$1009,"N",$Q$13:$Q$1012,"&gt;=0"),INDEX('Usage Groups (&gt;120 MWh only)'!$N$8:$N$12,MATCH(C598,'Usage Groups (&gt;120 MWh only)'!$B$8:$B$12,0),1)/COUNTIF($C$13:$C$1012,C598)),IF(AND(NC_Type="Building Area Method",Inventory!C595="Y"),INDEX(xyNCEx,MATCH(I598,yNCExArea,0),3)/COUNTIF($I$13:$I$1012,I598),VLOOKUP(J598,xyWattage_Table,10,FALSE))),"")</f>
        <v/>
      </c>
      <c r="L598" s="539" t="str">
        <f t="shared" si="215"/>
        <v/>
      </c>
      <c r="M598" s="540">
        <f>IF(Inventory!N595="","",Inventory!N595)</f>
        <v>0</v>
      </c>
      <c r="N598" s="533" t="str">
        <f t="shared" si="216"/>
        <v/>
      </c>
      <c r="O598" s="534"/>
      <c r="P598" s="533" t="str">
        <f t="shared" si="217"/>
        <v/>
      </c>
      <c r="Q598" s="534" t="str">
        <f>IF(Inventory!L595="","",Inventory!L595)</f>
        <v/>
      </c>
      <c r="R598" s="535" t="str">
        <f t="shared" si="218"/>
        <v/>
      </c>
      <c r="S598" s="536" t="str">
        <f>IF(Inventory!O595="","",Inventory!O595)</f>
        <v/>
      </c>
      <c r="T598" s="541" t="str">
        <f>IFERROR(IF(C598="","",IF(INDEX(xyWattage_Table,MATCH(M598,'Fixture Identities'!$B$9:$B$997,0),2)="Exit Sign",8760,IF(VLOOKUP(C598,xySpace_Type_Details,8,FALSE)="TRM",INDEX('General Information'!$AF$17:$AG$28,11,MATCH(N598,'General Information'!$AF$16:$AG$16,0)),HLOOKUP(VLOOKUP(C598,xySpace_Type_Details,8,FALSE),'General Information'!$P$15:$AG$28,13,FALSE)))),"")</f>
        <v/>
      </c>
      <c r="U598" s="542" t="str">
        <f>IFERROR(IF(C598="","",IF(INDEX(xyWattage_Table,MATCH(M598,'Fixture Identities'!$B$9:$B$997,0),2)="Exit Sign",1,IF(VLOOKUP(C598,xySpace_Type_Details,8,FALSE)="TRM",INDEX('General Information'!$AF$17:$AG$28,12,MATCH(N598,'General Information'!$AF$16:$AG$16,0)),HLOOKUP(VLOOKUP(C598,xySpace_Type_Details,8,FALSE),'General Information'!$P$15:$AG$28,14,FALSE)))),"")</f>
        <v/>
      </c>
      <c r="V598" s="542" t="str">
        <f>IFERROR(VLOOKUP(INDEX(xySpace_Type_Details,MATCH($C598,'General Information'!$C$40:$C$60,0),12),Lookups!$L$8:$N$12,2,FALSE),"")</f>
        <v/>
      </c>
      <c r="W598" s="542" t="str">
        <f>IFERROR(VLOOKUP(INDEX(xySpace_Type_Details,MATCH($C598,'General Information'!$C$40:$C$60,0),12),Lookups!$L$8:$N$12,3,FALSE),"")</f>
        <v/>
      </c>
      <c r="Y598" s="542" t="str">
        <f>IFERROR(IF(C598="","",IF(INDEX(xyWattage_Table,MATCH(M598,'Fixture Identities'!$B$9:$B$997,0),2)="Exit Sign",0,IF(PRJ_Type="Retrofit",VLOOKUP(I598,xySVG_Factors,2,FALSE),IF(AND(PRJ_Type="New Construction",Inventory!C595="N"),VLOOKUP(VLOOKUP(Building_Type,xyLPD_BuildingArea,5,FALSE),xySVG_Factors_NC,3,FALSE),0)))),"")</f>
        <v/>
      </c>
      <c r="Z598" s="544" t="str">
        <f>IFERROR(IF(C598="","",IF(INDEX(xyWattage_Table,MATCH(M598,'Fixture Identities'!$B$9:$B$997,0),2)="Exit Sign",0,VLOOKUP(S598,xySVG_Factors,2,FALSE))),"")</f>
        <v/>
      </c>
      <c r="AA598" s="545" t="str">
        <f t="shared" si="219"/>
        <v/>
      </c>
      <c r="AB598" s="542" t="str">
        <f t="shared" si="220"/>
        <v/>
      </c>
      <c r="AC598" s="539" t="str">
        <f t="shared" si="221"/>
        <v/>
      </c>
      <c r="AD598" s="546" t="str">
        <f t="shared" si="222"/>
        <v/>
      </c>
      <c r="AE598" s="539" t="str">
        <f t="shared" si="223"/>
        <v/>
      </c>
      <c r="AF598" s="546" t="str">
        <f t="shared" si="224"/>
        <v/>
      </c>
      <c r="AG598" s="539" t="str">
        <f t="shared" si="225"/>
        <v/>
      </c>
      <c r="AH598" s="32">
        <f t="shared" si="227"/>
        <v>0</v>
      </c>
      <c r="AI598" s="32">
        <f t="shared" si="228"/>
        <v>0</v>
      </c>
      <c r="AJ598" s="32">
        <f t="shared" si="229"/>
        <v>0</v>
      </c>
      <c r="AK598" t="str">
        <f t="shared" si="230"/>
        <v/>
      </c>
      <c r="AL598" t="str">
        <f t="shared" si="231"/>
        <v/>
      </c>
      <c r="AM598" t="str">
        <f t="shared" si="232"/>
        <v/>
      </c>
      <c r="AO598" t="str">
        <f>IFERROR(VLOOKUP(M598,'Fixture Identities'!$B$9:$O$1045,14,FALSE),"")</f>
        <v/>
      </c>
      <c r="AP598" t="str">
        <f t="shared" si="226"/>
        <v/>
      </c>
    </row>
    <row r="599" spans="1:42">
      <c r="A599" s="71">
        <f t="shared" si="234"/>
        <v>0</v>
      </c>
      <c r="B599" s="513">
        <f t="shared" si="233"/>
        <v>587</v>
      </c>
      <c r="C599" s="530" t="str">
        <f>IF(Inventory!E596="","",Inventory!E596)</f>
        <v/>
      </c>
      <c r="D599" s="531">
        <f>IF(Inventory!D596="",0,Inventory!D596)</f>
        <v>0</v>
      </c>
      <c r="E599" s="532" t="str">
        <f>IF(Inventory!I596=0,"",Inventory!I596)</f>
        <v/>
      </c>
      <c r="F599" s="533" t="str">
        <f t="shared" si="213"/>
        <v/>
      </c>
      <c r="G599" s="534" t="str">
        <f>IF(Inventory!G596="","",Inventory!G596)</f>
        <v/>
      </c>
      <c r="H599" s="535" t="str">
        <f t="shared" si="214"/>
        <v/>
      </c>
      <c r="I599" s="536" t="str">
        <f>IF(Inventory!J596="","",Inventory!J596)</f>
        <v/>
      </c>
      <c r="J599" s="537" t="str">
        <f>IFERROR(IF(PRJ_Type="New Construction",IF(Inventory!C596="N",INDEX(xyLPD_BuildingArea,MATCH(Building_Type,Lookups!$F$37:$F$75,0),4),INDEX(xyLPD_SpaceBySpace,MATCH(INDEX(xyNCEx,MATCH(I599,yNCExArea,0),2),ySpace_by_Space_Type,0),2)),VLOOKUP(E599,xyWattage_Table,11,FALSE)),"")</f>
        <v/>
      </c>
      <c r="K599" s="538" t="str">
        <f>IFERROR(IF(AND(NC_Type="Building Area Method",Inventory!C596="N"),IF(ISERROR(INDEX('Usage Groups (&gt;120 MWh only)'!$N$8:$N$12,MATCH(C599,'Usage Groups (&gt;120 MWh only)'!$B$8:$B$12,0),1))=TRUE,SqFt/COUNTIFS(Inventory!$C$10:$C$1009,"N",$Q$13:$Q$1012,"&gt;=0"),INDEX('Usage Groups (&gt;120 MWh only)'!$N$8:$N$12,MATCH(C599,'Usage Groups (&gt;120 MWh only)'!$B$8:$B$12,0),1)/COUNTIF($C$13:$C$1012,C599)),IF(AND(NC_Type="Building Area Method",Inventory!C596="Y"),INDEX(xyNCEx,MATCH(I599,yNCExArea,0),3)/COUNTIF($I$13:$I$1012,I599),VLOOKUP(J599,xyWattage_Table,10,FALSE))),"")</f>
        <v/>
      </c>
      <c r="L599" s="539" t="str">
        <f t="shared" si="215"/>
        <v/>
      </c>
      <c r="M599" s="540">
        <f>IF(Inventory!N596="","",Inventory!N596)</f>
        <v>0</v>
      </c>
      <c r="N599" s="533" t="str">
        <f t="shared" si="216"/>
        <v/>
      </c>
      <c r="O599" s="534"/>
      <c r="P599" s="533" t="str">
        <f t="shared" si="217"/>
        <v/>
      </c>
      <c r="Q599" s="534" t="str">
        <f>IF(Inventory!L596="","",Inventory!L596)</f>
        <v/>
      </c>
      <c r="R599" s="535" t="str">
        <f t="shared" si="218"/>
        <v/>
      </c>
      <c r="S599" s="536" t="str">
        <f>IF(Inventory!O596="","",Inventory!O596)</f>
        <v/>
      </c>
      <c r="T599" s="541" t="str">
        <f>IFERROR(IF(C599="","",IF(INDEX(xyWattage_Table,MATCH(M599,'Fixture Identities'!$B$9:$B$997,0),2)="Exit Sign",8760,IF(VLOOKUP(C599,xySpace_Type_Details,8,FALSE)="TRM",INDEX('General Information'!$AF$17:$AG$28,11,MATCH(N599,'General Information'!$AF$16:$AG$16,0)),HLOOKUP(VLOOKUP(C599,xySpace_Type_Details,8,FALSE),'General Information'!$P$15:$AG$28,13,FALSE)))),"")</f>
        <v/>
      </c>
      <c r="U599" s="542" t="str">
        <f>IFERROR(IF(C599="","",IF(INDEX(xyWattage_Table,MATCH(M599,'Fixture Identities'!$B$9:$B$997,0),2)="Exit Sign",1,IF(VLOOKUP(C599,xySpace_Type_Details,8,FALSE)="TRM",INDEX('General Information'!$AF$17:$AG$28,12,MATCH(N599,'General Information'!$AF$16:$AG$16,0)),HLOOKUP(VLOOKUP(C599,xySpace_Type_Details,8,FALSE),'General Information'!$P$15:$AG$28,14,FALSE)))),"")</f>
        <v/>
      </c>
      <c r="V599" s="542" t="str">
        <f>IFERROR(VLOOKUP(INDEX(xySpace_Type_Details,MATCH($C599,'General Information'!$C$40:$C$60,0),12),Lookups!$L$8:$N$12,2,FALSE),"")</f>
        <v/>
      </c>
      <c r="W599" s="542" t="str">
        <f>IFERROR(VLOOKUP(INDEX(xySpace_Type_Details,MATCH($C599,'General Information'!$C$40:$C$60,0),12),Lookups!$L$8:$N$12,3,FALSE),"")</f>
        <v/>
      </c>
      <c r="Y599" s="542" t="str">
        <f>IFERROR(IF(C599="","",IF(INDEX(xyWattage_Table,MATCH(M599,'Fixture Identities'!$B$9:$B$997,0),2)="Exit Sign",0,IF(PRJ_Type="Retrofit",VLOOKUP(I599,xySVG_Factors,2,FALSE),IF(AND(PRJ_Type="New Construction",Inventory!C596="N"),VLOOKUP(VLOOKUP(Building_Type,xyLPD_BuildingArea,5,FALSE),xySVG_Factors_NC,3,FALSE),0)))),"")</f>
        <v/>
      </c>
      <c r="Z599" s="544" t="str">
        <f>IFERROR(IF(C599="","",IF(INDEX(xyWattage_Table,MATCH(M599,'Fixture Identities'!$B$9:$B$997,0),2)="Exit Sign",0,VLOOKUP(S599,xySVG_Factors,2,FALSE))),"")</f>
        <v/>
      </c>
      <c r="AA599" s="545" t="str">
        <f t="shared" si="219"/>
        <v/>
      </c>
      <c r="AB599" s="542" t="str">
        <f t="shared" si="220"/>
        <v/>
      </c>
      <c r="AC599" s="539" t="str">
        <f t="shared" si="221"/>
        <v/>
      </c>
      <c r="AD599" s="546" t="str">
        <f t="shared" si="222"/>
        <v/>
      </c>
      <c r="AE599" s="539" t="str">
        <f t="shared" si="223"/>
        <v/>
      </c>
      <c r="AF599" s="546" t="str">
        <f t="shared" si="224"/>
        <v/>
      </c>
      <c r="AG599" s="539" t="str">
        <f t="shared" si="225"/>
        <v/>
      </c>
      <c r="AH599" s="32">
        <f t="shared" si="227"/>
        <v>0</v>
      </c>
      <c r="AI599" s="32">
        <f t="shared" si="228"/>
        <v>0</v>
      </c>
      <c r="AJ599" s="32">
        <f t="shared" si="229"/>
        <v>0</v>
      </c>
      <c r="AK599" t="str">
        <f t="shared" si="230"/>
        <v/>
      </c>
      <c r="AL599" t="str">
        <f t="shared" si="231"/>
        <v/>
      </c>
      <c r="AM599" t="str">
        <f t="shared" si="232"/>
        <v/>
      </c>
      <c r="AO599" t="str">
        <f>IFERROR(VLOOKUP(M599,'Fixture Identities'!$B$9:$O$1045,14,FALSE),"")</f>
        <v/>
      </c>
      <c r="AP599" t="str">
        <f t="shared" si="226"/>
        <v/>
      </c>
    </row>
    <row r="600" spans="1:42">
      <c r="A600" s="71">
        <f t="shared" si="234"/>
        <v>0</v>
      </c>
      <c r="B600" s="513">
        <f t="shared" si="233"/>
        <v>588</v>
      </c>
      <c r="C600" s="530" t="str">
        <f>IF(Inventory!E597="","",Inventory!E597)</f>
        <v/>
      </c>
      <c r="D600" s="531">
        <f>IF(Inventory!D597="",0,Inventory!D597)</f>
        <v>0</v>
      </c>
      <c r="E600" s="532" t="str">
        <f>IF(Inventory!I597=0,"",Inventory!I597)</f>
        <v/>
      </c>
      <c r="F600" s="533" t="str">
        <f t="shared" si="213"/>
        <v/>
      </c>
      <c r="G600" s="534" t="str">
        <f>IF(Inventory!G597="","",Inventory!G597)</f>
        <v/>
      </c>
      <c r="H600" s="535" t="str">
        <f t="shared" si="214"/>
        <v/>
      </c>
      <c r="I600" s="536" t="str">
        <f>IF(Inventory!J597="","",Inventory!J597)</f>
        <v/>
      </c>
      <c r="J600" s="537" t="str">
        <f>IFERROR(IF(PRJ_Type="New Construction",IF(Inventory!C597="N",INDEX(xyLPD_BuildingArea,MATCH(Building_Type,Lookups!$F$37:$F$75,0),4),INDEX(xyLPD_SpaceBySpace,MATCH(INDEX(xyNCEx,MATCH(I600,yNCExArea,0),2),ySpace_by_Space_Type,0),2)),VLOOKUP(E600,xyWattage_Table,11,FALSE)),"")</f>
        <v/>
      </c>
      <c r="K600" s="538" t="str">
        <f>IFERROR(IF(AND(NC_Type="Building Area Method",Inventory!C597="N"),IF(ISERROR(INDEX('Usage Groups (&gt;120 MWh only)'!$N$8:$N$12,MATCH(C600,'Usage Groups (&gt;120 MWh only)'!$B$8:$B$12,0),1))=TRUE,SqFt/COUNTIFS(Inventory!$C$10:$C$1009,"N",$Q$13:$Q$1012,"&gt;=0"),INDEX('Usage Groups (&gt;120 MWh only)'!$N$8:$N$12,MATCH(C600,'Usage Groups (&gt;120 MWh only)'!$B$8:$B$12,0),1)/COUNTIF($C$13:$C$1012,C600)),IF(AND(NC_Type="Building Area Method",Inventory!C597="Y"),INDEX(xyNCEx,MATCH(I600,yNCExArea,0),3)/COUNTIF($I$13:$I$1012,I600),VLOOKUP(J600,xyWattage_Table,10,FALSE))),"")</f>
        <v/>
      </c>
      <c r="L600" s="539" t="str">
        <f t="shared" si="215"/>
        <v/>
      </c>
      <c r="M600" s="540">
        <f>IF(Inventory!N597="","",Inventory!N597)</f>
        <v>0</v>
      </c>
      <c r="N600" s="533" t="str">
        <f t="shared" si="216"/>
        <v/>
      </c>
      <c r="O600" s="534"/>
      <c r="P600" s="533" t="str">
        <f t="shared" si="217"/>
        <v/>
      </c>
      <c r="Q600" s="534" t="str">
        <f>IF(Inventory!L597="","",Inventory!L597)</f>
        <v/>
      </c>
      <c r="R600" s="535" t="str">
        <f t="shared" si="218"/>
        <v/>
      </c>
      <c r="S600" s="536" t="str">
        <f>IF(Inventory!O597="","",Inventory!O597)</f>
        <v/>
      </c>
      <c r="T600" s="541" t="str">
        <f>IFERROR(IF(C600="","",IF(INDEX(xyWattage_Table,MATCH(M600,'Fixture Identities'!$B$9:$B$997,0),2)="Exit Sign",8760,IF(VLOOKUP(C600,xySpace_Type_Details,8,FALSE)="TRM",INDEX('General Information'!$AF$17:$AG$28,11,MATCH(N600,'General Information'!$AF$16:$AG$16,0)),HLOOKUP(VLOOKUP(C600,xySpace_Type_Details,8,FALSE),'General Information'!$P$15:$AG$28,13,FALSE)))),"")</f>
        <v/>
      </c>
      <c r="U600" s="542" t="str">
        <f>IFERROR(IF(C600="","",IF(INDEX(xyWattage_Table,MATCH(M600,'Fixture Identities'!$B$9:$B$997,0),2)="Exit Sign",1,IF(VLOOKUP(C600,xySpace_Type_Details,8,FALSE)="TRM",INDEX('General Information'!$AF$17:$AG$28,12,MATCH(N600,'General Information'!$AF$16:$AG$16,0)),HLOOKUP(VLOOKUP(C600,xySpace_Type_Details,8,FALSE),'General Information'!$P$15:$AG$28,14,FALSE)))),"")</f>
        <v/>
      </c>
      <c r="V600" s="542" t="str">
        <f>IFERROR(VLOOKUP(INDEX(xySpace_Type_Details,MATCH($C600,'General Information'!$C$40:$C$60,0),12),Lookups!$L$8:$N$12,2,FALSE),"")</f>
        <v/>
      </c>
      <c r="W600" s="542" t="str">
        <f>IFERROR(VLOOKUP(INDEX(xySpace_Type_Details,MATCH($C600,'General Information'!$C$40:$C$60,0),12),Lookups!$L$8:$N$12,3,FALSE),"")</f>
        <v/>
      </c>
      <c r="Y600" s="542" t="str">
        <f>IFERROR(IF(C600="","",IF(INDEX(xyWattage_Table,MATCH(M600,'Fixture Identities'!$B$9:$B$997,0),2)="Exit Sign",0,IF(PRJ_Type="Retrofit",VLOOKUP(I600,xySVG_Factors,2,FALSE),IF(AND(PRJ_Type="New Construction",Inventory!C597="N"),VLOOKUP(VLOOKUP(Building_Type,xyLPD_BuildingArea,5,FALSE),xySVG_Factors_NC,3,FALSE),0)))),"")</f>
        <v/>
      </c>
      <c r="Z600" s="544" t="str">
        <f>IFERROR(IF(C600="","",IF(INDEX(xyWattage_Table,MATCH(M600,'Fixture Identities'!$B$9:$B$997,0),2)="Exit Sign",0,VLOOKUP(S600,xySVG_Factors,2,FALSE))),"")</f>
        <v/>
      </c>
      <c r="AA600" s="545" t="str">
        <f t="shared" si="219"/>
        <v/>
      </c>
      <c r="AB600" s="542" t="str">
        <f t="shared" si="220"/>
        <v/>
      </c>
      <c r="AC600" s="539" t="str">
        <f t="shared" si="221"/>
        <v/>
      </c>
      <c r="AD600" s="546" t="str">
        <f t="shared" si="222"/>
        <v/>
      </c>
      <c r="AE600" s="539" t="str">
        <f t="shared" si="223"/>
        <v/>
      </c>
      <c r="AF600" s="546" t="str">
        <f t="shared" si="224"/>
        <v/>
      </c>
      <c r="AG600" s="539" t="str">
        <f t="shared" si="225"/>
        <v/>
      </c>
      <c r="AH600" s="32">
        <f t="shared" si="227"/>
        <v>0</v>
      </c>
      <c r="AI600" s="32">
        <f t="shared" si="228"/>
        <v>0</v>
      </c>
      <c r="AJ600" s="32">
        <f t="shared" si="229"/>
        <v>0</v>
      </c>
      <c r="AK600" t="str">
        <f t="shared" si="230"/>
        <v/>
      </c>
      <c r="AL600" t="str">
        <f t="shared" si="231"/>
        <v/>
      </c>
      <c r="AM600" t="str">
        <f t="shared" si="232"/>
        <v/>
      </c>
      <c r="AO600" t="str">
        <f>IFERROR(VLOOKUP(M600,'Fixture Identities'!$B$9:$O$1045,14,FALSE),"")</f>
        <v/>
      </c>
      <c r="AP600" t="str">
        <f t="shared" si="226"/>
        <v/>
      </c>
    </row>
    <row r="601" spans="1:42">
      <c r="A601" s="71">
        <f t="shared" si="234"/>
        <v>0</v>
      </c>
      <c r="B601" s="513">
        <f t="shared" si="233"/>
        <v>589</v>
      </c>
      <c r="C601" s="530" t="str">
        <f>IF(Inventory!E598="","",Inventory!E598)</f>
        <v/>
      </c>
      <c r="D601" s="531">
        <f>IF(Inventory!D598="",0,Inventory!D598)</f>
        <v>0</v>
      </c>
      <c r="E601" s="532" t="str">
        <f>IF(Inventory!I598=0,"",Inventory!I598)</f>
        <v/>
      </c>
      <c r="F601" s="533" t="str">
        <f t="shared" si="213"/>
        <v/>
      </c>
      <c r="G601" s="534" t="str">
        <f>IF(Inventory!G598="","",Inventory!G598)</f>
        <v/>
      </c>
      <c r="H601" s="535" t="str">
        <f t="shared" si="214"/>
        <v/>
      </c>
      <c r="I601" s="536" t="str">
        <f>IF(Inventory!J598="","",Inventory!J598)</f>
        <v/>
      </c>
      <c r="J601" s="537" t="str">
        <f>IFERROR(IF(PRJ_Type="New Construction",IF(Inventory!C598="N",INDEX(xyLPD_BuildingArea,MATCH(Building_Type,Lookups!$F$37:$F$75,0),4),INDEX(xyLPD_SpaceBySpace,MATCH(INDEX(xyNCEx,MATCH(I601,yNCExArea,0),2),ySpace_by_Space_Type,0),2)),VLOOKUP(E601,xyWattage_Table,11,FALSE)),"")</f>
        <v/>
      </c>
      <c r="K601" s="538" t="str">
        <f>IFERROR(IF(AND(NC_Type="Building Area Method",Inventory!C598="N"),IF(ISERROR(INDEX('Usage Groups (&gt;120 MWh only)'!$N$8:$N$12,MATCH(C601,'Usage Groups (&gt;120 MWh only)'!$B$8:$B$12,0),1))=TRUE,SqFt/COUNTIFS(Inventory!$C$10:$C$1009,"N",$Q$13:$Q$1012,"&gt;=0"),INDEX('Usage Groups (&gt;120 MWh only)'!$N$8:$N$12,MATCH(C601,'Usage Groups (&gt;120 MWh only)'!$B$8:$B$12,0),1)/COUNTIF($C$13:$C$1012,C601)),IF(AND(NC_Type="Building Area Method",Inventory!C598="Y"),INDEX(xyNCEx,MATCH(I601,yNCExArea,0),3)/COUNTIF($I$13:$I$1012,I601),VLOOKUP(J601,xyWattage_Table,10,FALSE))),"")</f>
        <v/>
      </c>
      <c r="L601" s="539" t="str">
        <f t="shared" si="215"/>
        <v/>
      </c>
      <c r="M601" s="540">
        <f>IF(Inventory!N598="","",Inventory!N598)</f>
        <v>0</v>
      </c>
      <c r="N601" s="533" t="str">
        <f t="shared" si="216"/>
        <v/>
      </c>
      <c r="O601" s="534"/>
      <c r="P601" s="533" t="str">
        <f t="shared" si="217"/>
        <v/>
      </c>
      <c r="Q601" s="534" t="str">
        <f>IF(Inventory!L598="","",Inventory!L598)</f>
        <v/>
      </c>
      <c r="R601" s="535" t="str">
        <f t="shared" si="218"/>
        <v/>
      </c>
      <c r="S601" s="536" t="str">
        <f>IF(Inventory!O598="","",Inventory!O598)</f>
        <v/>
      </c>
      <c r="T601" s="541" t="str">
        <f>IFERROR(IF(C601="","",IF(INDEX(xyWattage_Table,MATCH(M601,'Fixture Identities'!$B$9:$B$997,0),2)="Exit Sign",8760,IF(VLOOKUP(C601,xySpace_Type_Details,8,FALSE)="TRM",INDEX('General Information'!$AF$17:$AG$28,11,MATCH(N601,'General Information'!$AF$16:$AG$16,0)),HLOOKUP(VLOOKUP(C601,xySpace_Type_Details,8,FALSE),'General Information'!$P$15:$AG$28,13,FALSE)))),"")</f>
        <v/>
      </c>
      <c r="U601" s="542" t="str">
        <f>IFERROR(IF(C601="","",IF(INDEX(xyWattage_Table,MATCH(M601,'Fixture Identities'!$B$9:$B$997,0),2)="Exit Sign",1,IF(VLOOKUP(C601,xySpace_Type_Details,8,FALSE)="TRM",INDEX('General Information'!$AF$17:$AG$28,12,MATCH(N601,'General Information'!$AF$16:$AG$16,0)),HLOOKUP(VLOOKUP(C601,xySpace_Type_Details,8,FALSE),'General Information'!$P$15:$AG$28,14,FALSE)))),"")</f>
        <v/>
      </c>
      <c r="V601" s="542" t="str">
        <f>IFERROR(VLOOKUP(INDEX(xySpace_Type_Details,MATCH($C601,'General Information'!$C$40:$C$60,0),12),Lookups!$L$8:$N$12,2,FALSE),"")</f>
        <v/>
      </c>
      <c r="W601" s="542" t="str">
        <f>IFERROR(VLOOKUP(INDEX(xySpace_Type_Details,MATCH($C601,'General Information'!$C$40:$C$60,0),12),Lookups!$L$8:$N$12,3,FALSE),"")</f>
        <v/>
      </c>
      <c r="Y601" s="542" t="str">
        <f>IFERROR(IF(C601="","",IF(INDEX(xyWattage_Table,MATCH(M601,'Fixture Identities'!$B$9:$B$997,0),2)="Exit Sign",0,IF(PRJ_Type="Retrofit",VLOOKUP(I601,xySVG_Factors,2,FALSE),IF(AND(PRJ_Type="New Construction",Inventory!C598="N"),VLOOKUP(VLOOKUP(Building_Type,xyLPD_BuildingArea,5,FALSE),xySVG_Factors_NC,3,FALSE),0)))),"")</f>
        <v/>
      </c>
      <c r="Z601" s="544" t="str">
        <f>IFERROR(IF(C601="","",IF(INDEX(xyWattage_Table,MATCH(M601,'Fixture Identities'!$B$9:$B$997,0),2)="Exit Sign",0,VLOOKUP(S601,xySVG_Factors,2,FALSE))),"")</f>
        <v/>
      </c>
      <c r="AA601" s="545" t="str">
        <f t="shared" si="219"/>
        <v/>
      </c>
      <c r="AB601" s="542" t="str">
        <f t="shared" si="220"/>
        <v/>
      </c>
      <c r="AC601" s="539" t="str">
        <f t="shared" si="221"/>
        <v/>
      </c>
      <c r="AD601" s="546" t="str">
        <f t="shared" si="222"/>
        <v/>
      </c>
      <c r="AE601" s="539" t="str">
        <f t="shared" si="223"/>
        <v/>
      </c>
      <c r="AF601" s="546" t="str">
        <f t="shared" si="224"/>
        <v/>
      </c>
      <c r="AG601" s="539" t="str">
        <f t="shared" si="225"/>
        <v/>
      </c>
      <c r="AH601" s="32">
        <f t="shared" si="227"/>
        <v>0</v>
      </c>
      <c r="AI601" s="32">
        <f t="shared" si="228"/>
        <v>0</v>
      </c>
      <c r="AJ601" s="32">
        <f t="shared" si="229"/>
        <v>0</v>
      </c>
      <c r="AK601" t="str">
        <f t="shared" si="230"/>
        <v/>
      </c>
      <c r="AL601" t="str">
        <f t="shared" si="231"/>
        <v/>
      </c>
      <c r="AM601" t="str">
        <f t="shared" si="232"/>
        <v/>
      </c>
      <c r="AO601" t="str">
        <f>IFERROR(VLOOKUP(M601,'Fixture Identities'!$B$9:$O$1045,14,FALSE),"")</f>
        <v/>
      </c>
      <c r="AP601" t="str">
        <f t="shared" si="226"/>
        <v/>
      </c>
    </row>
    <row r="602" spans="1:42">
      <c r="A602" s="71">
        <f t="shared" si="234"/>
        <v>0</v>
      </c>
      <c r="B602" s="513">
        <f t="shared" si="233"/>
        <v>590</v>
      </c>
      <c r="C602" s="530" t="str">
        <f>IF(Inventory!E599="","",Inventory!E599)</f>
        <v/>
      </c>
      <c r="D602" s="531">
        <f>IF(Inventory!D599="",0,Inventory!D599)</f>
        <v>0</v>
      </c>
      <c r="E602" s="532" t="str">
        <f>IF(Inventory!I599=0,"",Inventory!I599)</f>
        <v/>
      </c>
      <c r="F602" s="533" t="str">
        <f t="shared" si="213"/>
        <v/>
      </c>
      <c r="G602" s="534" t="str">
        <f>IF(Inventory!G599="","",Inventory!G599)</f>
        <v/>
      </c>
      <c r="H602" s="535" t="str">
        <f t="shared" si="214"/>
        <v/>
      </c>
      <c r="I602" s="536" t="str">
        <f>IF(Inventory!J599="","",Inventory!J599)</f>
        <v/>
      </c>
      <c r="J602" s="537" t="str">
        <f>IFERROR(IF(PRJ_Type="New Construction",IF(Inventory!C599="N",INDEX(xyLPD_BuildingArea,MATCH(Building_Type,Lookups!$F$37:$F$75,0),4),INDEX(xyLPD_SpaceBySpace,MATCH(INDEX(xyNCEx,MATCH(I602,yNCExArea,0),2),ySpace_by_Space_Type,0),2)),VLOOKUP(E602,xyWattage_Table,11,FALSE)),"")</f>
        <v/>
      </c>
      <c r="K602" s="538" t="str">
        <f>IFERROR(IF(AND(NC_Type="Building Area Method",Inventory!C599="N"),IF(ISERROR(INDEX('Usage Groups (&gt;120 MWh only)'!$N$8:$N$12,MATCH(C602,'Usage Groups (&gt;120 MWh only)'!$B$8:$B$12,0),1))=TRUE,SqFt/COUNTIFS(Inventory!$C$10:$C$1009,"N",$Q$13:$Q$1012,"&gt;=0"),INDEX('Usage Groups (&gt;120 MWh only)'!$N$8:$N$12,MATCH(C602,'Usage Groups (&gt;120 MWh only)'!$B$8:$B$12,0),1)/COUNTIF($C$13:$C$1012,C602)),IF(AND(NC_Type="Building Area Method",Inventory!C599="Y"),INDEX(xyNCEx,MATCH(I602,yNCExArea,0),3)/COUNTIF($I$13:$I$1012,I602),VLOOKUP(J602,xyWattage_Table,10,FALSE))),"")</f>
        <v/>
      </c>
      <c r="L602" s="539" t="str">
        <f t="shared" si="215"/>
        <v/>
      </c>
      <c r="M602" s="540">
        <f>IF(Inventory!N599="","",Inventory!N599)</f>
        <v>0</v>
      </c>
      <c r="N602" s="533" t="str">
        <f t="shared" si="216"/>
        <v/>
      </c>
      <c r="O602" s="534"/>
      <c r="P602" s="533" t="str">
        <f t="shared" si="217"/>
        <v/>
      </c>
      <c r="Q602" s="534" t="str">
        <f>IF(Inventory!L599="","",Inventory!L599)</f>
        <v/>
      </c>
      <c r="R602" s="535" t="str">
        <f t="shared" si="218"/>
        <v/>
      </c>
      <c r="S602" s="536" t="str">
        <f>IF(Inventory!O599="","",Inventory!O599)</f>
        <v/>
      </c>
      <c r="T602" s="541" t="str">
        <f>IFERROR(IF(C602="","",IF(INDEX(xyWattage_Table,MATCH(M602,'Fixture Identities'!$B$9:$B$997,0),2)="Exit Sign",8760,IF(VLOOKUP(C602,xySpace_Type_Details,8,FALSE)="TRM",INDEX('General Information'!$AF$17:$AG$28,11,MATCH(N602,'General Information'!$AF$16:$AG$16,0)),HLOOKUP(VLOOKUP(C602,xySpace_Type_Details,8,FALSE),'General Information'!$P$15:$AG$28,13,FALSE)))),"")</f>
        <v/>
      </c>
      <c r="U602" s="542" t="str">
        <f>IFERROR(IF(C602="","",IF(INDEX(xyWattage_Table,MATCH(M602,'Fixture Identities'!$B$9:$B$997,0),2)="Exit Sign",1,IF(VLOOKUP(C602,xySpace_Type_Details,8,FALSE)="TRM",INDEX('General Information'!$AF$17:$AG$28,12,MATCH(N602,'General Information'!$AF$16:$AG$16,0)),HLOOKUP(VLOOKUP(C602,xySpace_Type_Details,8,FALSE),'General Information'!$P$15:$AG$28,14,FALSE)))),"")</f>
        <v/>
      </c>
      <c r="V602" s="542" t="str">
        <f>IFERROR(VLOOKUP(INDEX(xySpace_Type_Details,MATCH($C602,'General Information'!$C$40:$C$60,0),12),Lookups!$L$8:$N$12,2,FALSE),"")</f>
        <v/>
      </c>
      <c r="W602" s="542" t="str">
        <f>IFERROR(VLOOKUP(INDEX(xySpace_Type_Details,MATCH($C602,'General Information'!$C$40:$C$60,0),12),Lookups!$L$8:$N$12,3,FALSE),"")</f>
        <v/>
      </c>
      <c r="Y602" s="542" t="str">
        <f>IFERROR(IF(C602="","",IF(INDEX(xyWattage_Table,MATCH(M602,'Fixture Identities'!$B$9:$B$997,0),2)="Exit Sign",0,IF(PRJ_Type="Retrofit",VLOOKUP(I602,xySVG_Factors,2,FALSE),IF(AND(PRJ_Type="New Construction",Inventory!C599="N"),VLOOKUP(VLOOKUP(Building_Type,xyLPD_BuildingArea,5,FALSE),xySVG_Factors_NC,3,FALSE),0)))),"")</f>
        <v/>
      </c>
      <c r="Z602" s="544" t="str">
        <f>IFERROR(IF(C602="","",IF(INDEX(xyWattage_Table,MATCH(M602,'Fixture Identities'!$B$9:$B$997,0),2)="Exit Sign",0,VLOOKUP(S602,xySVG_Factors,2,FALSE))),"")</f>
        <v/>
      </c>
      <c r="AA602" s="545" t="str">
        <f t="shared" si="219"/>
        <v/>
      </c>
      <c r="AB602" s="542" t="str">
        <f t="shared" si="220"/>
        <v/>
      </c>
      <c r="AC602" s="539" t="str">
        <f t="shared" si="221"/>
        <v/>
      </c>
      <c r="AD602" s="546" t="str">
        <f t="shared" si="222"/>
        <v/>
      </c>
      <c r="AE602" s="539" t="str">
        <f t="shared" si="223"/>
        <v/>
      </c>
      <c r="AF602" s="546" t="str">
        <f t="shared" si="224"/>
        <v/>
      </c>
      <c r="AG602" s="539" t="str">
        <f t="shared" si="225"/>
        <v/>
      </c>
      <c r="AH602" s="32">
        <f t="shared" si="227"/>
        <v>0</v>
      </c>
      <c r="AI602" s="32">
        <f t="shared" si="228"/>
        <v>0</v>
      </c>
      <c r="AJ602" s="32">
        <f t="shared" si="229"/>
        <v>0</v>
      </c>
      <c r="AK602" t="str">
        <f t="shared" si="230"/>
        <v/>
      </c>
      <c r="AL602" t="str">
        <f t="shared" si="231"/>
        <v/>
      </c>
      <c r="AM602" t="str">
        <f t="shared" si="232"/>
        <v/>
      </c>
      <c r="AO602" t="str">
        <f>IFERROR(VLOOKUP(M602,'Fixture Identities'!$B$9:$O$1045,14,FALSE),"")</f>
        <v/>
      </c>
      <c r="AP602" t="str">
        <f t="shared" si="226"/>
        <v/>
      </c>
    </row>
    <row r="603" spans="1:42">
      <c r="A603" s="71">
        <f t="shared" si="234"/>
        <v>0</v>
      </c>
      <c r="B603" s="513">
        <f t="shared" si="233"/>
        <v>591</v>
      </c>
      <c r="C603" s="530" t="str">
        <f>IF(Inventory!E600="","",Inventory!E600)</f>
        <v/>
      </c>
      <c r="D603" s="531">
        <f>IF(Inventory!D600="",0,Inventory!D600)</f>
        <v>0</v>
      </c>
      <c r="E603" s="532" t="str">
        <f>IF(Inventory!I600=0,"",Inventory!I600)</f>
        <v/>
      </c>
      <c r="F603" s="533" t="str">
        <f t="shared" si="213"/>
        <v/>
      </c>
      <c r="G603" s="534" t="str">
        <f>IF(Inventory!G600="","",Inventory!G600)</f>
        <v/>
      </c>
      <c r="H603" s="535" t="str">
        <f t="shared" si="214"/>
        <v/>
      </c>
      <c r="I603" s="536" t="str">
        <f>IF(Inventory!J600="","",Inventory!J600)</f>
        <v/>
      </c>
      <c r="J603" s="537" t="str">
        <f>IFERROR(IF(PRJ_Type="New Construction",IF(Inventory!C600="N",INDEX(xyLPD_BuildingArea,MATCH(Building_Type,Lookups!$F$37:$F$75,0),4),INDEX(xyLPD_SpaceBySpace,MATCH(INDEX(xyNCEx,MATCH(I603,yNCExArea,0),2),ySpace_by_Space_Type,0),2)),VLOOKUP(E603,xyWattage_Table,11,FALSE)),"")</f>
        <v/>
      </c>
      <c r="K603" s="538" t="str">
        <f>IFERROR(IF(AND(NC_Type="Building Area Method",Inventory!C600="N"),IF(ISERROR(INDEX('Usage Groups (&gt;120 MWh only)'!$N$8:$N$12,MATCH(C603,'Usage Groups (&gt;120 MWh only)'!$B$8:$B$12,0),1))=TRUE,SqFt/COUNTIFS(Inventory!$C$10:$C$1009,"N",$Q$13:$Q$1012,"&gt;=0"),INDEX('Usage Groups (&gt;120 MWh only)'!$N$8:$N$12,MATCH(C603,'Usage Groups (&gt;120 MWh only)'!$B$8:$B$12,0),1)/COUNTIF($C$13:$C$1012,C603)),IF(AND(NC_Type="Building Area Method",Inventory!C600="Y"),INDEX(xyNCEx,MATCH(I603,yNCExArea,0),3)/COUNTIF($I$13:$I$1012,I603),VLOOKUP(J603,xyWattage_Table,10,FALSE))),"")</f>
        <v/>
      </c>
      <c r="L603" s="539" t="str">
        <f t="shared" si="215"/>
        <v/>
      </c>
      <c r="M603" s="540">
        <f>IF(Inventory!N600="","",Inventory!N600)</f>
        <v>0</v>
      </c>
      <c r="N603" s="533" t="str">
        <f t="shared" si="216"/>
        <v/>
      </c>
      <c r="O603" s="534"/>
      <c r="P603" s="533" t="str">
        <f t="shared" si="217"/>
        <v/>
      </c>
      <c r="Q603" s="534" t="str">
        <f>IF(Inventory!L600="","",Inventory!L600)</f>
        <v/>
      </c>
      <c r="R603" s="535" t="str">
        <f t="shared" si="218"/>
        <v/>
      </c>
      <c r="S603" s="536" t="str">
        <f>IF(Inventory!O600="","",Inventory!O600)</f>
        <v/>
      </c>
      <c r="T603" s="541" t="str">
        <f>IFERROR(IF(C603="","",IF(INDEX(xyWattage_Table,MATCH(M603,'Fixture Identities'!$B$9:$B$997,0),2)="Exit Sign",8760,IF(VLOOKUP(C603,xySpace_Type_Details,8,FALSE)="TRM",INDEX('General Information'!$AF$17:$AG$28,11,MATCH(N603,'General Information'!$AF$16:$AG$16,0)),HLOOKUP(VLOOKUP(C603,xySpace_Type_Details,8,FALSE),'General Information'!$P$15:$AG$28,13,FALSE)))),"")</f>
        <v/>
      </c>
      <c r="U603" s="542" t="str">
        <f>IFERROR(IF(C603="","",IF(INDEX(xyWattage_Table,MATCH(M603,'Fixture Identities'!$B$9:$B$997,0),2)="Exit Sign",1,IF(VLOOKUP(C603,xySpace_Type_Details,8,FALSE)="TRM",INDEX('General Information'!$AF$17:$AG$28,12,MATCH(N603,'General Information'!$AF$16:$AG$16,0)),HLOOKUP(VLOOKUP(C603,xySpace_Type_Details,8,FALSE),'General Information'!$P$15:$AG$28,14,FALSE)))),"")</f>
        <v/>
      </c>
      <c r="V603" s="542" t="str">
        <f>IFERROR(VLOOKUP(INDEX(xySpace_Type_Details,MATCH($C603,'General Information'!$C$40:$C$60,0),12),Lookups!$L$8:$N$12,2,FALSE),"")</f>
        <v/>
      </c>
      <c r="W603" s="542" t="str">
        <f>IFERROR(VLOOKUP(INDEX(xySpace_Type_Details,MATCH($C603,'General Information'!$C$40:$C$60,0),12),Lookups!$L$8:$N$12,3,FALSE),"")</f>
        <v/>
      </c>
      <c r="Y603" s="542" t="str">
        <f>IFERROR(IF(C603="","",IF(INDEX(xyWattage_Table,MATCH(M603,'Fixture Identities'!$B$9:$B$997,0),2)="Exit Sign",0,IF(PRJ_Type="Retrofit",VLOOKUP(I603,xySVG_Factors,2,FALSE),IF(AND(PRJ_Type="New Construction",Inventory!C600="N"),VLOOKUP(VLOOKUP(Building_Type,xyLPD_BuildingArea,5,FALSE),xySVG_Factors_NC,3,FALSE),0)))),"")</f>
        <v/>
      </c>
      <c r="Z603" s="544" t="str">
        <f>IFERROR(IF(C603="","",IF(INDEX(xyWattage_Table,MATCH(M603,'Fixture Identities'!$B$9:$B$997,0),2)="Exit Sign",0,VLOOKUP(S603,xySVG_Factors,2,FALSE))),"")</f>
        <v/>
      </c>
      <c r="AA603" s="545" t="str">
        <f t="shared" si="219"/>
        <v/>
      </c>
      <c r="AB603" s="542" t="str">
        <f t="shared" si="220"/>
        <v/>
      </c>
      <c r="AC603" s="539" t="str">
        <f t="shared" si="221"/>
        <v/>
      </c>
      <c r="AD603" s="546" t="str">
        <f t="shared" si="222"/>
        <v/>
      </c>
      <c r="AE603" s="539" t="str">
        <f t="shared" si="223"/>
        <v/>
      </c>
      <c r="AF603" s="546" t="str">
        <f t="shared" si="224"/>
        <v/>
      </c>
      <c r="AG603" s="539" t="str">
        <f t="shared" si="225"/>
        <v/>
      </c>
      <c r="AH603" s="32">
        <f t="shared" si="227"/>
        <v>0</v>
      </c>
      <c r="AI603" s="32">
        <f t="shared" si="228"/>
        <v>0</v>
      </c>
      <c r="AJ603" s="32">
        <f t="shared" si="229"/>
        <v>0</v>
      </c>
      <c r="AK603" t="str">
        <f t="shared" si="230"/>
        <v/>
      </c>
      <c r="AL603" t="str">
        <f t="shared" si="231"/>
        <v/>
      </c>
      <c r="AM603" t="str">
        <f t="shared" si="232"/>
        <v/>
      </c>
      <c r="AO603" t="str">
        <f>IFERROR(VLOOKUP(M603,'Fixture Identities'!$B$9:$O$1045,14,FALSE),"")</f>
        <v/>
      </c>
      <c r="AP603" t="str">
        <f t="shared" si="226"/>
        <v/>
      </c>
    </row>
    <row r="604" spans="1:42">
      <c r="A604" s="71">
        <f t="shared" si="234"/>
        <v>0</v>
      </c>
      <c r="B604" s="513">
        <f t="shared" si="233"/>
        <v>592</v>
      </c>
      <c r="C604" s="530" t="str">
        <f>IF(Inventory!E601="","",Inventory!E601)</f>
        <v/>
      </c>
      <c r="D604" s="531">
        <f>IF(Inventory!D601="",0,Inventory!D601)</f>
        <v>0</v>
      </c>
      <c r="E604" s="532" t="str">
        <f>IF(Inventory!I601=0,"",Inventory!I601)</f>
        <v/>
      </c>
      <c r="F604" s="533" t="str">
        <f t="shared" si="213"/>
        <v/>
      </c>
      <c r="G604" s="534" t="str">
        <f>IF(Inventory!G601="","",Inventory!G601)</f>
        <v/>
      </c>
      <c r="H604" s="535" t="str">
        <f t="shared" si="214"/>
        <v/>
      </c>
      <c r="I604" s="536" t="str">
        <f>IF(Inventory!J601="","",Inventory!J601)</f>
        <v/>
      </c>
      <c r="J604" s="537" t="str">
        <f>IFERROR(IF(PRJ_Type="New Construction",IF(Inventory!C601="N",INDEX(xyLPD_BuildingArea,MATCH(Building_Type,Lookups!$F$37:$F$75,0),4),INDEX(xyLPD_SpaceBySpace,MATCH(INDEX(xyNCEx,MATCH(I604,yNCExArea,0),2),ySpace_by_Space_Type,0),2)),VLOOKUP(E604,xyWattage_Table,11,FALSE)),"")</f>
        <v/>
      </c>
      <c r="K604" s="538" t="str">
        <f>IFERROR(IF(AND(NC_Type="Building Area Method",Inventory!C601="N"),IF(ISERROR(INDEX('Usage Groups (&gt;120 MWh only)'!$N$8:$N$12,MATCH(C604,'Usage Groups (&gt;120 MWh only)'!$B$8:$B$12,0),1))=TRUE,SqFt/COUNTIFS(Inventory!$C$10:$C$1009,"N",$Q$13:$Q$1012,"&gt;=0"),INDEX('Usage Groups (&gt;120 MWh only)'!$N$8:$N$12,MATCH(C604,'Usage Groups (&gt;120 MWh only)'!$B$8:$B$12,0),1)/COUNTIF($C$13:$C$1012,C604)),IF(AND(NC_Type="Building Area Method",Inventory!C601="Y"),INDEX(xyNCEx,MATCH(I604,yNCExArea,0),3)/COUNTIF($I$13:$I$1012,I604),VLOOKUP(J604,xyWattage_Table,10,FALSE))),"")</f>
        <v/>
      </c>
      <c r="L604" s="539" t="str">
        <f t="shared" si="215"/>
        <v/>
      </c>
      <c r="M604" s="540">
        <f>IF(Inventory!N601="","",Inventory!N601)</f>
        <v>0</v>
      </c>
      <c r="N604" s="533" t="str">
        <f t="shared" si="216"/>
        <v/>
      </c>
      <c r="O604" s="534"/>
      <c r="P604" s="533" t="str">
        <f t="shared" si="217"/>
        <v/>
      </c>
      <c r="Q604" s="534" t="str">
        <f>IF(Inventory!L601="","",Inventory!L601)</f>
        <v/>
      </c>
      <c r="R604" s="535" t="str">
        <f t="shared" si="218"/>
        <v/>
      </c>
      <c r="S604" s="536" t="str">
        <f>IF(Inventory!O601="","",Inventory!O601)</f>
        <v/>
      </c>
      <c r="T604" s="541" t="str">
        <f>IFERROR(IF(C604="","",IF(INDEX(xyWattage_Table,MATCH(M604,'Fixture Identities'!$B$9:$B$997,0),2)="Exit Sign",8760,IF(VLOOKUP(C604,xySpace_Type_Details,8,FALSE)="TRM",INDEX('General Information'!$AF$17:$AG$28,11,MATCH(N604,'General Information'!$AF$16:$AG$16,0)),HLOOKUP(VLOOKUP(C604,xySpace_Type_Details,8,FALSE),'General Information'!$P$15:$AG$28,13,FALSE)))),"")</f>
        <v/>
      </c>
      <c r="U604" s="542" t="str">
        <f>IFERROR(IF(C604="","",IF(INDEX(xyWattage_Table,MATCH(M604,'Fixture Identities'!$B$9:$B$997,0),2)="Exit Sign",1,IF(VLOOKUP(C604,xySpace_Type_Details,8,FALSE)="TRM",INDEX('General Information'!$AF$17:$AG$28,12,MATCH(N604,'General Information'!$AF$16:$AG$16,0)),HLOOKUP(VLOOKUP(C604,xySpace_Type_Details,8,FALSE),'General Information'!$P$15:$AG$28,14,FALSE)))),"")</f>
        <v/>
      </c>
      <c r="V604" s="542" t="str">
        <f>IFERROR(VLOOKUP(INDEX(xySpace_Type_Details,MATCH($C604,'General Information'!$C$40:$C$60,0),12),Lookups!$L$8:$N$12,2,FALSE),"")</f>
        <v/>
      </c>
      <c r="W604" s="542" t="str">
        <f>IFERROR(VLOOKUP(INDEX(xySpace_Type_Details,MATCH($C604,'General Information'!$C$40:$C$60,0),12),Lookups!$L$8:$N$12,3,FALSE),"")</f>
        <v/>
      </c>
      <c r="Y604" s="542" t="str">
        <f>IFERROR(IF(C604="","",IF(INDEX(xyWattage_Table,MATCH(M604,'Fixture Identities'!$B$9:$B$997,0),2)="Exit Sign",0,IF(PRJ_Type="Retrofit",VLOOKUP(I604,xySVG_Factors,2,FALSE),IF(AND(PRJ_Type="New Construction",Inventory!C601="N"),VLOOKUP(VLOOKUP(Building_Type,xyLPD_BuildingArea,5,FALSE),xySVG_Factors_NC,3,FALSE),0)))),"")</f>
        <v/>
      </c>
      <c r="Z604" s="544" t="str">
        <f>IFERROR(IF(C604="","",IF(INDEX(xyWattage_Table,MATCH(M604,'Fixture Identities'!$B$9:$B$997,0),2)="Exit Sign",0,VLOOKUP(S604,xySVG_Factors,2,FALSE))),"")</f>
        <v/>
      </c>
      <c r="AA604" s="545" t="str">
        <f t="shared" si="219"/>
        <v/>
      </c>
      <c r="AB604" s="542" t="str">
        <f t="shared" si="220"/>
        <v/>
      </c>
      <c r="AC604" s="539" t="str">
        <f t="shared" si="221"/>
        <v/>
      </c>
      <c r="AD604" s="546" t="str">
        <f t="shared" si="222"/>
        <v/>
      </c>
      <c r="AE604" s="539" t="str">
        <f t="shared" si="223"/>
        <v/>
      </c>
      <c r="AF604" s="546" t="str">
        <f t="shared" si="224"/>
        <v/>
      </c>
      <c r="AG604" s="539" t="str">
        <f t="shared" si="225"/>
        <v/>
      </c>
      <c r="AH604" s="32">
        <f t="shared" si="227"/>
        <v>0</v>
      </c>
      <c r="AI604" s="32">
        <f t="shared" si="228"/>
        <v>0</v>
      </c>
      <c r="AJ604" s="32">
        <f t="shared" si="229"/>
        <v>0</v>
      </c>
      <c r="AK604" t="str">
        <f t="shared" si="230"/>
        <v/>
      </c>
      <c r="AL604" t="str">
        <f t="shared" si="231"/>
        <v/>
      </c>
      <c r="AM604" t="str">
        <f t="shared" si="232"/>
        <v/>
      </c>
      <c r="AO604" t="str">
        <f>IFERROR(VLOOKUP(M604,'Fixture Identities'!$B$9:$O$1045,14,FALSE),"")</f>
        <v/>
      </c>
      <c r="AP604" t="str">
        <f t="shared" si="226"/>
        <v/>
      </c>
    </row>
    <row r="605" spans="1:42">
      <c r="A605" s="71">
        <f t="shared" si="234"/>
        <v>0</v>
      </c>
      <c r="B605" s="513">
        <f t="shared" si="233"/>
        <v>593</v>
      </c>
      <c r="C605" s="530" t="str">
        <f>IF(Inventory!E602="","",Inventory!E602)</f>
        <v/>
      </c>
      <c r="D605" s="531">
        <f>IF(Inventory!D602="",0,Inventory!D602)</f>
        <v>0</v>
      </c>
      <c r="E605" s="532" t="str">
        <f>IF(Inventory!I602=0,"",Inventory!I602)</f>
        <v/>
      </c>
      <c r="F605" s="533" t="str">
        <f t="shared" si="213"/>
        <v/>
      </c>
      <c r="G605" s="534" t="str">
        <f>IF(Inventory!G602="","",Inventory!G602)</f>
        <v/>
      </c>
      <c r="H605" s="535" t="str">
        <f t="shared" si="214"/>
        <v/>
      </c>
      <c r="I605" s="536" t="str">
        <f>IF(Inventory!J602="","",Inventory!J602)</f>
        <v/>
      </c>
      <c r="J605" s="537" t="str">
        <f>IFERROR(IF(PRJ_Type="New Construction",IF(Inventory!C602="N",INDEX(xyLPD_BuildingArea,MATCH(Building_Type,Lookups!$F$37:$F$75,0),4),INDEX(xyLPD_SpaceBySpace,MATCH(INDEX(xyNCEx,MATCH(I605,yNCExArea,0),2),ySpace_by_Space_Type,0),2)),VLOOKUP(E605,xyWattage_Table,11,FALSE)),"")</f>
        <v/>
      </c>
      <c r="K605" s="538" t="str">
        <f>IFERROR(IF(AND(NC_Type="Building Area Method",Inventory!C602="N"),IF(ISERROR(INDEX('Usage Groups (&gt;120 MWh only)'!$N$8:$N$12,MATCH(C605,'Usage Groups (&gt;120 MWh only)'!$B$8:$B$12,0),1))=TRUE,SqFt/COUNTIFS(Inventory!$C$10:$C$1009,"N",$Q$13:$Q$1012,"&gt;=0"),INDEX('Usage Groups (&gt;120 MWh only)'!$N$8:$N$12,MATCH(C605,'Usage Groups (&gt;120 MWh only)'!$B$8:$B$12,0),1)/COUNTIF($C$13:$C$1012,C605)),IF(AND(NC_Type="Building Area Method",Inventory!C602="Y"),INDEX(xyNCEx,MATCH(I605,yNCExArea,0),3)/COUNTIF($I$13:$I$1012,I605),VLOOKUP(J605,xyWattage_Table,10,FALSE))),"")</f>
        <v/>
      </c>
      <c r="L605" s="539" t="str">
        <f t="shared" si="215"/>
        <v/>
      </c>
      <c r="M605" s="540">
        <f>IF(Inventory!N602="","",Inventory!N602)</f>
        <v>0</v>
      </c>
      <c r="N605" s="533" t="str">
        <f t="shared" si="216"/>
        <v/>
      </c>
      <c r="O605" s="534"/>
      <c r="P605" s="533" t="str">
        <f t="shared" si="217"/>
        <v/>
      </c>
      <c r="Q605" s="534" t="str">
        <f>IF(Inventory!L602="","",Inventory!L602)</f>
        <v/>
      </c>
      <c r="R605" s="535" t="str">
        <f t="shared" si="218"/>
        <v/>
      </c>
      <c r="S605" s="536" t="str">
        <f>IF(Inventory!O602="","",Inventory!O602)</f>
        <v/>
      </c>
      <c r="T605" s="541" t="str">
        <f>IFERROR(IF(C605="","",IF(INDEX(xyWattage_Table,MATCH(M605,'Fixture Identities'!$B$9:$B$997,0),2)="Exit Sign",8760,IF(VLOOKUP(C605,xySpace_Type_Details,8,FALSE)="TRM",INDEX('General Information'!$AF$17:$AG$28,11,MATCH(N605,'General Information'!$AF$16:$AG$16,0)),HLOOKUP(VLOOKUP(C605,xySpace_Type_Details,8,FALSE),'General Information'!$P$15:$AG$28,13,FALSE)))),"")</f>
        <v/>
      </c>
      <c r="U605" s="542" t="str">
        <f>IFERROR(IF(C605="","",IF(INDEX(xyWattage_Table,MATCH(M605,'Fixture Identities'!$B$9:$B$997,0),2)="Exit Sign",1,IF(VLOOKUP(C605,xySpace_Type_Details,8,FALSE)="TRM",INDEX('General Information'!$AF$17:$AG$28,12,MATCH(N605,'General Information'!$AF$16:$AG$16,0)),HLOOKUP(VLOOKUP(C605,xySpace_Type_Details,8,FALSE),'General Information'!$P$15:$AG$28,14,FALSE)))),"")</f>
        <v/>
      </c>
      <c r="V605" s="542" t="str">
        <f>IFERROR(VLOOKUP(INDEX(xySpace_Type_Details,MATCH($C605,'General Information'!$C$40:$C$60,0),12),Lookups!$L$8:$N$12,2,FALSE),"")</f>
        <v/>
      </c>
      <c r="W605" s="542" t="str">
        <f>IFERROR(VLOOKUP(INDEX(xySpace_Type_Details,MATCH($C605,'General Information'!$C$40:$C$60,0),12),Lookups!$L$8:$N$12,3,FALSE),"")</f>
        <v/>
      </c>
      <c r="Y605" s="542" t="str">
        <f>IFERROR(IF(C605="","",IF(INDEX(xyWattage_Table,MATCH(M605,'Fixture Identities'!$B$9:$B$997,0),2)="Exit Sign",0,IF(PRJ_Type="Retrofit",VLOOKUP(I605,xySVG_Factors,2,FALSE),IF(AND(PRJ_Type="New Construction",Inventory!C602="N"),VLOOKUP(VLOOKUP(Building_Type,xyLPD_BuildingArea,5,FALSE),xySVG_Factors_NC,3,FALSE),0)))),"")</f>
        <v/>
      </c>
      <c r="Z605" s="544" t="str">
        <f>IFERROR(IF(C605="","",IF(INDEX(xyWattage_Table,MATCH(M605,'Fixture Identities'!$B$9:$B$997,0),2)="Exit Sign",0,VLOOKUP(S605,xySVG_Factors,2,FALSE))),"")</f>
        <v/>
      </c>
      <c r="AA605" s="545" t="str">
        <f t="shared" si="219"/>
        <v/>
      </c>
      <c r="AB605" s="542" t="str">
        <f t="shared" si="220"/>
        <v/>
      </c>
      <c r="AC605" s="539" t="str">
        <f t="shared" si="221"/>
        <v/>
      </c>
      <c r="AD605" s="546" t="str">
        <f t="shared" si="222"/>
        <v/>
      </c>
      <c r="AE605" s="539" t="str">
        <f t="shared" si="223"/>
        <v/>
      </c>
      <c r="AF605" s="546" t="str">
        <f t="shared" si="224"/>
        <v/>
      </c>
      <c r="AG605" s="539" t="str">
        <f t="shared" si="225"/>
        <v/>
      </c>
      <c r="AH605" s="32">
        <f t="shared" si="227"/>
        <v>0</v>
      </c>
      <c r="AI605" s="32">
        <f t="shared" si="228"/>
        <v>0</v>
      </c>
      <c r="AJ605" s="32">
        <f t="shared" si="229"/>
        <v>0</v>
      </c>
      <c r="AK605" t="str">
        <f t="shared" si="230"/>
        <v/>
      </c>
      <c r="AL605" t="str">
        <f t="shared" si="231"/>
        <v/>
      </c>
      <c r="AM605" t="str">
        <f t="shared" si="232"/>
        <v/>
      </c>
      <c r="AO605" t="str">
        <f>IFERROR(VLOOKUP(M605,'Fixture Identities'!$B$9:$O$1045,14,FALSE),"")</f>
        <v/>
      </c>
      <c r="AP605" t="str">
        <f t="shared" si="226"/>
        <v/>
      </c>
    </row>
    <row r="606" spans="1:42">
      <c r="A606" s="71">
        <f t="shared" si="234"/>
        <v>0</v>
      </c>
      <c r="B606" s="513">
        <f t="shared" si="233"/>
        <v>594</v>
      </c>
      <c r="C606" s="530" t="str">
        <f>IF(Inventory!E603="","",Inventory!E603)</f>
        <v/>
      </c>
      <c r="D606" s="531">
        <f>IF(Inventory!D603="",0,Inventory!D603)</f>
        <v>0</v>
      </c>
      <c r="E606" s="532" t="str">
        <f>IF(Inventory!I603=0,"",Inventory!I603)</f>
        <v/>
      </c>
      <c r="F606" s="533" t="str">
        <f t="shared" si="213"/>
        <v/>
      </c>
      <c r="G606" s="534" t="str">
        <f>IF(Inventory!G603="","",Inventory!G603)</f>
        <v/>
      </c>
      <c r="H606" s="535" t="str">
        <f t="shared" si="214"/>
        <v/>
      </c>
      <c r="I606" s="536" t="str">
        <f>IF(Inventory!J603="","",Inventory!J603)</f>
        <v/>
      </c>
      <c r="J606" s="537" t="str">
        <f>IFERROR(IF(PRJ_Type="New Construction",IF(Inventory!C603="N",INDEX(xyLPD_BuildingArea,MATCH(Building_Type,Lookups!$F$37:$F$75,0),4),INDEX(xyLPD_SpaceBySpace,MATCH(INDEX(xyNCEx,MATCH(I606,yNCExArea,0),2),ySpace_by_Space_Type,0),2)),VLOOKUP(E606,xyWattage_Table,11,FALSE)),"")</f>
        <v/>
      </c>
      <c r="K606" s="538" t="str">
        <f>IFERROR(IF(AND(NC_Type="Building Area Method",Inventory!C603="N"),IF(ISERROR(INDEX('Usage Groups (&gt;120 MWh only)'!$N$8:$N$12,MATCH(C606,'Usage Groups (&gt;120 MWh only)'!$B$8:$B$12,0),1))=TRUE,SqFt/COUNTIFS(Inventory!$C$10:$C$1009,"N",$Q$13:$Q$1012,"&gt;=0"),INDEX('Usage Groups (&gt;120 MWh only)'!$N$8:$N$12,MATCH(C606,'Usage Groups (&gt;120 MWh only)'!$B$8:$B$12,0),1)/COUNTIF($C$13:$C$1012,C606)),IF(AND(NC_Type="Building Area Method",Inventory!C603="Y"),INDEX(xyNCEx,MATCH(I606,yNCExArea,0),3)/COUNTIF($I$13:$I$1012,I606),VLOOKUP(J606,xyWattage_Table,10,FALSE))),"")</f>
        <v/>
      </c>
      <c r="L606" s="539" t="str">
        <f t="shared" si="215"/>
        <v/>
      </c>
      <c r="M606" s="540">
        <f>IF(Inventory!N603="","",Inventory!N603)</f>
        <v>0</v>
      </c>
      <c r="N606" s="533" t="str">
        <f t="shared" si="216"/>
        <v/>
      </c>
      <c r="O606" s="534"/>
      <c r="P606" s="533" t="str">
        <f t="shared" si="217"/>
        <v/>
      </c>
      <c r="Q606" s="534" t="str">
        <f>IF(Inventory!L603="","",Inventory!L603)</f>
        <v/>
      </c>
      <c r="R606" s="535" t="str">
        <f t="shared" si="218"/>
        <v/>
      </c>
      <c r="S606" s="536" t="str">
        <f>IF(Inventory!O603="","",Inventory!O603)</f>
        <v/>
      </c>
      <c r="T606" s="541" t="str">
        <f>IFERROR(IF(C606="","",IF(INDEX(xyWattage_Table,MATCH(M606,'Fixture Identities'!$B$9:$B$997,0),2)="Exit Sign",8760,IF(VLOOKUP(C606,xySpace_Type_Details,8,FALSE)="TRM",INDEX('General Information'!$AF$17:$AG$28,11,MATCH(N606,'General Information'!$AF$16:$AG$16,0)),HLOOKUP(VLOOKUP(C606,xySpace_Type_Details,8,FALSE),'General Information'!$P$15:$AG$28,13,FALSE)))),"")</f>
        <v/>
      </c>
      <c r="U606" s="542" t="str">
        <f>IFERROR(IF(C606="","",IF(INDEX(xyWattage_Table,MATCH(M606,'Fixture Identities'!$B$9:$B$997,0),2)="Exit Sign",1,IF(VLOOKUP(C606,xySpace_Type_Details,8,FALSE)="TRM",INDEX('General Information'!$AF$17:$AG$28,12,MATCH(N606,'General Information'!$AF$16:$AG$16,0)),HLOOKUP(VLOOKUP(C606,xySpace_Type_Details,8,FALSE),'General Information'!$P$15:$AG$28,14,FALSE)))),"")</f>
        <v/>
      </c>
      <c r="V606" s="542" t="str">
        <f>IFERROR(VLOOKUP(INDEX(xySpace_Type_Details,MATCH($C606,'General Information'!$C$40:$C$60,0),12),Lookups!$L$8:$N$12,2,FALSE),"")</f>
        <v/>
      </c>
      <c r="W606" s="542" t="str">
        <f>IFERROR(VLOOKUP(INDEX(xySpace_Type_Details,MATCH($C606,'General Information'!$C$40:$C$60,0),12),Lookups!$L$8:$N$12,3,FALSE),"")</f>
        <v/>
      </c>
      <c r="Y606" s="542" t="str">
        <f>IFERROR(IF(C606="","",IF(INDEX(xyWattage_Table,MATCH(M606,'Fixture Identities'!$B$9:$B$997,0),2)="Exit Sign",0,IF(PRJ_Type="Retrofit",VLOOKUP(I606,xySVG_Factors,2,FALSE),IF(AND(PRJ_Type="New Construction",Inventory!C603="N"),VLOOKUP(VLOOKUP(Building_Type,xyLPD_BuildingArea,5,FALSE),xySVG_Factors_NC,3,FALSE),0)))),"")</f>
        <v/>
      </c>
      <c r="Z606" s="544" t="str">
        <f>IFERROR(IF(C606="","",IF(INDEX(xyWattage_Table,MATCH(M606,'Fixture Identities'!$B$9:$B$997,0),2)="Exit Sign",0,VLOOKUP(S606,xySVG_Factors,2,FALSE))),"")</f>
        <v/>
      </c>
      <c r="AA606" s="545" t="str">
        <f t="shared" si="219"/>
        <v/>
      </c>
      <c r="AB606" s="542" t="str">
        <f t="shared" si="220"/>
        <v/>
      </c>
      <c r="AC606" s="539" t="str">
        <f t="shared" si="221"/>
        <v/>
      </c>
      <c r="AD606" s="546" t="str">
        <f t="shared" si="222"/>
        <v/>
      </c>
      <c r="AE606" s="539" t="str">
        <f t="shared" si="223"/>
        <v/>
      </c>
      <c r="AF606" s="546" t="str">
        <f t="shared" si="224"/>
        <v/>
      </c>
      <c r="AG606" s="539" t="str">
        <f t="shared" si="225"/>
        <v/>
      </c>
      <c r="AH606" s="32">
        <f t="shared" si="227"/>
        <v>0</v>
      </c>
      <c r="AI606" s="32">
        <f t="shared" si="228"/>
        <v>0</v>
      </c>
      <c r="AJ606" s="32">
        <f t="shared" si="229"/>
        <v>0</v>
      </c>
      <c r="AK606" t="str">
        <f t="shared" si="230"/>
        <v/>
      </c>
      <c r="AL606" t="str">
        <f t="shared" si="231"/>
        <v/>
      </c>
      <c r="AM606" t="str">
        <f t="shared" si="232"/>
        <v/>
      </c>
      <c r="AO606" t="str">
        <f>IFERROR(VLOOKUP(M606,'Fixture Identities'!$B$9:$O$1045,14,FALSE),"")</f>
        <v/>
      </c>
      <c r="AP606" t="str">
        <f t="shared" si="226"/>
        <v/>
      </c>
    </row>
    <row r="607" spans="1:42">
      <c r="A607" s="71">
        <f t="shared" si="234"/>
        <v>0</v>
      </c>
      <c r="B607" s="513">
        <f t="shared" si="233"/>
        <v>595</v>
      </c>
      <c r="C607" s="530" t="str">
        <f>IF(Inventory!E604="","",Inventory!E604)</f>
        <v/>
      </c>
      <c r="D607" s="531">
        <f>IF(Inventory!D604="",0,Inventory!D604)</f>
        <v>0</v>
      </c>
      <c r="E607" s="532" t="str">
        <f>IF(Inventory!I604=0,"",Inventory!I604)</f>
        <v/>
      </c>
      <c r="F607" s="533" t="str">
        <f t="shared" si="213"/>
        <v/>
      </c>
      <c r="G607" s="534" t="str">
        <f>IF(Inventory!G604="","",Inventory!G604)</f>
        <v/>
      </c>
      <c r="H607" s="535" t="str">
        <f t="shared" si="214"/>
        <v/>
      </c>
      <c r="I607" s="536" t="str">
        <f>IF(Inventory!J604="","",Inventory!J604)</f>
        <v/>
      </c>
      <c r="J607" s="537" t="str">
        <f>IFERROR(IF(PRJ_Type="New Construction",IF(Inventory!C604="N",INDEX(xyLPD_BuildingArea,MATCH(Building_Type,Lookups!$F$37:$F$75,0),4),INDEX(xyLPD_SpaceBySpace,MATCH(INDEX(xyNCEx,MATCH(I607,yNCExArea,0),2),ySpace_by_Space_Type,0),2)),VLOOKUP(E607,xyWattage_Table,11,FALSE)),"")</f>
        <v/>
      </c>
      <c r="K607" s="538" t="str">
        <f>IFERROR(IF(AND(NC_Type="Building Area Method",Inventory!C604="N"),IF(ISERROR(INDEX('Usage Groups (&gt;120 MWh only)'!$N$8:$N$12,MATCH(C607,'Usage Groups (&gt;120 MWh only)'!$B$8:$B$12,0),1))=TRUE,SqFt/COUNTIFS(Inventory!$C$10:$C$1009,"N",$Q$13:$Q$1012,"&gt;=0"),INDEX('Usage Groups (&gt;120 MWh only)'!$N$8:$N$12,MATCH(C607,'Usage Groups (&gt;120 MWh only)'!$B$8:$B$12,0),1)/COUNTIF($C$13:$C$1012,C607)),IF(AND(NC_Type="Building Area Method",Inventory!C604="Y"),INDEX(xyNCEx,MATCH(I607,yNCExArea,0),3)/COUNTIF($I$13:$I$1012,I607),VLOOKUP(J607,xyWattage_Table,10,FALSE))),"")</f>
        <v/>
      </c>
      <c r="L607" s="539" t="str">
        <f t="shared" si="215"/>
        <v/>
      </c>
      <c r="M607" s="540">
        <f>IF(Inventory!N604="","",Inventory!N604)</f>
        <v>0</v>
      </c>
      <c r="N607" s="533" t="str">
        <f t="shared" si="216"/>
        <v/>
      </c>
      <c r="O607" s="534"/>
      <c r="P607" s="533" t="str">
        <f t="shared" si="217"/>
        <v/>
      </c>
      <c r="Q607" s="534" t="str">
        <f>IF(Inventory!L604="","",Inventory!L604)</f>
        <v/>
      </c>
      <c r="R607" s="535" t="str">
        <f t="shared" si="218"/>
        <v/>
      </c>
      <c r="S607" s="536" t="str">
        <f>IF(Inventory!O604="","",Inventory!O604)</f>
        <v/>
      </c>
      <c r="T607" s="541" t="str">
        <f>IFERROR(IF(C607="","",IF(INDEX(xyWattage_Table,MATCH(M607,'Fixture Identities'!$B$9:$B$997,0),2)="Exit Sign",8760,IF(VLOOKUP(C607,xySpace_Type_Details,8,FALSE)="TRM",INDEX('General Information'!$AF$17:$AG$28,11,MATCH(N607,'General Information'!$AF$16:$AG$16,0)),HLOOKUP(VLOOKUP(C607,xySpace_Type_Details,8,FALSE),'General Information'!$P$15:$AG$28,13,FALSE)))),"")</f>
        <v/>
      </c>
      <c r="U607" s="542" t="str">
        <f>IFERROR(IF(C607="","",IF(INDEX(xyWattage_Table,MATCH(M607,'Fixture Identities'!$B$9:$B$997,0),2)="Exit Sign",1,IF(VLOOKUP(C607,xySpace_Type_Details,8,FALSE)="TRM",INDEX('General Information'!$AF$17:$AG$28,12,MATCH(N607,'General Information'!$AF$16:$AG$16,0)),HLOOKUP(VLOOKUP(C607,xySpace_Type_Details,8,FALSE),'General Information'!$P$15:$AG$28,14,FALSE)))),"")</f>
        <v/>
      </c>
      <c r="V607" s="542" t="str">
        <f>IFERROR(VLOOKUP(INDEX(xySpace_Type_Details,MATCH($C607,'General Information'!$C$40:$C$60,0),12),Lookups!$L$8:$N$12,2,FALSE),"")</f>
        <v/>
      </c>
      <c r="W607" s="542" t="str">
        <f>IFERROR(VLOOKUP(INDEX(xySpace_Type_Details,MATCH($C607,'General Information'!$C$40:$C$60,0),12),Lookups!$L$8:$N$12,3,FALSE),"")</f>
        <v/>
      </c>
      <c r="Y607" s="542" t="str">
        <f>IFERROR(IF(C607="","",IF(INDEX(xyWattage_Table,MATCH(M607,'Fixture Identities'!$B$9:$B$997,0),2)="Exit Sign",0,IF(PRJ_Type="Retrofit",VLOOKUP(I607,xySVG_Factors,2,FALSE),IF(AND(PRJ_Type="New Construction",Inventory!C604="N"),VLOOKUP(VLOOKUP(Building_Type,xyLPD_BuildingArea,5,FALSE),xySVG_Factors_NC,3,FALSE),0)))),"")</f>
        <v/>
      </c>
      <c r="Z607" s="544" t="str">
        <f>IFERROR(IF(C607="","",IF(INDEX(xyWattage_Table,MATCH(M607,'Fixture Identities'!$B$9:$B$997,0),2)="Exit Sign",0,VLOOKUP(S607,xySVG_Factors,2,FALSE))),"")</f>
        <v/>
      </c>
      <c r="AA607" s="545" t="str">
        <f t="shared" si="219"/>
        <v/>
      </c>
      <c r="AB607" s="542" t="str">
        <f t="shared" si="220"/>
        <v/>
      </c>
      <c r="AC607" s="539" t="str">
        <f t="shared" si="221"/>
        <v/>
      </c>
      <c r="AD607" s="546" t="str">
        <f t="shared" si="222"/>
        <v/>
      </c>
      <c r="AE607" s="539" t="str">
        <f t="shared" si="223"/>
        <v/>
      </c>
      <c r="AF607" s="546" t="str">
        <f t="shared" si="224"/>
        <v/>
      </c>
      <c r="AG607" s="539" t="str">
        <f t="shared" si="225"/>
        <v/>
      </c>
      <c r="AH607" s="32">
        <f t="shared" si="227"/>
        <v>0</v>
      </c>
      <c r="AI607" s="32">
        <f t="shared" si="228"/>
        <v>0</v>
      </c>
      <c r="AJ607" s="32">
        <f t="shared" si="229"/>
        <v>0</v>
      </c>
      <c r="AK607" t="str">
        <f t="shared" si="230"/>
        <v/>
      </c>
      <c r="AL607" t="str">
        <f t="shared" si="231"/>
        <v/>
      </c>
      <c r="AM607" t="str">
        <f t="shared" si="232"/>
        <v/>
      </c>
      <c r="AO607" t="str">
        <f>IFERROR(VLOOKUP(M607,'Fixture Identities'!$B$9:$O$1045,14,FALSE),"")</f>
        <v/>
      </c>
      <c r="AP607" t="str">
        <f t="shared" si="226"/>
        <v/>
      </c>
    </row>
    <row r="608" spans="1:42">
      <c r="A608" s="71">
        <f t="shared" si="234"/>
        <v>0</v>
      </c>
      <c r="B608" s="513">
        <f t="shared" si="233"/>
        <v>596</v>
      </c>
      <c r="C608" s="530" t="str">
        <f>IF(Inventory!E605="","",Inventory!E605)</f>
        <v/>
      </c>
      <c r="D608" s="531">
        <f>IF(Inventory!D605="",0,Inventory!D605)</f>
        <v>0</v>
      </c>
      <c r="E608" s="532" t="str">
        <f>IF(Inventory!I605=0,"",Inventory!I605)</f>
        <v/>
      </c>
      <c r="F608" s="533" t="str">
        <f t="shared" si="213"/>
        <v/>
      </c>
      <c r="G608" s="534" t="str">
        <f>IF(Inventory!G605="","",Inventory!G605)</f>
        <v/>
      </c>
      <c r="H608" s="535" t="str">
        <f t="shared" si="214"/>
        <v/>
      </c>
      <c r="I608" s="536" t="str">
        <f>IF(Inventory!J605="","",Inventory!J605)</f>
        <v/>
      </c>
      <c r="J608" s="537" t="str">
        <f>IFERROR(IF(PRJ_Type="New Construction",IF(Inventory!C605="N",INDEX(xyLPD_BuildingArea,MATCH(Building_Type,Lookups!$F$37:$F$75,0),4),INDEX(xyLPD_SpaceBySpace,MATCH(INDEX(xyNCEx,MATCH(I608,yNCExArea,0),2),ySpace_by_Space_Type,0),2)),VLOOKUP(E608,xyWattage_Table,11,FALSE)),"")</f>
        <v/>
      </c>
      <c r="K608" s="538" t="str">
        <f>IFERROR(IF(AND(NC_Type="Building Area Method",Inventory!C605="N"),IF(ISERROR(INDEX('Usage Groups (&gt;120 MWh only)'!$N$8:$N$12,MATCH(C608,'Usage Groups (&gt;120 MWh only)'!$B$8:$B$12,0),1))=TRUE,SqFt/COUNTIFS(Inventory!$C$10:$C$1009,"N",$Q$13:$Q$1012,"&gt;=0"),INDEX('Usage Groups (&gt;120 MWh only)'!$N$8:$N$12,MATCH(C608,'Usage Groups (&gt;120 MWh only)'!$B$8:$B$12,0),1)/COUNTIF($C$13:$C$1012,C608)),IF(AND(NC_Type="Building Area Method",Inventory!C605="Y"),INDEX(xyNCEx,MATCH(I608,yNCExArea,0),3)/COUNTIF($I$13:$I$1012,I608),VLOOKUP(J608,xyWattage_Table,10,FALSE))),"")</f>
        <v/>
      </c>
      <c r="L608" s="539" t="str">
        <f t="shared" si="215"/>
        <v/>
      </c>
      <c r="M608" s="540">
        <f>IF(Inventory!N605="","",Inventory!N605)</f>
        <v>0</v>
      </c>
      <c r="N608" s="533" t="str">
        <f t="shared" si="216"/>
        <v/>
      </c>
      <c r="O608" s="534"/>
      <c r="P608" s="533" t="str">
        <f t="shared" si="217"/>
        <v/>
      </c>
      <c r="Q608" s="534" t="str">
        <f>IF(Inventory!L605="","",Inventory!L605)</f>
        <v/>
      </c>
      <c r="R608" s="535" t="str">
        <f t="shared" si="218"/>
        <v/>
      </c>
      <c r="S608" s="536" t="str">
        <f>IF(Inventory!O605="","",Inventory!O605)</f>
        <v/>
      </c>
      <c r="T608" s="541" t="str">
        <f>IFERROR(IF(C608="","",IF(INDEX(xyWattage_Table,MATCH(M608,'Fixture Identities'!$B$9:$B$997,0),2)="Exit Sign",8760,IF(VLOOKUP(C608,xySpace_Type_Details,8,FALSE)="TRM",INDEX('General Information'!$AF$17:$AG$28,11,MATCH(N608,'General Information'!$AF$16:$AG$16,0)),HLOOKUP(VLOOKUP(C608,xySpace_Type_Details,8,FALSE),'General Information'!$P$15:$AG$28,13,FALSE)))),"")</f>
        <v/>
      </c>
      <c r="U608" s="542" t="str">
        <f>IFERROR(IF(C608="","",IF(INDEX(xyWattage_Table,MATCH(M608,'Fixture Identities'!$B$9:$B$997,0),2)="Exit Sign",1,IF(VLOOKUP(C608,xySpace_Type_Details,8,FALSE)="TRM",INDEX('General Information'!$AF$17:$AG$28,12,MATCH(N608,'General Information'!$AF$16:$AG$16,0)),HLOOKUP(VLOOKUP(C608,xySpace_Type_Details,8,FALSE),'General Information'!$P$15:$AG$28,14,FALSE)))),"")</f>
        <v/>
      </c>
      <c r="V608" s="542" t="str">
        <f>IFERROR(VLOOKUP(INDEX(xySpace_Type_Details,MATCH($C608,'General Information'!$C$40:$C$60,0),12),Lookups!$L$8:$N$12,2,FALSE),"")</f>
        <v/>
      </c>
      <c r="W608" s="542" t="str">
        <f>IFERROR(VLOOKUP(INDEX(xySpace_Type_Details,MATCH($C608,'General Information'!$C$40:$C$60,0),12),Lookups!$L$8:$N$12,3,FALSE),"")</f>
        <v/>
      </c>
      <c r="Y608" s="542" t="str">
        <f>IFERROR(IF(C608="","",IF(INDEX(xyWattage_Table,MATCH(M608,'Fixture Identities'!$B$9:$B$997,0),2)="Exit Sign",0,IF(PRJ_Type="Retrofit",VLOOKUP(I608,xySVG_Factors,2,FALSE),IF(AND(PRJ_Type="New Construction",Inventory!C605="N"),VLOOKUP(VLOOKUP(Building_Type,xyLPD_BuildingArea,5,FALSE),xySVG_Factors_NC,3,FALSE),0)))),"")</f>
        <v/>
      </c>
      <c r="Z608" s="544" t="str">
        <f>IFERROR(IF(C608="","",IF(INDEX(xyWattage_Table,MATCH(M608,'Fixture Identities'!$B$9:$B$997,0),2)="Exit Sign",0,VLOOKUP(S608,xySVG_Factors,2,FALSE))),"")</f>
        <v/>
      </c>
      <c r="AA608" s="545" t="str">
        <f t="shared" si="219"/>
        <v/>
      </c>
      <c r="AB608" s="542" t="str">
        <f t="shared" si="220"/>
        <v/>
      </c>
      <c r="AC608" s="539" t="str">
        <f t="shared" si="221"/>
        <v/>
      </c>
      <c r="AD608" s="546" t="str">
        <f t="shared" si="222"/>
        <v/>
      </c>
      <c r="AE608" s="539" t="str">
        <f t="shared" si="223"/>
        <v/>
      </c>
      <c r="AF608" s="546" t="str">
        <f t="shared" si="224"/>
        <v/>
      </c>
      <c r="AG608" s="539" t="str">
        <f t="shared" si="225"/>
        <v/>
      </c>
      <c r="AH608" s="32">
        <f t="shared" si="227"/>
        <v>0</v>
      </c>
      <c r="AI608" s="32">
        <f t="shared" si="228"/>
        <v>0</v>
      </c>
      <c r="AJ608" s="32">
        <f t="shared" si="229"/>
        <v>0</v>
      </c>
      <c r="AK608" t="str">
        <f t="shared" si="230"/>
        <v/>
      </c>
      <c r="AL608" t="str">
        <f t="shared" si="231"/>
        <v/>
      </c>
      <c r="AM608" t="str">
        <f t="shared" si="232"/>
        <v/>
      </c>
      <c r="AO608" t="str">
        <f>IFERROR(VLOOKUP(M608,'Fixture Identities'!$B$9:$O$1045,14,FALSE),"")</f>
        <v/>
      </c>
      <c r="AP608" t="str">
        <f t="shared" si="226"/>
        <v/>
      </c>
    </row>
    <row r="609" spans="1:42">
      <c r="A609" s="71">
        <f t="shared" si="234"/>
        <v>0</v>
      </c>
      <c r="B609" s="513">
        <f t="shared" si="233"/>
        <v>597</v>
      </c>
      <c r="C609" s="530" t="str">
        <f>IF(Inventory!E606="","",Inventory!E606)</f>
        <v/>
      </c>
      <c r="D609" s="531">
        <f>IF(Inventory!D606="",0,Inventory!D606)</f>
        <v>0</v>
      </c>
      <c r="E609" s="532" t="str">
        <f>IF(Inventory!I606=0,"",Inventory!I606)</f>
        <v/>
      </c>
      <c r="F609" s="533" t="str">
        <f t="shared" si="213"/>
        <v/>
      </c>
      <c r="G609" s="534" t="str">
        <f>IF(Inventory!G606="","",Inventory!G606)</f>
        <v/>
      </c>
      <c r="H609" s="535" t="str">
        <f t="shared" si="214"/>
        <v/>
      </c>
      <c r="I609" s="536" t="str">
        <f>IF(Inventory!J606="","",Inventory!J606)</f>
        <v/>
      </c>
      <c r="J609" s="537" t="str">
        <f>IFERROR(IF(PRJ_Type="New Construction",IF(Inventory!C606="N",INDEX(xyLPD_BuildingArea,MATCH(Building_Type,Lookups!$F$37:$F$75,0),4),INDEX(xyLPD_SpaceBySpace,MATCH(INDEX(xyNCEx,MATCH(I609,yNCExArea,0),2),ySpace_by_Space_Type,0),2)),VLOOKUP(E609,xyWattage_Table,11,FALSE)),"")</f>
        <v/>
      </c>
      <c r="K609" s="538" t="str">
        <f>IFERROR(IF(AND(NC_Type="Building Area Method",Inventory!C606="N"),IF(ISERROR(INDEX('Usage Groups (&gt;120 MWh only)'!$N$8:$N$12,MATCH(C609,'Usage Groups (&gt;120 MWh only)'!$B$8:$B$12,0),1))=TRUE,SqFt/COUNTIFS(Inventory!$C$10:$C$1009,"N",$Q$13:$Q$1012,"&gt;=0"),INDEX('Usage Groups (&gt;120 MWh only)'!$N$8:$N$12,MATCH(C609,'Usage Groups (&gt;120 MWh only)'!$B$8:$B$12,0),1)/COUNTIF($C$13:$C$1012,C609)),IF(AND(NC_Type="Building Area Method",Inventory!C606="Y"),INDEX(xyNCEx,MATCH(I609,yNCExArea,0),3)/COUNTIF($I$13:$I$1012,I609),VLOOKUP(J609,xyWattage_Table,10,FALSE))),"")</f>
        <v/>
      </c>
      <c r="L609" s="539" t="str">
        <f t="shared" si="215"/>
        <v/>
      </c>
      <c r="M609" s="540">
        <f>IF(Inventory!N606="","",Inventory!N606)</f>
        <v>0</v>
      </c>
      <c r="N609" s="533" t="str">
        <f t="shared" si="216"/>
        <v/>
      </c>
      <c r="O609" s="534"/>
      <c r="P609" s="533" t="str">
        <f t="shared" si="217"/>
        <v/>
      </c>
      <c r="Q609" s="534" t="str">
        <f>IF(Inventory!L606="","",Inventory!L606)</f>
        <v/>
      </c>
      <c r="R609" s="535" t="str">
        <f t="shared" si="218"/>
        <v/>
      </c>
      <c r="S609" s="536" t="str">
        <f>IF(Inventory!O606="","",Inventory!O606)</f>
        <v/>
      </c>
      <c r="T609" s="541" t="str">
        <f>IFERROR(IF(C609="","",IF(INDEX(xyWattage_Table,MATCH(M609,'Fixture Identities'!$B$9:$B$997,0),2)="Exit Sign",8760,IF(VLOOKUP(C609,xySpace_Type_Details,8,FALSE)="TRM",INDEX('General Information'!$AF$17:$AG$28,11,MATCH(N609,'General Information'!$AF$16:$AG$16,0)),HLOOKUP(VLOOKUP(C609,xySpace_Type_Details,8,FALSE),'General Information'!$P$15:$AG$28,13,FALSE)))),"")</f>
        <v/>
      </c>
      <c r="U609" s="542" t="str">
        <f>IFERROR(IF(C609="","",IF(INDEX(xyWattage_Table,MATCH(M609,'Fixture Identities'!$B$9:$B$997,0),2)="Exit Sign",1,IF(VLOOKUP(C609,xySpace_Type_Details,8,FALSE)="TRM",INDEX('General Information'!$AF$17:$AG$28,12,MATCH(N609,'General Information'!$AF$16:$AG$16,0)),HLOOKUP(VLOOKUP(C609,xySpace_Type_Details,8,FALSE),'General Information'!$P$15:$AG$28,14,FALSE)))),"")</f>
        <v/>
      </c>
      <c r="V609" s="542" t="str">
        <f>IFERROR(VLOOKUP(INDEX(xySpace_Type_Details,MATCH($C609,'General Information'!$C$40:$C$60,0),12),Lookups!$L$8:$N$12,2,FALSE),"")</f>
        <v/>
      </c>
      <c r="W609" s="542" t="str">
        <f>IFERROR(VLOOKUP(INDEX(xySpace_Type_Details,MATCH($C609,'General Information'!$C$40:$C$60,0),12),Lookups!$L$8:$N$12,3,FALSE),"")</f>
        <v/>
      </c>
      <c r="Y609" s="542" t="str">
        <f>IFERROR(IF(C609="","",IF(INDEX(xyWattage_Table,MATCH(M609,'Fixture Identities'!$B$9:$B$997,0),2)="Exit Sign",0,IF(PRJ_Type="Retrofit",VLOOKUP(I609,xySVG_Factors,2,FALSE),IF(AND(PRJ_Type="New Construction",Inventory!C606="N"),VLOOKUP(VLOOKUP(Building_Type,xyLPD_BuildingArea,5,FALSE),xySVG_Factors_NC,3,FALSE),0)))),"")</f>
        <v/>
      </c>
      <c r="Z609" s="544" t="str">
        <f>IFERROR(IF(C609="","",IF(INDEX(xyWattage_Table,MATCH(M609,'Fixture Identities'!$B$9:$B$997,0),2)="Exit Sign",0,VLOOKUP(S609,xySVG_Factors,2,FALSE))),"")</f>
        <v/>
      </c>
      <c r="AA609" s="545" t="str">
        <f t="shared" si="219"/>
        <v/>
      </c>
      <c r="AB609" s="542" t="str">
        <f t="shared" si="220"/>
        <v/>
      </c>
      <c r="AC609" s="539" t="str">
        <f t="shared" si="221"/>
        <v/>
      </c>
      <c r="AD609" s="546" t="str">
        <f t="shared" si="222"/>
        <v/>
      </c>
      <c r="AE609" s="539" t="str">
        <f t="shared" si="223"/>
        <v/>
      </c>
      <c r="AF609" s="546" t="str">
        <f t="shared" si="224"/>
        <v/>
      </c>
      <c r="AG609" s="539" t="str">
        <f t="shared" si="225"/>
        <v/>
      </c>
      <c r="AH609" s="32">
        <f t="shared" si="227"/>
        <v>0</v>
      </c>
      <c r="AI609" s="32">
        <f t="shared" si="228"/>
        <v>0</v>
      </c>
      <c r="AJ609" s="32">
        <f t="shared" si="229"/>
        <v>0</v>
      </c>
      <c r="AK609" t="str">
        <f t="shared" si="230"/>
        <v/>
      </c>
      <c r="AL609" t="str">
        <f t="shared" si="231"/>
        <v/>
      </c>
      <c r="AM609" t="str">
        <f t="shared" si="232"/>
        <v/>
      </c>
      <c r="AO609" t="str">
        <f>IFERROR(VLOOKUP(M609,'Fixture Identities'!$B$9:$O$1045,14,FALSE),"")</f>
        <v/>
      </c>
      <c r="AP609" t="str">
        <f t="shared" si="226"/>
        <v/>
      </c>
    </row>
    <row r="610" spans="1:42">
      <c r="A610" s="71">
        <f t="shared" si="234"/>
        <v>0</v>
      </c>
      <c r="B610" s="513">
        <f t="shared" si="233"/>
        <v>598</v>
      </c>
      <c r="C610" s="530" t="str">
        <f>IF(Inventory!E607="","",Inventory!E607)</f>
        <v/>
      </c>
      <c r="D610" s="531">
        <f>IF(Inventory!D607="",0,Inventory!D607)</f>
        <v>0</v>
      </c>
      <c r="E610" s="532" t="str">
        <f>IF(Inventory!I607=0,"",Inventory!I607)</f>
        <v/>
      </c>
      <c r="F610" s="533" t="str">
        <f t="shared" si="213"/>
        <v/>
      </c>
      <c r="G610" s="534" t="str">
        <f>IF(Inventory!G607="","",Inventory!G607)</f>
        <v/>
      </c>
      <c r="H610" s="535" t="str">
        <f t="shared" si="214"/>
        <v/>
      </c>
      <c r="I610" s="536" t="str">
        <f>IF(Inventory!J607="","",Inventory!J607)</f>
        <v/>
      </c>
      <c r="J610" s="537" t="str">
        <f>IFERROR(IF(PRJ_Type="New Construction",IF(Inventory!C607="N",INDEX(xyLPD_BuildingArea,MATCH(Building_Type,Lookups!$F$37:$F$75,0),4),INDEX(xyLPD_SpaceBySpace,MATCH(INDEX(xyNCEx,MATCH(I610,yNCExArea,0),2),ySpace_by_Space_Type,0),2)),VLOOKUP(E610,xyWattage_Table,11,FALSE)),"")</f>
        <v/>
      </c>
      <c r="K610" s="538" t="str">
        <f>IFERROR(IF(AND(NC_Type="Building Area Method",Inventory!C607="N"),IF(ISERROR(INDEX('Usage Groups (&gt;120 MWh only)'!$N$8:$N$12,MATCH(C610,'Usage Groups (&gt;120 MWh only)'!$B$8:$B$12,0),1))=TRUE,SqFt/COUNTIFS(Inventory!$C$10:$C$1009,"N",$Q$13:$Q$1012,"&gt;=0"),INDEX('Usage Groups (&gt;120 MWh only)'!$N$8:$N$12,MATCH(C610,'Usage Groups (&gt;120 MWh only)'!$B$8:$B$12,0),1)/COUNTIF($C$13:$C$1012,C610)),IF(AND(NC_Type="Building Area Method",Inventory!C607="Y"),INDEX(xyNCEx,MATCH(I610,yNCExArea,0),3)/COUNTIF($I$13:$I$1012,I610),VLOOKUP(J610,xyWattage_Table,10,FALSE))),"")</f>
        <v/>
      </c>
      <c r="L610" s="539" t="str">
        <f t="shared" si="215"/>
        <v/>
      </c>
      <c r="M610" s="540">
        <f>IF(Inventory!N607="","",Inventory!N607)</f>
        <v>0</v>
      </c>
      <c r="N610" s="533" t="str">
        <f t="shared" si="216"/>
        <v/>
      </c>
      <c r="O610" s="534"/>
      <c r="P610" s="533" t="str">
        <f t="shared" si="217"/>
        <v/>
      </c>
      <c r="Q610" s="534" t="str">
        <f>IF(Inventory!L607="","",Inventory!L607)</f>
        <v/>
      </c>
      <c r="R610" s="535" t="str">
        <f t="shared" si="218"/>
        <v/>
      </c>
      <c r="S610" s="536" t="str">
        <f>IF(Inventory!O607="","",Inventory!O607)</f>
        <v/>
      </c>
      <c r="T610" s="541" t="str">
        <f>IFERROR(IF(C610="","",IF(INDEX(xyWattage_Table,MATCH(M610,'Fixture Identities'!$B$9:$B$997,0),2)="Exit Sign",8760,IF(VLOOKUP(C610,xySpace_Type_Details,8,FALSE)="TRM",INDEX('General Information'!$AF$17:$AG$28,11,MATCH(N610,'General Information'!$AF$16:$AG$16,0)),HLOOKUP(VLOOKUP(C610,xySpace_Type_Details,8,FALSE),'General Information'!$P$15:$AG$28,13,FALSE)))),"")</f>
        <v/>
      </c>
      <c r="U610" s="542" t="str">
        <f>IFERROR(IF(C610="","",IF(INDEX(xyWattage_Table,MATCH(M610,'Fixture Identities'!$B$9:$B$997,0),2)="Exit Sign",1,IF(VLOOKUP(C610,xySpace_Type_Details,8,FALSE)="TRM",INDEX('General Information'!$AF$17:$AG$28,12,MATCH(N610,'General Information'!$AF$16:$AG$16,0)),HLOOKUP(VLOOKUP(C610,xySpace_Type_Details,8,FALSE),'General Information'!$P$15:$AG$28,14,FALSE)))),"")</f>
        <v/>
      </c>
      <c r="V610" s="542" t="str">
        <f>IFERROR(VLOOKUP(INDEX(xySpace_Type_Details,MATCH($C610,'General Information'!$C$40:$C$60,0),12),Lookups!$L$8:$N$12,2,FALSE),"")</f>
        <v/>
      </c>
      <c r="W610" s="542" t="str">
        <f>IFERROR(VLOOKUP(INDEX(xySpace_Type_Details,MATCH($C610,'General Information'!$C$40:$C$60,0),12),Lookups!$L$8:$N$12,3,FALSE),"")</f>
        <v/>
      </c>
      <c r="Y610" s="542" t="str">
        <f>IFERROR(IF(C610="","",IF(INDEX(xyWattage_Table,MATCH(M610,'Fixture Identities'!$B$9:$B$997,0),2)="Exit Sign",0,IF(PRJ_Type="Retrofit",VLOOKUP(I610,xySVG_Factors,2,FALSE),IF(AND(PRJ_Type="New Construction",Inventory!C607="N"),VLOOKUP(VLOOKUP(Building_Type,xyLPD_BuildingArea,5,FALSE),xySVG_Factors_NC,3,FALSE),0)))),"")</f>
        <v/>
      </c>
      <c r="Z610" s="544" t="str">
        <f>IFERROR(IF(C610="","",IF(INDEX(xyWattage_Table,MATCH(M610,'Fixture Identities'!$B$9:$B$997,0),2)="Exit Sign",0,VLOOKUP(S610,xySVG_Factors,2,FALSE))),"")</f>
        <v/>
      </c>
      <c r="AA610" s="545" t="str">
        <f t="shared" si="219"/>
        <v/>
      </c>
      <c r="AB610" s="542" t="str">
        <f t="shared" si="220"/>
        <v/>
      </c>
      <c r="AC610" s="539" t="str">
        <f t="shared" si="221"/>
        <v/>
      </c>
      <c r="AD610" s="546" t="str">
        <f t="shared" si="222"/>
        <v/>
      </c>
      <c r="AE610" s="539" t="str">
        <f t="shared" si="223"/>
        <v/>
      </c>
      <c r="AF610" s="546" t="str">
        <f t="shared" si="224"/>
        <v/>
      </c>
      <c r="AG610" s="539" t="str">
        <f t="shared" si="225"/>
        <v/>
      </c>
      <c r="AH610" s="32">
        <f t="shared" si="227"/>
        <v>0</v>
      </c>
      <c r="AI610" s="32">
        <f t="shared" si="228"/>
        <v>0</v>
      </c>
      <c r="AJ610" s="32">
        <f t="shared" si="229"/>
        <v>0</v>
      </c>
      <c r="AK610" t="str">
        <f t="shared" si="230"/>
        <v/>
      </c>
      <c r="AL610" t="str">
        <f t="shared" si="231"/>
        <v/>
      </c>
      <c r="AM610" t="str">
        <f t="shared" si="232"/>
        <v/>
      </c>
      <c r="AO610" t="str">
        <f>IFERROR(VLOOKUP(M610,'Fixture Identities'!$B$9:$O$1045,14,FALSE),"")</f>
        <v/>
      </c>
      <c r="AP610" t="str">
        <f t="shared" si="226"/>
        <v/>
      </c>
    </row>
    <row r="611" spans="1:42">
      <c r="A611" s="71">
        <f t="shared" si="234"/>
        <v>0</v>
      </c>
      <c r="B611" s="513">
        <f t="shared" si="233"/>
        <v>599</v>
      </c>
      <c r="C611" s="530" t="str">
        <f>IF(Inventory!E608="","",Inventory!E608)</f>
        <v/>
      </c>
      <c r="D611" s="531">
        <f>IF(Inventory!D608="",0,Inventory!D608)</f>
        <v>0</v>
      </c>
      <c r="E611" s="532" t="str">
        <f>IF(Inventory!I608=0,"",Inventory!I608)</f>
        <v/>
      </c>
      <c r="F611" s="533" t="str">
        <f t="shared" si="213"/>
        <v/>
      </c>
      <c r="G611" s="534" t="str">
        <f>IF(Inventory!G608="","",Inventory!G608)</f>
        <v/>
      </c>
      <c r="H611" s="535" t="str">
        <f t="shared" si="214"/>
        <v/>
      </c>
      <c r="I611" s="536" t="str">
        <f>IF(Inventory!J608="","",Inventory!J608)</f>
        <v/>
      </c>
      <c r="J611" s="537" t="str">
        <f>IFERROR(IF(PRJ_Type="New Construction",IF(Inventory!C608="N",INDEX(xyLPD_BuildingArea,MATCH(Building_Type,Lookups!$F$37:$F$75,0),4),INDEX(xyLPD_SpaceBySpace,MATCH(INDEX(xyNCEx,MATCH(I611,yNCExArea,0),2),ySpace_by_Space_Type,0),2)),VLOOKUP(E611,xyWattage_Table,11,FALSE)),"")</f>
        <v/>
      </c>
      <c r="K611" s="538" t="str">
        <f>IFERROR(IF(AND(NC_Type="Building Area Method",Inventory!C608="N"),IF(ISERROR(INDEX('Usage Groups (&gt;120 MWh only)'!$N$8:$N$12,MATCH(C611,'Usage Groups (&gt;120 MWh only)'!$B$8:$B$12,0),1))=TRUE,SqFt/COUNTIFS(Inventory!$C$10:$C$1009,"N",$Q$13:$Q$1012,"&gt;=0"),INDEX('Usage Groups (&gt;120 MWh only)'!$N$8:$N$12,MATCH(C611,'Usage Groups (&gt;120 MWh only)'!$B$8:$B$12,0),1)/COUNTIF($C$13:$C$1012,C611)),IF(AND(NC_Type="Building Area Method",Inventory!C608="Y"),INDEX(xyNCEx,MATCH(I611,yNCExArea,0),3)/COUNTIF($I$13:$I$1012,I611),VLOOKUP(J611,xyWattage_Table,10,FALSE))),"")</f>
        <v/>
      </c>
      <c r="L611" s="539" t="str">
        <f t="shared" si="215"/>
        <v/>
      </c>
      <c r="M611" s="540">
        <f>IF(Inventory!N608="","",Inventory!N608)</f>
        <v>0</v>
      </c>
      <c r="N611" s="533" t="str">
        <f t="shared" si="216"/>
        <v/>
      </c>
      <c r="O611" s="534"/>
      <c r="P611" s="533" t="str">
        <f t="shared" si="217"/>
        <v/>
      </c>
      <c r="Q611" s="534" t="str">
        <f>IF(Inventory!L608="","",Inventory!L608)</f>
        <v/>
      </c>
      <c r="R611" s="535" t="str">
        <f t="shared" si="218"/>
        <v/>
      </c>
      <c r="S611" s="536" t="str">
        <f>IF(Inventory!O608="","",Inventory!O608)</f>
        <v/>
      </c>
      <c r="T611" s="541" t="str">
        <f>IFERROR(IF(C611="","",IF(INDEX(xyWattage_Table,MATCH(M611,'Fixture Identities'!$B$9:$B$997,0),2)="Exit Sign",8760,IF(VLOOKUP(C611,xySpace_Type_Details,8,FALSE)="TRM",INDEX('General Information'!$AF$17:$AG$28,11,MATCH(N611,'General Information'!$AF$16:$AG$16,0)),HLOOKUP(VLOOKUP(C611,xySpace_Type_Details,8,FALSE),'General Information'!$P$15:$AG$28,13,FALSE)))),"")</f>
        <v/>
      </c>
      <c r="U611" s="542" t="str">
        <f>IFERROR(IF(C611="","",IF(INDEX(xyWattage_Table,MATCH(M611,'Fixture Identities'!$B$9:$B$997,0),2)="Exit Sign",1,IF(VLOOKUP(C611,xySpace_Type_Details,8,FALSE)="TRM",INDEX('General Information'!$AF$17:$AG$28,12,MATCH(N611,'General Information'!$AF$16:$AG$16,0)),HLOOKUP(VLOOKUP(C611,xySpace_Type_Details,8,FALSE),'General Information'!$P$15:$AG$28,14,FALSE)))),"")</f>
        <v/>
      </c>
      <c r="V611" s="542" t="str">
        <f>IFERROR(VLOOKUP(INDEX(xySpace_Type_Details,MATCH($C611,'General Information'!$C$40:$C$60,0),12),Lookups!$L$8:$N$12,2,FALSE),"")</f>
        <v/>
      </c>
      <c r="W611" s="542" t="str">
        <f>IFERROR(VLOOKUP(INDEX(xySpace_Type_Details,MATCH($C611,'General Information'!$C$40:$C$60,0),12),Lookups!$L$8:$N$12,3,FALSE),"")</f>
        <v/>
      </c>
      <c r="Y611" s="542" t="str">
        <f>IFERROR(IF(C611="","",IF(INDEX(xyWattage_Table,MATCH(M611,'Fixture Identities'!$B$9:$B$997,0),2)="Exit Sign",0,IF(PRJ_Type="Retrofit",VLOOKUP(I611,xySVG_Factors,2,FALSE),IF(AND(PRJ_Type="New Construction",Inventory!C608="N"),VLOOKUP(VLOOKUP(Building_Type,xyLPD_BuildingArea,5,FALSE),xySVG_Factors_NC,3,FALSE),0)))),"")</f>
        <v/>
      </c>
      <c r="Z611" s="544" t="str">
        <f>IFERROR(IF(C611="","",IF(INDEX(xyWattage_Table,MATCH(M611,'Fixture Identities'!$B$9:$B$997,0),2)="Exit Sign",0,VLOOKUP(S611,xySVG_Factors,2,FALSE))),"")</f>
        <v/>
      </c>
      <c r="AA611" s="545" t="str">
        <f t="shared" si="219"/>
        <v/>
      </c>
      <c r="AB611" s="542" t="str">
        <f t="shared" si="220"/>
        <v/>
      </c>
      <c r="AC611" s="539" t="str">
        <f t="shared" si="221"/>
        <v/>
      </c>
      <c r="AD611" s="546" t="str">
        <f t="shared" si="222"/>
        <v/>
      </c>
      <c r="AE611" s="539" t="str">
        <f t="shared" si="223"/>
        <v/>
      </c>
      <c r="AF611" s="546" t="str">
        <f t="shared" si="224"/>
        <v/>
      </c>
      <c r="AG611" s="539" t="str">
        <f t="shared" si="225"/>
        <v/>
      </c>
      <c r="AH611" s="32">
        <f t="shared" si="227"/>
        <v>0</v>
      </c>
      <c r="AI611" s="32">
        <f t="shared" si="228"/>
        <v>0</v>
      </c>
      <c r="AJ611" s="32">
        <f t="shared" si="229"/>
        <v>0</v>
      </c>
      <c r="AK611" t="str">
        <f t="shared" si="230"/>
        <v/>
      </c>
      <c r="AL611" t="str">
        <f t="shared" si="231"/>
        <v/>
      </c>
      <c r="AM611" t="str">
        <f t="shared" si="232"/>
        <v/>
      </c>
      <c r="AO611" t="str">
        <f>IFERROR(VLOOKUP(M611,'Fixture Identities'!$B$9:$O$1045,14,FALSE),"")</f>
        <v/>
      </c>
      <c r="AP611" t="str">
        <f t="shared" si="226"/>
        <v/>
      </c>
    </row>
    <row r="612" spans="1:42">
      <c r="A612" s="71">
        <f t="shared" si="234"/>
        <v>0</v>
      </c>
      <c r="B612" s="513">
        <f t="shared" si="233"/>
        <v>600</v>
      </c>
      <c r="C612" s="530" t="str">
        <f>IF(Inventory!E609="","",Inventory!E609)</f>
        <v/>
      </c>
      <c r="D612" s="531">
        <f>IF(Inventory!D609="",0,Inventory!D609)</f>
        <v>0</v>
      </c>
      <c r="E612" s="532" t="str">
        <f>IF(Inventory!I609=0,"",Inventory!I609)</f>
        <v/>
      </c>
      <c r="F612" s="533" t="str">
        <f t="shared" si="213"/>
        <v/>
      </c>
      <c r="G612" s="534" t="str">
        <f>IF(Inventory!G609="","",Inventory!G609)</f>
        <v/>
      </c>
      <c r="H612" s="535" t="str">
        <f t="shared" si="214"/>
        <v/>
      </c>
      <c r="I612" s="536" t="str">
        <f>IF(Inventory!J609="","",Inventory!J609)</f>
        <v/>
      </c>
      <c r="J612" s="537" t="str">
        <f>IFERROR(IF(PRJ_Type="New Construction",IF(Inventory!C609="N",INDEX(xyLPD_BuildingArea,MATCH(Building_Type,Lookups!$F$37:$F$75,0),4),INDEX(xyLPD_SpaceBySpace,MATCH(INDEX(xyNCEx,MATCH(I612,yNCExArea,0),2),ySpace_by_Space_Type,0),2)),VLOOKUP(E612,xyWattage_Table,11,FALSE)),"")</f>
        <v/>
      </c>
      <c r="K612" s="538" t="str">
        <f>IFERROR(IF(AND(NC_Type="Building Area Method",Inventory!C609="N"),IF(ISERROR(INDEX('Usage Groups (&gt;120 MWh only)'!$N$8:$N$12,MATCH(C612,'Usage Groups (&gt;120 MWh only)'!$B$8:$B$12,0),1))=TRUE,SqFt/COUNTIFS(Inventory!$C$10:$C$1009,"N",$Q$13:$Q$1012,"&gt;=0"),INDEX('Usage Groups (&gt;120 MWh only)'!$N$8:$N$12,MATCH(C612,'Usage Groups (&gt;120 MWh only)'!$B$8:$B$12,0),1)/COUNTIF($C$13:$C$1012,C612)),IF(AND(NC_Type="Building Area Method",Inventory!C609="Y"),INDEX(xyNCEx,MATCH(I612,yNCExArea,0),3)/COUNTIF($I$13:$I$1012,I612),VLOOKUP(J612,xyWattage_Table,10,FALSE))),"")</f>
        <v/>
      </c>
      <c r="L612" s="539" t="str">
        <f t="shared" si="215"/>
        <v/>
      </c>
      <c r="M612" s="540">
        <f>IF(Inventory!N609="","",Inventory!N609)</f>
        <v>0</v>
      </c>
      <c r="N612" s="533" t="str">
        <f t="shared" si="216"/>
        <v/>
      </c>
      <c r="O612" s="534"/>
      <c r="P612" s="533" t="str">
        <f t="shared" si="217"/>
        <v/>
      </c>
      <c r="Q612" s="534" t="str">
        <f>IF(Inventory!L609="","",Inventory!L609)</f>
        <v/>
      </c>
      <c r="R612" s="535" t="str">
        <f t="shared" si="218"/>
        <v/>
      </c>
      <c r="S612" s="536" t="str">
        <f>IF(Inventory!O609="","",Inventory!O609)</f>
        <v/>
      </c>
      <c r="T612" s="541" t="str">
        <f>IFERROR(IF(C612="","",IF(INDEX(xyWattage_Table,MATCH(M612,'Fixture Identities'!$B$9:$B$997,0),2)="Exit Sign",8760,IF(VLOOKUP(C612,xySpace_Type_Details,8,FALSE)="TRM",INDEX('General Information'!$AF$17:$AG$28,11,MATCH(N612,'General Information'!$AF$16:$AG$16,0)),HLOOKUP(VLOOKUP(C612,xySpace_Type_Details,8,FALSE),'General Information'!$P$15:$AG$28,13,FALSE)))),"")</f>
        <v/>
      </c>
      <c r="U612" s="542" t="str">
        <f>IFERROR(IF(C612="","",IF(INDEX(xyWattage_Table,MATCH(M612,'Fixture Identities'!$B$9:$B$997,0),2)="Exit Sign",1,IF(VLOOKUP(C612,xySpace_Type_Details,8,FALSE)="TRM",INDEX('General Information'!$AF$17:$AG$28,12,MATCH(N612,'General Information'!$AF$16:$AG$16,0)),HLOOKUP(VLOOKUP(C612,xySpace_Type_Details,8,FALSE),'General Information'!$P$15:$AG$28,14,FALSE)))),"")</f>
        <v/>
      </c>
      <c r="V612" s="542" t="str">
        <f>IFERROR(VLOOKUP(INDEX(xySpace_Type_Details,MATCH($C612,'General Information'!$C$40:$C$60,0),12),Lookups!$L$8:$N$12,2,FALSE),"")</f>
        <v/>
      </c>
      <c r="W612" s="542" t="str">
        <f>IFERROR(VLOOKUP(INDEX(xySpace_Type_Details,MATCH($C612,'General Information'!$C$40:$C$60,0),12),Lookups!$L$8:$N$12,3,FALSE),"")</f>
        <v/>
      </c>
      <c r="Y612" s="542" t="str">
        <f>IFERROR(IF(C612="","",IF(INDEX(xyWattage_Table,MATCH(M612,'Fixture Identities'!$B$9:$B$997,0),2)="Exit Sign",0,IF(PRJ_Type="Retrofit",VLOOKUP(I612,xySVG_Factors,2,FALSE),IF(AND(PRJ_Type="New Construction",Inventory!C609="N"),VLOOKUP(VLOOKUP(Building_Type,xyLPD_BuildingArea,5,FALSE),xySVG_Factors_NC,3,FALSE),0)))),"")</f>
        <v/>
      </c>
      <c r="Z612" s="544" t="str">
        <f>IFERROR(IF(C612="","",IF(INDEX(xyWattage_Table,MATCH(M612,'Fixture Identities'!$B$9:$B$997,0),2)="Exit Sign",0,VLOOKUP(S612,xySVG_Factors,2,FALSE))),"")</f>
        <v/>
      </c>
      <c r="AA612" s="545" t="str">
        <f t="shared" si="219"/>
        <v/>
      </c>
      <c r="AB612" s="542" t="str">
        <f t="shared" si="220"/>
        <v/>
      </c>
      <c r="AC612" s="539" t="str">
        <f t="shared" si="221"/>
        <v/>
      </c>
      <c r="AD612" s="546" t="str">
        <f t="shared" si="222"/>
        <v/>
      </c>
      <c r="AE612" s="539" t="str">
        <f t="shared" si="223"/>
        <v/>
      </c>
      <c r="AF612" s="546" t="str">
        <f t="shared" si="224"/>
        <v/>
      </c>
      <c r="AG612" s="539" t="str">
        <f t="shared" si="225"/>
        <v/>
      </c>
      <c r="AH612" s="32">
        <f t="shared" si="227"/>
        <v>0</v>
      </c>
      <c r="AI612" s="32">
        <f t="shared" si="228"/>
        <v>0</v>
      </c>
      <c r="AJ612" s="32">
        <f t="shared" si="229"/>
        <v>0</v>
      </c>
      <c r="AK612" t="str">
        <f t="shared" si="230"/>
        <v/>
      </c>
      <c r="AL612" t="str">
        <f t="shared" si="231"/>
        <v/>
      </c>
      <c r="AM612" t="str">
        <f t="shared" si="232"/>
        <v/>
      </c>
      <c r="AO612" t="str">
        <f>IFERROR(VLOOKUP(M612,'Fixture Identities'!$B$9:$O$1045,14,FALSE),"")</f>
        <v/>
      </c>
      <c r="AP612" t="str">
        <f t="shared" si="226"/>
        <v/>
      </c>
    </row>
    <row r="613" spans="1:42">
      <c r="A613" s="71">
        <f t="shared" si="234"/>
        <v>0</v>
      </c>
      <c r="B613" s="513">
        <f t="shared" si="233"/>
        <v>601</v>
      </c>
      <c r="C613" s="530" t="str">
        <f>IF(Inventory!E610="","",Inventory!E610)</f>
        <v/>
      </c>
      <c r="D613" s="531">
        <f>IF(Inventory!D610="",0,Inventory!D610)</f>
        <v>0</v>
      </c>
      <c r="E613" s="532" t="str">
        <f>IF(Inventory!I610=0,"",Inventory!I610)</f>
        <v/>
      </c>
      <c r="F613" s="533" t="str">
        <f t="shared" si="213"/>
        <v/>
      </c>
      <c r="G613" s="534" t="str">
        <f>IF(Inventory!G610="","",Inventory!G610)</f>
        <v/>
      </c>
      <c r="H613" s="535" t="str">
        <f t="shared" si="214"/>
        <v/>
      </c>
      <c r="I613" s="536" t="str">
        <f>IF(Inventory!J610="","",Inventory!J610)</f>
        <v/>
      </c>
      <c r="J613" s="537" t="str">
        <f>IFERROR(IF(PRJ_Type="New Construction",IF(Inventory!C610="N",INDEX(xyLPD_BuildingArea,MATCH(Building_Type,Lookups!$F$37:$F$75,0),4),INDEX(xyLPD_SpaceBySpace,MATCH(INDEX(xyNCEx,MATCH(I613,yNCExArea,0),2),ySpace_by_Space_Type,0),2)),VLOOKUP(E613,xyWattage_Table,11,FALSE)),"")</f>
        <v/>
      </c>
      <c r="K613" s="538" t="str">
        <f>IFERROR(IF(AND(NC_Type="Building Area Method",Inventory!C610="N"),IF(ISERROR(INDEX('Usage Groups (&gt;120 MWh only)'!$N$8:$N$12,MATCH(C613,'Usage Groups (&gt;120 MWh only)'!$B$8:$B$12,0),1))=TRUE,SqFt/COUNTIFS(Inventory!$C$10:$C$1009,"N",$Q$13:$Q$1012,"&gt;=0"),INDEX('Usage Groups (&gt;120 MWh only)'!$N$8:$N$12,MATCH(C613,'Usage Groups (&gt;120 MWh only)'!$B$8:$B$12,0),1)/COUNTIF($C$13:$C$1012,C613)),IF(AND(NC_Type="Building Area Method",Inventory!C610="Y"),INDEX(xyNCEx,MATCH(I613,yNCExArea,0),3)/COUNTIF($I$13:$I$1012,I613),VLOOKUP(J613,xyWattage_Table,10,FALSE))),"")</f>
        <v/>
      </c>
      <c r="L613" s="539" t="str">
        <f t="shared" si="215"/>
        <v/>
      </c>
      <c r="M613" s="540">
        <f>IF(Inventory!N610="","",Inventory!N610)</f>
        <v>0</v>
      </c>
      <c r="N613" s="533" t="str">
        <f t="shared" si="216"/>
        <v/>
      </c>
      <c r="O613" s="534"/>
      <c r="P613" s="533" t="str">
        <f t="shared" si="217"/>
        <v/>
      </c>
      <c r="Q613" s="534" t="str">
        <f>IF(Inventory!L610="","",Inventory!L610)</f>
        <v/>
      </c>
      <c r="R613" s="535" t="str">
        <f t="shared" si="218"/>
        <v/>
      </c>
      <c r="S613" s="536" t="str">
        <f>IF(Inventory!O610="","",Inventory!O610)</f>
        <v/>
      </c>
      <c r="T613" s="541" t="str">
        <f>IFERROR(IF(C613="","",IF(INDEX(xyWattage_Table,MATCH(M613,'Fixture Identities'!$B$9:$B$997,0),2)="Exit Sign",8760,IF(VLOOKUP(C613,xySpace_Type_Details,8,FALSE)="TRM",INDEX('General Information'!$AF$17:$AG$28,11,MATCH(N613,'General Information'!$AF$16:$AG$16,0)),HLOOKUP(VLOOKUP(C613,xySpace_Type_Details,8,FALSE),'General Information'!$P$15:$AG$28,13,FALSE)))),"")</f>
        <v/>
      </c>
      <c r="U613" s="542" t="str">
        <f>IFERROR(IF(C613="","",IF(INDEX(xyWattage_Table,MATCH(M613,'Fixture Identities'!$B$9:$B$997,0),2)="Exit Sign",1,IF(VLOOKUP(C613,xySpace_Type_Details,8,FALSE)="TRM",INDEX('General Information'!$AF$17:$AG$28,12,MATCH(N613,'General Information'!$AF$16:$AG$16,0)),HLOOKUP(VLOOKUP(C613,xySpace_Type_Details,8,FALSE),'General Information'!$P$15:$AG$28,14,FALSE)))),"")</f>
        <v/>
      </c>
      <c r="V613" s="542" t="str">
        <f>IFERROR(VLOOKUP(INDEX(xySpace_Type_Details,MATCH($C613,'General Information'!$C$40:$C$60,0),12),Lookups!$L$8:$N$12,2,FALSE),"")</f>
        <v/>
      </c>
      <c r="W613" s="542" t="str">
        <f>IFERROR(VLOOKUP(INDEX(xySpace_Type_Details,MATCH($C613,'General Information'!$C$40:$C$60,0),12),Lookups!$L$8:$N$12,3,FALSE),"")</f>
        <v/>
      </c>
      <c r="Y613" s="542" t="str">
        <f>IFERROR(IF(C613="","",IF(INDEX(xyWattage_Table,MATCH(M613,'Fixture Identities'!$B$9:$B$997,0),2)="Exit Sign",0,IF(PRJ_Type="Retrofit",VLOOKUP(I613,xySVG_Factors,2,FALSE),IF(AND(PRJ_Type="New Construction",Inventory!C610="N"),VLOOKUP(VLOOKUP(Building_Type,xyLPD_BuildingArea,5,FALSE),xySVG_Factors_NC,3,FALSE),0)))),"")</f>
        <v/>
      </c>
      <c r="Z613" s="544" t="str">
        <f>IFERROR(IF(C613="","",IF(INDEX(xyWattage_Table,MATCH(M613,'Fixture Identities'!$B$9:$B$997,0),2)="Exit Sign",0,VLOOKUP(S613,xySVG_Factors,2,FALSE))),"")</f>
        <v/>
      </c>
      <c r="AA613" s="545" t="str">
        <f t="shared" si="219"/>
        <v/>
      </c>
      <c r="AB613" s="542" t="str">
        <f t="shared" si="220"/>
        <v/>
      </c>
      <c r="AC613" s="539" t="str">
        <f t="shared" si="221"/>
        <v/>
      </c>
      <c r="AD613" s="546" t="str">
        <f t="shared" si="222"/>
        <v/>
      </c>
      <c r="AE613" s="539" t="str">
        <f t="shared" si="223"/>
        <v/>
      </c>
      <c r="AF613" s="546" t="str">
        <f t="shared" si="224"/>
        <v/>
      </c>
      <c r="AG613" s="539" t="str">
        <f t="shared" si="225"/>
        <v/>
      </c>
      <c r="AH613" s="32">
        <f t="shared" si="227"/>
        <v>0</v>
      </c>
      <c r="AI613" s="32">
        <f t="shared" si="228"/>
        <v>0</v>
      </c>
      <c r="AJ613" s="32">
        <f t="shared" si="229"/>
        <v>0</v>
      </c>
      <c r="AK613" t="str">
        <f t="shared" si="230"/>
        <v/>
      </c>
      <c r="AL613" t="str">
        <f t="shared" si="231"/>
        <v/>
      </c>
      <c r="AM613" t="str">
        <f t="shared" si="232"/>
        <v/>
      </c>
      <c r="AO613" t="str">
        <f>IFERROR(VLOOKUP(M613,'Fixture Identities'!$B$9:$O$1045,14,FALSE),"")</f>
        <v/>
      </c>
      <c r="AP613" t="str">
        <f t="shared" si="226"/>
        <v/>
      </c>
    </row>
    <row r="614" spans="1:42">
      <c r="A614" s="71">
        <f t="shared" si="234"/>
        <v>0</v>
      </c>
      <c r="B614" s="513">
        <f t="shared" si="233"/>
        <v>602</v>
      </c>
      <c r="C614" s="530" t="str">
        <f>IF(Inventory!E611="","",Inventory!E611)</f>
        <v/>
      </c>
      <c r="D614" s="531">
        <f>IF(Inventory!D611="",0,Inventory!D611)</f>
        <v>0</v>
      </c>
      <c r="E614" s="532" t="str">
        <f>IF(Inventory!I611=0,"",Inventory!I611)</f>
        <v/>
      </c>
      <c r="F614" s="533" t="str">
        <f t="shared" si="213"/>
        <v/>
      </c>
      <c r="G614" s="534" t="str">
        <f>IF(Inventory!G611="","",Inventory!G611)</f>
        <v/>
      </c>
      <c r="H614" s="535" t="str">
        <f t="shared" si="214"/>
        <v/>
      </c>
      <c r="I614" s="536" t="str">
        <f>IF(Inventory!J611="","",Inventory!J611)</f>
        <v/>
      </c>
      <c r="J614" s="537" t="str">
        <f>IFERROR(IF(PRJ_Type="New Construction",IF(Inventory!C611="N",INDEX(xyLPD_BuildingArea,MATCH(Building_Type,Lookups!$F$37:$F$75,0),4),INDEX(xyLPD_SpaceBySpace,MATCH(INDEX(xyNCEx,MATCH(I614,yNCExArea,0),2),ySpace_by_Space_Type,0),2)),VLOOKUP(E614,xyWattage_Table,11,FALSE)),"")</f>
        <v/>
      </c>
      <c r="K614" s="538" t="str">
        <f>IFERROR(IF(AND(NC_Type="Building Area Method",Inventory!C611="N"),IF(ISERROR(INDEX('Usage Groups (&gt;120 MWh only)'!$N$8:$N$12,MATCH(C614,'Usage Groups (&gt;120 MWh only)'!$B$8:$B$12,0),1))=TRUE,SqFt/COUNTIFS(Inventory!$C$10:$C$1009,"N",$Q$13:$Q$1012,"&gt;=0"),INDEX('Usage Groups (&gt;120 MWh only)'!$N$8:$N$12,MATCH(C614,'Usage Groups (&gt;120 MWh only)'!$B$8:$B$12,0),1)/COUNTIF($C$13:$C$1012,C614)),IF(AND(NC_Type="Building Area Method",Inventory!C611="Y"),INDEX(xyNCEx,MATCH(I614,yNCExArea,0),3)/COUNTIF($I$13:$I$1012,I614),VLOOKUP(J614,xyWattage_Table,10,FALSE))),"")</f>
        <v/>
      </c>
      <c r="L614" s="539" t="str">
        <f t="shared" si="215"/>
        <v/>
      </c>
      <c r="M614" s="540">
        <f>IF(Inventory!N611="","",Inventory!N611)</f>
        <v>0</v>
      </c>
      <c r="N614" s="533" t="str">
        <f t="shared" si="216"/>
        <v/>
      </c>
      <c r="O614" s="534"/>
      <c r="P614" s="533" t="str">
        <f t="shared" si="217"/>
        <v/>
      </c>
      <c r="Q614" s="534" t="str">
        <f>IF(Inventory!L611="","",Inventory!L611)</f>
        <v/>
      </c>
      <c r="R614" s="535" t="str">
        <f t="shared" si="218"/>
        <v/>
      </c>
      <c r="S614" s="536" t="str">
        <f>IF(Inventory!O611="","",Inventory!O611)</f>
        <v/>
      </c>
      <c r="T614" s="541" t="str">
        <f>IFERROR(IF(C614="","",IF(INDEX(xyWattage_Table,MATCH(M614,'Fixture Identities'!$B$9:$B$997,0),2)="Exit Sign",8760,IF(VLOOKUP(C614,xySpace_Type_Details,8,FALSE)="TRM",INDEX('General Information'!$AF$17:$AG$28,11,MATCH(N614,'General Information'!$AF$16:$AG$16,0)),HLOOKUP(VLOOKUP(C614,xySpace_Type_Details,8,FALSE),'General Information'!$P$15:$AG$28,13,FALSE)))),"")</f>
        <v/>
      </c>
      <c r="U614" s="542" t="str">
        <f>IFERROR(IF(C614="","",IF(INDEX(xyWattage_Table,MATCH(M614,'Fixture Identities'!$B$9:$B$997,0),2)="Exit Sign",1,IF(VLOOKUP(C614,xySpace_Type_Details,8,FALSE)="TRM",INDEX('General Information'!$AF$17:$AG$28,12,MATCH(N614,'General Information'!$AF$16:$AG$16,0)),HLOOKUP(VLOOKUP(C614,xySpace_Type_Details,8,FALSE),'General Information'!$P$15:$AG$28,14,FALSE)))),"")</f>
        <v/>
      </c>
      <c r="V614" s="542" t="str">
        <f>IFERROR(VLOOKUP(INDEX(xySpace_Type_Details,MATCH($C614,'General Information'!$C$40:$C$60,0),12),Lookups!$L$8:$N$12,2,FALSE),"")</f>
        <v/>
      </c>
      <c r="W614" s="542" t="str">
        <f>IFERROR(VLOOKUP(INDEX(xySpace_Type_Details,MATCH($C614,'General Information'!$C$40:$C$60,0),12),Lookups!$L$8:$N$12,3,FALSE),"")</f>
        <v/>
      </c>
      <c r="Y614" s="542" t="str">
        <f>IFERROR(IF(C614="","",IF(INDEX(xyWattage_Table,MATCH(M614,'Fixture Identities'!$B$9:$B$997,0),2)="Exit Sign",0,IF(PRJ_Type="Retrofit",VLOOKUP(I614,xySVG_Factors,2,FALSE),IF(AND(PRJ_Type="New Construction",Inventory!C611="N"),VLOOKUP(VLOOKUP(Building_Type,xyLPD_BuildingArea,5,FALSE),xySVG_Factors_NC,3,FALSE),0)))),"")</f>
        <v/>
      </c>
      <c r="Z614" s="544" t="str">
        <f>IFERROR(IF(C614="","",IF(INDEX(xyWattage_Table,MATCH(M614,'Fixture Identities'!$B$9:$B$997,0),2)="Exit Sign",0,VLOOKUP(S614,xySVG_Factors,2,FALSE))),"")</f>
        <v/>
      </c>
      <c r="AA614" s="545" t="str">
        <f t="shared" si="219"/>
        <v/>
      </c>
      <c r="AB614" s="542" t="str">
        <f t="shared" si="220"/>
        <v/>
      </c>
      <c r="AC614" s="539" t="str">
        <f t="shared" si="221"/>
        <v/>
      </c>
      <c r="AD614" s="546" t="str">
        <f t="shared" si="222"/>
        <v/>
      </c>
      <c r="AE614" s="539" t="str">
        <f t="shared" si="223"/>
        <v/>
      </c>
      <c r="AF614" s="546" t="str">
        <f t="shared" si="224"/>
        <v/>
      </c>
      <c r="AG614" s="539" t="str">
        <f t="shared" si="225"/>
        <v/>
      </c>
      <c r="AH614" s="32">
        <f t="shared" si="227"/>
        <v>0</v>
      </c>
      <c r="AI614" s="32">
        <f t="shared" si="228"/>
        <v>0</v>
      </c>
      <c r="AJ614" s="32">
        <f t="shared" si="229"/>
        <v>0</v>
      </c>
      <c r="AK614" t="str">
        <f t="shared" si="230"/>
        <v/>
      </c>
      <c r="AL614" t="str">
        <f t="shared" si="231"/>
        <v/>
      </c>
      <c r="AM614" t="str">
        <f t="shared" si="232"/>
        <v/>
      </c>
      <c r="AO614" t="str">
        <f>IFERROR(VLOOKUP(M614,'Fixture Identities'!$B$9:$O$1045,14,FALSE),"")</f>
        <v/>
      </c>
      <c r="AP614" t="str">
        <f t="shared" si="226"/>
        <v/>
      </c>
    </row>
    <row r="615" spans="1:42">
      <c r="A615" s="71">
        <f t="shared" si="234"/>
        <v>0</v>
      </c>
      <c r="B615" s="513">
        <f t="shared" si="233"/>
        <v>603</v>
      </c>
      <c r="C615" s="530" t="str">
        <f>IF(Inventory!E612="","",Inventory!E612)</f>
        <v/>
      </c>
      <c r="D615" s="531">
        <f>IF(Inventory!D612="",0,Inventory!D612)</f>
        <v>0</v>
      </c>
      <c r="E615" s="532" t="str">
        <f>IF(Inventory!I612=0,"",Inventory!I612)</f>
        <v/>
      </c>
      <c r="F615" s="533" t="str">
        <f t="shared" si="213"/>
        <v/>
      </c>
      <c r="G615" s="534" t="str">
        <f>IF(Inventory!G612="","",Inventory!G612)</f>
        <v/>
      </c>
      <c r="H615" s="535" t="str">
        <f t="shared" si="214"/>
        <v/>
      </c>
      <c r="I615" s="536" t="str">
        <f>IF(Inventory!J612="","",Inventory!J612)</f>
        <v/>
      </c>
      <c r="J615" s="537" t="str">
        <f>IFERROR(IF(PRJ_Type="New Construction",IF(Inventory!C612="N",INDEX(xyLPD_BuildingArea,MATCH(Building_Type,Lookups!$F$37:$F$75,0),4),INDEX(xyLPD_SpaceBySpace,MATCH(INDEX(xyNCEx,MATCH(I615,yNCExArea,0),2),ySpace_by_Space_Type,0),2)),VLOOKUP(E615,xyWattage_Table,11,FALSE)),"")</f>
        <v/>
      </c>
      <c r="K615" s="538" t="str">
        <f>IFERROR(IF(AND(NC_Type="Building Area Method",Inventory!C612="N"),IF(ISERROR(INDEX('Usage Groups (&gt;120 MWh only)'!$N$8:$N$12,MATCH(C615,'Usage Groups (&gt;120 MWh only)'!$B$8:$B$12,0),1))=TRUE,SqFt/COUNTIFS(Inventory!$C$10:$C$1009,"N",$Q$13:$Q$1012,"&gt;=0"),INDEX('Usage Groups (&gt;120 MWh only)'!$N$8:$N$12,MATCH(C615,'Usage Groups (&gt;120 MWh only)'!$B$8:$B$12,0),1)/COUNTIF($C$13:$C$1012,C615)),IF(AND(NC_Type="Building Area Method",Inventory!C612="Y"),INDEX(xyNCEx,MATCH(I615,yNCExArea,0),3)/COUNTIF($I$13:$I$1012,I615),VLOOKUP(J615,xyWattage_Table,10,FALSE))),"")</f>
        <v/>
      </c>
      <c r="L615" s="539" t="str">
        <f t="shared" si="215"/>
        <v/>
      </c>
      <c r="M615" s="540">
        <f>IF(Inventory!N612="","",Inventory!N612)</f>
        <v>0</v>
      </c>
      <c r="N615" s="533" t="str">
        <f t="shared" si="216"/>
        <v/>
      </c>
      <c r="O615" s="534"/>
      <c r="P615" s="533" t="str">
        <f t="shared" si="217"/>
        <v/>
      </c>
      <c r="Q615" s="534" t="str">
        <f>IF(Inventory!L612="","",Inventory!L612)</f>
        <v/>
      </c>
      <c r="R615" s="535" t="str">
        <f t="shared" si="218"/>
        <v/>
      </c>
      <c r="S615" s="536" t="str">
        <f>IF(Inventory!O612="","",Inventory!O612)</f>
        <v/>
      </c>
      <c r="T615" s="541" t="str">
        <f>IFERROR(IF(C615="","",IF(INDEX(xyWattage_Table,MATCH(M615,'Fixture Identities'!$B$9:$B$997,0),2)="Exit Sign",8760,IF(VLOOKUP(C615,xySpace_Type_Details,8,FALSE)="TRM",INDEX('General Information'!$AF$17:$AG$28,11,MATCH(N615,'General Information'!$AF$16:$AG$16,0)),HLOOKUP(VLOOKUP(C615,xySpace_Type_Details,8,FALSE),'General Information'!$P$15:$AG$28,13,FALSE)))),"")</f>
        <v/>
      </c>
      <c r="U615" s="542" t="str">
        <f>IFERROR(IF(C615="","",IF(INDEX(xyWattage_Table,MATCH(M615,'Fixture Identities'!$B$9:$B$997,0),2)="Exit Sign",1,IF(VLOOKUP(C615,xySpace_Type_Details,8,FALSE)="TRM",INDEX('General Information'!$AF$17:$AG$28,12,MATCH(N615,'General Information'!$AF$16:$AG$16,0)),HLOOKUP(VLOOKUP(C615,xySpace_Type_Details,8,FALSE),'General Information'!$P$15:$AG$28,14,FALSE)))),"")</f>
        <v/>
      </c>
      <c r="V615" s="542" t="str">
        <f>IFERROR(VLOOKUP(INDEX(xySpace_Type_Details,MATCH($C615,'General Information'!$C$40:$C$60,0),12),Lookups!$L$8:$N$12,2,FALSE),"")</f>
        <v/>
      </c>
      <c r="W615" s="542" t="str">
        <f>IFERROR(VLOOKUP(INDEX(xySpace_Type_Details,MATCH($C615,'General Information'!$C$40:$C$60,0),12),Lookups!$L$8:$N$12,3,FALSE),"")</f>
        <v/>
      </c>
      <c r="Y615" s="542" t="str">
        <f>IFERROR(IF(C615="","",IF(INDEX(xyWattage_Table,MATCH(M615,'Fixture Identities'!$B$9:$B$997,0),2)="Exit Sign",0,IF(PRJ_Type="Retrofit",VLOOKUP(I615,xySVG_Factors,2,FALSE),IF(AND(PRJ_Type="New Construction",Inventory!C612="N"),VLOOKUP(VLOOKUP(Building_Type,xyLPD_BuildingArea,5,FALSE),xySVG_Factors_NC,3,FALSE),0)))),"")</f>
        <v/>
      </c>
      <c r="Z615" s="544" t="str">
        <f>IFERROR(IF(C615="","",IF(INDEX(xyWattage_Table,MATCH(M615,'Fixture Identities'!$B$9:$B$997,0),2)="Exit Sign",0,VLOOKUP(S615,xySVG_Factors,2,FALSE))),"")</f>
        <v/>
      </c>
      <c r="AA615" s="545" t="str">
        <f t="shared" si="219"/>
        <v/>
      </c>
      <c r="AB615" s="542" t="str">
        <f t="shared" si="220"/>
        <v/>
      </c>
      <c r="AC615" s="539" t="str">
        <f t="shared" si="221"/>
        <v/>
      </c>
      <c r="AD615" s="546" t="str">
        <f t="shared" si="222"/>
        <v/>
      </c>
      <c r="AE615" s="539" t="str">
        <f t="shared" si="223"/>
        <v/>
      </c>
      <c r="AF615" s="546" t="str">
        <f t="shared" si="224"/>
        <v/>
      </c>
      <c r="AG615" s="539" t="str">
        <f t="shared" si="225"/>
        <v/>
      </c>
      <c r="AH615" s="32">
        <f t="shared" si="227"/>
        <v>0</v>
      </c>
      <c r="AI615" s="32">
        <f t="shared" si="228"/>
        <v>0</v>
      </c>
      <c r="AJ615" s="32">
        <f t="shared" si="229"/>
        <v>0</v>
      </c>
      <c r="AK615" t="str">
        <f t="shared" si="230"/>
        <v/>
      </c>
      <c r="AL615" t="str">
        <f t="shared" si="231"/>
        <v/>
      </c>
      <c r="AM615" t="str">
        <f t="shared" si="232"/>
        <v/>
      </c>
      <c r="AO615" t="str">
        <f>IFERROR(VLOOKUP(M615,'Fixture Identities'!$B$9:$O$1045,14,FALSE),"")</f>
        <v/>
      </c>
      <c r="AP615" t="str">
        <f t="shared" si="226"/>
        <v/>
      </c>
    </row>
    <row r="616" spans="1:42">
      <c r="A616" s="71">
        <f t="shared" si="234"/>
        <v>0</v>
      </c>
      <c r="B616" s="513">
        <f t="shared" si="233"/>
        <v>604</v>
      </c>
      <c r="C616" s="530" t="str">
        <f>IF(Inventory!E613="","",Inventory!E613)</f>
        <v/>
      </c>
      <c r="D616" s="531">
        <f>IF(Inventory!D613="",0,Inventory!D613)</f>
        <v>0</v>
      </c>
      <c r="E616" s="532" t="str">
        <f>IF(Inventory!I613=0,"",Inventory!I613)</f>
        <v/>
      </c>
      <c r="F616" s="533" t="str">
        <f t="shared" si="213"/>
        <v/>
      </c>
      <c r="G616" s="534" t="str">
        <f>IF(Inventory!G613="","",Inventory!G613)</f>
        <v/>
      </c>
      <c r="H616" s="535" t="str">
        <f t="shared" si="214"/>
        <v/>
      </c>
      <c r="I616" s="536" t="str">
        <f>IF(Inventory!J613="","",Inventory!J613)</f>
        <v/>
      </c>
      <c r="J616" s="537" t="str">
        <f>IFERROR(IF(PRJ_Type="New Construction",IF(Inventory!C613="N",INDEX(xyLPD_BuildingArea,MATCH(Building_Type,Lookups!$F$37:$F$75,0),4),INDEX(xyLPD_SpaceBySpace,MATCH(INDEX(xyNCEx,MATCH(I616,yNCExArea,0),2),ySpace_by_Space_Type,0),2)),VLOOKUP(E616,xyWattage_Table,11,FALSE)),"")</f>
        <v/>
      </c>
      <c r="K616" s="538" t="str">
        <f>IFERROR(IF(AND(NC_Type="Building Area Method",Inventory!C613="N"),IF(ISERROR(INDEX('Usage Groups (&gt;120 MWh only)'!$N$8:$N$12,MATCH(C616,'Usage Groups (&gt;120 MWh only)'!$B$8:$B$12,0),1))=TRUE,SqFt/COUNTIFS(Inventory!$C$10:$C$1009,"N",$Q$13:$Q$1012,"&gt;=0"),INDEX('Usage Groups (&gt;120 MWh only)'!$N$8:$N$12,MATCH(C616,'Usage Groups (&gt;120 MWh only)'!$B$8:$B$12,0),1)/COUNTIF($C$13:$C$1012,C616)),IF(AND(NC_Type="Building Area Method",Inventory!C613="Y"),INDEX(xyNCEx,MATCH(I616,yNCExArea,0),3)/COUNTIF($I$13:$I$1012,I616),VLOOKUP(J616,xyWattage_Table,10,FALSE))),"")</f>
        <v/>
      </c>
      <c r="L616" s="539" t="str">
        <f t="shared" si="215"/>
        <v/>
      </c>
      <c r="M616" s="540">
        <f>IF(Inventory!N613="","",Inventory!N613)</f>
        <v>0</v>
      </c>
      <c r="N616" s="533" t="str">
        <f t="shared" si="216"/>
        <v/>
      </c>
      <c r="O616" s="534"/>
      <c r="P616" s="533" t="str">
        <f t="shared" si="217"/>
        <v/>
      </c>
      <c r="Q616" s="534" t="str">
        <f>IF(Inventory!L613="","",Inventory!L613)</f>
        <v/>
      </c>
      <c r="R616" s="535" t="str">
        <f t="shared" si="218"/>
        <v/>
      </c>
      <c r="S616" s="536" t="str">
        <f>IF(Inventory!O613="","",Inventory!O613)</f>
        <v/>
      </c>
      <c r="T616" s="541" t="str">
        <f>IFERROR(IF(C616="","",IF(INDEX(xyWattage_Table,MATCH(M616,'Fixture Identities'!$B$9:$B$997,0),2)="Exit Sign",8760,IF(VLOOKUP(C616,xySpace_Type_Details,8,FALSE)="TRM",INDEX('General Information'!$AF$17:$AG$28,11,MATCH(N616,'General Information'!$AF$16:$AG$16,0)),HLOOKUP(VLOOKUP(C616,xySpace_Type_Details,8,FALSE),'General Information'!$P$15:$AG$28,13,FALSE)))),"")</f>
        <v/>
      </c>
      <c r="U616" s="542" t="str">
        <f>IFERROR(IF(C616="","",IF(INDEX(xyWattage_Table,MATCH(M616,'Fixture Identities'!$B$9:$B$997,0),2)="Exit Sign",1,IF(VLOOKUP(C616,xySpace_Type_Details,8,FALSE)="TRM",INDEX('General Information'!$AF$17:$AG$28,12,MATCH(N616,'General Information'!$AF$16:$AG$16,0)),HLOOKUP(VLOOKUP(C616,xySpace_Type_Details,8,FALSE),'General Information'!$P$15:$AG$28,14,FALSE)))),"")</f>
        <v/>
      </c>
      <c r="V616" s="542" t="str">
        <f>IFERROR(VLOOKUP(INDEX(xySpace_Type_Details,MATCH($C616,'General Information'!$C$40:$C$60,0),12),Lookups!$L$8:$N$12,2,FALSE),"")</f>
        <v/>
      </c>
      <c r="W616" s="542" t="str">
        <f>IFERROR(VLOOKUP(INDEX(xySpace_Type_Details,MATCH($C616,'General Information'!$C$40:$C$60,0),12),Lookups!$L$8:$N$12,3,FALSE),"")</f>
        <v/>
      </c>
      <c r="Y616" s="542" t="str">
        <f>IFERROR(IF(C616="","",IF(INDEX(xyWattage_Table,MATCH(M616,'Fixture Identities'!$B$9:$B$997,0),2)="Exit Sign",0,IF(PRJ_Type="Retrofit",VLOOKUP(I616,xySVG_Factors,2,FALSE),IF(AND(PRJ_Type="New Construction",Inventory!C613="N"),VLOOKUP(VLOOKUP(Building_Type,xyLPD_BuildingArea,5,FALSE),xySVG_Factors_NC,3,FALSE),0)))),"")</f>
        <v/>
      </c>
      <c r="Z616" s="544" t="str">
        <f>IFERROR(IF(C616="","",IF(INDEX(xyWattage_Table,MATCH(M616,'Fixture Identities'!$B$9:$B$997,0),2)="Exit Sign",0,VLOOKUP(S616,xySVG_Factors,2,FALSE))),"")</f>
        <v/>
      </c>
      <c r="AA616" s="545" t="str">
        <f t="shared" si="219"/>
        <v/>
      </c>
      <c r="AB616" s="542" t="str">
        <f t="shared" si="220"/>
        <v/>
      </c>
      <c r="AC616" s="539" t="str">
        <f t="shared" si="221"/>
        <v/>
      </c>
      <c r="AD616" s="546" t="str">
        <f t="shared" si="222"/>
        <v/>
      </c>
      <c r="AE616" s="539" t="str">
        <f t="shared" si="223"/>
        <v/>
      </c>
      <c r="AF616" s="546" t="str">
        <f t="shared" si="224"/>
        <v/>
      </c>
      <c r="AG616" s="539" t="str">
        <f t="shared" si="225"/>
        <v/>
      </c>
      <c r="AH616" s="32">
        <f t="shared" si="227"/>
        <v>0</v>
      </c>
      <c r="AI616" s="32">
        <f t="shared" si="228"/>
        <v>0</v>
      </c>
      <c r="AJ616" s="32">
        <f t="shared" si="229"/>
        <v>0</v>
      </c>
      <c r="AK616" t="str">
        <f t="shared" si="230"/>
        <v/>
      </c>
      <c r="AL616" t="str">
        <f t="shared" si="231"/>
        <v/>
      </c>
      <c r="AM616" t="str">
        <f t="shared" si="232"/>
        <v/>
      </c>
      <c r="AO616" t="str">
        <f>IFERROR(VLOOKUP(M616,'Fixture Identities'!$B$9:$O$1045,14,FALSE),"")</f>
        <v/>
      </c>
      <c r="AP616" t="str">
        <f t="shared" si="226"/>
        <v/>
      </c>
    </row>
    <row r="617" spans="1:42">
      <c r="A617" s="71">
        <f t="shared" si="234"/>
        <v>0</v>
      </c>
      <c r="B617" s="513">
        <f t="shared" si="233"/>
        <v>605</v>
      </c>
      <c r="C617" s="530" t="str">
        <f>IF(Inventory!E614="","",Inventory!E614)</f>
        <v/>
      </c>
      <c r="D617" s="531">
        <f>IF(Inventory!D614="",0,Inventory!D614)</f>
        <v>0</v>
      </c>
      <c r="E617" s="532" t="str">
        <f>IF(Inventory!I614=0,"",Inventory!I614)</f>
        <v/>
      </c>
      <c r="F617" s="533" t="str">
        <f t="shared" si="213"/>
        <v/>
      </c>
      <c r="G617" s="534" t="str">
        <f>IF(Inventory!G614="","",Inventory!G614)</f>
        <v/>
      </c>
      <c r="H617" s="535" t="str">
        <f t="shared" si="214"/>
        <v/>
      </c>
      <c r="I617" s="536" t="str">
        <f>IF(Inventory!J614="","",Inventory!J614)</f>
        <v/>
      </c>
      <c r="J617" s="537" t="str">
        <f>IFERROR(IF(PRJ_Type="New Construction",IF(Inventory!C614="N",INDEX(xyLPD_BuildingArea,MATCH(Building_Type,Lookups!$F$37:$F$75,0),4),INDEX(xyLPD_SpaceBySpace,MATCH(INDEX(xyNCEx,MATCH(I617,yNCExArea,0),2),ySpace_by_Space_Type,0),2)),VLOOKUP(E617,xyWattage_Table,11,FALSE)),"")</f>
        <v/>
      </c>
      <c r="K617" s="538" t="str">
        <f>IFERROR(IF(AND(NC_Type="Building Area Method",Inventory!C614="N"),IF(ISERROR(INDEX('Usage Groups (&gt;120 MWh only)'!$N$8:$N$12,MATCH(C617,'Usage Groups (&gt;120 MWh only)'!$B$8:$B$12,0),1))=TRUE,SqFt/COUNTIFS(Inventory!$C$10:$C$1009,"N",$Q$13:$Q$1012,"&gt;=0"),INDEX('Usage Groups (&gt;120 MWh only)'!$N$8:$N$12,MATCH(C617,'Usage Groups (&gt;120 MWh only)'!$B$8:$B$12,0),1)/COUNTIF($C$13:$C$1012,C617)),IF(AND(NC_Type="Building Area Method",Inventory!C614="Y"),INDEX(xyNCEx,MATCH(I617,yNCExArea,0),3)/COUNTIF($I$13:$I$1012,I617),VLOOKUP(J617,xyWattage_Table,10,FALSE))),"")</f>
        <v/>
      </c>
      <c r="L617" s="539" t="str">
        <f t="shared" si="215"/>
        <v/>
      </c>
      <c r="M617" s="540">
        <f>IF(Inventory!N614="","",Inventory!N614)</f>
        <v>0</v>
      </c>
      <c r="N617" s="533" t="str">
        <f t="shared" si="216"/>
        <v/>
      </c>
      <c r="O617" s="534"/>
      <c r="P617" s="533" t="str">
        <f t="shared" si="217"/>
        <v/>
      </c>
      <c r="Q617" s="534" t="str">
        <f>IF(Inventory!L614="","",Inventory!L614)</f>
        <v/>
      </c>
      <c r="R617" s="535" t="str">
        <f t="shared" si="218"/>
        <v/>
      </c>
      <c r="S617" s="536" t="str">
        <f>IF(Inventory!O614="","",Inventory!O614)</f>
        <v/>
      </c>
      <c r="T617" s="541" t="str">
        <f>IFERROR(IF(C617="","",IF(INDEX(xyWattage_Table,MATCH(M617,'Fixture Identities'!$B$9:$B$997,0),2)="Exit Sign",8760,IF(VLOOKUP(C617,xySpace_Type_Details,8,FALSE)="TRM",INDEX('General Information'!$AF$17:$AG$28,11,MATCH(N617,'General Information'!$AF$16:$AG$16,0)),HLOOKUP(VLOOKUP(C617,xySpace_Type_Details,8,FALSE),'General Information'!$P$15:$AG$28,13,FALSE)))),"")</f>
        <v/>
      </c>
      <c r="U617" s="542" t="str">
        <f>IFERROR(IF(C617="","",IF(INDEX(xyWattage_Table,MATCH(M617,'Fixture Identities'!$B$9:$B$997,0),2)="Exit Sign",1,IF(VLOOKUP(C617,xySpace_Type_Details,8,FALSE)="TRM",INDEX('General Information'!$AF$17:$AG$28,12,MATCH(N617,'General Information'!$AF$16:$AG$16,0)),HLOOKUP(VLOOKUP(C617,xySpace_Type_Details,8,FALSE),'General Information'!$P$15:$AG$28,14,FALSE)))),"")</f>
        <v/>
      </c>
      <c r="V617" s="542" t="str">
        <f>IFERROR(VLOOKUP(INDEX(xySpace_Type_Details,MATCH($C617,'General Information'!$C$40:$C$60,0),12),Lookups!$L$8:$N$12,2,FALSE),"")</f>
        <v/>
      </c>
      <c r="W617" s="542" t="str">
        <f>IFERROR(VLOOKUP(INDEX(xySpace_Type_Details,MATCH($C617,'General Information'!$C$40:$C$60,0),12),Lookups!$L$8:$N$12,3,FALSE),"")</f>
        <v/>
      </c>
      <c r="Y617" s="542" t="str">
        <f>IFERROR(IF(C617="","",IF(INDEX(xyWattage_Table,MATCH(M617,'Fixture Identities'!$B$9:$B$997,0),2)="Exit Sign",0,IF(PRJ_Type="Retrofit",VLOOKUP(I617,xySVG_Factors,2,FALSE),IF(AND(PRJ_Type="New Construction",Inventory!C614="N"),VLOOKUP(VLOOKUP(Building_Type,xyLPD_BuildingArea,5,FALSE),xySVG_Factors_NC,3,FALSE),0)))),"")</f>
        <v/>
      </c>
      <c r="Z617" s="544" t="str">
        <f>IFERROR(IF(C617="","",IF(INDEX(xyWattage_Table,MATCH(M617,'Fixture Identities'!$B$9:$B$997,0),2)="Exit Sign",0,VLOOKUP(S617,xySVG_Factors,2,FALSE))),"")</f>
        <v/>
      </c>
      <c r="AA617" s="545" t="str">
        <f t="shared" si="219"/>
        <v/>
      </c>
      <c r="AB617" s="542" t="str">
        <f t="shared" si="220"/>
        <v/>
      </c>
      <c r="AC617" s="539" t="str">
        <f t="shared" si="221"/>
        <v/>
      </c>
      <c r="AD617" s="546" t="str">
        <f t="shared" si="222"/>
        <v/>
      </c>
      <c r="AE617" s="539" t="str">
        <f t="shared" si="223"/>
        <v/>
      </c>
      <c r="AF617" s="546" t="str">
        <f t="shared" si="224"/>
        <v/>
      </c>
      <c r="AG617" s="539" t="str">
        <f t="shared" si="225"/>
        <v/>
      </c>
      <c r="AH617" s="32">
        <f t="shared" si="227"/>
        <v>0</v>
      </c>
      <c r="AI617" s="32">
        <f t="shared" si="228"/>
        <v>0</v>
      </c>
      <c r="AJ617" s="32">
        <f t="shared" si="229"/>
        <v>0</v>
      </c>
      <c r="AK617" t="str">
        <f t="shared" si="230"/>
        <v/>
      </c>
      <c r="AL617" t="str">
        <f t="shared" si="231"/>
        <v/>
      </c>
      <c r="AM617" t="str">
        <f t="shared" si="232"/>
        <v/>
      </c>
      <c r="AO617" t="str">
        <f>IFERROR(VLOOKUP(M617,'Fixture Identities'!$B$9:$O$1045,14,FALSE),"")</f>
        <v/>
      </c>
      <c r="AP617" t="str">
        <f t="shared" si="226"/>
        <v/>
      </c>
    </row>
    <row r="618" spans="1:42">
      <c r="A618" s="71">
        <f t="shared" si="234"/>
        <v>0</v>
      </c>
      <c r="B618" s="513">
        <f t="shared" si="233"/>
        <v>606</v>
      </c>
      <c r="C618" s="530" t="str">
        <f>IF(Inventory!E615="","",Inventory!E615)</f>
        <v/>
      </c>
      <c r="D618" s="531">
        <f>IF(Inventory!D615="",0,Inventory!D615)</f>
        <v>0</v>
      </c>
      <c r="E618" s="532" t="str">
        <f>IF(Inventory!I615=0,"",Inventory!I615)</f>
        <v/>
      </c>
      <c r="F618" s="533" t="str">
        <f t="shared" si="213"/>
        <v/>
      </c>
      <c r="G618" s="534" t="str">
        <f>IF(Inventory!G615="","",Inventory!G615)</f>
        <v/>
      </c>
      <c r="H618" s="535" t="str">
        <f t="shared" si="214"/>
        <v/>
      </c>
      <c r="I618" s="536" t="str">
        <f>IF(Inventory!J615="","",Inventory!J615)</f>
        <v/>
      </c>
      <c r="J618" s="537" t="str">
        <f>IFERROR(IF(PRJ_Type="New Construction",IF(Inventory!C615="N",INDEX(xyLPD_BuildingArea,MATCH(Building_Type,Lookups!$F$37:$F$75,0),4),INDEX(xyLPD_SpaceBySpace,MATCH(INDEX(xyNCEx,MATCH(I618,yNCExArea,0),2),ySpace_by_Space_Type,0),2)),VLOOKUP(E618,xyWattage_Table,11,FALSE)),"")</f>
        <v/>
      </c>
      <c r="K618" s="538" t="str">
        <f>IFERROR(IF(AND(NC_Type="Building Area Method",Inventory!C615="N"),IF(ISERROR(INDEX('Usage Groups (&gt;120 MWh only)'!$N$8:$N$12,MATCH(C618,'Usage Groups (&gt;120 MWh only)'!$B$8:$B$12,0),1))=TRUE,SqFt/COUNTIFS(Inventory!$C$10:$C$1009,"N",$Q$13:$Q$1012,"&gt;=0"),INDEX('Usage Groups (&gt;120 MWh only)'!$N$8:$N$12,MATCH(C618,'Usage Groups (&gt;120 MWh only)'!$B$8:$B$12,0),1)/COUNTIF($C$13:$C$1012,C618)),IF(AND(NC_Type="Building Area Method",Inventory!C615="Y"),INDEX(xyNCEx,MATCH(I618,yNCExArea,0),3)/COUNTIF($I$13:$I$1012,I618),VLOOKUP(J618,xyWattage_Table,10,FALSE))),"")</f>
        <v/>
      </c>
      <c r="L618" s="539" t="str">
        <f t="shared" si="215"/>
        <v/>
      </c>
      <c r="M618" s="540">
        <f>IF(Inventory!N615="","",Inventory!N615)</f>
        <v>0</v>
      </c>
      <c r="N618" s="533" t="str">
        <f t="shared" si="216"/>
        <v/>
      </c>
      <c r="O618" s="534"/>
      <c r="P618" s="533" t="str">
        <f t="shared" si="217"/>
        <v/>
      </c>
      <c r="Q618" s="534" t="str">
        <f>IF(Inventory!L615="","",Inventory!L615)</f>
        <v/>
      </c>
      <c r="R618" s="535" t="str">
        <f t="shared" si="218"/>
        <v/>
      </c>
      <c r="S618" s="536" t="str">
        <f>IF(Inventory!O615="","",Inventory!O615)</f>
        <v/>
      </c>
      <c r="T618" s="541" t="str">
        <f>IFERROR(IF(C618="","",IF(INDEX(xyWattage_Table,MATCH(M618,'Fixture Identities'!$B$9:$B$997,0),2)="Exit Sign",8760,IF(VLOOKUP(C618,xySpace_Type_Details,8,FALSE)="TRM",INDEX('General Information'!$AF$17:$AG$28,11,MATCH(N618,'General Information'!$AF$16:$AG$16,0)),HLOOKUP(VLOOKUP(C618,xySpace_Type_Details,8,FALSE),'General Information'!$P$15:$AG$28,13,FALSE)))),"")</f>
        <v/>
      </c>
      <c r="U618" s="542" t="str">
        <f>IFERROR(IF(C618="","",IF(INDEX(xyWattage_Table,MATCH(M618,'Fixture Identities'!$B$9:$B$997,0),2)="Exit Sign",1,IF(VLOOKUP(C618,xySpace_Type_Details,8,FALSE)="TRM",INDEX('General Information'!$AF$17:$AG$28,12,MATCH(N618,'General Information'!$AF$16:$AG$16,0)),HLOOKUP(VLOOKUP(C618,xySpace_Type_Details,8,FALSE),'General Information'!$P$15:$AG$28,14,FALSE)))),"")</f>
        <v/>
      </c>
      <c r="V618" s="542" t="str">
        <f>IFERROR(VLOOKUP(INDEX(xySpace_Type_Details,MATCH($C618,'General Information'!$C$40:$C$60,0),12),Lookups!$L$8:$N$12,2,FALSE),"")</f>
        <v/>
      </c>
      <c r="W618" s="542" t="str">
        <f>IFERROR(VLOOKUP(INDEX(xySpace_Type_Details,MATCH($C618,'General Information'!$C$40:$C$60,0),12),Lookups!$L$8:$N$12,3,FALSE),"")</f>
        <v/>
      </c>
      <c r="Y618" s="542" t="str">
        <f>IFERROR(IF(C618="","",IF(INDEX(xyWattage_Table,MATCH(M618,'Fixture Identities'!$B$9:$B$997,0),2)="Exit Sign",0,IF(PRJ_Type="Retrofit",VLOOKUP(I618,xySVG_Factors,2,FALSE),IF(AND(PRJ_Type="New Construction",Inventory!C615="N"),VLOOKUP(VLOOKUP(Building_Type,xyLPD_BuildingArea,5,FALSE),xySVG_Factors_NC,3,FALSE),0)))),"")</f>
        <v/>
      </c>
      <c r="Z618" s="544" t="str">
        <f>IFERROR(IF(C618="","",IF(INDEX(xyWattage_Table,MATCH(M618,'Fixture Identities'!$B$9:$B$997,0),2)="Exit Sign",0,VLOOKUP(S618,xySVG_Factors,2,FALSE))),"")</f>
        <v/>
      </c>
      <c r="AA618" s="545" t="str">
        <f t="shared" si="219"/>
        <v/>
      </c>
      <c r="AB618" s="542" t="str">
        <f t="shared" si="220"/>
        <v/>
      </c>
      <c r="AC618" s="539" t="str">
        <f t="shared" si="221"/>
        <v/>
      </c>
      <c r="AD618" s="546" t="str">
        <f t="shared" si="222"/>
        <v/>
      </c>
      <c r="AE618" s="539" t="str">
        <f t="shared" si="223"/>
        <v/>
      </c>
      <c r="AF618" s="546" t="str">
        <f t="shared" si="224"/>
        <v/>
      </c>
      <c r="AG618" s="539" t="str">
        <f t="shared" si="225"/>
        <v/>
      </c>
      <c r="AH618" s="32">
        <f t="shared" si="227"/>
        <v>0</v>
      </c>
      <c r="AI618" s="32">
        <f t="shared" si="228"/>
        <v>0</v>
      </c>
      <c r="AJ618" s="32">
        <f t="shared" si="229"/>
        <v>0</v>
      </c>
      <c r="AK618" t="str">
        <f t="shared" si="230"/>
        <v/>
      </c>
      <c r="AL618" t="str">
        <f t="shared" si="231"/>
        <v/>
      </c>
      <c r="AM618" t="str">
        <f t="shared" si="232"/>
        <v/>
      </c>
      <c r="AO618" t="str">
        <f>IFERROR(VLOOKUP(M618,'Fixture Identities'!$B$9:$O$1045,14,FALSE),"")</f>
        <v/>
      </c>
      <c r="AP618" t="str">
        <f t="shared" si="226"/>
        <v/>
      </c>
    </row>
    <row r="619" spans="1:42">
      <c r="A619" s="71">
        <f t="shared" si="234"/>
        <v>0</v>
      </c>
      <c r="B619" s="513">
        <f t="shared" si="233"/>
        <v>607</v>
      </c>
      <c r="C619" s="530" t="str">
        <f>IF(Inventory!E616="","",Inventory!E616)</f>
        <v/>
      </c>
      <c r="D619" s="531">
        <f>IF(Inventory!D616="",0,Inventory!D616)</f>
        <v>0</v>
      </c>
      <c r="E619" s="532" t="str">
        <f>IF(Inventory!I616=0,"",Inventory!I616)</f>
        <v/>
      </c>
      <c r="F619" s="533" t="str">
        <f t="shared" si="213"/>
        <v/>
      </c>
      <c r="G619" s="534" t="str">
        <f>IF(Inventory!G616="","",Inventory!G616)</f>
        <v/>
      </c>
      <c r="H619" s="535" t="str">
        <f t="shared" si="214"/>
        <v/>
      </c>
      <c r="I619" s="536" t="str">
        <f>IF(Inventory!J616="","",Inventory!J616)</f>
        <v/>
      </c>
      <c r="J619" s="537" t="str">
        <f>IFERROR(IF(PRJ_Type="New Construction",IF(Inventory!C616="N",INDEX(xyLPD_BuildingArea,MATCH(Building_Type,Lookups!$F$37:$F$75,0),4),INDEX(xyLPD_SpaceBySpace,MATCH(INDEX(xyNCEx,MATCH(I619,yNCExArea,0),2),ySpace_by_Space_Type,0),2)),VLOOKUP(E619,xyWattage_Table,11,FALSE)),"")</f>
        <v/>
      </c>
      <c r="K619" s="538" t="str">
        <f>IFERROR(IF(AND(NC_Type="Building Area Method",Inventory!C616="N"),IF(ISERROR(INDEX('Usage Groups (&gt;120 MWh only)'!$N$8:$N$12,MATCH(C619,'Usage Groups (&gt;120 MWh only)'!$B$8:$B$12,0),1))=TRUE,SqFt/COUNTIFS(Inventory!$C$10:$C$1009,"N",$Q$13:$Q$1012,"&gt;=0"),INDEX('Usage Groups (&gt;120 MWh only)'!$N$8:$N$12,MATCH(C619,'Usage Groups (&gt;120 MWh only)'!$B$8:$B$12,0),1)/COUNTIF($C$13:$C$1012,C619)),IF(AND(NC_Type="Building Area Method",Inventory!C616="Y"),INDEX(xyNCEx,MATCH(I619,yNCExArea,0),3)/COUNTIF($I$13:$I$1012,I619),VLOOKUP(J619,xyWattage_Table,10,FALSE))),"")</f>
        <v/>
      </c>
      <c r="L619" s="539" t="str">
        <f t="shared" si="215"/>
        <v/>
      </c>
      <c r="M619" s="540">
        <f>IF(Inventory!N616="","",Inventory!N616)</f>
        <v>0</v>
      </c>
      <c r="N619" s="533" t="str">
        <f t="shared" si="216"/>
        <v/>
      </c>
      <c r="O619" s="534"/>
      <c r="P619" s="533" t="str">
        <f t="shared" si="217"/>
        <v/>
      </c>
      <c r="Q619" s="534" t="str">
        <f>IF(Inventory!L616="","",Inventory!L616)</f>
        <v/>
      </c>
      <c r="R619" s="535" t="str">
        <f t="shared" si="218"/>
        <v/>
      </c>
      <c r="S619" s="536" t="str">
        <f>IF(Inventory!O616="","",Inventory!O616)</f>
        <v/>
      </c>
      <c r="T619" s="541" t="str">
        <f>IFERROR(IF(C619="","",IF(INDEX(xyWattage_Table,MATCH(M619,'Fixture Identities'!$B$9:$B$997,0),2)="Exit Sign",8760,IF(VLOOKUP(C619,xySpace_Type_Details,8,FALSE)="TRM",INDEX('General Information'!$AF$17:$AG$28,11,MATCH(N619,'General Information'!$AF$16:$AG$16,0)),HLOOKUP(VLOOKUP(C619,xySpace_Type_Details,8,FALSE),'General Information'!$P$15:$AG$28,13,FALSE)))),"")</f>
        <v/>
      </c>
      <c r="U619" s="542" t="str">
        <f>IFERROR(IF(C619="","",IF(INDEX(xyWattage_Table,MATCH(M619,'Fixture Identities'!$B$9:$B$997,0),2)="Exit Sign",1,IF(VLOOKUP(C619,xySpace_Type_Details,8,FALSE)="TRM",INDEX('General Information'!$AF$17:$AG$28,12,MATCH(N619,'General Information'!$AF$16:$AG$16,0)),HLOOKUP(VLOOKUP(C619,xySpace_Type_Details,8,FALSE),'General Information'!$P$15:$AG$28,14,FALSE)))),"")</f>
        <v/>
      </c>
      <c r="V619" s="542" t="str">
        <f>IFERROR(VLOOKUP(INDEX(xySpace_Type_Details,MATCH($C619,'General Information'!$C$40:$C$60,0),12),Lookups!$L$8:$N$12,2,FALSE),"")</f>
        <v/>
      </c>
      <c r="W619" s="542" t="str">
        <f>IFERROR(VLOOKUP(INDEX(xySpace_Type_Details,MATCH($C619,'General Information'!$C$40:$C$60,0),12),Lookups!$L$8:$N$12,3,FALSE),"")</f>
        <v/>
      </c>
      <c r="Y619" s="542" t="str">
        <f>IFERROR(IF(C619="","",IF(INDEX(xyWattage_Table,MATCH(M619,'Fixture Identities'!$B$9:$B$997,0),2)="Exit Sign",0,IF(PRJ_Type="Retrofit",VLOOKUP(I619,xySVG_Factors,2,FALSE),IF(AND(PRJ_Type="New Construction",Inventory!C616="N"),VLOOKUP(VLOOKUP(Building_Type,xyLPD_BuildingArea,5,FALSE),xySVG_Factors_NC,3,FALSE),0)))),"")</f>
        <v/>
      </c>
      <c r="Z619" s="544" t="str">
        <f>IFERROR(IF(C619="","",IF(INDEX(xyWattage_Table,MATCH(M619,'Fixture Identities'!$B$9:$B$997,0),2)="Exit Sign",0,VLOOKUP(S619,xySVG_Factors,2,FALSE))),"")</f>
        <v/>
      </c>
      <c r="AA619" s="545" t="str">
        <f t="shared" si="219"/>
        <v/>
      </c>
      <c r="AB619" s="542" t="str">
        <f t="shared" si="220"/>
        <v/>
      </c>
      <c r="AC619" s="539" t="str">
        <f t="shared" si="221"/>
        <v/>
      </c>
      <c r="AD619" s="546" t="str">
        <f t="shared" si="222"/>
        <v/>
      </c>
      <c r="AE619" s="539" t="str">
        <f t="shared" si="223"/>
        <v/>
      </c>
      <c r="AF619" s="546" t="str">
        <f t="shared" si="224"/>
        <v/>
      </c>
      <c r="AG619" s="539" t="str">
        <f t="shared" si="225"/>
        <v/>
      </c>
      <c r="AH619" s="32">
        <f t="shared" si="227"/>
        <v>0</v>
      </c>
      <c r="AI619" s="32">
        <f t="shared" si="228"/>
        <v>0</v>
      </c>
      <c r="AJ619" s="32">
        <f t="shared" si="229"/>
        <v>0</v>
      </c>
      <c r="AK619" t="str">
        <f t="shared" si="230"/>
        <v/>
      </c>
      <c r="AL619" t="str">
        <f t="shared" si="231"/>
        <v/>
      </c>
      <c r="AM619" t="str">
        <f t="shared" si="232"/>
        <v/>
      </c>
      <c r="AO619" t="str">
        <f>IFERROR(VLOOKUP(M619,'Fixture Identities'!$B$9:$O$1045,14,FALSE),"")</f>
        <v/>
      </c>
      <c r="AP619" t="str">
        <f t="shared" si="226"/>
        <v/>
      </c>
    </row>
    <row r="620" spans="1:42">
      <c r="A620" s="71">
        <f t="shared" si="234"/>
        <v>0</v>
      </c>
      <c r="B620" s="513">
        <f t="shared" si="233"/>
        <v>608</v>
      </c>
      <c r="C620" s="530" t="str">
        <f>IF(Inventory!E617="","",Inventory!E617)</f>
        <v/>
      </c>
      <c r="D620" s="531">
        <f>IF(Inventory!D617="",0,Inventory!D617)</f>
        <v>0</v>
      </c>
      <c r="E620" s="532" t="str">
        <f>IF(Inventory!I617=0,"",Inventory!I617)</f>
        <v/>
      </c>
      <c r="F620" s="533" t="str">
        <f t="shared" si="213"/>
        <v/>
      </c>
      <c r="G620" s="534" t="str">
        <f>IF(Inventory!G617="","",Inventory!G617)</f>
        <v/>
      </c>
      <c r="H620" s="535" t="str">
        <f t="shared" si="214"/>
        <v/>
      </c>
      <c r="I620" s="536" t="str">
        <f>IF(Inventory!J617="","",Inventory!J617)</f>
        <v/>
      </c>
      <c r="J620" s="537" t="str">
        <f>IFERROR(IF(PRJ_Type="New Construction",IF(Inventory!C617="N",INDEX(xyLPD_BuildingArea,MATCH(Building_Type,Lookups!$F$37:$F$75,0),4),INDEX(xyLPD_SpaceBySpace,MATCH(INDEX(xyNCEx,MATCH(I620,yNCExArea,0),2),ySpace_by_Space_Type,0),2)),VLOOKUP(E620,xyWattage_Table,11,FALSE)),"")</f>
        <v/>
      </c>
      <c r="K620" s="538" t="str">
        <f>IFERROR(IF(AND(NC_Type="Building Area Method",Inventory!C617="N"),IF(ISERROR(INDEX('Usage Groups (&gt;120 MWh only)'!$N$8:$N$12,MATCH(C620,'Usage Groups (&gt;120 MWh only)'!$B$8:$B$12,0),1))=TRUE,SqFt/COUNTIFS(Inventory!$C$10:$C$1009,"N",$Q$13:$Q$1012,"&gt;=0"),INDEX('Usage Groups (&gt;120 MWh only)'!$N$8:$N$12,MATCH(C620,'Usage Groups (&gt;120 MWh only)'!$B$8:$B$12,0),1)/COUNTIF($C$13:$C$1012,C620)),IF(AND(NC_Type="Building Area Method",Inventory!C617="Y"),INDEX(xyNCEx,MATCH(I620,yNCExArea,0),3)/COUNTIF($I$13:$I$1012,I620),VLOOKUP(J620,xyWattage_Table,10,FALSE))),"")</f>
        <v/>
      </c>
      <c r="L620" s="539" t="str">
        <f t="shared" si="215"/>
        <v/>
      </c>
      <c r="M620" s="540">
        <f>IF(Inventory!N617="","",Inventory!N617)</f>
        <v>0</v>
      </c>
      <c r="N620" s="533" t="str">
        <f t="shared" si="216"/>
        <v/>
      </c>
      <c r="O620" s="534"/>
      <c r="P620" s="533" t="str">
        <f t="shared" si="217"/>
        <v/>
      </c>
      <c r="Q620" s="534" t="str">
        <f>IF(Inventory!L617="","",Inventory!L617)</f>
        <v/>
      </c>
      <c r="R620" s="535" t="str">
        <f t="shared" si="218"/>
        <v/>
      </c>
      <c r="S620" s="536" t="str">
        <f>IF(Inventory!O617="","",Inventory!O617)</f>
        <v/>
      </c>
      <c r="T620" s="541" t="str">
        <f>IFERROR(IF(C620="","",IF(INDEX(xyWattage_Table,MATCH(M620,'Fixture Identities'!$B$9:$B$997,0),2)="Exit Sign",8760,IF(VLOOKUP(C620,xySpace_Type_Details,8,FALSE)="TRM",INDEX('General Information'!$AF$17:$AG$28,11,MATCH(N620,'General Information'!$AF$16:$AG$16,0)),HLOOKUP(VLOOKUP(C620,xySpace_Type_Details,8,FALSE),'General Information'!$P$15:$AG$28,13,FALSE)))),"")</f>
        <v/>
      </c>
      <c r="U620" s="542" t="str">
        <f>IFERROR(IF(C620="","",IF(INDEX(xyWattage_Table,MATCH(M620,'Fixture Identities'!$B$9:$B$997,0),2)="Exit Sign",1,IF(VLOOKUP(C620,xySpace_Type_Details,8,FALSE)="TRM",INDEX('General Information'!$AF$17:$AG$28,12,MATCH(N620,'General Information'!$AF$16:$AG$16,0)),HLOOKUP(VLOOKUP(C620,xySpace_Type_Details,8,FALSE),'General Information'!$P$15:$AG$28,14,FALSE)))),"")</f>
        <v/>
      </c>
      <c r="V620" s="542" t="str">
        <f>IFERROR(VLOOKUP(INDEX(xySpace_Type_Details,MATCH($C620,'General Information'!$C$40:$C$60,0),12),Lookups!$L$8:$N$12,2,FALSE),"")</f>
        <v/>
      </c>
      <c r="W620" s="542" t="str">
        <f>IFERROR(VLOOKUP(INDEX(xySpace_Type_Details,MATCH($C620,'General Information'!$C$40:$C$60,0),12),Lookups!$L$8:$N$12,3,FALSE),"")</f>
        <v/>
      </c>
      <c r="Y620" s="542" t="str">
        <f>IFERROR(IF(C620="","",IF(INDEX(xyWattage_Table,MATCH(M620,'Fixture Identities'!$B$9:$B$997,0),2)="Exit Sign",0,IF(PRJ_Type="Retrofit",VLOOKUP(I620,xySVG_Factors,2,FALSE),IF(AND(PRJ_Type="New Construction",Inventory!C617="N"),VLOOKUP(VLOOKUP(Building_Type,xyLPD_BuildingArea,5,FALSE),xySVG_Factors_NC,3,FALSE),0)))),"")</f>
        <v/>
      </c>
      <c r="Z620" s="544" t="str">
        <f>IFERROR(IF(C620="","",IF(INDEX(xyWattage_Table,MATCH(M620,'Fixture Identities'!$B$9:$B$997,0),2)="Exit Sign",0,VLOOKUP(S620,xySVG_Factors,2,FALSE))),"")</f>
        <v/>
      </c>
      <c r="AA620" s="545" t="str">
        <f t="shared" si="219"/>
        <v/>
      </c>
      <c r="AB620" s="542" t="str">
        <f t="shared" si="220"/>
        <v/>
      </c>
      <c r="AC620" s="539" t="str">
        <f t="shared" si="221"/>
        <v/>
      </c>
      <c r="AD620" s="546" t="str">
        <f t="shared" si="222"/>
        <v/>
      </c>
      <c r="AE620" s="539" t="str">
        <f t="shared" si="223"/>
        <v/>
      </c>
      <c r="AF620" s="546" t="str">
        <f t="shared" si="224"/>
        <v/>
      </c>
      <c r="AG620" s="539" t="str">
        <f t="shared" si="225"/>
        <v/>
      </c>
      <c r="AH620" s="32">
        <f t="shared" si="227"/>
        <v>0</v>
      </c>
      <c r="AI620" s="32">
        <f t="shared" si="228"/>
        <v>0</v>
      </c>
      <c r="AJ620" s="32">
        <f t="shared" si="229"/>
        <v>0</v>
      </c>
      <c r="AK620" t="str">
        <f t="shared" si="230"/>
        <v/>
      </c>
      <c r="AL620" t="str">
        <f t="shared" si="231"/>
        <v/>
      </c>
      <c r="AM620" t="str">
        <f t="shared" si="232"/>
        <v/>
      </c>
      <c r="AO620" t="str">
        <f>IFERROR(VLOOKUP(M620,'Fixture Identities'!$B$9:$O$1045,14,FALSE),"")</f>
        <v/>
      </c>
      <c r="AP620" t="str">
        <f t="shared" si="226"/>
        <v/>
      </c>
    </row>
    <row r="621" spans="1:42">
      <c r="A621" s="71">
        <f t="shared" si="234"/>
        <v>0</v>
      </c>
      <c r="B621" s="513">
        <f t="shared" si="233"/>
        <v>609</v>
      </c>
      <c r="C621" s="530" t="str">
        <f>IF(Inventory!E618="","",Inventory!E618)</f>
        <v/>
      </c>
      <c r="D621" s="531">
        <f>IF(Inventory!D618="",0,Inventory!D618)</f>
        <v>0</v>
      </c>
      <c r="E621" s="532" t="str">
        <f>IF(Inventory!I618=0,"",Inventory!I618)</f>
        <v/>
      </c>
      <c r="F621" s="533" t="str">
        <f t="shared" si="213"/>
        <v/>
      </c>
      <c r="G621" s="534" t="str">
        <f>IF(Inventory!G618="","",Inventory!G618)</f>
        <v/>
      </c>
      <c r="H621" s="535" t="str">
        <f t="shared" si="214"/>
        <v/>
      </c>
      <c r="I621" s="536" t="str">
        <f>IF(Inventory!J618="","",Inventory!J618)</f>
        <v/>
      </c>
      <c r="J621" s="537" t="str">
        <f>IFERROR(IF(PRJ_Type="New Construction",IF(Inventory!C618="N",INDEX(xyLPD_BuildingArea,MATCH(Building_Type,Lookups!$F$37:$F$75,0),4),INDEX(xyLPD_SpaceBySpace,MATCH(INDEX(xyNCEx,MATCH(I621,yNCExArea,0),2),ySpace_by_Space_Type,0),2)),VLOOKUP(E621,xyWattage_Table,11,FALSE)),"")</f>
        <v/>
      </c>
      <c r="K621" s="538" t="str">
        <f>IFERROR(IF(AND(NC_Type="Building Area Method",Inventory!C618="N"),IF(ISERROR(INDEX('Usage Groups (&gt;120 MWh only)'!$N$8:$N$12,MATCH(C621,'Usage Groups (&gt;120 MWh only)'!$B$8:$B$12,0),1))=TRUE,SqFt/COUNTIFS(Inventory!$C$10:$C$1009,"N",$Q$13:$Q$1012,"&gt;=0"),INDEX('Usage Groups (&gt;120 MWh only)'!$N$8:$N$12,MATCH(C621,'Usage Groups (&gt;120 MWh only)'!$B$8:$B$12,0),1)/COUNTIF($C$13:$C$1012,C621)),IF(AND(NC_Type="Building Area Method",Inventory!C618="Y"),INDEX(xyNCEx,MATCH(I621,yNCExArea,0),3)/COUNTIF($I$13:$I$1012,I621),VLOOKUP(J621,xyWattage_Table,10,FALSE))),"")</f>
        <v/>
      </c>
      <c r="L621" s="539" t="str">
        <f t="shared" si="215"/>
        <v/>
      </c>
      <c r="M621" s="540">
        <f>IF(Inventory!N618="","",Inventory!N618)</f>
        <v>0</v>
      </c>
      <c r="N621" s="533" t="str">
        <f t="shared" si="216"/>
        <v/>
      </c>
      <c r="O621" s="534"/>
      <c r="P621" s="533" t="str">
        <f t="shared" si="217"/>
        <v/>
      </c>
      <c r="Q621" s="534" t="str">
        <f>IF(Inventory!L618="","",Inventory!L618)</f>
        <v/>
      </c>
      <c r="R621" s="535" t="str">
        <f t="shared" si="218"/>
        <v/>
      </c>
      <c r="S621" s="536" t="str">
        <f>IF(Inventory!O618="","",Inventory!O618)</f>
        <v/>
      </c>
      <c r="T621" s="541" t="str">
        <f>IFERROR(IF(C621="","",IF(INDEX(xyWattage_Table,MATCH(M621,'Fixture Identities'!$B$9:$B$997,0),2)="Exit Sign",8760,IF(VLOOKUP(C621,xySpace_Type_Details,8,FALSE)="TRM",INDEX('General Information'!$AF$17:$AG$28,11,MATCH(N621,'General Information'!$AF$16:$AG$16,0)),HLOOKUP(VLOOKUP(C621,xySpace_Type_Details,8,FALSE),'General Information'!$P$15:$AG$28,13,FALSE)))),"")</f>
        <v/>
      </c>
      <c r="U621" s="542" t="str">
        <f>IFERROR(IF(C621="","",IF(INDEX(xyWattage_Table,MATCH(M621,'Fixture Identities'!$B$9:$B$997,0),2)="Exit Sign",1,IF(VLOOKUP(C621,xySpace_Type_Details,8,FALSE)="TRM",INDEX('General Information'!$AF$17:$AG$28,12,MATCH(N621,'General Information'!$AF$16:$AG$16,0)),HLOOKUP(VLOOKUP(C621,xySpace_Type_Details,8,FALSE),'General Information'!$P$15:$AG$28,14,FALSE)))),"")</f>
        <v/>
      </c>
      <c r="V621" s="542" t="str">
        <f>IFERROR(VLOOKUP(INDEX(xySpace_Type_Details,MATCH($C621,'General Information'!$C$40:$C$60,0),12),Lookups!$L$8:$N$12,2,FALSE),"")</f>
        <v/>
      </c>
      <c r="W621" s="542" t="str">
        <f>IFERROR(VLOOKUP(INDEX(xySpace_Type_Details,MATCH($C621,'General Information'!$C$40:$C$60,0),12),Lookups!$L$8:$N$12,3,FALSE),"")</f>
        <v/>
      </c>
      <c r="Y621" s="542" t="str">
        <f>IFERROR(IF(C621="","",IF(INDEX(xyWattage_Table,MATCH(M621,'Fixture Identities'!$B$9:$B$997,0),2)="Exit Sign",0,IF(PRJ_Type="Retrofit",VLOOKUP(I621,xySVG_Factors,2,FALSE),IF(AND(PRJ_Type="New Construction",Inventory!C618="N"),VLOOKUP(VLOOKUP(Building_Type,xyLPD_BuildingArea,5,FALSE),xySVG_Factors_NC,3,FALSE),0)))),"")</f>
        <v/>
      </c>
      <c r="Z621" s="544" t="str">
        <f>IFERROR(IF(C621="","",IF(INDEX(xyWattage_Table,MATCH(M621,'Fixture Identities'!$B$9:$B$997,0),2)="Exit Sign",0,VLOOKUP(S621,xySVG_Factors,2,FALSE))),"")</f>
        <v/>
      </c>
      <c r="AA621" s="545" t="str">
        <f t="shared" si="219"/>
        <v/>
      </c>
      <c r="AB621" s="542" t="str">
        <f t="shared" si="220"/>
        <v/>
      </c>
      <c r="AC621" s="539" t="str">
        <f t="shared" si="221"/>
        <v/>
      </c>
      <c r="AD621" s="546" t="str">
        <f t="shared" si="222"/>
        <v/>
      </c>
      <c r="AE621" s="539" t="str">
        <f t="shared" si="223"/>
        <v/>
      </c>
      <c r="AF621" s="546" t="str">
        <f t="shared" si="224"/>
        <v/>
      </c>
      <c r="AG621" s="539" t="str">
        <f t="shared" si="225"/>
        <v/>
      </c>
      <c r="AH621" s="32">
        <f t="shared" si="227"/>
        <v>0</v>
      </c>
      <c r="AI621" s="32">
        <f t="shared" si="228"/>
        <v>0</v>
      </c>
      <c r="AJ621" s="32">
        <f t="shared" si="229"/>
        <v>0</v>
      </c>
      <c r="AK621" t="str">
        <f t="shared" si="230"/>
        <v/>
      </c>
      <c r="AL621" t="str">
        <f t="shared" si="231"/>
        <v/>
      </c>
      <c r="AM621" t="str">
        <f t="shared" si="232"/>
        <v/>
      </c>
      <c r="AO621" t="str">
        <f>IFERROR(VLOOKUP(M621,'Fixture Identities'!$B$9:$O$1045,14,FALSE),"")</f>
        <v/>
      </c>
      <c r="AP621" t="str">
        <f t="shared" si="226"/>
        <v/>
      </c>
    </row>
    <row r="622" spans="1:42">
      <c r="A622" s="71">
        <f t="shared" si="234"/>
        <v>0</v>
      </c>
      <c r="B622" s="513">
        <f t="shared" si="233"/>
        <v>610</v>
      </c>
      <c r="C622" s="530" t="str">
        <f>IF(Inventory!E619="","",Inventory!E619)</f>
        <v/>
      </c>
      <c r="D622" s="531">
        <f>IF(Inventory!D619="",0,Inventory!D619)</f>
        <v>0</v>
      </c>
      <c r="E622" s="532" t="str">
        <f>IF(Inventory!I619=0,"",Inventory!I619)</f>
        <v/>
      </c>
      <c r="F622" s="533" t="str">
        <f t="shared" si="213"/>
        <v/>
      </c>
      <c r="G622" s="534" t="str">
        <f>IF(Inventory!G619="","",Inventory!G619)</f>
        <v/>
      </c>
      <c r="H622" s="535" t="str">
        <f t="shared" si="214"/>
        <v/>
      </c>
      <c r="I622" s="536" t="str">
        <f>IF(Inventory!J619="","",Inventory!J619)</f>
        <v/>
      </c>
      <c r="J622" s="537" t="str">
        <f>IFERROR(IF(PRJ_Type="New Construction",IF(Inventory!C619="N",INDEX(xyLPD_BuildingArea,MATCH(Building_Type,Lookups!$F$37:$F$75,0),4),INDEX(xyLPD_SpaceBySpace,MATCH(INDEX(xyNCEx,MATCH(I622,yNCExArea,0),2),ySpace_by_Space_Type,0),2)),VLOOKUP(E622,xyWattage_Table,11,FALSE)),"")</f>
        <v/>
      </c>
      <c r="K622" s="538" t="str">
        <f>IFERROR(IF(AND(NC_Type="Building Area Method",Inventory!C619="N"),IF(ISERROR(INDEX('Usage Groups (&gt;120 MWh only)'!$N$8:$N$12,MATCH(C622,'Usage Groups (&gt;120 MWh only)'!$B$8:$B$12,0),1))=TRUE,SqFt/COUNTIFS(Inventory!$C$10:$C$1009,"N",$Q$13:$Q$1012,"&gt;=0"),INDEX('Usage Groups (&gt;120 MWh only)'!$N$8:$N$12,MATCH(C622,'Usage Groups (&gt;120 MWh only)'!$B$8:$B$12,0),1)/COUNTIF($C$13:$C$1012,C622)),IF(AND(NC_Type="Building Area Method",Inventory!C619="Y"),INDEX(xyNCEx,MATCH(I622,yNCExArea,0),3)/COUNTIF($I$13:$I$1012,I622),VLOOKUP(J622,xyWattage_Table,10,FALSE))),"")</f>
        <v/>
      </c>
      <c r="L622" s="539" t="str">
        <f t="shared" si="215"/>
        <v/>
      </c>
      <c r="M622" s="540">
        <f>IF(Inventory!N619="","",Inventory!N619)</f>
        <v>0</v>
      </c>
      <c r="N622" s="533" t="str">
        <f t="shared" si="216"/>
        <v/>
      </c>
      <c r="O622" s="534"/>
      <c r="P622" s="533" t="str">
        <f t="shared" si="217"/>
        <v/>
      </c>
      <c r="Q622" s="534" t="str">
        <f>IF(Inventory!L619="","",Inventory!L619)</f>
        <v/>
      </c>
      <c r="R622" s="535" t="str">
        <f t="shared" si="218"/>
        <v/>
      </c>
      <c r="S622" s="536" t="str">
        <f>IF(Inventory!O619="","",Inventory!O619)</f>
        <v/>
      </c>
      <c r="T622" s="541" t="str">
        <f>IFERROR(IF(C622="","",IF(INDEX(xyWattage_Table,MATCH(M622,'Fixture Identities'!$B$9:$B$997,0),2)="Exit Sign",8760,IF(VLOOKUP(C622,xySpace_Type_Details,8,FALSE)="TRM",INDEX('General Information'!$AF$17:$AG$28,11,MATCH(N622,'General Information'!$AF$16:$AG$16,0)),HLOOKUP(VLOOKUP(C622,xySpace_Type_Details,8,FALSE),'General Information'!$P$15:$AG$28,13,FALSE)))),"")</f>
        <v/>
      </c>
      <c r="U622" s="542" t="str">
        <f>IFERROR(IF(C622="","",IF(INDEX(xyWattage_Table,MATCH(M622,'Fixture Identities'!$B$9:$B$997,0),2)="Exit Sign",1,IF(VLOOKUP(C622,xySpace_Type_Details,8,FALSE)="TRM",INDEX('General Information'!$AF$17:$AG$28,12,MATCH(N622,'General Information'!$AF$16:$AG$16,0)),HLOOKUP(VLOOKUP(C622,xySpace_Type_Details,8,FALSE),'General Information'!$P$15:$AG$28,14,FALSE)))),"")</f>
        <v/>
      </c>
      <c r="V622" s="542" t="str">
        <f>IFERROR(VLOOKUP(INDEX(xySpace_Type_Details,MATCH($C622,'General Information'!$C$40:$C$60,0),12),Lookups!$L$8:$N$12,2,FALSE),"")</f>
        <v/>
      </c>
      <c r="W622" s="542" t="str">
        <f>IFERROR(VLOOKUP(INDEX(xySpace_Type_Details,MATCH($C622,'General Information'!$C$40:$C$60,0),12),Lookups!$L$8:$N$12,3,FALSE),"")</f>
        <v/>
      </c>
      <c r="Y622" s="542" t="str">
        <f>IFERROR(IF(C622="","",IF(INDEX(xyWattage_Table,MATCH(M622,'Fixture Identities'!$B$9:$B$997,0),2)="Exit Sign",0,IF(PRJ_Type="Retrofit",VLOOKUP(I622,xySVG_Factors,2,FALSE),IF(AND(PRJ_Type="New Construction",Inventory!C619="N"),VLOOKUP(VLOOKUP(Building_Type,xyLPD_BuildingArea,5,FALSE),xySVG_Factors_NC,3,FALSE),0)))),"")</f>
        <v/>
      </c>
      <c r="Z622" s="544" t="str">
        <f>IFERROR(IF(C622="","",IF(INDEX(xyWattage_Table,MATCH(M622,'Fixture Identities'!$B$9:$B$997,0),2)="Exit Sign",0,VLOOKUP(S622,xySVG_Factors,2,FALSE))),"")</f>
        <v/>
      </c>
      <c r="AA622" s="545" t="str">
        <f t="shared" si="219"/>
        <v/>
      </c>
      <c r="AB622" s="542" t="str">
        <f t="shared" si="220"/>
        <v/>
      </c>
      <c r="AC622" s="539" t="str">
        <f t="shared" si="221"/>
        <v/>
      </c>
      <c r="AD622" s="546" t="str">
        <f t="shared" si="222"/>
        <v/>
      </c>
      <c r="AE622" s="539" t="str">
        <f t="shared" si="223"/>
        <v/>
      </c>
      <c r="AF622" s="546" t="str">
        <f t="shared" si="224"/>
        <v/>
      </c>
      <c r="AG622" s="539" t="str">
        <f t="shared" si="225"/>
        <v/>
      </c>
      <c r="AH622" s="32">
        <f t="shared" si="227"/>
        <v>0</v>
      </c>
      <c r="AI622" s="32">
        <f t="shared" si="228"/>
        <v>0</v>
      </c>
      <c r="AJ622" s="32">
        <f t="shared" si="229"/>
        <v>0</v>
      </c>
      <c r="AK622" t="str">
        <f t="shared" si="230"/>
        <v/>
      </c>
      <c r="AL622" t="str">
        <f t="shared" si="231"/>
        <v/>
      </c>
      <c r="AM622" t="str">
        <f t="shared" si="232"/>
        <v/>
      </c>
      <c r="AO622" t="str">
        <f>IFERROR(VLOOKUP(M622,'Fixture Identities'!$B$9:$O$1045,14,FALSE),"")</f>
        <v/>
      </c>
      <c r="AP622" t="str">
        <f t="shared" si="226"/>
        <v/>
      </c>
    </row>
    <row r="623" spans="1:42">
      <c r="A623" s="71">
        <f t="shared" si="234"/>
        <v>0</v>
      </c>
      <c r="B623" s="513">
        <f t="shared" si="233"/>
        <v>611</v>
      </c>
      <c r="C623" s="530" t="str">
        <f>IF(Inventory!E620="","",Inventory!E620)</f>
        <v/>
      </c>
      <c r="D623" s="531">
        <f>IF(Inventory!D620="",0,Inventory!D620)</f>
        <v>0</v>
      </c>
      <c r="E623" s="532" t="str">
        <f>IF(Inventory!I620=0,"",Inventory!I620)</f>
        <v/>
      </c>
      <c r="F623" s="533" t="str">
        <f t="shared" si="213"/>
        <v/>
      </c>
      <c r="G623" s="534" t="str">
        <f>IF(Inventory!G620="","",Inventory!G620)</f>
        <v/>
      </c>
      <c r="H623" s="535" t="str">
        <f t="shared" si="214"/>
        <v/>
      </c>
      <c r="I623" s="536" t="str">
        <f>IF(Inventory!J620="","",Inventory!J620)</f>
        <v/>
      </c>
      <c r="J623" s="537" t="str">
        <f>IFERROR(IF(PRJ_Type="New Construction",IF(Inventory!C620="N",INDEX(xyLPD_BuildingArea,MATCH(Building_Type,Lookups!$F$37:$F$75,0),4),INDEX(xyLPD_SpaceBySpace,MATCH(INDEX(xyNCEx,MATCH(I623,yNCExArea,0),2),ySpace_by_Space_Type,0),2)),VLOOKUP(E623,xyWattage_Table,11,FALSE)),"")</f>
        <v/>
      </c>
      <c r="K623" s="538" t="str">
        <f>IFERROR(IF(AND(NC_Type="Building Area Method",Inventory!C620="N"),IF(ISERROR(INDEX('Usage Groups (&gt;120 MWh only)'!$N$8:$N$12,MATCH(C623,'Usage Groups (&gt;120 MWh only)'!$B$8:$B$12,0),1))=TRUE,SqFt/COUNTIFS(Inventory!$C$10:$C$1009,"N",$Q$13:$Q$1012,"&gt;=0"),INDEX('Usage Groups (&gt;120 MWh only)'!$N$8:$N$12,MATCH(C623,'Usage Groups (&gt;120 MWh only)'!$B$8:$B$12,0),1)/COUNTIF($C$13:$C$1012,C623)),IF(AND(NC_Type="Building Area Method",Inventory!C620="Y"),INDEX(xyNCEx,MATCH(I623,yNCExArea,0),3)/COUNTIF($I$13:$I$1012,I623),VLOOKUP(J623,xyWattage_Table,10,FALSE))),"")</f>
        <v/>
      </c>
      <c r="L623" s="539" t="str">
        <f t="shared" si="215"/>
        <v/>
      </c>
      <c r="M623" s="540">
        <f>IF(Inventory!N620="","",Inventory!N620)</f>
        <v>0</v>
      </c>
      <c r="N623" s="533" t="str">
        <f t="shared" si="216"/>
        <v/>
      </c>
      <c r="O623" s="534"/>
      <c r="P623" s="533" t="str">
        <f t="shared" si="217"/>
        <v/>
      </c>
      <c r="Q623" s="534" t="str">
        <f>IF(Inventory!L620="","",Inventory!L620)</f>
        <v/>
      </c>
      <c r="R623" s="535" t="str">
        <f t="shared" si="218"/>
        <v/>
      </c>
      <c r="S623" s="536" t="str">
        <f>IF(Inventory!O620="","",Inventory!O620)</f>
        <v/>
      </c>
      <c r="T623" s="541" t="str">
        <f>IFERROR(IF(C623="","",IF(INDEX(xyWattage_Table,MATCH(M623,'Fixture Identities'!$B$9:$B$997,0),2)="Exit Sign",8760,IF(VLOOKUP(C623,xySpace_Type_Details,8,FALSE)="TRM",INDEX('General Information'!$AF$17:$AG$28,11,MATCH(N623,'General Information'!$AF$16:$AG$16,0)),HLOOKUP(VLOOKUP(C623,xySpace_Type_Details,8,FALSE),'General Information'!$P$15:$AG$28,13,FALSE)))),"")</f>
        <v/>
      </c>
      <c r="U623" s="542" t="str">
        <f>IFERROR(IF(C623="","",IF(INDEX(xyWattage_Table,MATCH(M623,'Fixture Identities'!$B$9:$B$997,0),2)="Exit Sign",1,IF(VLOOKUP(C623,xySpace_Type_Details,8,FALSE)="TRM",INDEX('General Information'!$AF$17:$AG$28,12,MATCH(N623,'General Information'!$AF$16:$AG$16,0)),HLOOKUP(VLOOKUP(C623,xySpace_Type_Details,8,FALSE),'General Information'!$P$15:$AG$28,14,FALSE)))),"")</f>
        <v/>
      </c>
      <c r="V623" s="542" t="str">
        <f>IFERROR(VLOOKUP(INDEX(xySpace_Type_Details,MATCH($C623,'General Information'!$C$40:$C$60,0),12),Lookups!$L$8:$N$12,2,FALSE),"")</f>
        <v/>
      </c>
      <c r="W623" s="542" t="str">
        <f>IFERROR(VLOOKUP(INDEX(xySpace_Type_Details,MATCH($C623,'General Information'!$C$40:$C$60,0),12),Lookups!$L$8:$N$12,3,FALSE),"")</f>
        <v/>
      </c>
      <c r="Y623" s="542" t="str">
        <f>IFERROR(IF(C623="","",IF(INDEX(xyWattage_Table,MATCH(M623,'Fixture Identities'!$B$9:$B$997,0),2)="Exit Sign",0,IF(PRJ_Type="Retrofit",VLOOKUP(I623,xySVG_Factors,2,FALSE),IF(AND(PRJ_Type="New Construction",Inventory!C620="N"),VLOOKUP(VLOOKUP(Building_Type,xyLPD_BuildingArea,5,FALSE),xySVG_Factors_NC,3,FALSE),0)))),"")</f>
        <v/>
      </c>
      <c r="Z623" s="544" t="str">
        <f>IFERROR(IF(C623="","",IF(INDEX(xyWattage_Table,MATCH(M623,'Fixture Identities'!$B$9:$B$997,0),2)="Exit Sign",0,VLOOKUP(S623,xySVG_Factors,2,FALSE))),"")</f>
        <v/>
      </c>
      <c r="AA623" s="545" t="str">
        <f t="shared" si="219"/>
        <v/>
      </c>
      <c r="AB623" s="542" t="str">
        <f t="shared" si="220"/>
        <v/>
      </c>
      <c r="AC623" s="539" t="str">
        <f t="shared" si="221"/>
        <v/>
      </c>
      <c r="AD623" s="546" t="str">
        <f t="shared" si="222"/>
        <v/>
      </c>
      <c r="AE623" s="539" t="str">
        <f t="shared" si="223"/>
        <v/>
      </c>
      <c r="AF623" s="546" t="str">
        <f t="shared" si="224"/>
        <v/>
      </c>
      <c r="AG623" s="539" t="str">
        <f t="shared" si="225"/>
        <v/>
      </c>
      <c r="AH623" s="32">
        <f t="shared" si="227"/>
        <v>0</v>
      </c>
      <c r="AI623" s="32">
        <f t="shared" si="228"/>
        <v>0</v>
      </c>
      <c r="AJ623" s="32">
        <f t="shared" si="229"/>
        <v>0</v>
      </c>
      <c r="AK623" t="str">
        <f t="shared" si="230"/>
        <v/>
      </c>
      <c r="AL623" t="str">
        <f t="shared" si="231"/>
        <v/>
      </c>
      <c r="AM623" t="str">
        <f t="shared" si="232"/>
        <v/>
      </c>
      <c r="AO623" t="str">
        <f>IFERROR(VLOOKUP(M623,'Fixture Identities'!$B$9:$O$1045,14,FALSE),"")</f>
        <v/>
      </c>
      <c r="AP623" t="str">
        <f t="shared" si="226"/>
        <v/>
      </c>
    </row>
    <row r="624" spans="1:42">
      <c r="A624" s="71">
        <f t="shared" si="234"/>
        <v>0</v>
      </c>
      <c r="B624" s="513">
        <f t="shared" si="233"/>
        <v>612</v>
      </c>
      <c r="C624" s="530" t="str">
        <f>IF(Inventory!E621="","",Inventory!E621)</f>
        <v/>
      </c>
      <c r="D624" s="531">
        <f>IF(Inventory!D621="",0,Inventory!D621)</f>
        <v>0</v>
      </c>
      <c r="E624" s="532" t="str">
        <f>IF(Inventory!I621=0,"",Inventory!I621)</f>
        <v/>
      </c>
      <c r="F624" s="533" t="str">
        <f t="shared" si="213"/>
        <v/>
      </c>
      <c r="G624" s="534" t="str">
        <f>IF(Inventory!G621="","",Inventory!G621)</f>
        <v/>
      </c>
      <c r="H624" s="535" t="str">
        <f t="shared" si="214"/>
        <v/>
      </c>
      <c r="I624" s="536" t="str">
        <f>IF(Inventory!J621="","",Inventory!J621)</f>
        <v/>
      </c>
      <c r="J624" s="537" t="str">
        <f>IFERROR(IF(PRJ_Type="New Construction",IF(Inventory!C621="N",INDEX(xyLPD_BuildingArea,MATCH(Building_Type,Lookups!$F$37:$F$75,0),4),INDEX(xyLPD_SpaceBySpace,MATCH(INDEX(xyNCEx,MATCH(I624,yNCExArea,0),2),ySpace_by_Space_Type,0),2)),VLOOKUP(E624,xyWattage_Table,11,FALSE)),"")</f>
        <v/>
      </c>
      <c r="K624" s="538" t="str">
        <f>IFERROR(IF(AND(NC_Type="Building Area Method",Inventory!C621="N"),IF(ISERROR(INDEX('Usage Groups (&gt;120 MWh only)'!$N$8:$N$12,MATCH(C624,'Usage Groups (&gt;120 MWh only)'!$B$8:$B$12,0),1))=TRUE,SqFt/COUNTIFS(Inventory!$C$10:$C$1009,"N",$Q$13:$Q$1012,"&gt;=0"),INDEX('Usage Groups (&gt;120 MWh only)'!$N$8:$N$12,MATCH(C624,'Usage Groups (&gt;120 MWh only)'!$B$8:$B$12,0),1)/COUNTIF($C$13:$C$1012,C624)),IF(AND(NC_Type="Building Area Method",Inventory!C621="Y"),INDEX(xyNCEx,MATCH(I624,yNCExArea,0),3)/COUNTIF($I$13:$I$1012,I624),VLOOKUP(J624,xyWattage_Table,10,FALSE))),"")</f>
        <v/>
      </c>
      <c r="L624" s="539" t="str">
        <f t="shared" si="215"/>
        <v/>
      </c>
      <c r="M624" s="540">
        <f>IF(Inventory!N621="","",Inventory!N621)</f>
        <v>0</v>
      </c>
      <c r="N624" s="533" t="str">
        <f t="shared" si="216"/>
        <v/>
      </c>
      <c r="O624" s="534"/>
      <c r="P624" s="533" t="str">
        <f t="shared" si="217"/>
        <v/>
      </c>
      <c r="Q624" s="534" t="str">
        <f>IF(Inventory!L621="","",Inventory!L621)</f>
        <v/>
      </c>
      <c r="R624" s="535" t="str">
        <f t="shared" si="218"/>
        <v/>
      </c>
      <c r="S624" s="536" t="str">
        <f>IF(Inventory!O621="","",Inventory!O621)</f>
        <v/>
      </c>
      <c r="T624" s="541" t="str">
        <f>IFERROR(IF(C624="","",IF(INDEX(xyWattage_Table,MATCH(M624,'Fixture Identities'!$B$9:$B$997,0),2)="Exit Sign",8760,IF(VLOOKUP(C624,xySpace_Type_Details,8,FALSE)="TRM",INDEX('General Information'!$AF$17:$AG$28,11,MATCH(N624,'General Information'!$AF$16:$AG$16,0)),HLOOKUP(VLOOKUP(C624,xySpace_Type_Details,8,FALSE),'General Information'!$P$15:$AG$28,13,FALSE)))),"")</f>
        <v/>
      </c>
      <c r="U624" s="542" t="str">
        <f>IFERROR(IF(C624="","",IF(INDEX(xyWattage_Table,MATCH(M624,'Fixture Identities'!$B$9:$B$997,0),2)="Exit Sign",1,IF(VLOOKUP(C624,xySpace_Type_Details,8,FALSE)="TRM",INDEX('General Information'!$AF$17:$AG$28,12,MATCH(N624,'General Information'!$AF$16:$AG$16,0)),HLOOKUP(VLOOKUP(C624,xySpace_Type_Details,8,FALSE),'General Information'!$P$15:$AG$28,14,FALSE)))),"")</f>
        <v/>
      </c>
      <c r="V624" s="542" t="str">
        <f>IFERROR(VLOOKUP(INDEX(xySpace_Type_Details,MATCH($C624,'General Information'!$C$40:$C$60,0),12),Lookups!$L$8:$N$12,2,FALSE),"")</f>
        <v/>
      </c>
      <c r="W624" s="542" t="str">
        <f>IFERROR(VLOOKUP(INDEX(xySpace_Type_Details,MATCH($C624,'General Information'!$C$40:$C$60,0),12),Lookups!$L$8:$N$12,3,FALSE),"")</f>
        <v/>
      </c>
      <c r="Y624" s="542" t="str">
        <f>IFERROR(IF(C624="","",IF(INDEX(xyWattage_Table,MATCH(M624,'Fixture Identities'!$B$9:$B$997,0),2)="Exit Sign",0,IF(PRJ_Type="Retrofit",VLOOKUP(I624,xySVG_Factors,2,FALSE),IF(AND(PRJ_Type="New Construction",Inventory!C621="N"),VLOOKUP(VLOOKUP(Building_Type,xyLPD_BuildingArea,5,FALSE),xySVG_Factors_NC,3,FALSE),0)))),"")</f>
        <v/>
      </c>
      <c r="Z624" s="544" t="str">
        <f>IFERROR(IF(C624="","",IF(INDEX(xyWattage_Table,MATCH(M624,'Fixture Identities'!$B$9:$B$997,0),2)="Exit Sign",0,VLOOKUP(S624,xySVG_Factors,2,FALSE))),"")</f>
        <v/>
      </c>
      <c r="AA624" s="545" t="str">
        <f t="shared" si="219"/>
        <v/>
      </c>
      <c r="AB624" s="542" t="str">
        <f t="shared" si="220"/>
        <v/>
      </c>
      <c r="AC624" s="539" t="str">
        <f t="shared" si="221"/>
        <v/>
      </c>
      <c r="AD624" s="546" t="str">
        <f t="shared" si="222"/>
        <v/>
      </c>
      <c r="AE624" s="539" t="str">
        <f t="shared" si="223"/>
        <v/>
      </c>
      <c r="AF624" s="546" t="str">
        <f t="shared" si="224"/>
        <v/>
      </c>
      <c r="AG624" s="539" t="str">
        <f t="shared" si="225"/>
        <v/>
      </c>
      <c r="AH624" s="32">
        <f t="shared" si="227"/>
        <v>0</v>
      </c>
      <c r="AI624" s="32">
        <f t="shared" si="228"/>
        <v>0</v>
      </c>
      <c r="AJ624" s="32">
        <f t="shared" si="229"/>
        <v>0</v>
      </c>
      <c r="AK624" t="str">
        <f t="shared" si="230"/>
        <v/>
      </c>
      <c r="AL624" t="str">
        <f t="shared" si="231"/>
        <v/>
      </c>
      <c r="AM624" t="str">
        <f t="shared" si="232"/>
        <v/>
      </c>
      <c r="AO624" t="str">
        <f>IFERROR(VLOOKUP(M624,'Fixture Identities'!$B$9:$O$1045,14,FALSE),"")</f>
        <v/>
      </c>
      <c r="AP624" t="str">
        <f t="shared" si="226"/>
        <v/>
      </c>
    </row>
    <row r="625" spans="1:42">
      <c r="A625" s="71">
        <f t="shared" si="234"/>
        <v>0</v>
      </c>
      <c r="B625" s="513">
        <f t="shared" si="233"/>
        <v>613</v>
      </c>
      <c r="C625" s="530" t="str">
        <f>IF(Inventory!E622="","",Inventory!E622)</f>
        <v/>
      </c>
      <c r="D625" s="531">
        <f>IF(Inventory!D622="",0,Inventory!D622)</f>
        <v>0</v>
      </c>
      <c r="E625" s="532" t="str">
        <f>IF(Inventory!I622=0,"",Inventory!I622)</f>
        <v/>
      </c>
      <c r="F625" s="533" t="str">
        <f t="shared" si="213"/>
        <v/>
      </c>
      <c r="G625" s="534" t="str">
        <f>IF(Inventory!G622="","",Inventory!G622)</f>
        <v/>
      </c>
      <c r="H625" s="535" t="str">
        <f t="shared" si="214"/>
        <v/>
      </c>
      <c r="I625" s="536" t="str">
        <f>IF(Inventory!J622="","",Inventory!J622)</f>
        <v/>
      </c>
      <c r="J625" s="537" t="str">
        <f>IFERROR(IF(PRJ_Type="New Construction",IF(Inventory!C622="N",INDEX(xyLPD_BuildingArea,MATCH(Building_Type,Lookups!$F$37:$F$75,0),4),INDEX(xyLPD_SpaceBySpace,MATCH(INDEX(xyNCEx,MATCH(I625,yNCExArea,0),2),ySpace_by_Space_Type,0),2)),VLOOKUP(E625,xyWattage_Table,11,FALSE)),"")</f>
        <v/>
      </c>
      <c r="K625" s="538" t="str">
        <f>IFERROR(IF(AND(NC_Type="Building Area Method",Inventory!C622="N"),IF(ISERROR(INDEX('Usage Groups (&gt;120 MWh only)'!$N$8:$N$12,MATCH(C625,'Usage Groups (&gt;120 MWh only)'!$B$8:$B$12,0),1))=TRUE,SqFt/COUNTIFS(Inventory!$C$10:$C$1009,"N",$Q$13:$Q$1012,"&gt;=0"),INDEX('Usage Groups (&gt;120 MWh only)'!$N$8:$N$12,MATCH(C625,'Usage Groups (&gt;120 MWh only)'!$B$8:$B$12,0),1)/COUNTIF($C$13:$C$1012,C625)),IF(AND(NC_Type="Building Area Method",Inventory!C622="Y"),INDEX(xyNCEx,MATCH(I625,yNCExArea,0),3)/COUNTIF($I$13:$I$1012,I625),VLOOKUP(J625,xyWattage_Table,10,FALSE))),"")</f>
        <v/>
      </c>
      <c r="L625" s="539" t="str">
        <f t="shared" si="215"/>
        <v/>
      </c>
      <c r="M625" s="540">
        <f>IF(Inventory!N622="","",Inventory!N622)</f>
        <v>0</v>
      </c>
      <c r="N625" s="533" t="str">
        <f t="shared" si="216"/>
        <v/>
      </c>
      <c r="O625" s="534"/>
      <c r="P625" s="533" t="str">
        <f t="shared" si="217"/>
        <v/>
      </c>
      <c r="Q625" s="534" t="str">
        <f>IF(Inventory!L622="","",Inventory!L622)</f>
        <v/>
      </c>
      <c r="R625" s="535" t="str">
        <f t="shared" si="218"/>
        <v/>
      </c>
      <c r="S625" s="536" t="str">
        <f>IF(Inventory!O622="","",Inventory!O622)</f>
        <v/>
      </c>
      <c r="T625" s="541" t="str">
        <f>IFERROR(IF(C625="","",IF(INDEX(xyWattage_Table,MATCH(M625,'Fixture Identities'!$B$9:$B$997,0),2)="Exit Sign",8760,IF(VLOOKUP(C625,xySpace_Type_Details,8,FALSE)="TRM",INDEX('General Information'!$AF$17:$AG$28,11,MATCH(N625,'General Information'!$AF$16:$AG$16,0)),HLOOKUP(VLOOKUP(C625,xySpace_Type_Details,8,FALSE),'General Information'!$P$15:$AG$28,13,FALSE)))),"")</f>
        <v/>
      </c>
      <c r="U625" s="542" t="str">
        <f>IFERROR(IF(C625="","",IF(INDEX(xyWattage_Table,MATCH(M625,'Fixture Identities'!$B$9:$B$997,0),2)="Exit Sign",1,IF(VLOOKUP(C625,xySpace_Type_Details,8,FALSE)="TRM",INDEX('General Information'!$AF$17:$AG$28,12,MATCH(N625,'General Information'!$AF$16:$AG$16,0)),HLOOKUP(VLOOKUP(C625,xySpace_Type_Details,8,FALSE),'General Information'!$P$15:$AG$28,14,FALSE)))),"")</f>
        <v/>
      </c>
      <c r="V625" s="542" t="str">
        <f>IFERROR(VLOOKUP(INDEX(xySpace_Type_Details,MATCH($C625,'General Information'!$C$40:$C$60,0),12),Lookups!$L$8:$N$12,2,FALSE),"")</f>
        <v/>
      </c>
      <c r="W625" s="542" t="str">
        <f>IFERROR(VLOOKUP(INDEX(xySpace_Type_Details,MATCH($C625,'General Information'!$C$40:$C$60,0),12),Lookups!$L$8:$N$12,3,FALSE),"")</f>
        <v/>
      </c>
      <c r="Y625" s="542" t="str">
        <f>IFERROR(IF(C625="","",IF(INDEX(xyWattage_Table,MATCH(M625,'Fixture Identities'!$B$9:$B$997,0),2)="Exit Sign",0,IF(PRJ_Type="Retrofit",VLOOKUP(I625,xySVG_Factors,2,FALSE),IF(AND(PRJ_Type="New Construction",Inventory!C622="N"),VLOOKUP(VLOOKUP(Building_Type,xyLPD_BuildingArea,5,FALSE),xySVG_Factors_NC,3,FALSE),0)))),"")</f>
        <v/>
      </c>
      <c r="Z625" s="544" t="str">
        <f>IFERROR(IF(C625="","",IF(INDEX(xyWattage_Table,MATCH(M625,'Fixture Identities'!$B$9:$B$997,0),2)="Exit Sign",0,VLOOKUP(S625,xySVG_Factors,2,FALSE))),"")</f>
        <v/>
      </c>
      <c r="AA625" s="545" t="str">
        <f t="shared" si="219"/>
        <v/>
      </c>
      <c r="AB625" s="542" t="str">
        <f t="shared" si="220"/>
        <v/>
      </c>
      <c r="AC625" s="539" t="str">
        <f t="shared" si="221"/>
        <v/>
      </c>
      <c r="AD625" s="546" t="str">
        <f t="shared" si="222"/>
        <v/>
      </c>
      <c r="AE625" s="539" t="str">
        <f t="shared" si="223"/>
        <v/>
      </c>
      <c r="AF625" s="546" t="str">
        <f t="shared" si="224"/>
        <v/>
      </c>
      <c r="AG625" s="539" t="str">
        <f t="shared" si="225"/>
        <v/>
      </c>
      <c r="AH625" s="32">
        <f t="shared" si="227"/>
        <v>0</v>
      </c>
      <c r="AI625" s="32">
        <f t="shared" si="228"/>
        <v>0</v>
      </c>
      <c r="AJ625" s="32">
        <f t="shared" si="229"/>
        <v>0</v>
      </c>
      <c r="AK625" t="str">
        <f t="shared" si="230"/>
        <v/>
      </c>
      <c r="AL625" t="str">
        <f t="shared" si="231"/>
        <v/>
      </c>
      <c r="AM625" t="str">
        <f t="shared" si="232"/>
        <v/>
      </c>
      <c r="AO625" t="str">
        <f>IFERROR(VLOOKUP(M625,'Fixture Identities'!$B$9:$O$1045,14,FALSE),"")</f>
        <v/>
      </c>
      <c r="AP625" t="str">
        <f t="shared" si="226"/>
        <v/>
      </c>
    </row>
    <row r="626" spans="1:42">
      <c r="A626" s="71">
        <f t="shared" si="234"/>
        <v>0</v>
      </c>
      <c r="B626" s="513">
        <f t="shared" si="233"/>
        <v>614</v>
      </c>
      <c r="C626" s="530" t="str">
        <f>IF(Inventory!E623="","",Inventory!E623)</f>
        <v/>
      </c>
      <c r="D626" s="531">
        <f>IF(Inventory!D623="",0,Inventory!D623)</f>
        <v>0</v>
      </c>
      <c r="E626" s="532" t="str">
        <f>IF(Inventory!I623=0,"",Inventory!I623)</f>
        <v/>
      </c>
      <c r="F626" s="533" t="str">
        <f t="shared" si="213"/>
        <v/>
      </c>
      <c r="G626" s="534" t="str">
        <f>IF(Inventory!G623="","",Inventory!G623)</f>
        <v/>
      </c>
      <c r="H626" s="535" t="str">
        <f t="shared" si="214"/>
        <v/>
      </c>
      <c r="I626" s="536" t="str">
        <f>IF(Inventory!J623="","",Inventory!J623)</f>
        <v/>
      </c>
      <c r="J626" s="537" t="str">
        <f>IFERROR(IF(PRJ_Type="New Construction",IF(Inventory!C623="N",INDEX(xyLPD_BuildingArea,MATCH(Building_Type,Lookups!$F$37:$F$75,0),4),INDEX(xyLPD_SpaceBySpace,MATCH(INDEX(xyNCEx,MATCH(I626,yNCExArea,0),2),ySpace_by_Space_Type,0),2)),VLOOKUP(E626,xyWattage_Table,11,FALSE)),"")</f>
        <v/>
      </c>
      <c r="K626" s="538" t="str">
        <f>IFERROR(IF(AND(NC_Type="Building Area Method",Inventory!C623="N"),IF(ISERROR(INDEX('Usage Groups (&gt;120 MWh only)'!$N$8:$N$12,MATCH(C626,'Usage Groups (&gt;120 MWh only)'!$B$8:$B$12,0),1))=TRUE,SqFt/COUNTIFS(Inventory!$C$10:$C$1009,"N",$Q$13:$Q$1012,"&gt;=0"),INDEX('Usage Groups (&gt;120 MWh only)'!$N$8:$N$12,MATCH(C626,'Usage Groups (&gt;120 MWh only)'!$B$8:$B$12,0),1)/COUNTIF($C$13:$C$1012,C626)),IF(AND(NC_Type="Building Area Method",Inventory!C623="Y"),INDEX(xyNCEx,MATCH(I626,yNCExArea,0),3)/COUNTIF($I$13:$I$1012,I626),VLOOKUP(J626,xyWattage_Table,10,FALSE))),"")</f>
        <v/>
      </c>
      <c r="L626" s="539" t="str">
        <f t="shared" si="215"/>
        <v/>
      </c>
      <c r="M626" s="540">
        <f>IF(Inventory!N623="","",Inventory!N623)</f>
        <v>0</v>
      </c>
      <c r="N626" s="533" t="str">
        <f t="shared" si="216"/>
        <v/>
      </c>
      <c r="O626" s="534"/>
      <c r="P626" s="533" t="str">
        <f t="shared" si="217"/>
        <v/>
      </c>
      <c r="Q626" s="534" t="str">
        <f>IF(Inventory!L623="","",Inventory!L623)</f>
        <v/>
      </c>
      <c r="R626" s="535" t="str">
        <f t="shared" si="218"/>
        <v/>
      </c>
      <c r="S626" s="536" t="str">
        <f>IF(Inventory!O623="","",Inventory!O623)</f>
        <v/>
      </c>
      <c r="T626" s="541" t="str">
        <f>IFERROR(IF(C626="","",IF(INDEX(xyWattage_Table,MATCH(M626,'Fixture Identities'!$B$9:$B$997,0),2)="Exit Sign",8760,IF(VLOOKUP(C626,xySpace_Type_Details,8,FALSE)="TRM",INDEX('General Information'!$AF$17:$AG$28,11,MATCH(N626,'General Information'!$AF$16:$AG$16,0)),HLOOKUP(VLOOKUP(C626,xySpace_Type_Details,8,FALSE),'General Information'!$P$15:$AG$28,13,FALSE)))),"")</f>
        <v/>
      </c>
      <c r="U626" s="542" t="str">
        <f>IFERROR(IF(C626="","",IF(INDEX(xyWattage_Table,MATCH(M626,'Fixture Identities'!$B$9:$B$997,0),2)="Exit Sign",1,IF(VLOOKUP(C626,xySpace_Type_Details,8,FALSE)="TRM",INDEX('General Information'!$AF$17:$AG$28,12,MATCH(N626,'General Information'!$AF$16:$AG$16,0)),HLOOKUP(VLOOKUP(C626,xySpace_Type_Details,8,FALSE),'General Information'!$P$15:$AG$28,14,FALSE)))),"")</f>
        <v/>
      </c>
      <c r="V626" s="542" t="str">
        <f>IFERROR(VLOOKUP(INDEX(xySpace_Type_Details,MATCH($C626,'General Information'!$C$40:$C$60,0),12),Lookups!$L$8:$N$12,2,FALSE),"")</f>
        <v/>
      </c>
      <c r="W626" s="542" t="str">
        <f>IFERROR(VLOOKUP(INDEX(xySpace_Type_Details,MATCH($C626,'General Information'!$C$40:$C$60,0),12),Lookups!$L$8:$N$12,3,FALSE),"")</f>
        <v/>
      </c>
      <c r="Y626" s="542" t="str">
        <f>IFERROR(IF(C626="","",IF(INDEX(xyWattage_Table,MATCH(M626,'Fixture Identities'!$B$9:$B$997,0),2)="Exit Sign",0,IF(PRJ_Type="Retrofit",VLOOKUP(I626,xySVG_Factors,2,FALSE),IF(AND(PRJ_Type="New Construction",Inventory!C623="N"),VLOOKUP(VLOOKUP(Building_Type,xyLPD_BuildingArea,5,FALSE),xySVG_Factors_NC,3,FALSE),0)))),"")</f>
        <v/>
      </c>
      <c r="Z626" s="544" t="str">
        <f>IFERROR(IF(C626="","",IF(INDEX(xyWattage_Table,MATCH(M626,'Fixture Identities'!$B$9:$B$997,0),2)="Exit Sign",0,VLOOKUP(S626,xySVG_Factors,2,FALSE))),"")</f>
        <v/>
      </c>
      <c r="AA626" s="545" t="str">
        <f t="shared" si="219"/>
        <v/>
      </c>
      <c r="AB626" s="542" t="str">
        <f t="shared" si="220"/>
        <v/>
      </c>
      <c r="AC626" s="539" t="str">
        <f t="shared" si="221"/>
        <v/>
      </c>
      <c r="AD626" s="546" t="str">
        <f t="shared" si="222"/>
        <v/>
      </c>
      <c r="AE626" s="539" t="str">
        <f t="shared" si="223"/>
        <v/>
      </c>
      <c r="AF626" s="546" t="str">
        <f t="shared" si="224"/>
        <v/>
      </c>
      <c r="AG626" s="539" t="str">
        <f t="shared" si="225"/>
        <v/>
      </c>
      <c r="AH626" s="32">
        <f t="shared" si="227"/>
        <v>0</v>
      </c>
      <c r="AI626" s="32">
        <f t="shared" si="228"/>
        <v>0</v>
      </c>
      <c r="AJ626" s="32">
        <f t="shared" si="229"/>
        <v>0</v>
      </c>
      <c r="AK626" t="str">
        <f t="shared" si="230"/>
        <v/>
      </c>
      <c r="AL626" t="str">
        <f t="shared" si="231"/>
        <v/>
      </c>
      <c r="AM626" t="str">
        <f t="shared" si="232"/>
        <v/>
      </c>
      <c r="AO626" t="str">
        <f>IFERROR(VLOOKUP(M626,'Fixture Identities'!$B$9:$O$1045,14,FALSE),"")</f>
        <v/>
      </c>
      <c r="AP626" t="str">
        <f t="shared" si="226"/>
        <v/>
      </c>
    </row>
    <row r="627" spans="1:42">
      <c r="A627" s="71">
        <f t="shared" si="234"/>
        <v>0</v>
      </c>
      <c r="B627" s="513">
        <f t="shared" si="233"/>
        <v>615</v>
      </c>
      <c r="C627" s="530" t="str">
        <f>IF(Inventory!E624="","",Inventory!E624)</f>
        <v/>
      </c>
      <c r="D627" s="531">
        <f>IF(Inventory!D624="",0,Inventory!D624)</f>
        <v>0</v>
      </c>
      <c r="E627" s="532" t="str">
        <f>IF(Inventory!I624=0,"",Inventory!I624)</f>
        <v/>
      </c>
      <c r="F627" s="533" t="str">
        <f t="shared" si="213"/>
        <v/>
      </c>
      <c r="G627" s="534" t="str">
        <f>IF(Inventory!G624="","",Inventory!G624)</f>
        <v/>
      </c>
      <c r="H627" s="535" t="str">
        <f t="shared" si="214"/>
        <v/>
      </c>
      <c r="I627" s="536" t="str">
        <f>IF(Inventory!J624="","",Inventory!J624)</f>
        <v/>
      </c>
      <c r="J627" s="537" t="str">
        <f>IFERROR(IF(PRJ_Type="New Construction",IF(Inventory!C624="N",INDEX(xyLPD_BuildingArea,MATCH(Building_Type,Lookups!$F$37:$F$75,0),4),INDEX(xyLPD_SpaceBySpace,MATCH(INDEX(xyNCEx,MATCH(I627,yNCExArea,0),2),ySpace_by_Space_Type,0),2)),VLOOKUP(E627,xyWattage_Table,11,FALSE)),"")</f>
        <v/>
      </c>
      <c r="K627" s="538" t="str">
        <f>IFERROR(IF(AND(NC_Type="Building Area Method",Inventory!C624="N"),IF(ISERROR(INDEX('Usage Groups (&gt;120 MWh only)'!$N$8:$N$12,MATCH(C627,'Usage Groups (&gt;120 MWh only)'!$B$8:$B$12,0),1))=TRUE,SqFt/COUNTIFS(Inventory!$C$10:$C$1009,"N",$Q$13:$Q$1012,"&gt;=0"),INDEX('Usage Groups (&gt;120 MWh only)'!$N$8:$N$12,MATCH(C627,'Usage Groups (&gt;120 MWh only)'!$B$8:$B$12,0),1)/COUNTIF($C$13:$C$1012,C627)),IF(AND(NC_Type="Building Area Method",Inventory!C624="Y"),INDEX(xyNCEx,MATCH(I627,yNCExArea,0),3)/COUNTIF($I$13:$I$1012,I627),VLOOKUP(J627,xyWattage_Table,10,FALSE))),"")</f>
        <v/>
      </c>
      <c r="L627" s="539" t="str">
        <f t="shared" si="215"/>
        <v/>
      </c>
      <c r="M627" s="540">
        <f>IF(Inventory!N624="","",Inventory!N624)</f>
        <v>0</v>
      </c>
      <c r="N627" s="533" t="str">
        <f t="shared" si="216"/>
        <v/>
      </c>
      <c r="O627" s="534"/>
      <c r="P627" s="533" t="str">
        <f t="shared" si="217"/>
        <v/>
      </c>
      <c r="Q627" s="534" t="str">
        <f>IF(Inventory!L624="","",Inventory!L624)</f>
        <v/>
      </c>
      <c r="R627" s="535" t="str">
        <f t="shared" si="218"/>
        <v/>
      </c>
      <c r="S627" s="536" t="str">
        <f>IF(Inventory!O624="","",Inventory!O624)</f>
        <v/>
      </c>
      <c r="T627" s="541" t="str">
        <f>IFERROR(IF(C627="","",IF(INDEX(xyWattage_Table,MATCH(M627,'Fixture Identities'!$B$9:$B$997,0),2)="Exit Sign",8760,IF(VLOOKUP(C627,xySpace_Type_Details,8,FALSE)="TRM",INDEX('General Information'!$AF$17:$AG$28,11,MATCH(N627,'General Information'!$AF$16:$AG$16,0)),HLOOKUP(VLOOKUP(C627,xySpace_Type_Details,8,FALSE),'General Information'!$P$15:$AG$28,13,FALSE)))),"")</f>
        <v/>
      </c>
      <c r="U627" s="542" t="str">
        <f>IFERROR(IF(C627="","",IF(INDEX(xyWattage_Table,MATCH(M627,'Fixture Identities'!$B$9:$B$997,0),2)="Exit Sign",1,IF(VLOOKUP(C627,xySpace_Type_Details,8,FALSE)="TRM",INDEX('General Information'!$AF$17:$AG$28,12,MATCH(N627,'General Information'!$AF$16:$AG$16,0)),HLOOKUP(VLOOKUP(C627,xySpace_Type_Details,8,FALSE),'General Information'!$P$15:$AG$28,14,FALSE)))),"")</f>
        <v/>
      </c>
      <c r="V627" s="542" t="str">
        <f>IFERROR(VLOOKUP(INDEX(xySpace_Type_Details,MATCH($C627,'General Information'!$C$40:$C$60,0),12),Lookups!$L$8:$N$12,2,FALSE),"")</f>
        <v/>
      </c>
      <c r="W627" s="542" t="str">
        <f>IFERROR(VLOOKUP(INDEX(xySpace_Type_Details,MATCH($C627,'General Information'!$C$40:$C$60,0),12),Lookups!$L$8:$N$12,3,FALSE),"")</f>
        <v/>
      </c>
      <c r="Y627" s="542" t="str">
        <f>IFERROR(IF(C627="","",IF(INDEX(xyWattage_Table,MATCH(M627,'Fixture Identities'!$B$9:$B$997,0),2)="Exit Sign",0,IF(PRJ_Type="Retrofit",VLOOKUP(I627,xySVG_Factors,2,FALSE),IF(AND(PRJ_Type="New Construction",Inventory!C624="N"),VLOOKUP(VLOOKUP(Building_Type,xyLPD_BuildingArea,5,FALSE),xySVG_Factors_NC,3,FALSE),0)))),"")</f>
        <v/>
      </c>
      <c r="Z627" s="544" t="str">
        <f>IFERROR(IF(C627="","",IF(INDEX(xyWattage_Table,MATCH(M627,'Fixture Identities'!$B$9:$B$997,0),2)="Exit Sign",0,VLOOKUP(S627,xySVG_Factors,2,FALSE))),"")</f>
        <v/>
      </c>
      <c r="AA627" s="545" t="str">
        <f t="shared" si="219"/>
        <v/>
      </c>
      <c r="AB627" s="542" t="str">
        <f t="shared" si="220"/>
        <v/>
      </c>
      <c r="AC627" s="539" t="str">
        <f t="shared" si="221"/>
        <v/>
      </c>
      <c r="AD627" s="546" t="str">
        <f t="shared" si="222"/>
        <v/>
      </c>
      <c r="AE627" s="539" t="str">
        <f t="shared" si="223"/>
        <v/>
      </c>
      <c r="AF627" s="546" t="str">
        <f t="shared" si="224"/>
        <v/>
      </c>
      <c r="AG627" s="539" t="str">
        <f t="shared" si="225"/>
        <v/>
      </c>
      <c r="AH627" s="32">
        <f t="shared" si="227"/>
        <v>0</v>
      </c>
      <c r="AI627" s="32">
        <f t="shared" si="228"/>
        <v>0</v>
      </c>
      <c r="AJ627" s="32">
        <f t="shared" si="229"/>
        <v>0</v>
      </c>
      <c r="AK627" t="str">
        <f t="shared" si="230"/>
        <v/>
      </c>
      <c r="AL627" t="str">
        <f t="shared" si="231"/>
        <v/>
      </c>
      <c r="AM627" t="str">
        <f t="shared" si="232"/>
        <v/>
      </c>
      <c r="AO627" t="str">
        <f>IFERROR(VLOOKUP(M627,'Fixture Identities'!$B$9:$O$1045,14,FALSE),"")</f>
        <v/>
      </c>
      <c r="AP627" t="str">
        <f t="shared" si="226"/>
        <v/>
      </c>
    </row>
    <row r="628" spans="1:42">
      <c r="A628" s="71">
        <f t="shared" si="234"/>
        <v>0</v>
      </c>
      <c r="B628" s="513">
        <f t="shared" si="233"/>
        <v>616</v>
      </c>
      <c r="C628" s="530" t="str">
        <f>IF(Inventory!E625="","",Inventory!E625)</f>
        <v/>
      </c>
      <c r="D628" s="531">
        <f>IF(Inventory!D625="",0,Inventory!D625)</f>
        <v>0</v>
      </c>
      <c r="E628" s="532" t="str">
        <f>IF(Inventory!I625=0,"",Inventory!I625)</f>
        <v/>
      </c>
      <c r="F628" s="533" t="str">
        <f t="shared" si="213"/>
        <v/>
      </c>
      <c r="G628" s="534" t="str">
        <f>IF(Inventory!G625="","",Inventory!G625)</f>
        <v/>
      </c>
      <c r="H628" s="535" t="str">
        <f t="shared" si="214"/>
        <v/>
      </c>
      <c r="I628" s="536" t="str">
        <f>IF(Inventory!J625="","",Inventory!J625)</f>
        <v/>
      </c>
      <c r="J628" s="537" t="str">
        <f>IFERROR(IF(PRJ_Type="New Construction",IF(Inventory!C625="N",INDEX(xyLPD_BuildingArea,MATCH(Building_Type,Lookups!$F$37:$F$75,0),4),INDEX(xyLPD_SpaceBySpace,MATCH(INDEX(xyNCEx,MATCH(I628,yNCExArea,0),2),ySpace_by_Space_Type,0),2)),VLOOKUP(E628,xyWattage_Table,11,FALSE)),"")</f>
        <v/>
      </c>
      <c r="K628" s="538" t="str">
        <f>IFERROR(IF(AND(NC_Type="Building Area Method",Inventory!C625="N"),IF(ISERROR(INDEX('Usage Groups (&gt;120 MWh only)'!$N$8:$N$12,MATCH(C628,'Usage Groups (&gt;120 MWh only)'!$B$8:$B$12,0),1))=TRUE,SqFt/COUNTIFS(Inventory!$C$10:$C$1009,"N",$Q$13:$Q$1012,"&gt;=0"),INDEX('Usage Groups (&gt;120 MWh only)'!$N$8:$N$12,MATCH(C628,'Usage Groups (&gt;120 MWh only)'!$B$8:$B$12,0),1)/COUNTIF($C$13:$C$1012,C628)),IF(AND(NC_Type="Building Area Method",Inventory!C625="Y"),INDEX(xyNCEx,MATCH(I628,yNCExArea,0),3)/COUNTIF($I$13:$I$1012,I628),VLOOKUP(J628,xyWattage_Table,10,FALSE))),"")</f>
        <v/>
      </c>
      <c r="L628" s="539" t="str">
        <f t="shared" si="215"/>
        <v/>
      </c>
      <c r="M628" s="540">
        <f>IF(Inventory!N625="","",Inventory!N625)</f>
        <v>0</v>
      </c>
      <c r="N628" s="533" t="str">
        <f t="shared" si="216"/>
        <v/>
      </c>
      <c r="O628" s="534"/>
      <c r="P628" s="533" t="str">
        <f t="shared" si="217"/>
        <v/>
      </c>
      <c r="Q628" s="534" t="str">
        <f>IF(Inventory!L625="","",Inventory!L625)</f>
        <v/>
      </c>
      <c r="R628" s="535" t="str">
        <f t="shared" si="218"/>
        <v/>
      </c>
      <c r="S628" s="536" t="str">
        <f>IF(Inventory!O625="","",Inventory!O625)</f>
        <v/>
      </c>
      <c r="T628" s="541" t="str">
        <f>IFERROR(IF(C628="","",IF(INDEX(xyWattage_Table,MATCH(M628,'Fixture Identities'!$B$9:$B$997,0),2)="Exit Sign",8760,IF(VLOOKUP(C628,xySpace_Type_Details,8,FALSE)="TRM",INDEX('General Information'!$AF$17:$AG$28,11,MATCH(N628,'General Information'!$AF$16:$AG$16,0)),HLOOKUP(VLOOKUP(C628,xySpace_Type_Details,8,FALSE),'General Information'!$P$15:$AG$28,13,FALSE)))),"")</f>
        <v/>
      </c>
      <c r="U628" s="542" t="str">
        <f>IFERROR(IF(C628="","",IF(INDEX(xyWattage_Table,MATCH(M628,'Fixture Identities'!$B$9:$B$997,0),2)="Exit Sign",1,IF(VLOOKUP(C628,xySpace_Type_Details,8,FALSE)="TRM",INDEX('General Information'!$AF$17:$AG$28,12,MATCH(N628,'General Information'!$AF$16:$AG$16,0)),HLOOKUP(VLOOKUP(C628,xySpace_Type_Details,8,FALSE),'General Information'!$P$15:$AG$28,14,FALSE)))),"")</f>
        <v/>
      </c>
      <c r="V628" s="542" t="str">
        <f>IFERROR(VLOOKUP(INDEX(xySpace_Type_Details,MATCH($C628,'General Information'!$C$40:$C$60,0),12),Lookups!$L$8:$N$12,2,FALSE),"")</f>
        <v/>
      </c>
      <c r="W628" s="542" t="str">
        <f>IFERROR(VLOOKUP(INDEX(xySpace_Type_Details,MATCH($C628,'General Information'!$C$40:$C$60,0),12),Lookups!$L$8:$N$12,3,FALSE),"")</f>
        <v/>
      </c>
      <c r="Y628" s="542" t="str">
        <f>IFERROR(IF(C628="","",IF(INDEX(xyWattage_Table,MATCH(M628,'Fixture Identities'!$B$9:$B$997,0),2)="Exit Sign",0,IF(PRJ_Type="Retrofit",VLOOKUP(I628,xySVG_Factors,2,FALSE),IF(AND(PRJ_Type="New Construction",Inventory!C625="N"),VLOOKUP(VLOOKUP(Building_Type,xyLPD_BuildingArea,5,FALSE),xySVG_Factors_NC,3,FALSE),0)))),"")</f>
        <v/>
      </c>
      <c r="Z628" s="544" t="str">
        <f>IFERROR(IF(C628="","",IF(INDEX(xyWattage_Table,MATCH(M628,'Fixture Identities'!$B$9:$B$997,0),2)="Exit Sign",0,VLOOKUP(S628,xySVG_Factors,2,FALSE))),"")</f>
        <v/>
      </c>
      <c r="AA628" s="545" t="str">
        <f t="shared" si="219"/>
        <v/>
      </c>
      <c r="AB628" s="542" t="str">
        <f t="shared" si="220"/>
        <v/>
      </c>
      <c r="AC628" s="539" t="str">
        <f t="shared" si="221"/>
        <v/>
      </c>
      <c r="AD628" s="546" t="str">
        <f t="shared" si="222"/>
        <v/>
      </c>
      <c r="AE628" s="539" t="str">
        <f t="shared" si="223"/>
        <v/>
      </c>
      <c r="AF628" s="546" t="str">
        <f t="shared" si="224"/>
        <v/>
      </c>
      <c r="AG628" s="539" t="str">
        <f t="shared" si="225"/>
        <v/>
      </c>
      <c r="AH628" s="32">
        <f t="shared" si="227"/>
        <v>0</v>
      </c>
      <c r="AI628" s="32">
        <f t="shared" si="228"/>
        <v>0</v>
      </c>
      <c r="AJ628" s="32">
        <f t="shared" si="229"/>
        <v>0</v>
      </c>
      <c r="AK628" t="str">
        <f t="shared" si="230"/>
        <v/>
      </c>
      <c r="AL628" t="str">
        <f t="shared" si="231"/>
        <v/>
      </c>
      <c r="AM628" t="str">
        <f t="shared" si="232"/>
        <v/>
      </c>
      <c r="AO628" t="str">
        <f>IFERROR(VLOOKUP(M628,'Fixture Identities'!$B$9:$O$1045,14,FALSE),"")</f>
        <v/>
      </c>
      <c r="AP628" t="str">
        <f t="shared" si="226"/>
        <v/>
      </c>
    </row>
    <row r="629" spans="1:42">
      <c r="A629" s="71">
        <f t="shared" si="234"/>
        <v>0</v>
      </c>
      <c r="B629" s="513">
        <f t="shared" si="233"/>
        <v>617</v>
      </c>
      <c r="C629" s="530" t="str">
        <f>IF(Inventory!E626="","",Inventory!E626)</f>
        <v/>
      </c>
      <c r="D629" s="531">
        <f>IF(Inventory!D626="",0,Inventory!D626)</f>
        <v>0</v>
      </c>
      <c r="E629" s="532" t="str">
        <f>IF(Inventory!I626=0,"",Inventory!I626)</f>
        <v/>
      </c>
      <c r="F629" s="533" t="str">
        <f t="shared" si="213"/>
        <v/>
      </c>
      <c r="G629" s="534" t="str">
        <f>IF(Inventory!G626="","",Inventory!G626)</f>
        <v/>
      </c>
      <c r="H629" s="535" t="str">
        <f t="shared" si="214"/>
        <v/>
      </c>
      <c r="I629" s="536" t="str">
        <f>IF(Inventory!J626="","",Inventory!J626)</f>
        <v/>
      </c>
      <c r="J629" s="537" t="str">
        <f>IFERROR(IF(PRJ_Type="New Construction",IF(Inventory!C626="N",INDEX(xyLPD_BuildingArea,MATCH(Building_Type,Lookups!$F$37:$F$75,0),4),INDEX(xyLPD_SpaceBySpace,MATCH(INDEX(xyNCEx,MATCH(I629,yNCExArea,0),2),ySpace_by_Space_Type,0),2)),VLOOKUP(E629,xyWattage_Table,11,FALSE)),"")</f>
        <v/>
      </c>
      <c r="K629" s="538" t="str">
        <f>IFERROR(IF(AND(NC_Type="Building Area Method",Inventory!C626="N"),IF(ISERROR(INDEX('Usage Groups (&gt;120 MWh only)'!$N$8:$N$12,MATCH(C629,'Usage Groups (&gt;120 MWh only)'!$B$8:$B$12,0),1))=TRUE,SqFt/COUNTIFS(Inventory!$C$10:$C$1009,"N",$Q$13:$Q$1012,"&gt;=0"),INDEX('Usage Groups (&gt;120 MWh only)'!$N$8:$N$12,MATCH(C629,'Usage Groups (&gt;120 MWh only)'!$B$8:$B$12,0),1)/COUNTIF($C$13:$C$1012,C629)),IF(AND(NC_Type="Building Area Method",Inventory!C626="Y"),INDEX(xyNCEx,MATCH(I629,yNCExArea,0),3)/COUNTIF($I$13:$I$1012,I629),VLOOKUP(J629,xyWattage_Table,10,FALSE))),"")</f>
        <v/>
      </c>
      <c r="L629" s="539" t="str">
        <f t="shared" si="215"/>
        <v/>
      </c>
      <c r="M629" s="540">
        <f>IF(Inventory!N626="","",Inventory!N626)</f>
        <v>0</v>
      </c>
      <c r="N629" s="533" t="str">
        <f t="shared" si="216"/>
        <v/>
      </c>
      <c r="O629" s="534"/>
      <c r="P629" s="533" t="str">
        <f t="shared" si="217"/>
        <v/>
      </c>
      <c r="Q629" s="534" t="str">
        <f>IF(Inventory!L626="","",Inventory!L626)</f>
        <v/>
      </c>
      <c r="R629" s="535" t="str">
        <f t="shared" si="218"/>
        <v/>
      </c>
      <c r="S629" s="536" t="str">
        <f>IF(Inventory!O626="","",Inventory!O626)</f>
        <v/>
      </c>
      <c r="T629" s="541" t="str">
        <f>IFERROR(IF(C629="","",IF(INDEX(xyWattage_Table,MATCH(M629,'Fixture Identities'!$B$9:$B$997,0),2)="Exit Sign",8760,IF(VLOOKUP(C629,xySpace_Type_Details,8,FALSE)="TRM",INDEX('General Information'!$AF$17:$AG$28,11,MATCH(N629,'General Information'!$AF$16:$AG$16,0)),HLOOKUP(VLOOKUP(C629,xySpace_Type_Details,8,FALSE),'General Information'!$P$15:$AG$28,13,FALSE)))),"")</f>
        <v/>
      </c>
      <c r="U629" s="542" t="str">
        <f>IFERROR(IF(C629="","",IF(INDEX(xyWattage_Table,MATCH(M629,'Fixture Identities'!$B$9:$B$997,0),2)="Exit Sign",1,IF(VLOOKUP(C629,xySpace_Type_Details,8,FALSE)="TRM",INDEX('General Information'!$AF$17:$AG$28,12,MATCH(N629,'General Information'!$AF$16:$AG$16,0)),HLOOKUP(VLOOKUP(C629,xySpace_Type_Details,8,FALSE),'General Information'!$P$15:$AG$28,14,FALSE)))),"")</f>
        <v/>
      </c>
      <c r="V629" s="542" t="str">
        <f>IFERROR(VLOOKUP(INDEX(xySpace_Type_Details,MATCH($C629,'General Information'!$C$40:$C$60,0),12),Lookups!$L$8:$N$12,2,FALSE),"")</f>
        <v/>
      </c>
      <c r="W629" s="542" t="str">
        <f>IFERROR(VLOOKUP(INDEX(xySpace_Type_Details,MATCH($C629,'General Information'!$C$40:$C$60,0),12),Lookups!$L$8:$N$12,3,FALSE),"")</f>
        <v/>
      </c>
      <c r="Y629" s="542" t="str">
        <f>IFERROR(IF(C629="","",IF(INDEX(xyWattage_Table,MATCH(M629,'Fixture Identities'!$B$9:$B$997,0),2)="Exit Sign",0,IF(PRJ_Type="Retrofit",VLOOKUP(I629,xySVG_Factors,2,FALSE),IF(AND(PRJ_Type="New Construction",Inventory!C626="N"),VLOOKUP(VLOOKUP(Building_Type,xyLPD_BuildingArea,5,FALSE),xySVG_Factors_NC,3,FALSE),0)))),"")</f>
        <v/>
      </c>
      <c r="Z629" s="544" t="str">
        <f>IFERROR(IF(C629="","",IF(INDEX(xyWattage_Table,MATCH(M629,'Fixture Identities'!$B$9:$B$997,0),2)="Exit Sign",0,VLOOKUP(S629,xySVG_Factors,2,FALSE))),"")</f>
        <v/>
      </c>
      <c r="AA629" s="545" t="str">
        <f t="shared" si="219"/>
        <v/>
      </c>
      <c r="AB629" s="542" t="str">
        <f t="shared" si="220"/>
        <v/>
      </c>
      <c r="AC629" s="539" t="str">
        <f t="shared" si="221"/>
        <v/>
      </c>
      <c r="AD629" s="546" t="str">
        <f t="shared" si="222"/>
        <v/>
      </c>
      <c r="AE629" s="539" t="str">
        <f t="shared" si="223"/>
        <v/>
      </c>
      <c r="AF629" s="546" t="str">
        <f t="shared" si="224"/>
        <v/>
      </c>
      <c r="AG629" s="539" t="str">
        <f t="shared" si="225"/>
        <v/>
      </c>
      <c r="AH629" s="32">
        <f t="shared" si="227"/>
        <v>0</v>
      </c>
      <c r="AI629" s="32">
        <f t="shared" si="228"/>
        <v>0</v>
      </c>
      <c r="AJ629" s="32">
        <f t="shared" si="229"/>
        <v>0</v>
      </c>
      <c r="AK629" t="str">
        <f t="shared" si="230"/>
        <v/>
      </c>
      <c r="AL629" t="str">
        <f t="shared" si="231"/>
        <v/>
      </c>
      <c r="AM629" t="str">
        <f t="shared" si="232"/>
        <v/>
      </c>
      <c r="AO629" t="str">
        <f>IFERROR(VLOOKUP(M629,'Fixture Identities'!$B$9:$O$1045,14,FALSE),"")</f>
        <v/>
      </c>
      <c r="AP629" t="str">
        <f t="shared" si="226"/>
        <v/>
      </c>
    </row>
    <row r="630" spans="1:42">
      <c r="A630" s="71">
        <f t="shared" si="234"/>
        <v>0</v>
      </c>
      <c r="B630" s="513">
        <f t="shared" si="233"/>
        <v>618</v>
      </c>
      <c r="C630" s="530" t="str">
        <f>IF(Inventory!E627="","",Inventory!E627)</f>
        <v/>
      </c>
      <c r="D630" s="531">
        <f>IF(Inventory!D627="",0,Inventory!D627)</f>
        <v>0</v>
      </c>
      <c r="E630" s="532" t="str">
        <f>IF(Inventory!I627=0,"",Inventory!I627)</f>
        <v/>
      </c>
      <c r="F630" s="533" t="str">
        <f t="shared" si="213"/>
        <v/>
      </c>
      <c r="G630" s="534" t="str">
        <f>IF(Inventory!G627="","",Inventory!G627)</f>
        <v/>
      </c>
      <c r="H630" s="535" t="str">
        <f t="shared" si="214"/>
        <v/>
      </c>
      <c r="I630" s="536" t="str">
        <f>IF(Inventory!J627="","",Inventory!J627)</f>
        <v/>
      </c>
      <c r="J630" s="537" t="str">
        <f>IFERROR(IF(PRJ_Type="New Construction",IF(Inventory!C627="N",INDEX(xyLPD_BuildingArea,MATCH(Building_Type,Lookups!$F$37:$F$75,0),4),INDEX(xyLPD_SpaceBySpace,MATCH(INDEX(xyNCEx,MATCH(I630,yNCExArea,0),2),ySpace_by_Space_Type,0),2)),VLOOKUP(E630,xyWattage_Table,11,FALSE)),"")</f>
        <v/>
      </c>
      <c r="K630" s="538" t="str">
        <f>IFERROR(IF(AND(NC_Type="Building Area Method",Inventory!C627="N"),IF(ISERROR(INDEX('Usage Groups (&gt;120 MWh only)'!$N$8:$N$12,MATCH(C630,'Usage Groups (&gt;120 MWh only)'!$B$8:$B$12,0),1))=TRUE,SqFt/COUNTIFS(Inventory!$C$10:$C$1009,"N",$Q$13:$Q$1012,"&gt;=0"),INDEX('Usage Groups (&gt;120 MWh only)'!$N$8:$N$12,MATCH(C630,'Usage Groups (&gt;120 MWh only)'!$B$8:$B$12,0),1)/COUNTIF($C$13:$C$1012,C630)),IF(AND(NC_Type="Building Area Method",Inventory!C627="Y"),INDEX(xyNCEx,MATCH(I630,yNCExArea,0),3)/COUNTIF($I$13:$I$1012,I630),VLOOKUP(J630,xyWattage_Table,10,FALSE))),"")</f>
        <v/>
      </c>
      <c r="L630" s="539" t="str">
        <f t="shared" si="215"/>
        <v/>
      </c>
      <c r="M630" s="540">
        <f>IF(Inventory!N627="","",Inventory!N627)</f>
        <v>0</v>
      </c>
      <c r="N630" s="533" t="str">
        <f t="shared" si="216"/>
        <v/>
      </c>
      <c r="O630" s="534"/>
      <c r="P630" s="533" t="str">
        <f t="shared" si="217"/>
        <v/>
      </c>
      <c r="Q630" s="534" t="str">
        <f>IF(Inventory!L627="","",Inventory!L627)</f>
        <v/>
      </c>
      <c r="R630" s="535" t="str">
        <f t="shared" si="218"/>
        <v/>
      </c>
      <c r="S630" s="536" t="str">
        <f>IF(Inventory!O627="","",Inventory!O627)</f>
        <v/>
      </c>
      <c r="T630" s="541" t="str">
        <f>IFERROR(IF(C630="","",IF(INDEX(xyWattage_Table,MATCH(M630,'Fixture Identities'!$B$9:$B$997,0),2)="Exit Sign",8760,IF(VLOOKUP(C630,xySpace_Type_Details,8,FALSE)="TRM",INDEX('General Information'!$AF$17:$AG$28,11,MATCH(N630,'General Information'!$AF$16:$AG$16,0)),HLOOKUP(VLOOKUP(C630,xySpace_Type_Details,8,FALSE),'General Information'!$P$15:$AG$28,13,FALSE)))),"")</f>
        <v/>
      </c>
      <c r="U630" s="542" t="str">
        <f>IFERROR(IF(C630="","",IF(INDEX(xyWattage_Table,MATCH(M630,'Fixture Identities'!$B$9:$B$997,0),2)="Exit Sign",1,IF(VLOOKUP(C630,xySpace_Type_Details,8,FALSE)="TRM",INDEX('General Information'!$AF$17:$AG$28,12,MATCH(N630,'General Information'!$AF$16:$AG$16,0)),HLOOKUP(VLOOKUP(C630,xySpace_Type_Details,8,FALSE),'General Information'!$P$15:$AG$28,14,FALSE)))),"")</f>
        <v/>
      </c>
      <c r="V630" s="542" t="str">
        <f>IFERROR(VLOOKUP(INDEX(xySpace_Type_Details,MATCH($C630,'General Information'!$C$40:$C$60,0),12),Lookups!$L$8:$N$12,2,FALSE),"")</f>
        <v/>
      </c>
      <c r="W630" s="542" t="str">
        <f>IFERROR(VLOOKUP(INDEX(xySpace_Type_Details,MATCH($C630,'General Information'!$C$40:$C$60,0),12),Lookups!$L$8:$N$12,3,FALSE),"")</f>
        <v/>
      </c>
      <c r="Y630" s="542" t="str">
        <f>IFERROR(IF(C630="","",IF(INDEX(xyWattage_Table,MATCH(M630,'Fixture Identities'!$B$9:$B$997,0),2)="Exit Sign",0,IF(PRJ_Type="Retrofit",VLOOKUP(I630,xySVG_Factors,2,FALSE),IF(AND(PRJ_Type="New Construction",Inventory!C627="N"),VLOOKUP(VLOOKUP(Building_Type,xyLPD_BuildingArea,5,FALSE),xySVG_Factors_NC,3,FALSE),0)))),"")</f>
        <v/>
      </c>
      <c r="Z630" s="544" t="str">
        <f>IFERROR(IF(C630="","",IF(INDEX(xyWattage_Table,MATCH(M630,'Fixture Identities'!$B$9:$B$997,0),2)="Exit Sign",0,VLOOKUP(S630,xySVG_Factors,2,FALSE))),"")</f>
        <v/>
      </c>
      <c r="AA630" s="545" t="str">
        <f t="shared" si="219"/>
        <v/>
      </c>
      <c r="AB630" s="542" t="str">
        <f t="shared" si="220"/>
        <v/>
      </c>
      <c r="AC630" s="539" t="str">
        <f t="shared" si="221"/>
        <v/>
      </c>
      <c r="AD630" s="546" t="str">
        <f t="shared" si="222"/>
        <v/>
      </c>
      <c r="AE630" s="539" t="str">
        <f t="shared" si="223"/>
        <v/>
      </c>
      <c r="AF630" s="546" t="str">
        <f t="shared" si="224"/>
        <v/>
      </c>
      <c r="AG630" s="539" t="str">
        <f t="shared" si="225"/>
        <v/>
      </c>
      <c r="AH630" s="32">
        <f t="shared" si="227"/>
        <v>0</v>
      </c>
      <c r="AI630" s="32">
        <f t="shared" si="228"/>
        <v>0</v>
      </c>
      <c r="AJ630" s="32">
        <f t="shared" si="229"/>
        <v>0</v>
      </c>
      <c r="AK630" t="str">
        <f t="shared" si="230"/>
        <v/>
      </c>
      <c r="AL630" t="str">
        <f t="shared" si="231"/>
        <v/>
      </c>
      <c r="AM630" t="str">
        <f t="shared" si="232"/>
        <v/>
      </c>
      <c r="AO630" t="str">
        <f>IFERROR(VLOOKUP(M630,'Fixture Identities'!$B$9:$O$1045,14,FALSE),"")</f>
        <v/>
      </c>
      <c r="AP630" t="str">
        <f t="shared" si="226"/>
        <v/>
      </c>
    </row>
    <row r="631" spans="1:42">
      <c r="A631" s="71">
        <f t="shared" si="234"/>
        <v>0</v>
      </c>
      <c r="B631" s="513">
        <f t="shared" si="233"/>
        <v>619</v>
      </c>
      <c r="C631" s="530" t="str">
        <f>IF(Inventory!E628="","",Inventory!E628)</f>
        <v/>
      </c>
      <c r="D631" s="531">
        <f>IF(Inventory!D628="",0,Inventory!D628)</f>
        <v>0</v>
      </c>
      <c r="E631" s="532" t="str">
        <f>IF(Inventory!I628=0,"",Inventory!I628)</f>
        <v/>
      </c>
      <c r="F631" s="533" t="str">
        <f t="shared" si="213"/>
        <v/>
      </c>
      <c r="G631" s="534" t="str">
        <f>IF(Inventory!G628="","",Inventory!G628)</f>
        <v/>
      </c>
      <c r="H631" s="535" t="str">
        <f t="shared" si="214"/>
        <v/>
      </c>
      <c r="I631" s="536" t="str">
        <f>IF(Inventory!J628="","",Inventory!J628)</f>
        <v/>
      </c>
      <c r="J631" s="537" t="str">
        <f>IFERROR(IF(PRJ_Type="New Construction",IF(Inventory!C628="N",INDEX(xyLPD_BuildingArea,MATCH(Building_Type,Lookups!$F$37:$F$75,0),4),INDEX(xyLPD_SpaceBySpace,MATCH(INDEX(xyNCEx,MATCH(I631,yNCExArea,0),2),ySpace_by_Space_Type,0),2)),VLOOKUP(E631,xyWattage_Table,11,FALSE)),"")</f>
        <v/>
      </c>
      <c r="K631" s="538" t="str">
        <f>IFERROR(IF(AND(NC_Type="Building Area Method",Inventory!C628="N"),IF(ISERROR(INDEX('Usage Groups (&gt;120 MWh only)'!$N$8:$N$12,MATCH(C631,'Usage Groups (&gt;120 MWh only)'!$B$8:$B$12,0),1))=TRUE,SqFt/COUNTIFS(Inventory!$C$10:$C$1009,"N",$Q$13:$Q$1012,"&gt;=0"),INDEX('Usage Groups (&gt;120 MWh only)'!$N$8:$N$12,MATCH(C631,'Usage Groups (&gt;120 MWh only)'!$B$8:$B$12,0),1)/COUNTIF($C$13:$C$1012,C631)),IF(AND(NC_Type="Building Area Method",Inventory!C628="Y"),INDEX(xyNCEx,MATCH(I631,yNCExArea,0),3)/COUNTIF($I$13:$I$1012,I631),VLOOKUP(J631,xyWattage_Table,10,FALSE))),"")</f>
        <v/>
      </c>
      <c r="L631" s="539" t="str">
        <f t="shared" si="215"/>
        <v/>
      </c>
      <c r="M631" s="540">
        <f>IF(Inventory!N628="","",Inventory!N628)</f>
        <v>0</v>
      </c>
      <c r="N631" s="533" t="str">
        <f t="shared" si="216"/>
        <v/>
      </c>
      <c r="O631" s="534"/>
      <c r="P631" s="533" t="str">
        <f t="shared" si="217"/>
        <v/>
      </c>
      <c r="Q631" s="534" t="str">
        <f>IF(Inventory!L628="","",Inventory!L628)</f>
        <v/>
      </c>
      <c r="R631" s="535" t="str">
        <f t="shared" si="218"/>
        <v/>
      </c>
      <c r="S631" s="536" t="str">
        <f>IF(Inventory!O628="","",Inventory!O628)</f>
        <v/>
      </c>
      <c r="T631" s="541" t="str">
        <f>IFERROR(IF(C631="","",IF(INDEX(xyWattage_Table,MATCH(M631,'Fixture Identities'!$B$9:$B$997,0),2)="Exit Sign",8760,IF(VLOOKUP(C631,xySpace_Type_Details,8,FALSE)="TRM",INDEX('General Information'!$AF$17:$AG$28,11,MATCH(N631,'General Information'!$AF$16:$AG$16,0)),HLOOKUP(VLOOKUP(C631,xySpace_Type_Details,8,FALSE),'General Information'!$P$15:$AG$28,13,FALSE)))),"")</f>
        <v/>
      </c>
      <c r="U631" s="542" t="str">
        <f>IFERROR(IF(C631="","",IF(INDEX(xyWattage_Table,MATCH(M631,'Fixture Identities'!$B$9:$B$997,0),2)="Exit Sign",1,IF(VLOOKUP(C631,xySpace_Type_Details,8,FALSE)="TRM",INDEX('General Information'!$AF$17:$AG$28,12,MATCH(N631,'General Information'!$AF$16:$AG$16,0)),HLOOKUP(VLOOKUP(C631,xySpace_Type_Details,8,FALSE),'General Information'!$P$15:$AG$28,14,FALSE)))),"")</f>
        <v/>
      </c>
      <c r="V631" s="542" t="str">
        <f>IFERROR(VLOOKUP(INDEX(xySpace_Type_Details,MATCH($C631,'General Information'!$C$40:$C$60,0),12),Lookups!$L$8:$N$12,2,FALSE),"")</f>
        <v/>
      </c>
      <c r="W631" s="542" t="str">
        <f>IFERROR(VLOOKUP(INDEX(xySpace_Type_Details,MATCH($C631,'General Information'!$C$40:$C$60,0),12),Lookups!$L$8:$N$12,3,FALSE),"")</f>
        <v/>
      </c>
      <c r="Y631" s="542" t="str">
        <f>IFERROR(IF(C631="","",IF(INDEX(xyWattage_Table,MATCH(M631,'Fixture Identities'!$B$9:$B$997,0),2)="Exit Sign",0,IF(PRJ_Type="Retrofit",VLOOKUP(I631,xySVG_Factors,2,FALSE),IF(AND(PRJ_Type="New Construction",Inventory!C628="N"),VLOOKUP(VLOOKUP(Building_Type,xyLPD_BuildingArea,5,FALSE),xySVG_Factors_NC,3,FALSE),0)))),"")</f>
        <v/>
      </c>
      <c r="Z631" s="544" t="str">
        <f>IFERROR(IF(C631="","",IF(INDEX(xyWattage_Table,MATCH(M631,'Fixture Identities'!$B$9:$B$997,0),2)="Exit Sign",0,VLOOKUP(S631,xySVG_Factors,2,FALSE))),"")</f>
        <v/>
      </c>
      <c r="AA631" s="545" t="str">
        <f t="shared" si="219"/>
        <v/>
      </c>
      <c r="AB631" s="542" t="str">
        <f t="shared" si="220"/>
        <v/>
      </c>
      <c r="AC631" s="539" t="str">
        <f t="shared" si="221"/>
        <v/>
      </c>
      <c r="AD631" s="546" t="str">
        <f t="shared" si="222"/>
        <v/>
      </c>
      <c r="AE631" s="539" t="str">
        <f t="shared" si="223"/>
        <v/>
      </c>
      <c r="AF631" s="546" t="str">
        <f t="shared" si="224"/>
        <v/>
      </c>
      <c r="AG631" s="539" t="str">
        <f t="shared" si="225"/>
        <v/>
      </c>
      <c r="AH631" s="32">
        <f t="shared" si="227"/>
        <v>0</v>
      </c>
      <c r="AI631" s="32">
        <f t="shared" si="228"/>
        <v>0</v>
      </c>
      <c r="AJ631" s="32">
        <f t="shared" si="229"/>
        <v>0</v>
      </c>
      <c r="AK631" t="str">
        <f t="shared" si="230"/>
        <v/>
      </c>
      <c r="AL631" t="str">
        <f t="shared" si="231"/>
        <v/>
      </c>
      <c r="AM631" t="str">
        <f t="shared" si="232"/>
        <v/>
      </c>
      <c r="AO631" t="str">
        <f>IFERROR(VLOOKUP(M631,'Fixture Identities'!$B$9:$O$1045,14,FALSE),"")</f>
        <v/>
      </c>
      <c r="AP631" t="str">
        <f t="shared" si="226"/>
        <v/>
      </c>
    </row>
    <row r="632" spans="1:42">
      <c r="A632" s="71">
        <f t="shared" si="234"/>
        <v>0</v>
      </c>
      <c r="B632" s="513">
        <f t="shared" si="233"/>
        <v>620</v>
      </c>
      <c r="C632" s="530" t="str">
        <f>IF(Inventory!E629="","",Inventory!E629)</f>
        <v/>
      </c>
      <c r="D632" s="531">
        <f>IF(Inventory!D629="",0,Inventory!D629)</f>
        <v>0</v>
      </c>
      <c r="E632" s="532" t="str">
        <f>IF(Inventory!I629=0,"",Inventory!I629)</f>
        <v/>
      </c>
      <c r="F632" s="533" t="str">
        <f t="shared" si="213"/>
        <v/>
      </c>
      <c r="G632" s="534" t="str">
        <f>IF(Inventory!G629="","",Inventory!G629)</f>
        <v/>
      </c>
      <c r="H632" s="535" t="str">
        <f t="shared" si="214"/>
        <v/>
      </c>
      <c r="I632" s="536" t="str">
        <f>IF(Inventory!J629="","",Inventory!J629)</f>
        <v/>
      </c>
      <c r="J632" s="537" t="str">
        <f>IFERROR(IF(PRJ_Type="New Construction",IF(Inventory!C629="N",INDEX(xyLPD_BuildingArea,MATCH(Building_Type,Lookups!$F$37:$F$75,0),4),INDEX(xyLPD_SpaceBySpace,MATCH(INDEX(xyNCEx,MATCH(I632,yNCExArea,0),2),ySpace_by_Space_Type,0),2)),VLOOKUP(E632,xyWattage_Table,11,FALSE)),"")</f>
        <v/>
      </c>
      <c r="K632" s="538" t="str">
        <f>IFERROR(IF(AND(NC_Type="Building Area Method",Inventory!C629="N"),IF(ISERROR(INDEX('Usage Groups (&gt;120 MWh only)'!$N$8:$N$12,MATCH(C632,'Usage Groups (&gt;120 MWh only)'!$B$8:$B$12,0),1))=TRUE,SqFt/COUNTIFS(Inventory!$C$10:$C$1009,"N",$Q$13:$Q$1012,"&gt;=0"),INDEX('Usage Groups (&gt;120 MWh only)'!$N$8:$N$12,MATCH(C632,'Usage Groups (&gt;120 MWh only)'!$B$8:$B$12,0),1)/COUNTIF($C$13:$C$1012,C632)),IF(AND(NC_Type="Building Area Method",Inventory!C629="Y"),INDEX(xyNCEx,MATCH(I632,yNCExArea,0),3)/COUNTIF($I$13:$I$1012,I632),VLOOKUP(J632,xyWattage_Table,10,FALSE))),"")</f>
        <v/>
      </c>
      <c r="L632" s="539" t="str">
        <f t="shared" si="215"/>
        <v/>
      </c>
      <c r="M632" s="540">
        <f>IF(Inventory!N629="","",Inventory!N629)</f>
        <v>0</v>
      </c>
      <c r="N632" s="533" t="str">
        <f t="shared" si="216"/>
        <v/>
      </c>
      <c r="O632" s="534"/>
      <c r="P632" s="533" t="str">
        <f t="shared" si="217"/>
        <v/>
      </c>
      <c r="Q632" s="534" t="str">
        <f>IF(Inventory!L629="","",Inventory!L629)</f>
        <v/>
      </c>
      <c r="R632" s="535" t="str">
        <f t="shared" si="218"/>
        <v/>
      </c>
      <c r="S632" s="536" t="str">
        <f>IF(Inventory!O629="","",Inventory!O629)</f>
        <v/>
      </c>
      <c r="T632" s="541" t="str">
        <f>IFERROR(IF(C632="","",IF(INDEX(xyWattage_Table,MATCH(M632,'Fixture Identities'!$B$9:$B$997,0),2)="Exit Sign",8760,IF(VLOOKUP(C632,xySpace_Type_Details,8,FALSE)="TRM",INDEX('General Information'!$AF$17:$AG$28,11,MATCH(N632,'General Information'!$AF$16:$AG$16,0)),HLOOKUP(VLOOKUP(C632,xySpace_Type_Details,8,FALSE),'General Information'!$P$15:$AG$28,13,FALSE)))),"")</f>
        <v/>
      </c>
      <c r="U632" s="542" t="str">
        <f>IFERROR(IF(C632="","",IF(INDEX(xyWattage_Table,MATCH(M632,'Fixture Identities'!$B$9:$B$997,0),2)="Exit Sign",1,IF(VLOOKUP(C632,xySpace_Type_Details,8,FALSE)="TRM",INDEX('General Information'!$AF$17:$AG$28,12,MATCH(N632,'General Information'!$AF$16:$AG$16,0)),HLOOKUP(VLOOKUP(C632,xySpace_Type_Details,8,FALSE),'General Information'!$P$15:$AG$28,14,FALSE)))),"")</f>
        <v/>
      </c>
      <c r="V632" s="542" t="str">
        <f>IFERROR(VLOOKUP(INDEX(xySpace_Type_Details,MATCH($C632,'General Information'!$C$40:$C$60,0),12),Lookups!$L$8:$N$12,2,FALSE),"")</f>
        <v/>
      </c>
      <c r="W632" s="542" t="str">
        <f>IFERROR(VLOOKUP(INDEX(xySpace_Type_Details,MATCH($C632,'General Information'!$C$40:$C$60,0),12),Lookups!$L$8:$N$12,3,FALSE),"")</f>
        <v/>
      </c>
      <c r="Y632" s="542" t="str">
        <f>IFERROR(IF(C632="","",IF(INDEX(xyWattage_Table,MATCH(M632,'Fixture Identities'!$B$9:$B$997,0),2)="Exit Sign",0,IF(PRJ_Type="Retrofit",VLOOKUP(I632,xySVG_Factors,2,FALSE),IF(AND(PRJ_Type="New Construction",Inventory!C629="N"),VLOOKUP(VLOOKUP(Building_Type,xyLPD_BuildingArea,5,FALSE),xySVG_Factors_NC,3,FALSE),0)))),"")</f>
        <v/>
      </c>
      <c r="Z632" s="544" t="str">
        <f>IFERROR(IF(C632="","",IF(INDEX(xyWattage_Table,MATCH(M632,'Fixture Identities'!$B$9:$B$997,0),2)="Exit Sign",0,VLOOKUP(S632,xySVG_Factors,2,FALSE))),"")</f>
        <v/>
      </c>
      <c r="AA632" s="545" t="str">
        <f t="shared" si="219"/>
        <v/>
      </c>
      <c r="AB632" s="542" t="str">
        <f t="shared" si="220"/>
        <v/>
      </c>
      <c r="AC632" s="539" t="str">
        <f t="shared" si="221"/>
        <v/>
      </c>
      <c r="AD632" s="546" t="str">
        <f t="shared" si="222"/>
        <v/>
      </c>
      <c r="AE632" s="539" t="str">
        <f t="shared" si="223"/>
        <v/>
      </c>
      <c r="AF632" s="546" t="str">
        <f t="shared" si="224"/>
        <v/>
      </c>
      <c r="AG632" s="539" t="str">
        <f t="shared" si="225"/>
        <v/>
      </c>
      <c r="AH632" s="32">
        <f t="shared" si="227"/>
        <v>0</v>
      </c>
      <c r="AI632" s="32">
        <f t="shared" si="228"/>
        <v>0</v>
      </c>
      <c r="AJ632" s="32">
        <f t="shared" si="229"/>
        <v>0</v>
      </c>
      <c r="AK632" t="str">
        <f t="shared" si="230"/>
        <v/>
      </c>
      <c r="AL632" t="str">
        <f t="shared" si="231"/>
        <v/>
      </c>
      <c r="AM632" t="str">
        <f t="shared" si="232"/>
        <v/>
      </c>
      <c r="AO632" t="str">
        <f>IFERROR(VLOOKUP(M632,'Fixture Identities'!$B$9:$O$1045,14,FALSE),"")</f>
        <v/>
      </c>
      <c r="AP632" t="str">
        <f t="shared" si="226"/>
        <v/>
      </c>
    </row>
    <row r="633" spans="1:42">
      <c r="A633" s="71">
        <f t="shared" si="234"/>
        <v>0</v>
      </c>
      <c r="B633" s="513">
        <f t="shared" si="233"/>
        <v>621</v>
      </c>
      <c r="C633" s="530" t="str">
        <f>IF(Inventory!E630="","",Inventory!E630)</f>
        <v/>
      </c>
      <c r="D633" s="531">
        <f>IF(Inventory!D630="",0,Inventory!D630)</f>
        <v>0</v>
      </c>
      <c r="E633" s="532" t="str">
        <f>IF(Inventory!I630=0,"",Inventory!I630)</f>
        <v/>
      </c>
      <c r="F633" s="533" t="str">
        <f t="shared" si="213"/>
        <v/>
      </c>
      <c r="G633" s="534" t="str">
        <f>IF(Inventory!G630="","",Inventory!G630)</f>
        <v/>
      </c>
      <c r="H633" s="535" t="str">
        <f t="shared" si="214"/>
        <v/>
      </c>
      <c r="I633" s="536" t="str">
        <f>IF(Inventory!J630="","",Inventory!J630)</f>
        <v/>
      </c>
      <c r="J633" s="537" t="str">
        <f>IFERROR(IF(PRJ_Type="New Construction",IF(Inventory!C630="N",INDEX(xyLPD_BuildingArea,MATCH(Building_Type,Lookups!$F$37:$F$75,0),4),INDEX(xyLPD_SpaceBySpace,MATCH(INDEX(xyNCEx,MATCH(I633,yNCExArea,0),2),ySpace_by_Space_Type,0),2)),VLOOKUP(E633,xyWattage_Table,11,FALSE)),"")</f>
        <v/>
      </c>
      <c r="K633" s="538" t="str">
        <f>IFERROR(IF(AND(NC_Type="Building Area Method",Inventory!C630="N"),IF(ISERROR(INDEX('Usage Groups (&gt;120 MWh only)'!$N$8:$N$12,MATCH(C633,'Usage Groups (&gt;120 MWh only)'!$B$8:$B$12,0),1))=TRUE,SqFt/COUNTIFS(Inventory!$C$10:$C$1009,"N",$Q$13:$Q$1012,"&gt;=0"),INDEX('Usage Groups (&gt;120 MWh only)'!$N$8:$N$12,MATCH(C633,'Usage Groups (&gt;120 MWh only)'!$B$8:$B$12,0),1)/COUNTIF($C$13:$C$1012,C633)),IF(AND(NC_Type="Building Area Method",Inventory!C630="Y"),INDEX(xyNCEx,MATCH(I633,yNCExArea,0),3)/COUNTIF($I$13:$I$1012,I633),VLOOKUP(J633,xyWattage_Table,10,FALSE))),"")</f>
        <v/>
      </c>
      <c r="L633" s="539" t="str">
        <f t="shared" si="215"/>
        <v/>
      </c>
      <c r="M633" s="540">
        <f>IF(Inventory!N630="","",Inventory!N630)</f>
        <v>0</v>
      </c>
      <c r="N633" s="533" t="str">
        <f t="shared" si="216"/>
        <v/>
      </c>
      <c r="O633" s="534"/>
      <c r="P633" s="533" t="str">
        <f t="shared" si="217"/>
        <v/>
      </c>
      <c r="Q633" s="534" t="str">
        <f>IF(Inventory!L630="","",Inventory!L630)</f>
        <v/>
      </c>
      <c r="R633" s="535" t="str">
        <f t="shared" si="218"/>
        <v/>
      </c>
      <c r="S633" s="536" t="str">
        <f>IF(Inventory!O630="","",Inventory!O630)</f>
        <v/>
      </c>
      <c r="T633" s="541" t="str">
        <f>IFERROR(IF(C633="","",IF(INDEX(xyWattage_Table,MATCH(M633,'Fixture Identities'!$B$9:$B$997,0),2)="Exit Sign",8760,IF(VLOOKUP(C633,xySpace_Type_Details,8,FALSE)="TRM",INDEX('General Information'!$AF$17:$AG$28,11,MATCH(N633,'General Information'!$AF$16:$AG$16,0)),HLOOKUP(VLOOKUP(C633,xySpace_Type_Details,8,FALSE),'General Information'!$P$15:$AG$28,13,FALSE)))),"")</f>
        <v/>
      </c>
      <c r="U633" s="542" t="str">
        <f>IFERROR(IF(C633="","",IF(INDEX(xyWattage_Table,MATCH(M633,'Fixture Identities'!$B$9:$B$997,0),2)="Exit Sign",1,IF(VLOOKUP(C633,xySpace_Type_Details,8,FALSE)="TRM",INDEX('General Information'!$AF$17:$AG$28,12,MATCH(N633,'General Information'!$AF$16:$AG$16,0)),HLOOKUP(VLOOKUP(C633,xySpace_Type_Details,8,FALSE),'General Information'!$P$15:$AG$28,14,FALSE)))),"")</f>
        <v/>
      </c>
      <c r="V633" s="542" t="str">
        <f>IFERROR(VLOOKUP(INDEX(xySpace_Type_Details,MATCH($C633,'General Information'!$C$40:$C$60,0),12),Lookups!$L$8:$N$12,2,FALSE),"")</f>
        <v/>
      </c>
      <c r="W633" s="542" t="str">
        <f>IFERROR(VLOOKUP(INDEX(xySpace_Type_Details,MATCH($C633,'General Information'!$C$40:$C$60,0),12),Lookups!$L$8:$N$12,3,FALSE),"")</f>
        <v/>
      </c>
      <c r="Y633" s="542" t="str">
        <f>IFERROR(IF(C633="","",IF(INDEX(xyWattage_Table,MATCH(M633,'Fixture Identities'!$B$9:$B$997,0),2)="Exit Sign",0,IF(PRJ_Type="Retrofit",VLOOKUP(I633,xySVG_Factors,2,FALSE),IF(AND(PRJ_Type="New Construction",Inventory!C630="N"),VLOOKUP(VLOOKUP(Building_Type,xyLPD_BuildingArea,5,FALSE),xySVG_Factors_NC,3,FALSE),0)))),"")</f>
        <v/>
      </c>
      <c r="Z633" s="544" t="str">
        <f>IFERROR(IF(C633="","",IF(INDEX(xyWattage_Table,MATCH(M633,'Fixture Identities'!$B$9:$B$997,0),2)="Exit Sign",0,VLOOKUP(S633,xySVG_Factors,2,FALSE))),"")</f>
        <v/>
      </c>
      <c r="AA633" s="545" t="str">
        <f t="shared" si="219"/>
        <v/>
      </c>
      <c r="AB633" s="542" t="str">
        <f t="shared" si="220"/>
        <v/>
      </c>
      <c r="AC633" s="539" t="str">
        <f t="shared" si="221"/>
        <v/>
      </c>
      <c r="AD633" s="546" t="str">
        <f t="shared" si="222"/>
        <v/>
      </c>
      <c r="AE633" s="539" t="str">
        <f t="shared" si="223"/>
        <v/>
      </c>
      <c r="AF633" s="546" t="str">
        <f t="shared" si="224"/>
        <v/>
      </c>
      <c r="AG633" s="539" t="str">
        <f t="shared" si="225"/>
        <v/>
      </c>
      <c r="AH633" s="32">
        <f t="shared" si="227"/>
        <v>0</v>
      </c>
      <c r="AI633" s="32">
        <f t="shared" si="228"/>
        <v>0</v>
      </c>
      <c r="AJ633" s="32">
        <f t="shared" si="229"/>
        <v>0</v>
      </c>
      <c r="AK633" t="str">
        <f t="shared" si="230"/>
        <v/>
      </c>
      <c r="AL633" t="str">
        <f t="shared" si="231"/>
        <v/>
      </c>
      <c r="AM633" t="str">
        <f t="shared" si="232"/>
        <v/>
      </c>
      <c r="AO633" t="str">
        <f>IFERROR(VLOOKUP(M633,'Fixture Identities'!$B$9:$O$1045,14,FALSE),"")</f>
        <v/>
      </c>
      <c r="AP633" t="str">
        <f t="shared" si="226"/>
        <v/>
      </c>
    </row>
    <row r="634" spans="1:42">
      <c r="A634" s="71">
        <f t="shared" si="234"/>
        <v>0</v>
      </c>
      <c r="B634" s="513">
        <f t="shared" si="233"/>
        <v>622</v>
      </c>
      <c r="C634" s="530" t="str">
        <f>IF(Inventory!E631="","",Inventory!E631)</f>
        <v/>
      </c>
      <c r="D634" s="531">
        <f>IF(Inventory!D631="",0,Inventory!D631)</f>
        <v>0</v>
      </c>
      <c r="E634" s="532" t="str">
        <f>IF(Inventory!I631=0,"",Inventory!I631)</f>
        <v/>
      </c>
      <c r="F634" s="533" t="str">
        <f t="shared" si="213"/>
        <v/>
      </c>
      <c r="G634" s="534" t="str">
        <f>IF(Inventory!G631="","",Inventory!G631)</f>
        <v/>
      </c>
      <c r="H634" s="535" t="str">
        <f t="shared" si="214"/>
        <v/>
      </c>
      <c r="I634" s="536" t="str">
        <f>IF(Inventory!J631="","",Inventory!J631)</f>
        <v/>
      </c>
      <c r="J634" s="537" t="str">
        <f>IFERROR(IF(PRJ_Type="New Construction",IF(Inventory!C631="N",INDEX(xyLPD_BuildingArea,MATCH(Building_Type,Lookups!$F$37:$F$75,0),4),INDEX(xyLPD_SpaceBySpace,MATCH(INDEX(xyNCEx,MATCH(I634,yNCExArea,0),2),ySpace_by_Space_Type,0),2)),VLOOKUP(E634,xyWattage_Table,11,FALSE)),"")</f>
        <v/>
      </c>
      <c r="K634" s="538" t="str">
        <f>IFERROR(IF(AND(NC_Type="Building Area Method",Inventory!C631="N"),IF(ISERROR(INDEX('Usage Groups (&gt;120 MWh only)'!$N$8:$N$12,MATCH(C634,'Usage Groups (&gt;120 MWh only)'!$B$8:$B$12,0),1))=TRUE,SqFt/COUNTIFS(Inventory!$C$10:$C$1009,"N",$Q$13:$Q$1012,"&gt;=0"),INDEX('Usage Groups (&gt;120 MWh only)'!$N$8:$N$12,MATCH(C634,'Usage Groups (&gt;120 MWh only)'!$B$8:$B$12,0),1)/COUNTIF($C$13:$C$1012,C634)),IF(AND(NC_Type="Building Area Method",Inventory!C631="Y"),INDEX(xyNCEx,MATCH(I634,yNCExArea,0),3)/COUNTIF($I$13:$I$1012,I634),VLOOKUP(J634,xyWattage_Table,10,FALSE))),"")</f>
        <v/>
      </c>
      <c r="L634" s="539" t="str">
        <f t="shared" si="215"/>
        <v/>
      </c>
      <c r="M634" s="540">
        <f>IF(Inventory!N631="","",Inventory!N631)</f>
        <v>0</v>
      </c>
      <c r="N634" s="533" t="str">
        <f t="shared" si="216"/>
        <v/>
      </c>
      <c r="O634" s="534"/>
      <c r="P634" s="533" t="str">
        <f t="shared" si="217"/>
        <v/>
      </c>
      <c r="Q634" s="534" t="str">
        <f>IF(Inventory!L631="","",Inventory!L631)</f>
        <v/>
      </c>
      <c r="R634" s="535" t="str">
        <f t="shared" si="218"/>
        <v/>
      </c>
      <c r="S634" s="536" t="str">
        <f>IF(Inventory!O631="","",Inventory!O631)</f>
        <v/>
      </c>
      <c r="T634" s="541" t="str">
        <f>IFERROR(IF(C634="","",IF(INDEX(xyWattage_Table,MATCH(M634,'Fixture Identities'!$B$9:$B$997,0),2)="Exit Sign",8760,IF(VLOOKUP(C634,xySpace_Type_Details,8,FALSE)="TRM",INDEX('General Information'!$AF$17:$AG$28,11,MATCH(N634,'General Information'!$AF$16:$AG$16,0)),HLOOKUP(VLOOKUP(C634,xySpace_Type_Details,8,FALSE),'General Information'!$P$15:$AG$28,13,FALSE)))),"")</f>
        <v/>
      </c>
      <c r="U634" s="542" t="str">
        <f>IFERROR(IF(C634="","",IF(INDEX(xyWattage_Table,MATCH(M634,'Fixture Identities'!$B$9:$B$997,0),2)="Exit Sign",1,IF(VLOOKUP(C634,xySpace_Type_Details,8,FALSE)="TRM",INDEX('General Information'!$AF$17:$AG$28,12,MATCH(N634,'General Information'!$AF$16:$AG$16,0)),HLOOKUP(VLOOKUP(C634,xySpace_Type_Details,8,FALSE),'General Information'!$P$15:$AG$28,14,FALSE)))),"")</f>
        <v/>
      </c>
      <c r="V634" s="542" t="str">
        <f>IFERROR(VLOOKUP(INDEX(xySpace_Type_Details,MATCH($C634,'General Information'!$C$40:$C$60,0),12),Lookups!$L$8:$N$12,2,FALSE),"")</f>
        <v/>
      </c>
      <c r="W634" s="542" t="str">
        <f>IFERROR(VLOOKUP(INDEX(xySpace_Type_Details,MATCH($C634,'General Information'!$C$40:$C$60,0),12),Lookups!$L$8:$N$12,3,FALSE),"")</f>
        <v/>
      </c>
      <c r="Y634" s="542" t="str">
        <f>IFERROR(IF(C634="","",IF(INDEX(xyWattage_Table,MATCH(M634,'Fixture Identities'!$B$9:$B$997,0),2)="Exit Sign",0,IF(PRJ_Type="Retrofit",VLOOKUP(I634,xySVG_Factors,2,FALSE),IF(AND(PRJ_Type="New Construction",Inventory!C631="N"),VLOOKUP(VLOOKUP(Building_Type,xyLPD_BuildingArea,5,FALSE),xySVG_Factors_NC,3,FALSE),0)))),"")</f>
        <v/>
      </c>
      <c r="Z634" s="544" t="str">
        <f>IFERROR(IF(C634="","",IF(INDEX(xyWattage_Table,MATCH(M634,'Fixture Identities'!$B$9:$B$997,0),2)="Exit Sign",0,VLOOKUP(S634,xySVG_Factors,2,FALSE))),"")</f>
        <v/>
      </c>
      <c r="AA634" s="545" t="str">
        <f t="shared" si="219"/>
        <v/>
      </c>
      <c r="AB634" s="542" t="str">
        <f t="shared" si="220"/>
        <v/>
      </c>
      <c r="AC634" s="539" t="str">
        <f t="shared" si="221"/>
        <v/>
      </c>
      <c r="AD634" s="546" t="str">
        <f t="shared" si="222"/>
        <v/>
      </c>
      <c r="AE634" s="539" t="str">
        <f t="shared" si="223"/>
        <v/>
      </c>
      <c r="AF634" s="546" t="str">
        <f t="shared" si="224"/>
        <v/>
      </c>
      <c r="AG634" s="539" t="str">
        <f t="shared" si="225"/>
        <v/>
      </c>
      <c r="AH634" s="32">
        <f t="shared" si="227"/>
        <v>0</v>
      </c>
      <c r="AI634" s="32">
        <f t="shared" si="228"/>
        <v>0</v>
      </c>
      <c r="AJ634" s="32">
        <f t="shared" si="229"/>
        <v>0</v>
      </c>
      <c r="AK634" t="str">
        <f t="shared" si="230"/>
        <v/>
      </c>
      <c r="AL634" t="str">
        <f t="shared" si="231"/>
        <v/>
      </c>
      <c r="AM634" t="str">
        <f t="shared" si="232"/>
        <v/>
      </c>
      <c r="AO634" t="str">
        <f>IFERROR(VLOOKUP(M634,'Fixture Identities'!$B$9:$O$1045,14,FALSE),"")</f>
        <v/>
      </c>
      <c r="AP634" t="str">
        <f t="shared" si="226"/>
        <v/>
      </c>
    </row>
    <row r="635" spans="1:42">
      <c r="A635" s="71">
        <f t="shared" si="234"/>
        <v>0</v>
      </c>
      <c r="B635" s="513">
        <f t="shared" si="233"/>
        <v>623</v>
      </c>
      <c r="C635" s="530" t="str">
        <f>IF(Inventory!E632="","",Inventory!E632)</f>
        <v/>
      </c>
      <c r="D635" s="531">
        <f>IF(Inventory!D632="",0,Inventory!D632)</f>
        <v>0</v>
      </c>
      <c r="E635" s="532" t="str">
        <f>IF(Inventory!I632=0,"",Inventory!I632)</f>
        <v/>
      </c>
      <c r="F635" s="533" t="str">
        <f t="shared" si="213"/>
        <v/>
      </c>
      <c r="G635" s="534" t="str">
        <f>IF(Inventory!G632="","",Inventory!G632)</f>
        <v/>
      </c>
      <c r="H635" s="535" t="str">
        <f t="shared" si="214"/>
        <v/>
      </c>
      <c r="I635" s="536" t="str">
        <f>IF(Inventory!J632="","",Inventory!J632)</f>
        <v/>
      </c>
      <c r="J635" s="537" t="str">
        <f>IFERROR(IF(PRJ_Type="New Construction",IF(Inventory!C632="N",INDEX(xyLPD_BuildingArea,MATCH(Building_Type,Lookups!$F$37:$F$75,0),4),INDEX(xyLPD_SpaceBySpace,MATCH(INDEX(xyNCEx,MATCH(I635,yNCExArea,0),2),ySpace_by_Space_Type,0),2)),VLOOKUP(E635,xyWattage_Table,11,FALSE)),"")</f>
        <v/>
      </c>
      <c r="K635" s="538" t="str">
        <f>IFERROR(IF(AND(NC_Type="Building Area Method",Inventory!C632="N"),IF(ISERROR(INDEX('Usage Groups (&gt;120 MWh only)'!$N$8:$N$12,MATCH(C635,'Usage Groups (&gt;120 MWh only)'!$B$8:$B$12,0),1))=TRUE,SqFt/COUNTIFS(Inventory!$C$10:$C$1009,"N",$Q$13:$Q$1012,"&gt;=0"),INDEX('Usage Groups (&gt;120 MWh only)'!$N$8:$N$12,MATCH(C635,'Usage Groups (&gt;120 MWh only)'!$B$8:$B$12,0),1)/COUNTIF($C$13:$C$1012,C635)),IF(AND(NC_Type="Building Area Method",Inventory!C632="Y"),INDEX(xyNCEx,MATCH(I635,yNCExArea,0),3)/COUNTIF($I$13:$I$1012,I635),VLOOKUP(J635,xyWattage_Table,10,FALSE))),"")</f>
        <v/>
      </c>
      <c r="L635" s="539" t="str">
        <f t="shared" si="215"/>
        <v/>
      </c>
      <c r="M635" s="540">
        <f>IF(Inventory!N632="","",Inventory!N632)</f>
        <v>0</v>
      </c>
      <c r="N635" s="533" t="str">
        <f t="shared" si="216"/>
        <v/>
      </c>
      <c r="O635" s="534"/>
      <c r="P635" s="533" t="str">
        <f t="shared" si="217"/>
        <v/>
      </c>
      <c r="Q635" s="534" t="str">
        <f>IF(Inventory!L632="","",Inventory!L632)</f>
        <v/>
      </c>
      <c r="R635" s="535" t="str">
        <f t="shared" si="218"/>
        <v/>
      </c>
      <c r="S635" s="536" t="str">
        <f>IF(Inventory!O632="","",Inventory!O632)</f>
        <v/>
      </c>
      <c r="T635" s="541" t="str">
        <f>IFERROR(IF(C635="","",IF(INDEX(xyWattage_Table,MATCH(M635,'Fixture Identities'!$B$9:$B$997,0),2)="Exit Sign",8760,IF(VLOOKUP(C635,xySpace_Type_Details,8,FALSE)="TRM",INDEX('General Information'!$AF$17:$AG$28,11,MATCH(N635,'General Information'!$AF$16:$AG$16,0)),HLOOKUP(VLOOKUP(C635,xySpace_Type_Details,8,FALSE),'General Information'!$P$15:$AG$28,13,FALSE)))),"")</f>
        <v/>
      </c>
      <c r="U635" s="542" t="str">
        <f>IFERROR(IF(C635="","",IF(INDEX(xyWattage_Table,MATCH(M635,'Fixture Identities'!$B$9:$B$997,0),2)="Exit Sign",1,IF(VLOOKUP(C635,xySpace_Type_Details,8,FALSE)="TRM",INDEX('General Information'!$AF$17:$AG$28,12,MATCH(N635,'General Information'!$AF$16:$AG$16,0)),HLOOKUP(VLOOKUP(C635,xySpace_Type_Details,8,FALSE),'General Information'!$P$15:$AG$28,14,FALSE)))),"")</f>
        <v/>
      </c>
      <c r="V635" s="542" t="str">
        <f>IFERROR(VLOOKUP(INDEX(xySpace_Type_Details,MATCH($C635,'General Information'!$C$40:$C$60,0),12),Lookups!$L$8:$N$12,2,FALSE),"")</f>
        <v/>
      </c>
      <c r="W635" s="542" t="str">
        <f>IFERROR(VLOOKUP(INDEX(xySpace_Type_Details,MATCH($C635,'General Information'!$C$40:$C$60,0),12),Lookups!$L$8:$N$12,3,FALSE),"")</f>
        <v/>
      </c>
      <c r="Y635" s="542" t="str">
        <f>IFERROR(IF(C635="","",IF(INDEX(xyWattage_Table,MATCH(M635,'Fixture Identities'!$B$9:$B$997,0),2)="Exit Sign",0,IF(PRJ_Type="Retrofit",VLOOKUP(I635,xySVG_Factors,2,FALSE),IF(AND(PRJ_Type="New Construction",Inventory!C632="N"),VLOOKUP(VLOOKUP(Building_Type,xyLPD_BuildingArea,5,FALSE),xySVG_Factors_NC,3,FALSE),0)))),"")</f>
        <v/>
      </c>
      <c r="Z635" s="544" t="str">
        <f>IFERROR(IF(C635="","",IF(INDEX(xyWattage_Table,MATCH(M635,'Fixture Identities'!$B$9:$B$997,0),2)="Exit Sign",0,VLOOKUP(S635,xySVG_Factors,2,FALSE))),"")</f>
        <v/>
      </c>
      <c r="AA635" s="545" t="str">
        <f t="shared" si="219"/>
        <v/>
      </c>
      <c r="AB635" s="542" t="str">
        <f t="shared" si="220"/>
        <v/>
      </c>
      <c r="AC635" s="539" t="str">
        <f t="shared" si="221"/>
        <v/>
      </c>
      <c r="AD635" s="546" t="str">
        <f t="shared" si="222"/>
        <v/>
      </c>
      <c r="AE635" s="539" t="str">
        <f t="shared" si="223"/>
        <v/>
      </c>
      <c r="AF635" s="546" t="str">
        <f t="shared" si="224"/>
        <v/>
      </c>
      <c r="AG635" s="539" t="str">
        <f t="shared" si="225"/>
        <v/>
      </c>
      <c r="AH635" s="32">
        <f t="shared" si="227"/>
        <v>0</v>
      </c>
      <c r="AI635" s="32">
        <f t="shared" si="228"/>
        <v>0</v>
      </c>
      <c r="AJ635" s="32">
        <f t="shared" si="229"/>
        <v>0</v>
      </c>
      <c r="AK635" t="str">
        <f t="shared" si="230"/>
        <v/>
      </c>
      <c r="AL635" t="str">
        <f t="shared" si="231"/>
        <v/>
      </c>
      <c r="AM635" t="str">
        <f t="shared" si="232"/>
        <v/>
      </c>
      <c r="AO635" t="str">
        <f>IFERROR(VLOOKUP(M635,'Fixture Identities'!$B$9:$O$1045,14,FALSE),"")</f>
        <v/>
      </c>
      <c r="AP635" t="str">
        <f t="shared" si="226"/>
        <v/>
      </c>
    </row>
    <row r="636" spans="1:42">
      <c r="A636" s="71">
        <f t="shared" si="234"/>
        <v>0</v>
      </c>
      <c r="B636" s="513">
        <f t="shared" si="233"/>
        <v>624</v>
      </c>
      <c r="C636" s="530" t="str">
        <f>IF(Inventory!E633="","",Inventory!E633)</f>
        <v/>
      </c>
      <c r="D636" s="531">
        <f>IF(Inventory!D633="",0,Inventory!D633)</f>
        <v>0</v>
      </c>
      <c r="E636" s="532" t="str">
        <f>IF(Inventory!I633=0,"",Inventory!I633)</f>
        <v/>
      </c>
      <c r="F636" s="533" t="str">
        <f t="shared" si="213"/>
        <v/>
      </c>
      <c r="G636" s="534" t="str">
        <f>IF(Inventory!G633="","",Inventory!G633)</f>
        <v/>
      </c>
      <c r="H636" s="535" t="str">
        <f t="shared" si="214"/>
        <v/>
      </c>
      <c r="I636" s="536" t="str">
        <f>IF(Inventory!J633="","",Inventory!J633)</f>
        <v/>
      </c>
      <c r="J636" s="537" t="str">
        <f>IFERROR(IF(PRJ_Type="New Construction",IF(Inventory!C633="N",INDEX(xyLPD_BuildingArea,MATCH(Building_Type,Lookups!$F$37:$F$75,0),4),INDEX(xyLPD_SpaceBySpace,MATCH(INDEX(xyNCEx,MATCH(I636,yNCExArea,0),2),ySpace_by_Space_Type,0),2)),VLOOKUP(E636,xyWattage_Table,11,FALSE)),"")</f>
        <v/>
      </c>
      <c r="K636" s="538" t="str">
        <f>IFERROR(IF(AND(NC_Type="Building Area Method",Inventory!C633="N"),IF(ISERROR(INDEX('Usage Groups (&gt;120 MWh only)'!$N$8:$N$12,MATCH(C636,'Usage Groups (&gt;120 MWh only)'!$B$8:$B$12,0),1))=TRUE,SqFt/COUNTIFS(Inventory!$C$10:$C$1009,"N",$Q$13:$Q$1012,"&gt;=0"),INDEX('Usage Groups (&gt;120 MWh only)'!$N$8:$N$12,MATCH(C636,'Usage Groups (&gt;120 MWh only)'!$B$8:$B$12,0),1)/COUNTIF($C$13:$C$1012,C636)),IF(AND(NC_Type="Building Area Method",Inventory!C633="Y"),INDEX(xyNCEx,MATCH(I636,yNCExArea,0),3)/COUNTIF($I$13:$I$1012,I636),VLOOKUP(J636,xyWattage_Table,10,FALSE))),"")</f>
        <v/>
      </c>
      <c r="L636" s="539" t="str">
        <f t="shared" si="215"/>
        <v/>
      </c>
      <c r="M636" s="540">
        <f>IF(Inventory!N633="","",Inventory!N633)</f>
        <v>0</v>
      </c>
      <c r="N636" s="533" t="str">
        <f t="shared" si="216"/>
        <v/>
      </c>
      <c r="O636" s="534"/>
      <c r="P636" s="533" t="str">
        <f t="shared" si="217"/>
        <v/>
      </c>
      <c r="Q636" s="534" t="str">
        <f>IF(Inventory!L633="","",Inventory!L633)</f>
        <v/>
      </c>
      <c r="R636" s="535" t="str">
        <f t="shared" si="218"/>
        <v/>
      </c>
      <c r="S636" s="536" t="str">
        <f>IF(Inventory!O633="","",Inventory!O633)</f>
        <v/>
      </c>
      <c r="T636" s="541" t="str">
        <f>IFERROR(IF(C636="","",IF(INDEX(xyWattage_Table,MATCH(M636,'Fixture Identities'!$B$9:$B$997,0),2)="Exit Sign",8760,IF(VLOOKUP(C636,xySpace_Type_Details,8,FALSE)="TRM",INDEX('General Information'!$AF$17:$AG$28,11,MATCH(N636,'General Information'!$AF$16:$AG$16,0)),HLOOKUP(VLOOKUP(C636,xySpace_Type_Details,8,FALSE),'General Information'!$P$15:$AG$28,13,FALSE)))),"")</f>
        <v/>
      </c>
      <c r="U636" s="542" t="str">
        <f>IFERROR(IF(C636="","",IF(INDEX(xyWattage_Table,MATCH(M636,'Fixture Identities'!$B$9:$B$997,0),2)="Exit Sign",1,IF(VLOOKUP(C636,xySpace_Type_Details,8,FALSE)="TRM",INDEX('General Information'!$AF$17:$AG$28,12,MATCH(N636,'General Information'!$AF$16:$AG$16,0)),HLOOKUP(VLOOKUP(C636,xySpace_Type_Details,8,FALSE),'General Information'!$P$15:$AG$28,14,FALSE)))),"")</f>
        <v/>
      </c>
      <c r="V636" s="542" t="str">
        <f>IFERROR(VLOOKUP(INDEX(xySpace_Type_Details,MATCH($C636,'General Information'!$C$40:$C$60,0),12),Lookups!$L$8:$N$12,2,FALSE),"")</f>
        <v/>
      </c>
      <c r="W636" s="542" t="str">
        <f>IFERROR(VLOOKUP(INDEX(xySpace_Type_Details,MATCH($C636,'General Information'!$C$40:$C$60,0),12),Lookups!$L$8:$N$12,3,FALSE),"")</f>
        <v/>
      </c>
      <c r="Y636" s="542" t="str">
        <f>IFERROR(IF(C636="","",IF(INDEX(xyWattage_Table,MATCH(M636,'Fixture Identities'!$B$9:$B$997,0),2)="Exit Sign",0,IF(PRJ_Type="Retrofit",VLOOKUP(I636,xySVG_Factors,2,FALSE),IF(AND(PRJ_Type="New Construction",Inventory!C633="N"),VLOOKUP(VLOOKUP(Building_Type,xyLPD_BuildingArea,5,FALSE),xySVG_Factors_NC,3,FALSE),0)))),"")</f>
        <v/>
      </c>
      <c r="Z636" s="544" t="str">
        <f>IFERROR(IF(C636="","",IF(INDEX(xyWattage_Table,MATCH(M636,'Fixture Identities'!$B$9:$B$997,0),2)="Exit Sign",0,VLOOKUP(S636,xySVG_Factors,2,FALSE))),"")</f>
        <v/>
      </c>
      <c r="AA636" s="545" t="str">
        <f t="shared" si="219"/>
        <v/>
      </c>
      <c r="AB636" s="542" t="str">
        <f t="shared" si="220"/>
        <v/>
      </c>
      <c r="AC636" s="539" t="str">
        <f t="shared" si="221"/>
        <v/>
      </c>
      <c r="AD636" s="546" t="str">
        <f t="shared" si="222"/>
        <v/>
      </c>
      <c r="AE636" s="539" t="str">
        <f t="shared" si="223"/>
        <v/>
      </c>
      <c r="AF636" s="546" t="str">
        <f t="shared" si="224"/>
        <v/>
      </c>
      <c r="AG636" s="539" t="str">
        <f t="shared" si="225"/>
        <v/>
      </c>
      <c r="AH636" s="32">
        <f t="shared" si="227"/>
        <v>0</v>
      </c>
      <c r="AI636" s="32">
        <f t="shared" si="228"/>
        <v>0</v>
      </c>
      <c r="AJ636" s="32">
        <f t="shared" si="229"/>
        <v>0</v>
      </c>
      <c r="AK636" t="str">
        <f t="shared" si="230"/>
        <v/>
      </c>
      <c r="AL636" t="str">
        <f t="shared" si="231"/>
        <v/>
      </c>
      <c r="AM636" t="str">
        <f t="shared" si="232"/>
        <v/>
      </c>
      <c r="AO636" t="str">
        <f>IFERROR(VLOOKUP(M636,'Fixture Identities'!$B$9:$O$1045,14,FALSE),"")</f>
        <v/>
      </c>
      <c r="AP636" t="str">
        <f t="shared" si="226"/>
        <v/>
      </c>
    </row>
    <row r="637" spans="1:42">
      <c r="A637" s="71">
        <f t="shared" si="234"/>
        <v>0</v>
      </c>
      <c r="B637" s="513">
        <f t="shared" si="233"/>
        <v>625</v>
      </c>
      <c r="C637" s="530" t="str">
        <f>IF(Inventory!E634="","",Inventory!E634)</f>
        <v/>
      </c>
      <c r="D637" s="531">
        <f>IF(Inventory!D634="",0,Inventory!D634)</f>
        <v>0</v>
      </c>
      <c r="E637" s="532" t="str">
        <f>IF(Inventory!I634=0,"",Inventory!I634)</f>
        <v/>
      </c>
      <c r="F637" s="533" t="str">
        <f t="shared" si="213"/>
        <v/>
      </c>
      <c r="G637" s="534" t="str">
        <f>IF(Inventory!G634="","",Inventory!G634)</f>
        <v/>
      </c>
      <c r="H637" s="535" t="str">
        <f t="shared" si="214"/>
        <v/>
      </c>
      <c r="I637" s="536" t="str">
        <f>IF(Inventory!J634="","",Inventory!J634)</f>
        <v/>
      </c>
      <c r="J637" s="537" t="str">
        <f>IFERROR(IF(PRJ_Type="New Construction",IF(Inventory!C634="N",INDEX(xyLPD_BuildingArea,MATCH(Building_Type,Lookups!$F$37:$F$75,0),4),INDEX(xyLPD_SpaceBySpace,MATCH(INDEX(xyNCEx,MATCH(I637,yNCExArea,0),2),ySpace_by_Space_Type,0),2)),VLOOKUP(E637,xyWattage_Table,11,FALSE)),"")</f>
        <v/>
      </c>
      <c r="K637" s="538" t="str">
        <f>IFERROR(IF(AND(NC_Type="Building Area Method",Inventory!C634="N"),IF(ISERROR(INDEX('Usage Groups (&gt;120 MWh only)'!$N$8:$N$12,MATCH(C637,'Usage Groups (&gt;120 MWh only)'!$B$8:$B$12,0),1))=TRUE,SqFt/COUNTIFS(Inventory!$C$10:$C$1009,"N",$Q$13:$Q$1012,"&gt;=0"),INDEX('Usage Groups (&gt;120 MWh only)'!$N$8:$N$12,MATCH(C637,'Usage Groups (&gt;120 MWh only)'!$B$8:$B$12,0),1)/COUNTIF($C$13:$C$1012,C637)),IF(AND(NC_Type="Building Area Method",Inventory!C634="Y"),INDEX(xyNCEx,MATCH(I637,yNCExArea,0),3)/COUNTIF($I$13:$I$1012,I637),VLOOKUP(J637,xyWattage_Table,10,FALSE))),"")</f>
        <v/>
      </c>
      <c r="L637" s="539" t="str">
        <f t="shared" si="215"/>
        <v/>
      </c>
      <c r="M637" s="540">
        <f>IF(Inventory!N634="","",Inventory!N634)</f>
        <v>0</v>
      </c>
      <c r="N637" s="533" t="str">
        <f t="shared" si="216"/>
        <v/>
      </c>
      <c r="O637" s="534"/>
      <c r="P637" s="533" t="str">
        <f t="shared" si="217"/>
        <v/>
      </c>
      <c r="Q637" s="534" t="str">
        <f>IF(Inventory!L634="","",Inventory!L634)</f>
        <v/>
      </c>
      <c r="R637" s="535" t="str">
        <f t="shared" si="218"/>
        <v/>
      </c>
      <c r="S637" s="536" t="str">
        <f>IF(Inventory!O634="","",Inventory!O634)</f>
        <v/>
      </c>
      <c r="T637" s="541" t="str">
        <f>IFERROR(IF(C637="","",IF(INDEX(xyWattage_Table,MATCH(M637,'Fixture Identities'!$B$9:$B$997,0),2)="Exit Sign",8760,IF(VLOOKUP(C637,xySpace_Type_Details,8,FALSE)="TRM",INDEX('General Information'!$AF$17:$AG$28,11,MATCH(N637,'General Information'!$AF$16:$AG$16,0)),HLOOKUP(VLOOKUP(C637,xySpace_Type_Details,8,FALSE),'General Information'!$P$15:$AG$28,13,FALSE)))),"")</f>
        <v/>
      </c>
      <c r="U637" s="542" t="str">
        <f>IFERROR(IF(C637="","",IF(INDEX(xyWattage_Table,MATCH(M637,'Fixture Identities'!$B$9:$B$997,0),2)="Exit Sign",1,IF(VLOOKUP(C637,xySpace_Type_Details,8,FALSE)="TRM",INDEX('General Information'!$AF$17:$AG$28,12,MATCH(N637,'General Information'!$AF$16:$AG$16,0)),HLOOKUP(VLOOKUP(C637,xySpace_Type_Details,8,FALSE),'General Information'!$P$15:$AG$28,14,FALSE)))),"")</f>
        <v/>
      </c>
      <c r="V637" s="542" t="str">
        <f>IFERROR(VLOOKUP(INDEX(xySpace_Type_Details,MATCH($C637,'General Information'!$C$40:$C$60,0),12),Lookups!$L$8:$N$12,2,FALSE),"")</f>
        <v/>
      </c>
      <c r="W637" s="542" t="str">
        <f>IFERROR(VLOOKUP(INDEX(xySpace_Type_Details,MATCH($C637,'General Information'!$C$40:$C$60,0),12),Lookups!$L$8:$N$12,3,FALSE),"")</f>
        <v/>
      </c>
      <c r="Y637" s="542" t="str">
        <f>IFERROR(IF(C637="","",IF(INDEX(xyWattage_Table,MATCH(M637,'Fixture Identities'!$B$9:$B$997,0),2)="Exit Sign",0,IF(PRJ_Type="Retrofit",VLOOKUP(I637,xySVG_Factors,2,FALSE),IF(AND(PRJ_Type="New Construction",Inventory!C634="N"),VLOOKUP(VLOOKUP(Building_Type,xyLPD_BuildingArea,5,FALSE),xySVG_Factors_NC,3,FALSE),0)))),"")</f>
        <v/>
      </c>
      <c r="Z637" s="544" t="str">
        <f>IFERROR(IF(C637="","",IF(INDEX(xyWattage_Table,MATCH(M637,'Fixture Identities'!$B$9:$B$997,0),2)="Exit Sign",0,VLOOKUP(S637,xySVG_Factors,2,FALSE))),"")</f>
        <v/>
      </c>
      <c r="AA637" s="545" t="str">
        <f t="shared" si="219"/>
        <v/>
      </c>
      <c r="AB637" s="542" t="str">
        <f t="shared" si="220"/>
        <v/>
      </c>
      <c r="AC637" s="539" t="str">
        <f t="shared" si="221"/>
        <v/>
      </c>
      <c r="AD637" s="546" t="str">
        <f t="shared" si="222"/>
        <v/>
      </c>
      <c r="AE637" s="539" t="str">
        <f t="shared" si="223"/>
        <v/>
      </c>
      <c r="AF637" s="546" t="str">
        <f t="shared" si="224"/>
        <v/>
      </c>
      <c r="AG637" s="539" t="str">
        <f t="shared" si="225"/>
        <v/>
      </c>
      <c r="AH637" s="32">
        <f t="shared" si="227"/>
        <v>0</v>
      </c>
      <c r="AI637" s="32">
        <f t="shared" si="228"/>
        <v>0</v>
      </c>
      <c r="AJ637" s="32">
        <f t="shared" si="229"/>
        <v>0</v>
      </c>
      <c r="AK637" t="str">
        <f t="shared" si="230"/>
        <v/>
      </c>
      <c r="AL637" t="str">
        <f t="shared" si="231"/>
        <v/>
      </c>
      <c r="AM637" t="str">
        <f t="shared" si="232"/>
        <v/>
      </c>
      <c r="AO637" t="str">
        <f>IFERROR(VLOOKUP(M637,'Fixture Identities'!$B$9:$O$1045,14,FALSE),"")</f>
        <v/>
      </c>
      <c r="AP637" t="str">
        <f t="shared" si="226"/>
        <v/>
      </c>
    </row>
    <row r="638" spans="1:42">
      <c r="A638" s="71">
        <f t="shared" si="234"/>
        <v>0</v>
      </c>
      <c r="B638" s="513">
        <f t="shared" si="233"/>
        <v>626</v>
      </c>
      <c r="C638" s="530" t="str">
        <f>IF(Inventory!E635="","",Inventory!E635)</f>
        <v/>
      </c>
      <c r="D638" s="531">
        <f>IF(Inventory!D635="",0,Inventory!D635)</f>
        <v>0</v>
      </c>
      <c r="E638" s="532" t="str">
        <f>IF(Inventory!I635=0,"",Inventory!I635)</f>
        <v/>
      </c>
      <c r="F638" s="533" t="str">
        <f t="shared" si="213"/>
        <v/>
      </c>
      <c r="G638" s="534" t="str">
        <f>IF(Inventory!G635="","",Inventory!G635)</f>
        <v/>
      </c>
      <c r="H638" s="535" t="str">
        <f t="shared" si="214"/>
        <v/>
      </c>
      <c r="I638" s="536" t="str">
        <f>IF(Inventory!J635="","",Inventory!J635)</f>
        <v/>
      </c>
      <c r="J638" s="537" t="str">
        <f>IFERROR(IF(PRJ_Type="New Construction",IF(Inventory!C635="N",INDEX(xyLPD_BuildingArea,MATCH(Building_Type,Lookups!$F$37:$F$75,0),4),INDEX(xyLPD_SpaceBySpace,MATCH(INDEX(xyNCEx,MATCH(I638,yNCExArea,0),2),ySpace_by_Space_Type,0),2)),VLOOKUP(E638,xyWattage_Table,11,FALSE)),"")</f>
        <v/>
      </c>
      <c r="K638" s="538" t="str">
        <f>IFERROR(IF(AND(NC_Type="Building Area Method",Inventory!C635="N"),IF(ISERROR(INDEX('Usage Groups (&gt;120 MWh only)'!$N$8:$N$12,MATCH(C638,'Usage Groups (&gt;120 MWh only)'!$B$8:$B$12,0),1))=TRUE,SqFt/COUNTIFS(Inventory!$C$10:$C$1009,"N",$Q$13:$Q$1012,"&gt;=0"),INDEX('Usage Groups (&gt;120 MWh only)'!$N$8:$N$12,MATCH(C638,'Usage Groups (&gt;120 MWh only)'!$B$8:$B$12,0),1)/COUNTIF($C$13:$C$1012,C638)),IF(AND(NC_Type="Building Area Method",Inventory!C635="Y"),INDEX(xyNCEx,MATCH(I638,yNCExArea,0),3)/COUNTIF($I$13:$I$1012,I638),VLOOKUP(J638,xyWattage_Table,10,FALSE))),"")</f>
        <v/>
      </c>
      <c r="L638" s="539" t="str">
        <f t="shared" si="215"/>
        <v/>
      </c>
      <c r="M638" s="540">
        <f>IF(Inventory!N635="","",Inventory!N635)</f>
        <v>0</v>
      </c>
      <c r="N638" s="533" t="str">
        <f t="shared" si="216"/>
        <v/>
      </c>
      <c r="O638" s="534"/>
      <c r="P638" s="533" t="str">
        <f t="shared" si="217"/>
        <v/>
      </c>
      <c r="Q638" s="534" t="str">
        <f>IF(Inventory!L635="","",Inventory!L635)</f>
        <v/>
      </c>
      <c r="R638" s="535" t="str">
        <f t="shared" si="218"/>
        <v/>
      </c>
      <c r="S638" s="536" t="str">
        <f>IF(Inventory!O635="","",Inventory!O635)</f>
        <v/>
      </c>
      <c r="T638" s="541" t="str">
        <f>IFERROR(IF(C638="","",IF(INDEX(xyWattage_Table,MATCH(M638,'Fixture Identities'!$B$9:$B$997,0),2)="Exit Sign",8760,IF(VLOOKUP(C638,xySpace_Type_Details,8,FALSE)="TRM",INDEX('General Information'!$AF$17:$AG$28,11,MATCH(N638,'General Information'!$AF$16:$AG$16,0)),HLOOKUP(VLOOKUP(C638,xySpace_Type_Details,8,FALSE),'General Information'!$P$15:$AG$28,13,FALSE)))),"")</f>
        <v/>
      </c>
      <c r="U638" s="542" t="str">
        <f>IFERROR(IF(C638="","",IF(INDEX(xyWattage_Table,MATCH(M638,'Fixture Identities'!$B$9:$B$997,0),2)="Exit Sign",1,IF(VLOOKUP(C638,xySpace_Type_Details,8,FALSE)="TRM",INDEX('General Information'!$AF$17:$AG$28,12,MATCH(N638,'General Information'!$AF$16:$AG$16,0)),HLOOKUP(VLOOKUP(C638,xySpace_Type_Details,8,FALSE),'General Information'!$P$15:$AG$28,14,FALSE)))),"")</f>
        <v/>
      </c>
      <c r="V638" s="542" t="str">
        <f>IFERROR(VLOOKUP(INDEX(xySpace_Type_Details,MATCH($C638,'General Information'!$C$40:$C$60,0),12),Lookups!$L$8:$N$12,2,FALSE),"")</f>
        <v/>
      </c>
      <c r="W638" s="542" t="str">
        <f>IFERROR(VLOOKUP(INDEX(xySpace_Type_Details,MATCH($C638,'General Information'!$C$40:$C$60,0),12),Lookups!$L$8:$N$12,3,FALSE),"")</f>
        <v/>
      </c>
      <c r="Y638" s="542" t="str">
        <f>IFERROR(IF(C638="","",IF(INDEX(xyWattage_Table,MATCH(M638,'Fixture Identities'!$B$9:$B$997,0),2)="Exit Sign",0,IF(PRJ_Type="Retrofit",VLOOKUP(I638,xySVG_Factors,2,FALSE),IF(AND(PRJ_Type="New Construction",Inventory!C635="N"),VLOOKUP(VLOOKUP(Building_Type,xyLPD_BuildingArea,5,FALSE),xySVG_Factors_NC,3,FALSE),0)))),"")</f>
        <v/>
      </c>
      <c r="Z638" s="544" t="str">
        <f>IFERROR(IF(C638="","",IF(INDEX(xyWattage_Table,MATCH(M638,'Fixture Identities'!$B$9:$B$997,0),2)="Exit Sign",0,VLOOKUP(S638,xySVG_Factors,2,FALSE))),"")</f>
        <v/>
      </c>
      <c r="AA638" s="545" t="str">
        <f t="shared" si="219"/>
        <v/>
      </c>
      <c r="AB638" s="542" t="str">
        <f t="shared" si="220"/>
        <v/>
      </c>
      <c r="AC638" s="539" t="str">
        <f t="shared" si="221"/>
        <v/>
      </c>
      <c r="AD638" s="546" t="str">
        <f t="shared" si="222"/>
        <v/>
      </c>
      <c r="AE638" s="539" t="str">
        <f t="shared" si="223"/>
        <v/>
      </c>
      <c r="AF638" s="546" t="str">
        <f t="shared" si="224"/>
        <v/>
      </c>
      <c r="AG638" s="539" t="str">
        <f t="shared" si="225"/>
        <v/>
      </c>
      <c r="AH638" s="32">
        <f t="shared" si="227"/>
        <v>0</v>
      </c>
      <c r="AI638" s="32">
        <f t="shared" si="228"/>
        <v>0</v>
      </c>
      <c r="AJ638" s="32">
        <f t="shared" si="229"/>
        <v>0</v>
      </c>
      <c r="AK638" t="str">
        <f t="shared" si="230"/>
        <v/>
      </c>
      <c r="AL638" t="str">
        <f t="shared" si="231"/>
        <v/>
      </c>
      <c r="AM638" t="str">
        <f t="shared" si="232"/>
        <v/>
      </c>
      <c r="AO638" t="str">
        <f>IFERROR(VLOOKUP(M638,'Fixture Identities'!$B$9:$O$1045,14,FALSE),"")</f>
        <v/>
      </c>
      <c r="AP638" t="str">
        <f t="shared" si="226"/>
        <v/>
      </c>
    </row>
    <row r="639" spans="1:42">
      <c r="A639" s="71">
        <f t="shared" si="234"/>
        <v>0</v>
      </c>
      <c r="B639" s="513">
        <f t="shared" si="233"/>
        <v>627</v>
      </c>
      <c r="C639" s="530" t="str">
        <f>IF(Inventory!E636="","",Inventory!E636)</f>
        <v/>
      </c>
      <c r="D639" s="531">
        <f>IF(Inventory!D636="",0,Inventory!D636)</f>
        <v>0</v>
      </c>
      <c r="E639" s="532" t="str">
        <f>IF(Inventory!I636=0,"",Inventory!I636)</f>
        <v/>
      </c>
      <c r="F639" s="533" t="str">
        <f t="shared" si="213"/>
        <v/>
      </c>
      <c r="G639" s="534" t="str">
        <f>IF(Inventory!G636="","",Inventory!G636)</f>
        <v/>
      </c>
      <c r="H639" s="535" t="str">
        <f t="shared" si="214"/>
        <v/>
      </c>
      <c r="I639" s="536" t="str">
        <f>IF(Inventory!J636="","",Inventory!J636)</f>
        <v/>
      </c>
      <c r="J639" s="537" t="str">
        <f>IFERROR(IF(PRJ_Type="New Construction",IF(Inventory!C636="N",INDEX(xyLPD_BuildingArea,MATCH(Building_Type,Lookups!$F$37:$F$75,0),4),INDEX(xyLPD_SpaceBySpace,MATCH(INDEX(xyNCEx,MATCH(I639,yNCExArea,0),2),ySpace_by_Space_Type,0),2)),VLOOKUP(E639,xyWattage_Table,11,FALSE)),"")</f>
        <v/>
      </c>
      <c r="K639" s="538" t="str">
        <f>IFERROR(IF(AND(NC_Type="Building Area Method",Inventory!C636="N"),IF(ISERROR(INDEX('Usage Groups (&gt;120 MWh only)'!$N$8:$N$12,MATCH(C639,'Usage Groups (&gt;120 MWh only)'!$B$8:$B$12,0),1))=TRUE,SqFt/COUNTIFS(Inventory!$C$10:$C$1009,"N",$Q$13:$Q$1012,"&gt;=0"),INDEX('Usage Groups (&gt;120 MWh only)'!$N$8:$N$12,MATCH(C639,'Usage Groups (&gt;120 MWh only)'!$B$8:$B$12,0),1)/COUNTIF($C$13:$C$1012,C639)),IF(AND(NC_Type="Building Area Method",Inventory!C636="Y"),INDEX(xyNCEx,MATCH(I639,yNCExArea,0),3)/COUNTIF($I$13:$I$1012,I639),VLOOKUP(J639,xyWattage_Table,10,FALSE))),"")</f>
        <v/>
      </c>
      <c r="L639" s="539" t="str">
        <f t="shared" si="215"/>
        <v/>
      </c>
      <c r="M639" s="540">
        <f>IF(Inventory!N636="","",Inventory!N636)</f>
        <v>0</v>
      </c>
      <c r="N639" s="533" t="str">
        <f t="shared" si="216"/>
        <v/>
      </c>
      <c r="O639" s="534"/>
      <c r="P639" s="533" t="str">
        <f t="shared" si="217"/>
        <v/>
      </c>
      <c r="Q639" s="534" t="str">
        <f>IF(Inventory!L636="","",Inventory!L636)</f>
        <v/>
      </c>
      <c r="R639" s="535" t="str">
        <f t="shared" si="218"/>
        <v/>
      </c>
      <c r="S639" s="536" t="str">
        <f>IF(Inventory!O636="","",Inventory!O636)</f>
        <v/>
      </c>
      <c r="T639" s="541" t="str">
        <f>IFERROR(IF(C639="","",IF(INDEX(xyWattage_Table,MATCH(M639,'Fixture Identities'!$B$9:$B$997,0),2)="Exit Sign",8760,IF(VLOOKUP(C639,xySpace_Type_Details,8,FALSE)="TRM",INDEX('General Information'!$AF$17:$AG$28,11,MATCH(N639,'General Information'!$AF$16:$AG$16,0)),HLOOKUP(VLOOKUP(C639,xySpace_Type_Details,8,FALSE),'General Information'!$P$15:$AG$28,13,FALSE)))),"")</f>
        <v/>
      </c>
      <c r="U639" s="542" t="str">
        <f>IFERROR(IF(C639="","",IF(INDEX(xyWattage_Table,MATCH(M639,'Fixture Identities'!$B$9:$B$997,0),2)="Exit Sign",1,IF(VLOOKUP(C639,xySpace_Type_Details,8,FALSE)="TRM",INDEX('General Information'!$AF$17:$AG$28,12,MATCH(N639,'General Information'!$AF$16:$AG$16,0)),HLOOKUP(VLOOKUP(C639,xySpace_Type_Details,8,FALSE),'General Information'!$P$15:$AG$28,14,FALSE)))),"")</f>
        <v/>
      </c>
      <c r="V639" s="542" t="str">
        <f>IFERROR(VLOOKUP(INDEX(xySpace_Type_Details,MATCH($C639,'General Information'!$C$40:$C$60,0),12),Lookups!$L$8:$N$12,2,FALSE),"")</f>
        <v/>
      </c>
      <c r="W639" s="542" t="str">
        <f>IFERROR(VLOOKUP(INDEX(xySpace_Type_Details,MATCH($C639,'General Information'!$C$40:$C$60,0),12),Lookups!$L$8:$N$12,3,FALSE),"")</f>
        <v/>
      </c>
      <c r="Y639" s="542" t="str">
        <f>IFERROR(IF(C639="","",IF(INDEX(xyWattage_Table,MATCH(M639,'Fixture Identities'!$B$9:$B$997,0),2)="Exit Sign",0,IF(PRJ_Type="Retrofit",VLOOKUP(I639,xySVG_Factors,2,FALSE),IF(AND(PRJ_Type="New Construction",Inventory!C636="N"),VLOOKUP(VLOOKUP(Building_Type,xyLPD_BuildingArea,5,FALSE),xySVG_Factors_NC,3,FALSE),0)))),"")</f>
        <v/>
      </c>
      <c r="Z639" s="544" t="str">
        <f>IFERROR(IF(C639="","",IF(INDEX(xyWattage_Table,MATCH(M639,'Fixture Identities'!$B$9:$B$997,0),2)="Exit Sign",0,VLOOKUP(S639,xySVG_Factors,2,FALSE))),"")</f>
        <v/>
      </c>
      <c r="AA639" s="545" t="str">
        <f t="shared" si="219"/>
        <v/>
      </c>
      <c r="AB639" s="542" t="str">
        <f t="shared" si="220"/>
        <v/>
      </c>
      <c r="AC639" s="539" t="str">
        <f t="shared" si="221"/>
        <v/>
      </c>
      <c r="AD639" s="546" t="str">
        <f t="shared" si="222"/>
        <v/>
      </c>
      <c r="AE639" s="539" t="str">
        <f t="shared" si="223"/>
        <v/>
      </c>
      <c r="AF639" s="546" t="str">
        <f t="shared" si="224"/>
        <v/>
      </c>
      <c r="AG639" s="539" t="str">
        <f t="shared" si="225"/>
        <v/>
      </c>
      <c r="AH639" s="32">
        <f t="shared" si="227"/>
        <v>0</v>
      </c>
      <c r="AI639" s="32">
        <f t="shared" si="228"/>
        <v>0</v>
      </c>
      <c r="AJ639" s="32">
        <f t="shared" si="229"/>
        <v>0</v>
      </c>
      <c r="AK639" t="str">
        <f t="shared" si="230"/>
        <v/>
      </c>
      <c r="AL639" t="str">
        <f t="shared" si="231"/>
        <v/>
      </c>
      <c r="AM639" t="str">
        <f t="shared" si="232"/>
        <v/>
      </c>
      <c r="AO639" t="str">
        <f>IFERROR(VLOOKUP(M639,'Fixture Identities'!$B$9:$O$1045,14,FALSE),"")</f>
        <v/>
      </c>
      <c r="AP639" t="str">
        <f t="shared" si="226"/>
        <v/>
      </c>
    </row>
    <row r="640" spans="1:42">
      <c r="A640" s="71">
        <f t="shared" si="234"/>
        <v>0</v>
      </c>
      <c r="B640" s="513">
        <f t="shared" si="233"/>
        <v>628</v>
      </c>
      <c r="C640" s="530" t="str">
        <f>IF(Inventory!E637="","",Inventory!E637)</f>
        <v/>
      </c>
      <c r="D640" s="531">
        <f>IF(Inventory!D637="",0,Inventory!D637)</f>
        <v>0</v>
      </c>
      <c r="E640" s="532" t="str">
        <f>IF(Inventory!I637=0,"",Inventory!I637)</f>
        <v/>
      </c>
      <c r="F640" s="533" t="str">
        <f t="shared" si="213"/>
        <v/>
      </c>
      <c r="G640" s="534" t="str">
        <f>IF(Inventory!G637="","",Inventory!G637)</f>
        <v/>
      </c>
      <c r="H640" s="535" t="str">
        <f t="shared" si="214"/>
        <v/>
      </c>
      <c r="I640" s="536" t="str">
        <f>IF(Inventory!J637="","",Inventory!J637)</f>
        <v/>
      </c>
      <c r="J640" s="537" t="str">
        <f>IFERROR(IF(PRJ_Type="New Construction",IF(Inventory!C637="N",INDEX(xyLPD_BuildingArea,MATCH(Building_Type,Lookups!$F$37:$F$75,0),4),INDEX(xyLPD_SpaceBySpace,MATCH(INDEX(xyNCEx,MATCH(I640,yNCExArea,0),2),ySpace_by_Space_Type,0),2)),VLOOKUP(E640,xyWattage_Table,11,FALSE)),"")</f>
        <v/>
      </c>
      <c r="K640" s="538" t="str">
        <f>IFERROR(IF(AND(NC_Type="Building Area Method",Inventory!C637="N"),IF(ISERROR(INDEX('Usage Groups (&gt;120 MWh only)'!$N$8:$N$12,MATCH(C640,'Usage Groups (&gt;120 MWh only)'!$B$8:$B$12,0),1))=TRUE,SqFt/COUNTIFS(Inventory!$C$10:$C$1009,"N",$Q$13:$Q$1012,"&gt;=0"),INDEX('Usage Groups (&gt;120 MWh only)'!$N$8:$N$12,MATCH(C640,'Usage Groups (&gt;120 MWh only)'!$B$8:$B$12,0),1)/COUNTIF($C$13:$C$1012,C640)),IF(AND(NC_Type="Building Area Method",Inventory!C637="Y"),INDEX(xyNCEx,MATCH(I640,yNCExArea,0),3)/COUNTIF($I$13:$I$1012,I640),VLOOKUP(J640,xyWattage_Table,10,FALSE))),"")</f>
        <v/>
      </c>
      <c r="L640" s="539" t="str">
        <f t="shared" si="215"/>
        <v/>
      </c>
      <c r="M640" s="540">
        <f>IF(Inventory!N637="","",Inventory!N637)</f>
        <v>0</v>
      </c>
      <c r="N640" s="533" t="str">
        <f t="shared" si="216"/>
        <v/>
      </c>
      <c r="O640" s="534"/>
      <c r="P640" s="533" t="str">
        <f t="shared" si="217"/>
        <v/>
      </c>
      <c r="Q640" s="534" t="str">
        <f>IF(Inventory!L637="","",Inventory!L637)</f>
        <v/>
      </c>
      <c r="R640" s="535" t="str">
        <f t="shared" si="218"/>
        <v/>
      </c>
      <c r="S640" s="536" t="str">
        <f>IF(Inventory!O637="","",Inventory!O637)</f>
        <v/>
      </c>
      <c r="T640" s="541" t="str">
        <f>IFERROR(IF(C640="","",IF(INDEX(xyWattage_Table,MATCH(M640,'Fixture Identities'!$B$9:$B$997,0),2)="Exit Sign",8760,IF(VLOOKUP(C640,xySpace_Type_Details,8,FALSE)="TRM",INDEX('General Information'!$AF$17:$AG$28,11,MATCH(N640,'General Information'!$AF$16:$AG$16,0)),HLOOKUP(VLOOKUP(C640,xySpace_Type_Details,8,FALSE),'General Information'!$P$15:$AG$28,13,FALSE)))),"")</f>
        <v/>
      </c>
      <c r="U640" s="542" t="str">
        <f>IFERROR(IF(C640="","",IF(INDEX(xyWattage_Table,MATCH(M640,'Fixture Identities'!$B$9:$B$997,0),2)="Exit Sign",1,IF(VLOOKUP(C640,xySpace_Type_Details,8,FALSE)="TRM",INDEX('General Information'!$AF$17:$AG$28,12,MATCH(N640,'General Information'!$AF$16:$AG$16,0)),HLOOKUP(VLOOKUP(C640,xySpace_Type_Details,8,FALSE),'General Information'!$P$15:$AG$28,14,FALSE)))),"")</f>
        <v/>
      </c>
      <c r="V640" s="542" t="str">
        <f>IFERROR(VLOOKUP(INDEX(xySpace_Type_Details,MATCH($C640,'General Information'!$C$40:$C$60,0),12),Lookups!$L$8:$N$12,2,FALSE),"")</f>
        <v/>
      </c>
      <c r="W640" s="542" t="str">
        <f>IFERROR(VLOOKUP(INDEX(xySpace_Type_Details,MATCH($C640,'General Information'!$C$40:$C$60,0),12),Lookups!$L$8:$N$12,3,FALSE),"")</f>
        <v/>
      </c>
      <c r="Y640" s="542" t="str">
        <f>IFERROR(IF(C640="","",IF(INDEX(xyWattage_Table,MATCH(M640,'Fixture Identities'!$B$9:$B$997,0),2)="Exit Sign",0,IF(PRJ_Type="Retrofit",VLOOKUP(I640,xySVG_Factors,2,FALSE),IF(AND(PRJ_Type="New Construction",Inventory!C637="N"),VLOOKUP(VLOOKUP(Building_Type,xyLPD_BuildingArea,5,FALSE),xySVG_Factors_NC,3,FALSE),0)))),"")</f>
        <v/>
      </c>
      <c r="Z640" s="544" t="str">
        <f>IFERROR(IF(C640="","",IF(INDEX(xyWattage_Table,MATCH(M640,'Fixture Identities'!$B$9:$B$997,0),2)="Exit Sign",0,VLOOKUP(S640,xySVG_Factors,2,FALSE))),"")</f>
        <v/>
      </c>
      <c r="AA640" s="545" t="str">
        <f t="shared" si="219"/>
        <v/>
      </c>
      <c r="AB640" s="542" t="str">
        <f t="shared" si="220"/>
        <v/>
      </c>
      <c r="AC640" s="539" t="str">
        <f t="shared" si="221"/>
        <v/>
      </c>
      <c r="AD640" s="546" t="str">
        <f t="shared" si="222"/>
        <v/>
      </c>
      <c r="AE640" s="539" t="str">
        <f t="shared" si="223"/>
        <v/>
      </c>
      <c r="AF640" s="546" t="str">
        <f t="shared" si="224"/>
        <v/>
      </c>
      <c r="AG640" s="539" t="str">
        <f t="shared" si="225"/>
        <v/>
      </c>
      <c r="AH640" s="32">
        <f t="shared" si="227"/>
        <v>0</v>
      </c>
      <c r="AI640" s="32">
        <f t="shared" si="228"/>
        <v>0</v>
      </c>
      <c r="AJ640" s="32">
        <f t="shared" si="229"/>
        <v>0</v>
      </c>
      <c r="AK640" t="str">
        <f t="shared" si="230"/>
        <v/>
      </c>
      <c r="AL640" t="str">
        <f t="shared" si="231"/>
        <v/>
      </c>
      <c r="AM640" t="str">
        <f t="shared" si="232"/>
        <v/>
      </c>
      <c r="AO640" t="str">
        <f>IFERROR(VLOOKUP(M640,'Fixture Identities'!$B$9:$O$1045,14,FALSE),"")</f>
        <v/>
      </c>
      <c r="AP640" t="str">
        <f t="shared" si="226"/>
        <v/>
      </c>
    </row>
    <row r="641" spans="1:42">
      <c r="A641" s="71">
        <f t="shared" si="234"/>
        <v>0</v>
      </c>
      <c r="B641" s="513">
        <f t="shared" si="233"/>
        <v>629</v>
      </c>
      <c r="C641" s="530" t="str">
        <f>IF(Inventory!E638="","",Inventory!E638)</f>
        <v/>
      </c>
      <c r="D641" s="531">
        <f>IF(Inventory!D638="",0,Inventory!D638)</f>
        <v>0</v>
      </c>
      <c r="E641" s="532" t="str">
        <f>IF(Inventory!I638=0,"",Inventory!I638)</f>
        <v/>
      </c>
      <c r="F641" s="533" t="str">
        <f t="shared" si="213"/>
        <v/>
      </c>
      <c r="G641" s="534" t="str">
        <f>IF(Inventory!G638="","",Inventory!G638)</f>
        <v/>
      </c>
      <c r="H641" s="535" t="str">
        <f t="shared" si="214"/>
        <v/>
      </c>
      <c r="I641" s="536" t="str">
        <f>IF(Inventory!J638="","",Inventory!J638)</f>
        <v/>
      </c>
      <c r="J641" s="537" t="str">
        <f>IFERROR(IF(PRJ_Type="New Construction",IF(Inventory!C638="N",INDEX(xyLPD_BuildingArea,MATCH(Building_Type,Lookups!$F$37:$F$75,0),4),INDEX(xyLPD_SpaceBySpace,MATCH(INDEX(xyNCEx,MATCH(I641,yNCExArea,0),2),ySpace_by_Space_Type,0),2)),VLOOKUP(E641,xyWattage_Table,11,FALSE)),"")</f>
        <v/>
      </c>
      <c r="K641" s="538" t="str">
        <f>IFERROR(IF(AND(NC_Type="Building Area Method",Inventory!C638="N"),IF(ISERROR(INDEX('Usage Groups (&gt;120 MWh only)'!$N$8:$N$12,MATCH(C641,'Usage Groups (&gt;120 MWh only)'!$B$8:$B$12,0),1))=TRUE,SqFt/COUNTIFS(Inventory!$C$10:$C$1009,"N",$Q$13:$Q$1012,"&gt;=0"),INDEX('Usage Groups (&gt;120 MWh only)'!$N$8:$N$12,MATCH(C641,'Usage Groups (&gt;120 MWh only)'!$B$8:$B$12,0),1)/COUNTIF($C$13:$C$1012,C641)),IF(AND(NC_Type="Building Area Method",Inventory!C638="Y"),INDEX(xyNCEx,MATCH(I641,yNCExArea,0),3)/COUNTIF($I$13:$I$1012,I641),VLOOKUP(J641,xyWattage_Table,10,FALSE))),"")</f>
        <v/>
      </c>
      <c r="L641" s="539" t="str">
        <f t="shared" si="215"/>
        <v/>
      </c>
      <c r="M641" s="540">
        <f>IF(Inventory!N638="","",Inventory!N638)</f>
        <v>0</v>
      </c>
      <c r="N641" s="533" t="str">
        <f t="shared" si="216"/>
        <v/>
      </c>
      <c r="O641" s="534"/>
      <c r="P641" s="533" t="str">
        <f t="shared" si="217"/>
        <v/>
      </c>
      <c r="Q641" s="534" t="str">
        <f>IF(Inventory!L638="","",Inventory!L638)</f>
        <v/>
      </c>
      <c r="R641" s="535" t="str">
        <f t="shared" si="218"/>
        <v/>
      </c>
      <c r="S641" s="536" t="str">
        <f>IF(Inventory!O638="","",Inventory!O638)</f>
        <v/>
      </c>
      <c r="T641" s="541" t="str">
        <f>IFERROR(IF(C641="","",IF(INDEX(xyWattage_Table,MATCH(M641,'Fixture Identities'!$B$9:$B$997,0),2)="Exit Sign",8760,IF(VLOOKUP(C641,xySpace_Type_Details,8,FALSE)="TRM",INDEX('General Information'!$AF$17:$AG$28,11,MATCH(N641,'General Information'!$AF$16:$AG$16,0)),HLOOKUP(VLOOKUP(C641,xySpace_Type_Details,8,FALSE),'General Information'!$P$15:$AG$28,13,FALSE)))),"")</f>
        <v/>
      </c>
      <c r="U641" s="542" t="str">
        <f>IFERROR(IF(C641="","",IF(INDEX(xyWattage_Table,MATCH(M641,'Fixture Identities'!$B$9:$B$997,0),2)="Exit Sign",1,IF(VLOOKUP(C641,xySpace_Type_Details,8,FALSE)="TRM",INDEX('General Information'!$AF$17:$AG$28,12,MATCH(N641,'General Information'!$AF$16:$AG$16,0)),HLOOKUP(VLOOKUP(C641,xySpace_Type_Details,8,FALSE),'General Information'!$P$15:$AG$28,14,FALSE)))),"")</f>
        <v/>
      </c>
      <c r="V641" s="542" t="str">
        <f>IFERROR(VLOOKUP(INDEX(xySpace_Type_Details,MATCH($C641,'General Information'!$C$40:$C$60,0),12),Lookups!$L$8:$N$12,2,FALSE),"")</f>
        <v/>
      </c>
      <c r="W641" s="542" t="str">
        <f>IFERROR(VLOOKUP(INDEX(xySpace_Type_Details,MATCH($C641,'General Information'!$C$40:$C$60,0),12),Lookups!$L$8:$N$12,3,FALSE),"")</f>
        <v/>
      </c>
      <c r="Y641" s="542" t="str">
        <f>IFERROR(IF(C641="","",IF(INDEX(xyWattage_Table,MATCH(M641,'Fixture Identities'!$B$9:$B$997,0),2)="Exit Sign",0,IF(PRJ_Type="Retrofit",VLOOKUP(I641,xySVG_Factors,2,FALSE),IF(AND(PRJ_Type="New Construction",Inventory!C638="N"),VLOOKUP(VLOOKUP(Building_Type,xyLPD_BuildingArea,5,FALSE),xySVG_Factors_NC,3,FALSE),0)))),"")</f>
        <v/>
      </c>
      <c r="Z641" s="544" t="str">
        <f>IFERROR(IF(C641="","",IF(INDEX(xyWattage_Table,MATCH(M641,'Fixture Identities'!$B$9:$B$997,0),2)="Exit Sign",0,VLOOKUP(S641,xySVG_Factors,2,FALSE))),"")</f>
        <v/>
      </c>
      <c r="AA641" s="545" t="str">
        <f t="shared" si="219"/>
        <v/>
      </c>
      <c r="AB641" s="542" t="str">
        <f t="shared" si="220"/>
        <v/>
      </c>
      <c r="AC641" s="539" t="str">
        <f t="shared" si="221"/>
        <v/>
      </c>
      <c r="AD641" s="546" t="str">
        <f t="shared" si="222"/>
        <v/>
      </c>
      <c r="AE641" s="539" t="str">
        <f t="shared" si="223"/>
        <v/>
      </c>
      <c r="AF641" s="546" t="str">
        <f t="shared" si="224"/>
        <v/>
      </c>
      <c r="AG641" s="539" t="str">
        <f t="shared" si="225"/>
        <v/>
      </c>
      <c r="AH641" s="32">
        <f t="shared" si="227"/>
        <v>0</v>
      </c>
      <c r="AI641" s="32">
        <f t="shared" si="228"/>
        <v>0</v>
      </c>
      <c r="AJ641" s="32">
        <f t="shared" si="229"/>
        <v>0</v>
      </c>
      <c r="AK641" t="str">
        <f t="shared" si="230"/>
        <v/>
      </c>
      <c r="AL641" t="str">
        <f t="shared" si="231"/>
        <v/>
      </c>
      <c r="AM641" t="str">
        <f t="shared" si="232"/>
        <v/>
      </c>
      <c r="AO641" t="str">
        <f>IFERROR(VLOOKUP(M641,'Fixture Identities'!$B$9:$O$1045,14,FALSE),"")</f>
        <v/>
      </c>
      <c r="AP641" t="str">
        <f t="shared" si="226"/>
        <v/>
      </c>
    </row>
    <row r="642" spans="1:42">
      <c r="A642" s="71">
        <f t="shared" si="234"/>
        <v>0</v>
      </c>
      <c r="B642" s="513">
        <f t="shared" si="233"/>
        <v>630</v>
      </c>
      <c r="C642" s="530" t="str">
        <f>IF(Inventory!E639="","",Inventory!E639)</f>
        <v/>
      </c>
      <c r="D642" s="531">
        <f>IF(Inventory!D639="",0,Inventory!D639)</f>
        <v>0</v>
      </c>
      <c r="E642" s="532" t="str">
        <f>IF(Inventory!I639=0,"",Inventory!I639)</f>
        <v/>
      </c>
      <c r="F642" s="533" t="str">
        <f t="shared" si="213"/>
        <v/>
      </c>
      <c r="G642" s="534" t="str">
        <f>IF(Inventory!G639="","",Inventory!G639)</f>
        <v/>
      </c>
      <c r="H642" s="535" t="str">
        <f t="shared" si="214"/>
        <v/>
      </c>
      <c r="I642" s="536" t="str">
        <f>IF(Inventory!J639="","",Inventory!J639)</f>
        <v/>
      </c>
      <c r="J642" s="537" t="str">
        <f>IFERROR(IF(PRJ_Type="New Construction",IF(Inventory!C639="N",INDEX(xyLPD_BuildingArea,MATCH(Building_Type,Lookups!$F$37:$F$75,0),4),INDEX(xyLPD_SpaceBySpace,MATCH(INDEX(xyNCEx,MATCH(I642,yNCExArea,0),2),ySpace_by_Space_Type,0),2)),VLOOKUP(E642,xyWattage_Table,11,FALSE)),"")</f>
        <v/>
      </c>
      <c r="K642" s="538" t="str">
        <f>IFERROR(IF(AND(NC_Type="Building Area Method",Inventory!C639="N"),IF(ISERROR(INDEX('Usage Groups (&gt;120 MWh only)'!$N$8:$N$12,MATCH(C642,'Usage Groups (&gt;120 MWh only)'!$B$8:$B$12,0),1))=TRUE,SqFt/COUNTIFS(Inventory!$C$10:$C$1009,"N",$Q$13:$Q$1012,"&gt;=0"),INDEX('Usage Groups (&gt;120 MWh only)'!$N$8:$N$12,MATCH(C642,'Usage Groups (&gt;120 MWh only)'!$B$8:$B$12,0),1)/COUNTIF($C$13:$C$1012,C642)),IF(AND(NC_Type="Building Area Method",Inventory!C639="Y"),INDEX(xyNCEx,MATCH(I642,yNCExArea,0),3)/COUNTIF($I$13:$I$1012,I642),VLOOKUP(J642,xyWattage_Table,10,FALSE))),"")</f>
        <v/>
      </c>
      <c r="L642" s="539" t="str">
        <f t="shared" si="215"/>
        <v/>
      </c>
      <c r="M642" s="540">
        <f>IF(Inventory!N639="","",Inventory!N639)</f>
        <v>0</v>
      </c>
      <c r="N642" s="533" t="str">
        <f t="shared" si="216"/>
        <v/>
      </c>
      <c r="O642" s="534"/>
      <c r="P642" s="533" t="str">
        <f t="shared" si="217"/>
        <v/>
      </c>
      <c r="Q642" s="534" t="str">
        <f>IF(Inventory!L639="","",Inventory!L639)</f>
        <v/>
      </c>
      <c r="R642" s="535" t="str">
        <f t="shared" si="218"/>
        <v/>
      </c>
      <c r="S642" s="536" t="str">
        <f>IF(Inventory!O639="","",Inventory!O639)</f>
        <v/>
      </c>
      <c r="T642" s="541" t="str">
        <f>IFERROR(IF(C642="","",IF(INDEX(xyWattage_Table,MATCH(M642,'Fixture Identities'!$B$9:$B$997,0),2)="Exit Sign",8760,IF(VLOOKUP(C642,xySpace_Type_Details,8,FALSE)="TRM",INDEX('General Information'!$AF$17:$AG$28,11,MATCH(N642,'General Information'!$AF$16:$AG$16,0)),HLOOKUP(VLOOKUP(C642,xySpace_Type_Details,8,FALSE),'General Information'!$P$15:$AG$28,13,FALSE)))),"")</f>
        <v/>
      </c>
      <c r="U642" s="542" t="str">
        <f>IFERROR(IF(C642="","",IF(INDEX(xyWattage_Table,MATCH(M642,'Fixture Identities'!$B$9:$B$997,0),2)="Exit Sign",1,IF(VLOOKUP(C642,xySpace_Type_Details,8,FALSE)="TRM",INDEX('General Information'!$AF$17:$AG$28,12,MATCH(N642,'General Information'!$AF$16:$AG$16,0)),HLOOKUP(VLOOKUP(C642,xySpace_Type_Details,8,FALSE),'General Information'!$P$15:$AG$28,14,FALSE)))),"")</f>
        <v/>
      </c>
      <c r="V642" s="542" t="str">
        <f>IFERROR(VLOOKUP(INDEX(xySpace_Type_Details,MATCH($C642,'General Information'!$C$40:$C$60,0),12),Lookups!$L$8:$N$12,2,FALSE),"")</f>
        <v/>
      </c>
      <c r="W642" s="542" t="str">
        <f>IFERROR(VLOOKUP(INDEX(xySpace_Type_Details,MATCH($C642,'General Information'!$C$40:$C$60,0),12),Lookups!$L$8:$N$12,3,FALSE),"")</f>
        <v/>
      </c>
      <c r="Y642" s="542" t="str">
        <f>IFERROR(IF(C642="","",IF(INDEX(xyWattage_Table,MATCH(M642,'Fixture Identities'!$B$9:$B$997,0),2)="Exit Sign",0,IF(PRJ_Type="Retrofit",VLOOKUP(I642,xySVG_Factors,2,FALSE),IF(AND(PRJ_Type="New Construction",Inventory!C639="N"),VLOOKUP(VLOOKUP(Building_Type,xyLPD_BuildingArea,5,FALSE),xySVG_Factors_NC,3,FALSE),0)))),"")</f>
        <v/>
      </c>
      <c r="Z642" s="544" t="str">
        <f>IFERROR(IF(C642="","",IF(INDEX(xyWattage_Table,MATCH(M642,'Fixture Identities'!$B$9:$B$997,0),2)="Exit Sign",0,VLOOKUP(S642,xySVG_Factors,2,FALSE))),"")</f>
        <v/>
      </c>
      <c r="AA642" s="545" t="str">
        <f t="shared" si="219"/>
        <v/>
      </c>
      <c r="AB642" s="542" t="str">
        <f t="shared" si="220"/>
        <v/>
      </c>
      <c r="AC642" s="539" t="str">
        <f t="shared" si="221"/>
        <v/>
      </c>
      <c r="AD642" s="546" t="str">
        <f t="shared" si="222"/>
        <v/>
      </c>
      <c r="AE642" s="539" t="str">
        <f t="shared" si="223"/>
        <v/>
      </c>
      <c r="AF642" s="546" t="str">
        <f t="shared" si="224"/>
        <v/>
      </c>
      <c r="AG642" s="539" t="str">
        <f t="shared" si="225"/>
        <v/>
      </c>
      <c r="AH642" s="32">
        <f t="shared" si="227"/>
        <v>0</v>
      </c>
      <c r="AI642" s="32">
        <f t="shared" si="228"/>
        <v>0</v>
      </c>
      <c r="AJ642" s="32">
        <f t="shared" si="229"/>
        <v>0</v>
      </c>
      <c r="AK642" t="str">
        <f t="shared" si="230"/>
        <v/>
      </c>
      <c r="AL642" t="str">
        <f t="shared" si="231"/>
        <v/>
      </c>
      <c r="AM642" t="str">
        <f t="shared" si="232"/>
        <v/>
      </c>
      <c r="AO642" t="str">
        <f>IFERROR(VLOOKUP(M642,'Fixture Identities'!$B$9:$O$1045,14,FALSE),"")</f>
        <v/>
      </c>
      <c r="AP642" t="str">
        <f t="shared" si="226"/>
        <v/>
      </c>
    </row>
    <row r="643" spans="1:42">
      <c r="A643" s="71">
        <f t="shared" si="234"/>
        <v>0</v>
      </c>
      <c r="B643" s="513">
        <f t="shared" si="233"/>
        <v>631</v>
      </c>
      <c r="C643" s="530" t="str">
        <f>IF(Inventory!E640="","",Inventory!E640)</f>
        <v/>
      </c>
      <c r="D643" s="531">
        <f>IF(Inventory!D640="",0,Inventory!D640)</f>
        <v>0</v>
      </c>
      <c r="E643" s="532" t="str">
        <f>IF(Inventory!I640=0,"",Inventory!I640)</f>
        <v/>
      </c>
      <c r="F643" s="533" t="str">
        <f t="shared" si="213"/>
        <v/>
      </c>
      <c r="G643" s="534" t="str">
        <f>IF(Inventory!G640="","",Inventory!G640)</f>
        <v/>
      </c>
      <c r="H643" s="535" t="str">
        <f t="shared" si="214"/>
        <v/>
      </c>
      <c r="I643" s="536" t="str">
        <f>IF(Inventory!J640="","",Inventory!J640)</f>
        <v/>
      </c>
      <c r="J643" s="537" t="str">
        <f>IFERROR(IF(PRJ_Type="New Construction",IF(Inventory!C640="N",INDEX(xyLPD_BuildingArea,MATCH(Building_Type,Lookups!$F$37:$F$75,0),4),INDEX(xyLPD_SpaceBySpace,MATCH(INDEX(xyNCEx,MATCH(I643,yNCExArea,0),2),ySpace_by_Space_Type,0),2)),VLOOKUP(E643,xyWattage_Table,11,FALSE)),"")</f>
        <v/>
      </c>
      <c r="K643" s="538" t="str">
        <f>IFERROR(IF(AND(NC_Type="Building Area Method",Inventory!C640="N"),IF(ISERROR(INDEX('Usage Groups (&gt;120 MWh only)'!$N$8:$N$12,MATCH(C643,'Usage Groups (&gt;120 MWh only)'!$B$8:$B$12,0),1))=TRUE,SqFt/COUNTIFS(Inventory!$C$10:$C$1009,"N",$Q$13:$Q$1012,"&gt;=0"),INDEX('Usage Groups (&gt;120 MWh only)'!$N$8:$N$12,MATCH(C643,'Usage Groups (&gt;120 MWh only)'!$B$8:$B$12,0),1)/COUNTIF($C$13:$C$1012,C643)),IF(AND(NC_Type="Building Area Method",Inventory!C640="Y"),INDEX(xyNCEx,MATCH(I643,yNCExArea,0),3)/COUNTIF($I$13:$I$1012,I643),VLOOKUP(J643,xyWattage_Table,10,FALSE))),"")</f>
        <v/>
      </c>
      <c r="L643" s="539" t="str">
        <f t="shared" si="215"/>
        <v/>
      </c>
      <c r="M643" s="540">
        <f>IF(Inventory!N640="","",Inventory!N640)</f>
        <v>0</v>
      </c>
      <c r="N643" s="533" t="str">
        <f t="shared" si="216"/>
        <v/>
      </c>
      <c r="O643" s="534"/>
      <c r="P643" s="533" t="str">
        <f t="shared" si="217"/>
        <v/>
      </c>
      <c r="Q643" s="534" t="str">
        <f>IF(Inventory!L640="","",Inventory!L640)</f>
        <v/>
      </c>
      <c r="R643" s="535" t="str">
        <f t="shared" si="218"/>
        <v/>
      </c>
      <c r="S643" s="536" t="str">
        <f>IF(Inventory!O640="","",Inventory!O640)</f>
        <v/>
      </c>
      <c r="T643" s="541" t="str">
        <f>IFERROR(IF(C643="","",IF(INDEX(xyWattage_Table,MATCH(M643,'Fixture Identities'!$B$9:$B$997,0),2)="Exit Sign",8760,IF(VLOOKUP(C643,xySpace_Type_Details,8,FALSE)="TRM",INDEX('General Information'!$AF$17:$AG$28,11,MATCH(N643,'General Information'!$AF$16:$AG$16,0)),HLOOKUP(VLOOKUP(C643,xySpace_Type_Details,8,FALSE),'General Information'!$P$15:$AG$28,13,FALSE)))),"")</f>
        <v/>
      </c>
      <c r="U643" s="542" t="str">
        <f>IFERROR(IF(C643="","",IF(INDEX(xyWattage_Table,MATCH(M643,'Fixture Identities'!$B$9:$B$997,0),2)="Exit Sign",1,IF(VLOOKUP(C643,xySpace_Type_Details,8,FALSE)="TRM",INDEX('General Information'!$AF$17:$AG$28,12,MATCH(N643,'General Information'!$AF$16:$AG$16,0)),HLOOKUP(VLOOKUP(C643,xySpace_Type_Details,8,FALSE),'General Information'!$P$15:$AG$28,14,FALSE)))),"")</f>
        <v/>
      </c>
      <c r="V643" s="542" t="str">
        <f>IFERROR(VLOOKUP(INDEX(xySpace_Type_Details,MATCH($C643,'General Information'!$C$40:$C$60,0),12),Lookups!$L$8:$N$12,2,FALSE),"")</f>
        <v/>
      </c>
      <c r="W643" s="542" t="str">
        <f>IFERROR(VLOOKUP(INDEX(xySpace_Type_Details,MATCH($C643,'General Information'!$C$40:$C$60,0),12),Lookups!$L$8:$N$12,3,FALSE),"")</f>
        <v/>
      </c>
      <c r="Y643" s="542" t="str">
        <f>IFERROR(IF(C643="","",IF(INDEX(xyWattage_Table,MATCH(M643,'Fixture Identities'!$B$9:$B$997,0),2)="Exit Sign",0,IF(PRJ_Type="Retrofit",VLOOKUP(I643,xySVG_Factors,2,FALSE),IF(AND(PRJ_Type="New Construction",Inventory!C640="N"),VLOOKUP(VLOOKUP(Building_Type,xyLPD_BuildingArea,5,FALSE),xySVG_Factors_NC,3,FALSE),0)))),"")</f>
        <v/>
      </c>
      <c r="Z643" s="544" t="str">
        <f>IFERROR(IF(C643="","",IF(INDEX(xyWattage_Table,MATCH(M643,'Fixture Identities'!$B$9:$B$997,0),2)="Exit Sign",0,VLOOKUP(S643,xySVG_Factors,2,FALSE))),"")</f>
        <v/>
      </c>
      <c r="AA643" s="545" t="str">
        <f t="shared" si="219"/>
        <v/>
      </c>
      <c r="AB643" s="542" t="str">
        <f t="shared" si="220"/>
        <v/>
      </c>
      <c r="AC643" s="539" t="str">
        <f t="shared" si="221"/>
        <v/>
      </c>
      <c r="AD643" s="546" t="str">
        <f t="shared" si="222"/>
        <v/>
      </c>
      <c r="AE643" s="539" t="str">
        <f t="shared" si="223"/>
        <v/>
      </c>
      <c r="AF643" s="546" t="str">
        <f t="shared" si="224"/>
        <v/>
      </c>
      <c r="AG643" s="539" t="str">
        <f t="shared" si="225"/>
        <v/>
      </c>
      <c r="AH643" s="32">
        <f t="shared" si="227"/>
        <v>0</v>
      </c>
      <c r="AI643" s="32">
        <f t="shared" si="228"/>
        <v>0</v>
      </c>
      <c r="AJ643" s="32">
        <f t="shared" si="229"/>
        <v>0</v>
      </c>
      <c r="AK643" t="str">
        <f t="shared" si="230"/>
        <v/>
      </c>
      <c r="AL643" t="str">
        <f t="shared" si="231"/>
        <v/>
      </c>
      <c r="AM643" t="str">
        <f t="shared" si="232"/>
        <v/>
      </c>
      <c r="AO643" t="str">
        <f>IFERROR(VLOOKUP(M643,'Fixture Identities'!$B$9:$O$1045,14,FALSE),"")</f>
        <v/>
      </c>
      <c r="AP643" t="str">
        <f t="shared" si="226"/>
        <v/>
      </c>
    </row>
    <row r="644" spans="1:42">
      <c r="A644" s="71">
        <f t="shared" si="234"/>
        <v>0</v>
      </c>
      <c r="B644" s="513">
        <f t="shared" si="233"/>
        <v>632</v>
      </c>
      <c r="C644" s="530" t="str">
        <f>IF(Inventory!E641="","",Inventory!E641)</f>
        <v/>
      </c>
      <c r="D644" s="531">
        <f>IF(Inventory!D641="",0,Inventory!D641)</f>
        <v>0</v>
      </c>
      <c r="E644" s="532" t="str">
        <f>IF(Inventory!I641=0,"",Inventory!I641)</f>
        <v/>
      </c>
      <c r="F644" s="533" t="str">
        <f t="shared" si="213"/>
        <v/>
      </c>
      <c r="G644" s="534" t="str">
        <f>IF(Inventory!G641="","",Inventory!G641)</f>
        <v/>
      </c>
      <c r="H644" s="535" t="str">
        <f t="shared" si="214"/>
        <v/>
      </c>
      <c r="I644" s="536" t="str">
        <f>IF(Inventory!J641="","",Inventory!J641)</f>
        <v/>
      </c>
      <c r="J644" s="537" t="str">
        <f>IFERROR(IF(PRJ_Type="New Construction",IF(Inventory!C641="N",INDEX(xyLPD_BuildingArea,MATCH(Building_Type,Lookups!$F$37:$F$75,0),4),INDEX(xyLPD_SpaceBySpace,MATCH(INDEX(xyNCEx,MATCH(I644,yNCExArea,0),2),ySpace_by_Space_Type,0),2)),VLOOKUP(E644,xyWattage_Table,11,FALSE)),"")</f>
        <v/>
      </c>
      <c r="K644" s="538" t="str">
        <f>IFERROR(IF(AND(NC_Type="Building Area Method",Inventory!C641="N"),IF(ISERROR(INDEX('Usage Groups (&gt;120 MWh only)'!$N$8:$N$12,MATCH(C644,'Usage Groups (&gt;120 MWh only)'!$B$8:$B$12,0),1))=TRUE,SqFt/COUNTIFS(Inventory!$C$10:$C$1009,"N",$Q$13:$Q$1012,"&gt;=0"),INDEX('Usage Groups (&gt;120 MWh only)'!$N$8:$N$12,MATCH(C644,'Usage Groups (&gt;120 MWh only)'!$B$8:$B$12,0),1)/COUNTIF($C$13:$C$1012,C644)),IF(AND(NC_Type="Building Area Method",Inventory!C641="Y"),INDEX(xyNCEx,MATCH(I644,yNCExArea,0),3)/COUNTIF($I$13:$I$1012,I644),VLOOKUP(J644,xyWattage_Table,10,FALSE))),"")</f>
        <v/>
      </c>
      <c r="L644" s="539" t="str">
        <f t="shared" si="215"/>
        <v/>
      </c>
      <c r="M644" s="540">
        <f>IF(Inventory!N641="","",Inventory!N641)</f>
        <v>0</v>
      </c>
      <c r="N644" s="533" t="str">
        <f t="shared" si="216"/>
        <v/>
      </c>
      <c r="O644" s="534"/>
      <c r="P644" s="533" t="str">
        <f t="shared" si="217"/>
        <v/>
      </c>
      <c r="Q644" s="534" t="str">
        <f>IF(Inventory!L641="","",Inventory!L641)</f>
        <v/>
      </c>
      <c r="R644" s="535" t="str">
        <f t="shared" si="218"/>
        <v/>
      </c>
      <c r="S644" s="536" t="str">
        <f>IF(Inventory!O641="","",Inventory!O641)</f>
        <v/>
      </c>
      <c r="T644" s="541" t="str">
        <f>IFERROR(IF(C644="","",IF(INDEX(xyWattage_Table,MATCH(M644,'Fixture Identities'!$B$9:$B$997,0),2)="Exit Sign",8760,IF(VLOOKUP(C644,xySpace_Type_Details,8,FALSE)="TRM",INDEX('General Information'!$AF$17:$AG$28,11,MATCH(N644,'General Information'!$AF$16:$AG$16,0)),HLOOKUP(VLOOKUP(C644,xySpace_Type_Details,8,FALSE),'General Information'!$P$15:$AG$28,13,FALSE)))),"")</f>
        <v/>
      </c>
      <c r="U644" s="542" t="str">
        <f>IFERROR(IF(C644="","",IF(INDEX(xyWattage_Table,MATCH(M644,'Fixture Identities'!$B$9:$B$997,0),2)="Exit Sign",1,IF(VLOOKUP(C644,xySpace_Type_Details,8,FALSE)="TRM",INDEX('General Information'!$AF$17:$AG$28,12,MATCH(N644,'General Information'!$AF$16:$AG$16,0)),HLOOKUP(VLOOKUP(C644,xySpace_Type_Details,8,FALSE),'General Information'!$P$15:$AG$28,14,FALSE)))),"")</f>
        <v/>
      </c>
      <c r="V644" s="542" t="str">
        <f>IFERROR(VLOOKUP(INDEX(xySpace_Type_Details,MATCH($C644,'General Information'!$C$40:$C$60,0),12),Lookups!$L$8:$N$12,2,FALSE),"")</f>
        <v/>
      </c>
      <c r="W644" s="542" t="str">
        <f>IFERROR(VLOOKUP(INDEX(xySpace_Type_Details,MATCH($C644,'General Information'!$C$40:$C$60,0),12),Lookups!$L$8:$N$12,3,FALSE),"")</f>
        <v/>
      </c>
      <c r="Y644" s="542" t="str">
        <f>IFERROR(IF(C644="","",IF(INDEX(xyWattage_Table,MATCH(M644,'Fixture Identities'!$B$9:$B$997,0),2)="Exit Sign",0,IF(PRJ_Type="Retrofit",VLOOKUP(I644,xySVG_Factors,2,FALSE),IF(AND(PRJ_Type="New Construction",Inventory!C641="N"),VLOOKUP(VLOOKUP(Building_Type,xyLPD_BuildingArea,5,FALSE),xySVG_Factors_NC,3,FALSE),0)))),"")</f>
        <v/>
      </c>
      <c r="Z644" s="544" t="str">
        <f>IFERROR(IF(C644="","",IF(INDEX(xyWattage_Table,MATCH(M644,'Fixture Identities'!$B$9:$B$997,0),2)="Exit Sign",0,VLOOKUP(S644,xySVG_Factors,2,FALSE))),"")</f>
        <v/>
      </c>
      <c r="AA644" s="545" t="str">
        <f t="shared" si="219"/>
        <v/>
      </c>
      <c r="AB644" s="542" t="str">
        <f t="shared" si="220"/>
        <v/>
      </c>
      <c r="AC644" s="539" t="str">
        <f t="shared" si="221"/>
        <v/>
      </c>
      <c r="AD644" s="546" t="str">
        <f t="shared" si="222"/>
        <v/>
      </c>
      <c r="AE644" s="539" t="str">
        <f t="shared" si="223"/>
        <v/>
      </c>
      <c r="AF644" s="546" t="str">
        <f t="shared" si="224"/>
        <v/>
      </c>
      <c r="AG644" s="539" t="str">
        <f t="shared" si="225"/>
        <v/>
      </c>
      <c r="AH644" s="32">
        <f t="shared" si="227"/>
        <v>0</v>
      </c>
      <c r="AI644" s="32">
        <f t="shared" si="228"/>
        <v>0</v>
      </c>
      <c r="AJ644" s="32">
        <f t="shared" si="229"/>
        <v>0</v>
      </c>
      <c r="AK644" t="str">
        <f t="shared" si="230"/>
        <v/>
      </c>
      <c r="AL644" t="str">
        <f t="shared" si="231"/>
        <v/>
      </c>
      <c r="AM644" t="str">
        <f t="shared" si="232"/>
        <v/>
      </c>
      <c r="AO644" t="str">
        <f>IFERROR(VLOOKUP(M644,'Fixture Identities'!$B$9:$O$1045,14,FALSE),"")</f>
        <v/>
      </c>
      <c r="AP644" t="str">
        <f t="shared" si="226"/>
        <v/>
      </c>
    </row>
    <row r="645" spans="1:42">
      <c r="A645" s="71">
        <f t="shared" si="234"/>
        <v>0</v>
      </c>
      <c r="B645" s="513">
        <f t="shared" si="233"/>
        <v>633</v>
      </c>
      <c r="C645" s="530" t="str">
        <f>IF(Inventory!E642="","",Inventory!E642)</f>
        <v/>
      </c>
      <c r="D645" s="531">
        <f>IF(Inventory!D642="",0,Inventory!D642)</f>
        <v>0</v>
      </c>
      <c r="E645" s="532" t="str">
        <f>IF(Inventory!I642=0,"",Inventory!I642)</f>
        <v/>
      </c>
      <c r="F645" s="533" t="str">
        <f t="shared" si="213"/>
        <v/>
      </c>
      <c r="G645" s="534" t="str">
        <f>IF(Inventory!G642="","",Inventory!G642)</f>
        <v/>
      </c>
      <c r="H645" s="535" t="str">
        <f t="shared" si="214"/>
        <v/>
      </c>
      <c r="I645" s="536" t="str">
        <f>IF(Inventory!J642="","",Inventory!J642)</f>
        <v/>
      </c>
      <c r="J645" s="537" t="str">
        <f>IFERROR(IF(PRJ_Type="New Construction",IF(Inventory!C642="N",INDEX(xyLPD_BuildingArea,MATCH(Building_Type,Lookups!$F$37:$F$75,0),4),INDEX(xyLPD_SpaceBySpace,MATCH(INDEX(xyNCEx,MATCH(I645,yNCExArea,0),2),ySpace_by_Space_Type,0),2)),VLOOKUP(E645,xyWattage_Table,11,FALSE)),"")</f>
        <v/>
      </c>
      <c r="K645" s="538" t="str">
        <f>IFERROR(IF(AND(NC_Type="Building Area Method",Inventory!C642="N"),IF(ISERROR(INDEX('Usage Groups (&gt;120 MWh only)'!$N$8:$N$12,MATCH(C645,'Usage Groups (&gt;120 MWh only)'!$B$8:$B$12,0),1))=TRUE,SqFt/COUNTIFS(Inventory!$C$10:$C$1009,"N",$Q$13:$Q$1012,"&gt;=0"),INDEX('Usage Groups (&gt;120 MWh only)'!$N$8:$N$12,MATCH(C645,'Usage Groups (&gt;120 MWh only)'!$B$8:$B$12,0),1)/COUNTIF($C$13:$C$1012,C645)),IF(AND(NC_Type="Building Area Method",Inventory!C642="Y"),INDEX(xyNCEx,MATCH(I645,yNCExArea,0),3)/COUNTIF($I$13:$I$1012,I645),VLOOKUP(J645,xyWattage_Table,10,FALSE))),"")</f>
        <v/>
      </c>
      <c r="L645" s="539" t="str">
        <f t="shared" si="215"/>
        <v/>
      </c>
      <c r="M645" s="540">
        <f>IF(Inventory!N642="","",Inventory!N642)</f>
        <v>0</v>
      </c>
      <c r="N645" s="533" t="str">
        <f t="shared" si="216"/>
        <v/>
      </c>
      <c r="O645" s="534"/>
      <c r="P645" s="533" t="str">
        <f t="shared" si="217"/>
        <v/>
      </c>
      <c r="Q645" s="534" t="str">
        <f>IF(Inventory!L642="","",Inventory!L642)</f>
        <v/>
      </c>
      <c r="R645" s="535" t="str">
        <f t="shared" si="218"/>
        <v/>
      </c>
      <c r="S645" s="536" t="str">
        <f>IF(Inventory!O642="","",Inventory!O642)</f>
        <v/>
      </c>
      <c r="T645" s="541" t="str">
        <f>IFERROR(IF(C645="","",IF(INDEX(xyWattage_Table,MATCH(M645,'Fixture Identities'!$B$9:$B$997,0),2)="Exit Sign",8760,IF(VLOOKUP(C645,xySpace_Type_Details,8,FALSE)="TRM",INDEX('General Information'!$AF$17:$AG$28,11,MATCH(N645,'General Information'!$AF$16:$AG$16,0)),HLOOKUP(VLOOKUP(C645,xySpace_Type_Details,8,FALSE),'General Information'!$P$15:$AG$28,13,FALSE)))),"")</f>
        <v/>
      </c>
      <c r="U645" s="542" t="str">
        <f>IFERROR(IF(C645="","",IF(INDEX(xyWattage_Table,MATCH(M645,'Fixture Identities'!$B$9:$B$997,0),2)="Exit Sign",1,IF(VLOOKUP(C645,xySpace_Type_Details,8,FALSE)="TRM",INDEX('General Information'!$AF$17:$AG$28,12,MATCH(N645,'General Information'!$AF$16:$AG$16,0)),HLOOKUP(VLOOKUP(C645,xySpace_Type_Details,8,FALSE),'General Information'!$P$15:$AG$28,14,FALSE)))),"")</f>
        <v/>
      </c>
      <c r="V645" s="542" t="str">
        <f>IFERROR(VLOOKUP(INDEX(xySpace_Type_Details,MATCH($C645,'General Information'!$C$40:$C$60,0),12),Lookups!$L$8:$N$12,2,FALSE),"")</f>
        <v/>
      </c>
      <c r="W645" s="542" t="str">
        <f>IFERROR(VLOOKUP(INDEX(xySpace_Type_Details,MATCH($C645,'General Information'!$C$40:$C$60,0),12),Lookups!$L$8:$N$12,3,FALSE),"")</f>
        <v/>
      </c>
      <c r="Y645" s="542" t="str">
        <f>IFERROR(IF(C645="","",IF(INDEX(xyWattage_Table,MATCH(M645,'Fixture Identities'!$B$9:$B$997,0),2)="Exit Sign",0,IF(PRJ_Type="Retrofit",VLOOKUP(I645,xySVG_Factors,2,FALSE),IF(AND(PRJ_Type="New Construction",Inventory!C642="N"),VLOOKUP(VLOOKUP(Building_Type,xyLPD_BuildingArea,5,FALSE),xySVG_Factors_NC,3,FALSE),0)))),"")</f>
        <v/>
      </c>
      <c r="Z645" s="544" t="str">
        <f>IFERROR(IF(C645="","",IF(INDEX(xyWattage_Table,MATCH(M645,'Fixture Identities'!$B$9:$B$997,0),2)="Exit Sign",0,VLOOKUP(S645,xySVG_Factors,2,FALSE))),"")</f>
        <v/>
      </c>
      <c r="AA645" s="545" t="str">
        <f t="shared" si="219"/>
        <v/>
      </c>
      <c r="AB645" s="542" t="str">
        <f t="shared" si="220"/>
        <v/>
      </c>
      <c r="AC645" s="539" t="str">
        <f t="shared" si="221"/>
        <v/>
      </c>
      <c r="AD645" s="546" t="str">
        <f t="shared" si="222"/>
        <v/>
      </c>
      <c r="AE645" s="539" t="str">
        <f t="shared" si="223"/>
        <v/>
      </c>
      <c r="AF645" s="546" t="str">
        <f t="shared" si="224"/>
        <v/>
      </c>
      <c r="AG645" s="539" t="str">
        <f t="shared" si="225"/>
        <v/>
      </c>
      <c r="AH645" s="32">
        <f t="shared" si="227"/>
        <v>0</v>
      </c>
      <c r="AI645" s="32">
        <f t="shared" si="228"/>
        <v>0</v>
      </c>
      <c r="AJ645" s="32">
        <f t="shared" si="229"/>
        <v>0</v>
      </c>
      <c r="AK645" t="str">
        <f t="shared" si="230"/>
        <v/>
      </c>
      <c r="AL645" t="str">
        <f t="shared" si="231"/>
        <v/>
      </c>
      <c r="AM645" t="str">
        <f t="shared" si="232"/>
        <v/>
      </c>
      <c r="AO645" t="str">
        <f>IFERROR(VLOOKUP(M645,'Fixture Identities'!$B$9:$O$1045,14,FALSE),"")</f>
        <v/>
      </c>
      <c r="AP645" t="str">
        <f t="shared" si="226"/>
        <v/>
      </c>
    </row>
    <row r="646" spans="1:42">
      <c r="A646" s="71">
        <f t="shared" si="234"/>
        <v>0</v>
      </c>
      <c r="B646" s="513">
        <f t="shared" si="233"/>
        <v>634</v>
      </c>
      <c r="C646" s="530" t="str">
        <f>IF(Inventory!E643="","",Inventory!E643)</f>
        <v/>
      </c>
      <c r="D646" s="531">
        <f>IF(Inventory!D643="",0,Inventory!D643)</f>
        <v>0</v>
      </c>
      <c r="E646" s="532" t="str">
        <f>IF(Inventory!I643=0,"",Inventory!I643)</f>
        <v/>
      </c>
      <c r="F646" s="533" t="str">
        <f t="shared" si="213"/>
        <v/>
      </c>
      <c r="G646" s="534" t="str">
        <f>IF(Inventory!G643="","",Inventory!G643)</f>
        <v/>
      </c>
      <c r="H646" s="535" t="str">
        <f t="shared" si="214"/>
        <v/>
      </c>
      <c r="I646" s="536" t="str">
        <f>IF(Inventory!J643="","",Inventory!J643)</f>
        <v/>
      </c>
      <c r="J646" s="537" t="str">
        <f>IFERROR(IF(PRJ_Type="New Construction",IF(Inventory!C643="N",INDEX(xyLPD_BuildingArea,MATCH(Building_Type,Lookups!$F$37:$F$75,0),4),INDEX(xyLPD_SpaceBySpace,MATCH(INDEX(xyNCEx,MATCH(I646,yNCExArea,0),2),ySpace_by_Space_Type,0),2)),VLOOKUP(E646,xyWattage_Table,11,FALSE)),"")</f>
        <v/>
      </c>
      <c r="K646" s="538" t="str">
        <f>IFERROR(IF(AND(NC_Type="Building Area Method",Inventory!C643="N"),IF(ISERROR(INDEX('Usage Groups (&gt;120 MWh only)'!$N$8:$N$12,MATCH(C646,'Usage Groups (&gt;120 MWh only)'!$B$8:$B$12,0),1))=TRUE,SqFt/COUNTIFS(Inventory!$C$10:$C$1009,"N",$Q$13:$Q$1012,"&gt;=0"),INDEX('Usage Groups (&gt;120 MWh only)'!$N$8:$N$12,MATCH(C646,'Usage Groups (&gt;120 MWh only)'!$B$8:$B$12,0),1)/COUNTIF($C$13:$C$1012,C646)),IF(AND(NC_Type="Building Area Method",Inventory!C643="Y"),INDEX(xyNCEx,MATCH(I646,yNCExArea,0),3)/COUNTIF($I$13:$I$1012,I646),VLOOKUP(J646,xyWattage_Table,10,FALSE))),"")</f>
        <v/>
      </c>
      <c r="L646" s="539" t="str">
        <f t="shared" si="215"/>
        <v/>
      </c>
      <c r="M646" s="540">
        <f>IF(Inventory!N643="","",Inventory!N643)</f>
        <v>0</v>
      </c>
      <c r="N646" s="533" t="str">
        <f t="shared" si="216"/>
        <v/>
      </c>
      <c r="O646" s="534"/>
      <c r="P646" s="533" t="str">
        <f t="shared" si="217"/>
        <v/>
      </c>
      <c r="Q646" s="534" t="str">
        <f>IF(Inventory!L643="","",Inventory!L643)</f>
        <v/>
      </c>
      <c r="R646" s="535" t="str">
        <f t="shared" si="218"/>
        <v/>
      </c>
      <c r="S646" s="536" t="str">
        <f>IF(Inventory!O643="","",Inventory!O643)</f>
        <v/>
      </c>
      <c r="T646" s="541" t="str">
        <f>IFERROR(IF(C646="","",IF(INDEX(xyWattage_Table,MATCH(M646,'Fixture Identities'!$B$9:$B$997,0),2)="Exit Sign",8760,IF(VLOOKUP(C646,xySpace_Type_Details,8,FALSE)="TRM",INDEX('General Information'!$AF$17:$AG$28,11,MATCH(N646,'General Information'!$AF$16:$AG$16,0)),HLOOKUP(VLOOKUP(C646,xySpace_Type_Details,8,FALSE),'General Information'!$P$15:$AG$28,13,FALSE)))),"")</f>
        <v/>
      </c>
      <c r="U646" s="542" t="str">
        <f>IFERROR(IF(C646="","",IF(INDEX(xyWattage_Table,MATCH(M646,'Fixture Identities'!$B$9:$B$997,0),2)="Exit Sign",1,IF(VLOOKUP(C646,xySpace_Type_Details,8,FALSE)="TRM",INDEX('General Information'!$AF$17:$AG$28,12,MATCH(N646,'General Information'!$AF$16:$AG$16,0)),HLOOKUP(VLOOKUP(C646,xySpace_Type_Details,8,FALSE),'General Information'!$P$15:$AG$28,14,FALSE)))),"")</f>
        <v/>
      </c>
      <c r="V646" s="542" t="str">
        <f>IFERROR(VLOOKUP(INDEX(xySpace_Type_Details,MATCH($C646,'General Information'!$C$40:$C$60,0),12),Lookups!$L$8:$N$12,2,FALSE),"")</f>
        <v/>
      </c>
      <c r="W646" s="542" t="str">
        <f>IFERROR(VLOOKUP(INDEX(xySpace_Type_Details,MATCH($C646,'General Information'!$C$40:$C$60,0),12),Lookups!$L$8:$N$12,3,FALSE),"")</f>
        <v/>
      </c>
      <c r="Y646" s="542" t="str">
        <f>IFERROR(IF(C646="","",IF(INDEX(xyWattage_Table,MATCH(M646,'Fixture Identities'!$B$9:$B$997,0),2)="Exit Sign",0,IF(PRJ_Type="Retrofit",VLOOKUP(I646,xySVG_Factors,2,FALSE),IF(AND(PRJ_Type="New Construction",Inventory!C643="N"),VLOOKUP(VLOOKUP(Building_Type,xyLPD_BuildingArea,5,FALSE),xySVG_Factors_NC,3,FALSE),0)))),"")</f>
        <v/>
      </c>
      <c r="Z646" s="544" t="str">
        <f>IFERROR(IF(C646="","",IF(INDEX(xyWattage_Table,MATCH(M646,'Fixture Identities'!$B$9:$B$997,0),2)="Exit Sign",0,VLOOKUP(S646,xySVG_Factors,2,FALSE))),"")</f>
        <v/>
      </c>
      <c r="AA646" s="545" t="str">
        <f t="shared" si="219"/>
        <v/>
      </c>
      <c r="AB646" s="542" t="str">
        <f t="shared" si="220"/>
        <v/>
      </c>
      <c r="AC646" s="539" t="str">
        <f t="shared" si="221"/>
        <v/>
      </c>
      <c r="AD646" s="546" t="str">
        <f t="shared" si="222"/>
        <v/>
      </c>
      <c r="AE646" s="539" t="str">
        <f t="shared" si="223"/>
        <v/>
      </c>
      <c r="AF646" s="546" t="str">
        <f t="shared" si="224"/>
        <v/>
      </c>
      <c r="AG646" s="539" t="str">
        <f t="shared" si="225"/>
        <v/>
      </c>
      <c r="AH646" s="32">
        <f t="shared" si="227"/>
        <v>0</v>
      </c>
      <c r="AI646" s="32">
        <f t="shared" si="228"/>
        <v>0</v>
      </c>
      <c r="AJ646" s="32">
        <f t="shared" si="229"/>
        <v>0</v>
      </c>
      <c r="AK646" t="str">
        <f t="shared" si="230"/>
        <v/>
      </c>
      <c r="AL646" t="str">
        <f t="shared" si="231"/>
        <v/>
      </c>
      <c r="AM646" t="str">
        <f t="shared" si="232"/>
        <v/>
      </c>
      <c r="AO646" t="str">
        <f>IFERROR(VLOOKUP(M646,'Fixture Identities'!$B$9:$O$1045,14,FALSE),"")</f>
        <v/>
      </c>
      <c r="AP646" t="str">
        <f t="shared" si="226"/>
        <v/>
      </c>
    </row>
    <row r="647" spans="1:42">
      <c r="A647" s="71">
        <f t="shared" si="234"/>
        <v>0</v>
      </c>
      <c r="B647" s="513">
        <f t="shared" si="233"/>
        <v>635</v>
      </c>
      <c r="C647" s="530" t="str">
        <f>IF(Inventory!E644="","",Inventory!E644)</f>
        <v/>
      </c>
      <c r="D647" s="531">
        <f>IF(Inventory!D644="",0,Inventory!D644)</f>
        <v>0</v>
      </c>
      <c r="E647" s="532" t="str">
        <f>IF(Inventory!I644=0,"",Inventory!I644)</f>
        <v/>
      </c>
      <c r="F647" s="533" t="str">
        <f t="shared" ref="F647:F710" si="235">IFERROR(VLOOKUP(E647,xyWattage_Table,10,FALSE),"")</f>
        <v/>
      </c>
      <c r="G647" s="534" t="str">
        <f>IF(Inventory!G644="","",Inventory!G644)</f>
        <v/>
      </c>
      <c r="H647" s="535" t="str">
        <f t="shared" ref="H647:H710" si="236">IF(G647="","",G647*F647)</f>
        <v/>
      </c>
      <c r="I647" s="536" t="str">
        <f>IF(Inventory!J644="","",Inventory!J644)</f>
        <v/>
      </c>
      <c r="J647" s="537" t="str">
        <f>IFERROR(IF(PRJ_Type="New Construction",IF(Inventory!C644="N",INDEX(xyLPD_BuildingArea,MATCH(Building_Type,Lookups!$F$37:$F$75,0),4),INDEX(xyLPD_SpaceBySpace,MATCH(INDEX(xyNCEx,MATCH(I647,yNCExArea,0),2),ySpace_by_Space_Type,0),2)),VLOOKUP(E647,xyWattage_Table,11,FALSE)),"")</f>
        <v/>
      </c>
      <c r="K647" s="538" t="str">
        <f>IFERROR(IF(AND(NC_Type="Building Area Method",Inventory!C644="N"),IF(ISERROR(INDEX('Usage Groups (&gt;120 MWh only)'!$N$8:$N$12,MATCH(C647,'Usage Groups (&gt;120 MWh only)'!$B$8:$B$12,0),1))=TRUE,SqFt/COUNTIFS(Inventory!$C$10:$C$1009,"N",$Q$13:$Q$1012,"&gt;=0"),INDEX('Usage Groups (&gt;120 MWh only)'!$N$8:$N$12,MATCH(C647,'Usage Groups (&gt;120 MWh only)'!$B$8:$B$12,0),1)/COUNTIF($C$13:$C$1012,C647)),IF(AND(NC_Type="Building Area Method",Inventory!C644="Y"),INDEX(xyNCEx,MATCH(I647,yNCExArea,0),3)/COUNTIF($I$13:$I$1012,I647),VLOOKUP(J647,xyWattage_Table,10,FALSE))),"")</f>
        <v/>
      </c>
      <c r="L647" s="539" t="str">
        <f t="shared" ref="L647:L710" si="237">IFERROR(IF(PRJ_Type="New Construction",J647*K647,IF(G647="","",K647*G647)),"")</f>
        <v/>
      </c>
      <c r="M647" s="540">
        <f>IF(Inventory!N644="","",Inventory!N644)</f>
        <v>0</v>
      </c>
      <c r="N647" s="533" t="str">
        <f t="shared" ref="N647:N710" si="238">IFERROR(VLOOKUP(M647,xyWattage_Table,12,FALSE),"")</f>
        <v/>
      </c>
      <c r="O647" s="534"/>
      <c r="P647" s="533" t="str">
        <f t="shared" ref="P647:P710" si="239">IFERROR(VLOOKUP(M647,xyWattage_Table,10,FALSE),"")</f>
        <v/>
      </c>
      <c r="Q647" s="534" t="str">
        <f>IF(Inventory!L644="","",Inventory!L644)</f>
        <v/>
      </c>
      <c r="R647" s="535" t="str">
        <f t="shared" ref="R647:R710" si="240">IF(P647="","",Q647*P647)</f>
        <v/>
      </c>
      <c r="S647" s="536" t="str">
        <f>IF(Inventory!O644="","",Inventory!O644)</f>
        <v/>
      </c>
      <c r="T647" s="541" t="str">
        <f>IFERROR(IF(C647="","",IF(INDEX(xyWattage_Table,MATCH(M647,'Fixture Identities'!$B$9:$B$997,0),2)="Exit Sign",8760,IF(VLOOKUP(C647,xySpace_Type_Details,8,FALSE)="TRM",INDEX('General Information'!$AF$17:$AG$28,11,MATCH(N647,'General Information'!$AF$16:$AG$16,0)),HLOOKUP(VLOOKUP(C647,xySpace_Type_Details,8,FALSE),'General Information'!$P$15:$AG$28,13,FALSE)))),"")</f>
        <v/>
      </c>
      <c r="U647" s="542" t="str">
        <f>IFERROR(IF(C647="","",IF(INDEX(xyWattage_Table,MATCH(M647,'Fixture Identities'!$B$9:$B$997,0),2)="Exit Sign",1,IF(VLOOKUP(C647,xySpace_Type_Details,8,FALSE)="TRM",INDEX('General Information'!$AF$17:$AG$28,12,MATCH(N647,'General Information'!$AF$16:$AG$16,0)),HLOOKUP(VLOOKUP(C647,xySpace_Type_Details,8,FALSE),'General Information'!$P$15:$AG$28,14,FALSE)))),"")</f>
        <v/>
      </c>
      <c r="V647" s="542" t="str">
        <f>IFERROR(VLOOKUP(INDEX(xySpace_Type_Details,MATCH($C647,'General Information'!$C$40:$C$60,0),12),Lookups!$L$8:$N$12,2,FALSE),"")</f>
        <v/>
      </c>
      <c r="W647" s="542" t="str">
        <f>IFERROR(VLOOKUP(INDEX(xySpace_Type_Details,MATCH($C647,'General Information'!$C$40:$C$60,0),12),Lookups!$L$8:$N$12,3,FALSE),"")</f>
        <v/>
      </c>
      <c r="Y647" s="542" t="str">
        <f>IFERROR(IF(C647="","",IF(INDEX(xyWattage_Table,MATCH(M647,'Fixture Identities'!$B$9:$B$997,0),2)="Exit Sign",0,IF(PRJ_Type="Retrofit",VLOOKUP(I647,xySVG_Factors,2,FALSE),IF(AND(PRJ_Type="New Construction",Inventory!C644="N"),VLOOKUP(VLOOKUP(Building_Type,xyLPD_BuildingArea,5,FALSE),xySVG_Factors_NC,3,FALSE),0)))),"")</f>
        <v/>
      </c>
      <c r="Z647" s="544" t="str">
        <f>IFERROR(IF(C647="","",IF(INDEX(xyWattage_Table,MATCH(M647,'Fixture Identities'!$B$9:$B$997,0),2)="Exit Sign",0,VLOOKUP(S647,xySVG_Factors,2,FALSE))),"")</f>
        <v/>
      </c>
      <c r="AA647" s="545" t="str">
        <f t="shared" ref="AA647:AA710" si="241">IFERROR((L647-R647)/1000,"")</f>
        <v/>
      </c>
      <c r="AB647" s="542" t="str">
        <f t="shared" ref="AB647:AB710" si="242">IFERROR(AA647*U647*(1+W647)*(1-Y647),"")</f>
        <v/>
      </c>
      <c r="AC647" s="539" t="str">
        <f t="shared" ref="AC647:AC710" si="243">IFERROR(AA647*T647*(1+V647)*(1-Y647),"")</f>
        <v/>
      </c>
      <c r="AD647" s="546" t="str">
        <f t="shared" ref="AD647:AD710" si="244">IFERROR(R647/1000*(Z647-Y647)*(1+W647)*U647,"")</f>
        <v/>
      </c>
      <c r="AE647" s="539" t="str">
        <f t="shared" ref="AE647:AE710" si="245">IFERROR(R647/1000*T647*(Z647-Y647)*(1+V647),"")</f>
        <v/>
      </c>
      <c r="AF647" s="546" t="str">
        <f t="shared" ref="AF647:AF710" si="246">IFERROR(AB647+AD647,"")</f>
        <v/>
      </c>
      <c r="AG647" s="539" t="str">
        <f t="shared" ref="AG647:AG710" si="247">IFERROR(AC647+AE647,"")</f>
        <v/>
      </c>
      <c r="AH647" s="32">
        <f t="shared" si="227"/>
        <v>0</v>
      </c>
      <c r="AI647" s="32">
        <f t="shared" si="228"/>
        <v>0</v>
      </c>
      <c r="AJ647" s="32">
        <f t="shared" si="229"/>
        <v>0</v>
      </c>
      <c r="AK647" t="str">
        <f t="shared" si="230"/>
        <v/>
      </c>
      <c r="AL647" t="str">
        <f t="shared" si="231"/>
        <v/>
      </c>
      <c r="AM647" t="str">
        <f t="shared" si="232"/>
        <v/>
      </c>
      <c r="AO647" t="str">
        <f>IFERROR(VLOOKUP(M647,'Fixture Identities'!$B$9:$O$1045,14,FALSE),"")</f>
        <v/>
      </c>
      <c r="AP647" t="str">
        <f t="shared" si="226"/>
        <v/>
      </c>
    </row>
    <row r="648" spans="1:42">
      <c r="A648" s="71">
        <f t="shared" si="234"/>
        <v>0</v>
      </c>
      <c r="B648" s="513">
        <f t="shared" si="233"/>
        <v>636</v>
      </c>
      <c r="C648" s="530" t="str">
        <f>IF(Inventory!E645="","",Inventory!E645)</f>
        <v/>
      </c>
      <c r="D648" s="531">
        <f>IF(Inventory!D645="",0,Inventory!D645)</f>
        <v>0</v>
      </c>
      <c r="E648" s="532" t="str">
        <f>IF(Inventory!I645=0,"",Inventory!I645)</f>
        <v/>
      </c>
      <c r="F648" s="533" t="str">
        <f t="shared" si="235"/>
        <v/>
      </c>
      <c r="G648" s="534" t="str">
        <f>IF(Inventory!G645="","",Inventory!G645)</f>
        <v/>
      </c>
      <c r="H648" s="535" t="str">
        <f t="shared" si="236"/>
        <v/>
      </c>
      <c r="I648" s="536" t="str">
        <f>IF(Inventory!J645="","",Inventory!J645)</f>
        <v/>
      </c>
      <c r="J648" s="537" t="str">
        <f>IFERROR(IF(PRJ_Type="New Construction",IF(Inventory!C645="N",INDEX(xyLPD_BuildingArea,MATCH(Building_Type,Lookups!$F$37:$F$75,0),4),INDEX(xyLPD_SpaceBySpace,MATCH(INDEX(xyNCEx,MATCH(I648,yNCExArea,0),2),ySpace_by_Space_Type,0),2)),VLOOKUP(E648,xyWattage_Table,11,FALSE)),"")</f>
        <v/>
      </c>
      <c r="K648" s="538" t="str">
        <f>IFERROR(IF(AND(NC_Type="Building Area Method",Inventory!C645="N"),IF(ISERROR(INDEX('Usage Groups (&gt;120 MWh only)'!$N$8:$N$12,MATCH(C648,'Usage Groups (&gt;120 MWh only)'!$B$8:$B$12,0),1))=TRUE,SqFt/COUNTIFS(Inventory!$C$10:$C$1009,"N",$Q$13:$Q$1012,"&gt;=0"),INDEX('Usage Groups (&gt;120 MWh only)'!$N$8:$N$12,MATCH(C648,'Usage Groups (&gt;120 MWh only)'!$B$8:$B$12,0),1)/COUNTIF($C$13:$C$1012,C648)),IF(AND(NC_Type="Building Area Method",Inventory!C645="Y"),INDEX(xyNCEx,MATCH(I648,yNCExArea,0),3)/COUNTIF($I$13:$I$1012,I648),VLOOKUP(J648,xyWattage_Table,10,FALSE))),"")</f>
        <v/>
      </c>
      <c r="L648" s="539" t="str">
        <f t="shared" si="237"/>
        <v/>
      </c>
      <c r="M648" s="540">
        <f>IF(Inventory!N645="","",Inventory!N645)</f>
        <v>0</v>
      </c>
      <c r="N648" s="533" t="str">
        <f t="shared" si="238"/>
        <v/>
      </c>
      <c r="O648" s="534"/>
      <c r="P648" s="533" t="str">
        <f t="shared" si="239"/>
        <v/>
      </c>
      <c r="Q648" s="534" t="str">
        <f>IF(Inventory!L645="","",Inventory!L645)</f>
        <v/>
      </c>
      <c r="R648" s="535" t="str">
        <f t="shared" si="240"/>
        <v/>
      </c>
      <c r="S648" s="536" t="str">
        <f>IF(Inventory!O645="","",Inventory!O645)</f>
        <v/>
      </c>
      <c r="T648" s="541" t="str">
        <f>IFERROR(IF(C648="","",IF(INDEX(xyWattage_Table,MATCH(M648,'Fixture Identities'!$B$9:$B$997,0),2)="Exit Sign",8760,IF(VLOOKUP(C648,xySpace_Type_Details,8,FALSE)="TRM",INDEX('General Information'!$AF$17:$AG$28,11,MATCH(N648,'General Information'!$AF$16:$AG$16,0)),HLOOKUP(VLOOKUP(C648,xySpace_Type_Details,8,FALSE),'General Information'!$P$15:$AG$28,13,FALSE)))),"")</f>
        <v/>
      </c>
      <c r="U648" s="542" t="str">
        <f>IFERROR(IF(C648="","",IF(INDEX(xyWattage_Table,MATCH(M648,'Fixture Identities'!$B$9:$B$997,0),2)="Exit Sign",1,IF(VLOOKUP(C648,xySpace_Type_Details,8,FALSE)="TRM",INDEX('General Information'!$AF$17:$AG$28,12,MATCH(N648,'General Information'!$AF$16:$AG$16,0)),HLOOKUP(VLOOKUP(C648,xySpace_Type_Details,8,FALSE),'General Information'!$P$15:$AG$28,14,FALSE)))),"")</f>
        <v/>
      </c>
      <c r="V648" s="542" t="str">
        <f>IFERROR(VLOOKUP(INDEX(xySpace_Type_Details,MATCH($C648,'General Information'!$C$40:$C$60,0),12),Lookups!$L$8:$N$12,2,FALSE),"")</f>
        <v/>
      </c>
      <c r="W648" s="542" t="str">
        <f>IFERROR(VLOOKUP(INDEX(xySpace_Type_Details,MATCH($C648,'General Information'!$C$40:$C$60,0),12),Lookups!$L$8:$N$12,3,FALSE),"")</f>
        <v/>
      </c>
      <c r="Y648" s="542" t="str">
        <f>IFERROR(IF(C648="","",IF(INDEX(xyWattage_Table,MATCH(M648,'Fixture Identities'!$B$9:$B$997,0),2)="Exit Sign",0,IF(PRJ_Type="Retrofit",VLOOKUP(I648,xySVG_Factors,2,FALSE),IF(AND(PRJ_Type="New Construction",Inventory!C645="N"),VLOOKUP(VLOOKUP(Building_Type,xyLPD_BuildingArea,5,FALSE),xySVG_Factors_NC,3,FALSE),0)))),"")</f>
        <v/>
      </c>
      <c r="Z648" s="544" t="str">
        <f>IFERROR(IF(C648="","",IF(INDEX(xyWattage_Table,MATCH(M648,'Fixture Identities'!$B$9:$B$997,0),2)="Exit Sign",0,VLOOKUP(S648,xySVG_Factors,2,FALSE))),"")</f>
        <v/>
      </c>
      <c r="AA648" s="545" t="str">
        <f t="shared" si="241"/>
        <v/>
      </c>
      <c r="AB648" s="542" t="str">
        <f t="shared" si="242"/>
        <v/>
      </c>
      <c r="AC648" s="539" t="str">
        <f t="shared" si="243"/>
        <v/>
      </c>
      <c r="AD648" s="546" t="str">
        <f t="shared" si="244"/>
        <v/>
      </c>
      <c r="AE648" s="539" t="str">
        <f t="shared" si="245"/>
        <v/>
      </c>
      <c r="AF648" s="546" t="str">
        <f t="shared" si="246"/>
        <v/>
      </c>
      <c r="AG648" s="539" t="str">
        <f t="shared" si="247"/>
        <v/>
      </c>
      <c r="AH648" s="32">
        <f t="shared" si="227"/>
        <v>0</v>
      </c>
      <c r="AI648" s="32">
        <f t="shared" si="228"/>
        <v>0</v>
      </c>
      <c r="AJ648" s="32">
        <f t="shared" si="229"/>
        <v>0</v>
      </c>
      <c r="AK648" t="str">
        <f t="shared" si="230"/>
        <v/>
      </c>
      <c r="AL648" t="str">
        <f t="shared" si="231"/>
        <v/>
      </c>
      <c r="AM648" t="str">
        <f t="shared" si="232"/>
        <v/>
      </c>
      <c r="AO648" t="str">
        <f>IFERROR(VLOOKUP(M648,'Fixture Identities'!$B$9:$O$1045,14,FALSE),"")</f>
        <v/>
      </c>
      <c r="AP648" t="str">
        <f t="shared" si="226"/>
        <v/>
      </c>
    </row>
    <row r="649" spans="1:42">
      <c r="A649" s="71">
        <f t="shared" si="234"/>
        <v>0</v>
      </c>
      <c r="B649" s="513">
        <f t="shared" si="233"/>
        <v>637</v>
      </c>
      <c r="C649" s="530" t="str">
        <f>IF(Inventory!E646="","",Inventory!E646)</f>
        <v/>
      </c>
      <c r="D649" s="531">
        <f>IF(Inventory!D646="",0,Inventory!D646)</f>
        <v>0</v>
      </c>
      <c r="E649" s="532" t="str">
        <f>IF(Inventory!I646=0,"",Inventory!I646)</f>
        <v/>
      </c>
      <c r="F649" s="533" t="str">
        <f t="shared" si="235"/>
        <v/>
      </c>
      <c r="G649" s="534" t="str">
        <f>IF(Inventory!G646="","",Inventory!G646)</f>
        <v/>
      </c>
      <c r="H649" s="535" t="str">
        <f t="shared" si="236"/>
        <v/>
      </c>
      <c r="I649" s="536" t="str">
        <f>IF(Inventory!J646="","",Inventory!J646)</f>
        <v/>
      </c>
      <c r="J649" s="537" t="str">
        <f>IFERROR(IF(PRJ_Type="New Construction",IF(Inventory!C646="N",INDEX(xyLPD_BuildingArea,MATCH(Building_Type,Lookups!$F$37:$F$75,0),4),INDEX(xyLPD_SpaceBySpace,MATCH(INDEX(xyNCEx,MATCH(I649,yNCExArea,0),2),ySpace_by_Space_Type,0),2)),VLOOKUP(E649,xyWattage_Table,11,FALSE)),"")</f>
        <v/>
      </c>
      <c r="K649" s="538" t="str">
        <f>IFERROR(IF(AND(NC_Type="Building Area Method",Inventory!C646="N"),IF(ISERROR(INDEX('Usage Groups (&gt;120 MWh only)'!$N$8:$N$12,MATCH(C649,'Usage Groups (&gt;120 MWh only)'!$B$8:$B$12,0),1))=TRUE,SqFt/COUNTIFS(Inventory!$C$10:$C$1009,"N",$Q$13:$Q$1012,"&gt;=0"),INDEX('Usage Groups (&gt;120 MWh only)'!$N$8:$N$12,MATCH(C649,'Usage Groups (&gt;120 MWh only)'!$B$8:$B$12,0),1)/COUNTIF($C$13:$C$1012,C649)),IF(AND(NC_Type="Building Area Method",Inventory!C646="Y"),INDEX(xyNCEx,MATCH(I649,yNCExArea,0),3)/COUNTIF($I$13:$I$1012,I649),VLOOKUP(J649,xyWattage_Table,10,FALSE))),"")</f>
        <v/>
      </c>
      <c r="L649" s="539" t="str">
        <f t="shared" si="237"/>
        <v/>
      </c>
      <c r="M649" s="540">
        <f>IF(Inventory!N646="","",Inventory!N646)</f>
        <v>0</v>
      </c>
      <c r="N649" s="533" t="str">
        <f t="shared" si="238"/>
        <v/>
      </c>
      <c r="O649" s="534"/>
      <c r="P649" s="533" t="str">
        <f t="shared" si="239"/>
        <v/>
      </c>
      <c r="Q649" s="534" t="str">
        <f>IF(Inventory!L646="","",Inventory!L646)</f>
        <v/>
      </c>
      <c r="R649" s="535" t="str">
        <f t="shared" si="240"/>
        <v/>
      </c>
      <c r="S649" s="536" t="str">
        <f>IF(Inventory!O646="","",Inventory!O646)</f>
        <v/>
      </c>
      <c r="T649" s="541" t="str">
        <f>IFERROR(IF(C649="","",IF(INDEX(xyWattage_Table,MATCH(M649,'Fixture Identities'!$B$9:$B$997,0),2)="Exit Sign",8760,IF(VLOOKUP(C649,xySpace_Type_Details,8,FALSE)="TRM",INDEX('General Information'!$AF$17:$AG$28,11,MATCH(N649,'General Information'!$AF$16:$AG$16,0)),HLOOKUP(VLOOKUP(C649,xySpace_Type_Details,8,FALSE),'General Information'!$P$15:$AG$28,13,FALSE)))),"")</f>
        <v/>
      </c>
      <c r="U649" s="542" t="str">
        <f>IFERROR(IF(C649="","",IF(INDEX(xyWattage_Table,MATCH(M649,'Fixture Identities'!$B$9:$B$997,0),2)="Exit Sign",1,IF(VLOOKUP(C649,xySpace_Type_Details,8,FALSE)="TRM",INDEX('General Information'!$AF$17:$AG$28,12,MATCH(N649,'General Information'!$AF$16:$AG$16,0)),HLOOKUP(VLOOKUP(C649,xySpace_Type_Details,8,FALSE),'General Information'!$P$15:$AG$28,14,FALSE)))),"")</f>
        <v/>
      </c>
      <c r="V649" s="542" t="str">
        <f>IFERROR(VLOOKUP(INDEX(xySpace_Type_Details,MATCH($C649,'General Information'!$C$40:$C$60,0),12),Lookups!$L$8:$N$12,2,FALSE),"")</f>
        <v/>
      </c>
      <c r="W649" s="542" t="str">
        <f>IFERROR(VLOOKUP(INDEX(xySpace_Type_Details,MATCH($C649,'General Information'!$C$40:$C$60,0),12),Lookups!$L$8:$N$12,3,FALSE),"")</f>
        <v/>
      </c>
      <c r="Y649" s="542" t="str">
        <f>IFERROR(IF(C649="","",IF(INDEX(xyWattage_Table,MATCH(M649,'Fixture Identities'!$B$9:$B$997,0),2)="Exit Sign",0,IF(PRJ_Type="Retrofit",VLOOKUP(I649,xySVG_Factors,2,FALSE),IF(AND(PRJ_Type="New Construction",Inventory!C646="N"),VLOOKUP(VLOOKUP(Building_Type,xyLPD_BuildingArea,5,FALSE),xySVG_Factors_NC,3,FALSE),0)))),"")</f>
        <v/>
      </c>
      <c r="Z649" s="544" t="str">
        <f>IFERROR(IF(C649="","",IF(INDEX(xyWattage_Table,MATCH(M649,'Fixture Identities'!$B$9:$B$997,0),2)="Exit Sign",0,VLOOKUP(S649,xySVG_Factors,2,FALSE))),"")</f>
        <v/>
      </c>
      <c r="AA649" s="545" t="str">
        <f t="shared" si="241"/>
        <v/>
      </c>
      <c r="AB649" s="542" t="str">
        <f t="shared" si="242"/>
        <v/>
      </c>
      <c r="AC649" s="539" t="str">
        <f t="shared" si="243"/>
        <v/>
      </c>
      <c r="AD649" s="546" t="str">
        <f t="shared" si="244"/>
        <v/>
      </c>
      <c r="AE649" s="539" t="str">
        <f t="shared" si="245"/>
        <v/>
      </c>
      <c r="AF649" s="546" t="str">
        <f t="shared" si="246"/>
        <v/>
      </c>
      <c r="AG649" s="539" t="str">
        <f t="shared" si="247"/>
        <v/>
      </c>
      <c r="AH649" s="32">
        <f t="shared" si="227"/>
        <v>0</v>
      </c>
      <c r="AI649" s="32">
        <f t="shared" si="228"/>
        <v>0</v>
      </c>
      <c r="AJ649" s="32">
        <f t="shared" si="229"/>
        <v>0</v>
      </c>
      <c r="AK649" t="str">
        <f t="shared" si="230"/>
        <v/>
      </c>
      <c r="AL649" t="str">
        <f t="shared" si="231"/>
        <v/>
      </c>
      <c r="AM649" t="str">
        <f t="shared" si="232"/>
        <v/>
      </c>
      <c r="AO649" t="str">
        <f>IFERROR(VLOOKUP(M649,'Fixture Identities'!$B$9:$O$1045,14,FALSE),"")</f>
        <v/>
      </c>
      <c r="AP649" t="str">
        <f t="shared" si="226"/>
        <v/>
      </c>
    </row>
    <row r="650" spans="1:42">
      <c r="A650" s="71">
        <f t="shared" si="234"/>
        <v>0</v>
      </c>
      <c r="B650" s="513">
        <f t="shared" si="233"/>
        <v>638</v>
      </c>
      <c r="C650" s="530" t="str">
        <f>IF(Inventory!E647="","",Inventory!E647)</f>
        <v/>
      </c>
      <c r="D650" s="531">
        <f>IF(Inventory!D647="",0,Inventory!D647)</f>
        <v>0</v>
      </c>
      <c r="E650" s="532" t="str">
        <f>IF(Inventory!I647=0,"",Inventory!I647)</f>
        <v/>
      </c>
      <c r="F650" s="533" t="str">
        <f t="shared" si="235"/>
        <v/>
      </c>
      <c r="G650" s="534" t="str">
        <f>IF(Inventory!G647="","",Inventory!G647)</f>
        <v/>
      </c>
      <c r="H650" s="535" t="str">
        <f t="shared" si="236"/>
        <v/>
      </c>
      <c r="I650" s="536" t="str">
        <f>IF(Inventory!J647="","",Inventory!J647)</f>
        <v/>
      </c>
      <c r="J650" s="537" t="str">
        <f>IFERROR(IF(PRJ_Type="New Construction",IF(Inventory!C647="N",INDEX(xyLPD_BuildingArea,MATCH(Building_Type,Lookups!$F$37:$F$75,0),4),INDEX(xyLPD_SpaceBySpace,MATCH(INDEX(xyNCEx,MATCH(I650,yNCExArea,0),2),ySpace_by_Space_Type,0),2)),VLOOKUP(E650,xyWattage_Table,11,FALSE)),"")</f>
        <v/>
      </c>
      <c r="K650" s="538" t="str">
        <f>IFERROR(IF(AND(NC_Type="Building Area Method",Inventory!C647="N"),IF(ISERROR(INDEX('Usage Groups (&gt;120 MWh only)'!$N$8:$N$12,MATCH(C650,'Usage Groups (&gt;120 MWh only)'!$B$8:$B$12,0),1))=TRUE,SqFt/COUNTIFS(Inventory!$C$10:$C$1009,"N",$Q$13:$Q$1012,"&gt;=0"),INDEX('Usage Groups (&gt;120 MWh only)'!$N$8:$N$12,MATCH(C650,'Usage Groups (&gt;120 MWh only)'!$B$8:$B$12,0),1)/COUNTIF($C$13:$C$1012,C650)),IF(AND(NC_Type="Building Area Method",Inventory!C647="Y"),INDEX(xyNCEx,MATCH(I650,yNCExArea,0),3)/COUNTIF($I$13:$I$1012,I650),VLOOKUP(J650,xyWattage_Table,10,FALSE))),"")</f>
        <v/>
      </c>
      <c r="L650" s="539" t="str">
        <f t="shared" si="237"/>
        <v/>
      </c>
      <c r="M650" s="540">
        <f>IF(Inventory!N647="","",Inventory!N647)</f>
        <v>0</v>
      </c>
      <c r="N650" s="533" t="str">
        <f t="shared" si="238"/>
        <v/>
      </c>
      <c r="O650" s="534"/>
      <c r="P650" s="533" t="str">
        <f t="shared" si="239"/>
        <v/>
      </c>
      <c r="Q650" s="534" t="str">
        <f>IF(Inventory!L647="","",Inventory!L647)</f>
        <v/>
      </c>
      <c r="R650" s="535" t="str">
        <f t="shared" si="240"/>
        <v/>
      </c>
      <c r="S650" s="536" t="str">
        <f>IF(Inventory!O647="","",Inventory!O647)</f>
        <v/>
      </c>
      <c r="T650" s="541" t="str">
        <f>IFERROR(IF(C650="","",IF(INDEX(xyWattage_Table,MATCH(M650,'Fixture Identities'!$B$9:$B$997,0),2)="Exit Sign",8760,IF(VLOOKUP(C650,xySpace_Type_Details,8,FALSE)="TRM",INDEX('General Information'!$AF$17:$AG$28,11,MATCH(N650,'General Information'!$AF$16:$AG$16,0)),HLOOKUP(VLOOKUP(C650,xySpace_Type_Details,8,FALSE),'General Information'!$P$15:$AG$28,13,FALSE)))),"")</f>
        <v/>
      </c>
      <c r="U650" s="542" t="str">
        <f>IFERROR(IF(C650="","",IF(INDEX(xyWattage_Table,MATCH(M650,'Fixture Identities'!$B$9:$B$997,0),2)="Exit Sign",1,IF(VLOOKUP(C650,xySpace_Type_Details,8,FALSE)="TRM",INDEX('General Information'!$AF$17:$AG$28,12,MATCH(N650,'General Information'!$AF$16:$AG$16,0)),HLOOKUP(VLOOKUP(C650,xySpace_Type_Details,8,FALSE),'General Information'!$P$15:$AG$28,14,FALSE)))),"")</f>
        <v/>
      </c>
      <c r="V650" s="542" t="str">
        <f>IFERROR(VLOOKUP(INDEX(xySpace_Type_Details,MATCH($C650,'General Information'!$C$40:$C$60,0),12),Lookups!$L$8:$N$12,2,FALSE),"")</f>
        <v/>
      </c>
      <c r="W650" s="542" t="str">
        <f>IFERROR(VLOOKUP(INDEX(xySpace_Type_Details,MATCH($C650,'General Information'!$C$40:$C$60,0),12),Lookups!$L$8:$N$12,3,FALSE),"")</f>
        <v/>
      </c>
      <c r="Y650" s="542" t="str">
        <f>IFERROR(IF(C650="","",IF(INDEX(xyWattage_Table,MATCH(M650,'Fixture Identities'!$B$9:$B$997,0),2)="Exit Sign",0,IF(PRJ_Type="Retrofit",VLOOKUP(I650,xySVG_Factors,2,FALSE),IF(AND(PRJ_Type="New Construction",Inventory!C647="N"),VLOOKUP(VLOOKUP(Building_Type,xyLPD_BuildingArea,5,FALSE),xySVG_Factors_NC,3,FALSE),0)))),"")</f>
        <v/>
      </c>
      <c r="Z650" s="544" t="str">
        <f>IFERROR(IF(C650="","",IF(INDEX(xyWattage_Table,MATCH(M650,'Fixture Identities'!$B$9:$B$997,0),2)="Exit Sign",0,VLOOKUP(S650,xySVG_Factors,2,FALSE))),"")</f>
        <v/>
      </c>
      <c r="AA650" s="545" t="str">
        <f t="shared" si="241"/>
        <v/>
      </c>
      <c r="AB650" s="542" t="str">
        <f t="shared" si="242"/>
        <v/>
      </c>
      <c r="AC650" s="539" t="str">
        <f t="shared" si="243"/>
        <v/>
      </c>
      <c r="AD650" s="546" t="str">
        <f t="shared" si="244"/>
        <v/>
      </c>
      <c r="AE650" s="539" t="str">
        <f t="shared" si="245"/>
        <v/>
      </c>
      <c r="AF650" s="546" t="str">
        <f t="shared" si="246"/>
        <v/>
      </c>
      <c r="AG650" s="539" t="str">
        <f t="shared" si="247"/>
        <v/>
      </c>
      <c r="AH650" s="32">
        <f t="shared" si="227"/>
        <v>0</v>
      </c>
      <c r="AI650" s="32">
        <f t="shared" si="228"/>
        <v>0</v>
      </c>
      <c r="AJ650" s="32">
        <f t="shared" si="229"/>
        <v>0</v>
      </c>
      <c r="AK650" t="str">
        <f t="shared" si="230"/>
        <v/>
      </c>
      <c r="AL650" t="str">
        <f t="shared" si="231"/>
        <v/>
      </c>
      <c r="AM650" t="str">
        <f t="shared" si="232"/>
        <v/>
      </c>
      <c r="AO650" t="str">
        <f>IFERROR(VLOOKUP(M650,'Fixture Identities'!$B$9:$O$1045,14,FALSE),"")</f>
        <v/>
      </c>
      <c r="AP650" t="str">
        <f t="shared" si="226"/>
        <v/>
      </c>
    </row>
    <row r="651" spans="1:42">
      <c r="A651" s="71">
        <f t="shared" si="234"/>
        <v>0</v>
      </c>
      <c r="B651" s="513">
        <f t="shared" si="233"/>
        <v>639</v>
      </c>
      <c r="C651" s="530" t="str">
        <f>IF(Inventory!E648="","",Inventory!E648)</f>
        <v/>
      </c>
      <c r="D651" s="531">
        <f>IF(Inventory!D648="",0,Inventory!D648)</f>
        <v>0</v>
      </c>
      <c r="E651" s="532" t="str">
        <f>IF(Inventory!I648=0,"",Inventory!I648)</f>
        <v/>
      </c>
      <c r="F651" s="533" t="str">
        <f t="shared" si="235"/>
        <v/>
      </c>
      <c r="G651" s="534" t="str">
        <f>IF(Inventory!G648="","",Inventory!G648)</f>
        <v/>
      </c>
      <c r="H651" s="535" t="str">
        <f t="shared" si="236"/>
        <v/>
      </c>
      <c r="I651" s="536" t="str">
        <f>IF(Inventory!J648="","",Inventory!J648)</f>
        <v/>
      </c>
      <c r="J651" s="537" t="str">
        <f>IFERROR(IF(PRJ_Type="New Construction",IF(Inventory!C648="N",INDEX(xyLPD_BuildingArea,MATCH(Building_Type,Lookups!$F$37:$F$75,0),4),INDEX(xyLPD_SpaceBySpace,MATCH(INDEX(xyNCEx,MATCH(I651,yNCExArea,0),2),ySpace_by_Space_Type,0),2)),VLOOKUP(E651,xyWattage_Table,11,FALSE)),"")</f>
        <v/>
      </c>
      <c r="K651" s="538" t="str">
        <f>IFERROR(IF(AND(NC_Type="Building Area Method",Inventory!C648="N"),IF(ISERROR(INDEX('Usage Groups (&gt;120 MWh only)'!$N$8:$N$12,MATCH(C651,'Usage Groups (&gt;120 MWh only)'!$B$8:$B$12,0),1))=TRUE,SqFt/COUNTIFS(Inventory!$C$10:$C$1009,"N",$Q$13:$Q$1012,"&gt;=0"),INDEX('Usage Groups (&gt;120 MWh only)'!$N$8:$N$12,MATCH(C651,'Usage Groups (&gt;120 MWh only)'!$B$8:$B$12,0),1)/COUNTIF($C$13:$C$1012,C651)),IF(AND(NC_Type="Building Area Method",Inventory!C648="Y"),INDEX(xyNCEx,MATCH(I651,yNCExArea,0),3)/COUNTIF($I$13:$I$1012,I651),VLOOKUP(J651,xyWattage_Table,10,FALSE))),"")</f>
        <v/>
      </c>
      <c r="L651" s="539" t="str">
        <f t="shared" si="237"/>
        <v/>
      </c>
      <c r="M651" s="540">
        <f>IF(Inventory!N648="","",Inventory!N648)</f>
        <v>0</v>
      </c>
      <c r="N651" s="533" t="str">
        <f t="shared" si="238"/>
        <v/>
      </c>
      <c r="O651" s="534"/>
      <c r="P651" s="533" t="str">
        <f t="shared" si="239"/>
        <v/>
      </c>
      <c r="Q651" s="534" t="str">
        <f>IF(Inventory!L648="","",Inventory!L648)</f>
        <v/>
      </c>
      <c r="R651" s="535" t="str">
        <f t="shared" si="240"/>
        <v/>
      </c>
      <c r="S651" s="536" t="str">
        <f>IF(Inventory!O648="","",Inventory!O648)</f>
        <v/>
      </c>
      <c r="T651" s="541" t="str">
        <f>IFERROR(IF(C651="","",IF(INDEX(xyWattage_Table,MATCH(M651,'Fixture Identities'!$B$9:$B$997,0),2)="Exit Sign",8760,IF(VLOOKUP(C651,xySpace_Type_Details,8,FALSE)="TRM",INDEX('General Information'!$AF$17:$AG$28,11,MATCH(N651,'General Information'!$AF$16:$AG$16,0)),HLOOKUP(VLOOKUP(C651,xySpace_Type_Details,8,FALSE),'General Information'!$P$15:$AG$28,13,FALSE)))),"")</f>
        <v/>
      </c>
      <c r="U651" s="542" t="str">
        <f>IFERROR(IF(C651="","",IF(INDEX(xyWattage_Table,MATCH(M651,'Fixture Identities'!$B$9:$B$997,0),2)="Exit Sign",1,IF(VLOOKUP(C651,xySpace_Type_Details,8,FALSE)="TRM",INDEX('General Information'!$AF$17:$AG$28,12,MATCH(N651,'General Information'!$AF$16:$AG$16,0)),HLOOKUP(VLOOKUP(C651,xySpace_Type_Details,8,FALSE),'General Information'!$P$15:$AG$28,14,FALSE)))),"")</f>
        <v/>
      </c>
      <c r="V651" s="542" t="str">
        <f>IFERROR(VLOOKUP(INDEX(xySpace_Type_Details,MATCH($C651,'General Information'!$C$40:$C$60,0),12),Lookups!$L$8:$N$12,2,FALSE),"")</f>
        <v/>
      </c>
      <c r="W651" s="542" t="str">
        <f>IFERROR(VLOOKUP(INDEX(xySpace_Type_Details,MATCH($C651,'General Information'!$C$40:$C$60,0),12),Lookups!$L$8:$N$12,3,FALSE),"")</f>
        <v/>
      </c>
      <c r="Y651" s="542" t="str">
        <f>IFERROR(IF(C651="","",IF(INDEX(xyWattage_Table,MATCH(M651,'Fixture Identities'!$B$9:$B$997,0),2)="Exit Sign",0,IF(PRJ_Type="Retrofit",VLOOKUP(I651,xySVG_Factors,2,FALSE),IF(AND(PRJ_Type="New Construction",Inventory!C648="N"),VLOOKUP(VLOOKUP(Building_Type,xyLPD_BuildingArea,5,FALSE),xySVG_Factors_NC,3,FALSE),0)))),"")</f>
        <v/>
      </c>
      <c r="Z651" s="544" t="str">
        <f>IFERROR(IF(C651="","",IF(INDEX(xyWattage_Table,MATCH(M651,'Fixture Identities'!$B$9:$B$997,0),2)="Exit Sign",0,VLOOKUP(S651,xySVG_Factors,2,FALSE))),"")</f>
        <v/>
      </c>
      <c r="AA651" s="545" t="str">
        <f t="shared" si="241"/>
        <v/>
      </c>
      <c r="AB651" s="542" t="str">
        <f t="shared" si="242"/>
        <v/>
      </c>
      <c r="AC651" s="539" t="str">
        <f t="shared" si="243"/>
        <v/>
      </c>
      <c r="AD651" s="546" t="str">
        <f t="shared" si="244"/>
        <v/>
      </c>
      <c r="AE651" s="539" t="str">
        <f t="shared" si="245"/>
        <v/>
      </c>
      <c r="AF651" s="546" t="str">
        <f t="shared" si="246"/>
        <v/>
      </c>
      <c r="AG651" s="539" t="str">
        <f t="shared" si="247"/>
        <v/>
      </c>
      <c r="AH651" s="32">
        <f t="shared" si="227"/>
        <v>0</v>
      </c>
      <c r="AI651" s="32">
        <f t="shared" si="228"/>
        <v>0</v>
      </c>
      <c r="AJ651" s="32">
        <f t="shared" si="229"/>
        <v>0</v>
      </c>
      <c r="AK651" t="str">
        <f t="shared" si="230"/>
        <v/>
      </c>
      <c r="AL651" t="str">
        <f t="shared" si="231"/>
        <v/>
      </c>
      <c r="AM651" t="str">
        <f t="shared" si="232"/>
        <v/>
      </c>
      <c r="AO651" t="str">
        <f>IFERROR(VLOOKUP(M651,'Fixture Identities'!$B$9:$O$1045,14,FALSE),"")</f>
        <v/>
      </c>
      <c r="AP651" t="str">
        <f t="shared" si="226"/>
        <v/>
      </c>
    </row>
    <row r="652" spans="1:42">
      <c r="A652" s="71">
        <f t="shared" si="234"/>
        <v>0</v>
      </c>
      <c r="B652" s="513">
        <f t="shared" si="233"/>
        <v>640</v>
      </c>
      <c r="C652" s="530" t="str">
        <f>IF(Inventory!E649="","",Inventory!E649)</f>
        <v/>
      </c>
      <c r="D652" s="531">
        <f>IF(Inventory!D649="",0,Inventory!D649)</f>
        <v>0</v>
      </c>
      <c r="E652" s="532" t="str">
        <f>IF(Inventory!I649=0,"",Inventory!I649)</f>
        <v/>
      </c>
      <c r="F652" s="533" t="str">
        <f t="shared" si="235"/>
        <v/>
      </c>
      <c r="G652" s="534" t="str">
        <f>IF(Inventory!G649="","",Inventory!G649)</f>
        <v/>
      </c>
      <c r="H652" s="535" t="str">
        <f t="shared" si="236"/>
        <v/>
      </c>
      <c r="I652" s="536" t="str">
        <f>IF(Inventory!J649="","",Inventory!J649)</f>
        <v/>
      </c>
      <c r="J652" s="537" t="str">
        <f>IFERROR(IF(PRJ_Type="New Construction",IF(Inventory!C649="N",INDEX(xyLPD_BuildingArea,MATCH(Building_Type,Lookups!$F$37:$F$75,0),4),INDEX(xyLPD_SpaceBySpace,MATCH(INDEX(xyNCEx,MATCH(I652,yNCExArea,0),2),ySpace_by_Space_Type,0),2)),VLOOKUP(E652,xyWattage_Table,11,FALSE)),"")</f>
        <v/>
      </c>
      <c r="K652" s="538" t="str">
        <f>IFERROR(IF(AND(NC_Type="Building Area Method",Inventory!C649="N"),IF(ISERROR(INDEX('Usage Groups (&gt;120 MWh only)'!$N$8:$N$12,MATCH(C652,'Usage Groups (&gt;120 MWh only)'!$B$8:$B$12,0),1))=TRUE,SqFt/COUNTIFS(Inventory!$C$10:$C$1009,"N",$Q$13:$Q$1012,"&gt;=0"),INDEX('Usage Groups (&gt;120 MWh only)'!$N$8:$N$12,MATCH(C652,'Usage Groups (&gt;120 MWh only)'!$B$8:$B$12,0),1)/COUNTIF($C$13:$C$1012,C652)),IF(AND(NC_Type="Building Area Method",Inventory!C649="Y"),INDEX(xyNCEx,MATCH(I652,yNCExArea,0),3)/COUNTIF($I$13:$I$1012,I652),VLOOKUP(J652,xyWattage_Table,10,FALSE))),"")</f>
        <v/>
      </c>
      <c r="L652" s="539" t="str">
        <f t="shared" si="237"/>
        <v/>
      </c>
      <c r="M652" s="540">
        <f>IF(Inventory!N649="","",Inventory!N649)</f>
        <v>0</v>
      </c>
      <c r="N652" s="533" t="str">
        <f t="shared" si="238"/>
        <v/>
      </c>
      <c r="O652" s="534"/>
      <c r="P652" s="533" t="str">
        <f t="shared" si="239"/>
        <v/>
      </c>
      <c r="Q652" s="534" t="str">
        <f>IF(Inventory!L649="","",Inventory!L649)</f>
        <v/>
      </c>
      <c r="R652" s="535" t="str">
        <f t="shared" si="240"/>
        <v/>
      </c>
      <c r="S652" s="536" t="str">
        <f>IF(Inventory!O649="","",Inventory!O649)</f>
        <v/>
      </c>
      <c r="T652" s="541" t="str">
        <f>IFERROR(IF(C652="","",IF(INDEX(xyWattage_Table,MATCH(M652,'Fixture Identities'!$B$9:$B$997,0),2)="Exit Sign",8760,IF(VLOOKUP(C652,xySpace_Type_Details,8,FALSE)="TRM",INDEX('General Information'!$AF$17:$AG$28,11,MATCH(N652,'General Information'!$AF$16:$AG$16,0)),HLOOKUP(VLOOKUP(C652,xySpace_Type_Details,8,FALSE),'General Information'!$P$15:$AG$28,13,FALSE)))),"")</f>
        <v/>
      </c>
      <c r="U652" s="542" t="str">
        <f>IFERROR(IF(C652="","",IF(INDEX(xyWattage_Table,MATCH(M652,'Fixture Identities'!$B$9:$B$997,0),2)="Exit Sign",1,IF(VLOOKUP(C652,xySpace_Type_Details,8,FALSE)="TRM",INDEX('General Information'!$AF$17:$AG$28,12,MATCH(N652,'General Information'!$AF$16:$AG$16,0)),HLOOKUP(VLOOKUP(C652,xySpace_Type_Details,8,FALSE),'General Information'!$P$15:$AG$28,14,FALSE)))),"")</f>
        <v/>
      </c>
      <c r="V652" s="542" t="str">
        <f>IFERROR(VLOOKUP(INDEX(xySpace_Type_Details,MATCH($C652,'General Information'!$C$40:$C$60,0),12),Lookups!$L$8:$N$12,2,FALSE),"")</f>
        <v/>
      </c>
      <c r="W652" s="542" t="str">
        <f>IFERROR(VLOOKUP(INDEX(xySpace_Type_Details,MATCH($C652,'General Information'!$C$40:$C$60,0),12),Lookups!$L$8:$N$12,3,FALSE),"")</f>
        <v/>
      </c>
      <c r="Y652" s="542" t="str">
        <f>IFERROR(IF(C652="","",IF(INDEX(xyWattage_Table,MATCH(M652,'Fixture Identities'!$B$9:$B$997,0),2)="Exit Sign",0,IF(PRJ_Type="Retrofit",VLOOKUP(I652,xySVG_Factors,2,FALSE),IF(AND(PRJ_Type="New Construction",Inventory!C649="N"),VLOOKUP(VLOOKUP(Building_Type,xyLPD_BuildingArea,5,FALSE),xySVG_Factors_NC,3,FALSE),0)))),"")</f>
        <v/>
      </c>
      <c r="Z652" s="544" t="str">
        <f>IFERROR(IF(C652="","",IF(INDEX(xyWattage_Table,MATCH(M652,'Fixture Identities'!$B$9:$B$997,0),2)="Exit Sign",0,VLOOKUP(S652,xySVG_Factors,2,FALSE))),"")</f>
        <v/>
      </c>
      <c r="AA652" s="545" t="str">
        <f t="shared" si="241"/>
        <v/>
      </c>
      <c r="AB652" s="542" t="str">
        <f t="shared" si="242"/>
        <v/>
      </c>
      <c r="AC652" s="539" t="str">
        <f t="shared" si="243"/>
        <v/>
      </c>
      <c r="AD652" s="546" t="str">
        <f t="shared" si="244"/>
        <v/>
      </c>
      <c r="AE652" s="539" t="str">
        <f t="shared" si="245"/>
        <v/>
      </c>
      <c r="AF652" s="546" t="str">
        <f t="shared" si="246"/>
        <v/>
      </c>
      <c r="AG652" s="539" t="str">
        <f t="shared" si="247"/>
        <v/>
      </c>
      <c r="AH652" s="32">
        <f t="shared" si="227"/>
        <v>0</v>
      </c>
      <c r="AI652" s="32">
        <f t="shared" si="228"/>
        <v>0</v>
      </c>
      <c r="AJ652" s="32">
        <f t="shared" si="229"/>
        <v>0</v>
      </c>
      <c r="AK652" t="str">
        <f t="shared" si="230"/>
        <v/>
      </c>
      <c r="AL652" t="str">
        <f t="shared" si="231"/>
        <v/>
      </c>
      <c r="AM652" t="str">
        <f t="shared" si="232"/>
        <v/>
      </c>
      <c r="AO652" t="str">
        <f>IFERROR(VLOOKUP(M652,'Fixture Identities'!$B$9:$O$1045,14,FALSE),"")</f>
        <v/>
      </c>
      <c r="AP652" t="str">
        <f t="shared" si="226"/>
        <v/>
      </c>
    </row>
    <row r="653" spans="1:42">
      <c r="A653" s="71">
        <f t="shared" si="234"/>
        <v>0</v>
      </c>
      <c r="B653" s="513">
        <f t="shared" si="233"/>
        <v>641</v>
      </c>
      <c r="C653" s="530" t="str">
        <f>IF(Inventory!E650="","",Inventory!E650)</f>
        <v/>
      </c>
      <c r="D653" s="531">
        <f>IF(Inventory!D650="",0,Inventory!D650)</f>
        <v>0</v>
      </c>
      <c r="E653" s="532" t="str">
        <f>IF(Inventory!I650=0,"",Inventory!I650)</f>
        <v/>
      </c>
      <c r="F653" s="533" t="str">
        <f t="shared" si="235"/>
        <v/>
      </c>
      <c r="G653" s="534" t="str">
        <f>IF(Inventory!G650="","",Inventory!G650)</f>
        <v/>
      </c>
      <c r="H653" s="535" t="str">
        <f t="shared" si="236"/>
        <v/>
      </c>
      <c r="I653" s="536" t="str">
        <f>IF(Inventory!J650="","",Inventory!J650)</f>
        <v/>
      </c>
      <c r="J653" s="537" t="str">
        <f>IFERROR(IF(PRJ_Type="New Construction",IF(Inventory!C650="N",INDEX(xyLPD_BuildingArea,MATCH(Building_Type,Lookups!$F$37:$F$75,0),4),INDEX(xyLPD_SpaceBySpace,MATCH(INDEX(xyNCEx,MATCH(I653,yNCExArea,0),2),ySpace_by_Space_Type,0),2)),VLOOKUP(E653,xyWattage_Table,11,FALSE)),"")</f>
        <v/>
      </c>
      <c r="K653" s="538" t="str">
        <f>IFERROR(IF(AND(NC_Type="Building Area Method",Inventory!C650="N"),IF(ISERROR(INDEX('Usage Groups (&gt;120 MWh only)'!$N$8:$N$12,MATCH(C653,'Usage Groups (&gt;120 MWh only)'!$B$8:$B$12,0),1))=TRUE,SqFt/COUNTIFS(Inventory!$C$10:$C$1009,"N",$Q$13:$Q$1012,"&gt;=0"),INDEX('Usage Groups (&gt;120 MWh only)'!$N$8:$N$12,MATCH(C653,'Usage Groups (&gt;120 MWh only)'!$B$8:$B$12,0),1)/COUNTIF($C$13:$C$1012,C653)),IF(AND(NC_Type="Building Area Method",Inventory!C650="Y"),INDEX(xyNCEx,MATCH(I653,yNCExArea,0),3)/COUNTIF($I$13:$I$1012,I653),VLOOKUP(J653,xyWattage_Table,10,FALSE))),"")</f>
        <v/>
      </c>
      <c r="L653" s="539" t="str">
        <f t="shared" si="237"/>
        <v/>
      </c>
      <c r="M653" s="540">
        <f>IF(Inventory!N650="","",Inventory!N650)</f>
        <v>0</v>
      </c>
      <c r="N653" s="533" t="str">
        <f t="shared" si="238"/>
        <v/>
      </c>
      <c r="O653" s="534"/>
      <c r="P653" s="533" t="str">
        <f t="shared" si="239"/>
        <v/>
      </c>
      <c r="Q653" s="534" t="str">
        <f>IF(Inventory!L650="","",Inventory!L650)</f>
        <v/>
      </c>
      <c r="R653" s="535" t="str">
        <f t="shared" si="240"/>
        <v/>
      </c>
      <c r="S653" s="536" t="str">
        <f>IF(Inventory!O650="","",Inventory!O650)</f>
        <v/>
      </c>
      <c r="T653" s="541" t="str">
        <f>IFERROR(IF(C653="","",IF(INDEX(xyWattage_Table,MATCH(M653,'Fixture Identities'!$B$9:$B$997,0),2)="Exit Sign",8760,IF(VLOOKUP(C653,xySpace_Type_Details,8,FALSE)="TRM",INDEX('General Information'!$AF$17:$AG$28,11,MATCH(N653,'General Information'!$AF$16:$AG$16,0)),HLOOKUP(VLOOKUP(C653,xySpace_Type_Details,8,FALSE),'General Information'!$P$15:$AG$28,13,FALSE)))),"")</f>
        <v/>
      </c>
      <c r="U653" s="542" t="str">
        <f>IFERROR(IF(C653="","",IF(INDEX(xyWattage_Table,MATCH(M653,'Fixture Identities'!$B$9:$B$997,0),2)="Exit Sign",1,IF(VLOOKUP(C653,xySpace_Type_Details,8,FALSE)="TRM",INDEX('General Information'!$AF$17:$AG$28,12,MATCH(N653,'General Information'!$AF$16:$AG$16,0)),HLOOKUP(VLOOKUP(C653,xySpace_Type_Details,8,FALSE),'General Information'!$P$15:$AG$28,14,FALSE)))),"")</f>
        <v/>
      </c>
      <c r="V653" s="542" t="str">
        <f>IFERROR(VLOOKUP(INDEX(xySpace_Type_Details,MATCH($C653,'General Information'!$C$40:$C$60,0),12),Lookups!$L$8:$N$12,2,FALSE),"")</f>
        <v/>
      </c>
      <c r="W653" s="542" t="str">
        <f>IFERROR(VLOOKUP(INDEX(xySpace_Type_Details,MATCH($C653,'General Information'!$C$40:$C$60,0),12),Lookups!$L$8:$N$12,3,FALSE),"")</f>
        <v/>
      </c>
      <c r="Y653" s="542" t="str">
        <f>IFERROR(IF(C653="","",IF(INDEX(xyWattage_Table,MATCH(M653,'Fixture Identities'!$B$9:$B$997,0),2)="Exit Sign",0,IF(PRJ_Type="Retrofit",VLOOKUP(I653,xySVG_Factors,2,FALSE),IF(AND(PRJ_Type="New Construction",Inventory!C650="N"),VLOOKUP(VLOOKUP(Building_Type,xyLPD_BuildingArea,5,FALSE),xySVG_Factors_NC,3,FALSE),0)))),"")</f>
        <v/>
      </c>
      <c r="Z653" s="544" t="str">
        <f>IFERROR(IF(C653="","",IF(INDEX(xyWattage_Table,MATCH(M653,'Fixture Identities'!$B$9:$B$997,0),2)="Exit Sign",0,VLOOKUP(S653,xySVG_Factors,2,FALSE))),"")</f>
        <v/>
      </c>
      <c r="AA653" s="545" t="str">
        <f t="shared" si="241"/>
        <v/>
      </c>
      <c r="AB653" s="542" t="str">
        <f t="shared" si="242"/>
        <v/>
      </c>
      <c r="AC653" s="539" t="str">
        <f t="shared" si="243"/>
        <v/>
      </c>
      <c r="AD653" s="546" t="str">
        <f t="shared" si="244"/>
        <v/>
      </c>
      <c r="AE653" s="539" t="str">
        <f t="shared" si="245"/>
        <v/>
      </c>
      <c r="AF653" s="546" t="str">
        <f t="shared" si="246"/>
        <v/>
      </c>
      <c r="AG653" s="539" t="str">
        <f t="shared" si="247"/>
        <v/>
      </c>
      <c r="AH653" s="32">
        <f t="shared" si="227"/>
        <v>0</v>
      </c>
      <c r="AI653" s="32">
        <f t="shared" si="228"/>
        <v>0</v>
      </c>
      <c r="AJ653" s="32">
        <f t="shared" si="229"/>
        <v>0</v>
      </c>
      <c r="AK653" t="str">
        <f t="shared" si="230"/>
        <v/>
      </c>
      <c r="AL653" t="str">
        <f t="shared" si="231"/>
        <v/>
      </c>
      <c r="AM653" t="str">
        <f t="shared" si="232"/>
        <v/>
      </c>
      <c r="AO653" t="str">
        <f>IFERROR(VLOOKUP(M653,'Fixture Identities'!$B$9:$O$1045,14,FALSE),"")</f>
        <v/>
      </c>
      <c r="AP653" t="str">
        <f t="shared" ref="AP653:AP716" si="248">IF(M654="Signage",G654,"")</f>
        <v/>
      </c>
    </row>
    <row r="654" spans="1:42">
      <c r="A654" s="71">
        <f t="shared" si="234"/>
        <v>0</v>
      </c>
      <c r="B654" s="513">
        <f t="shared" si="233"/>
        <v>642</v>
      </c>
      <c r="C654" s="530" t="str">
        <f>IF(Inventory!E651="","",Inventory!E651)</f>
        <v/>
      </c>
      <c r="D654" s="531">
        <f>IF(Inventory!D651="",0,Inventory!D651)</f>
        <v>0</v>
      </c>
      <c r="E654" s="532" t="str">
        <f>IF(Inventory!I651=0,"",Inventory!I651)</f>
        <v/>
      </c>
      <c r="F654" s="533" t="str">
        <f t="shared" si="235"/>
        <v/>
      </c>
      <c r="G654" s="534" t="str">
        <f>IF(Inventory!G651="","",Inventory!G651)</f>
        <v/>
      </c>
      <c r="H654" s="535" t="str">
        <f t="shared" si="236"/>
        <v/>
      </c>
      <c r="I654" s="536" t="str">
        <f>IF(Inventory!J651="","",Inventory!J651)</f>
        <v/>
      </c>
      <c r="J654" s="537" t="str">
        <f>IFERROR(IF(PRJ_Type="New Construction",IF(Inventory!C651="N",INDEX(xyLPD_BuildingArea,MATCH(Building_Type,Lookups!$F$37:$F$75,0),4),INDEX(xyLPD_SpaceBySpace,MATCH(INDEX(xyNCEx,MATCH(I654,yNCExArea,0),2),ySpace_by_Space_Type,0),2)),VLOOKUP(E654,xyWattage_Table,11,FALSE)),"")</f>
        <v/>
      </c>
      <c r="K654" s="538" t="str">
        <f>IFERROR(IF(AND(NC_Type="Building Area Method",Inventory!C651="N"),IF(ISERROR(INDEX('Usage Groups (&gt;120 MWh only)'!$N$8:$N$12,MATCH(C654,'Usage Groups (&gt;120 MWh only)'!$B$8:$B$12,0),1))=TRUE,SqFt/COUNTIFS(Inventory!$C$10:$C$1009,"N",$Q$13:$Q$1012,"&gt;=0"),INDEX('Usage Groups (&gt;120 MWh only)'!$N$8:$N$12,MATCH(C654,'Usage Groups (&gt;120 MWh only)'!$B$8:$B$12,0),1)/COUNTIF($C$13:$C$1012,C654)),IF(AND(NC_Type="Building Area Method",Inventory!C651="Y"),INDEX(xyNCEx,MATCH(I654,yNCExArea,0),3)/COUNTIF($I$13:$I$1012,I654),VLOOKUP(J654,xyWattage_Table,10,FALSE))),"")</f>
        <v/>
      </c>
      <c r="L654" s="539" t="str">
        <f t="shared" si="237"/>
        <v/>
      </c>
      <c r="M654" s="540">
        <f>IF(Inventory!N651="","",Inventory!N651)</f>
        <v>0</v>
      </c>
      <c r="N654" s="533" t="str">
        <f t="shared" si="238"/>
        <v/>
      </c>
      <c r="O654" s="534"/>
      <c r="P654" s="533" t="str">
        <f t="shared" si="239"/>
        <v/>
      </c>
      <c r="Q654" s="534" t="str">
        <f>IF(Inventory!L651="","",Inventory!L651)</f>
        <v/>
      </c>
      <c r="R654" s="535" t="str">
        <f t="shared" si="240"/>
        <v/>
      </c>
      <c r="S654" s="536" t="str">
        <f>IF(Inventory!O651="","",Inventory!O651)</f>
        <v/>
      </c>
      <c r="T654" s="541" t="str">
        <f>IFERROR(IF(C654="","",IF(INDEX(xyWattage_Table,MATCH(M654,'Fixture Identities'!$B$9:$B$997,0),2)="Exit Sign",8760,IF(VLOOKUP(C654,xySpace_Type_Details,8,FALSE)="TRM",INDEX('General Information'!$AF$17:$AG$28,11,MATCH(N654,'General Information'!$AF$16:$AG$16,0)),HLOOKUP(VLOOKUP(C654,xySpace_Type_Details,8,FALSE),'General Information'!$P$15:$AG$28,13,FALSE)))),"")</f>
        <v/>
      </c>
      <c r="U654" s="542" t="str">
        <f>IFERROR(IF(C654="","",IF(INDEX(xyWattage_Table,MATCH(M654,'Fixture Identities'!$B$9:$B$997,0),2)="Exit Sign",1,IF(VLOOKUP(C654,xySpace_Type_Details,8,FALSE)="TRM",INDEX('General Information'!$AF$17:$AG$28,12,MATCH(N654,'General Information'!$AF$16:$AG$16,0)),HLOOKUP(VLOOKUP(C654,xySpace_Type_Details,8,FALSE),'General Information'!$P$15:$AG$28,14,FALSE)))),"")</f>
        <v/>
      </c>
      <c r="V654" s="542" t="str">
        <f>IFERROR(VLOOKUP(INDEX(xySpace_Type_Details,MATCH($C654,'General Information'!$C$40:$C$60,0),12),Lookups!$L$8:$N$12,2,FALSE),"")</f>
        <v/>
      </c>
      <c r="W654" s="542" t="str">
        <f>IFERROR(VLOOKUP(INDEX(xySpace_Type_Details,MATCH($C654,'General Information'!$C$40:$C$60,0),12),Lookups!$L$8:$N$12,3,FALSE),"")</f>
        <v/>
      </c>
      <c r="Y654" s="542" t="str">
        <f>IFERROR(IF(C654="","",IF(INDEX(xyWattage_Table,MATCH(M654,'Fixture Identities'!$B$9:$B$997,0),2)="Exit Sign",0,IF(PRJ_Type="Retrofit",VLOOKUP(I654,xySVG_Factors,2,FALSE),IF(AND(PRJ_Type="New Construction",Inventory!C651="N"),VLOOKUP(VLOOKUP(Building_Type,xyLPD_BuildingArea,5,FALSE),xySVG_Factors_NC,3,FALSE),0)))),"")</f>
        <v/>
      </c>
      <c r="Z654" s="544" t="str">
        <f>IFERROR(IF(C654="","",IF(INDEX(xyWattage_Table,MATCH(M654,'Fixture Identities'!$B$9:$B$997,0),2)="Exit Sign",0,VLOOKUP(S654,xySVG_Factors,2,FALSE))),"")</f>
        <v/>
      </c>
      <c r="AA654" s="545" t="str">
        <f t="shared" si="241"/>
        <v/>
      </c>
      <c r="AB654" s="542" t="str">
        <f t="shared" si="242"/>
        <v/>
      </c>
      <c r="AC654" s="539" t="str">
        <f t="shared" si="243"/>
        <v/>
      </c>
      <c r="AD654" s="546" t="str">
        <f t="shared" si="244"/>
        <v/>
      </c>
      <c r="AE654" s="539" t="str">
        <f t="shared" si="245"/>
        <v/>
      </c>
      <c r="AF654" s="546" t="str">
        <f t="shared" si="246"/>
        <v/>
      </c>
      <c r="AG654" s="539" t="str">
        <f t="shared" si="247"/>
        <v/>
      </c>
      <c r="AH654" s="32">
        <f t="shared" ref="AH654:AH717" si="249">IF(I654&lt;&gt;S654,R654,0)</f>
        <v>0</v>
      </c>
      <c r="AI654" s="32">
        <f t="shared" ref="AI654:AI717" si="250">IFERROR(VLOOKUP(E654,xyWattage_Table,8,FALSE)*G654,0)</f>
        <v>0</v>
      </c>
      <c r="AJ654" s="32">
        <f t="shared" ref="AJ654:AJ717" si="251">IFERROR(VLOOKUP(M654,xyWattage_Table,8,FALSE)*Q654,0)</f>
        <v>0</v>
      </c>
      <c r="AK654" t="str">
        <f t="shared" ref="AK654:AK717" si="252">IFERROR((L654)/1000,"")</f>
        <v/>
      </c>
      <c r="AL654" t="str">
        <f t="shared" ref="AL654:AL717" si="253">IFERROR(AK654*U654*(1+W654)*(1-Y654),"")</f>
        <v/>
      </c>
      <c r="AM654" t="str">
        <f t="shared" ref="AM654:AM717" si="254">IFERROR(AK654*T654*(1+V654)*(1-Y654),"")</f>
        <v/>
      </c>
      <c r="AO654" t="str">
        <f>IFERROR(VLOOKUP(M654,'Fixture Identities'!$B$9:$O$1045,14,FALSE),"")</f>
        <v/>
      </c>
      <c r="AP654" t="str">
        <f t="shared" si="248"/>
        <v/>
      </c>
    </row>
    <row r="655" spans="1:42">
      <c r="A655" s="71">
        <f t="shared" si="234"/>
        <v>0</v>
      </c>
      <c r="B655" s="513">
        <f t="shared" ref="B655:B718" si="255">B654+1</f>
        <v>643</v>
      </c>
      <c r="C655" s="530" t="str">
        <f>IF(Inventory!E652="","",Inventory!E652)</f>
        <v/>
      </c>
      <c r="D655" s="531">
        <f>IF(Inventory!D652="",0,Inventory!D652)</f>
        <v>0</v>
      </c>
      <c r="E655" s="532" t="str">
        <f>IF(Inventory!I652=0,"",Inventory!I652)</f>
        <v/>
      </c>
      <c r="F655" s="533" t="str">
        <f t="shared" si="235"/>
        <v/>
      </c>
      <c r="G655" s="534" t="str">
        <f>IF(Inventory!G652="","",Inventory!G652)</f>
        <v/>
      </c>
      <c r="H655" s="535" t="str">
        <f t="shared" si="236"/>
        <v/>
      </c>
      <c r="I655" s="536" t="str">
        <f>IF(Inventory!J652="","",Inventory!J652)</f>
        <v/>
      </c>
      <c r="J655" s="537" t="str">
        <f>IFERROR(IF(PRJ_Type="New Construction",IF(Inventory!C652="N",INDEX(xyLPD_BuildingArea,MATCH(Building_Type,Lookups!$F$37:$F$75,0),4),INDEX(xyLPD_SpaceBySpace,MATCH(INDEX(xyNCEx,MATCH(I655,yNCExArea,0),2),ySpace_by_Space_Type,0),2)),VLOOKUP(E655,xyWattage_Table,11,FALSE)),"")</f>
        <v/>
      </c>
      <c r="K655" s="538" t="str">
        <f>IFERROR(IF(AND(NC_Type="Building Area Method",Inventory!C652="N"),IF(ISERROR(INDEX('Usage Groups (&gt;120 MWh only)'!$N$8:$N$12,MATCH(C655,'Usage Groups (&gt;120 MWh only)'!$B$8:$B$12,0),1))=TRUE,SqFt/COUNTIFS(Inventory!$C$10:$C$1009,"N",$Q$13:$Q$1012,"&gt;=0"),INDEX('Usage Groups (&gt;120 MWh only)'!$N$8:$N$12,MATCH(C655,'Usage Groups (&gt;120 MWh only)'!$B$8:$B$12,0),1)/COUNTIF($C$13:$C$1012,C655)),IF(AND(NC_Type="Building Area Method",Inventory!C652="Y"),INDEX(xyNCEx,MATCH(I655,yNCExArea,0),3)/COUNTIF($I$13:$I$1012,I655),VLOOKUP(J655,xyWattage_Table,10,FALSE))),"")</f>
        <v/>
      </c>
      <c r="L655" s="539" t="str">
        <f t="shared" si="237"/>
        <v/>
      </c>
      <c r="M655" s="540">
        <f>IF(Inventory!N652="","",Inventory!N652)</f>
        <v>0</v>
      </c>
      <c r="N655" s="533" t="str">
        <f t="shared" si="238"/>
        <v/>
      </c>
      <c r="O655" s="534"/>
      <c r="P655" s="533" t="str">
        <f t="shared" si="239"/>
        <v/>
      </c>
      <c r="Q655" s="534" t="str">
        <f>IF(Inventory!L652="","",Inventory!L652)</f>
        <v/>
      </c>
      <c r="R655" s="535" t="str">
        <f t="shared" si="240"/>
        <v/>
      </c>
      <c r="S655" s="536" t="str">
        <f>IF(Inventory!O652="","",Inventory!O652)</f>
        <v/>
      </c>
      <c r="T655" s="541" t="str">
        <f>IFERROR(IF(C655="","",IF(INDEX(xyWattage_Table,MATCH(M655,'Fixture Identities'!$B$9:$B$997,0),2)="Exit Sign",8760,IF(VLOOKUP(C655,xySpace_Type_Details,8,FALSE)="TRM",INDEX('General Information'!$AF$17:$AG$28,11,MATCH(N655,'General Information'!$AF$16:$AG$16,0)),HLOOKUP(VLOOKUP(C655,xySpace_Type_Details,8,FALSE),'General Information'!$P$15:$AG$28,13,FALSE)))),"")</f>
        <v/>
      </c>
      <c r="U655" s="542" t="str">
        <f>IFERROR(IF(C655="","",IF(INDEX(xyWattage_Table,MATCH(M655,'Fixture Identities'!$B$9:$B$997,0),2)="Exit Sign",1,IF(VLOOKUP(C655,xySpace_Type_Details,8,FALSE)="TRM",INDEX('General Information'!$AF$17:$AG$28,12,MATCH(N655,'General Information'!$AF$16:$AG$16,0)),HLOOKUP(VLOOKUP(C655,xySpace_Type_Details,8,FALSE),'General Information'!$P$15:$AG$28,14,FALSE)))),"")</f>
        <v/>
      </c>
      <c r="V655" s="542" t="str">
        <f>IFERROR(VLOOKUP(INDEX(xySpace_Type_Details,MATCH($C655,'General Information'!$C$40:$C$60,0),12),Lookups!$L$8:$N$12,2,FALSE),"")</f>
        <v/>
      </c>
      <c r="W655" s="542" t="str">
        <f>IFERROR(VLOOKUP(INDEX(xySpace_Type_Details,MATCH($C655,'General Information'!$C$40:$C$60,0),12),Lookups!$L$8:$N$12,3,FALSE),"")</f>
        <v/>
      </c>
      <c r="Y655" s="542" t="str">
        <f>IFERROR(IF(C655="","",IF(INDEX(xyWattage_Table,MATCH(M655,'Fixture Identities'!$B$9:$B$997,0),2)="Exit Sign",0,IF(PRJ_Type="Retrofit",VLOOKUP(I655,xySVG_Factors,2,FALSE),IF(AND(PRJ_Type="New Construction",Inventory!C652="N"),VLOOKUP(VLOOKUP(Building_Type,xyLPD_BuildingArea,5,FALSE),xySVG_Factors_NC,3,FALSE),0)))),"")</f>
        <v/>
      </c>
      <c r="Z655" s="544" t="str">
        <f>IFERROR(IF(C655="","",IF(INDEX(xyWattage_Table,MATCH(M655,'Fixture Identities'!$B$9:$B$997,0),2)="Exit Sign",0,VLOOKUP(S655,xySVG_Factors,2,FALSE))),"")</f>
        <v/>
      </c>
      <c r="AA655" s="545" t="str">
        <f t="shared" si="241"/>
        <v/>
      </c>
      <c r="AB655" s="542" t="str">
        <f t="shared" si="242"/>
        <v/>
      </c>
      <c r="AC655" s="539" t="str">
        <f t="shared" si="243"/>
        <v/>
      </c>
      <c r="AD655" s="546" t="str">
        <f t="shared" si="244"/>
        <v/>
      </c>
      <c r="AE655" s="539" t="str">
        <f t="shared" si="245"/>
        <v/>
      </c>
      <c r="AF655" s="546" t="str">
        <f t="shared" si="246"/>
        <v/>
      </c>
      <c r="AG655" s="539" t="str">
        <f t="shared" si="247"/>
        <v/>
      </c>
      <c r="AH655" s="32">
        <f t="shared" si="249"/>
        <v>0</v>
      </c>
      <c r="AI655" s="32">
        <f t="shared" si="250"/>
        <v>0</v>
      </c>
      <c r="AJ655" s="32">
        <f t="shared" si="251"/>
        <v>0</v>
      </c>
      <c r="AK655" t="str">
        <f t="shared" si="252"/>
        <v/>
      </c>
      <c r="AL655" t="str">
        <f t="shared" si="253"/>
        <v/>
      </c>
      <c r="AM655" t="str">
        <f t="shared" si="254"/>
        <v/>
      </c>
      <c r="AO655" t="str">
        <f>IFERROR(VLOOKUP(M655,'Fixture Identities'!$B$9:$O$1045,14,FALSE),"")</f>
        <v/>
      </c>
      <c r="AP655" t="str">
        <f t="shared" si="248"/>
        <v/>
      </c>
    </row>
    <row r="656" spans="1:42">
      <c r="A656" s="71">
        <f t="shared" si="234"/>
        <v>0</v>
      </c>
      <c r="B656" s="513">
        <f t="shared" si="255"/>
        <v>644</v>
      </c>
      <c r="C656" s="530" t="str">
        <f>IF(Inventory!E653="","",Inventory!E653)</f>
        <v/>
      </c>
      <c r="D656" s="531">
        <f>IF(Inventory!D653="",0,Inventory!D653)</f>
        <v>0</v>
      </c>
      <c r="E656" s="532" t="str">
        <f>IF(Inventory!I653=0,"",Inventory!I653)</f>
        <v/>
      </c>
      <c r="F656" s="533" t="str">
        <f t="shared" si="235"/>
        <v/>
      </c>
      <c r="G656" s="534" t="str">
        <f>IF(Inventory!G653="","",Inventory!G653)</f>
        <v/>
      </c>
      <c r="H656" s="535" t="str">
        <f t="shared" si="236"/>
        <v/>
      </c>
      <c r="I656" s="536" t="str">
        <f>IF(Inventory!J653="","",Inventory!J653)</f>
        <v/>
      </c>
      <c r="J656" s="537" t="str">
        <f>IFERROR(IF(PRJ_Type="New Construction",IF(Inventory!C653="N",INDEX(xyLPD_BuildingArea,MATCH(Building_Type,Lookups!$F$37:$F$75,0),4),INDEX(xyLPD_SpaceBySpace,MATCH(INDEX(xyNCEx,MATCH(I656,yNCExArea,0),2),ySpace_by_Space_Type,0),2)),VLOOKUP(E656,xyWattage_Table,11,FALSE)),"")</f>
        <v/>
      </c>
      <c r="K656" s="538" t="str">
        <f>IFERROR(IF(AND(NC_Type="Building Area Method",Inventory!C653="N"),IF(ISERROR(INDEX('Usage Groups (&gt;120 MWh only)'!$N$8:$N$12,MATCH(C656,'Usage Groups (&gt;120 MWh only)'!$B$8:$B$12,0),1))=TRUE,SqFt/COUNTIFS(Inventory!$C$10:$C$1009,"N",$Q$13:$Q$1012,"&gt;=0"),INDEX('Usage Groups (&gt;120 MWh only)'!$N$8:$N$12,MATCH(C656,'Usage Groups (&gt;120 MWh only)'!$B$8:$B$12,0),1)/COUNTIF($C$13:$C$1012,C656)),IF(AND(NC_Type="Building Area Method",Inventory!C653="Y"),INDEX(xyNCEx,MATCH(I656,yNCExArea,0),3)/COUNTIF($I$13:$I$1012,I656),VLOOKUP(J656,xyWattage_Table,10,FALSE))),"")</f>
        <v/>
      </c>
      <c r="L656" s="539" t="str">
        <f t="shared" si="237"/>
        <v/>
      </c>
      <c r="M656" s="540">
        <f>IF(Inventory!N653="","",Inventory!N653)</f>
        <v>0</v>
      </c>
      <c r="N656" s="533" t="str">
        <f t="shared" si="238"/>
        <v/>
      </c>
      <c r="O656" s="534"/>
      <c r="P656" s="533" t="str">
        <f t="shared" si="239"/>
        <v/>
      </c>
      <c r="Q656" s="534" t="str">
        <f>IF(Inventory!L653="","",Inventory!L653)</f>
        <v/>
      </c>
      <c r="R656" s="535" t="str">
        <f t="shared" si="240"/>
        <v/>
      </c>
      <c r="S656" s="536" t="str">
        <f>IF(Inventory!O653="","",Inventory!O653)</f>
        <v/>
      </c>
      <c r="T656" s="541" t="str">
        <f>IFERROR(IF(C656="","",IF(INDEX(xyWattage_Table,MATCH(M656,'Fixture Identities'!$B$9:$B$997,0),2)="Exit Sign",8760,IF(VLOOKUP(C656,xySpace_Type_Details,8,FALSE)="TRM",INDEX('General Information'!$AF$17:$AG$28,11,MATCH(N656,'General Information'!$AF$16:$AG$16,0)),HLOOKUP(VLOOKUP(C656,xySpace_Type_Details,8,FALSE),'General Information'!$P$15:$AG$28,13,FALSE)))),"")</f>
        <v/>
      </c>
      <c r="U656" s="542" t="str">
        <f>IFERROR(IF(C656="","",IF(INDEX(xyWattage_Table,MATCH(M656,'Fixture Identities'!$B$9:$B$997,0),2)="Exit Sign",1,IF(VLOOKUP(C656,xySpace_Type_Details,8,FALSE)="TRM",INDEX('General Information'!$AF$17:$AG$28,12,MATCH(N656,'General Information'!$AF$16:$AG$16,0)),HLOOKUP(VLOOKUP(C656,xySpace_Type_Details,8,FALSE),'General Information'!$P$15:$AG$28,14,FALSE)))),"")</f>
        <v/>
      </c>
      <c r="V656" s="542" t="str">
        <f>IFERROR(VLOOKUP(INDEX(xySpace_Type_Details,MATCH($C656,'General Information'!$C$40:$C$60,0),12),Lookups!$L$8:$N$12,2,FALSE),"")</f>
        <v/>
      </c>
      <c r="W656" s="542" t="str">
        <f>IFERROR(VLOOKUP(INDEX(xySpace_Type_Details,MATCH($C656,'General Information'!$C$40:$C$60,0),12),Lookups!$L$8:$N$12,3,FALSE),"")</f>
        <v/>
      </c>
      <c r="Y656" s="542" t="str">
        <f>IFERROR(IF(C656="","",IF(INDEX(xyWattage_Table,MATCH(M656,'Fixture Identities'!$B$9:$B$997,0),2)="Exit Sign",0,IF(PRJ_Type="Retrofit",VLOOKUP(I656,xySVG_Factors,2,FALSE),IF(AND(PRJ_Type="New Construction",Inventory!C653="N"),VLOOKUP(VLOOKUP(Building_Type,xyLPD_BuildingArea,5,FALSE),xySVG_Factors_NC,3,FALSE),0)))),"")</f>
        <v/>
      </c>
      <c r="Z656" s="544" t="str">
        <f>IFERROR(IF(C656="","",IF(INDEX(xyWattage_Table,MATCH(M656,'Fixture Identities'!$B$9:$B$997,0),2)="Exit Sign",0,VLOOKUP(S656,xySVG_Factors,2,FALSE))),"")</f>
        <v/>
      </c>
      <c r="AA656" s="545" t="str">
        <f t="shared" si="241"/>
        <v/>
      </c>
      <c r="AB656" s="542" t="str">
        <f t="shared" si="242"/>
        <v/>
      </c>
      <c r="AC656" s="539" t="str">
        <f t="shared" si="243"/>
        <v/>
      </c>
      <c r="AD656" s="546" t="str">
        <f t="shared" si="244"/>
        <v/>
      </c>
      <c r="AE656" s="539" t="str">
        <f t="shared" si="245"/>
        <v/>
      </c>
      <c r="AF656" s="546" t="str">
        <f t="shared" si="246"/>
        <v/>
      </c>
      <c r="AG656" s="539" t="str">
        <f t="shared" si="247"/>
        <v/>
      </c>
      <c r="AH656" s="32">
        <f t="shared" si="249"/>
        <v>0</v>
      </c>
      <c r="AI656" s="32">
        <f t="shared" si="250"/>
        <v>0</v>
      </c>
      <c r="AJ656" s="32">
        <f t="shared" si="251"/>
        <v>0</v>
      </c>
      <c r="AK656" t="str">
        <f t="shared" si="252"/>
        <v/>
      </c>
      <c r="AL656" t="str">
        <f t="shared" si="253"/>
        <v/>
      </c>
      <c r="AM656" t="str">
        <f t="shared" si="254"/>
        <v/>
      </c>
      <c r="AO656" t="str">
        <f>IFERROR(VLOOKUP(M656,'Fixture Identities'!$B$9:$O$1045,14,FALSE),"")</f>
        <v/>
      </c>
      <c r="AP656" t="str">
        <f t="shared" si="248"/>
        <v/>
      </c>
    </row>
    <row r="657" spans="1:42">
      <c r="A657" s="71">
        <f t="shared" si="234"/>
        <v>0</v>
      </c>
      <c r="B657" s="513">
        <f t="shared" si="255"/>
        <v>645</v>
      </c>
      <c r="C657" s="530" t="str">
        <f>IF(Inventory!E654="","",Inventory!E654)</f>
        <v/>
      </c>
      <c r="D657" s="531">
        <f>IF(Inventory!D654="",0,Inventory!D654)</f>
        <v>0</v>
      </c>
      <c r="E657" s="532" t="str">
        <f>IF(Inventory!I654=0,"",Inventory!I654)</f>
        <v/>
      </c>
      <c r="F657" s="533" t="str">
        <f t="shared" si="235"/>
        <v/>
      </c>
      <c r="G657" s="534" t="str">
        <f>IF(Inventory!G654="","",Inventory!G654)</f>
        <v/>
      </c>
      <c r="H657" s="535" t="str">
        <f t="shared" si="236"/>
        <v/>
      </c>
      <c r="I657" s="536" t="str">
        <f>IF(Inventory!J654="","",Inventory!J654)</f>
        <v/>
      </c>
      <c r="J657" s="537" t="str">
        <f>IFERROR(IF(PRJ_Type="New Construction",IF(Inventory!C654="N",INDEX(xyLPD_BuildingArea,MATCH(Building_Type,Lookups!$F$37:$F$75,0),4),INDEX(xyLPD_SpaceBySpace,MATCH(INDEX(xyNCEx,MATCH(I657,yNCExArea,0),2),ySpace_by_Space_Type,0),2)),VLOOKUP(E657,xyWattage_Table,11,FALSE)),"")</f>
        <v/>
      </c>
      <c r="K657" s="538" t="str">
        <f>IFERROR(IF(AND(NC_Type="Building Area Method",Inventory!C654="N"),IF(ISERROR(INDEX('Usage Groups (&gt;120 MWh only)'!$N$8:$N$12,MATCH(C657,'Usage Groups (&gt;120 MWh only)'!$B$8:$B$12,0),1))=TRUE,SqFt/COUNTIFS(Inventory!$C$10:$C$1009,"N",$Q$13:$Q$1012,"&gt;=0"),INDEX('Usage Groups (&gt;120 MWh only)'!$N$8:$N$12,MATCH(C657,'Usage Groups (&gt;120 MWh only)'!$B$8:$B$12,0),1)/COUNTIF($C$13:$C$1012,C657)),IF(AND(NC_Type="Building Area Method",Inventory!C654="Y"),INDEX(xyNCEx,MATCH(I657,yNCExArea,0),3)/COUNTIF($I$13:$I$1012,I657),VLOOKUP(J657,xyWattage_Table,10,FALSE))),"")</f>
        <v/>
      </c>
      <c r="L657" s="539" t="str">
        <f t="shared" si="237"/>
        <v/>
      </c>
      <c r="M657" s="540">
        <f>IF(Inventory!N654="","",Inventory!N654)</f>
        <v>0</v>
      </c>
      <c r="N657" s="533" t="str">
        <f t="shared" si="238"/>
        <v/>
      </c>
      <c r="O657" s="534"/>
      <c r="P657" s="533" t="str">
        <f t="shared" si="239"/>
        <v/>
      </c>
      <c r="Q657" s="534" t="str">
        <f>IF(Inventory!L654="","",Inventory!L654)</f>
        <v/>
      </c>
      <c r="R657" s="535" t="str">
        <f t="shared" si="240"/>
        <v/>
      </c>
      <c r="S657" s="536" t="str">
        <f>IF(Inventory!O654="","",Inventory!O654)</f>
        <v/>
      </c>
      <c r="T657" s="541" t="str">
        <f>IFERROR(IF(C657="","",IF(INDEX(xyWattage_Table,MATCH(M657,'Fixture Identities'!$B$9:$B$997,0),2)="Exit Sign",8760,IF(VLOOKUP(C657,xySpace_Type_Details,8,FALSE)="TRM",INDEX('General Information'!$AF$17:$AG$28,11,MATCH(N657,'General Information'!$AF$16:$AG$16,0)),HLOOKUP(VLOOKUP(C657,xySpace_Type_Details,8,FALSE),'General Information'!$P$15:$AG$28,13,FALSE)))),"")</f>
        <v/>
      </c>
      <c r="U657" s="542" t="str">
        <f>IFERROR(IF(C657="","",IF(INDEX(xyWattage_Table,MATCH(M657,'Fixture Identities'!$B$9:$B$997,0),2)="Exit Sign",1,IF(VLOOKUP(C657,xySpace_Type_Details,8,FALSE)="TRM",INDEX('General Information'!$AF$17:$AG$28,12,MATCH(N657,'General Information'!$AF$16:$AG$16,0)),HLOOKUP(VLOOKUP(C657,xySpace_Type_Details,8,FALSE),'General Information'!$P$15:$AG$28,14,FALSE)))),"")</f>
        <v/>
      </c>
      <c r="V657" s="542" t="str">
        <f>IFERROR(VLOOKUP(INDEX(xySpace_Type_Details,MATCH($C657,'General Information'!$C$40:$C$60,0),12),Lookups!$L$8:$N$12,2,FALSE),"")</f>
        <v/>
      </c>
      <c r="W657" s="542" t="str">
        <f>IFERROR(VLOOKUP(INDEX(xySpace_Type_Details,MATCH($C657,'General Information'!$C$40:$C$60,0),12),Lookups!$L$8:$N$12,3,FALSE),"")</f>
        <v/>
      </c>
      <c r="Y657" s="542" t="str">
        <f>IFERROR(IF(C657="","",IF(INDEX(xyWattage_Table,MATCH(M657,'Fixture Identities'!$B$9:$B$997,0),2)="Exit Sign",0,IF(PRJ_Type="Retrofit",VLOOKUP(I657,xySVG_Factors,2,FALSE),IF(AND(PRJ_Type="New Construction",Inventory!C654="N"),VLOOKUP(VLOOKUP(Building_Type,xyLPD_BuildingArea,5,FALSE),xySVG_Factors_NC,3,FALSE),0)))),"")</f>
        <v/>
      </c>
      <c r="Z657" s="544" t="str">
        <f>IFERROR(IF(C657="","",IF(INDEX(xyWattage_Table,MATCH(M657,'Fixture Identities'!$B$9:$B$997,0),2)="Exit Sign",0,VLOOKUP(S657,xySVG_Factors,2,FALSE))),"")</f>
        <v/>
      </c>
      <c r="AA657" s="545" t="str">
        <f t="shared" si="241"/>
        <v/>
      </c>
      <c r="AB657" s="542" t="str">
        <f t="shared" si="242"/>
        <v/>
      </c>
      <c r="AC657" s="539" t="str">
        <f t="shared" si="243"/>
        <v/>
      </c>
      <c r="AD657" s="546" t="str">
        <f t="shared" si="244"/>
        <v/>
      </c>
      <c r="AE657" s="539" t="str">
        <f t="shared" si="245"/>
        <v/>
      </c>
      <c r="AF657" s="546" t="str">
        <f t="shared" si="246"/>
        <v/>
      </c>
      <c r="AG657" s="539" t="str">
        <f t="shared" si="247"/>
        <v/>
      </c>
      <c r="AH657" s="32">
        <f t="shared" si="249"/>
        <v>0</v>
      </c>
      <c r="AI657" s="32">
        <f t="shared" si="250"/>
        <v>0</v>
      </c>
      <c r="AJ657" s="32">
        <f t="shared" si="251"/>
        <v>0</v>
      </c>
      <c r="AK657" t="str">
        <f t="shared" si="252"/>
        <v/>
      </c>
      <c r="AL657" t="str">
        <f t="shared" si="253"/>
        <v/>
      </c>
      <c r="AM657" t="str">
        <f t="shared" si="254"/>
        <v/>
      </c>
      <c r="AO657" t="str">
        <f>IFERROR(VLOOKUP(M657,'Fixture Identities'!$B$9:$O$1045,14,FALSE),"")</f>
        <v/>
      </c>
      <c r="AP657" t="str">
        <f t="shared" si="248"/>
        <v/>
      </c>
    </row>
    <row r="658" spans="1:42">
      <c r="A658" s="71">
        <f t="shared" ref="A658:A721" si="256">IF(E658&lt;&gt;J658,1,0)</f>
        <v>0</v>
      </c>
      <c r="B658" s="513">
        <f t="shared" si="255"/>
        <v>646</v>
      </c>
      <c r="C658" s="530" t="str">
        <f>IF(Inventory!E655="","",Inventory!E655)</f>
        <v/>
      </c>
      <c r="D658" s="531">
        <f>IF(Inventory!D655="",0,Inventory!D655)</f>
        <v>0</v>
      </c>
      <c r="E658" s="532" t="str">
        <f>IF(Inventory!I655=0,"",Inventory!I655)</f>
        <v/>
      </c>
      <c r="F658" s="533" t="str">
        <f t="shared" si="235"/>
        <v/>
      </c>
      <c r="G658" s="534" t="str">
        <f>IF(Inventory!G655="","",Inventory!G655)</f>
        <v/>
      </c>
      <c r="H658" s="535" t="str">
        <f t="shared" si="236"/>
        <v/>
      </c>
      <c r="I658" s="536" t="str">
        <f>IF(Inventory!J655="","",Inventory!J655)</f>
        <v/>
      </c>
      <c r="J658" s="537" t="str">
        <f>IFERROR(IF(PRJ_Type="New Construction",IF(Inventory!C655="N",INDEX(xyLPD_BuildingArea,MATCH(Building_Type,Lookups!$F$37:$F$75,0),4),INDEX(xyLPD_SpaceBySpace,MATCH(INDEX(xyNCEx,MATCH(I658,yNCExArea,0),2),ySpace_by_Space_Type,0),2)),VLOOKUP(E658,xyWattage_Table,11,FALSE)),"")</f>
        <v/>
      </c>
      <c r="K658" s="538" t="str">
        <f>IFERROR(IF(AND(NC_Type="Building Area Method",Inventory!C655="N"),IF(ISERROR(INDEX('Usage Groups (&gt;120 MWh only)'!$N$8:$N$12,MATCH(C658,'Usage Groups (&gt;120 MWh only)'!$B$8:$B$12,0),1))=TRUE,SqFt/COUNTIFS(Inventory!$C$10:$C$1009,"N",$Q$13:$Q$1012,"&gt;=0"),INDEX('Usage Groups (&gt;120 MWh only)'!$N$8:$N$12,MATCH(C658,'Usage Groups (&gt;120 MWh only)'!$B$8:$B$12,0),1)/COUNTIF($C$13:$C$1012,C658)),IF(AND(NC_Type="Building Area Method",Inventory!C655="Y"),INDEX(xyNCEx,MATCH(I658,yNCExArea,0),3)/COUNTIF($I$13:$I$1012,I658),VLOOKUP(J658,xyWattage_Table,10,FALSE))),"")</f>
        <v/>
      </c>
      <c r="L658" s="539" t="str">
        <f t="shared" si="237"/>
        <v/>
      </c>
      <c r="M658" s="540">
        <f>IF(Inventory!N655="","",Inventory!N655)</f>
        <v>0</v>
      </c>
      <c r="N658" s="533" t="str">
        <f t="shared" si="238"/>
        <v/>
      </c>
      <c r="O658" s="534"/>
      <c r="P658" s="533" t="str">
        <f t="shared" si="239"/>
        <v/>
      </c>
      <c r="Q658" s="534" t="str">
        <f>IF(Inventory!L655="","",Inventory!L655)</f>
        <v/>
      </c>
      <c r="R658" s="535" t="str">
        <f t="shared" si="240"/>
        <v/>
      </c>
      <c r="S658" s="536" t="str">
        <f>IF(Inventory!O655="","",Inventory!O655)</f>
        <v/>
      </c>
      <c r="T658" s="541" t="str">
        <f>IFERROR(IF(C658="","",IF(INDEX(xyWattage_Table,MATCH(M658,'Fixture Identities'!$B$9:$B$997,0),2)="Exit Sign",8760,IF(VLOOKUP(C658,xySpace_Type_Details,8,FALSE)="TRM",INDEX('General Information'!$AF$17:$AG$28,11,MATCH(N658,'General Information'!$AF$16:$AG$16,0)),HLOOKUP(VLOOKUP(C658,xySpace_Type_Details,8,FALSE),'General Information'!$P$15:$AG$28,13,FALSE)))),"")</f>
        <v/>
      </c>
      <c r="U658" s="542" t="str">
        <f>IFERROR(IF(C658="","",IF(INDEX(xyWattage_Table,MATCH(M658,'Fixture Identities'!$B$9:$B$997,0),2)="Exit Sign",1,IF(VLOOKUP(C658,xySpace_Type_Details,8,FALSE)="TRM",INDEX('General Information'!$AF$17:$AG$28,12,MATCH(N658,'General Information'!$AF$16:$AG$16,0)),HLOOKUP(VLOOKUP(C658,xySpace_Type_Details,8,FALSE),'General Information'!$P$15:$AG$28,14,FALSE)))),"")</f>
        <v/>
      </c>
      <c r="V658" s="542" t="str">
        <f>IFERROR(VLOOKUP(INDEX(xySpace_Type_Details,MATCH($C658,'General Information'!$C$40:$C$60,0),12),Lookups!$L$8:$N$12,2,FALSE),"")</f>
        <v/>
      </c>
      <c r="W658" s="542" t="str">
        <f>IFERROR(VLOOKUP(INDEX(xySpace_Type_Details,MATCH($C658,'General Information'!$C$40:$C$60,0),12),Lookups!$L$8:$N$12,3,FALSE),"")</f>
        <v/>
      </c>
      <c r="Y658" s="542" t="str">
        <f>IFERROR(IF(C658="","",IF(INDEX(xyWattage_Table,MATCH(M658,'Fixture Identities'!$B$9:$B$997,0),2)="Exit Sign",0,IF(PRJ_Type="Retrofit",VLOOKUP(I658,xySVG_Factors,2,FALSE),IF(AND(PRJ_Type="New Construction",Inventory!C655="N"),VLOOKUP(VLOOKUP(Building_Type,xyLPD_BuildingArea,5,FALSE),xySVG_Factors_NC,3,FALSE),0)))),"")</f>
        <v/>
      </c>
      <c r="Z658" s="544" t="str">
        <f>IFERROR(IF(C658="","",IF(INDEX(xyWattage_Table,MATCH(M658,'Fixture Identities'!$B$9:$B$997,0),2)="Exit Sign",0,VLOOKUP(S658,xySVG_Factors,2,FALSE))),"")</f>
        <v/>
      </c>
      <c r="AA658" s="545" t="str">
        <f t="shared" si="241"/>
        <v/>
      </c>
      <c r="AB658" s="542" t="str">
        <f t="shared" si="242"/>
        <v/>
      </c>
      <c r="AC658" s="539" t="str">
        <f t="shared" si="243"/>
        <v/>
      </c>
      <c r="AD658" s="546" t="str">
        <f t="shared" si="244"/>
        <v/>
      </c>
      <c r="AE658" s="539" t="str">
        <f t="shared" si="245"/>
        <v/>
      </c>
      <c r="AF658" s="546" t="str">
        <f t="shared" si="246"/>
        <v/>
      </c>
      <c r="AG658" s="539" t="str">
        <f t="shared" si="247"/>
        <v/>
      </c>
      <c r="AH658" s="32">
        <f t="shared" si="249"/>
        <v>0</v>
      </c>
      <c r="AI658" s="32">
        <f t="shared" si="250"/>
        <v>0</v>
      </c>
      <c r="AJ658" s="32">
        <f t="shared" si="251"/>
        <v>0</v>
      </c>
      <c r="AK658" t="str">
        <f t="shared" si="252"/>
        <v/>
      </c>
      <c r="AL658" t="str">
        <f t="shared" si="253"/>
        <v/>
      </c>
      <c r="AM658" t="str">
        <f t="shared" si="254"/>
        <v/>
      </c>
      <c r="AO658" t="str">
        <f>IFERROR(VLOOKUP(M658,'Fixture Identities'!$B$9:$O$1045,14,FALSE),"")</f>
        <v/>
      </c>
      <c r="AP658" t="str">
        <f t="shared" si="248"/>
        <v/>
      </c>
    </row>
    <row r="659" spans="1:42">
      <c r="A659" s="71">
        <f t="shared" si="256"/>
        <v>0</v>
      </c>
      <c r="B659" s="513">
        <f t="shared" si="255"/>
        <v>647</v>
      </c>
      <c r="C659" s="530" t="str">
        <f>IF(Inventory!E656="","",Inventory!E656)</f>
        <v/>
      </c>
      <c r="D659" s="531">
        <f>IF(Inventory!D656="",0,Inventory!D656)</f>
        <v>0</v>
      </c>
      <c r="E659" s="532" t="str">
        <f>IF(Inventory!I656=0,"",Inventory!I656)</f>
        <v/>
      </c>
      <c r="F659" s="533" t="str">
        <f t="shared" si="235"/>
        <v/>
      </c>
      <c r="G659" s="534" t="str">
        <f>IF(Inventory!G656="","",Inventory!G656)</f>
        <v/>
      </c>
      <c r="H659" s="535" t="str">
        <f t="shared" si="236"/>
        <v/>
      </c>
      <c r="I659" s="536" t="str">
        <f>IF(Inventory!J656="","",Inventory!J656)</f>
        <v/>
      </c>
      <c r="J659" s="537" t="str">
        <f>IFERROR(IF(PRJ_Type="New Construction",IF(Inventory!C656="N",INDEX(xyLPD_BuildingArea,MATCH(Building_Type,Lookups!$F$37:$F$75,0),4),INDEX(xyLPD_SpaceBySpace,MATCH(INDEX(xyNCEx,MATCH(I659,yNCExArea,0),2),ySpace_by_Space_Type,0),2)),VLOOKUP(E659,xyWattage_Table,11,FALSE)),"")</f>
        <v/>
      </c>
      <c r="K659" s="538" t="str">
        <f>IFERROR(IF(AND(NC_Type="Building Area Method",Inventory!C656="N"),IF(ISERROR(INDEX('Usage Groups (&gt;120 MWh only)'!$N$8:$N$12,MATCH(C659,'Usage Groups (&gt;120 MWh only)'!$B$8:$B$12,0),1))=TRUE,SqFt/COUNTIFS(Inventory!$C$10:$C$1009,"N",$Q$13:$Q$1012,"&gt;=0"),INDEX('Usage Groups (&gt;120 MWh only)'!$N$8:$N$12,MATCH(C659,'Usage Groups (&gt;120 MWh only)'!$B$8:$B$12,0),1)/COUNTIF($C$13:$C$1012,C659)),IF(AND(NC_Type="Building Area Method",Inventory!C656="Y"),INDEX(xyNCEx,MATCH(I659,yNCExArea,0),3)/COUNTIF($I$13:$I$1012,I659),VLOOKUP(J659,xyWattage_Table,10,FALSE))),"")</f>
        <v/>
      </c>
      <c r="L659" s="539" t="str">
        <f t="shared" si="237"/>
        <v/>
      </c>
      <c r="M659" s="540">
        <f>IF(Inventory!N656="","",Inventory!N656)</f>
        <v>0</v>
      </c>
      <c r="N659" s="533" t="str">
        <f t="shared" si="238"/>
        <v/>
      </c>
      <c r="O659" s="534"/>
      <c r="P659" s="533" t="str">
        <f t="shared" si="239"/>
        <v/>
      </c>
      <c r="Q659" s="534" t="str">
        <f>IF(Inventory!L656="","",Inventory!L656)</f>
        <v/>
      </c>
      <c r="R659" s="535" t="str">
        <f t="shared" si="240"/>
        <v/>
      </c>
      <c r="S659" s="536" t="str">
        <f>IF(Inventory!O656="","",Inventory!O656)</f>
        <v/>
      </c>
      <c r="T659" s="541" t="str">
        <f>IFERROR(IF(C659="","",IF(INDEX(xyWattage_Table,MATCH(M659,'Fixture Identities'!$B$9:$B$997,0),2)="Exit Sign",8760,IF(VLOOKUP(C659,xySpace_Type_Details,8,FALSE)="TRM",INDEX('General Information'!$AF$17:$AG$28,11,MATCH(N659,'General Information'!$AF$16:$AG$16,0)),HLOOKUP(VLOOKUP(C659,xySpace_Type_Details,8,FALSE),'General Information'!$P$15:$AG$28,13,FALSE)))),"")</f>
        <v/>
      </c>
      <c r="U659" s="542" t="str">
        <f>IFERROR(IF(C659="","",IF(INDEX(xyWattage_Table,MATCH(M659,'Fixture Identities'!$B$9:$B$997,0),2)="Exit Sign",1,IF(VLOOKUP(C659,xySpace_Type_Details,8,FALSE)="TRM",INDEX('General Information'!$AF$17:$AG$28,12,MATCH(N659,'General Information'!$AF$16:$AG$16,0)),HLOOKUP(VLOOKUP(C659,xySpace_Type_Details,8,FALSE),'General Information'!$P$15:$AG$28,14,FALSE)))),"")</f>
        <v/>
      </c>
      <c r="V659" s="542" t="str">
        <f>IFERROR(VLOOKUP(INDEX(xySpace_Type_Details,MATCH($C659,'General Information'!$C$40:$C$60,0),12),Lookups!$L$8:$N$12,2,FALSE),"")</f>
        <v/>
      </c>
      <c r="W659" s="542" t="str">
        <f>IFERROR(VLOOKUP(INDEX(xySpace_Type_Details,MATCH($C659,'General Information'!$C$40:$C$60,0),12),Lookups!$L$8:$N$12,3,FALSE),"")</f>
        <v/>
      </c>
      <c r="Y659" s="542" t="str">
        <f>IFERROR(IF(C659="","",IF(INDEX(xyWattage_Table,MATCH(M659,'Fixture Identities'!$B$9:$B$997,0),2)="Exit Sign",0,IF(PRJ_Type="Retrofit",VLOOKUP(I659,xySVG_Factors,2,FALSE),IF(AND(PRJ_Type="New Construction",Inventory!C656="N"),VLOOKUP(VLOOKUP(Building_Type,xyLPD_BuildingArea,5,FALSE),xySVG_Factors_NC,3,FALSE),0)))),"")</f>
        <v/>
      </c>
      <c r="Z659" s="544" t="str">
        <f>IFERROR(IF(C659="","",IF(INDEX(xyWattage_Table,MATCH(M659,'Fixture Identities'!$B$9:$B$997,0),2)="Exit Sign",0,VLOOKUP(S659,xySVG_Factors,2,FALSE))),"")</f>
        <v/>
      </c>
      <c r="AA659" s="545" t="str">
        <f t="shared" si="241"/>
        <v/>
      </c>
      <c r="AB659" s="542" t="str">
        <f t="shared" si="242"/>
        <v/>
      </c>
      <c r="AC659" s="539" t="str">
        <f t="shared" si="243"/>
        <v/>
      </c>
      <c r="AD659" s="546" t="str">
        <f t="shared" si="244"/>
        <v/>
      </c>
      <c r="AE659" s="539" t="str">
        <f t="shared" si="245"/>
        <v/>
      </c>
      <c r="AF659" s="546" t="str">
        <f t="shared" si="246"/>
        <v/>
      </c>
      <c r="AG659" s="539" t="str">
        <f t="shared" si="247"/>
        <v/>
      </c>
      <c r="AH659" s="32">
        <f t="shared" si="249"/>
        <v>0</v>
      </c>
      <c r="AI659" s="32">
        <f t="shared" si="250"/>
        <v>0</v>
      </c>
      <c r="AJ659" s="32">
        <f t="shared" si="251"/>
        <v>0</v>
      </c>
      <c r="AK659" t="str">
        <f t="shared" si="252"/>
        <v/>
      </c>
      <c r="AL659" t="str">
        <f t="shared" si="253"/>
        <v/>
      </c>
      <c r="AM659" t="str">
        <f t="shared" si="254"/>
        <v/>
      </c>
      <c r="AO659" t="str">
        <f>IFERROR(VLOOKUP(M659,'Fixture Identities'!$B$9:$O$1045,14,FALSE),"")</f>
        <v/>
      </c>
      <c r="AP659" t="str">
        <f t="shared" si="248"/>
        <v/>
      </c>
    </row>
    <row r="660" spans="1:42">
      <c r="A660" s="71">
        <f t="shared" si="256"/>
        <v>0</v>
      </c>
      <c r="B660" s="513">
        <f t="shared" si="255"/>
        <v>648</v>
      </c>
      <c r="C660" s="530" t="str">
        <f>IF(Inventory!E657="","",Inventory!E657)</f>
        <v/>
      </c>
      <c r="D660" s="531">
        <f>IF(Inventory!D657="",0,Inventory!D657)</f>
        <v>0</v>
      </c>
      <c r="E660" s="532" t="str">
        <f>IF(Inventory!I657=0,"",Inventory!I657)</f>
        <v/>
      </c>
      <c r="F660" s="533" t="str">
        <f t="shared" si="235"/>
        <v/>
      </c>
      <c r="G660" s="534" t="str">
        <f>IF(Inventory!G657="","",Inventory!G657)</f>
        <v/>
      </c>
      <c r="H660" s="535" t="str">
        <f t="shared" si="236"/>
        <v/>
      </c>
      <c r="I660" s="536" t="str">
        <f>IF(Inventory!J657="","",Inventory!J657)</f>
        <v/>
      </c>
      <c r="J660" s="537" t="str">
        <f>IFERROR(IF(PRJ_Type="New Construction",IF(Inventory!C657="N",INDEX(xyLPD_BuildingArea,MATCH(Building_Type,Lookups!$F$37:$F$75,0),4),INDEX(xyLPD_SpaceBySpace,MATCH(INDEX(xyNCEx,MATCH(I660,yNCExArea,0),2),ySpace_by_Space_Type,0),2)),VLOOKUP(E660,xyWattage_Table,11,FALSE)),"")</f>
        <v/>
      </c>
      <c r="K660" s="538" t="str">
        <f>IFERROR(IF(AND(NC_Type="Building Area Method",Inventory!C657="N"),IF(ISERROR(INDEX('Usage Groups (&gt;120 MWh only)'!$N$8:$N$12,MATCH(C660,'Usage Groups (&gt;120 MWh only)'!$B$8:$B$12,0),1))=TRUE,SqFt/COUNTIFS(Inventory!$C$10:$C$1009,"N",$Q$13:$Q$1012,"&gt;=0"),INDEX('Usage Groups (&gt;120 MWh only)'!$N$8:$N$12,MATCH(C660,'Usage Groups (&gt;120 MWh only)'!$B$8:$B$12,0),1)/COUNTIF($C$13:$C$1012,C660)),IF(AND(NC_Type="Building Area Method",Inventory!C657="Y"),INDEX(xyNCEx,MATCH(I660,yNCExArea,0),3)/COUNTIF($I$13:$I$1012,I660),VLOOKUP(J660,xyWattage_Table,10,FALSE))),"")</f>
        <v/>
      </c>
      <c r="L660" s="539" t="str">
        <f t="shared" si="237"/>
        <v/>
      </c>
      <c r="M660" s="540">
        <f>IF(Inventory!N657="","",Inventory!N657)</f>
        <v>0</v>
      </c>
      <c r="N660" s="533" t="str">
        <f t="shared" si="238"/>
        <v/>
      </c>
      <c r="O660" s="534"/>
      <c r="P660" s="533" t="str">
        <f t="shared" si="239"/>
        <v/>
      </c>
      <c r="Q660" s="534" t="str">
        <f>IF(Inventory!L657="","",Inventory!L657)</f>
        <v/>
      </c>
      <c r="R660" s="535" t="str">
        <f t="shared" si="240"/>
        <v/>
      </c>
      <c r="S660" s="536" t="str">
        <f>IF(Inventory!O657="","",Inventory!O657)</f>
        <v/>
      </c>
      <c r="T660" s="541" t="str">
        <f>IFERROR(IF(C660="","",IF(INDEX(xyWattage_Table,MATCH(M660,'Fixture Identities'!$B$9:$B$997,0),2)="Exit Sign",8760,IF(VLOOKUP(C660,xySpace_Type_Details,8,FALSE)="TRM",INDEX('General Information'!$AF$17:$AG$28,11,MATCH(N660,'General Information'!$AF$16:$AG$16,0)),HLOOKUP(VLOOKUP(C660,xySpace_Type_Details,8,FALSE),'General Information'!$P$15:$AG$28,13,FALSE)))),"")</f>
        <v/>
      </c>
      <c r="U660" s="542" t="str">
        <f>IFERROR(IF(C660="","",IF(INDEX(xyWattage_Table,MATCH(M660,'Fixture Identities'!$B$9:$B$997,0),2)="Exit Sign",1,IF(VLOOKUP(C660,xySpace_Type_Details,8,FALSE)="TRM",INDEX('General Information'!$AF$17:$AG$28,12,MATCH(N660,'General Information'!$AF$16:$AG$16,0)),HLOOKUP(VLOOKUP(C660,xySpace_Type_Details,8,FALSE),'General Information'!$P$15:$AG$28,14,FALSE)))),"")</f>
        <v/>
      </c>
      <c r="V660" s="542" t="str">
        <f>IFERROR(VLOOKUP(INDEX(xySpace_Type_Details,MATCH($C660,'General Information'!$C$40:$C$60,0),12),Lookups!$L$8:$N$12,2,FALSE),"")</f>
        <v/>
      </c>
      <c r="W660" s="542" t="str">
        <f>IFERROR(VLOOKUP(INDEX(xySpace_Type_Details,MATCH($C660,'General Information'!$C$40:$C$60,0),12),Lookups!$L$8:$N$12,3,FALSE),"")</f>
        <v/>
      </c>
      <c r="Y660" s="542" t="str">
        <f>IFERROR(IF(C660="","",IF(INDEX(xyWattage_Table,MATCH(M660,'Fixture Identities'!$B$9:$B$997,0),2)="Exit Sign",0,IF(PRJ_Type="Retrofit",VLOOKUP(I660,xySVG_Factors,2,FALSE),IF(AND(PRJ_Type="New Construction",Inventory!C657="N"),VLOOKUP(VLOOKUP(Building_Type,xyLPD_BuildingArea,5,FALSE),xySVG_Factors_NC,3,FALSE),0)))),"")</f>
        <v/>
      </c>
      <c r="Z660" s="544" t="str">
        <f>IFERROR(IF(C660="","",IF(INDEX(xyWattage_Table,MATCH(M660,'Fixture Identities'!$B$9:$B$997,0),2)="Exit Sign",0,VLOOKUP(S660,xySVG_Factors,2,FALSE))),"")</f>
        <v/>
      </c>
      <c r="AA660" s="545" t="str">
        <f t="shared" si="241"/>
        <v/>
      </c>
      <c r="AB660" s="542" t="str">
        <f t="shared" si="242"/>
        <v/>
      </c>
      <c r="AC660" s="539" t="str">
        <f t="shared" si="243"/>
        <v/>
      </c>
      <c r="AD660" s="546" t="str">
        <f t="shared" si="244"/>
        <v/>
      </c>
      <c r="AE660" s="539" t="str">
        <f t="shared" si="245"/>
        <v/>
      </c>
      <c r="AF660" s="546" t="str">
        <f t="shared" si="246"/>
        <v/>
      </c>
      <c r="AG660" s="539" t="str">
        <f t="shared" si="247"/>
        <v/>
      </c>
      <c r="AH660" s="32">
        <f t="shared" si="249"/>
        <v>0</v>
      </c>
      <c r="AI660" s="32">
        <f t="shared" si="250"/>
        <v>0</v>
      </c>
      <c r="AJ660" s="32">
        <f t="shared" si="251"/>
        <v>0</v>
      </c>
      <c r="AK660" t="str">
        <f t="shared" si="252"/>
        <v/>
      </c>
      <c r="AL660" t="str">
        <f t="shared" si="253"/>
        <v/>
      </c>
      <c r="AM660" t="str">
        <f t="shared" si="254"/>
        <v/>
      </c>
      <c r="AO660" t="str">
        <f>IFERROR(VLOOKUP(M660,'Fixture Identities'!$B$9:$O$1045,14,FALSE),"")</f>
        <v/>
      </c>
      <c r="AP660" t="str">
        <f t="shared" si="248"/>
        <v/>
      </c>
    </row>
    <row r="661" spans="1:42">
      <c r="A661" s="71">
        <f t="shared" si="256"/>
        <v>0</v>
      </c>
      <c r="B661" s="513">
        <f t="shared" si="255"/>
        <v>649</v>
      </c>
      <c r="C661" s="530" t="str">
        <f>IF(Inventory!E658="","",Inventory!E658)</f>
        <v/>
      </c>
      <c r="D661" s="531">
        <f>IF(Inventory!D658="",0,Inventory!D658)</f>
        <v>0</v>
      </c>
      <c r="E661" s="532" t="str">
        <f>IF(Inventory!I658=0,"",Inventory!I658)</f>
        <v/>
      </c>
      <c r="F661" s="533" t="str">
        <f t="shared" si="235"/>
        <v/>
      </c>
      <c r="G661" s="534" t="str">
        <f>IF(Inventory!G658="","",Inventory!G658)</f>
        <v/>
      </c>
      <c r="H661" s="535" t="str">
        <f t="shared" si="236"/>
        <v/>
      </c>
      <c r="I661" s="536" t="str">
        <f>IF(Inventory!J658="","",Inventory!J658)</f>
        <v/>
      </c>
      <c r="J661" s="537" t="str">
        <f>IFERROR(IF(PRJ_Type="New Construction",IF(Inventory!C658="N",INDEX(xyLPD_BuildingArea,MATCH(Building_Type,Lookups!$F$37:$F$75,0),4),INDEX(xyLPD_SpaceBySpace,MATCH(INDEX(xyNCEx,MATCH(I661,yNCExArea,0),2),ySpace_by_Space_Type,0),2)),VLOOKUP(E661,xyWattage_Table,11,FALSE)),"")</f>
        <v/>
      </c>
      <c r="K661" s="538" t="str">
        <f>IFERROR(IF(AND(NC_Type="Building Area Method",Inventory!C658="N"),IF(ISERROR(INDEX('Usage Groups (&gt;120 MWh only)'!$N$8:$N$12,MATCH(C661,'Usage Groups (&gt;120 MWh only)'!$B$8:$B$12,0),1))=TRUE,SqFt/COUNTIFS(Inventory!$C$10:$C$1009,"N",$Q$13:$Q$1012,"&gt;=0"),INDEX('Usage Groups (&gt;120 MWh only)'!$N$8:$N$12,MATCH(C661,'Usage Groups (&gt;120 MWh only)'!$B$8:$B$12,0),1)/COUNTIF($C$13:$C$1012,C661)),IF(AND(NC_Type="Building Area Method",Inventory!C658="Y"),INDEX(xyNCEx,MATCH(I661,yNCExArea,0),3)/COUNTIF($I$13:$I$1012,I661),VLOOKUP(J661,xyWattage_Table,10,FALSE))),"")</f>
        <v/>
      </c>
      <c r="L661" s="539" t="str">
        <f t="shared" si="237"/>
        <v/>
      </c>
      <c r="M661" s="540">
        <f>IF(Inventory!N658="","",Inventory!N658)</f>
        <v>0</v>
      </c>
      <c r="N661" s="533" t="str">
        <f t="shared" si="238"/>
        <v/>
      </c>
      <c r="O661" s="534"/>
      <c r="P661" s="533" t="str">
        <f t="shared" si="239"/>
        <v/>
      </c>
      <c r="Q661" s="534" t="str">
        <f>IF(Inventory!L658="","",Inventory!L658)</f>
        <v/>
      </c>
      <c r="R661" s="535" t="str">
        <f t="shared" si="240"/>
        <v/>
      </c>
      <c r="S661" s="536" t="str">
        <f>IF(Inventory!O658="","",Inventory!O658)</f>
        <v/>
      </c>
      <c r="T661" s="541" t="str">
        <f>IFERROR(IF(C661="","",IF(INDEX(xyWattage_Table,MATCH(M661,'Fixture Identities'!$B$9:$B$997,0),2)="Exit Sign",8760,IF(VLOOKUP(C661,xySpace_Type_Details,8,FALSE)="TRM",INDEX('General Information'!$AF$17:$AG$28,11,MATCH(N661,'General Information'!$AF$16:$AG$16,0)),HLOOKUP(VLOOKUP(C661,xySpace_Type_Details,8,FALSE),'General Information'!$P$15:$AG$28,13,FALSE)))),"")</f>
        <v/>
      </c>
      <c r="U661" s="542" t="str">
        <f>IFERROR(IF(C661="","",IF(INDEX(xyWattage_Table,MATCH(M661,'Fixture Identities'!$B$9:$B$997,0),2)="Exit Sign",1,IF(VLOOKUP(C661,xySpace_Type_Details,8,FALSE)="TRM",INDEX('General Information'!$AF$17:$AG$28,12,MATCH(N661,'General Information'!$AF$16:$AG$16,0)),HLOOKUP(VLOOKUP(C661,xySpace_Type_Details,8,FALSE),'General Information'!$P$15:$AG$28,14,FALSE)))),"")</f>
        <v/>
      </c>
      <c r="V661" s="542" t="str">
        <f>IFERROR(VLOOKUP(INDEX(xySpace_Type_Details,MATCH($C661,'General Information'!$C$40:$C$60,0),12),Lookups!$L$8:$N$12,2,FALSE),"")</f>
        <v/>
      </c>
      <c r="W661" s="542" t="str">
        <f>IFERROR(VLOOKUP(INDEX(xySpace_Type_Details,MATCH($C661,'General Information'!$C$40:$C$60,0),12),Lookups!$L$8:$N$12,3,FALSE),"")</f>
        <v/>
      </c>
      <c r="Y661" s="542" t="str">
        <f>IFERROR(IF(C661="","",IF(INDEX(xyWattage_Table,MATCH(M661,'Fixture Identities'!$B$9:$B$997,0),2)="Exit Sign",0,IF(PRJ_Type="Retrofit",VLOOKUP(I661,xySVG_Factors,2,FALSE),IF(AND(PRJ_Type="New Construction",Inventory!C658="N"),VLOOKUP(VLOOKUP(Building_Type,xyLPD_BuildingArea,5,FALSE),xySVG_Factors_NC,3,FALSE),0)))),"")</f>
        <v/>
      </c>
      <c r="Z661" s="544" t="str">
        <f>IFERROR(IF(C661="","",IF(INDEX(xyWattage_Table,MATCH(M661,'Fixture Identities'!$B$9:$B$997,0),2)="Exit Sign",0,VLOOKUP(S661,xySVG_Factors,2,FALSE))),"")</f>
        <v/>
      </c>
      <c r="AA661" s="545" t="str">
        <f t="shared" si="241"/>
        <v/>
      </c>
      <c r="AB661" s="542" t="str">
        <f t="shared" si="242"/>
        <v/>
      </c>
      <c r="AC661" s="539" t="str">
        <f t="shared" si="243"/>
        <v/>
      </c>
      <c r="AD661" s="546" t="str">
        <f t="shared" si="244"/>
        <v/>
      </c>
      <c r="AE661" s="539" t="str">
        <f t="shared" si="245"/>
        <v/>
      </c>
      <c r="AF661" s="546" t="str">
        <f t="shared" si="246"/>
        <v/>
      </c>
      <c r="AG661" s="539" t="str">
        <f t="shared" si="247"/>
        <v/>
      </c>
      <c r="AH661" s="32">
        <f t="shared" si="249"/>
        <v>0</v>
      </c>
      <c r="AI661" s="32">
        <f t="shared" si="250"/>
        <v>0</v>
      </c>
      <c r="AJ661" s="32">
        <f t="shared" si="251"/>
        <v>0</v>
      </c>
      <c r="AK661" t="str">
        <f t="shared" si="252"/>
        <v/>
      </c>
      <c r="AL661" t="str">
        <f t="shared" si="253"/>
        <v/>
      </c>
      <c r="AM661" t="str">
        <f t="shared" si="254"/>
        <v/>
      </c>
      <c r="AO661" t="str">
        <f>IFERROR(VLOOKUP(M661,'Fixture Identities'!$B$9:$O$1045,14,FALSE),"")</f>
        <v/>
      </c>
      <c r="AP661" t="str">
        <f t="shared" si="248"/>
        <v/>
      </c>
    </row>
    <row r="662" spans="1:42">
      <c r="A662" s="71">
        <f t="shared" si="256"/>
        <v>0</v>
      </c>
      <c r="B662" s="513">
        <f t="shared" si="255"/>
        <v>650</v>
      </c>
      <c r="C662" s="530" t="str">
        <f>IF(Inventory!E659="","",Inventory!E659)</f>
        <v/>
      </c>
      <c r="D662" s="531">
        <f>IF(Inventory!D659="",0,Inventory!D659)</f>
        <v>0</v>
      </c>
      <c r="E662" s="532" t="str">
        <f>IF(Inventory!I659=0,"",Inventory!I659)</f>
        <v/>
      </c>
      <c r="F662" s="533" t="str">
        <f t="shared" si="235"/>
        <v/>
      </c>
      <c r="G662" s="534" t="str">
        <f>IF(Inventory!G659="","",Inventory!G659)</f>
        <v/>
      </c>
      <c r="H662" s="535" t="str">
        <f t="shared" si="236"/>
        <v/>
      </c>
      <c r="I662" s="536" t="str">
        <f>IF(Inventory!J659="","",Inventory!J659)</f>
        <v/>
      </c>
      <c r="J662" s="537" t="str">
        <f>IFERROR(IF(PRJ_Type="New Construction",IF(Inventory!C659="N",INDEX(xyLPD_BuildingArea,MATCH(Building_Type,Lookups!$F$37:$F$75,0),4),INDEX(xyLPD_SpaceBySpace,MATCH(INDEX(xyNCEx,MATCH(I662,yNCExArea,0),2),ySpace_by_Space_Type,0),2)),VLOOKUP(E662,xyWattage_Table,11,FALSE)),"")</f>
        <v/>
      </c>
      <c r="K662" s="538" t="str">
        <f>IFERROR(IF(AND(NC_Type="Building Area Method",Inventory!C659="N"),IF(ISERROR(INDEX('Usage Groups (&gt;120 MWh only)'!$N$8:$N$12,MATCH(C662,'Usage Groups (&gt;120 MWh only)'!$B$8:$B$12,0),1))=TRUE,SqFt/COUNTIFS(Inventory!$C$10:$C$1009,"N",$Q$13:$Q$1012,"&gt;=0"),INDEX('Usage Groups (&gt;120 MWh only)'!$N$8:$N$12,MATCH(C662,'Usage Groups (&gt;120 MWh only)'!$B$8:$B$12,0),1)/COUNTIF($C$13:$C$1012,C662)),IF(AND(NC_Type="Building Area Method",Inventory!C659="Y"),INDEX(xyNCEx,MATCH(I662,yNCExArea,0),3)/COUNTIF($I$13:$I$1012,I662),VLOOKUP(J662,xyWattage_Table,10,FALSE))),"")</f>
        <v/>
      </c>
      <c r="L662" s="539" t="str">
        <f t="shared" si="237"/>
        <v/>
      </c>
      <c r="M662" s="540">
        <f>IF(Inventory!N659="","",Inventory!N659)</f>
        <v>0</v>
      </c>
      <c r="N662" s="533" t="str">
        <f t="shared" si="238"/>
        <v/>
      </c>
      <c r="O662" s="534"/>
      <c r="P662" s="533" t="str">
        <f t="shared" si="239"/>
        <v/>
      </c>
      <c r="Q662" s="534" t="str">
        <f>IF(Inventory!L659="","",Inventory!L659)</f>
        <v/>
      </c>
      <c r="R662" s="535" t="str">
        <f t="shared" si="240"/>
        <v/>
      </c>
      <c r="S662" s="536" t="str">
        <f>IF(Inventory!O659="","",Inventory!O659)</f>
        <v/>
      </c>
      <c r="T662" s="541" t="str">
        <f>IFERROR(IF(C662="","",IF(INDEX(xyWattage_Table,MATCH(M662,'Fixture Identities'!$B$9:$B$997,0),2)="Exit Sign",8760,IF(VLOOKUP(C662,xySpace_Type_Details,8,FALSE)="TRM",INDEX('General Information'!$AF$17:$AG$28,11,MATCH(N662,'General Information'!$AF$16:$AG$16,0)),HLOOKUP(VLOOKUP(C662,xySpace_Type_Details,8,FALSE),'General Information'!$P$15:$AG$28,13,FALSE)))),"")</f>
        <v/>
      </c>
      <c r="U662" s="542" t="str">
        <f>IFERROR(IF(C662="","",IF(INDEX(xyWattage_Table,MATCH(M662,'Fixture Identities'!$B$9:$B$997,0),2)="Exit Sign",1,IF(VLOOKUP(C662,xySpace_Type_Details,8,FALSE)="TRM",INDEX('General Information'!$AF$17:$AG$28,12,MATCH(N662,'General Information'!$AF$16:$AG$16,0)),HLOOKUP(VLOOKUP(C662,xySpace_Type_Details,8,FALSE),'General Information'!$P$15:$AG$28,14,FALSE)))),"")</f>
        <v/>
      </c>
      <c r="V662" s="542" t="str">
        <f>IFERROR(VLOOKUP(INDEX(xySpace_Type_Details,MATCH($C662,'General Information'!$C$40:$C$60,0),12),Lookups!$L$8:$N$12,2,FALSE),"")</f>
        <v/>
      </c>
      <c r="W662" s="542" t="str">
        <f>IFERROR(VLOOKUP(INDEX(xySpace_Type_Details,MATCH($C662,'General Information'!$C$40:$C$60,0),12),Lookups!$L$8:$N$12,3,FALSE),"")</f>
        <v/>
      </c>
      <c r="Y662" s="542" t="str">
        <f>IFERROR(IF(C662="","",IF(INDEX(xyWattage_Table,MATCH(M662,'Fixture Identities'!$B$9:$B$997,0),2)="Exit Sign",0,IF(PRJ_Type="Retrofit",VLOOKUP(I662,xySVG_Factors,2,FALSE),IF(AND(PRJ_Type="New Construction",Inventory!C659="N"),VLOOKUP(VLOOKUP(Building_Type,xyLPD_BuildingArea,5,FALSE),xySVG_Factors_NC,3,FALSE),0)))),"")</f>
        <v/>
      </c>
      <c r="Z662" s="544" t="str">
        <f>IFERROR(IF(C662="","",IF(INDEX(xyWattage_Table,MATCH(M662,'Fixture Identities'!$B$9:$B$997,0),2)="Exit Sign",0,VLOOKUP(S662,xySVG_Factors,2,FALSE))),"")</f>
        <v/>
      </c>
      <c r="AA662" s="545" t="str">
        <f t="shared" si="241"/>
        <v/>
      </c>
      <c r="AB662" s="542" t="str">
        <f t="shared" si="242"/>
        <v/>
      </c>
      <c r="AC662" s="539" t="str">
        <f t="shared" si="243"/>
        <v/>
      </c>
      <c r="AD662" s="546" t="str">
        <f t="shared" si="244"/>
        <v/>
      </c>
      <c r="AE662" s="539" t="str">
        <f t="shared" si="245"/>
        <v/>
      </c>
      <c r="AF662" s="546" t="str">
        <f t="shared" si="246"/>
        <v/>
      </c>
      <c r="AG662" s="539" t="str">
        <f t="shared" si="247"/>
        <v/>
      </c>
      <c r="AH662" s="32">
        <f t="shared" si="249"/>
        <v>0</v>
      </c>
      <c r="AI662" s="32">
        <f t="shared" si="250"/>
        <v>0</v>
      </c>
      <c r="AJ662" s="32">
        <f t="shared" si="251"/>
        <v>0</v>
      </c>
      <c r="AK662" t="str">
        <f t="shared" si="252"/>
        <v/>
      </c>
      <c r="AL662" t="str">
        <f t="shared" si="253"/>
        <v/>
      </c>
      <c r="AM662" t="str">
        <f t="shared" si="254"/>
        <v/>
      </c>
      <c r="AO662" t="str">
        <f>IFERROR(VLOOKUP(M662,'Fixture Identities'!$B$9:$O$1045,14,FALSE),"")</f>
        <v/>
      </c>
      <c r="AP662" t="str">
        <f t="shared" si="248"/>
        <v/>
      </c>
    </row>
    <row r="663" spans="1:42">
      <c r="A663" s="71">
        <f t="shared" si="256"/>
        <v>0</v>
      </c>
      <c r="B663" s="513">
        <f t="shared" si="255"/>
        <v>651</v>
      </c>
      <c r="C663" s="530" t="str">
        <f>IF(Inventory!E660="","",Inventory!E660)</f>
        <v/>
      </c>
      <c r="D663" s="531">
        <f>IF(Inventory!D660="",0,Inventory!D660)</f>
        <v>0</v>
      </c>
      <c r="E663" s="532" t="str">
        <f>IF(Inventory!I660=0,"",Inventory!I660)</f>
        <v/>
      </c>
      <c r="F663" s="533" t="str">
        <f t="shared" si="235"/>
        <v/>
      </c>
      <c r="G663" s="534" t="str">
        <f>IF(Inventory!G660="","",Inventory!G660)</f>
        <v/>
      </c>
      <c r="H663" s="535" t="str">
        <f t="shared" si="236"/>
        <v/>
      </c>
      <c r="I663" s="536" t="str">
        <f>IF(Inventory!J660="","",Inventory!J660)</f>
        <v/>
      </c>
      <c r="J663" s="537" t="str">
        <f>IFERROR(IF(PRJ_Type="New Construction",IF(Inventory!C660="N",INDEX(xyLPD_BuildingArea,MATCH(Building_Type,Lookups!$F$37:$F$75,0),4),INDEX(xyLPD_SpaceBySpace,MATCH(INDEX(xyNCEx,MATCH(I663,yNCExArea,0),2),ySpace_by_Space_Type,0),2)),VLOOKUP(E663,xyWattage_Table,11,FALSE)),"")</f>
        <v/>
      </c>
      <c r="K663" s="538" t="str">
        <f>IFERROR(IF(AND(NC_Type="Building Area Method",Inventory!C660="N"),IF(ISERROR(INDEX('Usage Groups (&gt;120 MWh only)'!$N$8:$N$12,MATCH(C663,'Usage Groups (&gt;120 MWh only)'!$B$8:$B$12,0),1))=TRUE,SqFt/COUNTIFS(Inventory!$C$10:$C$1009,"N",$Q$13:$Q$1012,"&gt;=0"),INDEX('Usage Groups (&gt;120 MWh only)'!$N$8:$N$12,MATCH(C663,'Usage Groups (&gt;120 MWh only)'!$B$8:$B$12,0),1)/COUNTIF($C$13:$C$1012,C663)),IF(AND(NC_Type="Building Area Method",Inventory!C660="Y"),INDEX(xyNCEx,MATCH(I663,yNCExArea,0),3)/COUNTIF($I$13:$I$1012,I663),VLOOKUP(J663,xyWattage_Table,10,FALSE))),"")</f>
        <v/>
      </c>
      <c r="L663" s="539" t="str">
        <f t="shared" si="237"/>
        <v/>
      </c>
      <c r="M663" s="540">
        <f>IF(Inventory!N660="","",Inventory!N660)</f>
        <v>0</v>
      </c>
      <c r="N663" s="533" t="str">
        <f t="shared" si="238"/>
        <v/>
      </c>
      <c r="O663" s="534"/>
      <c r="P663" s="533" t="str">
        <f t="shared" si="239"/>
        <v/>
      </c>
      <c r="Q663" s="534" t="str">
        <f>IF(Inventory!L660="","",Inventory!L660)</f>
        <v/>
      </c>
      <c r="R663" s="535" t="str">
        <f t="shared" si="240"/>
        <v/>
      </c>
      <c r="S663" s="536" t="str">
        <f>IF(Inventory!O660="","",Inventory!O660)</f>
        <v/>
      </c>
      <c r="T663" s="541" t="str">
        <f>IFERROR(IF(C663="","",IF(INDEX(xyWattage_Table,MATCH(M663,'Fixture Identities'!$B$9:$B$997,0),2)="Exit Sign",8760,IF(VLOOKUP(C663,xySpace_Type_Details,8,FALSE)="TRM",INDEX('General Information'!$AF$17:$AG$28,11,MATCH(N663,'General Information'!$AF$16:$AG$16,0)),HLOOKUP(VLOOKUP(C663,xySpace_Type_Details,8,FALSE),'General Information'!$P$15:$AG$28,13,FALSE)))),"")</f>
        <v/>
      </c>
      <c r="U663" s="542" t="str">
        <f>IFERROR(IF(C663="","",IF(INDEX(xyWattage_Table,MATCH(M663,'Fixture Identities'!$B$9:$B$997,0),2)="Exit Sign",1,IF(VLOOKUP(C663,xySpace_Type_Details,8,FALSE)="TRM",INDEX('General Information'!$AF$17:$AG$28,12,MATCH(N663,'General Information'!$AF$16:$AG$16,0)),HLOOKUP(VLOOKUP(C663,xySpace_Type_Details,8,FALSE),'General Information'!$P$15:$AG$28,14,FALSE)))),"")</f>
        <v/>
      </c>
      <c r="V663" s="542" t="str">
        <f>IFERROR(VLOOKUP(INDEX(xySpace_Type_Details,MATCH($C663,'General Information'!$C$40:$C$60,0),12),Lookups!$L$8:$N$12,2,FALSE),"")</f>
        <v/>
      </c>
      <c r="W663" s="542" t="str">
        <f>IFERROR(VLOOKUP(INDEX(xySpace_Type_Details,MATCH($C663,'General Information'!$C$40:$C$60,0),12),Lookups!$L$8:$N$12,3,FALSE),"")</f>
        <v/>
      </c>
      <c r="Y663" s="542" t="str">
        <f>IFERROR(IF(C663="","",IF(INDEX(xyWattage_Table,MATCH(M663,'Fixture Identities'!$B$9:$B$997,0),2)="Exit Sign",0,IF(PRJ_Type="Retrofit",VLOOKUP(I663,xySVG_Factors,2,FALSE),IF(AND(PRJ_Type="New Construction",Inventory!C660="N"),VLOOKUP(VLOOKUP(Building_Type,xyLPD_BuildingArea,5,FALSE),xySVG_Factors_NC,3,FALSE),0)))),"")</f>
        <v/>
      </c>
      <c r="Z663" s="544" t="str">
        <f>IFERROR(IF(C663="","",IF(INDEX(xyWattage_Table,MATCH(M663,'Fixture Identities'!$B$9:$B$997,0),2)="Exit Sign",0,VLOOKUP(S663,xySVG_Factors,2,FALSE))),"")</f>
        <v/>
      </c>
      <c r="AA663" s="545" t="str">
        <f t="shared" si="241"/>
        <v/>
      </c>
      <c r="AB663" s="542" t="str">
        <f t="shared" si="242"/>
        <v/>
      </c>
      <c r="AC663" s="539" t="str">
        <f t="shared" si="243"/>
        <v/>
      </c>
      <c r="AD663" s="546" t="str">
        <f t="shared" si="244"/>
        <v/>
      </c>
      <c r="AE663" s="539" t="str">
        <f t="shared" si="245"/>
        <v/>
      </c>
      <c r="AF663" s="546" t="str">
        <f t="shared" si="246"/>
        <v/>
      </c>
      <c r="AG663" s="539" t="str">
        <f t="shared" si="247"/>
        <v/>
      </c>
      <c r="AH663" s="32">
        <f t="shared" si="249"/>
        <v>0</v>
      </c>
      <c r="AI663" s="32">
        <f t="shared" si="250"/>
        <v>0</v>
      </c>
      <c r="AJ663" s="32">
        <f t="shared" si="251"/>
        <v>0</v>
      </c>
      <c r="AK663" t="str">
        <f t="shared" si="252"/>
        <v/>
      </c>
      <c r="AL663" t="str">
        <f t="shared" si="253"/>
        <v/>
      </c>
      <c r="AM663" t="str">
        <f t="shared" si="254"/>
        <v/>
      </c>
      <c r="AO663" t="str">
        <f>IFERROR(VLOOKUP(M663,'Fixture Identities'!$B$9:$O$1045,14,FALSE),"")</f>
        <v/>
      </c>
      <c r="AP663" t="str">
        <f t="shared" si="248"/>
        <v/>
      </c>
    </row>
    <row r="664" spans="1:42">
      <c r="A664" s="71">
        <f t="shared" si="256"/>
        <v>0</v>
      </c>
      <c r="B664" s="513">
        <f t="shared" si="255"/>
        <v>652</v>
      </c>
      <c r="C664" s="530" t="str">
        <f>IF(Inventory!E661="","",Inventory!E661)</f>
        <v/>
      </c>
      <c r="D664" s="531">
        <f>IF(Inventory!D661="",0,Inventory!D661)</f>
        <v>0</v>
      </c>
      <c r="E664" s="532" t="str">
        <f>IF(Inventory!I661=0,"",Inventory!I661)</f>
        <v/>
      </c>
      <c r="F664" s="533" t="str">
        <f t="shared" si="235"/>
        <v/>
      </c>
      <c r="G664" s="534" t="str">
        <f>IF(Inventory!G661="","",Inventory!G661)</f>
        <v/>
      </c>
      <c r="H664" s="535" t="str">
        <f t="shared" si="236"/>
        <v/>
      </c>
      <c r="I664" s="536" t="str">
        <f>IF(Inventory!J661="","",Inventory!J661)</f>
        <v/>
      </c>
      <c r="J664" s="537" t="str">
        <f>IFERROR(IF(PRJ_Type="New Construction",IF(Inventory!C661="N",INDEX(xyLPD_BuildingArea,MATCH(Building_Type,Lookups!$F$37:$F$75,0),4),INDEX(xyLPD_SpaceBySpace,MATCH(INDEX(xyNCEx,MATCH(I664,yNCExArea,0),2),ySpace_by_Space_Type,0),2)),VLOOKUP(E664,xyWattage_Table,11,FALSE)),"")</f>
        <v/>
      </c>
      <c r="K664" s="538" t="str">
        <f>IFERROR(IF(AND(NC_Type="Building Area Method",Inventory!C661="N"),IF(ISERROR(INDEX('Usage Groups (&gt;120 MWh only)'!$N$8:$N$12,MATCH(C664,'Usage Groups (&gt;120 MWh only)'!$B$8:$B$12,0),1))=TRUE,SqFt/COUNTIFS(Inventory!$C$10:$C$1009,"N",$Q$13:$Q$1012,"&gt;=0"),INDEX('Usage Groups (&gt;120 MWh only)'!$N$8:$N$12,MATCH(C664,'Usage Groups (&gt;120 MWh only)'!$B$8:$B$12,0),1)/COUNTIF($C$13:$C$1012,C664)),IF(AND(NC_Type="Building Area Method",Inventory!C661="Y"),INDEX(xyNCEx,MATCH(I664,yNCExArea,0),3)/COUNTIF($I$13:$I$1012,I664),VLOOKUP(J664,xyWattage_Table,10,FALSE))),"")</f>
        <v/>
      </c>
      <c r="L664" s="539" t="str">
        <f t="shared" si="237"/>
        <v/>
      </c>
      <c r="M664" s="540">
        <f>IF(Inventory!N661="","",Inventory!N661)</f>
        <v>0</v>
      </c>
      <c r="N664" s="533" t="str">
        <f t="shared" si="238"/>
        <v/>
      </c>
      <c r="O664" s="534"/>
      <c r="P664" s="533" t="str">
        <f t="shared" si="239"/>
        <v/>
      </c>
      <c r="Q664" s="534" t="str">
        <f>IF(Inventory!L661="","",Inventory!L661)</f>
        <v/>
      </c>
      <c r="R664" s="535" t="str">
        <f t="shared" si="240"/>
        <v/>
      </c>
      <c r="S664" s="536" t="str">
        <f>IF(Inventory!O661="","",Inventory!O661)</f>
        <v/>
      </c>
      <c r="T664" s="541" t="str">
        <f>IFERROR(IF(C664="","",IF(INDEX(xyWattage_Table,MATCH(M664,'Fixture Identities'!$B$9:$B$997,0),2)="Exit Sign",8760,IF(VLOOKUP(C664,xySpace_Type_Details,8,FALSE)="TRM",INDEX('General Information'!$AF$17:$AG$28,11,MATCH(N664,'General Information'!$AF$16:$AG$16,0)),HLOOKUP(VLOOKUP(C664,xySpace_Type_Details,8,FALSE),'General Information'!$P$15:$AG$28,13,FALSE)))),"")</f>
        <v/>
      </c>
      <c r="U664" s="542" t="str">
        <f>IFERROR(IF(C664="","",IF(INDEX(xyWattage_Table,MATCH(M664,'Fixture Identities'!$B$9:$B$997,0),2)="Exit Sign",1,IF(VLOOKUP(C664,xySpace_Type_Details,8,FALSE)="TRM",INDEX('General Information'!$AF$17:$AG$28,12,MATCH(N664,'General Information'!$AF$16:$AG$16,0)),HLOOKUP(VLOOKUP(C664,xySpace_Type_Details,8,FALSE),'General Information'!$P$15:$AG$28,14,FALSE)))),"")</f>
        <v/>
      </c>
      <c r="V664" s="542" t="str">
        <f>IFERROR(VLOOKUP(INDEX(xySpace_Type_Details,MATCH($C664,'General Information'!$C$40:$C$60,0),12),Lookups!$L$8:$N$12,2,FALSE),"")</f>
        <v/>
      </c>
      <c r="W664" s="542" t="str">
        <f>IFERROR(VLOOKUP(INDEX(xySpace_Type_Details,MATCH($C664,'General Information'!$C$40:$C$60,0),12),Lookups!$L$8:$N$12,3,FALSE),"")</f>
        <v/>
      </c>
      <c r="Y664" s="542" t="str">
        <f>IFERROR(IF(C664="","",IF(INDEX(xyWattage_Table,MATCH(M664,'Fixture Identities'!$B$9:$B$997,0),2)="Exit Sign",0,IF(PRJ_Type="Retrofit",VLOOKUP(I664,xySVG_Factors,2,FALSE),IF(AND(PRJ_Type="New Construction",Inventory!C661="N"),VLOOKUP(VLOOKUP(Building_Type,xyLPD_BuildingArea,5,FALSE),xySVG_Factors_NC,3,FALSE),0)))),"")</f>
        <v/>
      </c>
      <c r="Z664" s="544" t="str">
        <f>IFERROR(IF(C664="","",IF(INDEX(xyWattage_Table,MATCH(M664,'Fixture Identities'!$B$9:$B$997,0),2)="Exit Sign",0,VLOOKUP(S664,xySVG_Factors,2,FALSE))),"")</f>
        <v/>
      </c>
      <c r="AA664" s="545" t="str">
        <f t="shared" si="241"/>
        <v/>
      </c>
      <c r="AB664" s="542" t="str">
        <f t="shared" si="242"/>
        <v/>
      </c>
      <c r="AC664" s="539" t="str">
        <f t="shared" si="243"/>
        <v/>
      </c>
      <c r="AD664" s="546" t="str">
        <f t="shared" si="244"/>
        <v/>
      </c>
      <c r="AE664" s="539" t="str">
        <f t="shared" si="245"/>
        <v/>
      </c>
      <c r="AF664" s="546" t="str">
        <f t="shared" si="246"/>
        <v/>
      </c>
      <c r="AG664" s="539" t="str">
        <f t="shared" si="247"/>
        <v/>
      </c>
      <c r="AH664" s="32">
        <f t="shared" si="249"/>
        <v>0</v>
      </c>
      <c r="AI664" s="32">
        <f t="shared" si="250"/>
        <v>0</v>
      </c>
      <c r="AJ664" s="32">
        <f t="shared" si="251"/>
        <v>0</v>
      </c>
      <c r="AK664" t="str">
        <f t="shared" si="252"/>
        <v/>
      </c>
      <c r="AL664" t="str">
        <f t="shared" si="253"/>
        <v/>
      </c>
      <c r="AM664" t="str">
        <f t="shared" si="254"/>
        <v/>
      </c>
      <c r="AO664" t="str">
        <f>IFERROR(VLOOKUP(M664,'Fixture Identities'!$B$9:$O$1045,14,FALSE),"")</f>
        <v/>
      </c>
      <c r="AP664" t="str">
        <f t="shared" si="248"/>
        <v/>
      </c>
    </row>
    <row r="665" spans="1:42">
      <c r="A665" s="71">
        <f t="shared" si="256"/>
        <v>0</v>
      </c>
      <c r="B665" s="513">
        <f t="shared" si="255"/>
        <v>653</v>
      </c>
      <c r="C665" s="530" t="str">
        <f>IF(Inventory!E662="","",Inventory!E662)</f>
        <v/>
      </c>
      <c r="D665" s="531">
        <f>IF(Inventory!D662="",0,Inventory!D662)</f>
        <v>0</v>
      </c>
      <c r="E665" s="532" t="str">
        <f>IF(Inventory!I662=0,"",Inventory!I662)</f>
        <v/>
      </c>
      <c r="F665" s="533" t="str">
        <f t="shared" si="235"/>
        <v/>
      </c>
      <c r="G665" s="534" t="str">
        <f>IF(Inventory!G662="","",Inventory!G662)</f>
        <v/>
      </c>
      <c r="H665" s="535" t="str">
        <f t="shared" si="236"/>
        <v/>
      </c>
      <c r="I665" s="536" t="str">
        <f>IF(Inventory!J662="","",Inventory!J662)</f>
        <v/>
      </c>
      <c r="J665" s="537" t="str">
        <f>IFERROR(IF(PRJ_Type="New Construction",IF(Inventory!C662="N",INDEX(xyLPD_BuildingArea,MATCH(Building_Type,Lookups!$F$37:$F$75,0),4),INDEX(xyLPD_SpaceBySpace,MATCH(INDEX(xyNCEx,MATCH(I665,yNCExArea,0),2),ySpace_by_Space_Type,0),2)),VLOOKUP(E665,xyWattage_Table,11,FALSE)),"")</f>
        <v/>
      </c>
      <c r="K665" s="538" t="str">
        <f>IFERROR(IF(AND(NC_Type="Building Area Method",Inventory!C662="N"),IF(ISERROR(INDEX('Usage Groups (&gt;120 MWh only)'!$N$8:$N$12,MATCH(C665,'Usage Groups (&gt;120 MWh only)'!$B$8:$B$12,0),1))=TRUE,SqFt/COUNTIFS(Inventory!$C$10:$C$1009,"N",$Q$13:$Q$1012,"&gt;=0"),INDEX('Usage Groups (&gt;120 MWh only)'!$N$8:$N$12,MATCH(C665,'Usage Groups (&gt;120 MWh only)'!$B$8:$B$12,0),1)/COUNTIF($C$13:$C$1012,C665)),IF(AND(NC_Type="Building Area Method",Inventory!C662="Y"),INDEX(xyNCEx,MATCH(I665,yNCExArea,0),3)/COUNTIF($I$13:$I$1012,I665),VLOOKUP(J665,xyWattage_Table,10,FALSE))),"")</f>
        <v/>
      </c>
      <c r="L665" s="539" t="str">
        <f t="shared" si="237"/>
        <v/>
      </c>
      <c r="M665" s="540">
        <f>IF(Inventory!N662="","",Inventory!N662)</f>
        <v>0</v>
      </c>
      <c r="N665" s="533" t="str">
        <f t="shared" si="238"/>
        <v/>
      </c>
      <c r="O665" s="534"/>
      <c r="P665" s="533" t="str">
        <f t="shared" si="239"/>
        <v/>
      </c>
      <c r="Q665" s="534" t="str">
        <f>IF(Inventory!L662="","",Inventory!L662)</f>
        <v/>
      </c>
      <c r="R665" s="535" t="str">
        <f t="shared" si="240"/>
        <v/>
      </c>
      <c r="S665" s="536" t="str">
        <f>IF(Inventory!O662="","",Inventory!O662)</f>
        <v/>
      </c>
      <c r="T665" s="541" t="str">
        <f>IFERROR(IF(C665="","",IF(INDEX(xyWattage_Table,MATCH(M665,'Fixture Identities'!$B$9:$B$997,0),2)="Exit Sign",8760,IF(VLOOKUP(C665,xySpace_Type_Details,8,FALSE)="TRM",INDEX('General Information'!$AF$17:$AG$28,11,MATCH(N665,'General Information'!$AF$16:$AG$16,0)),HLOOKUP(VLOOKUP(C665,xySpace_Type_Details,8,FALSE),'General Information'!$P$15:$AG$28,13,FALSE)))),"")</f>
        <v/>
      </c>
      <c r="U665" s="542" t="str">
        <f>IFERROR(IF(C665="","",IF(INDEX(xyWattage_Table,MATCH(M665,'Fixture Identities'!$B$9:$B$997,0),2)="Exit Sign",1,IF(VLOOKUP(C665,xySpace_Type_Details,8,FALSE)="TRM",INDEX('General Information'!$AF$17:$AG$28,12,MATCH(N665,'General Information'!$AF$16:$AG$16,0)),HLOOKUP(VLOOKUP(C665,xySpace_Type_Details,8,FALSE),'General Information'!$P$15:$AG$28,14,FALSE)))),"")</f>
        <v/>
      </c>
      <c r="V665" s="542" t="str">
        <f>IFERROR(VLOOKUP(INDEX(xySpace_Type_Details,MATCH($C665,'General Information'!$C$40:$C$60,0),12),Lookups!$L$8:$N$12,2,FALSE),"")</f>
        <v/>
      </c>
      <c r="W665" s="542" t="str">
        <f>IFERROR(VLOOKUP(INDEX(xySpace_Type_Details,MATCH($C665,'General Information'!$C$40:$C$60,0),12),Lookups!$L$8:$N$12,3,FALSE),"")</f>
        <v/>
      </c>
      <c r="Y665" s="542" t="str">
        <f>IFERROR(IF(C665="","",IF(INDEX(xyWattage_Table,MATCH(M665,'Fixture Identities'!$B$9:$B$997,0),2)="Exit Sign",0,IF(PRJ_Type="Retrofit",VLOOKUP(I665,xySVG_Factors,2,FALSE),IF(AND(PRJ_Type="New Construction",Inventory!C662="N"),VLOOKUP(VLOOKUP(Building_Type,xyLPD_BuildingArea,5,FALSE),xySVG_Factors_NC,3,FALSE),0)))),"")</f>
        <v/>
      </c>
      <c r="Z665" s="544" t="str">
        <f>IFERROR(IF(C665="","",IF(INDEX(xyWattage_Table,MATCH(M665,'Fixture Identities'!$B$9:$B$997,0),2)="Exit Sign",0,VLOOKUP(S665,xySVG_Factors,2,FALSE))),"")</f>
        <v/>
      </c>
      <c r="AA665" s="545" t="str">
        <f t="shared" si="241"/>
        <v/>
      </c>
      <c r="AB665" s="542" t="str">
        <f t="shared" si="242"/>
        <v/>
      </c>
      <c r="AC665" s="539" t="str">
        <f t="shared" si="243"/>
        <v/>
      </c>
      <c r="AD665" s="546" t="str">
        <f t="shared" si="244"/>
        <v/>
      </c>
      <c r="AE665" s="539" t="str">
        <f t="shared" si="245"/>
        <v/>
      </c>
      <c r="AF665" s="546" t="str">
        <f t="shared" si="246"/>
        <v/>
      </c>
      <c r="AG665" s="539" t="str">
        <f t="shared" si="247"/>
        <v/>
      </c>
      <c r="AH665" s="32">
        <f t="shared" si="249"/>
        <v>0</v>
      </c>
      <c r="AI665" s="32">
        <f t="shared" si="250"/>
        <v>0</v>
      </c>
      <c r="AJ665" s="32">
        <f t="shared" si="251"/>
        <v>0</v>
      </c>
      <c r="AK665" t="str">
        <f t="shared" si="252"/>
        <v/>
      </c>
      <c r="AL665" t="str">
        <f t="shared" si="253"/>
        <v/>
      </c>
      <c r="AM665" t="str">
        <f t="shared" si="254"/>
        <v/>
      </c>
      <c r="AO665" t="str">
        <f>IFERROR(VLOOKUP(M665,'Fixture Identities'!$B$9:$O$1045,14,FALSE),"")</f>
        <v/>
      </c>
      <c r="AP665" t="str">
        <f t="shared" si="248"/>
        <v/>
      </c>
    </row>
    <row r="666" spans="1:42">
      <c r="A666" s="71">
        <f t="shared" si="256"/>
        <v>0</v>
      </c>
      <c r="B666" s="513">
        <f t="shared" si="255"/>
        <v>654</v>
      </c>
      <c r="C666" s="530" t="str">
        <f>IF(Inventory!E663="","",Inventory!E663)</f>
        <v/>
      </c>
      <c r="D666" s="531">
        <f>IF(Inventory!D663="",0,Inventory!D663)</f>
        <v>0</v>
      </c>
      <c r="E666" s="532" t="str">
        <f>IF(Inventory!I663=0,"",Inventory!I663)</f>
        <v/>
      </c>
      <c r="F666" s="533" t="str">
        <f t="shared" si="235"/>
        <v/>
      </c>
      <c r="G666" s="534" t="str">
        <f>IF(Inventory!G663="","",Inventory!G663)</f>
        <v/>
      </c>
      <c r="H666" s="535" t="str">
        <f t="shared" si="236"/>
        <v/>
      </c>
      <c r="I666" s="536" t="str">
        <f>IF(Inventory!J663="","",Inventory!J663)</f>
        <v/>
      </c>
      <c r="J666" s="537" t="str">
        <f>IFERROR(IF(PRJ_Type="New Construction",IF(Inventory!C663="N",INDEX(xyLPD_BuildingArea,MATCH(Building_Type,Lookups!$F$37:$F$75,0),4),INDEX(xyLPD_SpaceBySpace,MATCH(INDEX(xyNCEx,MATCH(I666,yNCExArea,0),2),ySpace_by_Space_Type,0),2)),VLOOKUP(E666,xyWattage_Table,11,FALSE)),"")</f>
        <v/>
      </c>
      <c r="K666" s="538" t="str">
        <f>IFERROR(IF(AND(NC_Type="Building Area Method",Inventory!C663="N"),IF(ISERROR(INDEX('Usage Groups (&gt;120 MWh only)'!$N$8:$N$12,MATCH(C666,'Usage Groups (&gt;120 MWh only)'!$B$8:$B$12,0),1))=TRUE,SqFt/COUNTIFS(Inventory!$C$10:$C$1009,"N",$Q$13:$Q$1012,"&gt;=0"),INDEX('Usage Groups (&gt;120 MWh only)'!$N$8:$N$12,MATCH(C666,'Usage Groups (&gt;120 MWh only)'!$B$8:$B$12,0),1)/COUNTIF($C$13:$C$1012,C666)),IF(AND(NC_Type="Building Area Method",Inventory!C663="Y"),INDEX(xyNCEx,MATCH(I666,yNCExArea,0),3)/COUNTIF($I$13:$I$1012,I666),VLOOKUP(J666,xyWattage_Table,10,FALSE))),"")</f>
        <v/>
      </c>
      <c r="L666" s="539" t="str">
        <f t="shared" si="237"/>
        <v/>
      </c>
      <c r="M666" s="540">
        <f>IF(Inventory!N663="","",Inventory!N663)</f>
        <v>0</v>
      </c>
      <c r="N666" s="533" t="str">
        <f t="shared" si="238"/>
        <v/>
      </c>
      <c r="O666" s="534"/>
      <c r="P666" s="533" t="str">
        <f t="shared" si="239"/>
        <v/>
      </c>
      <c r="Q666" s="534" t="str">
        <f>IF(Inventory!L663="","",Inventory!L663)</f>
        <v/>
      </c>
      <c r="R666" s="535" t="str">
        <f t="shared" si="240"/>
        <v/>
      </c>
      <c r="S666" s="536" t="str">
        <f>IF(Inventory!O663="","",Inventory!O663)</f>
        <v/>
      </c>
      <c r="T666" s="541" t="str">
        <f>IFERROR(IF(C666="","",IF(INDEX(xyWattage_Table,MATCH(M666,'Fixture Identities'!$B$9:$B$997,0),2)="Exit Sign",8760,IF(VLOOKUP(C666,xySpace_Type_Details,8,FALSE)="TRM",INDEX('General Information'!$AF$17:$AG$28,11,MATCH(N666,'General Information'!$AF$16:$AG$16,0)),HLOOKUP(VLOOKUP(C666,xySpace_Type_Details,8,FALSE),'General Information'!$P$15:$AG$28,13,FALSE)))),"")</f>
        <v/>
      </c>
      <c r="U666" s="542" t="str">
        <f>IFERROR(IF(C666="","",IF(INDEX(xyWattage_Table,MATCH(M666,'Fixture Identities'!$B$9:$B$997,0),2)="Exit Sign",1,IF(VLOOKUP(C666,xySpace_Type_Details,8,FALSE)="TRM",INDEX('General Information'!$AF$17:$AG$28,12,MATCH(N666,'General Information'!$AF$16:$AG$16,0)),HLOOKUP(VLOOKUP(C666,xySpace_Type_Details,8,FALSE),'General Information'!$P$15:$AG$28,14,FALSE)))),"")</f>
        <v/>
      </c>
      <c r="V666" s="542" t="str">
        <f>IFERROR(VLOOKUP(INDEX(xySpace_Type_Details,MATCH($C666,'General Information'!$C$40:$C$60,0),12),Lookups!$L$8:$N$12,2,FALSE),"")</f>
        <v/>
      </c>
      <c r="W666" s="542" t="str">
        <f>IFERROR(VLOOKUP(INDEX(xySpace_Type_Details,MATCH($C666,'General Information'!$C$40:$C$60,0),12),Lookups!$L$8:$N$12,3,FALSE),"")</f>
        <v/>
      </c>
      <c r="Y666" s="542" t="str">
        <f>IFERROR(IF(C666="","",IF(INDEX(xyWattage_Table,MATCH(M666,'Fixture Identities'!$B$9:$B$997,0),2)="Exit Sign",0,IF(PRJ_Type="Retrofit",VLOOKUP(I666,xySVG_Factors,2,FALSE),IF(AND(PRJ_Type="New Construction",Inventory!C663="N"),VLOOKUP(VLOOKUP(Building_Type,xyLPD_BuildingArea,5,FALSE),xySVG_Factors_NC,3,FALSE),0)))),"")</f>
        <v/>
      </c>
      <c r="Z666" s="544" t="str">
        <f>IFERROR(IF(C666="","",IF(INDEX(xyWattage_Table,MATCH(M666,'Fixture Identities'!$B$9:$B$997,0),2)="Exit Sign",0,VLOOKUP(S666,xySVG_Factors,2,FALSE))),"")</f>
        <v/>
      </c>
      <c r="AA666" s="545" t="str">
        <f t="shared" si="241"/>
        <v/>
      </c>
      <c r="AB666" s="542" t="str">
        <f t="shared" si="242"/>
        <v/>
      </c>
      <c r="AC666" s="539" t="str">
        <f t="shared" si="243"/>
        <v/>
      </c>
      <c r="AD666" s="546" t="str">
        <f t="shared" si="244"/>
        <v/>
      </c>
      <c r="AE666" s="539" t="str">
        <f t="shared" si="245"/>
        <v/>
      </c>
      <c r="AF666" s="546" t="str">
        <f t="shared" si="246"/>
        <v/>
      </c>
      <c r="AG666" s="539" t="str">
        <f t="shared" si="247"/>
        <v/>
      </c>
      <c r="AH666" s="32">
        <f t="shared" si="249"/>
        <v>0</v>
      </c>
      <c r="AI666" s="32">
        <f t="shared" si="250"/>
        <v>0</v>
      </c>
      <c r="AJ666" s="32">
        <f t="shared" si="251"/>
        <v>0</v>
      </c>
      <c r="AK666" t="str">
        <f t="shared" si="252"/>
        <v/>
      </c>
      <c r="AL666" t="str">
        <f t="shared" si="253"/>
        <v/>
      </c>
      <c r="AM666" t="str">
        <f t="shared" si="254"/>
        <v/>
      </c>
      <c r="AO666" t="str">
        <f>IFERROR(VLOOKUP(M666,'Fixture Identities'!$B$9:$O$1045,14,FALSE),"")</f>
        <v/>
      </c>
      <c r="AP666" t="str">
        <f t="shared" si="248"/>
        <v/>
      </c>
    </row>
    <row r="667" spans="1:42">
      <c r="A667" s="71">
        <f t="shared" si="256"/>
        <v>0</v>
      </c>
      <c r="B667" s="513">
        <f t="shared" si="255"/>
        <v>655</v>
      </c>
      <c r="C667" s="530" t="str">
        <f>IF(Inventory!E664="","",Inventory!E664)</f>
        <v/>
      </c>
      <c r="D667" s="531">
        <f>IF(Inventory!D664="",0,Inventory!D664)</f>
        <v>0</v>
      </c>
      <c r="E667" s="532" t="str">
        <f>IF(Inventory!I664=0,"",Inventory!I664)</f>
        <v/>
      </c>
      <c r="F667" s="533" t="str">
        <f t="shared" si="235"/>
        <v/>
      </c>
      <c r="G667" s="534" t="str">
        <f>IF(Inventory!G664="","",Inventory!G664)</f>
        <v/>
      </c>
      <c r="H667" s="535" t="str">
        <f t="shared" si="236"/>
        <v/>
      </c>
      <c r="I667" s="536" t="str">
        <f>IF(Inventory!J664="","",Inventory!J664)</f>
        <v/>
      </c>
      <c r="J667" s="537" t="str">
        <f>IFERROR(IF(PRJ_Type="New Construction",IF(Inventory!C664="N",INDEX(xyLPD_BuildingArea,MATCH(Building_Type,Lookups!$F$37:$F$75,0),4),INDEX(xyLPD_SpaceBySpace,MATCH(INDEX(xyNCEx,MATCH(I667,yNCExArea,0),2),ySpace_by_Space_Type,0),2)),VLOOKUP(E667,xyWattage_Table,11,FALSE)),"")</f>
        <v/>
      </c>
      <c r="K667" s="538" t="str">
        <f>IFERROR(IF(AND(NC_Type="Building Area Method",Inventory!C664="N"),IF(ISERROR(INDEX('Usage Groups (&gt;120 MWh only)'!$N$8:$N$12,MATCH(C667,'Usage Groups (&gt;120 MWh only)'!$B$8:$B$12,0),1))=TRUE,SqFt/COUNTIFS(Inventory!$C$10:$C$1009,"N",$Q$13:$Q$1012,"&gt;=0"),INDEX('Usage Groups (&gt;120 MWh only)'!$N$8:$N$12,MATCH(C667,'Usage Groups (&gt;120 MWh only)'!$B$8:$B$12,0),1)/COUNTIF($C$13:$C$1012,C667)),IF(AND(NC_Type="Building Area Method",Inventory!C664="Y"),INDEX(xyNCEx,MATCH(I667,yNCExArea,0),3)/COUNTIF($I$13:$I$1012,I667),VLOOKUP(J667,xyWattage_Table,10,FALSE))),"")</f>
        <v/>
      </c>
      <c r="L667" s="539" t="str">
        <f t="shared" si="237"/>
        <v/>
      </c>
      <c r="M667" s="540">
        <f>IF(Inventory!N664="","",Inventory!N664)</f>
        <v>0</v>
      </c>
      <c r="N667" s="533" t="str">
        <f t="shared" si="238"/>
        <v/>
      </c>
      <c r="O667" s="534"/>
      <c r="P667" s="533" t="str">
        <f t="shared" si="239"/>
        <v/>
      </c>
      <c r="Q667" s="534" t="str">
        <f>IF(Inventory!L664="","",Inventory!L664)</f>
        <v/>
      </c>
      <c r="R667" s="535" t="str">
        <f t="shared" si="240"/>
        <v/>
      </c>
      <c r="S667" s="536" t="str">
        <f>IF(Inventory!O664="","",Inventory!O664)</f>
        <v/>
      </c>
      <c r="T667" s="541" t="str">
        <f>IFERROR(IF(C667="","",IF(INDEX(xyWattage_Table,MATCH(M667,'Fixture Identities'!$B$9:$B$997,0),2)="Exit Sign",8760,IF(VLOOKUP(C667,xySpace_Type_Details,8,FALSE)="TRM",INDEX('General Information'!$AF$17:$AG$28,11,MATCH(N667,'General Information'!$AF$16:$AG$16,0)),HLOOKUP(VLOOKUP(C667,xySpace_Type_Details,8,FALSE),'General Information'!$P$15:$AG$28,13,FALSE)))),"")</f>
        <v/>
      </c>
      <c r="U667" s="542" t="str">
        <f>IFERROR(IF(C667="","",IF(INDEX(xyWattage_Table,MATCH(M667,'Fixture Identities'!$B$9:$B$997,0),2)="Exit Sign",1,IF(VLOOKUP(C667,xySpace_Type_Details,8,FALSE)="TRM",INDEX('General Information'!$AF$17:$AG$28,12,MATCH(N667,'General Information'!$AF$16:$AG$16,0)),HLOOKUP(VLOOKUP(C667,xySpace_Type_Details,8,FALSE),'General Information'!$P$15:$AG$28,14,FALSE)))),"")</f>
        <v/>
      </c>
      <c r="V667" s="542" t="str">
        <f>IFERROR(VLOOKUP(INDEX(xySpace_Type_Details,MATCH($C667,'General Information'!$C$40:$C$60,0),12),Lookups!$L$8:$N$12,2,FALSE),"")</f>
        <v/>
      </c>
      <c r="W667" s="542" t="str">
        <f>IFERROR(VLOOKUP(INDEX(xySpace_Type_Details,MATCH($C667,'General Information'!$C$40:$C$60,0),12),Lookups!$L$8:$N$12,3,FALSE),"")</f>
        <v/>
      </c>
      <c r="Y667" s="542" t="str">
        <f>IFERROR(IF(C667="","",IF(INDEX(xyWattage_Table,MATCH(M667,'Fixture Identities'!$B$9:$B$997,0),2)="Exit Sign",0,IF(PRJ_Type="Retrofit",VLOOKUP(I667,xySVG_Factors,2,FALSE),IF(AND(PRJ_Type="New Construction",Inventory!C664="N"),VLOOKUP(VLOOKUP(Building_Type,xyLPD_BuildingArea,5,FALSE),xySVG_Factors_NC,3,FALSE),0)))),"")</f>
        <v/>
      </c>
      <c r="Z667" s="544" t="str">
        <f>IFERROR(IF(C667="","",IF(INDEX(xyWattage_Table,MATCH(M667,'Fixture Identities'!$B$9:$B$997,0),2)="Exit Sign",0,VLOOKUP(S667,xySVG_Factors,2,FALSE))),"")</f>
        <v/>
      </c>
      <c r="AA667" s="545" t="str">
        <f t="shared" si="241"/>
        <v/>
      </c>
      <c r="AB667" s="542" t="str">
        <f t="shared" si="242"/>
        <v/>
      </c>
      <c r="AC667" s="539" t="str">
        <f t="shared" si="243"/>
        <v/>
      </c>
      <c r="AD667" s="546" t="str">
        <f t="shared" si="244"/>
        <v/>
      </c>
      <c r="AE667" s="539" t="str">
        <f t="shared" si="245"/>
        <v/>
      </c>
      <c r="AF667" s="546" t="str">
        <f t="shared" si="246"/>
        <v/>
      </c>
      <c r="AG667" s="539" t="str">
        <f t="shared" si="247"/>
        <v/>
      </c>
      <c r="AH667" s="32">
        <f t="shared" si="249"/>
        <v>0</v>
      </c>
      <c r="AI667" s="32">
        <f t="shared" si="250"/>
        <v>0</v>
      </c>
      <c r="AJ667" s="32">
        <f t="shared" si="251"/>
        <v>0</v>
      </c>
      <c r="AK667" t="str">
        <f t="shared" si="252"/>
        <v/>
      </c>
      <c r="AL667" t="str">
        <f t="shared" si="253"/>
        <v/>
      </c>
      <c r="AM667" t="str">
        <f t="shared" si="254"/>
        <v/>
      </c>
      <c r="AO667" t="str">
        <f>IFERROR(VLOOKUP(M667,'Fixture Identities'!$B$9:$O$1045,14,FALSE),"")</f>
        <v/>
      </c>
      <c r="AP667" t="str">
        <f t="shared" si="248"/>
        <v/>
      </c>
    </row>
    <row r="668" spans="1:42">
      <c r="A668" s="71">
        <f t="shared" si="256"/>
        <v>0</v>
      </c>
      <c r="B668" s="513">
        <f t="shared" si="255"/>
        <v>656</v>
      </c>
      <c r="C668" s="530" t="str">
        <f>IF(Inventory!E665="","",Inventory!E665)</f>
        <v/>
      </c>
      <c r="D668" s="531">
        <f>IF(Inventory!D665="",0,Inventory!D665)</f>
        <v>0</v>
      </c>
      <c r="E668" s="532" t="str">
        <f>IF(Inventory!I665=0,"",Inventory!I665)</f>
        <v/>
      </c>
      <c r="F668" s="533" t="str">
        <f t="shared" si="235"/>
        <v/>
      </c>
      <c r="G668" s="534" t="str">
        <f>IF(Inventory!G665="","",Inventory!G665)</f>
        <v/>
      </c>
      <c r="H668" s="535" t="str">
        <f t="shared" si="236"/>
        <v/>
      </c>
      <c r="I668" s="536" t="str">
        <f>IF(Inventory!J665="","",Inventory!J665)</f>
        <v/>
      </c>
      <c r="J668" s="537" t="str">
        <f>IFERROR(IF(PRJ_Type="New Construction",IF(Inventory!C665="N",INDEX(xyLPD_BuildingArea,MATCH(Building_Type,Lookups!$F$37:$F$75,0),4),INDEX(xyLPD_SpaceBySpace,MATCH(INDEX(xyNCEx,MATCH(I668,yNCExArea,0),2),ySpace_by_Space_Type,0),2)),VLOOKUP(E668,xyWattage_Table,11,FALSE)),"")</f>
        <v/>
      </c>
      <c r="K668" s="538" t="str">
        <f>IFERROR(IF(AND(NC_Type="Building Area Method",Inventory!C665="N"),IF(ISERROR(INDEX('Usage Groups (&gt;120 MWh only)'!$N$8:$N$12,MATCH(C668,'Usage Groups (&gt;120 MWh only)'!$B$8:$B$12,0),1))=TRUE,SqFt/COUNTIFS(Inventory!$C$10:$C$1009,"N",$Q$13:$Q$1012,"&gt;=0"),INDEX('Usage Groups (&gt;120 MWh only)'!$N$8:$N$12,MATCH(C668,'Usage Groups (&gt;120 MWh only)'!$B$8:$B$12,0),1)/COUNTIF($C$13:$C$1012,C668)),IF(AND(NC_Type="Building Area Method",Inventory!C665="Y"),INDEX(xyNCEx,MATCH(I668,yNCExArea,0),3)/COUNTIF($I$13:$I$1012,I668),VLOOKUP(J668,xyWattage_Table,10,FALSE))),"")</f>
        <v/>
      </c>
      <c r="L668" s="539" t="str">
        <f t="shared" si="237"/>
        <v/>
      </c>
      <c r="M668" s="540">
        <f>IF(Inventory!N665="","",Inventory!N665)</f>
        <v>0</v>
      </c>
      <c r="N668" s="533" t="str">
        <f t="shared" si="238"/>
        <v/>
      </c>
      <c r="O668" s="534"/>
      <c r="P668" s="533" t="str">
        <f t="shared" si="239"/>
        <v/>
      </c>
      <c r="Q668" s="534" t="str">
        <f>IF(Inventory!L665="","",Inventory!L665)</f>
        <v/>
      </c>
      <c r="R668" s="535" t="str">
        <f t="shared" si="240"/>
        <v/>
      </c>
      <c r="S668" s="536" t="str">
        <f>IF(Inventory!O665="","",Inventory!O665)</f>
        <v/>
      </c>
      <c r="T668" s="541" t="str">
        <f>IFERROR(IF(C668="","",IF(INDEX(xyWattage_Table,MATCH(M668,'Fixture Identities'!$B$9:$B$997,0),2)="Exit Sign",8760,IF(VLOOKUP(C668,xySpace_Type_Details,8,FALSE)="TRM",INDEX('General Information'!$AF$17:$AG$28,11,MATCH(N668,'General Information'!$AF$16:$AG$16,0)),HLOOKUP(VLOOKUP(C668,xySpace_Type_Details,8,FALSE),'General Information'!$P$15:$AG$28,13,FALSE)))),"")</f>
        <v/>
      </c>
      <c r="U668" s="542" t="str">
        <f>IFERROR(IF(C668="","",IF(INDEX(xyWattage_Table,MATCH(M668,'Fixture Identities'!$B$9:$B$997,0),2)="Exit Sign",1,IF(VLOOKUP(C668,xySpace_Type_Details,8,FALSE)="TRM",INDEX('General Information'!$AF$17:$AG$28,12,MATCH(N668,'General Information'!$AF$16:$AG$16,0)),HLOOKUP(VLOOKUP(C668,xySpace_Type_Details,8,FALSE),'General Information'!$P$15:$AG$28,14,FALSE)))),"")</f>
        <v/>
      </c>
      <c r="V668" s="542" t="str">
        <f>IFERROR(VLOOKUP(INDEX(xySpace_Type_Details,MATCH($C668,'General Information'!$C$40:$C$60,0),12),Lookups!$L$8:$N$12,2,FALSE),"")</f>
        <v/>
      </c>
      <c r="W668" s="542" t="str">
        <f>IFERROR(VLOOKUP(INDEX(xySpace_Type_Details,MATCH($C668,'General Information'!$C$40:$C$60,0),12),Lookups!$L$8:$N$12,3,FALSE),"")</f>
        <v/>
      </c>
      <c r="Y668" s="542" t="str">
        <f>IFERROR(IF(C668="","",IF(INDEX(xyWattage_Table,MATCH(M668,'Fixture Identities'!$B$9:$B$997,0),2)="Exit Sign",0,IF(PRJ_Type="Retrofit",VLOOKUP(I668,xySVG_Factors,2,FALSE),IF(AND(PRJ_Type="New Construction",Inventory!C665="N"),VLOOKUP(VLOOKUP(Building_Type,xyLPD_BuildingArea,5,FALSE),xySVG_Factors_NC,3,FALSE),0)))),"")</f>
        <v/>
      </c>
      <c r="Z668" s="544" t="str">
        <f>IFERROR(IF(C668="","",IF(INDEX(xyWattage_Table,MATCH(M668,'Fixture Identities'!$B$9:$B$997,0),2)="Exit Sign",0,VLOOKUP(S668,xySVG_Factors,2,FALSE))),"")</f>
        <v/>
      </c>
      <c r="AA668" s="545" t="str">
        <f t="shared" si="241"/>
        <v/>
      </c>
      <c r="AB668" s="542" t="str">
        <f t="shared" si="242"/>
        <v/>
      </c>
      <c r="AC668" s="539" t="str">
        <f t="shared" si="243"/>
        <v/>
      </c>
      <c r="AD668" s="546" t="str">
        <f t="shared" si="244"/>
        <v/>
      </c>
      <c r="AE668" s="539" t="str">
        <f t="shared" si="245"/>
        <v/>
      </c>
      <c r="AF668" s="546" t="str">
        <f t="shared" si="246"/>
        <v/>
      </c>
      <c r="AG668" s="539" t="str">
        <f t="shared" si="247"/>
        <v/>
      </c>
      <c r="AH668" s="32">
        <f t="shared" si="249"/>
        <v>0</v>
      </c>
      <c r="AI668" s="32">
        <f t="shared" si="250"/>
        <v>0</v>
      </c>
      <c r="AJ668" s="32">
        <f t="shared" si="251"/>
        <v>0</v>
      </c>
      <c r="AK668" t="str">
        <f t="shared" si="252"/>
        <v/>
      </c>
      <c r="AL668" t="str">
        <f t="shared" si="253"/>
        <v/>
      </c>
      <c r="AM668" t="str">
        <f t="shared" si="254"/>
        <v/>
      </c>
      <c r="AO668" t="str">
        <f>IFERROR(VLOOKUP(M668,'Fixture Identities'!$B$9:$O$1045,14,FALSE),"")</f>
        <v/>
      </c>
      <c r="AP668" t="str">
        <f t="shared" si="248"/>
        <v/>
      </c>
    </row>
    <row r="669" spans="1:42">
      <c r="A669" s="71">
        <f t="shared" si="256"/>
        <v>0</v>
      </c>
      <c r="B669" s="513">
        <f t="shared" si="255"/>
        <v>657</v>
      </c>
      <c r="C669" s="530" t="str">
        <f>IF(Inventory!E666="","",Inventory!E666)</f>
        <v/>
      </c>
      <c r="D669" s="531">
        <f>IF(Inventory!D666="",0,Inventory!D666)</f>
        <v>0</v>
      </c>
      <c r="E669" s="532" t="str">
        <f>IF(Inventory!I666=0,"",Inventory!I666)</f>
        <v/>
      </c>
      <c r="F669" s="533" t="str">
        <f t="shared" si="235"/>
        <v/>
      </c>
      <c r="G669" s="534" t="str">
        <f>IF(Inventory!G666="","",Inventory!G666)</f>
        <v/>
      </c>
      <c r="H669" s="535" t="str">
        <f t="shared" si="236"/>
        <v/>
      </c>
      <c r="I669" s="536" t="str">
        <f>IF(Inventory!J666="","",Inventory!J666)</f>
        <v/>
      </c>
      <c r="J669" s="537" t="str">
        <f>IFERROR(IF(PRJ_Type="New Construction",IF(Inventory!C666="N",INDEX(xyLPD_BuildingArea,MATCH(Building_Type,Lookups!$F$37:$F$75,0),4),INDEX(xyLPD_SpaceBySpace,MATCH(INDEX(xyNCEx,MATCH(I669,yNCExArea,0),2),ySpace_by_Space_Type,0),2)),VLOOKUP(E669,xyWattage_Table,11,FALSE)),"")</f>
        <v/>
      </c>
      <c r="K669" s="538" t="str">
        <f>IFERROR(IF(AND(NC_Type="Building Area Method",Inventory!C666="N"),IF(ISERROR(INDEX('Usage Groups (&gt;120 MWh only)'!$N$8:$N$12,MATCH(C669,'Usage Groups (&gt;120 MWh only)'!$B$8:$B$12,0),1))=TRUE,SqFt/COUNTIFS(Inventory!$C$10:$C$1009,"N",$Q$13:$Q$1012,"&gt;=0"),INDEX('Usage Groups (&gt;120 MWh only)'!$N$8:$N$12,MATCH(C669,'Usage Groups (&gt;120 MWh only)'!$B$8:$B$12,0),1)/COUNTIF($C$13:$C$1012,C669)),IF(AND(NC_Type="Building Area Method",Inventory!C666="Y"),INDEX(xyNCEx,MATCH(I669,yNCExArea,0),3)/COUNTIF($I$13:$I$1012,I669),VLOOKUP(J669,xyWattage_Table,10,FALSE))),"")</f>
        <v/>
      </c>
      <c r="L669" s="539" t="str">
        <f t="shared" si="237"/>
        <v/>
      </c>
      <c r="M669" s="540">
        <f>IF(Inventory!N666="","",Inventory!N666)</f>
        <v>0</v>
      </c>
      <c r="N669" s="533" t="str">
        <f t="shared" si="238"/>
        <v/>
      </c>
      <c r="O669" s="534"/>
      <c r="P669" s="533" t="str">
        <f t="shared" si="239"/>
        <v/>
      </c>
      <c r="Q669" s="534" t="str">
        <f>IF(Inventory!L666="","",Inventory!L666)</f>
        <v/>
      </c>
      <c r="R669" s="535" t="str">
        <f t="shared" si="240"/>
        <v/>
      </c>
      <c r="S669" s="536" t="str">
        <f>IF(Inventory!O666="","",Inventory!O666)</f>
        <v/>
      </c>
      <c r="T669" s="541" t="str">
        <f>IFERROR(IF(C669="","",IF(INDEX(xyWattage_Table,MATCH(M669,'Fixture Identities'!$B$9:$B$997,0),2)="Exit Sign",8760,IF(VLOOKUP(C669,xySpace_Type_Details,8,FALSE)="TRM",INDEX('General Information'!$AF$17:$AG$28,11,MATCH(N669,'General Information'!$AF$16:$AG$16,0)),HLOOKUP(VLOOKUP(C669,xySpace_Type_Details,8,FALSE),'General Information'!$P$15:$AG$28,13,FALSE)))),"")</f>
        <v/>
      </c>
      <c r="U669" s="542" t="str">
        <f>IFERROR(IF(C669="","",IF(INDEX(xyWattage_Table,MATCH(M669,'Fixture Identities'!$B$9:$B$997,0),2)="Exit Sign",1,IF(VLOOKUP(C669,xySpace_Type_Details,8,FALSE)="TRM",INDEX('General Information'!$AF$17:$AG$28,12,MATCH(N669,'General Information'!$AF$16:$AG$16,0)),HLOOKUP(VLOOKUP(C669,xySpace_Type_Details,8,FALSE),'General Information'!$P$15:$AG$28,14,FALSE)))),"")</f>
        <v/>
      </c>
      <c r="V669" s="542" t="str">
        <f>IFERROR(VLOOKUP(INDEX(xySpace_Type_Details,MATCH($C669,'General Information'!$C$40:$C$60,0),12),Lookups!$L$8:$N$12,2,FALSE),"")</f>
        <v/>
      </c>
      <c r="W669" s="542" t="str">
        <f>IFERROR(VLOOKUP(INDEX(xySpace_Type_Details,MATCH($C669,'General Information'!$C$40:$C$60,0),12),Lookups!$L$8:$N$12,3,FALSE),"")</f>
        <v/>
      </c>
      <c r="Y669" s="542" t="str">
        <f>IFERROR(IF(C669="","",IF(INDEX(xyWattage_Table,MATCH(M669,'Fixture Identities'!$B$9:$B$997,0),2)="Exit Sign",0,IF(PRJ_Type="Retrofit",VLOOKUP(I669,xySVG_Factors,2,FALSE),IF(AND(PRJ_Type="New Construction",Inventory!C666="N"),VLOOKUP(VLOOKUP(Building_Type,xyLPD_BuildingArea,5,FALSE),xySVG_Factors_NC,3,FALSE),0)))),"")</f>
        <v/>
      </c>
      <c r="Z669" s="544" t="str">
        <f>IFERROR(IF(C669="","",IF(INDEX(xyWattage_Table,MATCH(M669,'Fixture Identities'!$B$9:$B$997,0),2)="Exit Sign",0,VLOOKUP(S669,xySVG_Factors,2,FALSE))),"")</f>
        <v/>
      </c>
      <c r="AA669" s="545" t="str">
        <f t="shared" si="241"/>
        <v/>
      </c>
      <c r="AB669" s="542" t="str">
        <f t="shared" si="242"/>
        <v/>
      </c>
      <c r="AC669" s="539" t="str">
        <f t="shared" si="243"/>
        <v/>
      </c>
      <c r="AD669" s="546" t="str">
        <f t="shared" si="244"/>
        <v/>
      </c>
      <c r="AE669" s="539" t="str">
        <f t="shared" si="245"/>
        <v/>
      </c>
      <c r="AF669" s="546" t="str">
        <f t="shared" si="246"/>
        <v/>
      </c>
      <c r="AG669" s="539" t="str">
        <f t="shared" si="247"/>
        <v/>
      </c>
      <c r="AH669" s="32">
        <f t="shared" si="249"/>
        <v>0</v>
      </c>
      <c r="AI669" s="32">
        <f t="shared" si="250"/>
        <v>0</v>
      </c>
      <c r="AJ669" s="32">
        <f t="shared" si="251"/>
        <v>0</v>
      </c>
      <c r="AK669" t="str">
        <f t="shared" si="252"/>
        <v/>
      </c>
      <c r="AL669" t="str">
        <f t="shared" si="253"/>
        <v/>
      </c>
      <c r="AM669" t="str">
        <f t="shared" si="254"/>
        <v/>
      </c>
      <c r="AO669" t="str">
        <f>IFERROR(VLOOKUP(M669,'Fixture Identities'!$B$9:$O$1045,14,FALSE),"")</f>
        <v/>
      </c>
      <c r="AP669" t="str">
        <f t="shared" si="248"/>
        <v/>
      </c>
    </row>
    <row r="670" spans="1:42">
      <c r="A670" s="71">
        <f t="shared" si="256"/>
        <v>0</v>
      </c>
      <c r="B670" s="513">
        <f t="shared" si="255"/>
        <v>658</v>
      </c>
      <c r="C670" s="530" t="str">
        <f>IF(Inventory!E667="","",Inventory!E667)</f>
        <v/>
      </c>
      <c r="D670" s="531">
        <f>IF(Inventory!D667="",0,Inventory!D667)</f>
        <v>0</v>
      </c>
      <c r="E670" s="532" t="str">
        <f>IF(Inventory!I667=0,"",Inventory!I667)</f>
        <v/>
      </c>
      <c r="F670" s="533" t="str">
        <f t="shared" si="235"/>
        <v/>
      </c>
      <c r="G670" s="534" t="str">
        <f>IF(Inventory!G667="","",Inventory!G667)</f>
        <v/>
      </c>
      <c r="H670" s="535" t="str">
        <f t="shared" si="236"/>
        <v/>
      </c>
      <c r="I670" s="536" t="str">
        <f>IF(Inventory!J667="","",Inventory!J667)</f>
        <v/>
      </c>
      <c r="J670" s="537" t="str">
        <f>IFERROR(IF(PRJ_Type="New Construction",IF(Inventory!C667="N",INDEX(xyLPD_BuildingArea,MATCH(Building_Type,Lookups!$F$37:$F$75,0),4),INDEX(xyLPD_SpaceBySpace,MATCH(INDEX(xyNCEx,MATCH(I670,yNCExArea,0),2),ySpace_by_Space_Type,0),2)),VLOOKUP(E670,xyWattage_Table,11,FALSE)),"")</f>
        <v/>
      </c>
      <c r="K670" s="538" t="str">
        <f>IFERROR(IF(AND(NC_Type="Building Area Method",Inventory!C667="N"),IF(ISERROR(INDEX('Usage Groups (&gt;120 MWh only)'!$N$8:$N$12,MATCH(C670,'Usage Groups (&gt;120 MWh only)'!$B$8:$B$12,0),1))=TRUE,SqFt/COUNTIFS(Inventory!$C$10:$C$1009,"N",$Q$13:$Q$1012,"&gt;=0"),INDEX('Usage Groups (&gt;120 MWh only)'!$N$8:$N$12,MATCH(C670,'Usage Groups (&gt;120 MWh only)'!$B$8:$B$12,0),1)/COUNTIF($C$13:$C$1012,C670)),IF(AND(NC_Type="Building Area Method",Inventory!C667="Y"),INDEX(xyNCEx,MATCH(I670,yNCExArea,0),3)/COUNTIF($I$13:$I$1012,I670),VLOOKUP(J670,xyWattage_Table,10,FALSE))),"")</f>
        <v/>
      </c>
      <c r="L670" s="539" t="str">
        <f t="shared" si="237"/>
        <v/>
      </c>
      <c r="M670" s="540">
        <f>IF(Inventory!N667="","",Inventory!N667)</f>
        <v>0</v>
      </c>
      <c r="N670" s="533" t="str">
        <f t="shared" si="238"/>
        <v/>
      </c>
      <c r="O670" s="534"/>
      <c r="P670" s="533" t="str">
        <f t="shared" si="239"/>
        <v/>
      </c>
      <c r="Q670" s="534" t="str">
        <f>IF(Inventory!L667="","",Inventory!L667)</f>
        <v/>
      </c>
      <c r="R670" s="535" t="str">
        <f t="shared" si="240"/>
        <v/>
      </c>
      <c r="S670" s="536" t="str">
        <f>IF(Inventory!O667="","",Inventory!O667)</f>
        <v/>
      </c>
      <c r="T670" s="541" t="str">
        <f>IFERROR(IF(C670="","",IF(INDEX(xyWattage_Table,MATCH(M670,'Fixture Identities'!$B$9:$B$997,0),2)="Exit Sign",8760,IF(VLOOKUP(C670,xySpace_Type_Details,8,FALSE)="TRM",INDEX('General Information'!$AF$17:$AG$28,11,MATCH(N670,'General Information'!$AF$16:$AG$16,0)),HLOOKUP(VLOOKUP(C670,xySpace_Type_Details,8,FALSE),'General Information'!$P$15:$AG$28,13,FALSE)))),"")</f>
        <v/>
      </c>
      <c r="U670" s="542" t="str">
        <f>IFERROR(IF(C670="","",IF(INDEX(xyWattage_Table,MATCH(M670,'Fixture Identities'!$B$9:$B$997,0),2)="Exit Sign",1,IF(VLOOKUP(C670,xySpace_Type_Details,8,FALSE)="TRM",INDEX('General Information'!$AF$17:$AG$28,12,MATCH(N670,'General Information'!$AF$16:$AG$16,0)),HLOOKUP(VLOOKUP(C670,xySpace_Type_Details,8,FALSE),'General Information'!$P$15:$AG$28,14,FALSE)))),"")</f>
        <v/>
      </c>
      <c r="V670" s="542" t="str">
        <f>IFERROR(VLOOKUP(INDEX(xySpace_Type_Details,MATCH($C670,'General Information'!$C$40:$C$60,0),12),Lookups!$L$8:$N$12,2,FALSE),"")</f>
        <v/>
      </c>
      <c r="W670" s="542" t="str">
        <f>IFERROR(VLOOKUP(INDEX(xySpace_Type_Details,MATCH($C670,'General Information'!$C$40:$C$60,0),12),Lookups!$L$8:$N$12,3,FALSE),"")</f>
        <v/>
      </c>
      <c r="Y670" s="542" t="str">
        <f>IFERROR(IF(C670="","",IF(INDEX(xyWattage_Table,MATCH(M670,'Fixture Identities'!$B$9:$B$997,0),2)="Exit Sign",0,IF(PRJ_Type="Retrofit",VLOOKUP(I670,xySVG_Factors,2,FALSE),IF(AND(PRJ_Type="New Construction",Inventory!C667="N"),VLOOKUP(VLOOKUP(Building_Type,xyLPD_BuildingArea,5,FALSE),xySVG_Factors_NC,3,FALSE),0)))),"")</f>
        <v/>
      </c>
      <c r="Z670" s="544" t="str">
        <f>IFERROR(IF(C670="","",IF(INDEX(xyWattage_Table,MATCH(M670,'Fixture Identities'!$B$9:$B$997,0),2)="Exit Sign",0,VLOOKUP(S670,xySVG_Factors,2,FALSE))),"")</f>
        <v/>
      </c>
      <c r="AA670" s="545" t="str">
        <f t="shared" si="241"/>
        <v/>
      </c>
      <c r="AB670" s="542" t="str">
        <f t="shared" si="242"/>
        <v/>
      </c>
      <c r="AC670" s="539" t="str">
        <f t="shared" si="243"/>
        <v/>
      </c>
      <c r="AD670" s="546" t="str">
        <f t="shared" si="244"/>
        <v/>
      </c>
      <c r="AE670" s="539" t="str">
        <f t="shared" si="245"/>
        <v/>
      </c>
      <c r="AF670" s="546" t="str">
        <f t="shared" si="246"/>
        <v/>
      </c>
      <c r="AG670" s="539" t="str">
        <f t="shared" si="247"/>
        <v/>
      </c>
      <c r="AH670" s="32">
        <f t="shared" si="249"/>
        <v>0</v>
      </c>
      <c r="AI670" s="32">
        <f t="shared" si="250"/>
        <v>0</v>
      </c>
      <c r="AJ670" s="32">
        <f t="shared" si="251"/>
        <v>0</v>
      </c>
      <c r="AK670" t="str">
        <f t="shared" si="252"/>
        <v/>
      </c>
      <c r="AL670" t="str">
        <f t="shared" si="253"/>
        <v/>
      </c>
      <c r="AM670" t="str">
        <f t="shared" si="254"/>
        <v/>
      </c>
      <c r="AO670" t="str">
        <f>IFERROR(VLOOKUP(M670,'Fixture Identities'!$B$9:$O$1045,14,FALSE),"")</f>
        <v/>
      </c>
      <c r="AP670" t="str">
        <f t="shared" si="248"/>
        <v/>
      </c>
    </row>
    <row r="671" spans="1:42">
      <c r="A671" s="71">
        <f t="shared" si="256"/>
        <v>0</v>
      </c>
      <c r="B671" s="513">
        <f t="shared" si="255"/>
        <v>659</v>
      </c>
      <c r="C671" s="530" t="str">
        <f>IF(Inventory!E668="","",Inventory!E668)</f>
        <v/>
      </c>
      <c r="D671" s="531">
        <f>IF(Inventory!D668="",0,Inventory!D668)</f>
        <v>0</v>
      </c>
      <c r="E671" s="532" t="str">
        <f>IF(Inventory!I668=0,"",Inventory!I668)</f>
        <v/>
      </c>
      <c r="F671" s="533" t="str">
        <f t="shared" si="235"/>
        <v/>
      </c>
      <c r="G671" s="534" t="str">
        <f>IF(Inventory!G668="","",Inventory!G668)</f>
        <v/>
      </c>
      <c r="H671" s="535" t="str">
        <f t="shared" si="236"/>
        <v/>
      </c>
      <c r="I671" s="536" t="str">
        <f>IF(Inventory!J668="","",Inventory!J668)</f>
        <v/>
      </c>
      <c r="J671" s="537" t="str">
        <f>IFERROR(IF(PRJ_Type="New Construction",IF(Inventory!C668="N",INDEX(xyLPD_BuildingArea,MATCH(Building_Type,Lookups!$F$37:$F$75,0),4),INDEX(xyLPD_SpaceBySpace,MATCH(INDEX(xyNCEx,MATCH(I671,yNCExArea,0),2),ySpace_by_Space_Type,0),2)),VLOOKUP(E671,xyWattage_Table,11,FALSE)),"")</f>
        <v/>
      </c>
      <c r="K671" s="538" t="str">
        <f>IFERROR(IF(AND(NC_Type="Building Area Method",Inventory!C668="N"),IF(ISERROR(INDEX('Usage Groups (&gt;120 MWh only)'!$N$8:$N$12,MATCH(C671,'Usage Groups (&gt;120 MWh only)'!$B$8:$B$12,0),1))=TRUE,SqFt/COUNTIFS(Inventory!$C$10:$C$1009,"N",$Q$13:$Q$1012,"&gt;=0"),INDEX('Usage Groups (&gt;120 MWh only)'!$N$8:$N$12,MATCH(C671,'Usage Groups (&gt;120 MWh only)'!$B$8:$B$12,0),1)/COUNTIF($C$13:$C$1012,C671)),IF(AND(NC_Type="Building Area Method",Inventory!C668="Y"),INDEX(xyNCEx,MATCH(I671,yNCExArea,0),3)/COUNTIF($I$13:$I$1012,I671),VLOOKUP(J671,xyWattage_Table,10,FALSE))),"")</f>
        <v/>
      </c>
      <c r="L671" s="539" t="str">
        <f t="shared" si="237"/>
        <v/>
      </c>
      <c r="M671" s="540">
        <f>IF(Inventory!N668="","",Inventory!N668)</f>
        <v>0</v>
      </c>
      <c r="N671" s="533" t="str">
        <f t="shared" si="238"/>
        <v/>
      </c>
      <c r="O671" s="534"/>
      <c r="P671" s="533" t="str">
        <f t="shared" si="239"/>
        <v/>
      </c>
      <c r="Q671" s="534" t="str">
        <f>IF(Inventory!L668="","",Inventory!L668)</f>
        <v/>
      </c>
      <c r="R671" s="535" t="str">
        <f t="shared" si="240"/>
        <v/>
      </c>
      <c r="S671" s="536" t="str">
        <f>IF(Inventory!O668="","",Inventory!O668)</f>
        <v/>
      </c>
      <c r="T671" s="541" t="str">
        <f>IFERROR(IF(C671="","",IF(INDEX(xyWattage_Table,MATCH(M671,'Fixture Identities'!$B$9:$B$997,0),2)="Exit Sign",8760,IF(VLOOKUP(C671,xySpace_Type_Details,8,FALSE)="TRM",INDEX('General Information'!$AF$17:$AG$28,11,MATCH(N671,'General Information'!$AF$16:$AG$16,0)),HLOOKUP(VLOOKUP(C671,xySpace_Type_Details,8,FALSE),'General Information'!$P$15:$AG$28,13,FALSE)))),"")</f>
        <v/>
      </c>
      <c r="U671" s="542" t="str">
        <f>IFERROR(IF(C671="","",IF(INDEX(xyWattage_Table,MATCH(M671,'Fixture Identities'!$B$9:$B$997,0),2)="Exit Sign",1,IF(VLOOKUP(C671,xySpace_Type_Details,8,FALSE)="TRM",INDEX('General Information'!$AF$17:$AG$28,12,MATCH(N671,'General Information'!$AF$16:$AG$16,0)),HLOOKUP(VLOOKUP(C671,xySpace_Type_Details,8,FALSE),'General Information'!$P$15:$AG$28,14,FALSE)))),"")</f>
        <v/>
      </c>
      <c r="V671" s="542" t="str">
        <f>IFERROR(VLOOKUP(INDEX(xySpace_Type_Details,MATCH($C671,'General Information'!$C$40:$C$60,0),12),Lookups!$L$8:$N$12,2,FALSE),"")</f>
        <v/>
      </c>
      <c r="W671" s="542" t="str">
        <f>IFERROR(VLOOKUP(INDEX(xySpace_Type_Details,MATCH($C671,'General Information'!$C$40:$C$60,0),12),Lookups!$L$8:$N$12,3,FALSE),"")</f>
        <v/>
      </c>
      <c r="Y671" s="542" t="str">
        <f>IFERROR(IF(C671="","",IF(INDEX(xyWattage_Table,MATCH(M671,'Fixture Identities'!$B$9:$B$997,0),2)="Exit Sign",0,IF(PRJ_Type="Retrofit",VLOOKUP(I671,xySVG_Factors,2,FALSE),IF(AND(PRJ_Type="New Construction",Inventory!C668="N"),VLOOKUP(VLOOKUP(Building_Type,xyLPD_BuildingArea,5,FALSE),xySVG_Factors_NC,3,FALSE),0)))),"")</f>
        <v/>
      </c>
      <c r="Z671" s="544" t="str">
        <f>IFERROR(IF(C671="","",IF(INDEX(xyWattage_Table,MATCH(M671,'Fixture Identities'!$B$9:$B$997,0),2)="Exit Sign",0,VLOOKUP(S671,xySVG_Factors,2,FALSE))),"")</f>
        <v/>
      </c>
      <c r="AA671" s="545" t="str">
        <f t="shared" si="241"/>
        <v/>
      </c>
      <c r="AB671" s="542" t="str">
        <f t="shared" si="242"/>
        <v/>
      </c>
      <c r="AC671" s="539" t="str">
        <f t="shared" si="243"/>
        <v/>
      </c>
      <c r="AD671" s="546" t="str">
        <f t="shared" si="244"/>
        <v/>
      </c>
      <c r="AE671" s="539" t="str">
        <f t="shared" si="245"/>
        <v/>
      </c>
      <c r="AF671" s="546" t="str">
        <f t="shared" si="246"/>
        <v/>
      </c>
      <c r="AG671" s="539" t="str">
        <f t="shared" si="247"/>
        <v/>
      </c>
      <c r="AH671" s="32">
        <f t="shared" si="249"/>
        <v>0</v>
      </c>
      <c r="AI671" s="32">
        <f t="shared" si="250"/>
        <v>0</v>
      </c>
      <c r="AJ671" s="32">
        <f t="shared" si="251"/>
        <v>0</v>
      </c>
      <c r="AK671" t="str">
        <f t="shared" si="252"/>
        <v/>
      </c>
      <c r="AL671" t="str">
        <f t="shared" si="253"/>
        <v/>
      </c>
      <c r="AM671" t="str">
        <f t="shared" si="254"/>
        <v/>
      </c>
      <c r="AO671" t="str">
        <f>IFERROR(VLOOKUP(M671,'Fixture Identities'!$B$9:$O$1045,14,FALSE),"")</f>
        <v/>
      </c>
      <c r="AP671" t="str">
        <f t="shared" si="248"/>
        <v/>
      </c>
    </row>
    <row r="672" spans="1:42">
      <c r="A672" s="71">
        <f t="shared" si="256"/>
        <v>0</v>
      </c>
      <c r="B672" s="513">
        <f t="shared" si="255"/>
        <v>660</v>
      </c>
      <c r="C672" s="530" t="str">
        <f>IF(Inventory!E669="","",Inventory!E669)</f>
        <v/>
      </c>
      <c r="D672" s="531">
        <f>IF(Inventory!D669="",0,Inventory!D669)</f>
        <v>0</v>
      </c>
      <c r="E672" s="532" t="str">
        <f>IF(Inventory!I669=0,"",Inventory!I669)</f>
        <v/>
      </c>
      <c r="F672" s="533" t="str">
        <f t="shared" si="235"/>
        <v/>
      </c>
      <c r="G672" s="534" t="str">
        <f>IF(Inventory!G669="","",Inventory!G669)</f>
        <v/>
      </c>
      <c r="H672" s="535" t="str">
        <f t="shared" si="236"/>
        <v/>
      </c>
      <c r="I672" s="536" t="str">
        <f>IF(Inventory!J669="","",Inventory!J669)</f>
        <v/>
      </c>
      <c r="J672" s="537" t="str">
        <f>IFERROR(IF(PRJ_Type="New Construction",IF(Inventory!C669="N",INDEX(xyLPD_BuildingArea,MATCH(Building_Type,Lookups!$F$37:$F$75,0),4),INDEX(xyLPD_SpaceBySpace,MATCH(INDEX(xyNCEx,MATCH(I672,yNCExArea,0),2),ySpace_by_Space_Type,0),2)),VLOOKUP(E672,xyWattage_Table,11,FALSE)),"")</f>
        <v/>
      </c>
      <c r="K672" s="538" t="str">
        <f>IFERROR(IF(AND(NC_Type="Building Area Method",Inventory!C669="N"),IF(ISERROR(INDEX('Usage Groups (&gt;120 MWh only)'!$N$8:$N$12,MATCH(C672,'Usage Groups (&gt;120 MWh only)'!$B$8:$B$12,0),1))=TRUE,SqFt/COUNTIFS(Inventory!$C$10:$C$1009,"N",$Q$13:$Q$1012,"&gt;=0"),INDEX('Usage Groups (&gt;120 MWh only)'!$N$8:$N$12,MATCH(C672,'Usage Groups (&gt;120 MWh only)'!$B$8:$B$12,0),1)/COUNTIF($C$13:$C$1012,C672)),IF(AND(NC_Type="Building Area Method",Inventory!C669="Y"),INDEX(xyNCEx,MATCH(I672,yNCExArea,0),3)/COUNTIF($I$13:$I$1012,I672),VLOOKUP(J672,xyWattage_Table,10,FALSE))),"")</f>
        <v/>
      </c>
      <c r="L672" s="539" t="str">
        <f t="shared" si="237"/>
        <v/>
      </c>
      <c r="M672" s="540">
        <f>IF(Inventory!N669="","",Inventory!N669)</f>
        <v>0</v>
      </c>
      <c r="N672" s="533" t="str">
        <f t="shared" si="238"/>
        <v/>
      </c>
      <c r="O672" s="534"/>
      <c r="P672" s="533" t="str">
        <f t="shared" si="239"/>
        <v/>
      </c>
      <c r="Q672" s="534" t="str">
        <f>IF(Inventory!L669="","",Inventory!L669)</f>
        <v/>
      </c>
      <c r="R672" s="535" t="str">
        <f t="shared" si="240"/>
        <v/>
      </c>
      <c r="S672" s="536" t="str">
        <f>IF(Inventory!O669="","",Inventory!O669)</f>
        <v/>
      </c>
      <c r="T672" s="541" t="str">
        <f>IFERROR(IF(C672="","",IF(INDEX(xyWattage_Table,MATCH(M672,'Fixture Identities'!$B$9:$B$997,0),2)="Exit Sign",8760,IF(VLOOKUP(C672,xySpace_Type_Details,8,FALSE)="TRM",INDEX('General Information'!$AF$17:$AG$28,11,MATCH(N672,'General Information'!$AF$16:$AG$16,0)),HLOOKUP(VLOOKUP(C672,xySpace_Type_Details,8,FALSE),'General Information'!$P$15:$AG$28,13,FALSE)))),"")</f>
        <v/>
      </c>
      <c r="U672" s="542" t="str">
        <f>IFERROR(IF(C672="","",IF(INDEX(xyWattage_Table,MATCH(M672,'Fixture Identities'!$B$9:$B$997,0),2)="Exit Sign",1,IF(VLOOKUP(C672,xySpace_Type_Details,8,FALSE)="TRM",INDEX('General Information'!$AF$17:$AG$28,12,MATCH(N672,'General Information'!$AF$16:$AG$16,0)),HLOOKUP(VLOOKUP(C672,xySpace_Type_Details,8,FALSE),'General Information'!$P$15:$AG$28,14,FALSE)))),"")</f>
        <v/>
      </c>
      <c r="V672" s="542" t="str">
        <f>IFERROR(VLOOKUP(INDEX(xySpace_Type_Details,MATCH($C672,'General Information'!$C$40:$C$60,0),12),Lookups!$L$8:$N$12,2,FALSE),"")</f>
        <v/>
      </c>
      <c r="W672" s="542" t="str">
        <f>IFERROR(VLOOKUP(INDEX(xySpace_Type_Details,MATCH($C672,'General Information'!$C$40:$C$60,0),12),Lookups!$L$8:$N$12,3,FALSE),"")</f>
        <v/>
      </c>
      <c r="Y672" s="542" t="str">
        <f>IFERROR(IF(C672="","",IF(INDEX(xyWattage_Table,MATCH(M672,'Fixture Identities'!$B$9:$B$997,0),2)="Exit Sign",0,IF(PRJ_Type="Retrofit",VLOOKUP(I672,xySVG_Factors,2,FALSE),IF(AND(PRJ_Type="New Construction",Inventory!C669="N"),VLOOKUP(VLOOKUP(Building_Type,xyLPD_BuildingArea,5,FALSE),xySVG_Factors_NC,3,FALSE),0)))),"")</f>
        <v/>
      </c>
      <c r="Z672" s="544" t="str">
        <f>IFERROR(IF(C672="","",IF(INDEX(xyWattage_Table,MATCH(M672,'Fixture Identities'!$B$9:$B$997,0),2)="Exit Sign",0,VLOOKUP(S672,xySVG_Factors,2,FALSE))),"")</f>
        <v/>
      </c>
      <c r="AA672" s="545" t="str">
        <f t="shared" si="241"/>
        <v/>
      </c>
      <c r="AB672" s="542" t="str">
        <f t="shared" si="242"/>
        <v/>
      </c>
      <c r="AC672" s="539" t="str">
        <f t="shared" si="243"/>
        <v/>
      </c>
      <c r="AD672" s="546" t="str">
        <f t="shared" si="244"/>
        <v/>
      </c>
      <c r="AE672" s="539" t="str">
        <f t="shared" si="245"/>
        <v/>
      </c>
      <c r="AF672" s="546" t="str">
        <f t="shared" si="246"/>
        <v/>
      </c>
      <c r="AG672" s="539" t="str">
        <f t="shared" si="247"/>
        <v/>
      </c>
      <c r="AH672" s="32">
        <f t="shared" si="249"/>
        <v>0</v>
      </c>
      <c r="AI672" s="32">
        <f t="shared" si="250"/>
        <v>0</v>
      </c>
      <c r="AJ672" s="32">
        <f t="shared" si="251"/>
        <v>0</v>
      </c>
      <c r="AK672" t="str">
        <f t="shared" si="252"/>
        <v/>
      </c>
      <c r="AL672" t="str">
        <f t="shared" si="253"/>
        <v/>
      </c>
      <c r="AM672" t="str">
        <f t="shared" si="254"/>
        <v/>
      </c>
      <c r="AO672" t="str">
        <f>IFERROR(VLOOKUP(M672,'Fixture Identities'!$B$9:$O$1045,14,FALSE),"")</f>
        <v/>
      </c>
      <c r="AP672" t="str">
        <f t="shared" si="248"/>
        <v/>
      </c>
    </row>
    <row r="673" spans="1:42">
      <c r="A673" s="71">
        <f t="shared" si="256"/>
        <v>0</v>
      </c>
      <c r="B673" s="513">
        <f t="shared" si="255"/>
        <v>661</v>
      </c>
      <c r="C673" s="530" t="str">
        <f>IF(Inventory!E670="","",Inventory!E670)</f>
        <v/>
      </c>
      <c r="D673" s="531">
        <f>IF(Inventory!D670="",0,Inventory!D670)</f>
        <v>0</v>
      </c>
      <c r="E673" s="532" t="str">
        <f>IF(Inventory!I670=0,"",Inventory!I670)</f>
        <v/>
      </c>
      <c r="F673" s="533" t="str">
        <f t="shared" si="235"/>
        <v/>
      </c>
      <c r="G673" s="534" t="str">
        <f>IF(Inventory!G670="","",Inventory!G670)</f>
        <v/>
      </c>
      <c r="H673" s="535" t="str">
        <f t="shared" si="236"/>
        <v/>
      </c>
      <c r="I673" s="536" t="str">
        <f>IF(Inventory!J670="","",Inventory!J670)</f>
        <v/>
      </c>
      <c r="J673" s="537" t="str">
        <f>IFERROR(IF(PRJ_Type="New Construction",IF(Inventory!C670="N",INDEX(xyLPD_BuildingArea,MATCH(Building_Type,Lookups!$F$37:$F$75,0),4),INDEX(xyLPD_SpaceBySpace,MATCH(INDEX(xyNCEx,MATCH(I673,yNCExArea,0),2),ySpace_by_Space_Type,0),2)),VLOOKUP(E673,xyWattage_Table,11,FALSE)),"")</f>
        <v/>
      </c>
      <c r="K673" s="538" t="str">
        <f>IFERROR(IF(AND(NC_Type="Building Area Method",Inventory!C670="N"),IF(ISERROR(INDEX('Usage Groups (&gt;120 MWh only)'!$N$8:$N$12,MATCH(C673,'Usage Groups (&gt;120 MWh only)'!$B$8:$B$12,0),1))=TRUE,SqFt/COUNTIFS(Inventory!$C$10:$C$1009,"N",$Q$13:$Q$1012,"&gt;=0"),INDEX('Usage Groups (&gt;120 MWh only)'!$N$8:$N$12,MATCH(C673,'Usage Groups (&gt;120 MWh only)'!$B$8:$B$12,0),1)/COUNTIF($C$13:$C$1012,C673)),IF(AND(NC_Type="Building Area Method",Inventory!C670="Y"),INDEX(xyNCEx,MATCH(I673,yNCExArea,0),3)/COUNTIF($I$13:$I$1012,I673),VLOOKUP(J673,xyWattage_Table,10,FALSE))),"")</f>
        <v/>
      </c>
      <c r="L673" s="539" t="str">
        <f t="shared" si="237"/>
        <v/>
      </c>
      <c r="M673" s="540">
        <f>IF(Inventory!N670="","",Inventory!N670)</f>
        <v>0</v>
      </c>
      <c r="N673" s="533" t="str">
        <f t="shared" si="238"/>
        <v/>
      </c>
      <c r="O673" s="534"/>
      <c r="P673" s="533" t="str">
        <f t="shared" si="239"/>
        <v/>
      </c>
      <c r="Q673" s="534" t="str">
        <f>IF(Inventory!L670="","",Inventory!L670)</f>
        <v/>
      </c>
      <c r="R673" s="535" t="str">
        <f t="shared" si="240"/>
        <v/>
      </c>
      <c r="S673" s="536" t="str">
        <f>IF(Inventory!O670="","",Inventory!O670)</f>
        <v/>
      </c>
      <c r="T673" s="541" t="str">
        <f>IFERROR(IF(C673="","",IF(INDEX(xyWattage_Table,MATCH(M673,'Fixture Identities'!$B$9:$B$997,0),2)="Exit Sign",8760,IF(VLOOKUP(C673,xySpace_Type_Details,8,FALSE)="TRM",INDEX('General Information'!$AF$17:$AG$28,11,MATCH(N673,'General Information'!$AF$16:$AG$16,0)),HLOOKUP(VLOOKUP(C673,xySpace_Type_Details,8,FALSE),'General Information'!$P$15:$AG$28,13,FALSE)))),"")</f>
        <v/>
      </c>
      <c r="U673" s="542" t="str">
        <f>IFERROR(IF(C673="","",IF(INDEX(xyWattage_Table,MATCH(M673,'Fixture Identities'!$B$9:$B$997,0),2)="Exit Sign",1,IF(VLOOKUP(C673,xySpace_Type_Details,8,FALSE)="TRM",INDEX('General Information'!$AF$17:$AG$28,12,MATCH(N673,'General Information'!$AF$16:$AG$16,0)),HLOOKUP(VLOOKUP(C673,xySpace_Type_Details,8,FALSE),'General Information'!$P$15:$AG$28,14,FALSE)))),"")</f>
        <v/>
      </c>
      <c r="V673" s="542" t="str">
        <f>IFERROR(VLOOKUP(INDEX(xySpace_Type_Details,MATCH($C673,'General Information'!$C$40:$C$60,0),12),Lookups!$L$8:$N$12,2,FALSE),"")</f>
        <v/>
      </c>
      <c r="W673" s="542" t="str">
        <f>IFERROR(VLOOKUP(INDEX(xySpace_Type_Details,MATCH($C673,'General Information'!$C$40:$C$60,0),12),Lookups!$L$8:$N$12,3,FALSE),"")</f>
        <v/>
      </c>
      <c r="Y673" s="542" t="str">
        <f>IFERROR(IF(C673="","",IF(INDEX(xyWattage_Table,MATCH(M673,'Fixture Identities'!$B$9:$B$997,0),2)="Exit Sign",0,IF(PRJ_Type="Retrofit",VLOOKUP(I673,xySVG_Factors,2,FALSE),IF(AND(PRJ_Type="New Construction",Inventory!C670="N"),VLOOKUP(VLOOKUP(Building_Type,xyLPD_BuildingArea,5,FALSE),xySVG_Factors_NC,3,FALSE),0)))),"")</f>
        <v/>
      </c>
      <c r="Z673" s="544" t="str">
        <f>IFERROR(IF(C673="","",IF(INDEX(xyWattage_Table,MATCH(M673,'Fixture Identities'!$B$9:$B$997,0),2)="Exit Sign",0,VLOOKUP(S673,xySVG_Factors,2,FALSE))),"")</f>
        <v/>
      </c>
      <c r="AA673" s="545" t="str">
        <f t="shared" si="241"/>
        <v/>
      </c>
      <c r="AB673" s="542" t="str">
        <f t="shared" si="242"/>
        <v/>
      </c>
      <c r="AC673" s="539" t="str">
        <f t="shared" si="243"/>
        <v/>
      </c>
      <c r="AD673" s="546" t="str">
        <f t="shared" si="244"/>
        <v/>
      </c>
      <c r="AE673" s="539" t="str">
        <f t="shared" si="245"/>
        <v/>
      </c>
      <c r="AF673" s="546" t="str">
        <f t="shared" si="246"/>
        <v/>
      </c>
      <c r="AG673" s="539" t="str">
        <f t="shared" si="247"/>
        <v/>
      </c>
      <c r="AH673" s="32">
        <f t="shared" si="249"/>
        <v>0</v>
      </c>
      <c r="AI673" s="32">
        <f t="shared" si="250"/>
        <v>0</v>
      </c>
      <c r="AJ673" s="32">
        <f t="shared" si="251"/>
        <v>0</v>
      </c>
      <c r="AK673" t="str">
        <f t="shared" si="252"/>
        <v/>
      </c>
      <c r="AL673" t="str">
        <f t="shared" si="253"/>
        <v/>
      </c>
      <c r="AM673" t="str">
        <f t="shared" si="254"/>
        <v/>
      </c>
      <c r="AO673" t="str">
        <f>IFERROR(VLOOKUP(M673,'Fixture Identities'!$B$9:$O$1045,14,FALSE),"")</f>
        <v/>
      </c>
      <c r="AP673" t="str">
        <f t="shared" si="248"/>
        <v/>
      </c>
    </row>
    <row r="674" spans="1:42">
      <c r="A674" s="71">
        <f t="shared" si="256"/>
        <v>0</v>
      </c>
      <c r="B674" s="513">
        <f t="shared" si="255"/>
        <v>662</v>
      </c>
      <c r="C674" s="530" t="str">
        <f>IF(Inventory!E671="","",Inventory!E671)</f>
        <v/>
      </c>
      <c r="D674" s="531">
        <f>IF(Inventory!D671="",0,Inventory!D671)</f>
        <v>0</v>
      </c>
      <c r="E674" s="532" t="str">
        <f>IF(Inventory!I671=0,"",Inventory!I671)</f>
        <v/>
      </c>
      <c r="F674" s="533" t="str">
        <f t="shared" si="235"/>
        <v/>
      </c>
      <c r="G674" s="534" t="str">
        <f>IF(Inventory!G671="","",Inventory!G671)</f>
        <v/>
      </c>
      <c r="H674" s="535" t="str">
        <f t="shared" si="236"/>
        <v/>
      </c>
      <c r="I674" s="536" t="str">
        <f>IF(Inventory!J671="","",Inventory!J671)</f>
        <v/>
      </c>
      <c r="J674" s="537" t="str">
        <f>IFERROR(IF(PRJ_Type="New Construction",IF(Inventory!C671="N",INDEX(xyLPD_BuildingArea,MATCH(Building_Type,Lookups!$F$37:$F$75,0),4),INDEX(xyLPD_SpaceBySpace,MATCH(INDEX(xyNCEx,MATCH(I674,yNCExArea,0),2),ySpace_by_Space_Type,0),2)),VLOOKUP(E674,xyWattage_Table,11,FALSE)),"")</f>
        <v/>
      </c>
      <c r="K674" s="538" t="str">
        <f>IFERROR(IF(AND(NC_Type="Building Area Method",Inventory!C671="N"),IF(ISERROR(INDEX('Usage Groups (&gt;120 MWh only)'!$N$8:$N$12,MATCH(C674,'Usage Groups (&gt;120 MWh only)'!$B$8:$B$12,0),1))=TRUE,SqFt/COUNTIFS(Inventory!$C$10:$C$1009,"N",$Q$13:$Q$1012,"&gt;=0"),INDEX('Usage Groups (&gt;120 MWh only)'!$N$8:$N$12,MATCH(C674,'Usage Groups (&gt;120 MWh only)'!$B$8:$B$12,0),1)/COUNTIF($C$13:$C$1012,C674)),IF(AND(NC_Type="Building Area Method",Inventory!C671="Y"),INDEX(xyNCEx,MATCH(I674,yNCExArea,0),3)/COUNTIF($I$13:$I$1012,I674),VLOOKUP(J674,xyWattage_Table,10,FALSE))),"")</f>
        <v/>
      </c>
      <c r="L674" s="539" t="str">
        <f t="shared" si="237"/>
        <v/>
      </c>
      <c r="M674" s="540">
        <f>IF(Inventory!N671="","",Inventory!N671)</f>
        <v>0</v>
      </c>
      <c r="N674" s="533" t="str">
        <f t="shared" si="238"/>
        <v/>
      </c>
      <c r="O674" s="534"/>
      <c r="P674" s="533" t="str">
        <f t="shared" si="239"/>
        <v/>
      </c>
      <c r="Q674" s="534" t="str">
        <f>IF(Inventory!L671="","",Inventory!L671)</f>
        <v/>
      </c>
      <c r="R674" s="535" t="str">
        <f t="shared" si="240"/>
        <v/>
      </c>
      <c r="S674" s="536" t="str">
        <f>IF(Inventory!O671="","",Inventory!O671)</f>
        <v/>
      </c>
      <c r="T674" s="541" t="str">
        <f>IFERROR(IF(C674="","",IF(INDEX(xyWattage_Table,MATCH(M674,'Fixture Identities'!$B$9:$B$997,0),2)="Exit Sign",8760,IF(VLOOKUP(C674,xySpace_Type_Details,8,FALSE)="TRM",INDEX('General Information'!$AF$17:$AG$28,11,MATCH(N674,'General Information'!$AF$16:$AG$16,0)),HLOOKUP(VLOOKUP(C674,xySpace_Type_Details,8,FALSE),'General Information'!$P$15:$AG$28,13,FALSE)))),"")</f>
        <v/>
      </c>
      <c r="U674" s="542" t="str">
        <f>IFERROR(IF(C674="","",IF(INDEX(xyWattage_Table,MATCH(M674,'Fixture Identities'!$B$9:$B$997,0),2)="Exit Sign",1,IF(VLOOKUP(C674,xySpace_Type_Details,8,FALSE)="TRM",INDEX('General Information'!$AF$17:$AG$28,12,MATCH(N674,'General Information'!$AF$16:$AG$16,0)),HLOOKUP(VLOOKUP(C674,xySpace_Type_Details,8,FALSE),'General Information'!$P$15:$AG$28,14,FALSE)))),"")</f>
        <v/>
      </c>
      <c r="V674" s="542" t="str">
        <f>IFERROR(VLOOKUP(INDEX(xySpace_Type_Details,MATCH($C674,'General Information'!$C$40:$C$60,0),12),Lookups!$L$8:$N$12,2,FALSE),"")</f>
        <v/>
      </c>
      <c r="W674" s="542" t="str">
        <f>IFERROR(VLOOKUP(INDEX(xySpace_Type_Details,MATCH($C674,'General Information'!$C$40:$C$60,0),12),Lookups!$L$8:$N$12,3,FALSE),"")</f>
        <v/>
      </c>
      <c r="Y674" s="542" t="str">
        <f>IFERROR(IF(C674="","",IF(INDEX(xyWattage_Table,MATCH(M674,'Fixture Identities'!$B$9:$B$997,0),2)="Exit Sign",0,IF(PRJ_Type="Retrofit",VLOOKUP(I674,xySVG_Factors,2,FALSE),IF(AND(PRJ_Type="New Construction",Inventory!C671="N"),VLOOKUP(VLOOKUP(Building_Type,xyLPD_BuildingArea,5,FALSE),xySVG_Factors_NC,3,FALSE),0)))),"")</f>
        <v/>
      </c>
      <c r="Z674" s="544" t="str">
        <f>IFERROR(IF(C674="","",IF(INDEX(xyWattage_Table,MATCH(M674,'Fixture Identities'!$B$9:$B$997,0),2)="Exit Sign",0,VLOOKUP(S674,xySVG_Factors,2,FALSE))),"")</f>
        <v/>
      </c>
      <c r="AA674" s="545" t="str">
        <f t="shared" si="241"/>
        <v/>
      </c>
      <c r="AB674" s="542" t="str">
        <f t="shared" si="242"/>
        <v/>
      </c>
      <c r="AC674" s="539" t="str">
        <f t="shared" si="243"/>
        <v/>
      </c>
      <c r="AD674" s="546" t="str">
        <f t="shared" si="244"/>
        <v/>
      </c>
      <c r="AE674" s="539" t="str">
        <f t="shared" si="245"/>
        <v/>
      </c>
      <c r="AF674" s="546" t="str">
        <f t="shared" si="246"/>
        <v/>
      </c>
      <c r="AG674" s="539" t="str">
        <f t="shared" si="247"/>
        <v/>
      </c>
      <c r="AH674" s="32">
        <f t="shared" si="249"/>
        <v>0</v>
      </c>
      <c r="AI674" s="32">
        <f t="shared" si="250"/>
        <v>0</v>
      </c>
      <c r="AJ674" s="32">
        <f t="shared" si="251"/>
        <v>0</v>
      </c>
      <c r="AK674" t="str">
        <f t="shared" si="252"/>
        <v/>
      </c>
      <c r="AL674" t="str">
        <f t="shared" si="253"/>
        <v/>
      </c>
      <c r="AM674" t="str">
        <f t="shared" si="254"/>
        <v/>
      </c>
      <c r="AO674" t="str">
        <f>IFERROR(VLOOKUP(M674,'Fixture Identities'!$B$9:$O$1045,14,FALSE),"")</f>
        <v/>
      </c>
      <c r="AP674" t="str">
        <f t="shared" si="248"/>
        <v/>
      </c>
    </row>
    <row r="675" spans="1:42">
      <c r="A675" s="71">
        <f t="shared" si="256"/>
        <v>0</v>
      </c>
      <c r="B675" s="513">
        <f t="shared" si="255"/>
        <v>663</v>
      </c>
      <c r="C675" s="530" t="str">
        <f>IF(Inventory!E672="","",Inventory!E672)</f>
        <v/>
      </c>
      <c r="D675" s="531">
        <f>IF(Inventory!D672="",0,Inventory!D672)</f>
        <v>0</v>
      </c>
      <c r="E675" s="532" t="str">
        <f>IF(Inventory!I672=0,"",Inventory!I672)</f>
        <v/>
      </c>
      <c r="F675" s="533" t="str">
        <f t="shared" si="235"/>
        <v/>
      </c>
      <c r="G675" s="534" t="str">
        <f>IF(Inventory!G672="","",Inventory!G672)</f>
        <v/>
      </c>
      <c r="H675" s="535" t="str">
        <f t="shared" si="236"/>
        <v/>
      </c>
      <c r="I675" s="536" t="str">
        <f>IF(Inventory!J672="","",Inventory!J672)</f>
        <v/>
      </c>
      <c r="J675" s="537" t="str">
        <f>IFERROR(IF(PRJ_Type="New Construction",IF(Inventory!C672="N",INDEX(xyLPD_BuildingArea,MATCH(Building_Type,Lookups!$F$37:$F$75,0),4),INDEX(xyLPD_SpaceBySpace,MATCH(INDEX(xyNCEx,MATCH(I675,yNCExArea,0),2),ySpace_by_Space_Type,0),2)),VLOOKUP(E675,xyWattage_Table,11,FALSE)),"")</f>
        <v/>
      </c>
      <c r="K675" s="538" t="str">
        <f>IFERROR(IF(AND(NC_Type="Building Area Method",Inventory!C672="N"),IF(ISERROR(INDEX('Usage Groups (&gt;120 MWh only)'!$N$8:$N$12,MATCH(C675,'Usage Groups (&gt;120 MWh only)'!$B$8:$B$12,0),1))=TRUE,SqFt/COUNTIFS(Inventory!$C$10:$C$1009,"N",$Q$13:$Q$1012,"&gt;=0"),INDEX('Usage Groups (&gt;120 MWh only)'!$N$8:$N$12,MATCH(C675,'Usage Groups (&gt;120 MWh only)'!$B$8:$B$12,0),1)/COUNTIF($C$13:$C$1012,C675)),IF(AND(NC_Type="Building Area Method",Inventory!C672="Y"),INDEX(xyNCEx,MATCH(I675,yNCExArea,0),3)/COUNTIF($I$13:$I$1012,I675),VLOOKUP(J675,xyWattage_Table,10,FALSE))),"")</f>
        <v/>
      </c>
      <c r="L675" s="539" t="str">
        <f t="shared" si="237"/>
        <v/>
      </c>
      <c r="M675" s="540">
        <f>IF(Inventory!N672="","",Inventory!N672)</f>
        <v>0</v>
      </c>
      <c r="N675" s="533" t="str">
        <f t="shared" si="238"/>
        <v/>
      </c>
      <c r="O675" s="534"/>
      <c r="P675" s="533" t="str">
        <f t="shared" si="239"/>
        <v/>
      </c>
      <c r="Q675" s="534" t="str">
        <f>IF(Inventory!L672="","",Inventory!L672)</f>
        <v/>
      </c>
      <c r="R675" s="535" t="str">
        <f t="shared" si="240"/>
        <v/>
      </c>
      <c r="S675" s="536" t="str">
        <f>IF(Inventory!O672="","",Inventory!O672)</f>
        <v/>
      </c>
      <c r="T675" s="541" t="str">
        <f>IFERROR(IF(C675="","",IF(INDEX(xyWattage_Table,MATCH(M675,'Fixture Identities'!$B$9:$B$997,0),2)="Exit Sign",8760,IF(VLOOKUP(C675,xySpace_Type_Details,8,FALSE)="TRM",INDEX('General Information'!$AF$17:$AG$28,11,MATCH(N675,'General Information'!$AF$16:$AG$16,0)),HLOOKUP(VLOOKUP(C675,xySpace_Type_Details,8,FALSE),'General Information'!$P$15:$AG$28,13,FALSE)))),"")</f>
        <v/>
      </c>
      <c r="U675" s="542" t="str">
        <f>IFERROR(IF(C675="","",IF(INDEX(xyWattage_Table,MATCH(M675,'Fixture Identities'!$B$9:$B$997,0),2)="Exit Sign",1,IF(VLOOKUP(C675,xySpace_Type_Details,8,FALSE)="TRM",INDEX('General Information'!$AF$17:$AG$28,12,MATCH(N675,'General Information'!$AF$16:$AG$16,0)),HLOOKUP(VLOOKUP(C675,xySpace_Type_Details,8,FALSE),'General Information'!$P$15:$AG$28,14,FALSE)))),"")</f>
        <v/>
      </c>
      <c r="V675" s="542" t="str">
        <f>IFERROR(VLOOKUP(INDEX(xySpace_Type_Details,MATCH($C675,'General Information'!$C$40:$C$60,0),12),Lookups!$L$8:$N$12,2,FALSE),"")</f>
        <v/>
      </c>
      <c r="W675" s="542" t="str">
        <f>IFERROR(VLOOKUP(INDEX(xySpace_Type_Details,MATCH($C675,'General Information'!$C$40:$C$60,0),12),Lookups!$L$8:$N$12,3,FALSE),"")</f>
        <v/>
      </c>
      <c r="Y675" s="542" t="str">
        <f>IFERROR(IF(C675="","",IF(INDEX(xyWattage_Table,MATCH(M675,'Fixture Identities'!$B$9:$B$997,0),2)="Exit Sign",0,IF(PRJ_Type="Retrofit",VLOOKUP(I675,xySVG_Factors,2,FALSE),IF(AND(PRJ_Type="New Construction",Inventory!C672="N"),VLOOKUP(VLOOKUP(Building_Type,xyLPD_BuildingArea,5,FALSE),xySVG_Factors_NC,3,FALSE),0)))),"")</f>
        <v/>
      </c>
      <c r="Z675" s="544" t="str">
        <f>IFERROR(IF(C675="","",IF(INDEX(xyWattage_Table,MATCH(M675,'Fixture Identities'!$B$9:$B$997,0),2)="Exit Sign",0,VLOOKUP(S675,xySVG_Factors,2,FALSE))),"")</f>
        <v/>
      </c>
      <c r="AA675" s="545" t="str">
        <f t="shared" si="241"/>
        <v/>
      </c>
      <c r="AB675" s="542" t="str">
        <f t="shared" si="242"/>
        <v/>
      </c>
      <c r="AC675" s="539" t="str">
        <f t="shared" si="243"/>
        <v/>
      </c>
      <c r="AD675" s="546" t="str">
        <f t="shared" si="244"/>
        <v/>
      </c>
      <c r="AE675" s="539" t="str">
        <f t="shared" si="245"/>
        <v/>
      </c>
      <c r="AF675" s="546" t="str">
        <f t="shared" si="246"/>
        <v/>
      </c>
      <c r="AG675" s="539" t="str">
        <f t="shared" si="247"/>
        <v/>
      </c>
      <c r="AH675" s="32">
        <f t="shared" si="249"/>
        <v>0</v>
      </c>
      <c r="AI675" s="32">
        <f t="shared" si="250"/>
        <v>0</v>
      </c>
      <c r="AJ675" s="32">
        <f t="shared" si="251"/>
        <v>0</v>
      </c>
      <c r="AK675" t="str">
        <f t="shared" si="252"/>
        <v/>
      </c>
      <c r="AL675" t="str">
        <f t="shared" si="253"/>
        <v/>
      </c>
      <c r="AM675" t="str">
        <f t="shared" si="254"/>
        <v/>
      </c>
      <c r="AO675" t="str">
        <f>IFERROR(VLOOKUP(M675,'Fixture Identities'!$B$9:$O$1045,14,FALSE),"")</f>
        <v/>
      </c>
      <c r="AP675" t="str">
        <f t="shared" si="248"/>
        <v/>
      </c>
    </row>
    <row r="676" spans="1:42">
      <c r="A676" s="71">
        <f t="shared" si="256"/>
        <v>0</v>
      </c>
      <c r="B676" s="513">
        <f t="shared" si="255"/>
        <v>664</v>
      </c>
      <c r="C676" s="530" t="str">
        <f>IF(Inventory!E673="","",Inventory!E673)</f>
        <v/>
      </c>
      <c r="D676" s="531">
        <f>IF(Inventory!D673="",0,Inventory!D673)</f>
        <v>0</v>
      </c>
      <c r="E676" s="532" t="str">
        <f>IF(Inventory!I673=0,"",Inventory!I673)</f>
        <v/>
      </c>
      <c r="F676" s="533" t="str">
        <f t="shared" si="235"/>
        <v/>
      </c>
      <c r="G676" s="534" t="str">
        <f>IF(Inventory!G673="","",Inventory!G673)</f>
        <v/>
      </c>
      <c r="H676" s="535" t="str">
        <f t="shared" si="236"/>
        <v/>
      </c>
      <c r="I676" s="536" t="str">
        <f>IF(Inventory!J673="","",Inventory!J673)</f>
        <v/>
      </c>
      <c r="J676" s="537" t="str">
        <f>IFERROR(IF(PRJ_Type="New Construction",IF(Inventory!C673="N",INDEX(xyLPD_BuildingArea,MATCH(Building_Type,Lookups!$F$37:$F$75,0),4),INDEX(xyLPD_SpaceBySpace,MATCH(INDEX(xyNCEx,MATCH(I676,yNCExArea,0),2),ySpace_by_Space_Type,0),2)),VLOOKUP(E676,xyWattage_Table,11,FALSE)),"")</f>
        <v/>
      </c>
      <c r="K676" s="538" t="str">
        <f>IFERROR(IF(AND(NC_Type="Building Area Method",Inventory!C673="N"),IF(ISERROR(INDEX('Usage Groups (&gt;120 MWh only)'!$N$8:$N$12,MATCH(C676,'Usage Groups (&gt;120 MWh only)'!$B$8:$B$12,0),1))=TRUE,SqFt/COUNTIFS(Inventory!$C$10:$C$1009,"N",$Q$13:$Q$1012,"&gt;=0"),INDEX('Usage Groups (&gt;120 MWh only)'!$N$8:$N$12,MATCH(C676,'Usage Groups (&gt;120 MWh only)'!$B$8:$B$12,0),1)/COUNTIF($C$13:$C$1012,C676)),IF(AND(NC_Type="Building Area Method",Inventory!C673="Y"),INDEX(xyNCEx,MATCH(I676,yNCExArea,0),3)/COUNTIF($I$13:$I$1012,I676),VLOOKUP(J676,xyWattage_Table,10,FALSE))),"")</f>
        <v/>
      </c>
      <c r="L676" s="539" t="str">
        <f t="shared" si="237"/>
        <v/>
      </c>
      <c r="M676" s="540">
        <f>IF(Inventory!N673="","",Inventory!N673)</f>
        <v>0</v>
      </c>
      <c r="N676" s="533" t="str">
        <f t="shared" si="238"/>
        <v/>
      </c>
      <c r="O676" s="534"/>
      <c r="P676" s="533" t="str">
        <f t="shared" si="239"/>
        <v/>
      </c>
      <c r="Q676" s="534" t="str">
        <f>IF(Inventory!L673="","",Inventory!L673)</f>
        <v/>
      </c>
      <c r="R676" s="535" t="str">
        <f t="shared" si="240"/>
        <v/>
      </c>
      <c r="S676" s="536" t="str">
        <f>IF(Inventory!O673="","",Inventory!O673)</f>
        <v/>
      </c>
      <c r="T676" s="541" t="str">
        <f>IFERROR(IF(C676="","",IF(INDEX(xyWattage_Table,MATCH(M676,'Fixture Identities'!$B$9:$B$997,0),2)="Exit Sign",8760,IF(VLOOKUP(C676,xySpace_Type_Details,8,FALSE)="TRM",INDEX('General Information'!$AF$17:$AG$28,11,MATCH(N676,'General Information'!$AF$16:$AG$16,0)),HLOOKUP(VLOOKUP(C676,xySpace_Type_Details,8,FALSE),'General Information'!$P$15:$AG$28,13,FALSE)))),"")</f>
        <v/>
      </c>
      <c r="U676" s="542" t="str">
        <f>IFERROR(IF(C676="","",IF(INDEX(xyWattage_Table,MATCH(M676,'Fixture Identities'!$B$9:$B$997,0),2)="Exit Sign",1,IF(VLOOKUP(C676,xySpace_Type_Details,8,FALSE)="TRM",INDEX('General Information'!$AF$17:$AG$28,12,MATCH(N676,'General Information'!$AF$16:$AG$16,0)),HLOOKUP(VLOOKUP(C676,xySpace_Type_Details,8,FALSE),'General Information'!$P$15:$AG$28,14,FALSE)))),"")</f>
        <v/>
      </c>
      <c r="V676" s="542" t="str">
        <f>IFERROR(VLOOKUP(INDEX(xySpace_Type_Details,MATCH($C676,'General Information'!$C$40:$C$60,0),12),Lookups!$L$8:$N$12,2,FALSE),"")</f>
        <v/>
      </c>
      <c r="W676" s="542" t="str">
        <f>IFERROR(VLOOKUP(INDEX(xySpace_Type_Details,MATCH($C676,'General Information'!$C$40:$C$60,0),12),Lookups!$L$8:$N$12,3,FALSE),"")</f>
        <v/>
      </c>
      <c r="Y676" s="542" t="str">
        <f>IFERROR(IF(C676="","",IF(INDEX(xyWattage_Table,MATCH(M676,'Fixture Identities'!$B$9:$B$997,0),2)="Exit Sign",0,IF(PRJ_Type="Retrofit",VLOOKUP(I676,xySVG_Factors,2,FALSE),IF(AND(PRJ_Type="New Construction",Inventory!C673="N"),VLOOKUP(VLOOKUP(Building_Type,xyLPD_BuildingArea,5,FALSE),xySVG_Factors_NC,3,FALSE),0)))),"")</f>
        <v/>
      </c>
      <c r="Z676" s="544" t="str">
        <f>IFERROR(IF(C676="","",IF(INDEX(xyWattage_Table,MATCH(M676,'Fixture Identities'!$B$9:$B$997,0),2)="Exit Sign",0,VLOOKUP(S676,xySVG_Factors,2,FALSE))),"")</f>
        <v/>
      </c>
      <c r="AA676" s="545" t="str">
        <f t="shared" si="241"/>
        <v/>
      </c>
      <c r="AB676" s="542" t="str">
        <f t="shared" si="242"/>
        <v/>
      </c>
      <c r="AC676" s="539" t="str">
        <f t="shared" si="243"/>
        <v/>
      </c>
      <c r="AD676" s="546" t="str">
        <f t="shared" si="244"/>
        <v/>
      </c>
      <c r="AE676" s="539" t="str">
        <f t="shared" si="245"/>
        <v/>
      </c>
      <c r="AF676" s="546" t="str">
        <f t="shared" si="246"/>
        <v/>
      </c>
      <c r="AG676" s="539" t="str">
        <f t="shared" si="247"/>
        <v/>
      </c>
      <c r="AH676" s="32">
        <f t="shared" si="249"/>
        <v>0</v>
      </c>
      <c r="AI676" s="32">
        <f t="shared" si="250"/>
        <v>0</v>
      </c>
      <c r="AJ676" s="32">
        <f t="shared" si="251"/>
        <v>0</v>
      </c>
      <c r="AK676" t="str">
        <f t="shared" si="252"/>
        <v/>
      </c>
      <c r="AL676" t="str">
        <f t="shared" si="253"/>
        <v/>
      </c>
      <c r="AM676" t="str">
        <f t="shared" si="254"/>
        <v/>
      </c>
      <c r="AO676" t="str">
        <f>IFERROR(VLOOKUP(M676,'Fixture Identities'!$B$9:$O$1045,14,FALSE),"")</f>
        <v/>
      </c>
      <c r="AP676" t="str">
        <f t="shared" si="248"/>
        <v/>
      </c>
    </row>
    <row r="677" spans="1:42">
      <c r="A677" s="71">
        <f t="shared" si="256"/>
        <v>0</v>
      </c>
      <c r="B677" s="513">
        <f t="shared" si="255"/>
        <v>665</v>
      </c>
      <c r="C677" s="530" t="str">
        <f>IF(Inventory!E674="","",Inventory!E674)</f>
        <v/>
      </c>
      <c r="D677" s="531">
        <f>IF(Inventory!D674="",0,Inventory!D674)</f>
        <v>0</v>
      </c>
      <c r="E677" s="532" t="str">
        <f>IF(Inventory!I674=0,"",Inventory!I674)</f>
        <v/>
      </c>
      <c r="F677" s="533" t="str">
        <f t="shared" si="235"/>
        <v/>
      </c>
      <c r="G677" s="534" t="str">
        <f>IF(Inventory!G674="","",Inventory!G674)</f>
        <v/>
      </c>
      <c r="H677" s="535" t="str">
        <f t="shared" si="236"/>
        <v/>
      </c>
      <c r="I677" s="536" t="str">
        <f>IF(Inventory!J674="","",Inventory!J674)</f>
        <v/>
      </c>
      <c r="J677" s="537" t="str">
        <f>IFERROR(IF(PRJ_Type="New Construction",IF(Inventory!C674="N",INDEX(xyLPD_BuildingArea,MATCH(Building_Type,Lookups!$F$37:$F$75,0),4),INDEX(xyLPD_SpaceBySpace,MATCH(INDEX(xyNCEx,MATCH(I677,yNCExArea,0),2),ySpace_by_Space_Type,0),2)),VLOOKUP(E677,xyWattage_Table,11,FALSE)),"")</f>
        <v/>
      </c>
      <c r="K677" s="538" t="str">
        <f>IFERROR(IF(AND(NC_Type="Building Area Method",Inventory!C674="N"),IF(ISERROR(INDEX('Usage Groups (&gt;120 MWh only)'!$N$8:$N$12,MATCH(C677,'Usage Groups (&gt;120 MWh only)'!$B$8:$B$12,0),1))=TRUE,SqFt/COUNTIFS(Inventory!$C$10:$C$1009,"N",$Q$13:$Q$1012,"&gt;=0"),INDEX('Usage Groups (&gt;120 MWh only)'!$N$8:$N$12,MATCH(C677,'Usage Groups (&gt;120 MWh only)'!$B$8:$B$12,0),1)/COUNTIF($C$13:$C$1012,C677)),IF(AND(NC_Type="Building Area Method",Inventory!C674="Y"),INDEX(xyNCEx,MATCH(I677,yNCExArea,0),3)/COUNTIF($I$13:$I$1012,I677),VLOOKUP(J677,xyWattage_Table,10,FALSE))),"")</f>
        <v/>
      </c>
      <c r="L677" s="539" t="str">
        <f t="shared" si="237"/>
        <v/>
      </c>
      <c r="M677" s="540">
        <f>IF(Inventory!N674="","",Inventory!N674)</f>
        <v>0</v>
      </c>
      <c r="N677" s="533" t="str">
        <f t="shared" si="238"/>
        <v/>
      </c>
      <c r="O677" s="534"/>
      <c r="P677" s="533" t="str">
        <f t="shared" si="239"/>
        <v/>
      </c>
      <c r="Q677" s="534" t="str">
        <f>IF(Inventory!L674="","",Inventory!L674)</f>
        <v/>
      </c>
      <c r="R677" s="535" t="str">
        <f t="shared" si="240"/>
        <v/>
      </c>
      <c r="S677" s="536" t="str">
        <f>IF(Inventory!O674="","",Inventory!O674)</f>
        <v/>
      </c>
      <c r="T677" s="541" t="str">
        <f>IFERROR(IF(C677="","",IF(INDEX(xyWattage_Table,MATCH(M677,'Fixture Identities'!$B$9:$B$997,0),2)="Exit Sign",8760,IF(VLOOKUP(C677,xySpace_Type_Details,8,FALSE)="TRM",INDEX('General Information'!$AF$17:$AG$28,11,MATCH(N677,'General Information'!$AF$16:$AG$16,0)),HLOOKUP(VLOOKUP(C677,xySpace_Type_Details,8,FALSE),'General Information'!$P$15:$AG$28,13,FALSE)))),"")</f>
        <v/>
      </c>
      <c r="U677" s="542" t="str">
        <f>IFERROR(IF(C677="","",IF(INDEX(xyWattage_Table,MATCH(M677,'Fixture Identities'!$B$9:$B$997,0),2)="Exit Sign",1,IF(VLOOKUP(C677,xySpace_Type_Details,8,FALSE)="TRM",INDEX('General Information'!$AF$17:$AG$28,12,MATCH(N677,'General Information'!$AF$16:$AG$16,0)),HLOOKUP(VLOOKUP(C677,xySpace_Type_Details,8,FALSE),'General Information'!$P$15:$AG$28,14,FALSE)))),"")</f>
        <v/>
      </c>
      <c r="V677" s="542" t="str">
        <f>IFERROR(VLOOKUP(INDEX(xySpace_Type_Details,MATCH($C677,'General Information'!$C$40:$C$60,0),12),Lookups!$L$8:$N$12,2,FALSE),"")</f>
        <v/>
      </c>
      <c r="W677" s="542" t="str">
        <f>IFERROR(VLOOKUP(INDEX(xySpace_Type_Details,MATCH($C677,'General Information'!$C$40:$C$60,0),12),Lookups!$L$8:$N$12,3,FALSE),"")</f>
        <v/>
      </c>
      <c r="Y677" s="542" t="str">
        <f>IFERROR(IF(C677="","",IF(INDEX(xyWattage_Table,MATCH(M677,'Fixture Identities'!$B$9:$B$997,0),2)="Exit Sign",0,IF(PRJ_Type="Retrofit",VLOOKUP(I677,xySVG_Factors,2,FALSE),IF(AND(PRJ_Type="New Construction",Inventory!C674="N"),VLOOKUP(VLOOKUP(Building_Type,xyLPD_BuildingArea,5,FALSE),xySVG_Factors_NC,3,FALSE),0)))),"")</f>
        <v/>
      </c>
      <c r="Z677" s="544" t="str">
        <f>IFERROR(IF(C677="","",IF(INDEX(xyWattage_Table,MATCH(M677,'Fixture Identities'!$B$9:$B$997,0),2)="Exit Sign",0,VLOOKUP(S677,xySVG_Factors,2,FALSE))),"")</f>
        <v/>
      </c>
      <c r="AA677" s="545" t="str">
        <f t="shared" si="241"/>
        <v/>
      </c>
      <c r="AB677" s="542" t="str">
        <f t="shared" si="242"/>
        <v/>
      </c>
      <c r="AC677" s="539" t="str">
        <f t="shared" si="243"/>
        <v/>
      </c>
      <c r="AD677" s="546" t="str">
        <f t="shared" si="244"/>
        <v/>
      </c>
      <c r="AE677" s="539" t="str">
        <f t="shared" si="245"/>
        <v/>
      </c>
      <c r="AF677" s="546" t="str">
        <f t="shared" si="246"/>
        <v/>
      </c>
      <c r="AG677" s="539" t="str">
        <f t="shared" si="247"/>
        <v/>
      </c>
      <c r="AH677" s="32">
        <f t="shared" si="249"/>
        <v>0</v>
      </c>
      <c r="AI677" s="32">
        <f t="shared" si="250"/>
        <v>0</v>
      </c>
      <c r="AJ677" s="32">
        <f t="shared" si="251"/>
        <v>0</v>
      </c>
      <c r="AK677" t="str">
        <f t="shared" si="252"/>
        <v/>
      </c>
      <c r="AL677" t="str">
        <f t="shared" si="253"/>
        <v/>
      </c>
      <c r="AM677" t="str">
        <f t="shared" si="254"/>
        <v/>
      </c>
      <c r="AO677" t="str">
        <f>IFERROR(VLOOKUP(M677,'Fixture Identities'!$B$9:$O$1045,14,FALSE),"")</f>
        <v/>
      </c>
      <c r="AP677" t="str">
        <f t="shared" si="248"/>
        <v/>
      </c>
    </row>
    <row r="678" spans="1:42">
      <c r="A678" s="71">
        <f t="shared" si="256"/>
        <v>0</v>
      </c>
      <c r="B678" s="513">
        <f t="shared" si="255"/>
        <v>666</v>
      </c>
      <c r="C678" s="530" t="str">
        <f>IF(Inventory!E675="","",Inventory!E675)</f>
        <v/>
      </c>
      <c r="D678" s="531">
        <f>IF(Inventory!D675="",0,Inventory!D675)</f>
        <v>0</v>
      </c>
      <c r="E678" s="532" t="str">
        <f>IF(Inventory!I675=0,"",Inventory!I675)</f>
        <v/>
      </c>
      <c r="F678" s="533" t="str">
        <f t="shared" si="235"/>
        <v/>
      </c>
      <c r="G678" s="534" t="str">
        <f>IF(Inventory!G675="","",Inventory!G675)</f>
        <v/>
      </c>
      <c r="H678" s="535" t="str">
        <f t="shared" si="236"/>
        <v/>
      </c>
      <c r="I678" s="536" t="str">
        <f>IF(Inventory!J675="","",Inventory!J675)</f>
        <v/>
      </c>
      <c r="J678" s="537" t="str">
        <f>IFERROR(IF(PRJ_Type="New Construction",IF(Inventory!C675="N",INDEX(xyLPD_BuildingArea,MATCH(Building_Type,Lookups!$F$37:$F$75,0),4),INDEX(xyLPD_SpaceBySpace,MATCH(INDEX(xyNCEx,MATCH(I678,yNCExArea,0),2),ySpace_by_Space_Type,0),2)),VLOOKUP(E678,xyWattage_Table,11,FALSE)),"")</f>
        <v/>
      </c>
      <c r="K678" s="538" t="str">
        <f>IFERROR(IF(AND(NC_Type="Building Area Method",Inventory!C675="N"),IF(ISERROR(INDEX('Usage Groups (&gt;120 MWh only)'!$N$8:$N$12,MATCH(C678,'Usage Groups (&gt;120 MWh only)'!$B$8:$B$12,0),1))=TRUE,SqFt/COUNTIFS(Inventory!$C$10:$C$1009,"N",$Q$13:$Q$1012,"&gt;=0"),INDEX('Usage Groups (&gt;120 MWh only)'!$N$8:$N$12,MATCH(C678,'Usage Groups (&gt;120 MWh only)'!$B$8:$B$12,0),1)/COUNTIF($C$13:$C$1012,C678)),IF(AND(NC_Type="Building Area Method",Inventory!C675="Y"),INDEX(xyNCEx,MATCH(I678,yNCExArea,0),3)/COUNTIF($I$13:$I$1012,I678),VLOOKUP(J678,xyWattage_Table,10,FALSE))),"")</f>
        <v/>
      </c>
      <c r="L678" s="539" t="str">
        <f t="shared" si="237"/>
        <v/>
      </c>
      <c r="M678" s="540">
        <f>IF(Inventory!N675="","",Inventory!N675)</f>
        <v>0</v>
      </c>
      <c r="N678" s="533" t="str">
        <f t="shared" si="238"/>
        <v/>
      </c>
      <c r="O678" s="534"/>
      <c r="P678" s="533" t="str">
        <f t="shared" si="239"/>
        <v/>
      </c>
      <c r="Q678" s="534" t="str">
        <f>IF(Inventory!L675="","",Inventory!L675)</f>
        <v/>
      </c>
      <c r="R678" s="535" t="str">
        <f t="shared" si="240"/>
        <v/>
      </c>
      <c r="S678" s="536" t="str">
        <f>IF(Inventory!O675="","",Inventory!O675)</f>
        <v/>
      </c>
      <c r="T678" s="541" t="str">
        <f>IFERROR(IF(C678="","",IF(INDEX(xyWattage_Table,MATCH(M678,'Fixture Identities'!$B$9:$B$997,0),2)="Exit Sign",8760,IF(VLOOKUP(C678,xySpace_Type_Details,8,FALSE)="TRM",INDEX('General Information'!$AF$17:$AG$28,11,MATCH(N678,'General Information'!$AF$16:$AG$16,0)),HLOOKUP(VLOOKUP(C678,xySpace_Type_Details,8,FALSE),'General Information'!$P$15:$AG$28,13,FALSE)))),"")</f>
        <v/>
      </c>
      <c r="U678" s="542" t="str">
        <f>IFERROR(IF(C678="","",IF(INDEX(xyWattage_Table,MATCH(M678,'Fixture Identities'!$B$9:$B$997,0),2)="Exit Sign",1,IF(VLOOKUP(C678,xySpace_Type_Details,8,FALSE)="TRM",INDEX('General Information'!$AF$17:$AG$28,12,MATCH(N678,'General Information'!$AF$16:$AG$16,0)),HLOOKUP(VLOOKUP(C678,xySpace_Type_Details,8,FALSE),'General Information'!$P$15:$AG$28,14,FALSE)))),"")</f>
        <v/>
      </c>
      <c r="V678" s="542" t="str">
        <f>IFERROR(VLOOKUP(INDEX(xySpace_Type_Details,MATCH($C678,'General Information'!$C$40:$C$60,0),12),Lookups!$L$8:$N$12,2,FALSE),"")</f>
        <v/>
      </c>
      <c r="W678" s="542" t="str">
        <f>IFERROR(VLOOKUP(INDEX(xySpace_Type_Details,MATCH($C678,'General Information'!$C$40:$C$60,0),12),Lookups!$L$8:$N$12,3,FALSE),"")</f>
        <v/>
      </c>
      <c r="Y678" s="542" t="str">
        <f>IFERROR(IF(C678="","",IF(INDEX(xyWattage_Table,MATCH(M678,'Fixture Identities'!$B$9:$B$997,0),2)="Exit Sign",0,IF(PRJ_Type="Retrofit",VLOOKUP(I678,xySVG_Factors,2,FALSE),IF(AND(PRJ_Type="New Construction",Inventory!C675="N"),VLOOKUP(VLOOKUP(Building_Type,xyLPD_BuildingArea,5,FALSE),xySVG_Factors_NC,3,FALSE),0)))),"")</f>
        <v/>
      </c>
      <c r="Z678" s="544" t="str">
        <f>IFERROR(IF(C678="","",IF(INDEX(xyWattage_Table,MATCH(M678,'Fixture Identities'!$B$9:$B$997,0),2)="Exit Sign",0,VLOOKUP(S678,xySVG_Factors,2,FALSE))),"")</f>
        <v/>
      </c>
      <c r="AA678" s="545" t="str">
        <f t="shared" si="241"/>
        <v/>
      </c>
      <c r="AB678" s="542" t="str">
        <f t="shared" si="242"/>
        <v/>
      </c>
      <c r="AC678" s="539" t="str">
        <f t="shared" si="243"/>
        <v/>
      </c>
      <c r="AD678" s="546" t="str">
        <f t="shared" si="244"/>
        <v/>
      </c>
      <c r="AE678" s="539" t="str">
        <f t="shared" si="245"/>
        <v/>
      </c>
      <c r="AF678" s="546" t="str">
        <f t="shared" si="246"/>
        <v/>
      </c>
      <c r="AG678" s="539" t="str">
        <f t="shared" si="247"/>
        <v/>
      </c>
      <c r="AH678" s="32">
        <f t="shared" si="249"/>
        <v>0</v>
      </c>
      <c r="AI678" s="32">
        <f t="shared" si="250"/>
        <v>0</v>
      </c>
      <c r="AJ678" s="32">
        <f t="shared" si="251"/>
        <v>0</v>
      </c>
      <c r="AK678" t="str">
        <f t="shared" si="252"/>
        <v/>
      </c>
      <c r="AL678" t="str">
        <f t="shared" si="253"/>
        <v/>
      </c>
      <c r="AM678" t="str">
        <f t="shared" si="254"/>
        <v/>
      </c>
      <c r="AO678" t="str">
        <f>IFERROR(VLOOKUP(M678,'Fixture Identities'!$B$9:$O$1045,14,FALSE),"")</f>
        <v/>
      </c>
      <c r="AP678" t="str">
        <f t="shared" si="248"/>
        <v/>
      </c>
    </row>
    <row r="679" spans="1:42">
      <c r="A679" s="71">
        <f t="shared" si="256"/>
        <v>0</v>
      </c>
      <c r="B679" s="513">
        <f t="shared" si="255"/>
        <v>667</v>
      </c>
      <c r="C679" s="530" t="str">
        <f>IF(Inventory!E676="","",Inventory!E676)</f>
        <v/>
      </c>
      <c r="D679" s="531">
        <f>IF(Inventory!D676="",0,Inventory!D676)</f>
        <v>0</v>
      </c>
      <c r="E679" s="532" t="str">
        <f>IF(Inventory!I676=0,"",Inventory!I676)</f>
        <v/>
      </c>
      <c r="F679" s="533" t="str">
        <f t="shared" si="235"/>
        <v/>
      </c>
      <c r="G679" s="534" t="str">
        <f>IF(Inventory!G676="","",Inventory!G676)</f>
        <v/>
      </c>
      <c r="H679" s="535" t="str">
        <f t="shared" si="236"/>
        <v/>
      </c>
      <c r="I679" s="536" t="str">
        <f>IF(Inventory!J676="","",Inventory!J676)</f>
        <v/>
      </c>
      <c r="J679" s="537" t="str">
        <f>IFERROR(IF(PRJ_Type="New Construction",IF(Inventory!C676="N",INDEX(xyLPD_BuildingArea,MATCH(Building_Type,Lookups!$F$37:$F$75,0),4),INDEX(xyLPD_SpaceBySpace,MATCH(INDEX(xyNCEx,MATCH(I679,yNCExArea,0),2),ySpace_by_Space_Type,0),2)),VLOOKUP(E679,xyWattage_Table,11,FALSE)),"")</f>
        <v/>
      </c>
      <c r="K679" s="538" t="str">
        <f>IFERROR(IF(AND(NC_Type="Building Area Method",Inventory!C676="N"),IF(ISERROR(INDEX('Usage Groups (&gt;120 MWh only)'!$N$8:$N$12,MATCH(C679,'Usage Groups (&gt;120 MWh only)'!$B$8:$B$12,0),1))=TRUE,SqFt/COUNTIFS(Inventory!$C$10:$C$1009,"N",$Q$13:$Q$1012,"&gt;=0"),INDEX('Usage Groups (&gt;120 MWh only)'!$N$8:$N$12,MATCH(C679,'Usage Groups (&gt;120 MWh only)'!$B$8:$B$12,0),1)/COUNTIF($C$13:$C$1012,C679)),IF(AND(NC_Type="Building Area Method",Inventory!C676="Y"),INDEX(xyNCEx,MATCH(I679,yNCExArea,0),3)/COUNTIF($I$13:$I$1012,I679),VLOOKUP(J679,xyWattage_Table,10,FALSE))),"")</f>
        <v/>
      </c>
      <c r="L679" s="539" t="str">
        <f t="shared" si="237"/>
        <v/>
      </c>
      <c r="M679" s="540">
        <f>IF(Inventory!N676="","",Inventory!N676)</f>
        <v>0</v>
      </c>
      <c r="N679" s="533" t="str">
        <f t="shared" si="238"/>
        <v/>
      </c>
      <c r="O679" s="534"/>
      <c r="P679" s="533" t="str">
        <f t="shared" si="239"/>
        <v/>
      </c>
      <c r="Q679" s="534" t="str">
        <f>IF(Inventory!L676="","",Inventory!L676)</f>
        <v/>
      </c>
      <c r="R679" s="535" t="str">
        <f t="shared" si="240"/>
        <v/>
      </c>
      <c r="S679" s="536" t="str">
        <f>IF(Inventory!O676="","",Inventory!O676)</f>
        <v/>
      </c>
      <c r="T679" s="541" t="str">
        <f>IFERROR(IF(C679="","",IF(INDEX(xyWattage_Table,MATCH(M679,'Fixture Identities'!$B$9:$B$997,0),2)="Exit Sign",8760,IF(VLOOKUP(C679,xySpace_Type_Details,8,FALSE)="TRM",INDEX('General Information'!$AF$17:$AG$28,11,MATCH(N679,'General Information'!$AF$16:$AG$16,0)),HLOOKUP(VLOOKUP(C679,xySpace_Type_Details,8,FALSE),'General Information'!$P$15:$AG$28,13,FALSE)))),"")</f>
        <v/>
      </c>
      <c r="U679" s="542" t="str">
        <f>IFERROR(IF(C679="","",IF(INDEX(xyWattage_Table,MATCH(M679,'Fixture Identities'!$B$9:$B$997,0),2)="Exit Sign",1,IF(VLOOKUP(C679,xySpace_Type_Details,8,FALSE)="TRM",INDEX('General Information'!$AF$17:$AG$28,12,MATCH(N679,'General Information'!$AF$16:$AG$16,0)),HLOOKUP(VLOOKUP(C679,xySpace_Type_Details,8,FALSE),'General Information'!$P$15:$AG$28,14,FALSE)))),"")</f>
        <v/>
      </c>
      <c r="V679" s="542" t="str">
        <f>IFERROR(VLOOKUP(INDEX(xySpace_Type_Details,MATCH($C679,'General Information'!$C$40:$C$60,0),12),Lookups!$L$8:$N$12,2,FALSE),"")</f>
        <v/>
      </c>
      <c r="W679" s="542" t="str">
        <f>IFERROR(VLOOKUP(INDEX(xySpace_Type_Details,MATCH($C679,'General Information'!$C$40:$C$60,0),12),Lookups!$L$8:$N$12,3,FALSE),"")</f>
        <v/>
      </c>
      <c r="Y679" s="542" t="str">
        <f>IFERROR(IF(C679="","",IF(INDEX(xyWattage_Table,MATCH(M679,'Fixture Identities'!$B$9:$B$997,0),2)="Exit Sign",0,IF(PRJ_Type="Retrofit",VLOOKUP(I679,xySVG_Factors,2,FALSE),IF(AND(PRJ_Type="New Construction",Inventory!C676="N"),VLOOKUP(VLOOKUP(Building_Type,xyLPD_BuildingArea,5,FALSE),xySVG_Factors_NC,3,FALSE),0)))),"")</f>
        <v/>
      </c>
      <c r="Z679" s="544" t="str">
        <f>IFERROR(IF(C679="","",IF(INDEX(xyWattage_Table,MATCH(M679,'Fixture Identities'!$B$9:$B$997,0),2)="Exit Sign",0,VLOOKUP(S679,xySVG_Factors,2,FALSE))),"")</f>
        <v/>
      </c>
      <c r="AA679" s="545" t="str">
        <f t="shared" si="241"/>
        <v/>
      </c>
      <c r="AB679" s="542" t="str">
        <f t="shared" si="242"/>
        <v/>
      </c>
      <c r="AC679" s="539" t="str">
        <f t="shared" si="243"/>
        <v/>
      </c>
      <c r="AD679" s="546" t="str">
        <f t="shared" si="244"/>
        <v/>
      </c>
      <c r="AE679" s="539" t="str">
        <f t="shared" si="245"/>
        <v/>
      </c>
      <c r="AF679" s="546" t="str">
        <f t="shared" si="246"/>
        <v/>
      </c>
      <c r="AG679" s="539" t="str">
        <f t="shared" si="247"/>
        <v/>
      </c>
      <c r="AH679" s="32">
        <f t="shared" si="249"/>
        <v>0</v>
      </c>
      <c r="AI679" s="32">
        <f t="shared" si="250"/>
        <v>0</v>
      </c>
      <c r="AJ679" s="32">
        <f t="shared" si="251"/>
        <v>0</v>
      </c>
      <c r="AK679" t="str">
        <f t="shared" si="252"/>
        <v/>
      </c>
      <c r="AL679" t="str">
        <f t="shared" si="253"/>
        <v/>
      </c>
      <c r="AM679" t="str">
        <f t="shared" si="254"/>
        <v/>
      </c>
      <c r="AO679" t="str">
        <f>IFERROR(VLOOKUP(M679,'Fixture Identities'!$B$9:$O$1045,14,FALSE),"")</f>
        <v/>
      </c>
      <c r="AP679" t="str">
        <f t="shared" si="248"/>
        <v/>
      </c>
    </row>
    <row r="680" spans="1:42">
      <c r="A680" s="71">
        <f t="shared" si="256"/>
        <v>0</v>
      </c>
      <c r="B680" s="513">
        <f t="shared" si="255"/>
        <v>668</v>
      </c>
      <c r="C680" s="530" t="str">
        <f>IF(Inventory!E677="","",Inventory!E677)</f>
        <v/>
      </c>
      <c r="D680" s="531">
        <f>IF(Inventory!D677="",0,Inventory!D677)</f>
        <v>0</v>
      </c>
      <c r="E680" s="532" t="str">
        <f>IF(Inventory!I677=0,"",Inventory!I677)</f>
        <v/>
      </c>
      <c r="F680" s="533" t="str">
        <f t="shared" si="235"/>
        <v/>
      </c>
      <c r="G680" s="534" t="str">
        <f>IF(Inventory!G677="","",Inventory!G677)</f>
        <v/>
      </c>
      <c r="H680" s="535" t="str">
        <f t="shared" si="236"/>
        <v/>
      </c>
      <c r="I680" s="536" t="str">
        <f>IF(Inventory!J677="","",Inventory!J677)</f>
        <v/>
      </c>
      <c r="J680" s="537" t="str">
        <f>IFERROR(IF(PRJ_Type="New Construction",IF(Inventory!C677="N",INDEX(xyLPD_BuildingArea,MATCH(Building_Type,Lookups!$F$37:$F$75,0),4),INDEX(xyLPD_SpaceBySpace,MATCH(INDEX(xyNCEx,MATCH(I680,yNCExArea,0),2),ySpace_by_Space_Type,0),2)),VLOOKUP(E680,xyWattage_Table,11,FALSE)),"")</f>
        <v/>
      </c>
      <c r="K680" s="538" t="str">
        <f>IFERROR(IF(AND(NC_Type="Building Area Method",Inventory!C677="N"),IF(ISERROR(INDEX('Usage Groups (&gt;120 MWh only)'!$N$8:$N$12,MATCH(C680,'Usage Groups (&gt;120 MWh only)'!$B$8:$B$12,0),1))=TRUE,SqFt/COUNTIFS(Inventory!$C$10:$C$1009,"N",$Q$13:$Q$1012,"&gt;=0"),INDEX('Usage Groups (&gt;120 MWh only)'!$N$8:$N$12,MATCH(C680,'Usage Groups (&gt;120 MWh only)'!$B$8:$B$12,0),1)/COUNTIF($C$13:$C$1012,C680)),IF(AND(NC_Type="Building Area Method",Inventory!C677="Y"),INDEX(xyNCEx,MATCH(I680,yNCExArea,0),3)/COUNTIF($I$13:$I$1012,I680),VLOOKUP(J680,xyWattage_Table,10,FALSE))),"")</f>
        <v/>
      </c>
      <c r="L680" s="539" t="str">
        <f t="shared" si="237"/>
        <v/>
      </c>
      <c r="M680" s="540">
        <f>IF(Inventory!N677="","",Inventory!N677)</f>
        <v>0</v>
      </c>
      <c r="N680" s="533" t="str">
        <f t="shared" si="238"/>
        <v/>
      </c>
      <c r="O680" s="534"/>
      <c r="P680" s="533" t="str">
        <f t="shared" si="239"/>
        <v/>
      </c>
      <c r="Q680" s="534" t="str">
        <f>IF(Inventory!L677="","",Inventory!L677)</f>
        <v/>
      </c>
      <c r="R680" s="535" t="str">
        <f t="shared" si="240"/>
        <v/>
      </c>
      <c r="S680" s="536" t="str">
        <f>IF(Inventory!O677="","",Inventory!O677)</f>
        <v/>
      </c>
      <c r="T680" s="541" t="str">
        <f>IFERROR(IF(C680="","",IF(INDEX(xyWattage_Table,MATCH(M680,'Fixture Identities'!$B$9:$B$997,0),2)="Exit Sign",8760,IF(VLOOKUP(C680,xySpace_Type_Details,8,FALSE)="TRM",INDEX('General Information'!$AF$17:$AG$28,11,MATCH(N680,'General Information'!$AF$16:$AG$16,0)),HLOOKUP(VLOOKUP(C680,xySpace_Type_Details,8,FALSE),'General Information'!$P$15:$AG$28,13,FALSE)))),"")</f>
        <v/>
      </c>
      <c r="U680" s="542" t="str">
        <f>IFERROR(IF(C680="","",IF(INDEX(xyWattage_Table,MATCH(M680,'Fixture Identities'!$B$9:$B$997,0),2)="Exit Sign",1,IF(VLOOKUP(C680,xySpace_Type_Details,8,FALSE)="TRM",INDEX('General Information'!$AF$17:$AG$28,12,MATCH(N680,'General Information'!$AF$16:$AG$16,0)),HLOOKUP(VLOOKUP(C680,xySpace_Type_Details,8,FALSE),'General Information'!$P$15:$AG$28,14,FALSE)))),"")</f>
        <v/>
      </c>
      <c r="V680" s="542" t="str">
        <f>IFERROR(VLOOKUP(INDEX(xySpace_Type_Details,MATCH($C680,'General Information'!$C$40:$C$60,0),12),Lookups!$L$8:$N$12,2,FALSE),"")</f>
        <v/>
      </c>
      <c r="W680" s="542" t="str">
        <f>IFERROR(VLOOKUP(INDEX(xySpace_Type_Details,MATCH($C680,'General Information'!$C$40:$C$60,0),12),Lookups!$L$8:$N$12,3,FALSE),"")</f>
        <v/>
      </c>
      <c r="Y680" s="542" t="str">
        <f>IFERROR(IF(C680="","",IF(INDEX(xyWattage_Table,MATCH(M680,'Fixture Identities'!$B$9:$B$997,0),2)="Exit Sign",0,IF(PRJ_Type="Retrofit",VLOOKUP(I680,xySVG_Factors,2,FALSE),IF(AND(PRJ_Type="New Construction",Inventory!C677="N"),VLOOKUP(VLOOKUP(Building_Type,xyLPD_BuildingArea,5,FALSE),xySVG_Factors_NC,3,FALSE),0)))),"")</f>
        <v/>
      </c>
      <c r="Z680" s="544" t="str">
        <f>IFERROR(IF(C680="","",IF(INDEX(xyWattage_Table,MATCH(M680,'Fixture Identities'!$B$9:$B$997,0),2)="Exit Sign",0,VLOOKUP(S680,xySVG_Factors,2,FALSE))),"")</f>
        <v/>
      </c>
      <c r="AA680" s="545" t="str">
        <f t="shared" si="241"/>
        <v/>
      </c>
      <c r="AB680" s="542" t="str">
        <f t="shared" si="242"/>
        <v/>
      </c>
      <c r="AC680" s="539" t="str">
        <f t="shared" si="243"/>
        <v/>
      </c>
      <c r="AD680" s="546" t="str">
        <f t="shared" si="244"/>
        <v/>
      </c>
      <c r="AE680" s="539" t="str">
        <f t="shared" si="245"/>
        <v/>
      </c>
      <c r="AF680" s="546" t="str">
        <f t="shared" si="246"/>
        <v/>
      </c>
      <c r="AG680" s="539" t="str">
        <f t="shared" si="247"/>
        <v/>
      </c>
      <c r="AH680" s="32">
        <f t="shared" si="249"/>
        <v>0</v>
      </c>
      <c r="AI680" s="32">
        <f t="shared" si="250"/>
        <v>0</v>
      </c>
      <c r="AJ680" s="32">
        <f t="shared" si="251"/>
        <v>0</v>
      </c>
      <c r="AK680" t="str">
        <f t="shared" si="252"/>
        <v/>
      </c>
      <c r="AL680" t="str">
        <f t="shared" si="253"/>
        <v/>
      </c>
      <c r="AM680" t="str">
        <f t="shared" si="254"/>
        <v/>
      </c>
      <c r="AO680" t="str">
        <f>IFERROR(VLOOKUP(M680,'Fixture Identities'!$B$9:$O$1045,14,FALSE),"")</f>
        <v/>
      </c>
      <c r="AP680" t="str">
        <f t="shared" si="248"/>
        <v/>
      </c>
    </row>
    <row r="681" spans="1:42">
      <c r="A681" s="71">
        <f t="shared" si="256"/>
        <v>0</v>
      </c>
      <c r="B681" s="513">
        <f t="shared" si="255"/>
        <v>669</v>
      </c>
      <c r="C681" s="530" t="str">
        <f>IF(Inventory!E678="","",Inventory!E678)</f>
        <v/>
      </c>
      <c r="D681" s="531">
        <f>IF(Inventory!D678="",0,Inventory!D678)</f>
        <v>0</v>
      </c>
      <c r="E681" s="532" t="str">
        <f>IF(Inventory!I678=0,"",Inventory!I678)</f>
        <v/>
      </c>
      <c r="F681" s="533" t="str">
        <f t="shared" si="235"/>
        <v/>
      </c>
      <c r="G681" s="534" t="str">
        <f>IF(Inventory!G678="","",Inventory!G678)</f>
        <v/>
      </c>
      <c r="H681" s="535" t="str">
        <f t="shared" si="236"/>
        <v/>
      </c>
      <c r="I681" s="536" t="str">
        <f>IF(Inventory!J678="","",Inventory!J678)</f>
        <v/>
      </c>
      <c r="J681" s="537" t="str">
        <f>IFERROR(IF(PRJ_Type="New Construction",IF(Inventory!C678="N",INDEX(xyLPD_BuildingArea,MATCH(Building_Type,Lookups!$F$37:$F$75,0),4),INDEX(xyLPD_SpaceBySpace,MATCH(INDEX(xyNCEx,MATCH(I681,yNCExArea,0),2),ySpace_by_Space_Type,0),2)),VLOOKUP(E681,xyWattage_Table,11,FALSE)),"")</f>
        <v/>
      </c>
      <c r="K681" s="538" t="str">
        <f>IFERROR(IF(AND(NC_Type="Building Area Method",Inventory!C678="N"),IF(ISERROR(INDEX('Usage Groups (&gt;120 MWh only)'!$N$8:$N$12,MATCH(C681,'Usage Groups (&gt;120 MWh only)'!$B$8:$B$12,0),1))=TRUE,SqFt/COUNTIFS(Inventory!$C$10:$C$1009,"N",$Q$13:$Q$1012,"&gt;=0"),INDEX('Usage Groups (&gt;120 MWh only)'!$N$8:$N$12,MATCH(C681,'Usage Groups (&gt;120 MWh only)'!$B$8:$B$12,0),1)/COUNTIF($C$13:$C$1012,C681)),IF(AND(NC_Type="Building Area Method",Inventory!C678="Y"),INDEX(xyNCEx,MATCH(I681,yNCExArea,0),3)/COUNTIF($I$13:$I$1012,I681),VLOOKUP(J681,xyWattage_Table,10,FALSE))),"")</f>
        <v/>
      </c>
      <c r="L681" s="539" t="str">
        <f t="shared" si="237"/>
        <v/>
      </c>
      <c r="M681" s="540">
        <f>IF(Inventory!N678="","",Inventory!N678)</f>
        <v>0</v>
      </c>
      <c r="N681" s="533" t="str">
        <f t="shared" si="238"/>
        <v/>
      </c>
      <c r="O681" s="534"/>
      <c r="P681" s="533" t="str">
        <f t="shared" si="239"/>
        <v/>
      </c>
      <c r="Q681" s="534" t="str">
        <f>IF(Inventory!L678="","",Inventory!L678)</f>
        <v/>
      </c>
      <c r="R681" s="535" t="str">
        <f t="shared" si="240"/>
        <v/>
      </c>
      <c r="S681" s="536" t="str">
        <f>IF(Inventory!O678="","",Inventory!O678)</f>
        <v/>
      </c>
      <c r="T681" s="541" t="str">
        <f>IFERROR(IF(C681="","",IF(INDEX(xyWattage_Table,MATCH(M681,'Fixture Identities'!$B$9:$B$997,0),2)="Exit Sign",8760,IF(VLOOKUP(C681,xySpace_Type_Details,8,FALSE)="TRM",INDEX('General Information'!$AF$17:$AG$28,11,MATCH(N681,'General Information'!$AF$16:$AG$16,0)),HLOOKUP(VLOOKUP(C681,xySpace_Type_Details,8,FALSE),'General Information'!$P$15:$AG$28,13,FALSE)))),"")</f>
        <v/>
      </c>
      <c r="U681" s="542" t="str">
        <f>IFERROR(IF(C681="","",IF(INDEX(xyWattage_Table,MATCH(M681,'Fixture Identities'!$B$9:$B$997,0),2)="Exit Sign",1,IF(VLOOKUP(C681,xySpace_Type_Details,8,FALSE)="TRM",INDEX('General Information'!$AF$17:$AG$28,12,MATCH(N681,'General Information'!$AF$16:$AG$16,0)),HLOOKUP(VLOOKUP(C681,xySpace_Type_Details,8,FALSE),'General Information'!$P$15:$AG$28,14,FALSE)))),"")</f>
        <v/>
      </c>
      <c r="V681" s="542" t="str">
        <f>IFERROR(VLOOKUP(INDEX(xySpace_Type_Details,MATCH($C681,'General Information'!$C$40:$C$60,0),12),Lookups!$L$8:$N$12,2,FALSE),"")</f>
        <v/>
      </c>
      <c r="W681" s="542" t="str">
        <f>IFERROR(VLOOKUP(INDEX(xySpace_Type_Details,MATCH($C681,'General Information'!$C$40:$C$60,0),12),Lookups!$L$8:$N$12,3,FALSE),"")</f>
        <v/>
      </c>
      <c r="Y681" s="542" t="str">
        <f>IFERROR(IF(C681="","",IF(INDEX(xyWattage_Table,MATCH(M681,'Fixture Identities'!$B$9:$B$997,0),2)="Exit Sign",0,IF(PRJ_Type="Retrofit",VLOOKUP(I681,xySVG_Factors,2,FALSE),IF(AND(PRJ_Type="New Construction",Inventory!C678="N"),VLOOKUP(VLOOKUP(Building_Type,xyLPD_BuildingArea,5,FALSE),xySVG_Factors_NC,3,FALSE),0)))),"")</f>
        <v/>
      </c>
      <c r="Z681" s="544" t="str">
        <f>IFERROR(IF(C681="","",IF(INDEX(xyWattage_Table,MATCH(M681,'Fixture Identities'!$B$9:$B$997,0),2)="Exit Sign",0,VLOOKUP(S681,xySVG_Factors,2,FALSE))),"")</f>
        <v/>
      </c>
      <c r="AA681" s="545" t="str">
        <f t="shared" si="241"/>
        <v/>
      </c>
      <c r="AB681" s="542" t="str">
        <f t="shared" si="242"/>
        <v/>
      </c>
      <c r="AC681" s="539" t="str">
        <f t="shared" si="243"/>
        <v/>
      </c>
      <c r="AD681" s="546" t="str">
        <f t="shared" si="244"/>
        <v/>
      </c>
      <c r="AE681" s="539" t="str">
        <f t="shared" si="245"/>
        <v/>
      </c>
      <c r="AF681" s="546" t="str">
        <f t="shared" si="246"/>
        <v/>
      </c>
      <c r="AG681" s="539" t="str">
        <f t="shared" si="247"/>
        <v/>
      </c>
      <c r="AH681" s="32">
        <f t="shared" si="249"/>
        <v>0</v>
      </c>
      <c r="AI681" s="32">
        <f t="shared" si="250"/>
        <v>0</v>
      </c>
      <c r="AJ681" s="32">
        <f t="shared" si="251"/>
        <v>0</v>
      </c>
      <c r="AK681" t="str">
        <f t="shared" si="252"/>
        <v/>
      </c>
      <c r="AL681" t="str">
        <f t="shared" si="253"/>
        <v/>
      </c>
      <c r="AM681" t="str">
        <f t="shared" si="254"/>
        <v/>
      </c>
      <c r="AO681" t="str">
        <f>IFERROR(VLOOKUP(M681,'Fixture Identities'!$B$9:$O$1045,14,FALSE),"")</f>
        <v/>
      </c>
      <c r="AP681" t="str">
        <f t="shared" si="248"/>
        <v/>
      </c>
    </row>
    <row r="682" spans="1:42">
      <c r="A682" s="71">
        <f t="shared" si="256"/>
        <v>0</v>
      </c>
      <c r="B682" s="513">
        <f t="shared" si="255"/>
        <v>670</v>
      </c>
      <c r="C682" s="530" t="str">
        <f>IF(Inventory!E679="","",Inventory!E679)</f>
        <v/>
      </c>
      <c r="D682" s="531">
        <f>IF(Inventory!D679="",0,Inventory!D679)</f>
        <v>0</v>
      </c>
      <c r="E682" s="532" t="str">
        <f>IF(Inventory!I679=0,"",Inventory!I679)</f>
        <v/>
      </c>
      <c r="F682" s="533" t="str">
        <f t="shared" si="235"/>
        <v/>
      </c>
      <c r="G682" s="534" t="str">
        <f>IF(Inventory!G679="","",Inventory!G679)</f>
        <v/>
      </c>
      <c r="H682" s="535" t="str">
        <f t="shared" si="236"/>
        <v/>
      </c>
      <c r="I682" s="536" t="str">
        <f>IF(Inventory!J679="","",Inventory!J679)</f>
        <v/>
      </c>
      <c r="J682" s="537" t="str">
        <f>IFERROR(IF(PRJ_Type="New Construction",IF(Inventory!C679="N",INDEX(xyLPD_BuildingArea,MATCH(Building_Type,Lookups!$F$37:$F$75,0),4),INDEX(xyLPD_SpaceBySpace,MATCH(INDEX(xyNCEx,MATCH(I682,yNCExArea,0),2),ySpace_by_Space_Type,0),2)),VLOOKUP(E682,xyWattage_Table,11,FALSE)),"")</f>
        <v/>
      </c>
      <c r="K682" s="538" t="str">
        <f>IFERROR(IF(AND(NC_Type="Building Area Method",Inventory!C679="N"),IF(ISERROR(INDEX('Usage Groups (&gt;120 MWh only)'!$N$8:$N$12,MATCH(C682,'Usage Groups (&gt;120 MWh only)'!$B$8:$B$12,0),1))=TRUE,SqFt/COUNTIFS(Inventory!$C$10:$C$1009,"N",$Q$13:$Q$1012,"&gt;=0"),INDEX('Usage Groups (&gt;120 MWh only)'!$N$8:$N$12,MATCH(C682,'Usage Groups (&gt;120 MWh only)'!$B$8:$B$12,0),1)/COUNTIF($C$13:$C$1012,C682)),IF(AND(NC_Type="Building Area Method",Inventory!C679="Y"),INDEX(xyNCEx,MATCH(I682,yNCExArea,0),3)/COUNTIF($I$13:$I$1012,I682),VLOOKUP(J682,xyWattage_Table,10,FALSE))),"")</f>
        <v/>
      </c>
      <c r="L682" s="539" t="str">
        <f t="shared" si="237"/>
        <v/>
      </c>
      <c r="M682" s="540">
        <f>IF(Inventory!N679="","",Inventory!N679)</f>
        <v>0</v>
      </c>
      <c r="N682" s="533" t="str">
        <f t="shared" si="238"/>
        <v/>
      </c>
      <c r="O682" s="534"/>
      <c r="P682" s="533" t="str">
        <f t="shared" si="239"/>
        <v/>
      </c>
      <c r="Q682" s="534" t="str">
        <f>IF(Inventory!L679="","",Inventory!L679)</f>
        <v/>
      </c>
      <c r="R682" s="535" t="str">
        <f t="shared" si="240"/>
        <v/>
      </c>
      <c r="S682" s="536" t="str">
        <f>IF(Inventory!O679="","",Inventory!O679)</f>
        <v/>
      </c>
      <c r="T682" s="541" t="str">
        <f>IFERROR(IF(C682="","",IF(INDEX(xyWattage_Table,MATCH(M682,'Fixture Identities'!$B$9:$B$997,0),2)="Exit Sign",8760,IF(VLOOKUP(C682,xySpace_Type_Details,8,FALSE)="TRM",INDEX('General Information'!$AF$17:$AG$28,11,MATCH(N682,'General Information'!$AF$16:$AG$16,0)),HLOOKUP(VLOOKUP(C682,xySpace_Type_Details,8,FALSE),'General Information'!$P$15:$AG$28,13,FALSE)))),"")</f>
        <v/>
      </c>
      <c r="U682" s="542" t="str">
        <f>IFERROR(IF(C682="","",IF(INDEX(xyWattage_Table,MATCH(M682,'Fixture Identities'!$B$9:$B$997,0),2)="Exit Sign",1,IF(VLOOKUP(C682,xySpace_Type_Details,8,FALSE)="TRM",INDEX('General Information'!$AF$17:$AG$28,12,MATCH(N682,'General Information'!$AF$16:$AG$16,0)),HLOOKUP(VLOOKUP(C682,xySpace_Type_Details,8,FALSE),'General Information'!$P$15:$AG$28,14,FALSE)))),"")</f>
        <v/>
      </c>
      <c r="V682" s="542" t="str">
        <f>IFERROR(VLOOKUP(INDEX(xySpace_Type_Details,MATCH($C682,'General Information'!$C$40:$C$60,0),12),Lookups!$L$8:$N$12,2,FALSE),"")</f>
        <v/>
      </c>
      <c r="W682" s="542" t="str">
        <f>IFERROR(VLOOKUP(INDEX(xySpace_Type_Details,MATCH($C682,'General Information'!$C$40:$C$60,0),12),Lookups!$L$8:$N$12,3,FALSE),"")</f>
        <v/>
      </c>
      <c r="Y682" s="542" t="str">
        <f>IFERROR(IF(C682="","",IF(INDEX(xyWattage_Table,MATCH(M682,'Fixture Identities'!$B$9:$B$997,0),2)="Exit Sign",0,IF(PRJ_Type="Retrofit",VLOOKUP(I682,xySVG_Factors,2,FALSE),IF(AND(PRJ_Type="New Construction",Inventory!C679="N"),VLOOKUP(VLOOKUP(Building_Type,xyLPD_BuildingArea,5,FALSE),xySVG_Factors_NC,3,FALSE),0)))),"")</f>
        <v/>
      </c>
      <c r="Z682" s="544" t="str">
        <f>IFERROR(IF(C682="","",IF(INDEX(xyWattage_Table,MATCH(M682,'Fixture Identities'!$B$9:$B$997,0),2)="Exit Sign",0,VLOOKUP(S682,xySVG_Factors,2,FALSE))),"")</f>
        <v/>
      </c>
      <c r="AA682" s="545" t="str">
        <f t="shared" si="241"/>
        <v/>
      </c>
      <c r="AB682" s="542" t="str">
        <f t="shared" si="242"/>
        <v/>
      </c>
      <c r="AC682" s="539" t="str">
        <f t="shared" si="243"/>
        <v/>
      </c>
      <c r="AD682" s="546" t="str">
        <f t="shared" si="244"/>
        <v/>
      </c>
      <c r="AE682" s="539" t="str">
        <f t="shared" si="245"/>
        <v/>
      </c>
      <c r="AF682" s="546" t="str">
        <f t="shared" si="246"/>
        <v/>
      </c>
      <c r="AG682" s="539" t="str">
        <f t="shared" si="247"/>
        <v/>
      </c>
      <c r="AH682" s="32">
        <f t="shared" si="249"/>
        <v>0</v>
      </c>
      <c r="AI682" s="32">
        <f t="shared" si="250"/>
        <v>0</v>
      </c>
      <c r="AJ682" s="32">
        <f t="shared" si="251"/>
        <v>0</v>
      </c>
      <c r="AK682" t="str">
        <f t="shared" si="252"/>
        <v/>
      </c>
      <c r="AL682" t="str">
        <f t="shared" si="253"/>
        <v/>
      </c>
      <c r="AM682" t="str">
        <f t="shared" si="254"/>
        <v/>
      </c>
      <c r="AO682" t="str">
        <f>IFERROR(VLOOKUP(M682,'Fixture Identities'!$B$9:$O$1045,14,FALSE),"")</f>
        <v/>
      </c>
      <c r="AP682" t="str">
        <f t="shared" si="248"/>
        <v/>
      </c>
    </row>
    <row r="683" spans="1:42">
      <c r="A683" s="71">
        <f t="shared" si="256"/>
        <v>0</v>
      </c>
      <c r="B683" s="513">
        <f t="shared" si="255"/>
        <v>671</v>
      </c>
      <c r="C683" s="530" t="str">
        <f>IF(Inventory!E680="","",Inventory!E680)</f>
        <v/>
      </c>
      <c r="D683" s="531">
        <f>IF(Inventory!D680="",0,Inventory!D680)</f>
        <v>0</v>
      </c>
      <c r="E683" s="532" t="str">
        <f>IF(Inventory!I680=0,"",Inventory!I680)</f>
        <v/>
      </c>
      <c r="F683" s="533" t="str">
        <f t="shared" si="235"/>
        <v/>
      </c>
      <c r="G683" s="534" t="str">
        <f>IF(Inventory!G680="","",Inventory!G680)</f>
        <v/>
      </c>
      <c r="H683" s="535" t="str">
        <f t="shared" si="236"/>
        <v/>
      </c>
      <c r="I683" s="536" t="str">
        <f>IF(Inventory!J680="","",Inventory!J680)</f>
        <v/>
      </c>
      <c r="J683" s="537" t="str">
        <f>IFERROR(IF(PRJ_Type="New Construction",IF(Inventory!C680="N",INDEX(xyLPD_BuildingArea,MATCH(Building_Type,Lookups!$F$37:$F$75,0),4),INDEX(xyLPD_SpaceBySpace,MATCH(INDEX(xyNCEx,MATCH(I683,yNCExArea,0),2),ySpace_by_Space_Type,0),2)),VLOOKUP(E683,xyWattage_Table,11,FALSE)),"")</f>
        <v/>
      </c>
      <c r="K683" s="538" t="str">
        <f>IFERROR(IF(AND(NC_Type="Building Area Method",Inventory!C680="N"),IF(ISERROR(INDEX('Usage Groups (&gt;120 MWh only)'!$N$8:$N$12,MATCH(C683,'Usage Groups (&gt;120 MWh only)'!$B$8:$B$12,0),1))=TRUE,SqFt/COUNTIFS(Inventory!$C$10:$C$1009,"N",$Q$13:$Q$1012,"&gt;=0"),INDEX('Usage Groups (&gt;120 MWh only)'!$N$8:$N$12,MATCH(C683,'Usage Groups (&gt;120 MWh only)'!$B$8:$B$12,0),1)/COUNTIF($C$13:$C$1012,C683)),IF(AND(NC_Type="Building Area Method",Inventory!C680="Y"),INDEX(xyNCEx,MATCH(I683,yNCExArea,0),3)/COUNTIF($I$13:$I$1012,I683),VLOOKUP(J683,xyWattage_Table,10,FALSE))),"")</f>
        <v/>
      </c>
      <c r="L683" s="539" t="str">
        <f t="shared" si="237"/>
        <v/>
      </c>
      <c r="M683" s="540">
        <f>IF(Inventory!N680="","",Inventory!N680)</f>
        <v>0</v>
      </c>
      <c r="N683" s="533" t="str">
        <f t="shared" si="238"/>
        <v/>
      </c>
      <c r="O683" s="534"/>
      <c r="P683" s="533" t="str">
        <f t="shared" si="239"/>
        <v/>
      </c>
      <c r="Q683" s="534" t="str">
        <f>IF(Inventory!L680="","",Inventory!L680)</f>
        <v/>
      </c>
      <c r="R683" s="535" t="str">
        <f t="shared" si="240"/>
        <v/>
      </c>
      <c r="S683" s="536" t="str">
        <f>IF(Inventory!O680="","",Inventory!O680)</f>
        <v/>
      </c>
      <c r="T683" s="541" t="str">
        <f>IFERROR(IF(C683="","",IF(INDEX(xyWattage_Table,MATCH(M683,'Fixture Identities'!$B$9:$B$997,0),2)="Exit Sign",8760,IF(VLOOKUP(C683,xySpace_Type_Details,8,FALSE)="TRM",INDEX('General Information'!$AF$17:$AG$28,11,MATCH(N683,'General Information'!$AF$16:$AG$16,0)),HLOOKUP(VLOOKUP(C683,xySpace_Type_Details,8,FALSE),'General Information'!$P$15:$AG$28,13,FALSE)))),"")</f>
        <v/>
      </c>
      <c r="U683" s="542" t="str">
        <f>IFERROR(IF(C683="","",IF(INDEX(xyWattage_Table,MATCH(M683,'Fixture Identities'!$B$9:$B$997,0),2)="Exit Sign",1,IF(VLOOKUP(C683,xySpace_Type_Details,8,FALSE)="TRM",INDEX('General Information'!$AF$17:$AG$28,12,MATCH(N683,'General Information'!$AF$16:$AG$16,0)),HLOOKUP(VLOOKUP(C683,xySpace_Type_Details,8,FALSE),'General Information'!$P$15:$AG$28,14,FALSE)))),"")</f>
        <v/>
      </c>
      <c r="V683" s="542" t="str">
        <f>IFERROR(VLOOKUP(INDEX(xySpace_Type_Details,MATCH($C683,'General Information'!$C$40:$C$60,0),12),Lookups!$L$8:$N$12,2,FALSE),"")</f>
        <v/>
      </c>
      <c r="W683" s="542" t="str">
        <f>IFERROR(VLOOKUP(INDEX(xySpace_Type_Details,MATCH($C683,'General Information'!$C$40:$C$60,0),12),Lookups!$L$8:$N$12,3,FALSE),"")</f>
        <v/>
      </c>
      <c r="Y683" s="542" t="str">
        <f>IFERROR(IF(C683="","",IF(INDEX(xyWattage_Table,MATCH(M683,'Fixture Identities'!$B$9:$B$997,0),2)="Exit Sign",0,IF(PRJ_Type="Retrofit",VLOOKUP(I683,xySVG_Factors,2,FALSE),IF(AND(PRJ_Type="New Construction",Inventory!C680="N"),VLOOKUP(VLOOKUP(Building_Type,xyLPD_BuildingArea,5,FALSE),xySVG_Factors_NC,3,FALSE),0)))),"")</f>
        <v/>
      </c>
      <c r="Z683" s="544" t="str">
        <f>IFERROR(IF(C683="","",IF(INDEX(xyWattage_Table,MATCH(M683,'Fixture Identities'!$B$9:$B$997,0),2)="Exit Sign",0,VLOOKUP(S683,xySVG_Factors,2,FALSE))),"")</f>
        <v/>
      </c>
      <c r="AA683" s="545" t="str">
        <f t="shared" si="241"/>
        <v/>
      </c>
      <c r="AB683" s="542" t="str">
        <f t="shared" si="242"/>
        <v/>
      </c>
      <c r="AC683" s="539" t="str">
        <f t="shared" si="243"/>
        <v/>
      </c>
      <c r="AD683" s="546" t="str">
        <f t="shared" si="244"/>
        <v/>
      </c>
      <c r="AE683" s="539" t="str">
        <f t="shared" si="245"/>
        <v/>
      </c>
      <c r="AF683" s="546" t="str">
        <f t="shared" si="246"/>
        <v/>
      </c>
      <c r="AG683" s="539" t="str">
        <f t="shared" si="247"/>
        <v/>
      </c>
      <c r="AH683" s="32">
        <f t="shared" si="249"/>
        <v>0</v>
      </c>
      <c r="AI683" s="32">
        <f t="shared" si="250"/>
        <v>0</v>
      </c>
      <c r="AJ683" s="32">
        <f t="shared" si="251"/>
        <v>0</v>
      </c>
      <c r="AK683" t="str">
        <f t="shared" si="252"/>
        <v/>
      </c>
      <c r="AL683" t="str">
        <f t="shared" si="253"/>
        <v/>
      </c>
      <c r="AM683" t="str">
        <f t="shared" si="254"/>
        <v/>
      </c>
      <c r="AO683" t="str">
        <f>IFERROR(VLOOKUP(M683,'Fixture Identities'!$B$9:$O$1045,14,FALSE),"")</f>
        <v/>
      </c>
      <c r="AP683" t="str">
        <f t="shared" si="248"/>
        <v/>
      </c>
    </row>
    <row r="684" spans="1:42">
      <c r="A684" s="71">
        <f t="shared" si="256"/>
        <v>0</v>
      </c>
      <c r="B684" s="513">
        <f t="shared" si="255"/>
        <v>672</v>
      </c>
      <c r="C684" s="530" t="str">
        <f>IF(Inventory!E681="","",Inventory!E681)</f>
        <v/>
      </c>
      <c r="D684" s="531">
        <f>IF(Inventory!D681="",0,Inventory!D681)</f>
        <v>0</v>
      </c>
      <c r="E684" s="532" t="str">
        <f>IF(Inventory!I681=0,"",Inventory!I681)</f>
        <v/>
      </c>
      <c r="F684" s="533" t="str">
        <f t="shared" si="235"/>
        <v/>
      </c>
      <c r="G684" s="534" t="str">
        <f>IF(Inventory!G681="","",Inventory!G681)</f>
        <v/>
      </c>
      <c r="H684" s="535" t="str">
        <f t="shared" si="236"/>
        <v/>
      </c>
      <c r="I684" s="536" t="str">
        <f>IF(Inventory!J681="","",Inventory!J681)</f>
        <v/>
      </c>
      <c r="J684" s="537" t="str">
        <f>IFERROR(IF(PRJ_Type="New Construction",IF(Inventory!C681="N",INDEX(xyLPD_BuildingArea,MATCH(Building_Type,Lookups!$F$37:$F$75,0),4),INDEX(xyLPD_SpaceBySpace,MATCH(INDEX(xyNCEx,MATCH(I684,yNCExArea,0),2),ySpace_by_Space_Type,0),2)),VLOOKUP(E684,xyWattage_Table,11,FALSE)),"")</f>
        <v/>
      </c>
      <c r="K684" s="538" t="str">
        <f>IFERROR(IF(AND(NC_Type="Building Area Method",Inventory!C681="N"),IF(ISERROR(INDEX('Usage Groups (&gt;120 MWh only)'!$N$8:$N$12,MATCH(C684,'Usage Groups (&gt;120 MWh only)'!$B$8:$B$12,0),1))=TRUE,SqFt/COUNTIFS(Inventory!$C$10:$C$1009,"N",$Q$13:$Q$1012,"&gt;=0"),INDEX('Usage Groups (&gt;120 MWh only)'!$N$8:$N$12,MATCH(C684,'Usage Groups (&gt;120 MWh only)'!$B$8:$B$12,0),1)/COUNTIF($C$13:$C$1012,C684)),IF(AND(NC_Type="Building Area Method",Inventory!C681="Y"),INDEX(xyNCEx,MATCH(I684,yNCExArea,0),3)/COUNTIF($I$13:$I$1012,I684),VLOOKUP(J684,xyWattage_Table,10,FALSE))),"")</f>
        <v/>
      </c>
      <c r="L684" s="539" t="str">
        <f t="shared" si="237"/>
        <v/>
      </c>
      <c r="M684" s="540">
        <f>IF(Inventory!N681="","",Inventory!N681)</f>
        <v>0</v>
      </c>
      <c r="N684" s="533" t="str">
        <f t="shared" si="238"/>
        <v/>
      </c>
      <c r="O684" s="534"/>
      <c r="P684" s="533" t="str">
        <f t="shared" si="239"/>
        <v/>
      </c>
      <c r="Q684" s="534" t="str">
        <f>IF(Inventory!L681="","",Inventory!L681)</f>
        <v/>
      </c>
      <c r="R684" s="535" t="str">
        <f t="shared" si="240"/>
        <v/>
      </c>
      <c r="S684" s="536" t="str">
        <f>IF(Inventory!O681="","",Inventory!O681)</f>
        <v/>
      </c>
      <c r="T684" s="541" t="str">
        <f>IFERROR(IF(C684="","",IF(INDEX(xyWattage_Table,MATCH(M684,'Fixture Identities'!$B$9:$B$997,0),2)="Exit Sign",8760,IF(VLOOKUP(C684,xySpace_Type_Details,8,FALSE)="TRM",INDEX('General Information'!$AF$17:$AG$28,11,MATCH(N684,'General Information'!$AF$16:$AG$16,0)),HLOOKUP(VLOOKUP(C684,xySpace_Type_Details,8,FALSE),'General Information'!$P$15:$AG$28,13,FALSE)))),"")</f>
        <v/>
      </c>
      <c r="U684" s="542" t="str">
        <f>IFERROR(IF(C684="","",IF(INDEX(xyWattage_Table,MATCH(M684,'Fixture Identities'!$B$9:$B$997,0),2)="Exit Sign",1,IF(VLOOKUP(C684,xySpace_Type_Details,8,FALSE)="TRM",INDEX('General Information'!$AF$17:$AG$28,12,MATCH(N684,'General Information'!$AF$16:$AG$16,0)),HLOOKUP(VLOOKUP(C684,xySpace_Type_Details,8,FALSE),'General Information'!$P$15:$AG$28,14,FALSE)))),"")</f>
        <v/>
      </c>
      <c r="V684" s="542" t="str">
        <f>IFERROR(VLOOKUP(INDEX(xySpace_Type_Details,MATCH($C684,'General Information'!$C$40:$C$60,0),12),Lookups!$L$8:$N$12,2,FALSE),"")</f>
        <v/>
      </c>
      <c r="W684" s="542" t="str">
        <f>IFERROR(VLOOKUP(INDEX(xySpace_Type_Details,MATCH($C684,'General Information'!$C$40:$C$60,0),12),Lookups!$L$8:$N$12,3,FALSE),"")</f>
        <v/>
      </c>
      <c r="Y684" s="542" t="str">
        <f>IFERROR(IF(C684="","",IF(INDEX(xyWattage_Table,MATCH(M684,'Fixture Identities'!$B$9:$B$997,0),2)="Exit Sign",0,IF(PRJ_Type="Retrofit",VLOOKUP(I684,xySVG_Factors,2,FALSE),IF(AND(PRJ_Type="New Construction",Inventory!C681="N"),VLOOKUP(VLOOKUP(Building_Type,xyLPD_BuildingArea,5,FALSE),xySVG_Factors_NC,3,FALSE),0)))),"")</f>
        <v/>
      </c>
      <c r="Z684" s="544" t="str">
        <f>IFERROR(IF(C684="","",IF(INDEX(xyWattage_Table,MATCH(M684,'Fixture Identities'!$B$9:$B$997,0),2)="Exit Sign",0,VLOOKUP(S684,xySVG_Factors,2,FALSE))),"")</f>
        <v/>
      </c>
      <c r="AA684" s="545" t="str">
        <f t="shared" si="241"/>
        <v/>
      </c>
      <c r="AB684" s="542" t="str">
        <f t="shared" si="242"/>
        <v/>
      </c>
      <c r="AC684" s="539" t="str">
        <f t="shared" si="243"/>
        <v/>
      </c>
      <c r="AD684" s="546" t="str">
        <f t="shared" si="244"/>
        <v/>
      </c>
      <c r="AE684" s="539" t="str">
        <f t="shared" si="245"/>
        <v/>
      </c>
      <c r="AF684" s="546" t="str">
        <f t="shared" si="246"/>
        <v/>
      </c>
      <c r="AG684" s="539" t="str">
        <f t="shared" si="247"/>
        <v/>
      </c>
      <c r="AH684" s="32">
        <f t="shared" si="249"/>
        <v>0</v>
      </c>
      <c r="AI684" s="32">
        <f t="shared" si="250"/>
        <v>0</v>
      </c>
      <c r="AJ684" s="32">
        <f t="shared" si="251"/>
        <v>0</v>
      </c>
      <c r="AK684" t="str">
        <f t="shared" si="252"/>
        <v/>
      </c>
      <c r="AL684" t="str">
        <f t="shared" si="253"/>
        <v/>
      </c>
      <c r="AM684" t="str">
        <f t="shared" si="254"/>
        <v/>
      </c>
      <c r="AO684" t="str">
        <f>IFERROR(VLOOKUP(M684,'Fixture Identities'!$B$9:$O$1045,14,FALSE),"")</f>
        <v/>
      </c>
      <c r="AP684" t="str">
        <f t="shared" si="248"/>
        <v/>
      </c>
    </row>
    <row r="685" spans="1:42">
      <c r="A685" s="71">
        <f t="shared" si="256"/>
        <v>0</v>
      </c>
      <c r="B685" s="513">
        <f t="shared" si="255"/>
        <v>673</v>
      </c>
      <c r="C685" s="530" t="str">
        <f>IF(Inventory!E682="","",Inventory!E682)</f>
        <v/>
      </c>
      <c r="D685" s="531">
        <f>IF(Inventory!D682="",0,Inventory!D682)</f>
        <v>0</v>
      </c>
      <c r="E685" s="532" t="str">
        <f>IF(Inventory!I682=0,"",Inventory!I682)</f>
        <v/>
      </c>
      <c r="F685" s="533" t="str">
        <f t="shared" si="235"/>
        <v/>
      </c>
      <c r="G685" s="534" t="str">
        <f>IF(Inventory!G682="","",Inventory!G682)</f>
        <v/>
      </c>
      <c r="H685" s="535" t="str">
        <f t="shared" si="236"/>
        <v/>
      </c>
      <c r="I685" s="536" t="str">
        <f>IF(Inventory!J682="","",Inventory!J682)</f>
        <v/>
      </c>
      <c r="J685" s="537" t="str">
        <f>IFERROR(IF(PRJ_Type="New Construction",IF(Inventory!C682="N",INDEX(xyLPD_BuildingArea,MATCH(Building_Type,Lookups!$F$37:$F$75,0),4),INDEX(xyLPD_SpaceBySpace,MATCH(INDEX(xyNCEx,MATCH(I685,yNCExArea,0),2),ySpace_by_Space_Type,0),2)),VLOOKUP(E685,xyWattage_Table,11,FALSE)),"")</f>
        <v/>
      </c>
      <c r="K685" s="538" t="str">
        <f>IFERROR(IF(AND(NC_Type="Building Area Method",Inventory!C682="N"),IF(ISERROR(INDEX('Usage Groups (&gt;120 MWh only)'!$N$8:$N$12,MATCH(C685,'Usage Groups (&gt;120 MWh only)'!$B$8:$B$12,0),1))=TRUE,SqFt/COUNTIFS(Inventory!$C$10:$C$1009,"N",$Q$13:$Q$1012,"&gt;=0"),INDEX('Usage Groups (&gt;120 MWh only)'!$N$8:$N$12,MATCH(C685,'Usage Groups (&gt;120 MWh only)'!$B$8:$B$12,0),1)/COUNTIF($C$13:$C$1012,C685)),IF(AND(NC_Type="Building Area Method",Inventory!C682="Y"),INDEX(xyNCEx,MATCH(I685,yNCExArea,0),3)/COUNTIF($I$13:$I$1012,I685),VLOOKUP(J685,xyWattage_Table,10,FALSE))),"")</f>
        <v/>
      </c>
      <c r="L685" s="539" t="str">
        <f t="shared" si="237"/>
        <v/>
      </c>
      <c r="M685" s="540">
        <f>IF(Inventory!N682="","",Inventory!N682)</f>
        <v>0</v>
      </c>
      <c r="N685" s="533" t="str">
        <f t="shared" si="238"/>
        <v/>
      </c>
      <c r="O685" s="534"/>
      <c r="P685" s="533" t="str">
        <f t="shared" si="239"/>
        <v/>
      </c>
      <c r="Q685" s="534" t="str">
        <f>IF(Inventory!L682="","",Inventory!L682)</f>
        <v/>
      </c>
      <c r="R685" s="535" t="str">
        <f t="shared" si="240"/>
        <v/>
      </c>
      <c r="S685" s="536" t="str">
        <f>IF(Inventory!O682="","",Inventory!O682)</f>
        <v/>
      </c>
      <c r="T685" s="541" t="str">
        <f>IFERROR(IF(C685="","",IF(INDEX(xyWattage_Table,MATCH(M685,'Fixture Identities'!$B$9:$B$997,0),2)="Exit Sign",8760,IF(VLOOKUP(C685,xySpace_Type_Details,8,FALSE)="TRM",INDEX('General Information'!$AF$17:$AG$28,11,MATCH(N685,'General Information'!$AF$16:$AG$16,0)),HLOOKUP(VLOOKUP(C685,xySpace_Type_Details,8,FALSE),'General Information'!$P$15:$AG$28,13,FALSE)))),"")</f>
        <v/>
      </c>
      <c r="U685" s="542" t="str">
        <f>IFERROR(IF(C685="","",IF(INDEX(xyWattage_Table,MATCH(M685,'Fixture Identities'!$B$9:$B$997,0),2)="Exit Sign",1,IF(VLOOKUP(C685,xySpace_Type_Details,8,FALSE)="TRM",INDEX('General Information'!$AF$17:$AG$28,12,MATCH(N685,'General Information'!$AF$16:$AG$16,0)),HLOOKUP(VLOOKUP(C685,xySpace_Type_Details,8,FALSE),'General Information'!$P$15:$AG$28,14,FALSE)))),"")</f>
        <v/>
      </c>
      <c r="V685" s="542" t="str">
        <f>IFERROR(VLOOKUP(INDEX(xySpace_Type_Details,MATCH($C685,'General Information'!$C$40:$C$60,0),12),Lookups!$L$8:$N$12,2,FALSE),"")</f>
        <v/>
      </c>
      <c r="W685" s="542" t="str">
        <f>IFERROR(VLOOKUP(INDEX(xySpace_Type_Details,MATCH($C685,'General Information'!$C$40:$C$60,0),12),Lookups!$L$8:$N$12,3,FALSE),"")</f>
        <v/>
      </c>
      <c r="Y685" s="542" t="str">
        <f>IFERROR(IF(C685="","",IF(INDEX(xyWattage_Table,MATCH(M685,'Fixture Identities'!$B$9:$B$997,0),2)="Exit Sign",0,IF(PRJ_Type="Retrofit",VLOOKUP(I685,xySVG_Factors,2,FALSE),IF(AND(PRJ_Type="New Construction",Inventory!C682="N"),VLOOKUP(VLOOKUP(Building_Type,xyLPD_BuildingArea,5,FALSE),xySVG_Factors_NC,3,FALSE),0)))),"")</f>
        <v/>
      </c>
      <c r="Z685" s="544" t="str">
        <f>IFERROR(IF(C685="","",IF(INDEX(xyWattage_Table,MATCH(M685,'Fixture Identities'!$B$9:$B$997,0),2)="Exit Sign",0,VLOOKUP(S685,xySVG_Factors,2,FALSE))),"")</f>
        <v/>
      </c>
      <c r="AA685" s="545" t="str">
        <f t="shared" si="241"/>
        <v/>
      </c>
      <c r="AB685" s="542" t="str">
        <f t="shared" si="242"/>
        <v/>
      </c>
      <c r="AC685" s="539" t="str">
        <f t="shared" si="243"/>
        <v/>
      </c>
      <c r="AD685" s="546" t="str">
        <f t="shared" si="244"/>
        <v/>
      </c>
      <c r="AE685" s="539" t="str">
        <f t="shared" si="245"/>
        <v/>
      </c>
      <c r="AF685" s="546" t="str">
        <f t="shared" si="246"/>
        <v/>
      </c>
      <c r="AG685" s="539" t="str">
        <f t="shared" si="247"/>
        <v/>
      </c>
      <c r="AH685" s="32">
        <f t="shared" si="249"/>
        <v>0</v>
      </c>
      <c r="AI685" s="32">
        <f t="shared" si="250"/>
        <v>0</v>
      </c>
      <c r="AJ685" s="32">
        <f t="shared" si="251"/>
        <v>0</v>
      </c>
      <c r="AK685" t="str">
        <f t="shared" si="252"/>
        <v/>
      </c>
      <c r="AL685" t="str">
        <f t="shared" si="253"/>
        <v/>
      </c>
      <c r="AM685" t="str">
        <f t="shared" si="254"/>
        <v/>
      </c>
      <c r="AO685" t="str">
        <f>IFERROR(VLOOKUP(M685,'Fixture Identities'!$B$9:$O$1045,14,FALSE),"")</f>
        <v/>
      </c>
      <c r="AP685" t="str">
        <f t="shared" si="248"/>
        <v/>
      </c>
    </row>
    <row r="686" spans="1:42">
      <c r="A686" s="71">
        <f t="shared" si="256"/>
        <v>0</v>
      </c>
      <c r="B686" s="513">
        <f t="shared" si="255"/>
        <v>674</v>
      </c>
      <c r="C686" s="530" t="str">
        <f>IF(Inventory!E683="","",Inventory!E683)</f>
        <v/>
      </c>
      <c r="D686" s="531">
        <f>IF(Inventory!D683="",0,Inventory!D683)</f>
        <v>0</v>
      </c>
      <c r="E686" s="532" t="str">
        <f>IF(Inventory!I683=0,"",Inventory!I683)</f>
        <v/>
      </c>
      <c r="F686" s="533" t="str">
        <f t="shared" si="235"/>
        <v/>
      </c>
      <c r="G686" s="534" t="str">
        <f>IF(Inventory!G683="","",Inventory!G683)</f>
        <v/>
      </c>
      <c r="H686" s="535" t="str">
        <f t="shared" si="236"/>
        <v/>
      </c>
      <c r="I686" s="536" t="str">
        <f>IF(Inventory!J683="","",Inventory!J683)</f>
        <v/>
      </c>
      <c r="J686" s="537" t="str">
        <f>IFERROR(IF(PRJ_Type="New Construction",IF(Inventory!C683="N",INDEX(xyLPD_BuildingArea,MATCH(Building_Type,Lookups!$F$37:$F$75,0),4),INDEX(xyLPD_SpaceBySpace,MATCH(INDEX(xyNCEx,MATCH(I686,yNCExArea,0),2),ySpace_by_Space_Type,0),2)),VLOOKUP(E686,xyWattage_Table,11,FALSE)),"")</f>
        <v/>
      </c>
      <c r="K686" s="538" t="str">
        <f>IFERROR(IF(AND(NC_Type="Building Area Method",Inventory!C683="N"),IF(ISERROR(INDEX('Usage Groups (&gt;120 MWh only)'!$N$8:$N$12,MATCH(C686,'Usage Groups (&gt;120 MWh only)'!$B$8:$B$12,0),1))=TRUE,SqFt/COUNTIFS(Inventory!$C$10:$C$1009,"N",$Q$13:$Q$1012,"&gt;=0"),INDEX('Usage Groups (&gt;120 MWh only)'!$N$8:$N$12,MATCH(C686,'Usage Groups (&gt;120 MWh only)'!$B$8:$B$12,0),1)/COUNTIF($C$13:$C$1012,C686)),IF(AND(NC_Type="Building Area Method",Inventory!C683="Y"),INDEX(xyNCEx,MATCH(I686,yNCExArea,0),3)/COUNTIF($I$13:$I$1012,I686),VLOOKUP(J686,xyWattage_Table,10,FALSE))),"")</f>
        <v/>
      </c>
      <c r="L686" s="539" t="str">
        <f t="shared" si="237"/>
        <v/>
      </c>
      <c r="M686" s="540">
        <f>IF(Inventory!N683="","",Inventory!N683)</f>
        <v>0</v>
      </c>
      <c r="N686" s="533" t="str">
        <f t="shared" si="238"/>
        <v/>
      </c>
      <c r="O686" s="534"/>
      <c r="P686" s="533" t="str">
        <f t="shared" si="239"/>
        <v/>
      </c>
      <c r="Q686" s="534" t="str">
        <f>IF(Inventory!L683="","",Inventory!L683)</f>
        <v/>
      </c>
      <c r="R686" s="535" t="str">
        <f t="shared" si="240"/>
        <v/>
      </c>
      <c r="S686" s="536" t="str">
        <f>IF(Inventory!O683="","",Inventory!O683)</f>
        <v/>
      </c>
      <c r="T686" s="541" t="str">
        <f>IFERROR(IF(C686="","",IF(INDEX(xyWattage_Table,MATCH(M686,'Fixture Identities'!$B$9:$B$997,0),2)="Exit Sign",8760,IF(VLOOKUP(C686,xySpace_Type_Details,8,FALSE)="TRM",INDEX('General Information'!$AF$17:$AG$28,11,MATCH(N686,'General Information'!$AF$16:$AG$16,0)),HLOOKUP(VLOOKUP(C686,xySpace_Type_Details,8,FALSE),'General Information'!$P$15:$AG$28,13,FALSE)))),"")</f>
        <v/>
      </c>
      <c r="U686" s="542" t="str">
        <f>IFERROR(IF(C686="","",IF(INDEX(xyWattage_Table,MATCH(M686,'Fixture Identities'!$B$9:$B$997,0),2)="Exit Sign",1,IF(VLOOKUP(C686,xySpace_Type_Details,8,FALSE)="TRM",INDEX('General Information'!$AF$17:$AG$28,12,MATCH(N686,'General Information'!$AF$16:$AG$16,0)),HLOOKUP(VLOOKUP(C686,xySpace_Type_Details,8,FALSE),'General Information'!$P$15:$AG$28,14,FALSE)))),"")</f>
        <v/>
      </c>
      <c r="V686" s="542" t="str">
        <f>IFERROR(VLOOKUP(INDEX(xySpace_Type_Details,MATCH($C686,'General Information'!$C$40:$C$60,0),12),Lookups!$L$8:$N$12,2,FALSE),"")</f>
        <v/>
      </c>
      <c r="W686" s="542" t="str">
        <f>IFERROR(VLOOKUP(INDEX(xySpace_Type_Details,MATCH($C686,'General Information'!$C$40:$C$60,0),12),Lookups!$L$8:$N$12,3,FALSE),"")</f>
        <v/>
      </c>
      <c r="Y686" s="542" t="str">
        <f>IFERROR(IF(C686="","",IF(INDEX(xyWattage_Table,MATCH(M686,'Fixture Identities'!$B$9:$B$997,0),2)="Exit Sign",0,IF(PRJ_Type="Retrofit",VLOOKUP(I686,xySVG_Factors,2,FALSE),IF(AND(PRJ_Type="New Construction",Inventory!C683="N"),VLOOKUP(VLOOKUP(Building_Type,xyLPD_BuildingArea,5,FALSE),xySVG_Factors_NC,3,FALSE),0)))),"")</f>
        <v/>
      </c>
      <c r="Z686" s="544" t="str">
        <f>IFERROR(IF(C686="","",IF(INDEX(xyWattage_Table,MATCH(M686,'Fixture Identities'!$B$9:$B$997,0),2)="Exit Sign",0,VLOOKUP(S686,xySVG_Factors,2,FALSE))),"")</f>
        <v/>
      </c>
      <c r="AA686" s="545" t="str">
        <f t="shared" si="241"/>
        <v/>
      </c>
      <c r="AB686" s="542" t="str">
        <f t="shared" si="242"/>
        <v/>
      </c>
      <c r="AC686" s="539" t="str">
        <f t="shared" si="243"/>
        <v/>
      </c>
      <c r="AD686" s="546" t="str">
        <f t="shared" si="244"/>
        <v/>
      </c>
      <c r="AE686" s="539" t="str">
        <f t="shared" si="245"/>
        <v/>
      </c>
      <c r="AF686" s="546" t="str">
        <f t="shared" si="246"/>
        <v/>
      </c>
      <c r="AG686" s="539" t="str">
        <f t="shared" si="247"/>
        <v/>
      </c>
      <c r="AH686" s="32">
        <f t="shared" si="249"/>
        <v>0</v>
      </c>
      <c r="AI686" s="32">
        <f t="shared" si="250"/>
        <v>0</v>
      </c>
      <c r="AJ686" s="32">
        <f t="shared" si="251"/>
        <v>0</v>
      </c>
      <c r="AK686" t="str">
        <f t="shared" si="252"/>
        <v/>
      </c>
      <c r="AL686" t="str">
        <f t="shared" si="253"/>
        <v/>
      </c>
      <c r="AM686" t="str">
        <f t="shared" si="254"/>
        <v/>
      </c>
      <c r="AO686" t="str">
        <f>IFERROR(VLOOKUP(M686,'Fixture Identities'!$B$9:$O$1045,14,FALSE),"")</f>
        <v/>
      </c>
      <c r="AP686" t="str">
        <f t="shared" si="248"/>
        <v/>
      </c>
    </row>
    <row r="687" spans="1:42">
      <c r="A687" s="71">
        <f t="shared" si="256"/>
        <v>0</v>
      </c>
      <c r="B687" s="513">
        <f t="shared" si="255"/>
        <v>675</v>
      </c>
      <c r="C687" s="530" t="str">
        <f>IF(Inventory!E684="","",Inventory!E684)</f>
        <v/>
      </c>
      <c r="D687" s="531">
        <f>IF(Inventory!D684="",0,Inventory!D684)</f>
        <v>0</v>
      </c>
      <c r="E687" s="532" t="str">
        <f>IF(Inventory!I684=0,"",Inventory!I684)</f>
        <v/>
      </c>
      <c r="F687" s="533" t="str">
        <f t="shared" si="235"/>
        <v/>
      </c>
      <c r="G687" s="534" t="str">
        <f>IF(Inventory!G684="","",Inventory!G684)</f>
        <v/>
      </c>
      <c r="H687" s="535" t="str">
        <f t="shared" si="236"/>
        <v/>
      </c>
      <c r="I687" s="536" t="str">
        <f>IF(Inventory!J684="","",Inventory!J684)</f>
        <v/>
      </c>
      <c r="J687" s="537" t="str">
        <f>IFERROR(IF(PRJ_Type="New Construction",IF(Inventory!C684="N",INDEX(xyLPD_BuildingArea,MATCH(Building_Type,Lookups!$F$37:$F$75,0),4),INDEX(xyLPD_SpaceBySpace,MATCH(INDEX(xyNCEx,MATCH(I687,yNCExArea,0),2),ySpace_by_Space_Type,0),2)),VLOOKUP(E687,xyWattage_Table,11,FALSE)),"")</f>
        <v/>
      </c>
      <c r="K687" s="538" t="str">
        <f>IFERROR(IF(AND(NC_Type="Building Area Method",Inventory!C684="N"),IF(ISERROR(INDEX('Usage Groups (&gt;120 MWh only)'!$N$8:$N$12,MATCH(C687,'Usage Groups (&gt;120 MWh only)'!$B$8:$B$12,0),1))=TRUE,SqFt/COUNTIFS(Inventory!$C$10:$C$1009,"N",$Q$13:$Q$1012,"&gt;=0"),INDEX('Usage Groups (&gt;120 MWh only)'!$N$8:$N$12,MATCH(C687,'Usage Groups (&gt;120 MWh only)'!$B$8:$B$12,0),1)/COUNTIF($C$13:$C$1012,C687)),IF(AND(NC_Type="Building Area Method",Inventory!C684="Y"),INDEX(xyNCEx,MATCH(I687,yNCExArea,0),3)/COUNTIF($I$13:$I$1012,I687),VLOOKUP(J687,xyWattage_Table,10,FALSE))),"")</f>
        <v/>
      </c>
      <c r="L687" s="539" t="str">
        <f t="shared" si="237"/>
        <v/>
      </c>
      <c r="M687" s="540">
        <f>IF(Inventory!N684="","",Inventory!N684)</f>
        <v>0</v>
      </c>
      <c r="N687" s="533" t="str">
        <f t="shared" si="238"/>
        <v/>
      </c>
      <c r="O687" s="534"/>
      <c r="P687" s="533" t="str">
        <f t="shared" si="239"/>
        <v/>
      </c>
      <c r="Q687" s="534" t="str">
        <f>IF(Inventory!L684="","",Inventory!L684)</f>
        <v/>
      </c>
      <c r="R687" s="535" t="str">
        <f t="shared" si="240"/>
        <v/>
      </c>
      <c r="S687" s="536" t="str">
        <f>IF(Inventory!O684="","",Inventory!O684)</f>
        <v/>
      </c>
      <c r="T687" s="541" t="str">
        <f>IFERROR(IF(C687="","",IF(INDEX(xyWattage_Table,MATCH(M687,'Fixture Identities'!$B$9:$B$997,0),2)="Exit Sign",8760,IF(VLOOKUP(C687,xySpace_Type_Details,8,FALSE)="TRM",INDEX('General Information'!$AF$17:$AG$28,11,MATCH(N687,'General Information'!$AF$16:$AG$16,0)),HLOOKUP(VLOOKUP(C687,xySpace_Type_Details,8,FALSE),'General Information'!$P$15:$AG$28,13,FALSE)))),"")</f>
        <v/>
      </c>
      <c r="U687" s="542" t="str">
        <f>IFERROR(IF(C687="","",IF(INDEX(xyWattage_Table,MATCH(M687,'Fixture Identities'!$B$9:$B$997,0),2)="Exit Sign",1,IF(VLOOKUP(C687,xySpace_Type_Details,8,FALSE)="TRM",INDEX('General Information'!$AF$17:$AG$28,12,MATCH(N687,'General Information'!$AF$16:$AG$16,0)),HLOOKUP(VLOOKUP(C687,xySpace_Type_Details,8,FALSE),'General Information'!$P$15:$AG$28,14,FALSE)))),"")</f>
        <v/>
      </c>
      <c r="V687" s="542" t="str">
        <f>IFERROR(VLOOKUP(INDEX(xySpace_Type_Details,MATCH($C687,'General Information'!$C$40:$C$60,0),12),Lookups!$L$8:$N$12,2,FALSE),"")</f>
        <v/>
      </c>
      <c r="W687" s="542" t="str">
        <f>IFERROR(VLOOKUP(INDEX(xySpace_Type_Details,MATCH($C687,'General Information'!$C$40:$C$60,0),12),Lookups!$L$8:$N$12,3,FALSE),"")</f>
        <v/>
      </c>
      <c r="Y687" s="542" t="str">
        <f>IFERROR(IF(C687="","",IF(INDEX(xyWattage_Table,MATCH(M687,'Fixture Identities'!$B$9:$B$997,0),2)="Exit Sign",0,IF(PRJ_Type="Retrofit",VLOOKUP(I687,xySVG_Factors,2,FALSE),IF(AND(PRJ_Type="New Construction",Inventory!C684="N"),VLOOKUP(VLOOKUP(Building_Type,xyLPD_BuildingArea,5,FALSE),xySVG_Factors_NC,3,FALSE),0)))),"")</f>
        <v/>
      </c>
      <c r="Z687" s="544" t="str">
        <f>IFERROR(IF(C687="","",IF(INDEX(xyWattage_Table,MATCH(M687,'Fixture Identities'!$B$9:$B$997,0),2)="Exit Sign",0,VLOOKUP(S687,xySVG_Factors,2,FALSE))),"")</f>
        <v/>
      </c>
      <c r="AA687" s="545" t="str">
        <f t="shared" si="241"/>
        <v/>
      </c>
      <c r="AB687" s="542" t="str">
        <f t="shared" si="242"/>
        <v/>
      </c>
      <c r="AC687" s="539" t="str">
        <f t="shared" si="243"/>
        <v/>
      </c>
      <c r="AD687" s="546" t="str">
        <f t="shared" si="244"/>
        <v/>
      </c>
      <c r="AE687" s="539" t="str">
        <f t="shared" si="245"/>
        <v/>
      </c>
      <c r="AF687" s="546" t="str">
        <f t="shared" si="246"/>
        <v/>
      </c>
      <c r="AG687" s="539" t="str">
        <f t="shared" si="247"/>
        <v/>
      </c>
      <c r="AH687" s="32">
        <f t="shared" si="249"/>
        <v>0</v>
      </c>
      <c r="AI687" s="32">
        <f t="shared" si="250"/>
        <v>0</v>
      </c>
      <c r="AJ687" s="32">
        <f t="shared" si="251"/>
        <v>0</v>
      </c>
      <c r="AK687" t="str">
        <f t="shared" si="252"/>
        <v/>
      </c>
      <c r="AL687" t="str">
        <f t="shared" si="253"/>
        <v/>
      </c>
      <c r="AM687" t="str">
        <f t="shared" si="254"/>
        <v/>
      </c>
      <c r="AO687" t="str">
        <f>IFERROR(VLOOKUP(M687,'Fixture Identities'!$B$9:$O$1045,14,FALSE),"")</f>
        <v/>
      </c>
      <c r="AP687" t="str">
        <f t="shared" si="248"/>
        <v/>
      </c>
    </row>
    <row r="688" spans="1:42">
      <c r="A688" s="71">
        <f t="shared" si="256"/>
        <v>0</v>
      </c>
      <c r="B688" s="513">
        <f t="shared" si="255"/>
        <v>676</v>
      </c>
      <c r="C688" s="530" t="str">
        <f>IF(Inventory!E685="","",Inventory!E685)</f>
        <v/>
      </c>
      <c r="D688" s="531">
        <f>IF(Inventory!D685="",0,Inventory!D685)</f>
        <v>0</v>
      </c>
      <c r="E688" s="532" t="str">
        <f>IF(Inventory!I685=0,"",Inventory!I685)</f>
        <v/>
      </c>
      <c r="F688" s="533" t="str">
        <f t="shared" si="235"/>
        <v/>
      </c>
      <c r="G688" s="534" t="str">
        <f>IF(Inventory!G685="","",Inventory!G685)</f>
        <v/>
      </c>
      <c r="H688" s="535" t="str">
        <f t="shared" si="236"/>
        <v/>
      </c>
      <c r="I688" s="536" t="str">
        <f>IF(Inventory!J685="","",Inventory!J685)</f>
        <v/>
      </c>
      <c r="J688" s="537" t="str">
        <f>IFERROR(IF(PRJ_Type="New Construction",IF(Inventory!C685="N",INDEX(xyLPD_BuildingArea,MATCH(Building_Type,Lookups!$F$37:$F$75,0),4),INDEX(xyLPD_SpaceBySpace,MATCH(INDEX(xyNCEx,MATCH(I688,yNCExArea,0),2),ySpace_by_Space_Type,0),2)),VLOOKUP(E688,xyWattage_Table,11,FALSE)),"")</f>
        <v/>
      </c>
      <c r="K688" s="538" t="str">
        <f>IFERROR(IF(AND(NC_Type="Building Area Method",Inventory!C685="N"),IF(ISERROR(INDEX('Usage Groups (&gt;120 MWh only)'!$N$8:$N$12,MATCH(C688,'Usage Groups (&gt;120 MWh only)'!$B$8:$B$12,0),1))=TRUE,SqFt/COUNTIFS(Inventory!$C$10:$C$1009,"N",$Q$13:$Q$1012,"&gt;=0"),INDEX('Usage Groups (&gt;120 MWh only)'!$N$8:$N$12,MATCH(C688,'Usage Groups (&gt;120 MWh only)'!$B$8:$B$12,0),1)/COUNTIF($C$13:$C$1012,C688)),IF(AND(NC_Type="Building Area Method",Inventory!C685="Y"),INDEX(xyNCEx,MATCH(I688,yNCExArea,0),3)/COUNTIF($I$13:$I$1012,I688),VLOOKUP(J688,xyWattage_Table,10,FALSE))),"")</f>
        <v/>
      </c>
      <c r="L688" s="539" t="str">
        <f t="shared" si="237"/>
        <v/>
      </c>
      <c r="M688" s="540">
        <f>IF(Inventory!N685="","",Inventory!N685)</f>
        <v>0</v>
      </c>
      <c r="N688" s="533" t="str">
        <f t="shared" si="238"/>
        <v/>
      </c>
      <c r="O688" s="534"/>
      <c r="P688" s="533" t="str">
        <f t="shared" si="239"/>
        <v/>
      </c>
      <c r="Q688" s="534" t="str">
        <f>IF(Inventory!L685="","",Inventory!L685)</f>
        <v/>
      </c>
      <c r="R688" s="535" t="str">
        <f t="shared" si="240"/>
        <v/>
      </c>
      <c r="S688" s="536" t="str">
        <f>IF(Inventory!O685="","",Inventory!O685)</f>
        <v/>
      </c>
      <c r="T688" s="541" t="str">
        <f>IFERROR(IF(C688="","",IF(INDEX(xyWattage_Table,MATCH(M688,'Fixture Identities'!$B$9:$B$997,0),2)="Exit Sign",8760,IF(VLOOKUP(C688,xySpace_Type_Details,8,FALSE)="TRM",INDEX('General Information'!$AF$17:$AG$28,11,MATCH(N688,'General Information'!$AF$16:$AG$16,0)),HLOOKUP(VLOOKUP(C688,xySpace_Type_Details,8,FALSE),'General Information'!$P$15:$AG$28,13,FALSE)))),"")</f>
        <v/>
      </c>
      <c r="U688" s="542" t="str">
        <f>IFERROR(IF(C688="","",IF(INDEX(xyWattage_Table,MATCH(M688,'Fixture Identities'!$B$9:$B$997,0),2)="Exit Sign",1,IF(VLOOKUP(C688,xySpace_Type_Details,8,FALSE)="TRM",INDEX('General Information'!$AF$17:$AG$28,12,MATCH(N688,'General Information'!$AF$16:$AG$16,0)),HLOOKUP(VLOOKUP(C688,xySpace_Type_Details,8,FALSE),'General Information'!$P$15:$AG$28,14,FALSE)))),"")</f>
        <v/>
      </c>
      <c r="V688" s="542" t="str">
        <f>IFERROR(VLOOKUP(INDEX(xySpace_Type_Details,MATCH($C688,'General Information'!$C$40:$C$60,0),12),Lookups!$L$8:$N$12,2,FALSE),"")</f>
        <v/>
      </c>
      <c r="W688" s="542" t="str">
        <f>IFERROR(VLOOKUP(INDEX(xySpace_Type_Details,MATCH($C688,'General Information'!$C$40:$C$60,0),12),Lookups!$L$8:$N$12,3,FALSE),"")</f>
        <v/>
      </c>
      <c r="Y688" s="542" t="str">
        <f>IFERROR(IF(C688="","",IF(INDEX(xyWattage_Table,MATCH(M688,'Fixture Identities'!$B$9:$B$997,0),2)="Exit Sign",0,IF(PRJ_Type="Retrofit",VLOOKUP(I688,xySVG_Factors,2,FALSE),IF(AND(PRJ_Type="New Construction",Inventory!C685="N"),VLOOKUP(VLOOKUP(Building_Type,xyLPD_BuildingArea,5,FALSE),xySVG_Factors_NC,3,FALSE),0)))),"")</f>
        <v/>
      </c>
      <c r="Z688" s="544" t="str">
        <f>IFERROR(IF(C688="","",IF(INDEX(xyWattage_Table,MATCH(M688,'Fixture Identities'!$B$9:$B$997,0),2)="Exit Sign",0,VLOOKUP(S688,xySVG_Factors,2,FALSE))),"")</f>
        <v/>
      </c>
      <c r="AA688" s="545" t="str">
        <f t="shared" si="241"/>
        <v/>
      </c>
      <c r="AB688" s="542" t="str">
        <f t="shared" si="242"/>
        <v/>
      </c>
      <c r="AC688" s="539" t="str">
        <f t="shared" si="243"/>
        <v/>
      </c>
      <c r="AD688" s="546" t="str">
        <f t="shared" si="244"/>
        <v/>
      </c>
      <c r="AE688" s="539" t="str">
        <f t="shared" si="245"/>
        <v/>
      </c>
      <c r="AF688" s="546" t="str">
        <f t="shared" si="246"/>
        <v/>
      </c>
      <c r="AG688" s="539" t="str">
        <f t="shared" si="247"/>
        <v/>
      </c>
      <c r="AH688" s="32">
        <f t="shared" si="249"/>
        <v>0</v>
      </c>
      <c r="AI688" s="32">
        <f t="shared" si="250"/>
        <v>0</v>
      </c>
      <c r="AJ688" s="32">
        <f t="shared" si="251"/>
        <v>0</v>
      </c>
      <c r="AK688" t="str">
        <f t="shared" si="252"/>
        <v/>
      </c>
      <c r="AL688" t="str">
        <f t="shared" si="253"/>
        <v/>
      </c>
      <c r="AM688" t="str">
        <f t="shared" si="254"/>
        <v/>
      </c>
      <c r="AO688" t="str">
        <f>IFERROR(VLOOKUP(M688,'Fixture Identities'!$B$9:$O$1045,14,FALSE),"")</f>
        <v/>
      </c>
      <c r="AP688" t="str">
        <f t="shared" si="248"/>
        <v/>
      </c>
    </row>
    <row r="689" spans="1:42">
      <c r="A689" s="71">
        <f t="shared" si="256"/>
        <v>0</v>
      </c>
      <c r="B689" s="513">
        <f t="shared" si="255"/>
        <v>677</v>
      </c>
      <c r="C689" s="530" t="str">
        <f>IF(Inventory!E686="","",Inventory!E686)</f>
        <v/>
      </c>
      <c r="D689" s="531">
        <f>IF(Inventory!D686="",0,Inventory!D686)</f>
        <v>0</v>
      </c>
      <c r="E689" s="532" t="str">
        <f>IF(Inventory!I686=0,"",Inventory!I686)</f>
        <v/>
      </c>
      <c r="F689" s="533" t="str">
        <f t="shared" si="235"/>
        <v/>
      </c>
      <c r="G689" s="534" t="str">
        <f>IF(Inventory!G686="","",Inventory!G686)</f>
        <v/>
      </c>
      <c r="H689" s="535" t="str">
        <f t="shared" si="236"/>
        <v/>
      </c>
      <c r="I689" s="536" t="str">
        <f>IF(Inventory!J686="","",Inventory!J686)</f>
        <v/>
      </c>
      <c r="J689" s="537" t="str">
        <f>IFERROR(IF(PRJ_Type="New Construction",IF(Inventory!C686="N",INDEX(xyLPD_BuildingArea,MATCH(Building_Type,Lookups!$F$37:$F$75,0),4),INDEX(xyLPD_SpaceBySpace,MATCH(INDEX(xyNCEx,MATCH(I689,yNCExArea,0),2),ySpace_by_Space_Type,0),2)),VLOOKUP(E689,xyWattage_Table,11,FALSE)),"")</f>
        <v/>
      </c>
      <c r="K689" s="538" t="str">
        <f>IFERROR(IF(AND(NC_Type="Building Area Method",Inventory!C686="N"),IF(ISERROR(INDEX('Usage Groups (&gt;120 MWh only)'!$N$8:$N$12,MATCH(C689,'Usage Groups (&gt;120 MWh only)'!$B$8:$B$12,0),1))=TRUE,SqFt/COUNTIFS(Inventory!$C$10:$C$1009,"N",$Q$13:$Q$1012,"&gt;=0"),INDEX('Usage Groups (&gt;120 MWh only)'!$N$8:$N$12,MATCH(C689,'Usage Groups (&gt;120 MWh only)'!$B$8:$B$12,0),1)/COUNTIF($C$13:$C$1012,C689)),IF(AND(NC_Type="Building Area Method",Inventory!C686="Y"),INDEX(xyNCEx,MATCH(I689,yNCExArea,0),3)/COUNTIF($I$13:$I$1012,I689),VLOOKUP(J689,xyWattage_Table,10,FALSE))),"")</f>
        <v/>
      </c>
      <c r="L689" s="539" t="str">
        <f t="shared" si="237"/>
        <v/>
      </c>
      <c r="M689" s="540">
        <f>IF(Inventory!N686="","",Inventory!N686)</f>
        <v>0</v>
      </c>
      <c r="N689" s="533" t="str">
        <f t="shared" si="238"/>
        <v/>
      </c>
      <c r="O689" s="534"/>
      <c r="P689" s="533" t="str">
        <f t="shared" si="239"/>
        <v/>
      </c>
      <c r="Q689" s="534" t="str">
        <f>IF(Inventory!L686="","",Inventory!L686)</f>
        <v/>
      </c>
      <c r="R689" s="535" t="str">
        <f t="shared" si="240"/>
        <v/>
      </c>
      <c r="S689" s="536" t="str">
        <f>IF(Inventory!O686="","",Inventory!O686)</f>
        <v/>
      </c>
      <c r="T689" s="541" t="str">
        <f>IFERROR(IF(C689="","",IF(INDEX(xyWattage_Table,MATCH(M689,'Fixture Identities'!$B$9:$B$997,0),2)="Exit Sign",8760,IF(VLOOKUP(C689,xySpace_Type_Details,8,FALSE)="TRM",INDEX('General Information'!$AF$17:$AG$28,11,MATCH(N689,'General Information'!$AF$16:$AG$16,0)),HLOOKUP(VLOOKUP(C689,xySpace_Type_Details,8,FALSE),'General Information'!$P$15:$AG$28,13,FALSE)))),"")</f>
        <v/>
      </c>
      <c r="U689" s="542" t="str">
        <f>IFERROR(IF(C689="","",IF(INDEX(xyWattage_Table,MATCH(M689,'Fixture Identities'!$B$9:$B$997,0),2)="Exit Sign",1,IF(VLOOKUP(C689,xySpace_Type_Details,8,FALSE)="TRM",INDEX('General Information'!$AF$17:$AG$28,12,MATCH(N689,'General Information'!$AF$16:$AG$16,0)),HLOOKUP(VLOOKUP(C689,xySpace_Type_Details,8,FALSE),'General Information'!$P$15:$AG$28,14,FALSE)))),"")</f>
        <v/>
      </c>
      <c r="V689" s="542" t="str">
        <f>IFERROR(VLOOKUP(INDEX(xySpace_Type_Details,MATCH($C689,'General Information'!$C$40:$C$60,0),12),Lookups!$L$8:$N$12,2,FALSE),"")</f>
        <v/>
      </c>
      <c r="W689" s="542" t="str">
        <f>IFERROR(VLOOKUP(INDEX(xySpace_Type_Details,MATCH($C689,'General Information'!$C$40:$C$60,0),12),Lookups!$L$8:$N$12,3,FALSE),"")</f>
        <v/>
      </c>
      <c r="Y689" s="542" t="str">
        <f>IFERROR(IF(C689="","",IF(INDEX(xyWattage_Table,MATCH(M689,'Fixture Identities'!$B$9:$B$997,0),2)="Exit Sign",0,IF(PRJ_Type="Retrofit",VLOOKUP(I689,xySVG_Factors,2,FALSE),IF(AND(PRJ_Type="New Construction",Inventory!C686="N"),VLOOKUP(VLOOKUP(Building_Type,xyLPD_BuildingArea,5,FALSE),xySVG_Factors_NC,3,FALSE),0)))),"")</f>
        <v/>
      </c>
      <c r="Z689" s="544" t="str">
        <f>IFERROR(IF(C689="","",IF(INDEX(xyWattage_Table,MATCH(M689,'Fixture Identities'!$B$9:$B$997,0),2)="Exit Sign",0,VLOOKUP(S689,xySVG_Factors,2,FALSE))),"")</f>
        <v/>
      </c>
      <c r="AA689" s="545" t="str">
        <f t="shared" si="241"/>
        <v/>
      </c>
      <c r="AB689" s="542" t="str">
        <f t="shared" si="242"/>
        <v/>
      </c>
      <c r="AC689" s="539" t="str">
        <f t="shared" si="243"/>
        <v/>
      </c>
      <c r="AD689" s="546" t="str">
        <f t="shared" si="244"/>
        <v/>
      </c>
      <c r="AE689" s="539" t="str">
        <f t="shared" si="245"/>
        <v/>
      </c>
      <c r="AF689" s="546" t="str">
        <f t="shared" si="246"/>
        <v/>
      </c>
      <c r="AG689" s="539" t="str">
        <f t="shared" si="247"/>
        <v/>
      </c>
      <c r="AH689" s="32">
        <f t="shared" si="249"/>
        <v>0</v>
      </c>
      <c r="AI689" s="32">
        <f t="shared" si="250"/>
        <v>0</v>
      </c>
      <c r="AJ689" s="32">
        <f t="shared" si="251"/>
        <v>0</v>
      </c>
      <c r="AK689" t="str">
        <f t="shared" si="252"/>
        <v/>
      </c>
      <c r="AL689" t="str">
        <f t="shared" si="253"/>
        <v/>
      </c>
      <c r="AM689" t="str">
        <f t="shared" si="254"/>
        <v/>
      </c>
      <c r="AO689" t="str">
        <f>IFERROR(VLOOKUP(M689,'Fixture Identities'!$B$9:$O$1045,14,FALSE),"")</f>
        <v/>
      </c>
      <c r="AP689" t="str">
        <f t="shared" si="248"/>
        <v/>
      </c>
    </row>
    <row r="690" spans="1:42">
      <c r="A690" s="71">
        <f t="shared" si="256"/>
        <v>0</v>
      </c>
      <c r="B690" s="513">
        <f t="shared" si="255"/>
        <v>678</v>
      </c>
      <c r="C690" s="530" t="str">
        <f>IF(Inventory!E687="","",Inventory!E687)</f>
        <v/>
      </c>
      <c r="D690" s="531">
        <f>IF(Inventory!D687="",0,Inventory!D687)</f>
        <v>0</v>
      </c>
      <c r="E690" s="532" t="str">
        <f>IF(Inventory!I687=0,"",Inventory!I687)</f>
        <v/>
      </c>
      <c r="F690" s="533" t="str">
        <f t="shared" si="235"/>
        <v/>
      </c>
      <c r="G690" s="534" t="str">
        <f>IF(Inventory!G687="","",Inventory!G687)</f>
        <v/>
      </c>
      <c r="H690" s="535" t="str">
        <f t="shared" si="236"/>
        <v/>
      </c>
      <c r="I690" s="536" t="str">
        <f>IF(Inventory!J687="","",Inventory!J687)</f>
        <v/>
      </c>
      <c r="J690" s="537" t="str">
        <f>IFERROR(IF(PRJ_Type="New Construction",IF(Inventory!C687="N",INDEX(xyLPD_BuildingArea,MATCH(Building_Type,Lookups!$F$37:$F$75,0),4),INDEX(xyLPD_SpaceBySpace,MATCH(INDEX(xyNCEx,MATCH(I690,yNCExArea,0),2),ySpace_by_Space_Type,0),2)),VLOOKUP(E690,xyWattage_Table,11,FALSE)),"")</f>
        <v/>
      </c>
      <c r="K690" s="538" t="str">
        <f>IFERROR(IF(AND(NC_Type="Building Area Method",Inventory!C687="N"),IF(ISERROR(INDEX('Usage Groups (&gt;120 MWh only)'!$N$8:$N$12,MATCH(C690,'Usage Groups (&gt;120 MWh only)'!$B$8:$B$12,0),1))=TRUE,SqFt/COUNTIFS(Inventory!$C$10:$C$1009,"N",$Q$13:$Q$1012,"&gt;=0"),INDEX('Usage Groups (&gt;120 MWh only)'!$N$8:$N$12,MATCH(C690,'Usage Groups (&gt;120 MWh only)'!$B$8:$B$12,0),1)/COUNTIF($C$13:$C$1012,C690)),IF(AND(NC_Type="Building Area Method",Inventory!C687="Y"),INDEX(xyNCEx,MATCH(I690,yNCExArea,0),3)/COUNTIF($I$13:$I$1012,I690),VLOOKUP(J690,xyWattage_Table,10,FALSE))),"")</f>
        <v/>
      </c>
      <c r="L690" s="539" t="str">
        <f t="shared" si="237"/>
        <v/>
      </c>
      <c r="M690" s="540">
        <f>IF(Inventory!N687="","",Inventory!N687)</f>
        <v>0</v>
      </c>
      <c r="N690" s="533" t="str">
        <f t="shared" si="238"/>
        <v/>
      </c>
      <c r="O690" s="534"/>
      <c r="P690" s="533" t="str">
        <f t="shared" si="239"/>
        <v/>
      </c>
      <c r="Q690" s="534" t="str">
        <f>IF(Inventory!L687="","",Inventory!L687)</f>
        <v/>
      </c>
      <c r="R690" s="535" t="str">
        <f t="shared" si="240"/>
        <v/>
      </c>
      <c r="S690" s="536" t="str">
        <f>IF(Inventory!O687="","",Inventory!O687)</f>
        <v/>
      </c>
      <c r="T690" s="541" t="str">
        <f>IFERROR(IF(C690="","",IF(INDEX(xyWattage_Table,MATCH(M690,'Fixture Identities'!$B$9:$B$997,0),2)="Exit Sign",8760,IF(VLOOKUP(C690,xySpace_Type_Details,8,FALSE)="TRM",INDEX('General Information'!$AF$17:$AG$28,11,MATCH(N690,'General Information'!$AF$16:$AG$16,0)),HLOOKUP(VLOOKUP(C690,xySpace_Type_Details,8,FALSE),'General Information'!$P$15:$AG$28,13,FALSE)))),"")</f>
        <v/>
      </c>
      <c r="U690" s="542" t="str">
        <f>IFERROR(IF(C690="","",IF(INDEX(xyWattage_Table,MATCH(M690,'Fixture Identities'!$B$9:$B$997,0),2)="Exit Sign",1,IF(VLOOKUP(C690,xySpace_Type_Details,8,FALSE)="TRM",INDEX('General Information'!$AF$17:$AG$28,12,MATCH(N690,'General Information'!$AF$16:$AG$16,0)),HLOOKUP(VLOOKUP(C690,xySpace_Type_Details,8,FALSE),'General Information'!$P$15:$AG$28,14,FALSE)))),"")</f>
        <v/>
      </c>
      <c r="V690" s="542" t="str">
        <f>IFERROR(VLOOKUP(INDEX(xySpace_Type_Details,MATCH($C690,'General Information'!$C$40:$C$60,0),12),Lookups!$L$8:$N$12,2,FALSE),"")</f>
        <v/>
      </c>
      <c r="W690" s="542" t="str">
        <f>IFERROR(VLOOKUP(INDEX(xySpace_Type_Details,MATCH($C690,'General Information'!$C$40:$C$60,0),12),Lookups!$L$8:$N$12,3,FALSE),"")</f>
        <v/>
      </c>
      <c r="Y690" s="542" t="str">
        <f>IFERROR(IF(C690="","",IF(INDEX(xyWattage_Table,MATCH(M690,'Fixture Identities'!$B$9:$B$997,0),2)="Exit Sign",0,IF(PRJ_Type="Retrofit",VLOOKUP(I690,xySVG_Factors,2,FALSE),IF(AND(PRJ_Type="New Construction",Inventory!C687="N"),VLOOKUP(VLOOKUP(Building_Type,xyLPD_BuildingArea,5,FALSE),xySVG_Factors_NC,3,FALSE),0)))),"")</f>
        <v/>
      </c>
      <c r="Z690" s="544" t="str">
        <f>IFERROR(IF(C690="","",IF(INDEX(xyWattage_Table,MATCH(M690,'Fixture Identities'!$B$9:$B$997,0),2)="Exit Sign",0,VLOOKUP(S690,xySVG_Factors,2,FALSE))),"")</f>
        <v/>
      </c>
      <c r="AA690" s="545" t="str">
        <f t="shared" si="241"/>
        <v/>
      </c>
      <c r="AB690" s="542" t="str">
        <f t="shared" si="242"/>
        <v/>
      </c>
      <c r="AC690" s="539" t="str">
        <f t="shared" si="243"/>
        <v/>
      </c>
      <c r="AD690" s="546" t="str">
        <f t="shared" si="244"/>
        <v/>
      </c>
      <c r="AE690" s="539" t="str">
        <f t="shared" si="245"/>
        <v/>
      </c>
      <c r="AF690" s="546" t="str">
        <f t="shared" si="246"/>
        <v/>
      </c>
      <c r="AG690" s="539" t="str">
        <f t="shared" si="247"/>
        <v/>
      </c>
      <c r="AH690" s="32">
        <f t="shared" si="249"/>
        <v>0</v>
      </c>
      <c r="AI690" s="32">
        <f t="shared" si="250"/>
        <v>0</v>
      </c>
      <c r="AJ690" s="32">
        <f t="shared" si="251"/>
        <v>0</v>
      </c>
      <c r="AK690" t="str">
        <f t="shared" si="252"/>
        <v/>
      </c>
      <c r="AL690" t="str">
        <f t="shared" si="253"/>
        <v/>
      </c>
      <c r="AM690" t="str">
        <f t="shared" si="254"/>
        <v/>
      </c>
      <c r="AO690" t="str">
        <f>IFERROR(VLOOKUP(M690,'Fixture Identities'!$B$9:$O$1045,14,FALSE),"")</f>
        <v/>
      </c>
      <c r="AP690" t="str">
        <f t="shared" si="248"/>
        <v/>
      </c>
    </row>
    <row r="691" spans="1:42">
      <c r="A691" s="71">
        <f t="shared" si="256"/>
        <v>0</v>
      </c>
      <c r="B691" s="513">
        <f t="shared" si="255"/>
        <v>679</v>
      </c>
      <c r="C691" s="530" t="str">
        <f>IF(Inventory!E688="","",Inventory!E688)</f>
        <v/>
      </c>
      <c r="D691" s="531">
        <f>IF(Inventory!D688="",0,Inventory!D688)</f>
        <v>0</v>
      </c>
      <c r="E691" s="532" t="str">
        <f>IF(Inventory!I688=0,"",Inventory!I688)</f>
        <v/>
      </c>
      <c r="F691" s="533" t="str">
        <f t="shared" si="235"/>
        <v/>
      </c>
      <c r="G691" s="534" t="str">
        <f>IF(Inventory!G688="","",Inventory!G688)</f>
        <v/>
      </c>
      <c r="H691" s="535" t="str">
        <f t="shared" si="236"/>
        <v/>
      </c>
      <c r="I691" s="536" t="str">
        <f>IF(Inventory!J688="","",Inventory!J688)</f>
        <v/>
      </c>
      <c r="J691" s="537" t="str">
        <f>IFERROR(IF(PRJ_Type="New Construction",IF(Inventory!C688="N",INDEX(xyLPD_BuildingArea,MATCH(Building_Type,Lookups!$F$37:$F$75,0),4),INDEX(xyLPD_SpaceBySpace,MATCH(INDEX(xyNCEx,MATCH(I691,yNCExArea,0),2),ySpace_by_Space_Type,0),2)),VLOOKUP(E691,xyWattage_Table,11,FALSE)),"")</f>
        <v/>
      </c>
      <c r="K691" s="538" t="str">
        <f>IFERROR(IF(AND(NC_Type="Building Area Method",Inventory!C688="N"),IF(ISERROR(INDEX('Usage Groups (&gt;120 MWh only)'!$N$8:$N$12,MATCH(C691,'Usage Groups (&gt;120 MWh only)'!$B$8:$B$12,0),1))=TRUE,SqFt/COUNTIFS(Inventory!$C$10:$C$1009,"N",$Q$13:$Q$1012,"&gt;=0"),INDEX('Usage Groups (&gt;120 MWh only)'!$N$8:$N$12,MATCH(C691,'Usage Groups (&gt;120 MWh only)'!$B$8:$B$12,0),1)/COUNTIF($C$13:$C$1012,C691)),IF(AND(NC_Type="Building Area Method",Inventory!C688="Y"),INDEX(xyNCEx,MATCH(I691,yNCExArea,0),3)/COUNTIF($I$13:$I$1012,I691),VLOOKUP(J691,xyWattage_Table,10,FALSE))),"")</f>
        <v/>
      </c>
      <c r="L691" s="539" t="str">
        <f t="shared" si="237"/>
        <v/>
      </c>
      <c r="M691" s="540">
        <f>IF(Inventory!N688="","",Inventory!N688)</f>
        <v>0</v>
      </c>
      <c r="N691" s="533" t="str">
        <f t="shared" si="238"/>
        <v/>
      </c>
      <c r="O691" s="534"/>
      <c r="P691" s="533" t="str">
        <f t="shared" si="239"/>
        <v/>
      </c>
      <c r="Q691" s="534" t="str">
        <f>IF(Inventory!L688="","",Inventory!L688)</f>
        <v/>
      </c>
      <c r="R691" s="535" t="str">
        <f t="shared" si="240"/>
        <v/>
      </c>
      <c r="S691" s="536" t="str">
        <f>IF(Inventory!O688="","",Inventory!O688)</f>
        <v/>
      </c>
      <c r="T691" s="541" t="str">
        <f>IFERROR(IF(C691="","",IF(INDEX(xyWattage_Table,MATCH(M691,'Fixture Identities'!$B$9:$B$997,0),2)="Exit Sign",8760,IF(VLOOKUP(C691,xySpace_Type_Details,8,FALSE)="TRM",INDEX('General Information'!$AF$17:$AG$28,11,MATCH(N691,'General Information'!$AF$16:$AG$16,0)),HLOOKUP(VLOOKUP(C691,xySpace_Type_Details,8,FALSE),'General Information'!$P$15:$AG$28,13,FALSE)))),"")</f>
        <v/>
      </c>
      <c r="U691" s="542" t="str">
        <f>IFERROR(IF(C691="","",IF(INDEX(xyWattage_Table,MATCH(M691,'Fixture Identities'!$B$9:$B$997,0),2)="Exit Sign",1,IF(VLOOKUP(C691,xySpace_Type_Details,8,FALSE)="TRM",INDEX('General Information'!$AF$17:$AG$28,12,MATCH(N691,'General Information'!$AF$16:$AG$16,0)),HLOOKUP(VLOOKUP(C691,xySpace_Type_Details,8,FALSE),'General Information'!$P$15:$AG$28,14,FALSE)))),"")</f>
        <v/>
      </c>
      <c r="V691" s="542" t="str">
        <f>IFERROR(VLOOKUP(INDEX(xySpace_Type_Details,MATCH($C691,'General Information'!$C$40:$C$60,0),12),Lookups!$L$8:$N$12,2,FALSE),"")</f>
        <v/>
      </c>
      <c r="W691" s="542" t="str">
        <f>IFERROR(VLOOKUP(INDEX(xySpace_Type_Details,MATCH($C691,'General Information'!$C$40:$C$60,0),12),Lookups!$L$8:$N$12,3,FALSE),"")</f>
        <v/>
      </c>
      <c r="Y691" s="542" t="str">
        <f>IFERROR(IF(C691="","",IF(INDEX(xyWattage_Table,MATCH(M691,'Fixture Identities'!$B$9:$B$997,0),2)="Exit Sign",0,IF(PRJ_Type="Retrofit",VLOOKUP(I691,xySVG_Factors,2,FALSE),IF(AND(PRJ_Type="New Construction",Inventory!C688="N"),VLOOKUP(VLOOKUP(Building_Type,xyLPD_BuildingArea,5,FALSE),xySVG_Factors_NC,3,FALSE),0)))),"")</f>
        <v/>
      </c>
      <c r="Z691" s="544" t="str">
        <f>IFERROR(IF(C691="","",IF(INDEX(xyWattage_Table,MATCH(M691,'Fixture Identities'!$B$9:$B$997,0),2)="Exit Sign",0,VLOOKUP(S691,xySVG_Factors,2,FALSE))),"")</f>
        <v/>
      </c>
      <c r="AA691" s="545" t="str">
        <f t="shared" si="241"/>
        <v/>
      </c>
      <c r="AB691" s="542" t="str">
        <f t="shared" si="242"/>
        <v/>
      </c>
      <c r="AC691" s="539" t="str">
        <f t="shared" si="243"/>
        <v/>
      </c>
      <c r="AD691" s="546" t="str">
        <f t="shared" si="244"/>
        <v/>
      </c>
      <c r="AE691" s="539" t="str">
        <f t="shared" si="245"/>
        <v/>
      </c>
      <c r="AF691" s="546" t="str">
        <f t="shared" si="246"/>
        <v/>
      </c>
      <c r="AG691" s="539" t="str">
        <f t="shared" si="247"/>
        <v/>
      </c>
      <c r="AH691" s="32">
        <f t="shared" si="249"/>
        <v>0</v>
      </c>
      <c r="AI691" s="32">
        <f t="shared" si="250"/>
        <v>0</v>
      </c>
      <c r="AJ691" s="32">
        <f t="shared" si="251"/>
        <v>0</v>
      </c>
      <c r="AK691" t="str">
        <f t="shared" si="252"/>
        <v/>
      </c>
      <c r="AL691" t="str">
        <f t="shared" si="253"/>
        <v/>
      </c>
      <c r="AM691" t="str">
        <f t="shared" si="254"/>
        <v/>
      </c>
      <c r="AO691" t="str">
        <f>IFERROR(VLOOKUP(M691,'Fixture Identities'!$B$9:$O$1045,14,FALSE),"")</f>
        <v/>
      </c>
      <c r="AP691" t="str">
        <f t="shared" si="248"/>
        <v/>
      </c>
    </row>
    <row r="692" spans="1:42">
      <c r="A692" s="71">
        <f t="shared" si="256"/>
        <v>0</v>
      </c>
      <c r="B692" s="513">
        <f t="shared" si="255"/>
        <v>680</v>
      </c>
      <c r="C692" s="530" t="str">
        <f>IF(Inventory!E689="","",Inventory!E689)</f>
        <v/>
      </c>
      <c r="D692" s="531">
        <f>IF(Inventory!D689="",0,Inventory!D689)</f>
        <v>0</v>
      </c>
      <c r="E692" s="532" t="str">
        <f>IF(Inventory!I689=0,"",Inventory!I689)</f>
        <v/>
      </c>
      <c r="F692" s="533" t="str">
        <f t="shared" si="235"/>
        <v/>
      </c>
      <c r="G692" s="534" t="str">
        <f>IF(Inventory!G689="","",Inventory!G689)</f>
        <v/>
      </c>
      <c r="H692" s="535" t="str">
        <f t="shared" si="236"/>
        <v/>
      </c>
      <c r="I692" s="536" t="str">
        <f>IF(Inventory!J689="","",Inventory!J689)</f>
        <v/>
      </c>
      <c r="J692" s="537" t="str">
        <f>IFERROR(IF(PRJ_Type="New Construction",IF(Inventory!C689="N",INDEX(xyLPD_BuildingArea,MATCH(Building_Type,Lookups!$F$37:$F$75,0),4),INDEX(xyLPD_SpaceBySpace,MATCH(INDEX(xyNCEx,MATCH(I692,yNCExArea,0),2),ySpace_by_Space_Type,0),2)),VLOOKUP(E692,xyWattage_Table,11,FALSE)),"")</f>
        <v/>
      </c>
      <c r="K692" s="538" t="str">
        <f>IFERROR(IF(AND(NC_Type="Building Area Method",Inventory!C689="N"),IF(ISERROR(INDEX('Usage Groups (&gt;120 MWh only)'!$N$8:$N$12,MATCH(C692,'Usage Groups (&gt;120 MWh only)'!$B$8:$B$12,0),1))=TRUE,SqFt/COUNTIFS(Inventory!$C$10:$C$1009,"N",$Q$13:$Q$1012,"&gt;=0"),INDEX('Usage Groups (&gt;120 MWh only)'!$N$8:$N$12,MATCH(C692,'Usage Groups (&gt;120 MWh only)'!$B$8:$B$12,0),1)/COUNTIF($C$13:$C$1012,C692)),IF(AND(NC_Type="Building Area Method",Inventory!C689="Y"),INDEX(xyNCEx,MATCH(I692,yNCExArea,0),3)/COUNTIF($I$13:$I$1012,I692),VLOOKUP(J692,xyWattage_Table,10,FALSE))),"")</f>
        <v/>
      </c>
      <c r="L692" s="539" t="str">
        <f t="shared" si="237"/>
        <v/>
      </c>
      <c r="M692" s="540">
        <f>IF(Inventory!N689="","",Inventory!N689)</f>
        <v>0</v>
      </c>
      <c r="N692" s="533" t="str">
        <f t="shared" si="238"/>
        <v/>
      </c>
      <c r="O692" s="534"/>
      <c r="P692" s="533" t="str">
        <f t="shared" si="239"/>
        <v/>
      </c>
      <c r="Q692" s="534" t="str">
        <f>IF(Inventory!L689="","",Inventory!L689)</f>
        <v/>
      </c>
      <c r="R692" s="535" t="str">
        <f t="shared" si="240"/>
        <v/>
      </c>
      <c r="S692" s="536" t="str">
        <f>IF(Inventory!O689="","",Inventory!O689)</f>
        <v/>
      </c>
      <c r="T692" s="541" t="str">
        <f>IFERROR(IF(C692="","",IF(INDEX(xyWattage_Table,MATCH(M692,'Fixture Identities'!$B$9:$B$997,0),2)="Exit Sign",8760,IF(VLOOKUP(C692,xySpace_Type_Details,8,FALSE)="TRM",INDEX('General Information'!$AF$17:$AG$28,11,MATCH(N692,'General Information'!$AF$16:$AG$16,0)),HLOOKUP(VLOOKUP(C692,xySpace_Type_Details,8,FALSE),'General Information'!$P$15:$AG$28,13,FALSE)))),"")</f>
        <v/>
      </c>
      <c r="U692" s="542" t="str">
        <f>IFERROR(IF(C692="","",IF(INDEX(xyWattage_Table,MATCH(M692,'Fixture Identities'!$B$9:$B$997,0),2)="Exit Sign",1,IF(VLOOKUP(C692,xySpace_Type_Details,8,FALSE)="TRM",INDEX('General Information'!$AF$17:$AG$28,12,MATCH(N692,'General Information'!$AF$16:$AG$16,0)),HLOOKUP(VLOOKUP(C692,xySpace_Type_Details,8,FALSE),'General Information'!$P$15:$AG$28,14,FALSE)))),"")</f>
        <v/>
      </c>
      <c r="V692" s="542" t="str">
        <f>IFERROR(VLOOKUP(INDEX(xySpace_Type_Details,MATCH($C692,'General Information'!$C$40:$C$60,0),12),Lookups!$L$8:$N$12,2,FALSE),"")</f>
        <v/>
      </c>
      <c r="W692" s="542" t="str">
        <f>IFERROR(VLOOKUP(INDEX(xySpace_Type_Details,MATCH($C692,'General Information'!$C$40:$C$60,0),12),Lookups!$L$8:$N$12,3,FALSE),"")</f>
        <v/>
      </c>
      <c r="Y692" s="542" t="str">
        <f>IFERROR(IF(C692="","",IF(INDEX(xyWattage_Table,MATCH(M692,'Fixture Identities'!$B$9:$B$997,0),2)="Exit Sign",0,IF(PRJ_Type="Retrofit",VLOOKUP(I692,xySVG_Factors,2,FALSE),IF(AND(PRJ_Type="New Construction",Inventory!C689="N"),VLOOKUP(VLOOKUP(Building_Type,xyLPD_BuildingArea,5,FALSE),xySVG_Factors_NC,3,FALSE),0)))),"")</f>
        <v/>
      </c>
      <c r="Z692" s="544" t="str">
        <f>IFERROR(IF(C692="","",IF(INDEX(xyWattage_Table,MATCH(M692,'Fixture Identities'!$B$9:$B$997,0),2)="Exit Sign",0,VLOOKUP(S692,xySVG_Factors,2,FALSE))),"")</f>
        <v/>
      </c>
      <c r="AA692" s="545" t="str">
        <f t="shared" si="241"/>
        <v/>
      </c>
      <c r="AB692" s="542" t="str">
        <f t="shared" si="242"/>
        <v/>
      </c>
      <c r="AC692" s="539" t="str">
        <f t="shared" si="243"/>
        <v/>
      </c>
      <c r="AD692" s="546" t="str">
        <f t="shared" si="244"/>
        <v/>
      </c>
      <c r="AE692" s="539" t="str">
        <f t="shared" si="245"/>
        <v/>
      </c>
      <c r="AF692" s="546" t="str">
        <f t="shared" si="246"/>
        <v/>
      </c>
      <c r="AG692" s="539" t="str">
        <f t="shared" si="247"/>
        <v/>
      </c>
      <c r="AH692" s="32">
        <f t="shared" si="249"/>
        <v>0</v>
      </c>
      <c r="AI692" s="32">
        <f t="shared" si="250"/>
        <v>0</v>
      </c>
      <c r="AJ692" s="32">
        <f t="shared" si="251"/>
        <v>0</v>
      </c>
      <c r="AK692" t="str">
        <f t="shared" si="252"/>
        <v/>
      </c>
      <c r="AL692" t="str">
        <f t="shared" si="253"/>
        <v/>
      </c>
      <c r="AM692" t="str">
        <f t="shared" si="254"/>
        <v/>
      </c>
      <c r="AO692" t="str">
        <f>IFERROR(VLOOKUP(M692,'Fixture Identities'!$B$9:$O$1045,14,FALSE),"")</f>
        <v/>
      </c>
      <c r="AP692" t="str">
        <f t="shared" si="248"/>
        <v/>
      </c>
    </row>
    <row r="693" spans="1:42">
      <c r="A693" s="71">
        <f t="shared" si="256"/>
        <v>0</v>
      </c>
      <c r="B693" s="513">
        <f t="shared" si="255"/>
        <v>681</v>
      </c>
      <c r="C693" s="530" t="str">
        <f>IF(Inventory!E690="","",Inventory!E690)</f>
        <v/>
      </c>
      <c r="D693" s="531">
        <f>IF(Inventory!D690="",0,Inventory!D690)</f>
        <v>0</v>
      </c>
      <c r="E693" s="532" t="str">
        <f>IF(Inventory!I690=0,"",Inventory!I690)</f>
        <v/>
      </c>
      <c r="F693" s="533" t="str">
        <f t="shared" si="235"/>
        <v/>
      </c>
      <c r="G693" s="534" t="str">
        <f>IF(Inventory!G690="","",Inventory!G690)</f>
        <v/>
      </c>
      <c r="H693" s="535" t="str">
        <f t="shared" si="236"/>
        <v/>
      </c>
      <c r="I693" s="536" t="str">
        <f>IF(Inventory!J690="","",Inventory!J690)</f>
        <v/>
      </c>
      <c r="J693" s="537" t="str">
        <f>IFERROR(IF(PRJ_Type="New Construction",IF(Inventory!C690="N",INDEX(xyLPD_BuildingArea,MATCH(Building_Type,Lookups!$F$37:$F$75,0),4),INDEX(xyLPD_SpaceBySpace,MATCH(INDEX(xyNCEx,MATCH(I693,yNCExArea,0),2),ySpace_by_Space_Type,0),2)),VLOOKUP(E693,xyWattage_Table,11,FALSE)),"")</f>
        <v/>
      </c>
      <c r="K693" s="538" t="str">
        <f>IFERROR(IF(AND(NC_Type="Building Area Method",Inventory!C690="N"),IF(ISERROR(INDEX('Usage Groups (&gt;120 MWh only)'!$N$8:$N$12,MATCH(C693,'Usage Groups (&gt;120 MWh only)'!$B$8:$B$12,0),1))=TRUE,SqFt/COUNTIFS(Inventory!$C$10:$C$1009,"N",$Q$13:$Q$1012,"&gt;=0"),INDEX('Usage Groups (&gt;120 MWh only)'!$N$8:$N$12,MATCH(C693,'Usage Groups (&gt;120 MWh only)'!$B$8:$B$12,0),1)/COUNTIF($C$13:$C$1012,C693)),IF(AND(NC_Type="Building Area Method",Inventory!C690="Y"),INDEX(xyNCEx,MATCH(I693,yNCExArea,0),3)/COUNTIF($I$13:$I$1012,I693),VLOOKUP(J693,xyWattage_Table,10,FALSE))),"")</f>
        <v/>
      </c>
      <c r="L693" s="539" t="str">
        <f t="shared" si="237"/>
        <v/>
      </c>
      <c r="M693" s="540">
        <f>IF(Inventory!N690="","",Inventory!N690)</f>
        <v>0</v>
      </c>
      <c r="N693" s="533" t="str">
        <f t="shared" si="238"/>
        <v/>
      </c>
      <c r="O693" s="534"/>
      <c r="P693" s="533" t="str">
        <f t="shared" si="239"/>
        <v/>
      </c>
      <c r="Q693" s="534" t="str">
        <f>IF(Inventory!L690="","",Inventory!L690)</f>
        <v/>
      </c>
      <c r="R693" s="535" t="str">
        <f t="shared" si="240"/>
        <v/>
      </c>
      <c r="S693" s="536" t="str">
        <f>IF(Inventory!O690="","",Inventory!O690)</f>
        <v/>
      </c>
      <c r="T693" s="541" t="str">
        <f>IFERROR(IF(C693="","",IF(INDEX(xyWattage_Table,MATCH(M693,'Fixture Identities'!$B$9:$B$997,0),2)="Exit Sign",8760,IF(VLOOKUP(C693,xySpace_Type_Details,8,FALSE)="TRM",INDEX('General Information'!$AF$17:$AG$28,11,MATCH(N693,'General Information'!$AF$16:$AG$16,0)),HLOOKUP(VLOOKUP(C693,xySpace_Type_Details,8,FALSE),'General Information'!$P$15:$AG$28,13,FALSE)))),"")</f>
        <v/>
      </c>
      <c r="U693" s="542" t="str">
        <f>IFERROR(IF(C693="","",IF(INDEX(xyWattage_Table,MATCH(M693,'Fixture Identities'!$B$9:$B$997,0),2)="Exit Sign",1,IF(VLOOKUP(C693,xySpace_Type_Details,8,FALSE)="TRM",INDEX('General Information'!$AF$17:$AG$28,12,MATCH(N693,'General Information'!$AF$16:$AG$16,0)),HLOOKUP(VLOOKUP(C693,xySpace_Type_Details,8,FALSE),'General Information'!$P$15:$AG$28,14,FALSE)))),"")</f>
        <v/>
      </c>
      <c r="V693" s="542" t="str">
        <f>IFERROR(VLOOKUP(INDEX(xySpace_Type_Details,MATCH($C693,'General Information'!$C$40:$C$60,0),12),Lookups!$L$8:$N$12,2,FALSE),"")</f>
        <v/>
      </c>
      <c r="W693" s="542" t="str">
        <f>IFERROR(VLOOKUP(INDEX(xySpace_Type_Details,MATCH($C693,'General Information'!$C$40:$C$60,0),12),Lookups!$L$8:$N$12,3,FALSE),"")</f>
        <v/>
      </c>
      <c r="Y693" s="542" t="str">
        <f>IFERROR(IF(C693="","",IF(INDEX(xyWattage_Table,MATCH(M693,'Fixture Identities'!$B$9:$B$997,0),2)="Exit Sign",0,IF(PRJ_Type="Retrofit",VLOOKUP(I693,xySVG_Factors,2,FALSE),IF(AND(PRJ_Type="New Construction",Inventory!C690="N"),VLOOKUP(VLOOKUP(Building_Type,xyLPD_BuildingArea,5,FALSE),xySVG_Factors_NC,3,FALSE),0)))),"")</f>
        <v/>
      </c>
      <c r="Z693" s="544" t="str">
        <f>IFERROR(IF(C693="","",IF(INDEX(xyWattage_Table,MATCH(M693,'Fixture Identities'!$B$9:$B$997,0),2)="Exit Sign",0,VLOOKUP(S693,xySVG_Factors,2,FALSE))),"")</f>
        <v/>
      </c>
      <c r="AA693" s="545" t="str">
        <f t="shared" si="241"/>
        <v/>
      </c>
      <c r="AB693" s="542" t="str">
        <f t="shared" si="242"/>
        <v/>
      </c>
      <c r="AC693" s="539" t="str">
        <f t="shared" si="243"/>
        <v/>
      </c>
      <c r="AD693" s="546" t="str">
        <f t="shared" si="244"/>
        <v/>
      </c>
      <c r="AE693" s="539" t="str">
        <f t="shared" si="245"/>
        <v/>
      </c>
      <c r="AF693" s="546" t="str">
        <f t="shared" si="246"/>
        <v/>
      </c>
      <c r="AG693" s="539" t="str">
        <f t="shared" si="247"/>
        <v/>
      </c>
      <c r="AH693" s="32">
        <f t="shared" si="249"/>
        <v>0</v>
      </c>
      <c r="AI693" s="32">
        <f t="shared" si="250"/>
        <v>0</v>
      </c>
      <c r="AJ693" s="32">
        <f t="shared" si="251"/>
        <v>0</v>
      </c>
      <c r="AK693" t="str">
        <f t="shared" si="252"/>
        <v/>
      </c>
      <c r="AL693" t="str">
        <f t="shared" si="253"/>
        <v/>
      </c>
      <c r="AM693" t="str">
        <f t="shared" si="254"/>
        <v/>
      </c>
      <c r="AO693" t="str">
        <f>IFERROR(VLOOKUP(M693,'Fixture Identities'!$B$9:$O$1045,14,FALSE),"")</f>
        <v/>
      </c>
      <c r="AP693" t="str">
        <f t="shared" si="248"/>
        <v/>
      </c>
    </row>
    <row r="694" spans="1:42">
      <c r="A694" s="71">
        <f t="shared" si="256"/>
        <v>0</v>
      </c>
      <c r="B694" s="513">
        <f t="shared" si="255"/>
        <v>682</v>
      </c>
      <c r="C694" s="530" t="str">
        <f>IF(Inventory!E691="","",Inventory!E691)</f>
        <v/>
      </c>
      <c r="D694" s="531">
        <f>IF(Inventory!D691="",0,Inventory!D691)</f>
        <v>0</v>
      </c>
      <c r="E694" s="532" t="str">
        <f>IF(Inventory!I691=0,"",Inventory!I691)</f>
        <v/>
      </c>
      <c r="F694" s="533" t="str">
        <f t="shared" si="235"/>
        <v/>
      </c>
      <c r="G694" s="534" t="str">
        <f>IF(Inventory!G691="","",Inventory!G691)</f>
        <v/>
      </c>
      <c r="H694" s="535" t="str">
        <f t="shared" si="236"/>
        <v/>
      </c>
      <c r="I694" s="536" t="str">
        <f>IF(Inventory!J691="","",Inventory!J691)</f>
        <v/>
      </c>
      <c r="J694" s="537" t="str">
        <f>IFERROR(IF(PRJ_Type="New Construction",IF(Inventory!C691="N",INDEX(xyLPD_BuildingArea,MATCH(Building_Type,Lookups!$F$37:$F$75,0),4),INDEX(xyLPD_SpaceBySpace,MATCH(INDEX(xyNCEx,MATCH(I694,yNCExArea,0),2),ySpace_by_Space_Type,0),2)),VLOOKUP(E694,xyWattage_Table,11,FALSE)),"")</f>
        <v/>
      </c>
      <c r="K694" s="538" t="str">
        <f>IFERROR(IF(AND(NC_Type="Building Area Method",Inventory!C691="N"),IF(ISERROR(INDEX('Usage Groups (&gt;120 MWh only)'!$N$8:$N$12,MATCH(C694,'Usage Groups (&gt;120 MWh only)'!$B$8:$B$12,0),1))=TRUE,SqFt/COUNTIFS(Inventory!$C$10:$C$1009,"N",$Q$13:$Q$1012,"&gt;=0"),INDEX('Usage Groups (&gt;120 MWh only)'!$N$8:$N$12,MATCH(C694,'Usage Groups (&gt;120 MWh only)'!$B$8:$B$12,0),1)/COUNTIF($C$13:$C$1012,C694)),IF(AND(NC_Type="Building Area Method",Inventory!C691="Y"),INDEX(xyNCEx,MATCH(I694,yNCExArea,0),3)/COUNTIF($I$13:$I$1012,I694),VLOOKUP(J694,xyWattage_Table,10,FALSE))),"")</f>
        <v/>
      </c>
      <c r="L694" s="539" t="str">
        <f t="shared" si="237"/>
        <v/>
      </c>
      <c r="M694" s="540">
        <f>IF(Inventory!N691="","",Inventory!N691)</f>
        <v>0</v>
      </c>
      <c r="N694" s="533" t="str">
        <f t="shared" si="238"/>
        <v/>
      </c>
      <c r="O694" s="534"/>
      <c r="P694" s="533" t="str">
        <f t="shared" si="239"/>
        <v/>
      </c>
      <c r="Q694" s="534" t="str">
        <f>IF(Inventory!L691="","",Inventory!L691)</f>
        <v/>
      </c>
      <c r="R694" s="535" t="str">
        <f t="shared" si="240"/>
        <v/>
      </c>
      <c r="S694" s="536" t="str">
        <f>IF(Inventory!O691="","",Inventory!O691)</f>
        <v/>
      </c>
      <c r="T694" s="541" t="str">
        <f>IFERROR(IF(C694="","",IF(INDEX(xyWattage_Table,MATCH(M694,'Fixture Identities'!$B$9:$B$997,0),2)="Exit Sign",8760,IF(VLOOKUP(C694,xySpace_Type_Details,8,FALSE)="TRM",INDEX('General Information'!$AF$17:$AG$28,11,MATCH(N694,'General Information'!$AF$16:$AG$16,0)),HLOOKUP(VLOOKUP(C694,xySpace_Type_Details,8,FALSE),'General Information'!$P$15:$AG$28,13,FALSE)))),"")</f>
        <v/>
      </c>
      <c r="U694" s="542" t="str">
        <f>IFERROR(IF(C694="","",IF(INDEX(xyWattage_Table,MATCH(M694,'Fixture Identities'!$B$9:$B$997,0),2)="Exit Sign",1,IF(VLOOKUP(C694,xySpace_Type_Details,8,FALSE)="TRM",INDEX('General Information'!$AF$17:$AG$28,12,MATCH(N694,'General Information'!$AF$16:$AG$16,0)),HLOOKUP(VLOOKUP(C694,xySpace_Type_Details,8,FALSE),'General Information'!$P$15:$AG$28,14,FALSE)))),"")</f>
        <v/>
      </c>
      <c r="V694" s="542" t="str">
        <f>IFERROR(VLOOKUP(INDEX(xySpace_Type_Details,MATCH($C694,'General Information'!$C$40:$C$60,0),12),Lookups!$L$8:$N$12,2,FALSE),"")</f>
        <v/>
      </c>
      <c r="W694" s="542" t="str">
        <f>IFERROR(VLOOKUP(INDEX(xySpace_Type_Details,MATCH($C694,'General Information'!$C$40:$C$60,0),12),Lookups!$L$8:$N$12,3,FALSE),"")</f>
        <v/>
      </c>
      <c r="Y694" s="542" t="str">
        <f>IFERROR(IF(C694="","",IF(INDEX(xyWattage_Table,MATCH(M694,'Fixture Identities'!$B$9:$B$997,0),2)="Exit Sign",0,IF(PRJ_Type="Retrofit",VLOOKUP(I694,xySVG_Factors,2,FALSE),IF(AND(PRJ_Type="New Construction",Inventory!C691="N"),VLOOKUP(VLOOKUP(Building_Type,xyLPD_BuildingArea,5,FALSE),xySVG_Factors_NC,3,FALSE),0)))),"")</f>
        <v/>
      </c>
      <c r="Z694" s="544" t="str">
        <f>IFERROR(IF(C694="","",IF(INDEX(xyWattage_Table,MATCH(M694,'Fixture Identities'!$B$9:$B$997,0),2)="Exit Sign",0,VLOOKUP(S694,xySVG_Factors,2,FALSE))),"")</f>
        <v/>
      </c>
      <c r="AA694" s="545" t="str">
        <f t="shared" si="241"/>
        <v/>
      </c>
      <c r="AB694" s="542" t="str">
        <f t="shared" si="242"/>
        <v/>
      </c>
      <c r="AC694" s="539" t="str">
        <f t="shared" si="243"/>
        <v/>
      </c>
      <c r="AD694" s="546" t="str">
        <f t="shared" si="244"/>
        <v/>
      </c>
      <c r="AE694" s="539" t="str">
        <f t="shared" si="245"/>
        <v/>
      </c>
      <c r="AF694" s="546" t="str">
        <f t="shared" si="246"/>
        <v/>
      </c>
      <c r="AG694" s="539" t="str">
        <f t="shared" si="247"/>
        <v/>
      </c>
      <c r="AH694" s="32">
        <f t="shared" si="249"/>
        <v>0</v>
      </c>
      <c r="AI694" s="32">
        <f t="shared" si="250"/>
        <v>0</v>
      </c>
      <c r="AJ694" s="32">
        <f t="shared" si="251"/>
        <v>0</v>
      </c>
      <c r="AK694" t="str">
        <f t="shared" si="252"/>
        <v/>
      </c>
      <c r="AL694" t="str">
        <f t="shared" si="253"/>
        <v/>
      </c>
      <c r="AM694" t="str">
        <f t="shared" si="254"/>
        <v/>
      </c>
      <c r="AO694" t="str">
        <f>IFERROR(VLOOKUP(M694,'Fixture Identities'!$B$9:$O$1045,14,FALSE),"")</f>
        <v/>
      </c>
      <c r="AP694" t="str">
        <f t="shared" si="248"/>
        <v/>
      </c>
    </row>
    <row r="695" spans="1:42">
      <c r="A695" s="71">
        <f t="shared" si="256"/>
        <v>0</v>
      </c>
      <c r="B695" s="513">
        <f t="shared" si="255"/>
        <v>683</v>
      </c>
      <c r="C695" s="530" t="str">
        <f>IF(Inventory!E692="","",Inventory!E692)</f>
        <v/>
      </c>
      <c r="D695" s="531">
        <f>IF(Inventory!D692="",0,Inventory!D692)</f>
        <v>0</v>
      </c>
      <c r="E695" s="532" t="str">
        <f>IF(Inventory!I692=0,"",Inventory!I692)</f>
        <v/>
      </c>
      <c r="F695" s="533" t="str">
        <f t="shared" si="235"/>
        <v/>
      </c>
      <c r="G695" s="534" t="str">
        <f>IF(Inventory!G692="","",Inventory!G692)</f>
        <v/>
      </c>
      <c r="H695" s="535" t="str">
        <f t="shared" si="236"/>
        <v/>
      </c>
      <c r="I695" s="536" t="str">
        <f>IF(Inventory!J692="","",Inventory!J692)</f>
        <v/>
      </c>
      <c r="J695" s="537" t="str">
        <f>IFERROR(IF(PRJ_Type="New Construction",IF(Inventory!C692="N",INDEX(xyLPD_BuildingArea,MATCH(Building_Type,Lookups!$F$37:$F$75,0),4),INDEX(xyLPD_SpaceBySpace,MATCH(INDEX(xyNCEx,MATCH(I695,yNCExArea,0),2),ySpace_by_Space_Type,0),2)),VLOOKUP(E695,xyWattage_Table,11,FALSE)),"")</f>
        <v/>
      </c>
      <c r="K695" s="538" t="str">
        <f>IFERROR(IF(AND(NC_Type="Building Area Method",Inventory!C692="N"),IF(ISERROR(INDEX('Usage Groups (&gt;120 MWh only)'!$N$8:$N$12,MATCH(C695,'Usage Groups (&gt;120 MWh only)'!$B$8:$B$12,0),1))=TRUE,SqFt/COUNTIFS(Inventory!$C$10:$C$1009,"N",$Q$13:$Q$1012,"&gt;=0"),INDEX('Usage Groups (&gt;120 MWh only)'!$N$8:$N$12,MATCH(C695,'Usage Groups (&gt;120 MWh only)'!$B$8:$B$12,0),1)/COUNTIF($C$13:$C$1012,C695)),IF(AND(NC_Type="Building Area Method",Inventory!C692="Y"),INDEX(xyNCEx,MATCH(I695,yNCExArea,0),3)/COUNTIF($I$13:$I$1012,I695),VLOOKUP(J695,xyWattage_Table,10,FALSE))),"")</f>
        <v/>
      </c>
      <c r="L695" s="539" t="str">
        <f t="shared" si="237"/>
        <v/>
      </c>
      <c r="M695" s="540">
        <f>IF(Inventory!N692="","",Inventory!N692)</f>
        <v>0</v>
      </c>
      <c r="N695" s="533" t="str">
        <f t="shared" si="238"/>
        <v/>
      </c>
      <c r="O695" s="534"/>
      <c r="P695" s="533" t="str">
        <f t="shared" si="239"/>
        <v/>
      </c>
      <c r="Q695" s="534" t="str">
        <f>IF(Inventory!L692="","",Inventory!L692)</f>
        <v/>
      </c>
      <c r="R695" s="535" t="str">
        <f t="shared" si="240"/>
        <v/>
      </c>
      <c r="S695" s="536" t="str">
        <f>IF(Inventory!O692="","",Inventory!O692)</f>
        <v/>
      </c>
      <c r="T695" s="541" t="str">
        <f>IFERROR(IF(C695="","",IF(INDEX(xyWattage_Table,MATCH(M695,'Fixture Identities'!$B$9:$B$997,0),2)="Exit Sign",8760,IF(VLOOKUP(C695,xySpace_Type_Details,8,FALSE)="TRM",INDEX('General Information'!$AF$17:$AG$28,11,MATCH(N695,'General Information'!$AF$16:$AG$16,0)),HLOOKUP(VLOOKUP(C695,xySpace_Type_Details,8,FALSE),'General Information'!$P$15:$AG$28,13,FALSE)))),"")</f>
        <v/>
      </c>
      <c r="U695" s="542" t="str">
        <f>IFERROR(IF(C695="","",IF(INDEX(xyWattage_Table,MATCH(M695,'Fixture Identities'!$B$9:$B$997,0),2)="Exit Sign",1,IF(VLOOKUP(C695,xySpace_Type_Details,8,FALSE)="TRM",INDEX('General Information'!$AF$17:$AG$28,12,MATCH(N695,'General Information'!$AF$16:$AG$16,0)),HLOOKUP(VLOOKUP(C695,xySpace_Type_Details,8,FALSE),'General Information'!$P$15:$AG$28,14,FALSE)))),"")</f>
        <v/>
      </c>
      <c r="V695" s="542" t="str">
        <f>IFERROR(VLOOKUP(INDEX(xySpace_Type_Details,MATCH($C695,'General Information'!$C$40:$C$60,0),12),Lookups!$L$8:$N$12,2,FALSE),"")</f>
        <v/>
      </c>
      <c r="W695" s="542" t="str">
        <f>IFERROR(VLOOKUP(INDEX(xySpace_Type_Details,MATCH($C695,'General Information'!$C$40:$C$60,0),12),Lookups!$L$8:$N$12,3,FALSE),"")</f>
        <v/>
      </c>
      <c r="Y695" s="542" t="str">
        <f>IFERROR(IF(C695="","",IF(INDEX(xyWattage_Table,MATCH(M695,'Fixture Identities'!$B$9:$B$997,0),2)="Exit Sign",0,IF(PRJ_Type="Retrofit",VLOOKUP(I695,xySVG_Factors,2,FALSE),IF(AND(PRJ_Type="New Construction",Inventory!C692="N"),VLOOKUP(VLOOKUP(Building_Type,xyLPD_BuildingArea,5,FALSE),xySVG_Factors_NC,3,FALSE),0)))),"")</f>
        <v/>
      </c>
      <c r="Z695" s="544" t="str">
        <f>IFERROR(IF(C695="","",IF(INDEX(xyWattage_Table,MATCH(M695,'Fixture Identities'!$B$9:$B$997,0),2)="Exit Sign",0,VLOOKUP(S695,xySVG_Factors,2,FALSE))),"")</f>
        <v/>
      </c>
      <c r="AA695" s="545" t="str">
        <f t="shared" si="241"/>
        <v/>
      </c>
      <c r="AB695" s="542" t="str">
        <f t="shared" si="242"/>
        <v/>
      </c>
      <c r="AC695" s="539" t="str">
        <f t="shared" si="243"/>
        <v/>
      </c>
      <c r="AD695" s="546" t="str">
        <f t="shared" si="244"/>
        <v/>
      </c>
      <c r="AE695" s="539" t="str">
        <f t="shared" si="245"/>
        <v/>
      </c>
      <c r="AF695" s="546" t="str">
        <f t="shared" si="246"/>
        <v/>
      </c>
      <c r="AG695" s="539" t="str">
        <f t="shared" si="247"/>
        <v/>
      </c>
      <c r="AH695" s="32">
        <f t="shared" si="249"/>
        <v>0</v>
      </c>
      <c r="AI695" s="32">
        <f t="shared" si="250"/>
        <v>0</v>
      </c>
      <c r="AJ695" s="32">
        <f t="shared" si="251"/>
        <v>0</v>
      </c>
      <c r="AK695" t="str">
        <f t="shared" si="252"/>
        <v/>
      </c>
      <c r="AL695" t="str">
        <f t="shared" si="253"/>
        <v/>
      </c>
      <c r="AM695" t="str">
        <f t="shared" si="254"/>
        <v/>
      </c>
      <c r="AO695" t="str">
        <f>IFERROR(VLOOKUP(M695,'Fixture Identities'!$B$9:$O$1045,14,FALSE),"")</f>
        <v/>
      </c>
      <c r="AP695" t="str">
        <f t="shared" si="248"/>
        <v/>
      </c>
    </row>
    <row r="696" spans="1:42">
      <c r="A696" s="71">
        <f t="shared" si="256"/>
        <v>0</v>
      </c>
      <c r="B696" s="513">
        <f t="shared" si="255"/>
        <v>684</v>
      </c>
      <c r="C696" s="530" t="str">
        <f>IF(Inventory!E693="","",Inventory!E693)</f>
        <v/>
      </c>
      <c r="D696" s="531">
        <f>IF(Inventory!D693="",0,Inventory!D693)</f>
        <v>0</v>
      </c>
      <c r="E696" s="532" t="str">
        <f>IF(Inventory!I693=0,"",Inventory!I693)</f>
        <v/>
      </c>
      <c r="F696" s="533" t="str">
        <f t="shared" si="235"/>
        <v/>
      </c>
      <c r="G696" s="534" t="str">
        <f>IF(Inventory!G693="","",Inventory!G693)</f>
        <v/>
      </c>
      <c r="H696" s="535" t="str">
        <f t="shared" si="236"/>
        <v/>
      </c>
      <c r="I696" s="536" t="str">
        <f>IF(Inventory!J693="","",Inventory!J693)</f>
        <v/>
      </c>
      <c r="J696" s="537" t="str">
        <f>IFERROR(IF(PRJ_Type="New Construction",IF(Inventory!C693="N",INDEX(xyLPD_BuildingArea,MATCH(Building_Type,Lookups!$F$37:$F$75,0),4),INDEX(xyLPD_SpaceBySpace,MATCH(INDEX(xyNCEx,MATCH(I696,yNCExArea,0),2),ySpace_by_Space_Type,0),2)),VLOOKUP(E696,xyWattage_Table,11,FALSE)),"")</f>
        <v/>
      </c>
      <c r="K696" s="538" t="str">
        <f>IFERROR(IF(AND(NC_Type="Building Area Method",Inventory!C693="N"),IF(ISERROR(INDEX('Usage Groups (&gt;120 MWh only)'!$N$8:$N$12,MATCH(C696,'Usage Groups (&gt;120 MWh only)'!$B$8:$B$12,0),1))=TRUE,SqFt/COUNTIFS(Inventory!$C$10:$C$1009,"N",$Q$13:$Q$1012,"&gt;=0"),INDEX('Usage Groups (&gt;120 MWh only)'!$N$8:$N$12,MATCH(C696,'Usage Groups (&gt;120 MWh only)'!$B$8:$B$12,0),1)/COUNTIF($C$13:$C$1012,C696)),IF(AND(NC_Type="Building Area Method",Inventory!C693="Y"),INDEX(xyNCEx,MATCH(I696,yNCExArea,0),3)/COUNTIF($I$13:$I$1012,I696),VLOOKUP(J696,xyWattage_Table,10,FALSE))),"")</f>
        <v/>
      </c>
      <c r="L696" s="539" t="str">
        <f t="shared" si="237"/>
        <v/>
      </c>
      <c r="M696" s="540">
        <f>IF(Inventory!N693="","",Inventory!N693)</f>
        <v>0</v>
      </c>
      <c r="N696" s="533" t="str">
        <f t="shared" si="238"/>
        <v/>
      </c>
      <c r="O696" s="534"/>
      <c r="P696" s="533" t="str">
        <f t="shared" si="239"/>
        <v/>
      </c>
      <c r="Q696" s="534" t="str">
        <f>IF(Inventory!L693="","",Inventory!L693)</f>
        <v/>
      </c>
      <c r="R696" s="535" t="str">
        <f t="shared" si="240"/>
        <v/>
      </c>
      <c r="S696" s="536" t="str">
        <f>IF(Inventory!O693="","",Inventory!O693)</f>
        <v/>
      </c>
      <c r="T696" s="541" t="str">
        <f>IFERROR(IF(C696="","",IF(INDEX(xyWattage_Table,MATCH(M696,'Fixture Identities'!$B$9:$B$997,0),2)="Exit Sign",8760,IF(VLOOKUP(C696,xySpace_Type_Details,8,FALSE)="TRM",INDEX('General Information'!$AF$17:$AG$28,11,MATCH(N696,'General Information'!$AF$16:$AG$16,0)),HLOOKUP(VLOOKUP(C696,xySpace_Type_Details,8,FALSE),'General Information'!$P$15:$AG$28,13,FALSE)))),"")</f>
        <v/>
      </c>
      <c r="U696" s="542" t="str">
        <f>IFERROR(IF(C696="","",IF(INDEX(xyWattage_Table,MATCH(M696,'Fixture Identities'!$B$9:$B$997,0),2)="Exit Sign",1,IF(VLOOKUP(C696,xySpace_Type_Details,8,FALSE)="TRM",INDEX('General Information'!$AF$17:$AG$28,12,MATCH(N696,'General Information'!$AF$16:$AG$16,0)),HLOOKUP(VLOOKUP(C696,xySpace_Type_Details,8,FALSE),'General Information'!$P$15:$AG$28,14,FALSE)))),"")</f>
        <v/>
      </c>
      <c r="V696" s="542" t="str">
        <f>IFERROR(VLOOKUP(INDEX(xySpace_Type_Details,MATCH($C696,'General Information'!$C$40:$C$60,0),12),Lookups!$L$8:$N$12,2,FALSE),"")</f>
        <v/>
      </c>
      <c r="W696" s="542" t="str">
        <f>IFERROR(VLOOKUP(INDEX(xySpace_Type_Details,MATCH($C696,'General Information'!$C$40:$C$60,0),12),Lookups!$L$8:$N$12,3,FALSE),"")</f>
        <v/>
      </c>
      <c r="Y696" s="542" t="str">
        <f>IFERROR(IF(C696="","",IF(INDEX(xyWattage_Table,MATCH(M696,'Fixture Identities'!$B$9:$B$997,0),2)="Exit Sign",0,IF(PRJ_Type="Retrofit",VLOOKUP(I696,xySVG_Factors,2,FALSE),IF(AND(PRJ_Type="New Construction",Inventory!C693="N"),VLOOKUP(VLOOKUP(Building_Type,xyLPD_BuildingArea,5,FALSE),xySVG_Factors_NC,3,FALSE),0)))),"")</f>
        <v/>
      </c>
      <c r="Z696" s="544" t="str">
        <f>IFERROR(IF(C696="","",IF(INDEX(xyWattage_Table,MATCH(M696,'Fixture Identities'!$B$9:$B$997,0),2)="Exit Sign",0,VLOOKUP(S696,xySVG_Factors,2,FALSE))),"")</f>
        <v/>
      </c>
      <c r="AA696" s="545" t="str">
        <f t="shared" si="241"/>
        <v/>
      </c>
      <c r="AB696" s="542" t="str">
        <f t="shared" si="242"/>
        <v/>
      </c>
      <c r="AC696" s="539" t="str">
        <f t="shared" si="243"/>
        <v/>
      </c>
      <c r="AD696" s="546" t="str">
        <f t="shared" si="244"/>
        <v/>
      </c>
      <c r="AE696" s="539" t="str">
        <f t="shared" si="245"/>
        <v/>
      </c>
      <c r="AF696" s="546" t="str">
        <f t="shared" si="246"/>
        <v/>
      </c>
      <c r="AG696" s="539" t="str">
        <f t="shared" si="247"/>
        <v/>
      </c>
      <c r="AH696" s="32">
        <f t="shared" si="249"/>
        <v>0</v>
      </c>
      <c r="AI696" s="32">
        <f t="shared" si="250"/>
        <v>0</v>
      </c>
      <c r="AJ696" s="32">
        <f t="shared" si="251"/>
        <v>0</v>
      </c>
      <c r="AK696" t="str">
        <f t="shared" si="252"/>
        <v/>
      </c>
      <c r="AL696" t="str">
        <f t="shared" si="253"/>
        <v/>
      </c>
      <c r="AM696" t="str">
        <f t="shared" si="254"/>
        <v/>
      </c>
      <c r="AO696" t="str">
        <f>IFERROR(VLOOKUP(M696,'Fixture Identities'!$B$9:$O$1045,14,FALSE),"")</f>
        <v/>
      </c>
      <c r="AP696" t="str">
        <f t="shared" si="248"/>
        <v/>
      </c>
    </row>
    <row r="697" spans="1:42">
      <c r="A697" s="71">
        <f t="shared" si="256"/>
        <v>0</v>
      </c>
      <c r="B697" s="513">
        <f t="shared" si="255"/>
        <v>685</v>
      </c>
      <c r="C697" s="530" t="str">
        <f>IF(Inventory!E694="","",Inventory!E694)</f>
        <v/>
      </c>
      <c r="D697" s="531">
        <f>IF(Inventory!D694="",0,Inventory!D694)</f>
        <v>0</v>
      </c>
      <c r="E697" s="532" t="str">
        <f>IF(Inventory!I694=0,"",Inventory!I694)</f>
        <v/>
      </c>
      <c r="F697" s="533" t="str">
        <f t="shared" si="235"/>
        <v/>
      </c>
      <c r="G697" s="534" t="str">
        <f>IF(Inventory!G694="","",Inventory!G694)</f>
        <v/>
      </c>
      <c r="H697" s="535" t="str">
        <f t="shared" si="236"/>
        <v/>
      </c>
      <c r="I697" s="536" t="str">
        <f>IF(Inventory!J694="","",Inventory!J694)</f>
        <v/>
      </c>
      <c r="J697" s="537" t="str">
        <f>IFERROR(IF(PRJ_Type="New Construction",IF(Inventory!C694="N",INDEX(xyLPD_BuildingArea,MATCH(Building_Type,Lookups!$F$37:$F$75,0),4),INDEX(xyLPD_SpaceBySpace,MATCH(INDEX(xyNCEx,MATCH(I697,yNCExArea,0),2),ySpace_by_Space_Type,0),2)),VLOOKUP(E697,xyWattage_Table,11,FALSE)),"")</f>
        <v/>
      </c>
      <c r="K697" s="538" t="str">
        <f>IFERROR(IF(AND(NC_Type="Building Area Method",Inventory!C694="N"),IF(ISERROR(INDEX('Usage Groups (&gt;120 MWh only)'!$N$8:$N$12,MATCH(C697,'Usage Groups (&gt;120 MWh only)'!$B$8:$B$12,0),1))=TRUE,SqFt/COUNTIFS(Inventory!$C$10:$C$1009,"N",$Q$13:$Q$1012,"&gt;=0"),INDEX('Usage Groups (&gt;120 MWh only)'!$N$8:$N$12,MATCH(C697,'Usage Groups (&gt;120 MWh only)'!$B$8:$B$12,0),1)/COUNTIF($C$13:$C$1012,C697)),IF(AND(NC_Type="Building Area Method",Inventory!C694="Y"),INDEX(xyNCEx,MATCH(I697,yNCExArea,0),3)/COUNTIF($I$13:$I$1012,I697),VLOOKUP(J697,xyWattage_Table,10,FALSE))),"")</f>
        <v/>
      </c>
      <c r="L697" s="539" t="str">
        <f t="shared" si="237"/>
        <v/>
      </c>
      <c r="M697" s="540">
        <f>IF(Inventory!N694="","",Inventory!N694)</f>
        <v>0</v>
      </c>
      <c r="N697" s="533" t="str">
        <f t="shared" si="238"/>
        <v/>
      </c>
      <c r="O697" s="534"/>
      <c r="P697" s="533" t="str">
        <f t="shared" si="239"/>
        <v/>
      </c>
      <c r="Q697" s="534" t="str">
        <f>IF(Inventory!L694="","",Inventory!L694)</f>
        <v/>
      </c>
      <c r="R697" s="535" t="str">
        <f t="shared" si="240"/>
        <v/>
      </c>
      <c r="S697" s="536" t="str">
        <f>IF(Inventory!O694="","",Inventory!O694)</f>
        <v/>
      </c>
      <c r="T697" s="541" t="str">
        <f>IFERROR(IF(C697="","",IF(INDEX(xyWattage_Table,MATCH(M697,'Fixture Identities'!$B$9:$B$997,0),2)="Exit Sign",8760,IF(VLOOKUP(C697,xySpace_Type_Details,8,FALSE)="TRM",INDEX('General Information'!$AF$17:$AG$28,11,MATCH(N697,'General Information'!$AF$16:$AG$16,0)),HLOOKUP(VLOOKUP(C697,xySpace_Type_Details,8,FALSE),'General Information'!$P$15:$AG$28,13,FALSE)))),"")</f>
        <v/>
      </c>
      <c r="U697" s="542" t="str">
        <f>IFERROR(IF(C697="","",IF(INDEX(xyWattage_Table,MATCH(M697,'Fixture Identities'!$B$9:$B$997,0),2)="Exit Sign",1,IF(VLOOKUP(C697,xySpace_Type_Details,8,FALSE)="TRM",INDEX('General Information'!$AF$17:$AG$28,12,MATCH(N697,'General Information'!$AF$16:$AG$16,0)),HLOOKUP(VLOOKUP(C697,xySpace_Type_Details,8,FALSE),'General Information'!$P$15:$AG$28,14,FALSE)))),"")</f>
        <v/>
      </c>
      <c r="V697" s="542" t="str">
        <f>IFERROR(VLOOKUP(INDEX(xySpace_Type_Details,MATCH($C697,'General Information'!$C$40:$C$60,0),12),Lookups!$L$8:$N$12,2,FALSE),"")</f>
        <v/>
      </c>
      <c r="W697" s="542" t="str">
        <f>IFERROR(VLOOKUP(INDEX(xySpace_Type_Details,MATCH($C697,'General Information'!$C$40:$C$60,0),12),Lookups!$L$8:$N$12,3,FALSE),"")</f>
        <v/>
      </c>
      <c r="Y697" s="542" t="str">
        <f>IFERROR(IF(C697="","",IF(INDEX(xyWattage_Table,MATCH(M697,'Fixture Identities'!$B$9:$B$997,0),2)="Exit Sign",0,IF(PRJ_Type="Retrofit",VLOOKUP(I697,xySVG_Factors,2,FALSE),IF(AND(PRJ_Type="New Construction",Inventory!C694="N"),VLOOKUP(VLOOKUP(Building_Type,xyLPD_BuildingArea,5,FALSE),xySVG_Factors_NC,3,FALSE),0)))),"")</f>
        <v/>
      </c>
      <c r="Z697" s="544" t="str">
        <f>IFERROR(IF(C697="","",IF(INDEX(xyWattage_Table,MATCH(M697,'Fixture Identities'!$B$9:$B$997,0),2)="Exit Sign",0,VLOOKUP(S697,xySVG_Factors,2,FALSE))),"")</f>
        <v/>
      </c>
      <c r="AA697" s="545" t="str">
        <f t="shared" si="241"/>
        <v/>
      </c>
      <c r="AB697" s="542" t="str">
        <f t="shared" si="242"/>
        <v/>
      </c>
      <c r="AC697" s="539" t="str">
        <f t="shared" si="243"/>
        <v/>
      </c>
      <c r="AD697" s="546" t="str">
        <f t="shared" si="244"/>
        <v/>
      </c>
      <c r="AE697" s="539" t="str">
        <f t="shared" si="245"/>
        <v/>
      </c>
      <c r="AF697" s="546" t="str">
        <f t="shared" si="246"/>
        <v/>
      </c>
      <c r="AG697" s="539" t="str">
        <f t="shared" si="247"/>
        <v/>
      </c>
      <c r="AH697" s="32">
        <f t="shared" si="249"/>
        <v>0</v>
      </c>
      <c r="AI697" s="32">
        <f t="shared" si="250"/>
        <v>0</v>
      </c>
      <c r="AJ697" s="32">
        <f t="shared" si="251"/>
        <v>0</v>
      </c>
      <c r="AK697" t="str">
        <f t="shared" si="252"/>
        <v/>
      </c>
      <c r="AL697" t="str">
        <f t="shared" si="253"/>
        <v/>
      </c>
      <c r="AM697" t="str">
        <f t="shared" si="254"/>
        <v/>
      </c>
      <c r="AO697" t="str">
        <f>IFERROR(VLOOKUP(M697,'Fixture Identities'!$B$9:$O$1045,14,FALSE),"")</f>
        <v/>
      </c>
      <c r="AP697" t="str">
        <f t="shared" si="248"/>
        <v/>
      </c>
    </row>
    <row r="698" spans="1:42">
      <c r="A698" s="71">
        <f t="shared" si="256"/>
        <v>0</v>
      </c>
      <c r="B698" s="513">
        <f t="shared" si="255"/>
        <v>686</v>
      </c>
      <c r="C698" s="530" t="str">
        <f>IF(Inventory!E695="","",Inventory!E695)</f>
        <v/>
      </c>
      <c r="D698" s="531">
        <f>IF(Inventory!D695="",0,Inventory!D695)</f>
        <v>0</v>
      </c>
      <c r="E698" s="532" t="str">
        <f>IF(Inventory!I695=0,"",Inventory!I695)</f>
        <v/>
      </c>
      <c r="F698" s="533" t="str">
        <f t="shared" si="235"/>
        <v/>
      </c>
      <c r="G698" s="534" t="str">
        <f>IF(Inventory!G695="","",Inventory!G695)</f>
        <v/>
      </c>
      <c r="H698" s="535" t="str">
        <f t="shared" si="236"/>
        <v/>
      </c>
      <c r="I698" s="536" t="str">
        <f>IF(Inventory!J695="","",Inventory!J695)</f>
        <v/>
      </c>
      <c r="J698" s="537" t="str">
        <f>IFERROR(IF(PRJ_Type="New Construction",IF(Inventory!C695="N",INDEX(xyLPD_BuildingArea,MATCH(Building_Type,Lookups!$F$37:$F$75,0),4),INDEX(xyLPD_SpaceBySpace,MATCH(INDEX(xyNCEx,MATCH(I698,yNCExArea,0),2),ySpace_by_Space_Type,0),2)),VLOOKUP(E698,xyWattage_Table,11,FALSE)),"")</f>
        <v/>
      </c>
      <c r="K698" s="538" t="str">
        <f>IFERROR(IF(AND(NC_Type="Building Area Method",Inventory!C695="N"),IF(ISERROR(INDEX('Usage Groups (&gt;120 MWh only)'!$N$8:$N$12,MATCH(C698,'Usage Groups (&gt;120 MWh only)'!$B$8:$B$12,0),1))=TRUE,SqFt/COUNTIFS(Inventory!$C$10:$C$1009,"N",$Q$13:$Q$1012,"&gt;=0"),INDEX('Usage Groups (&gt;120 MWh only)'!$N$8:$N$12,MATCH(C698,'Usage Groups (&gt;120 MWh only)'!$B$8:$B$12,0),1)/COUNTIF($C$13:$C$1012,C698)),IF(AND(NC_Type="Building Area Method",Inventory!C695="Y"),INDEX(xyNCEx,MATCH(I698,yNCExArea,0),3)/COUNTIF($I$13:$I$1012,I698),VLOOKUP(J698,xyWattage_Table,10,FALSE))),"")</f>
        <v/>
      </c>
      <c r="L698" s="539" t="str">
        <f t="shared" si="237"/>
        <v/>
      </c>
      <c r="M698" s="540">
        <f>IF(Inventory!N695="","",Inventory!N695)</f>
        <v>0</v>
      </c>
      <c r="N698" s="533" t="str">
        <f t="shared" si="238"/>
        <v/>
      </c>
      <c r="O698" s="534"/>
      <c r="P698" s="533" t="str">
        <f t="shared" si="239"/>
        <v/>
      </c>
      <c r="Q698" s="534" t="str">
        <f>IF(Inventory!L695="","",Inventory!L695)</f>
        <v/>
      </c>
      <c r="R698" s="535" t="str">
        <f t="shared" si="240"/>
        <v/>
      </c>
      <c r="S698" s="536" t="str">
        <f>IF(Inventory!O695="","",Inventory!O695)</f>
        <v/>
      </c>
      <c r="T698" s="541" t="str">
        <f>IFERROR(IF(C698="","",IF(INDEX(xyWattage_Table,MATCH(M698,'Fixture Identities'!$B$9:$B$997,0),2)="Exit Sign",8760,IF(VLOOKUP(C698,xySpace_Type_Details,8,FALSE)="TRM",INDEX('General Information'!$AF$17:$AG$28,11,MATCH(N698,'General Information'!$AF$16:$AG$16,0)),HLOOKUP(VLOOKUP(C698,xySpace_Type_Details,8,FALSE),'General Information'!$P$15:$AG$28,13,FALSE)))),"")</f>
        <v/>
      </c>
      <c r="U698" s="542" t="str">
        <f>IFERROR(IF(C698="","",IF(INDEX(xyWattage_Table,MATCH(M698,'Fixture Identities'!$B$9:$B$997,0),2)="Exit Sign",1,IF(VLOOKUP(C698,xySpace_Type_Details,8,FALSE)="TRM",INDEX('General Information'!$AF$17:$AG$28,12,MATCH(N698,'General Information'!$AF$16:$AG$16,0)),HLOOKUP(VLOOKUP(C698,xySpace_Type_Details,8,FALSE),'General Information'!$P$15:$AG$28,14,FALSE)))),"")</f>
        <v/>
      </c>
      <c r="V698" s="542" t="str">
        <f>IFERROR(VLOOKUP(INDEX(xySpace_Type_Details,MATCH($C698,'General Information'!$C$40:$C$60,0),12),Lookups!$L$8:$N$12,2,FALSE),"")</f>
        <v/>
      </c>
      <c r="W698" s="542" t="str">
        <f>IFERROR(VLOOKUP(INDEX(xySpace_Type_Details,MATCH($C698,'General Information'!$C$40:$C$60,0),12),Lookups!$L$8:$N$12,3,FALSE),"")</f>
        <v/>
      </c>
      <c r="Y698" s="542" t="str">
        <f>IFERROR(IF(C698="","",IF(INDEX(xyWattage_Table,MATCH(M698,'Fixture Identities'!$B$9:$B$997,0),2)="Exit Sign",0,IF(PRJ_Type="Retrofit",VLOOKUP(I698,xySVG_Factors,2,FALSE),IF(AND(PRJ_Type="New Construction",Inventory!C695="N"),VLOOKUP(VLOOKUP(Building_Type,xyLPD_BuildingArea,5,FALSE),xySVG_Factors_NC,3,FALSE),0)))),"")</f>
        <v/>
      </c>
      <c r="Z698" s="544" t="str">
        <f>IFERROR(IF(C698="","",IF(INDEX(xyWattage_Table,MATCH(M698,'Fixture Identities'!$B$9:$B$997,0),2)="Exit Sign",0,VLOOKUP(S698,xySVG_Factors,2,FALSE))),"")</f>
        <v/>
      </c>
      <c r="AA698" s="545" t="str">
        <f t="shared" si="241"/>
        <v/>
      </c>
      <c r="AB698" s="542" t="str">
        <f t="shared" si="242"/>
        <v/>
      </c>
      <c r="AC698" s="539" t="str">
        <f t="shared" si="243"/>
        <v/>
      </c>
      <c r="AD698" s="546" t="str">
        <f t="shared" si="244"/>
        <v/>
      </c>
      <c r="AE698" s="539" t="str">
        <f t="shared" si="245"/>
        <v/>
      </c>
      <c r="AF698" s="546" t="str">
        <f t="shared" si="246"/>
        <v/>
      </c>
      <c r="AG698" s="539" t="str">
        <f t="shared" si="247"/>
        <v/>
      </c>
      <c r="AH698" s="32">
        <f t="shared" si="249"/>
        <v>0</v>
      </c>
      <c r="AI698" s="32">
        <f t="shared" si="250"/>
        <v>0</v>
      </c>
      <c r="AJ698" s="32">
        <f t="shared" si="251"/>
        <v>0</v>
      </c>
      <c r="AK698" t="str">
        <f t="shared" si="252"/>
        <v/>
      </c>
      <c r="AL698" t="str">
        <f t="shared" si="253"/>
        <v/>
      </c>
      <c r="AM698" t="str">
        <f t="shared" si="254"/>
        <v/>
      </c>
      <c r="AO698" t="str">
        <f>IFERROR(VLOOKUP(M698,'Fixture Identities'!$B$9:$O$1045,14,FALSE),"")</f>
        <v/>
      </c>
      <c r="AP698" t="str">
        <f t="shared" si="248"/>
        <v/>
      </c>
    </row>
    <row r="699" spans="1:42">
      <c r="A699" s="71">
        <f t="shared" si="256"/>
        <v>0</v>
      </c>
      <c r="B699" s="513">
        <f t="shared" si="255"/>
        <v>687</v>
      </c>
      <c r="C699" s="530" t="str">
        <f>IF(Inventory!E696="","",Inventory!E696)</f>
        <v/>
      </c>
      <c r="D699" s="531">
        <f>IF(Inventory!D696="",0,Inventory!D696)</f>
        <v>0</v>
      </c>
      <c r="E699" s="532" t="str">
        <f>IF(Inventory!I696=0,"",Inventory!I696)</f>
        <v/>
      </c>
      <c r="F699" s="533" t="str">
        <f t="shared" si="235"/>
        <v/>
      </c>
      <c r="G699" s="534" t="str">
        <f>IF(Inventory!G696="","",Inventory!G696)</f>
        <v/>
      </c>
      <c r="H699" s="535" t="str">
        <f t="shared" si="236"/>
        <v/>
      </c>
      <c r="I699" s="536" t="str">
        <f>IF(Inventory!J696="","",Inventory!J696)</f>
        <v/>
      </c>
      <c r="J699" s="537" t="str">
        <f>IFERROR(IF(PRJ_Type="New Construction",IF(Inventory!C696="N",INDEX(xyLPD_BuildingArea,MATCH(Building_Type,Lookups!$F$37:$F$75,0),4),INDEX(xyLPD_SpaceBySpace,MATCH(INDEX(xyNCEx,MATCH(I699,yNCExArea,0),2),ySpace_by_Space_Type,0),2)),VLOOKUP(E699,xyWattage_Table,11,FALSE)),"")</f>
        <v/>
      </c>
      <c r="K699" s="538" t="str">
        <f>IFERROR(IF(AND(NC_Type="Building Area Method",Inventory!C696="N"),IF(ISERROR(INDEX('Usage Groups (&gt;120 MWh only)'!$N$8:$N$12,MATCH(C699,'Usage Groups (&gt;120 MWh only)'!$B$8:$B$12,0),1))=TRUE,SqFt/COUNTIFS(Inventory!$C$10:$C$1009,"N",$Q$13:$Q$1012,"&gt;=0"),INDEX('Usage Groups (&gt;120 MWh only)'!$N$8:$N$12,MATCH(C699,'Usage Groups (&gt;120 MWh only)'!$B$8:$B$12,0),1)/COUNTIF($C$13:$C$1012,C699)),IF(AND(NC_Type="Building Area Method",Inventory!C696="Y"),INDEX(xyNCEx,MATCH(I699,yNCExArea,0),3)/COUNTIF($I$13:$I$1012,I699),VLOOKUP(J699,xyWattage_Table,10,FALSE))),"")</f>
        <v/>
      </c>
      <c r="L699" s="539" t="str">
        <f t="shared" si="237"/>
        <v/>
      </c>
      <c r="M699" s="540">
        <f>IF(Inventory!N696="","",Inventory!N696)</f>
        <v>0</v>
      </c>
      <c r="N699" s="533" t="str">
        <f t="shared" si="238"/>
        <v/>
      </c>
      <c r="O699" s="534"/>
      <c r="P699" s="533" t="str">
        <f t="shared" si="239"/>
        <v/>
      </c>
      <c r="Q699" s="534" t="str">
        <f>IF(Inventory!L696="","",Inventory!L696)</f>
        <v/>
      </c>
      <c r="R699" s="535" t="str">
        <f t="shared" si="240"/>
        <v/>
      </c>
      <c r="S699" s="536" t="str">
        <f>IF(Inventory!O696="","",Inventory!O696)</f>
        <v/>
      </c>
      <c r="T699" s="541" t="str">
        <f>IFERROR(IF(C699="","",IF(INDEX(xyWattage_Table,MATCH(M699,'Fixture Identities'!$B$9:$B$997,0),2)="Exit Sign",8760,IF(VLOOKUP(C699,xySpace_Type_Details,8,FALSE)="TRM",INDEX('General Information'!$AF$17:$AG$28,11,MATCH(N699,'General Information'!$AF$16:$AG$16,0)),HLOOKUP(VLOOKUP(C699,xySpace_Type_Details,8,FALSE),'General Information'!$P$15:$AG$28,13,FALSE)))),"")</f>
        <v/>
      </c>
      <c r="U699" s="542" t="str">
        <f>IFERROR(IF(C699="","",IF(INDEX(xyWattage_Table,MATCH(M699,'Fixture Identities'!$B$9:$B$997,0),2)="Exit Sign",1,IF(VLOOKUP(C699,xySpace_Type_Details,8,FALSE)="TRM",INDEX('General Information'!$AF$17:$AG$28,12,MATCH(N699,'General Information'!$AF$16:$AG$16,0)),HLOOKUP(VLOOKUP(C699,xySpace_Type_Details,8,FALSE),'General Information'!$P$15:$AG$28,14,FALSE)))),"")</f>
        <v/>
      </c>
      <c r="V699" s="542" t="str">
        <f>IFERROR(VLOOKUP(INDEX(xySpace_Type_Details,MATCH($C699,'General Information'!$C$40:$C$60,0),12),Lookups!$L$8:$N$12,2,FALSE),"")</f>
        <v/>
      </c>
      <c r="W699" s="542" t="str">
        <f>IFERROR(VLOOKUP(INDEX(xySpace_Type_Details,MATCH($C699,'General Information'!$C$40:$C$60,0),12),Lookups!$L$8:$N$12,3,FALSE),"")</f>
        <v/>
      </c>
      <c r="Y699" s="542" t="str">
        <f>IFERROR(IF(C699="","",IF(INDEX(xyWattage_Table,MATCH(M699,'Fixture Identities'!$B$9:$B$997,0),2)="Exit Sign",0,IF(PRJ_Type="Retrofit",VLOOKUP(I699,xySVG_Factors,2,FALSE),IF(AND(PRJ_Type="New Construction",Inventory!C696="N"),VLOOKUP(VLOOKUP(Building_Type,xyLPD_BuildingArea,5,FALSE),xySVG_Factors_NC,3,FALSE),0)))),"")</f>
        <v/>
      </c>
      <c r="Z699" s="544" t="str">
        <f>IFERROR(IF(C699="","",IF(INDEX(xyWattage_Table,MATCH(M699,'Fixture Identities'!$B$9:$B$997,0),2)="Exit Sign",0,VLOOKUP(S699,xySVG_Factors,2,FALSE))),"")</f>
        <v/>
      </c>
      <c r="AA699" s="545" t="str">
        <f t="shared" si="241"/>
        <v/>
      </c>
      <c r="AB699" s="542" t="str">
        <f t="shared" si="242"/>
        <v/>
      </c>
      <c r="AC699" s="539" t="str">
        <f t="shared" si="243"/>
        <v/>
      </c>
      <c r="AD699" s="546" t="str">
        <f t="shared" si="244"/>
        <v/>
      </c>
      <c r="AE699" s="539" t="str">
        <f t="shared" si="245"/>
        <v/>
      </c>
      <c r="AF699" s="546" t="str">
        <f t="shared" si="246"/>
        <v/>
      </c>
      <c r="AG699" s="539" t="str">
        <f t="shared" si="247"/>
        <v/>
      </c>
      <c r="AH699" s="32">
        <f t="shared" si="249"/>
        <v>0</v>
      </c>
      <c r="AI699" s="32">
        <f t="shared" si="250"/>
        <v>0</v>
      </c>
      <c r="AJ699" s="32">
        <f t="shared" si="251"/>
        <v>0</v>
      </c>
      <c r="AK699" t="str">
        <f t="shared" si="252"/>
        <v/>
      </c>
      <c r="AL699" t="str">
        <f t="shared" si="253"/>
        <v/>
      </c>
      <c r="AM699" t="str">
        <f t="shared" si="254"/>
        <v/>
      </c>
      <c r="AO699" t="str">
        <f>IFERROR(VLOOKUP(M699,'Fixture Identities'!$B$9:$O$1045,14,FALSE),"")</f>
        <v/>
      </c>
      <c r="AP699" t="str">
        <f t="shared" si="248"/>
        <v/>
      </c>
    </row>
    <row r="700" spans="1:42">
      <c r="A700" s="71">
        <f t="shared" si="256"/>
        <v>0</v>
      </c>
      <c r="B700" s="513">
        <f t="shared" si="255"/>
        <v>688</v>
      </c>
      <c r="C700" s="530" t="str">
        <f>IF(Inventory!E697="","",Inventory!E697)</f>
        <v/>
      </c>
      <c r="D700" s="531">
        <f>IF(Inventory!D697="",0,Inventory!D697)</f>
        <v>0</v>
      </c>
      <c r="E700" s="532" t="str">
        <f>IF(Inventory!I697=0,"",Inventory!I697)</f>
        <v/>
      </c>
      <c r="F700" s="533" t="str">
        <f t="shared" si="235"/>
        <v/>
      </c>
      <c r="G700" s="534" t="str">
        <f>IF(Inventory!G697="","",Inventory!G697)</f>
        <v/>
      </c>
      <c r="H700" s="535" t="str">
        <f t="shared" si="236"/>
        <v/>
      </c>
      <c r="I700" s="536" t="str">
        <f>IF(Inventory!J697="","",Inventory!J697)</f>
        <v/>
      </c>
      <c r="J700" s="537" t="str">
        <f>IFERROR(IF(PRJ_Type="New Construction",IF(Inventory!C697="N",INDEX(xyLPD_BuildingArea,MATCH(Building_Type,Lookups!$F$37:$F$75,0),4),INDEX(xyLPD_SpaceBySpace,MATCH(INDEX(xyNCEx,MATCH(I700,yNCExArea,0),2),ySpace_by_Space_Type,0),2)),VLOOKUP(E700,xyWattage_Table,11,FALSE)),"")</f>
        <v/>
      </c>
      <c r="K700" s="538" t="str">
        <f>IFERROR(IF(AND(NC_Type="Building Area Method",Inventory!C697="N"),IF(ISERROR(INDEX('Usage Groups (&gt;120 MWh only)'!$N$8:$N$12,MATCH(C700,'Usage Groups (&gt;120 MWh only)'!$B$8:$B$12,0),1))=TRUE,SqFt/COUNTIFS(Inventory!$C$10:$C$1009,"N",$Q$13:$Q$1012,"&gt;=0"),INDEX('Usage Groups (&gt;120 MWh only)'!$N$8:$N$12,MATCH(C700,'Usage Groups (&gt;120 MWh only)'!$B$8:$B$12,0),1)/COUNTIF($C$13:$C$1012,C700)),IF(AND(NC_Type="Building Area Method",Inventory!C697="Y"),INDEX(xyNCEx,MATCH(I700,yNCExArea,0),3)/COUNTIF($I$13:$I$1012,I700),VLOOKUP(J700,xyWattage_Table,10,FALSE))),"")</f>
        <v/>
      </c>
      <c r="L700" s="539" t="str">
        <f t="shared" si="237"/>
        <v/>
      </c>
      <c r="M700" s="540">
        <f>IF(Inventory!N697="","",Inventory!N697)</f>
        <v>0</v>
      </c>
      <c r="N700" s="533" t="str">
        <f t="shared" si="238"/>
        <v/>
      </c>
      <c r="O700" s="534"/>
      <c r="P700" s="533" t="str">
        <f t="shared" si="239"/>
        <v/>
      </c>
      <c r="Q700" s="534" t="str">
        <f>IF(Inventory!L697="","",Inventory!L697)</f>
        <v/>
      </c>
      <c r="R700" s="535" t="str">
        <f t="shared" si="240"/>
        <v/>
      </c>
      <c r="S700" s="536" t="str">
        <f>IF(Inventory!O697="","",Inventory!O697)</f>
        <v/>
      </c>
      <c r="T700" s="541" t="str">
        <f>IFERROR(IF(C700="","",IF(INDEX(xyWattage_Table,MATCH(M700,'Fixture Identities'!$B$9:$B$997,0),2)="Exit Sign",8760,IF(VLOOKUP(C700,xySpace_Type_Details,8,FALSE)="TRM",INDEX('General Information'!$AF$17:$AG$28,11,MATCH(N700,'General Information'!$AF$16:$AG$16,0)),HLOOKUP(VLOOKUP(C700,xySpace_Type_Details,8,FALSE),'General Information'!$P$15:$AG$28,13,FALSE)))),"")</f>
        <v/>
      </c>
      <c r="U700" s="542" t="str">
        <f>IFERROR(IF(C700="","",IF(INDEX(xyWattage_Table,MATCH(M700,'Fixture Identities'!$B$9:$B$997,0),2)="Exit Sign",1,IF(VLOOKUP(C700,xySpace_Type_Details,8,FALSE)="TRM",INDEX('General Information'!$AF$17:$AG$28,12,MATCH(N700,'General Information'!$AF$16:$AG$16,0)),HLOOKUP(VLOOKUP(C700,xySpace_Type_Details,8,FALSE),'General Information'!$P$15:$AG$28,14,FALSE)))),"")</f>
        <v/>
      </c>
      <c r="V700" s="542" t="str">
        <f>IFERROR(VLOOKUP(INDEX(xySpace_Type_Details,MATCH($C700,'General Information'!$C$40:$C$60,0),12),Lookups!$L$8:$N$12,2,FALSE),"")</f>
        <v/>
      </c>
      <c r="W700" s="542" t="str">
        <f>IFERROR(VLOOKUP(INDEX(xySpace_Type_Details,MATCH($C700,'General Information'!$C$40:$C$60,0),12),Lookups!$L$8:$N$12,3,FALSE),"")</f>
        <v/>
      </c>
      <c r="Y700" s="542" t="str">
        <f>IFERROR(IF(C700="","",IF(INDEX(xyWattage_Table,MATCH(M700,'Fixture Identities'!$B$9:$B$997,0),2)="Exit Sign",0,IF(PRJ_Type="Retrofit",VLOOKUP(I700,xySVG_Factors,2,FALSE),IF(AND(PRJ_Type="New Construction",Inventory!C697="N"),VLOOKUP(VLOOKUP(Building_Type,xyLPD_BuildingArea,5,FALSE),xySVG_Factors_NC,3,FALSE),0)))),"")</f>
        <v/>
      </c>
      <c r="Z700" s="544" t="str">
        <f>IFERROR(IF(C700="","",IF(INDEX(xyWattage_Table,MATCH(M700,'Fixture Identities'!$B$9:$B$997,0),2)="Exit Sign",0,VLOOKUP(S700,xySVG_Factors,2,FALSE))),"")</f>
        <v/>
      </c>
      <c r="AA700" s="545" t="str">
        <f t="shared" si="241"/>
        <v/>
      </c>
      <c r="AB700" s="542" t="str">
        <f t="shared" si="242"/>
        <v/>
      </c>
      <c r="AC700" s="539" t="str">
        <f t="shared" si="243"/>
        <v/>
      </c>
      <c r="AD700" s="546" t="str">
        <f t="shared" si="244"/>
        <v/>
      </c>
      <c r="AE700" s="539" t="str">
        <f t="shared" si="245"/>
        <v/>
      </c>
      <c r="AF700" s="546" t="str">
        <f t="shared" si="246"/>
        <v/>
      </c>
      <c r="AG700" s="539" t="str">
        <f t="shared" si="247"/>
        <v/>
      </c>
      <c r="AH700" s="32">
        <f t="shared" si="249"/>
        <v>0</v>
      </c>
      <c r="AI700" s="32">
        <f t="shared" si="250"/>
        <v>0</v>
      </c>
      <c r="AJ700" s="32">
        <f t="shared" si="251"/>
        <v>0</v>
      </c>
      <c r="AK700" t="str">
        <f t="shared" si="252"/>
        <v/>
      </c>
      <c r="AL700" t="str">
        <f t="shared" si="253"/>
        <v/>
      </c>
      <c r="AM700" t="str">
        <f t="shared" si="254"/>
        <v/>
      </c>
      <c r="AO700" t="str">
        <f>IFERROR(VLOOKUP(M700,'Fixture Identities'!$B$9:$O$1045,14,FALSE),"")</f>
        <v/>
      </c>
      <c r="AP700" t="str">
        <f t="shared" si="248"/>
        <v/>
      </c>
    </row>
    <row r="701" spans="1:42">
      <c r="A701" s="71">
        <f t="shared" si="256"/>
        <v>0</v>
      </c>
      <c r="B701" s="513">
        <f t="shared" si="255"/>
        <v>689</v>
      </c>
      <c r="C701" s="530" t="str">
        <f>IF(Inventory!E698="","",Inventory!E698)</f>
        <v/>
      </c>
      <c r="D701" s="531">
        <f>IF(Inventory!D698="",0,Inventory!D698)</f>
        <v>0</v>
      </c>
      <c r="E701" s="532" t="str">
        <f>IF(Inventory!I698=0,"",Inventory!I698)</f>
        <v/>
      </c>
      <c r="F701" s="533" t="str">
        <f t="shared" si="235"/>
        <v/>
      </c>
      <c r="G701" s="534" t="str">
        <f>IF(Inventory!G698="","",Inventory!G698)</f>
        <v/>
      </c>
      <c r="H701" s="535" t="str">
        <f t="shared" si="236"/>
        <v/>
      </c>
      <c r="I701" s="536" t="str">
        <f>IF(Inventory!J698="","",Inventory!J698)</f>
        <v/>
      </c>
      <c r="J701" s="537" t="str">
        <f>IFERROR(IF(PRJ_Type="New Construction",IF(Inventory!C698="N",INDEX(xyLPD_BuildingArea,MATCH(Building_Type,Lookups!$F$37:$F$75,0),4),INDEX(xyLPD_SpaceBySpace,MATCH(INDEX(xyNCEx,MATCH(I701,yNCExArea,0),2),ySpace_by_Space_Type,0),2)),VLOOKUP(E701,xyWattage_Table,11,FALSE)),"")</f>
        <v/>
      </c>
      <c r="K701" s="538" t="str">
        <f>IFERROR(IF(AND(NC_Type="Building Area Method",Inventory!C698="N"),IF(ISERROR(INDEX('Usage Groups (&gt;120 MWh only)'!$N$8:$N$12,MATCH(C701,'Usage Groups (&gt;120 MWh only)'!$B$8:$B$12,0),1))=TRUE,SqFt/COUNTIFS(Inventory!$C$10:$C$1009,"N",$Q$13:$Q$1012,"&gt;=0"),INDEX('Usage Groups (&gt;120 MWh only)'!$N$8:$N$12,MATCH(C701,'Usage Groups (&gt;120 MWh only)'!$B$8:$B$12,0),1)/COUNTIF($C$13:$C$1012,C701)),IF(AND(NC_Type="Building Area Method",Inventory!C698="Y"),INDEX(xyNCEx,MATCH(I701,yNCExArea,0),3)/COUNTIF($I$13:$I$1012,I701),VLOOKUP(J701,xyWattage_Table,10,FALSE))),"")</f>
        <v/>
      </c>
      <c r="L701" s="539" t="str">
        <f t="shared" si="237"/>
        <v/>
      </c>
      <c r="M701" s="540">
        <f>IF(Inventory!N698="","",Inventory!N698)</f>
        <v>0</v>
      </c>
      <c r="N701" s="533" t="str">
        <f t="shared" si="238"/>
        <v/>
      </c>
      <c r="O701" s="534"/>
      <c r="P701" s="533" t="str">
        <f t="shared" si="239"/>
        <v/>
      </c>
      <c r="Q701" s="534" t="str">
        <f>IF(Inventory!L698="","",Inventory!L698)</f>
        <v/>
      </c>
      <c r="R701" s="535" t="str">
        <f t="shared" si="240"/>
        <v/>
      </c>
      <c r="S701" s="536" t="str">
        <f>IF(Inventory!O698="","",Inventory!O698)</f>
        <v/>
      </c>
      <c r="T701" s="541" t="str">
        <f>IFERROR(IF(C701="","",IF(INDEX(xyWattage_Table,MATCH(M701,'Fixture Identities'!$B$9:$B$997,0),2)="Exit Sign",8760,IF(VLOOKUP(C701,xySpace_Type_Details,8,FALSE)="TRM",INDEX('General Information'!$AF$17:$AG$28,11,MATCH(N701,'General Information'!$AF$16:$AG$16,0)),HLOOKUP(VLOOKUP(C701,xySpace_Type_Details,8,FALSE),'General Information'!$P$15:$AG$28,13,FALSE)))),"")</f>
        <v/>
      </c>
      <c r="U701" s="542" t="str">
        <f>IFERROR(IF(C701="","",IF(INDEX(xyWattage_Table,MATCH(M701,'Fixture Identities'!$B$9:$B$997,0),2)="Exit Sign",1,IF(VLOOKUP(C701,xySpace_Type_Details,8,FALSE)="TRM",INDEX('General Information'!$AF$17:$AG$28,12,MATCH(N701,'General Information'!$AF$16:$AG$16,0)),HLOOKUP(VLOOKUP(C701,xySpace_Type_Details,8,FALSE),'General Information'!$P$15:$AG$28,14,FALSE)))),"")</f>
        <v/>
      </c>
      <c r="V701" s="542" t="str">
        <f>IFERROR(VLOOKUP(INDEX(xySpace_Type_Details,MATCH($C701,'General Information'!$C$40:$C$60,0),12),Lookups!$L$8:$N$12,2,FALSE),"")</f>
        <v/>
      </c>
      <c r="W701" s="542" t="str">
        <f>IFERROR(VLOOKUP(INDEX(xySpace_Type_Details,MATCH($C701,'General Information'!$C$40:$C$60,0),12),Lookups!$L$8:$N$12,3,FALSE),"")</f>
        <v/>
      </c>
      <c r="Y701" s="542" t="str">
        <f>IFERROR(IF(C701="","",IF(INDEX(xyWattage_Table,MATCH(M701,'Fixture Identities'!$B$9:$B$997,0),2)="Exit Sign",0,IF(PRJ_Type="Retrofit",VLOOKUP(I701,xySVG_Factors,2,FALSE),IF(AND(PRJ_Type="New Construction",Inventory!C698="N"),VLOOKUP(VLOOKUP(Building_Type,xyLPD_BuildingArea,5,FALSE),xySVG_Factors_NC,3,FALSE),0)))),"")</f>
        <v/>
      </c>
      <c r="Z701" s="544" t="str">
        <f>IFERROR(IF(C701="","",IF(INDEX(xyWattage_Table,MATCH(M701,'Fixture Identities'!$B$9:$B$997,0),2)="Exit Sign",0,VLOOKUP(S701,xySVG_Factors,2,FALSE))),"")</f>
        <v/>
      </c>
      <c r="AA701" s="545" t="str">
        <f t="shared" si="241"/>
        <v/>
      </c>
      <c r="AB701" s="542" t="str">
        <f t="shared" si="242"/>
        <v/>
      </c>
      <c r="AC701" s="539" t="str">
        <f t="shared" si="243"/>
        <v/>
      </c>
      <c r="AD701" s="546" t="str">
        <f t="shared" si="244"/>
        <v/>
      </c>
      <c r="AE701" s="539" t="str">
        <f t="shared" si="245"/>
        <v/>
      </c>
      <c r="AF701" s="546" t="str">
        <f t="shared" si="246"/>
        <v/>
      </c>
      <c r="AG701" s="539" t="str">
        <f t="shared" si="247"/>
        <v/>
      </c>
      <c r="AH701" s="32">
        <f t="shared" si="249"/>
        <v>0</v>
      </c>
      <c r="AI701" s="32">
        <f t="shared" si="250"/>
        <v>0</v>
      </c>
      <c r="AJ701" s="32">
        <f t="shared" si="251"/>
        <v>0</v>
      </c>
      <c r="AK701" t="str">
        <f t="shared" si="252"/>
        <v/>
      </c>
      <c r="AL701" t="str">
        <f t="shared" si="253"/>
        <v/>
      </c>
      <c r="AM701" t="str">
        <f t="shared" si="254"/>
        <v/>
      </c>
      <c r="AO701" t="str">
        <f>IFERROR(VLOOKUP(M701,'Fixture Identities'!$B$9:$O$1045,14,FALSE),"")</f>
        <v/>
      </c>
      <c r="AP701" t="str">
        <f t="shared" si="248"/>
        <v/>
      </c>
    </row>
    <row r="702" spans="1:42">
      <c r="A702" s="71">
        <f t="shared" si="256"/>
        <v>0</v>
      </c>
      <c r="B702" s="513">
        <f t="shared" si="255"/>
        <v>690</v>
      </c>
      <c r="C702" s="530" t="str">
        <f>IF(Inventory!E699="","",Inventory!E699)</f>
        <v/>
      </c>
      <c r="D702" s="531">
        <f>IF(Inventory!D699="",0,Inventory!D699)</f>
        <v>0</v>
      </c>
      <c r="E702" s="532" t="str">
        <f>IF(Inventory!I699=0,"",Inventory!I699)</f>
        <v/>
      </c>
      <c r="F702" s="533" t="str">
        <f t="shared" si="235"/>
        <v/>
      </c>
      <c r="G702" s="534" t="str">
        <f>IF(Inventory!G699="","",Inventory!G699)</f>
        <v/>
      </c>
      <c r="H702" s="535" t="str">
        <f t="shared" si="236"/>
        <v/>
      </c>
      <c r="I702" s="536" t="str">
        <f>IF(Inventory!J699="","",Inventory!J699)</f>
        <v/>
      </c>
      <c r="J702" s="537" t="str">
        <f>IFERROR(IF(PRJ_Type="New Construction",IF(Inventory!C699="N",INDEX(xyLPD_BuildingArea,MATCH(Building_Type,Lookups!$F$37:$F$75,0),4),INDEX(xyLPD_SpaceBySpace,MATCH(INDEX(xyNCEx,MATCH(I702,yNCExArea,0),2),ySpace_by_Space_Type,0),2)),VLOOKUP(E702,xyWattage_Table,11,FALSE)),"")</f>
        <v/>
      </c>
      <c r="K702" s="538" t="str">
        <f>IFERROR(IF(AND(NC_Type="Building Area Method",Inventory!C699="N"),IF(ISERROR(INDEX('Usage Groups (&gt;120 MWh only)'!$N$8:$N$12,MATCH(C702,'Usage Groups (&gt;120 MWh only)'!$B$8:$B$12,0),1))=TRUE,SqFt/COUNTIFS(Inventory!$C$10:$C$1009,"N",$Q$13:$Q$1012,"&gt;=0"),INDEX('Usage Groups (&gt;120 MWh only)'!$N$8:$N$12,MATCH(C702,'Usage Groups (&gt;120 MWh only)'!$B$8:$B$12,0),1)/COUNTIF($C$13:$C$1012,C702)),IF(AND(NC_Type="Building Area Method",Inventory!C699="Y"),INDEX(xyNCEx,MATCH(I702,yNCExArea,0),3)/COUNTIF($I$13:$I$1012,I702),VLOOKUP(J702,xyWattage_Table,10,FALSE))),"")</f>
        <v/>
      </c>
      <c r="L702" s="539" t="str">
        <f t="shared" si="237"/>
        <v/>
      </c>
      <c r="M702" s="540">
        <f>IF(Inventory!N699="","",Inventory!N699)</f>
        <v>0</v>
      </c>
      <c r="N702" s="533" t="str">
        <f t="shared" si="238"/>
        <v/>
      </c>
      <c r="O702" s="534"/>
      <c r="P702" s="533" t="str">
        <f t="shared" si="239"/>
        <v/>
      </c>
      <c r="Q702" s="534" t="str">
        <f>IF(Inventory!L699="","",Inventory!L699)</f>
        <v/>
      </c>
      <c r="R702" s="535" t="str">
        <f t="shared" si="240"/>
        <v/>
      </c>
      <c r="S702" s="536" t="str">
        <f>IF(Inventory!O699="","",Inventory!O699)</f>
        <v/>
      </c>
      <c r="T702" s="541" t="str">
        <f>IFERROR(IF(C702="","",IF(INDEX(xyWattage_Table,MATCH(M702,'Fixture Identities'!$B$9:$B$997,0),2)="Exit Sign",8760,IF(VLOOKUP(C702,xySpace_Type_Details,8,FALSE)="TRM",INDEX('General Information'!$AF$17:$AG$28,11,MATCH(N702,'General Information'!$AF$16:$AG$16,0)),HLOOKUP(VLOOKUP(C702,xySpace_Type_Details,8,FALSE),'General Information'!$P$15:$AG$28,13,FALSE)))),"")</f>
        <v/>
      </c>
      <c r="U702" s="542" t="str">
        <f>IFERROR(IF(C702="","",IF(INDEX(xyWattage_Table,MATCH(M702,'Fixture Identities'!$B$9:$B$997,0),2)="Exit Sign",1,IF(VLOOKUP(C702,xySpace_Type_Details,8,FALSE)="TRM",INDEX('General Information'!$AF$17:$AG$28,12,MATCH(N702,'General Information'!$AF$16:$AG$16,0)),HLOOKUP(VLOOKUP(C702,xySpace_Type_Details,8,FALSE),'General Information'!$P$15:$AG$28,14,FALSE)))),"")</f>
        <v/>
      </c>
      <c r="V702" s="542" t="str">
        <f>IFERROR(VLOOKUP(INDEX(xySpace_Type_Details,MATCH($C702,'General Information'!$C$40:$C$60,0),12),Lookups!$L$8:$N$12,2,FALSE),"")</f>
        <v/>
      </c>
      <c r="W702" s="542" t="str">
        <f>IFERROR(VLOOKUP(INDEX(xySpace_Type_Details,MATCH($C702,'General Information'!$C$40:$C$60,0),12),Lookups!$L$8:$N$12,3,FALSE),"")</f>
        <v/>
      </c>
      <c r="Y702" s="542" t="str">
        <f>IFERROR(IF(C702="","",IF(INDEX(xyWattage_Table,MATCH(M702,'Fixture Identities'!$B$9:$B$997,0),2)="Exit Sign",0,IF(PRJ_Type="Retrofit",VLOOKUP(I702,xySVG_Factors,2,FALSE),IF(AND(PRJ_Type="New Construction",Inventory!C699="N"),VLOOKUP(VLOOKUP(Building_Type,xyLPD_BuildingArea,5,FALSE),xySVG_Factors_NC,3,FALSE),0)))),"")</f>
        <v/>
      </c>
      <c r="Z702" s="544" t="str">
        <f>IFERROR(IF(C702="","",IF(INDEX(xyWattage_Table,MATCH(M702,'Fixture Identities'!$B$9:$B$997,0),2)="Exit Sign",0,VLOOKUP(S702,xySVG_Factors,2,FALSE))),"")</f>
        <v/>
      </c>
      <c r="AA702" s="545" t="str">
        <f t="shared" si="241"/>
        <v/>
      </c>
      <c r="AB702" s="542" t="str">
        <f t="shared" si="242"/>
        <v/>
      </c>
      <c r="AC702" s="539" t="str">
        <f t="shared" si="243"/>
        <v/>
      </c>
      <c r="AD702" s="546" t="str">
        <f t="shared" si="244"/>
        <v/>
      </c>
      <c r="AE702" s="539" t="str">
        <f t="shared" si="245"/>
        <v/>
      </c>
      <c r="AF702" s="546" t="str">
        <f t="shared" si="246"/>
        <v/>
      </c>
      <c r="AG702" s="539" t="str">
        <f t="shared" si="247"/>
        <v/>
      </c>
      <c r="AH702" s="32">
        <f t="shared" si="249"/>
        <v>0</v>
      </c>
      <c r="AI702" s="32">
        <f t="shared" si="250"/>
        <v>0</v>
      </c>
      <c r="AJ702" s="32">
        <f t="shared" si="251"/>
        <v>0</v>
      </c>
      <c r="AK702" t="str">
        <f t="shared" si="252"/>
        <v/>
      </c>
      <c r="AL702" t="str">
        <f t="shared" si="253"/>
        <v/>
      </c>
      <c r="AM702" t="str">
        <f t="shared" si="254"/>
        <v/>
      </c>
      <c r="AO702" t="str">
        <f>IFERROR(VLOOKUP(M702,'Fixture Identities'!$B$9:$O$1045,14,FALSE),"")</f>
        <v/>
      </c>
      <c r="AP702" t="str">
        <f t="shared" si="248"/>
        <v/>
      </c>
    </row>
    <row r="703" spans="1:42">
      <c r="A703" s="71">
        <f t="shared" si="256"/>
        <v>0</v>
      </c>
      <c r="B703" s="513">
        <f t="shared" si="255"/>
        <v>691</v>
      </c>
      <c r="C703" s="530" t="str">
        <f>IF(Inventory!E700="","",Inventory!E700)</f>
        <v/>
      </c>
      <c r="D703" s="531">
        <f>IF(Inventory!D700="",0,Inventory!D700)</f>
        <v>0</v>
      </c>
      <c r="E703" s="532" t="str">
        <f>IF(Inventory!I700=0,"",Inventory!I700)</f>
        <v/>
      </c>
      <c r="F703" s="533" t="str">
        <f t="shared" si="235"/>
        <v/>
      </c>
      <c r="G703" s="534" t="str">
        <f>IF(Inventory!G700="","",Inventory!G700)</f>
        <v/>
      </c>
      <c r="H703" s="535" t="str">
        <f t="shared" si="236"/>
        <v/>
      </c>
      <c r="I703" s="536" t="str">
        <f>IF(Inventory!J700="","",Inventory!J700)</f>
        <v/>
      </c>
      <c r="J703" s="537" t="str">
        <f>IFERROR(IF(PRJ_Type="New Construction",IF(Inventory!C700="N",INDEX(xyLPD_BuildingArea,MATCH(Building_Type,Lookups!$F$37:$F$75,0),4),INDEX(xyLPD_SpaceBySpace,MATCH(INDEX(xyNCEx,MATCH(I703,yNCExArea,0),2),ySpace_by_Space_Type,0),2)),VLOOKUP(E703,xyWattage_Table,11,FALSE)),"")</f>
        <v/>
      </c>
      <c r="K703" s="538" t="str">
        <f>IFERROR(IF(AND(NC_Type="Building Area Method",Inventory!C700="N"),IF(ISERROR(INDEX('Usage Groups (&gt;120 MWh only)'!$N$8:$N$12,MATCH(C703,'Usage Groups (&gt;120 MWh only)'!$B$8:$B$12,0),1))=TRUE,SqFt/COUNTIFS(Inventory!$C$10:$C$1009,"N",$Q$13:$Q$1012,"&gt;=0"),INDEX('Usage Groups (&gt;120 MWh only)'!$N$8:$N$12,MATCH(C703,'Usage Groups (&gt;120 MWh only)'!$B$8:$B$12,0),1)/COUNTIF($C$13:$C$1012,C703)),IF(AND(NC_Type="Building Area Method",Inventory!C700="Y"),INDEX(xyNCEx,MATCH(I703,yNCExArea,0),3)/COUNTIF($I$13:$I$1012,I703),VLOOKUP(J703,xyWattage_Table,10,FALSE))),"")</f>
        <v/>
      </c>
      <c r="L703" s="539" t="str">
        <f t="shared" si="237"/>
        <v/>
      </c>
      <c r="M703" s="540">
        <f>IF(Inventory!N700="","",Inventory!N700)</f>
        <v>0</v>
      </c>
      <c r="N703" s="533" t="str">
        <f t="shared" si="238"/>
        <v/>
      </c>
      <c r="O703" s="534"/>
      <c r="P703" s="533" t="str">
        <f t="shared" si="239"/>
        <v/>
      </c>
      <c r="Q703" s="534" t="str">
        <f>IF(Inventory!L700="","",Inventory!L700)</f>
        <v/>
      </c>
      <c r="R703" s="535" t="str">
        <f t="shared" si="240"/>
        <v/>
      </c>
      <c r="S703" s="536" t="str">
        <f>IF(Inventory!O700="","",Inventory!O700)</f>
        <v/>
      </c>
      <c r="T703" s="541" t="str">
        <f>IFERROR(IF(C703="","",IF(INDEX(xyWattage_Table,MATCH(M703,'Fixture Identities'!$B$9:$B$997,0),2)="Exit Sign",8760,IF(VLOOKUP(C703,xySpace_Type_Details,8,FALSE)="TRM",INDEX('General Information'!$AF$17:$AG$28,11,MATCH(N703,'General Information'!$AF$16:$AG$16,0)),HLOOKUP(VLOOKUP(C703,xySpace_Type_Details,8,FALSE),'General Information'!$P$15:$AG$28,13,FALSE)))),"")</f>
        <v/>
      </c>
      <c r="U703" s="542" t="str">
        <f>IFERROR(IF(C703="","",IF(INDEX(xyWattage_Table,MATCH(M703,'Fixture Identities'!$B$9:$B$997,0),2)="Exit Sign",1,IF(VLOOKUP(C703,xySpace_Type_Details,8,FALSE)="TRM",INDEX('General Information'!$AF$17:$AG$28,12,MATCH(N703,'General Information'!$AF$16:$AG$16,0)),HLOOKUP(VLOOKUP(C703,xySpace_Type_Details,8,FALSE),'General Information'!$P$15:$AG$28,14,FALSE)))),"")</f>
        <v/>
      </c>
      <c r="V703" s="542" t="str">
        <f>IFERROR(VLOOKUP(INDEX(xySpace_Type_Details,MATCH($C703,'General Information'!$C$40:$C$60,0),12),Lookups!$L$8:$N$12,2,FALSE),"")</f>
        <v/>
      </c>
      <c r="W703" s="542" t="str">
        <f>IFERROR(VLOOKUP(INDEX(xySpace_Type_Details,MATCH($C703,'General Information'!$C$40:$C$60,0),12),Lookups!$L$8:$N$12,3,FALSE),"")</f>
        <v/>
      </c>
      <c r="Y703" s="542" t="str">
        <f>IFERROR(IF(C703="","",IF(INDEX(xyWattage_Table,MATCH(M703,'Fixture Identities'!$B$9:$B$997,0),2)="Exit Sign",0,IF(PRJ_Type="Retrofit",VLOOKUP(I703,xySVG_Factors,2,FALSE),IF(AND(PRJ_Type="New Construction",Inventory!C700="N"),VLOOKUP(VLOOKUP(Building_Type,xyLPD_BuildingArea,5,FALSE),xySVG_Factors_NC,3,FALSE),0)))),"")</f>
        <v/>
      </c>
      <c r="Z703" s="544" t="str">
        <f>IFERROR(IF(C703="","",IF(INDEX(xyWattage_Table,MATCH(M703,'Fixture Identities'!$B$9:$B$997,0),2)="Exit Sign",0,VLOOKUP(S703,xySVG_Factors,2,FALSE))),"")</f>
        <v/>
      </c>
      <c r="AA703" s="545" t="str">
        <f t="shared" si="241"/>
        <v/>
      </c>
      <c r="AB703" s="542" t="str">
        <f t="shared" si="242"/>
        <v/>
      </c>
      <c r="AC703" s="539" t="str">
        <f t="shared" si="243"/>
        <v/>
      </c>
      <c r="AD703" s="546" t="str">
        <f t="shared" si="244"/>
        <v/>
      </c>
      <c r="AE703" s="539" t="str">
        <f t="shared" si="245"/>
        <v/>
      </c>
      <c r="AF703" s="546" t="str">
        <f t="shared" si="246"/>
        <v/>
      </c>
      <c r="AG703" s="539" t="str">
        <f t="shared" si="247"/>
        <v/>
      </c>
      <c r="AH703" s="32">
        <f t="shared" si="249"/>
        <v>0</v>
      </c>
      <c r="AI703" s="32">
        <f t="shared" si="250"/>
        <v>0</v>
      </c>
      <c r="AJ703" s="32">
        <f t="shared" si="251"/>
        <v>0</v>
      </c>
      <c r="AK703" t="str">
        <f t="shared" si="252"/>
        <v/>
      </c>
      <c r="AL703" t="str">
        <f t="shared" si="253"/>
        <v/>
      </c>
      <c r="AM703" t="str">
        <f t="shared" si="254"/>
        <v/>
      </c>
      <c r="AO703" t="str">
        <f>IFERROR(VLOOKUP(M703,'Fixture Identities'!$B$9:$O$1045,14,FALSE),"")</f>
        <v/>
      </c>
      <c r="AP703" t="str">
        <f t="shared" si="248"/>
        <v/>
      </c>
    </row>
    <row r="704" spans="1:42">
      <c r="A704" s="71">
        <f t="shared" si="256"/>
        <v>0</v>
      </c>
      <c r="B704" s="513">
        <f t="shared" si="255"/>
        <v>692</v>
      </c>
      <c r="C704" s="530" t="str">
        <f>IF(Inventory!E701="","",Inventory!E701)</f>
        <v/>
      </c>
      <c r="D704" s="531">
        <f>IF(Inventory!D701="",0,Inventory!D701)</f>
        <v>0</v>
      </c>
      <c r="E704" s="532" t="str">
        <f>IF(Inventory!I701=0,"",Inventory!I701)</f>
        <v/>
      </c>
      <c r="F704" s="533" t="str">
        <f t="shared" si="235"/>
        <v/>
      </c>
      <c r="G704" s="534" t="str">
        <f>IF(Inventory!G701="","",Inventory!G701)</f>
        <v/>
      </c>
      <c r="H704" s="535" t="str">
        <f t="shared" si="236"/>
        <v/>
      </c>
      <c r="I704" s="536" t="str">
        <f>IF(Inventory!J701="","",Inventory!J701)</f>
        <v/>
      </c>
      <c r="J704" s="537" t="str">
        <f>IFERROR(IF(PRJ_Type="New Construction",IF(Inventory!C701="N",INDEX(xyLPD_BuildingArea,MATCH(Building_Type,Lookups!$F$37:$F$75,0),4),INDEX(xyLPD_SpaceBySpace,MATCH(INDEX(xyNCEx,MATCH(I704,yNCExArea,0),2),ySpace_by_Space_Type,0),2)),VLOOKUP(E704,xyWattage_Table,11,FALSE)),"")</f>
        <v/>
      </c>
      <c r="K704" s="538" t="str">
        <f>IFERROR(IF(AND(NC_Type="Building Area Method",Inventory!C701="N"),IF(ISERROR(INDEX('Usage Groups (&gt;120 MWh only)'!$N$8:$N$12,MATCH(C704,'Usage Groups (&gt;120 MWh only)'!$B$8:$B$12,0),1))=TRUE,SqFt/COUNTIFS(Inventory!$C$10:$C$1009,"N",$Q$13:$Q$1012,"&gt;=0"),INDEX('Usage Groups (&gt;120 MWh only)'!$N$8:$N$12,MATCH(C704,'Usage Groups (&gt;120 MWh only)'!$B$8:$B$12,0),1)/COUNTIF($C$13:$C$1012,C704)),IF(AND(NC_Type="Building Area Method",Inventory!C701="Y"),INDEX(xyNCEx,MATCH(I704,yNCExArea,0),3)/COUNTIF($I$13:$I$1012,I704),VLOOKUP(J704,xyWattage_Table,10,FALSE))),"")</f>
        <v/>
      </c>
      <c r="L704" s="539" t="str">
        <f t="shared" si="237"/>
        <v/>
      </c>
      <c r="M704" s="540">
        <f>IF(Inventory!N701="","",Inventory!N701)</f>
        <v>0</v>
      </c>
      <c r="N704" s="533" t="str">
        <f t="shared" si="238"/>
        <v/>
      </c>
      <c r="O704" s="534"/>
      <c r="P704" s="533" t="str">
        <f t="shared" si="239"/>
        <v/>
      </c>
      <c r="Q704" s="534" t="str">
        <f>IF(Inventory!L701="","",Inventory!L701)</f>
        <v/>
      </c>
      <c r="R704" s="535" t="str">
        <f t="shared" si="240"/>
        <v/>
      </c>
      <c r="S704" s="536" t="str">
        <f>IF(Inventory!O701="","",Inventory!O701)</f>
        <v/>
      </c>
      <c r="T704" s="541" t="str">
        <f>IFERROR(IF(C704="","",IF(INDEX(xyWattage_Table,MATCH(M704,'Fixture Identities'!$B$9:$B$997,0),2)="Exit Sign",8760,IF(VLOOKUP(C704,xySpace_Type_Details,8,FALSE)="TRM",INDEX('General Information'!$AF$17:$AG$28,11,MATCH(N704,'General Information'!$AF$16:$AG$16,0)),HLOOKUP(VLOOKUP(C704,xySpace_Type_Details,8,FALSE),'General Information'!$P$15:$AG$28,13,FALSE)))),"")</f>
        <v/>
      </c>
      <c r="U704" s="542" t="str">
        <f>IFERROR(IF(C704="","",IF(INDEX(xyWattage_Table,MATCH(M704,'Fixture Identities'!$B$9:$B$997,0),2)="Exit Sign",1,IF(VLOOKUP(C704,xySpace_Type_Details,8,FALSE)="TRM",INDEX('General Information'!$AF$17:$AG$28,12,MATCH(N704,'General Information'!$AF$16:$AG$16,0)),HLOOKUP(VLOOKUP(C704,xySpace_Type_Details,8,FALSE),'General Information'!$P$15:$AG$28,14,FALSE)))),"")</f>
        <v/>
      </c>
      <c r="V704" s="542" t="str">
        <f>IFERROR(VLOOKUP(INDEX(xySpace_Type_Details,MATCH($C704,'General Information'!$C$40:$C$60,0),12),Lookups!$L$8:$N$12,2,FALSE),"")</f>
        <v/>
      </c>
      <c r="W704" s="542" t="str">
        <f>IFERROR(VLOOKUP(INDEX(xySpace_Type_Details,MATCH($C704,'General Information'!$C$40:$C$60,0),12),Lookups!$L$8:$N$12,3,FALSE),"")</f>
        <v/>
      </c>
      <c r="Y704" s="542" t="str">
        <f>IFERROR(IF(C704="","",IF(INDEX(xyWattage_Table,MATCH(M704,'Fixture Identities'!$B$9:$B$997,0),2)="Exit Sign",0,IF(PRJ_Type="Retrofit",VLOOKUP(I704,xySVG_Factors,2,FALSE),IF(AND(PRJ_Type="New Construction",Inventory!C701="N"),VLOOKUP(VLOOKUP(Building_Type,xyLPD_BuildingArea,5,FALSE),xySVG_Factors_NC,3,FALSE),0)))),"")</f>
        <v/>
      </c>
      <c r="Z704" s="544" t="str">
        <f>IFERROR(IF(C704="","",IF(INDEX(xyWattage_Table,MATCH(M704,'Fixture Identities'!$B$9:$B$997,0),2)="Exit Sign",0,VLOOKUP(S704,xySVG_Factors,2,FALSE))),"")</f>
        <v/>
      </c>
      <c r="AA704" s="545" t="str">
        <f t="shared" si="241"/>
        <v/>
      </c>
      <c r="AB704" s="542" t="str">
        <f t="shared" si="242"/>
        <v/>
      </c>
      <c r="AC704" s="539" t="str">
        <f t="shared" si="243"/>
        <v/>
      </c>
      <c r="AD704" s="546" t="str">
        <f t="shared" si="244"/>
        <v/>
      </c>
      <c r="AE704" s="539" t="str">
        <f t="shared" si="245"/>
        <v/>
      </c>
      <c r="AF704" s="546" t="str">
        <f t="shared" si="246"/>
        <v/>
      </c>
      <c r="AG704" s="539" t="str">
        <f t="shared" si="247"/>
        <v/>
      </c>
      <c r="AH704" s="32">
        <f t="shared" si="249"/>
        <v>0</v>
      </c>
      <c r="AI704" s="32">
        <f t="shared" si="250"/>
        <v>0</v>
      </c>
      <c r="AJ704" s="32">
        <f t="shared" si="251"/>
        <v>0</v>
      </c>
      <c r="AK704" t="str">
        <f t="shared" si="252"/>
        <v/>
      </c>
      <c r="AL704" t="str">
        <f t="shared" si="253"/>
        <v/>
      </c>
      <c r="AM704" t="str">
        <f t="shared" si="254"/>
        <v/>
      </c>
      <c r="AO704" t="str">
        <f>IFERROR(VLOOKUP(M704,'Fixture Identities'!$B$9:$O$1045,14,FALSE),"")</f>
        <v/>
      </c>
      <c r="AP704" t="str">
        <f t="shared" si="248"/>
        <v/>
      </c>
    </row>
    <row r="705" spans="1:42">
      <c r="A705" s="71">
        <f t="shared" si="256"/>
        <v>0</v>
      </c>
      <c r="B705" s="513">
        <f t="shared" si="255"/>
        <v>693</v>
      </c>
      <c r="C705" s="530" t="str">
        <f>IF(Inventory!E702="","",Inventory!E702)</f>
        <v/>
      </c>
      <c r="D705" s="531">
        <f>IF(Inventory!D702="",0,Inventory!D702)</f>
        <v>0</v>
      </c>
      <c r="E705" s="532" t="str">
        <f>IF(Inventory!I702=0,"",Inventory!I702)</f>
        <v/>
      </c>
      <c r="F705" s="533" t="str">
        <f t="shared" si="235"/>
        <v/>
      </c>
      <c r="G705" s="534" t="str">
        <f>IF(Inventory!G702="","",Inventory!G702)</f>
        <v/>
      </c>
      <c r="H705" s="535" t="str">
        <f t="shared" si="236"/>
        <v/>
      </c>
      <c r="I705" s="536" t="str">
        <f>IF(Inventory!J702="","",Inventory!J702)</f>
        <v/>
      </c>
      <c r="J705" s="537" t="str">
        <f>IFERROR(IF(PRJ_Type="New Construction",IF(Inventory!C702="N",INDEX(xyLPD_BuildingArea,MATCH(Building_Type,Lookups!$F$37:$F$75,0),4),INDEX(xyLPD_SpaceBySpace,MATCH(INDEX(xyNCEx,MATCH(I705,yNCExArea,0),2),ySpace_by_Space_Type,0),2)),VLOOKUP(E705,xyWattage_Table,11,FALSE)),"")</f>
        <v/>
      </c>
      <c r="K705" s="538" t="str">
        <f>IFERROR(IF(AND(NC_Type="Building Area Method",Inventory!C702="N"),IF(ISERROR(INDEX('Usage Groups (&gt;120 MWh only)'!$N$8:$N$12,MATCH(C705,'Usage Groups (&gt;120 MWh only)'!$B$8:$B$12,0),1))=TRUE,SqFt/COUNTIFS(Inventory!$C$10:$C$1009,"N",$Q$13:$Q$1012,"&gt;=0"),INDEX('Usage Groups (&gt;120 MWh only)'!$N$8:$N$12,MATCH(C705,'Usage Groups (&gt;120 MWh only)'!$B$8:$B$12,0),1)/COUNTIF($C$13:$C$1012,C705)),IF(AND(NC_Type="Building Area Method",Inventory!C702="Y"),INDEX(xyNCEx,MATCH(I705,yNCExArea,0),3)/COUNTIF($I$13:$I$1012,I705),VLOOKUP(J705,xyWattage_Table,10,FALSE))),"")</f>
        <v/>
      </c>
      <c r="L705" s="539" t="str">
        <f t="shared" si="237"/>
        <v/>
      </c>
      <c r="M705" s="540">
        <f>IF(Inventory!N702="","",Inventory!N702)</f>
        <v>0</v>
      </c>
      <c r="N705" s="533" t="str">
        <f t="shared" si="238"/>
        <v/>
      </c>
      <c r="O705" s="534"/>
      <c r="P705" s="533" t="str">
        <f t="shared" si="239"/>
        <v/>
      </c>
      <c r="Q705" s="534" t="str">
        <f>IF(Inventory!L702="","",Inventory!L702)</f>
        <v/>
      </c>
      <c r="R705" s="535" t="str">
        <f t="shared" si="240"/>
        <v/>
      </c>
      <c r="S705" s="536" t="str">
        <f>IF(Inventory!O702="","",Inventory!O702)</f>
        <v/>
      </c>
      <c r="T705" s="541" t="str">
        <f>IFERROR(IF(C705="","",IF(INDEX(xyWattage_Table,MATCH(M705,'Fixture Identities'!$B$9:$B$997,0),2)="Exit Sign",8760,IF(VLOOKUP(C705,xySpace_Type_Details,8,FALSE)="TRM",INDEX('General Information'!$AF$17:$AG$28,11,MATCH(N705,'General Information'!$AF$16:$AG$16,0)),HLOOKUP(VLOOKUP(C705,xySpace_Type_Details,8,FALSE),'General Information'!$P$15:$AG$28,13,FALSE)))),"")</f>
        <v/>
      </c>
      <c r="U705" s="542" t="str">
        <f>IFERROR(IF(C705="","",IF(INDEX(xyWattage_Table,MATCH(M705,'Fixture Identities'!$B$9:$B$997,0),2)="Exit Sign",1,IF(VLOOKUP(C705,xySpace_Type_Details,8,FALSE)="TRM",INDEX('General Information'!$AF$17:$AG$28,12,MATCH(N705,'General Information'!$AF$16:$AG$16,0)),HLOOKUP(VLOOKUP(C705,xySpace_Type_Details,8,FALSE),'General Information'!$P$15:$AG$28,14,FALSE)))),"")</f>
        <v/>
      </c>
      <c r="V705" s="542" t="str">
        <f>IFERROR(VLOOKUP(INDEX(xySpace_Type_Details,MATCH($C705,'General Information'!$C$40:$C$60,0),12),Lookups!$L$8:$N$12,2,FALSE),"")</f>
        <v/>
      </c>
      <c r="W705" s="542" t="str">
        <f>IFERROR(VLOOKUP(INDEX(xySpace_Type_Details,MATCH($C705,'General Information'!$C$40:$C$60,0),12),Lookups!$L$8:$N$12,3,FALSE),"")</f>
        <v/>
      </c>
      <c r="Y705" s="542" t="str">
        <f>IFERROR(IF(C705="","",IF(INDEX(xyWattage_Table,MATCH(M705,'Fixture Identities'!$B$9:$B$997,0),2)="Exit Sign",0,IF(PRJ_Type="Retrofit",VLOOKUP(I705,xySVG_Factors,2,FALSE),IF(AND(PRJ_Type="New Construction",Inventory!C702="N"),VLOOKUP(VLOOKUP(Building_Type,xyLPD_BuildingArea,5,FALSE),xySVG_Factors_NC,3,FALSE),0)))),"")</f>
        <v/>
      </c>
      <c r="Z705" s="544" t="str">
        <f>IFERROR(IF(C705="","",IF(INDEX(xyWattage_Table,MATCH(M705,'Fixture Identities'!$B$9:$B$997,0),2)="Exit Sign",0,VLOOKUP(S705,xySVG_Factors,2,FALSE))),"")</f>
        <v/>
      </c>
      <c r="AA705" s="545" t="str">
        <f t="shared" si="241"/>
        <v/>
      </c>
      <c r="AB705" s="542" t="str">
        <f t="shared" si="242"/>
        <v/>
      </c>
      <c r="AC705" s="539" t="str">
        <f t="shared" si="243"/>
        <v/>
      </c>
      <c r="AD705" s="546" t="str">
        <f t="shared" si="244"/>
        <v/>
      </c>
      <c r="AE705" s="539" t="str">
        <f t="shared" si="245"/>
        <v/>
      </c>
      <c r="AF705" s="546" t="str">
        <f t="shared" si="246"/>
        <v/>
      </c>
      <c r="AG705" s="539" t="str">
        <f t="shared" si="247"/>
        <v/>
      </c>
      <c r="AH705" s="32">
        <f t="shared" si="249"/>
        <v>0</v>
      </c>
      <c r="AI705" s="32">
        <f t="shared" si="250"/>
        <v>0</v>
      </c>
      <c r="AJ705" s="32">
        <f t="shared" si="251"/>
        <v>0</v>
      </c>
      <c r="AK705" t="str">
        <f t="shared" si="252"/>
        <v/>
      </c>
      <c r="AL705" t="str">
        <f t="shared" si="253"/>
        <v/>
      </c>
      <c r="AM705" t="str">
        <f t="shared" si="254"/>
        <v/>
      </c>
      <c r="AO705" t="str">
        <f>IFERROR(VLOOKUP(M705,'Fixture Identities'!$B$9:$O$1045,14,FALSE),"")</f>
        <v/>
      </c>
      <c r="AP705" t="str">
        <f t="shared" si="248"/>
        <v/>
      </c>
    </row>
    <row r="706" spans="1:42">
      <c r="A706" s="71">
        <f t="shared" si="256"/>
        <v>0</v>
      </c>
      <c r="B706" s="513">
        <f t="shared" si="255"/>
        <v>694</v>
      </c>
      <c r="C706" s="530" t="str">
        <f>IF(Inventory!E703="","",Inventory!E703)</f>
        <v/>
      </c>
      <c r="D706" s="531">
        <f>IF(Inventory!D703="",0,Inventory!D703)</f>
        <v>0</v>
      </c>
      <c r="E706" s="532" t="str">
        <f>IF(Inventory!I703=0,"",Inventory!I703)</f>
        <v/>
      </c>
      <c r="F706" s="533" t="str">
        <f t="shared" si="235"/>
        <v/>
      </c>
      <c r="G706" s="534" t="str">
        <f>IF(Inventory!G703="","",Inventory!G703)</f>
        <v/>
      </c>
      <c r="H706" s="535" t="str">
        <f t="shared" si="236"/>
        <v/>
      </c>
      <c r="I706" s="536" t="str">
        <f>IF(Inventory!J703="","",Inventory!J703)</f>
        <v/>
      </c>
      <c r="J706" s="537" t="str">
        <f>IFERROR(IF(PRJ_Type="New Construction",IF(Inventory!C703="N",INDEX(xyLPD_BuildingArea,MATCH(Building_Type,Lookups!$F$37:$F$75,0),4),INDEX(xyLPD_SpaceBySpace,MATCH(INDEX(xyNCEx,MATCH(I706,yNCExArea,0),2),ySpace_by_Space_Type,0),2)),VLOOKUP(E706,xyWattage_Table,11,FALSE)),"")</f>
        <v/>
      </c>
      <c r="K706" s="538" t="str">
        <f>IFERROR(IF(AND(NC_Type="Building Area Method",Inventory!C703="N"),IF(ISERROR(INDEX('Usage Groups (&gt;120 MWh only)'!$N$8:$N$12,MATCH(C706,'Usage Groups (&gt;120 MWh only)'!$B$8:$B$12,0),1))=TRUE,SqFt/COUNTIFS(Inventory!$C$10:$C$1009,"N",$Q$13:$Q$1012,"&gt;=0"),INDEX('Usage Groups (&gt;120 MWh only)'!$N$8:$N$12,MATCH(C706,'Usage Groups (&gt;120 MWh only)'!$B$8:$B$12,0),1)/COUNTIF($C$13:$C$1012,C706)),IF(AND(NC_Type="Building Area Method",Inventory!C703="Y"),INDEX(xyNCEx,MATCH(I706,yNCExArea,0),3)/COUNTIF($I$13:$I$1012,I706),VLOOKUP(J706,xyWattage_Table,10,FALSE))),"")</f>
        <v/>
      </c>
      <c r="L706" s="539" t="str">
        <f t="shared" si="237"/>
        <v/>
      </c>
      <c r="M706" s="540">
        <f>IF(Inventory!N703="","",Inventory!N703)</f>
        <v>0</v>
      </c>
      <c r="N706" s="533" t="str">
        <f t="shared" si="238"/>
        <v/>
      </c>
      <c r="O706" s="534"/>
      <c r="P706" s="533" t="str">
        <f t="shared" si="239"/>
        <v/>
      </c>
      <c r="Q706" s="534" t="str">
        <f>IF(Inventory!L703="","",Inventory!L703)</f>
        <v/>
      </c>
      <c r="R706" s="535" t="str">
        <f t="shared" si="240"/>
        <v/>
      </c>
      <c r="S706" s="536" t="str">
        <f>IF(Inventory!O703="","",Inventory!O703)</f>
        <v/>
      </c>
      <c r="T706" s="541" t="str">
        <f>IFERROR(IF(C706="","",IF(INDEX(xyWattage_Table,MATCH(M706,'Fixture Identities'!$B$9:$B$997,0),2)="Exit Sign",8760,IF(VLOOKUP(C706,xySpace_Type_Details,8,FALSE)="TRM",INDEX('General Information'!$AF$17:$AG$28,11,MATCH(N706,'General Information'!$AF$16:$AG$16,0)),HLOOKUP(VLOOKUP(C706,xySpace_Type_Details,8,FALSE),'General Information'!$P$15:$AG$28,13,FALSE)))),"")</f>
        <v/>
      </c>
      <c r="U706" s="542" t="str">
        <f>IFERROR(IF(C706="","",IF(INDEX(xyWattage_Table,MATCH(M706,'Fixture Identities'!$B$9:$B$997,0),2)="Exit Sign",1,IF(VLOOKUP(C706,xySpace_Type_Details,8,FALSE)="TRM",INDEX('General Information'!$AF$17:$AG$28,12,MATCH(N706,'General Information'!$AF$16:$AG$16,0)),HLOOKUP(VLOOKUP(C706,xySpace_Type_Details,8,FALSE),'General Information'!$P$15:$AG$28,14,FALSE)))),"")</f>
        <v/>
      </c>
      <c r="V706" s="542" t="str">
        <f>IFERROR(VLOOKUP(INDEX(xySpace_Type_Details,MATCH($C706,'General Information'!$C$40:$C$60,0),12),Lookups!$L$8:$N$12,2,FALSE),"")</f>
        <v/>
      </c>
      <c r="W706" s="542" t="str">
        <f>IFERROR(VLOOKUP(INDEX(xySpace_Type_Details,MATCH($C706,'General Information'!$C$40:$C$60,0),12),Lookups!$L$8:$N$12,3,FALSE),"")</f>
        <v/>
      </c>
      <c r="Y706" s="542" t="str">
        <f>IFERROR(IF(C706="","",IF(INDEX(xyWattage_Table,MATCH(M706,'Fixture Identities'!$B$9:$B$997,0),2)="Exit Sign",0,IF(PRJ_Type="Retrofit",VLOOKUP(I706,xySVG_Factors,2,FALSE),IF(AND(PRJ_Type="New Construction",Inventory!C703="N"),VLOOKUP(VLOOKUP(Building_Type,xyLPD_BuildingArea,5,FALSE),xySVG_Factors_NC,3,FALSE),0)))),"")</f>
        <v/>
      </c>
      <c r="Z706" s="544" t="str">
        <f>IFERROR(IF(C706="","",IF(INDEX(xyWattage_Table,MATCH(M706,'Fixture Identities'!$B$9:$B$997,0),2)="Exit Sign",0,VLOOKUP(S706,xySVG_Factors,2,FALSE))),"")</f>
        <v/>
      </c>
      <c r="AA706" s="545" t="str">
        <f t="shared" si="241"/>
        <v/>
      </c>
      <c r="AB706" s="542" t="str">
        <f t="shared" si="242"/>
        <v/>
      </c>
      <c r="AC706" s="539" t="str">
        <f t="shared" si="243"/>
        <v/>
      </c>
      <c r="AD706" s="546" t="str">
        <f t="shared" si="244"/>
        <v/>
      </c>
      <c r="AE706" s="539" t="str">
        <f t="shared" si="245"/>
        <v/>
      </c>
      <c r="AF706" s="546" t="str">
        <f t="shared" si="246"/>
        <v/>
      </c>
      <c r="AG706" s="539" t="str">
        <f t="shared" si="247"/>
        <v/>
      </c>
      <c r="AH706" s="32">
        <f t="shared" si="249"/>
        <v>0</v>
      </c>
      <c r="AI706" s="32">
        <f t="shared" si="250"/>
        <v>0</v>
      </c>
      <c r="AJ706" s="32">
        <f t="shared" si="251"/>
        <v>0</v>
      </c>
      <c r="AK706" t="str">
        <f t="shared" si="252"/>
        <v/>
      </c>
      <c r="AL706" t="str">
        <f t="shared" si="253"/>
        <v/>
      </c>
      <c r="AM706" t="str">
        <f t="shared" si="254"/>
        <v/>
      </c>
      <c r="AO706" t="str">
        <f>IFERROR(VLOOKUP(M706,'Fixture Identities'!$B$9:$O$1045,14,FALSE),"")</f>
        <v/>
      </c>
      <c r="AP706" t="str">
        <f t="shared" si="248"/>
        <v/>
      </c>
    </row>
    <row r="707" spans="1:42">
      <c r="A707" s="71">
        <f t="shared" si="256"/>
        <v>0</v>
      </c>
      <c r="B707" s="513">
        <f t="shared" si="255"/>
        <v>695</v>
      </c>
      <c r="C707" s="530" t="str">
        <f>IF(Inventory!E704="","",Inventory!E704)</f>
        <v/>
      </c>
      <c r="D707" s="531">
        <f>IF(Inventory!D704="",0,Inventory!D704)</f>
        <v>0</v>
      </c>
      <c r="E707" s="532" t="str">
        <f>IF(Inventory!I704=0,"",Inventory!I704)</f>
        <v/>
      </c>
      <c r="F707" s="533" t="str">
        <f t="shared" si="235"/>
        <v/>
      </c>
      <c r="G707" s="534" t="str">
        <f>IF(Inventory!G704="","",Inventory!G704)</f>
        <v/>
      </c>
      <c r="H707" s="535" t="str">
        <f t="shared" si="236"/>
        <v/>
      </c>
      <c r="I707" s="536" t="str">
        <f>IF(Inventory!J704="","",Inventory!J704)</f>
        <v/>
      </c>
      <c r="J707" s="537" t="str">
        <f>IFERROR(IF(PRJ_Type="New Construction",IF(Inventory!C704="N",INDEX(xyLPD_BuildingArea,MATCH(Building_Type,Lookups!$F$37:$F$75,0),4),INDEX(xyLPD_SpaceBySpace,MATCH(INDEX(xyNCEx,MATCH(I707,yNCExArea,0),2),ySpace_by_Space_Type,0),2)),VLOOKUP(E707,xyWattage_Table,11,FALSE)),"")</f>
        <v/>
      </c>
      <c r="K707" s="538" t="str">
        <f>IFERROR(IF(AND(NC_Type="Building Area Method",Inventory!C704="N"),IF(ISERROR(INDEX('Usage Groups (&gt;120 MWh only)'!$N$8:$N$12,MATCH(C707,'Usage Groups (&gt;120 MWh only)'!$B$8:$B$12,0),1))=TRUE,SqFt/COUNTIFS(Inventory!$C$10:$C$1009,"N",$Q$13:$Q$1012,"&gt;=0"),INDEX('Usage Groups (&gt;120 MWh only)'!$N$8:$N$12,MATCH(C707,'Usage Groups (&gt;120 MWh only)'!$B$8:$B$12,0),1)/COUNTIF($C$13:$C$1012,C707)),IF(AND(NC_Type="Building Area Method",Inventory!C704="Y"),INDEX(xyNCEx,MATCH(I707,yNCExArea,0),3)/COUNTIF($I$13:$I$1012,I707),VLOOKUP(J707,xyWattage_Table,10,FALSE))),"")</f>
        <v/>
      </c>
      <c r="L707" s="539" t="str">
        <f t="shared" si="237"/>
        <v/>
      </c>
      <c r="M707" s="540">
        <f>IF(Inventory!N704="","",Inventory!N704)</f>
        <v>0</v>
      </c>
      <c r="N707" s="533" t="str">
        <f t="shared" si="238"/>
        <v/>
      </c>
      <c r="O707" s="534"/>
      <c r="P707" s="533" t="str">
        <f t="shared" si="239"/>
        <v/>
      </c>
      <c r="Q707" s="534" t="str">
        <f>IF(Inventory!L704="","",Inventory!L704)</f>
        <v/>
      </c>
      <c r="R707" s="535" t="str">
        <f t="shared" si="240"/>
        <v/>
      </c>
      <c r="S707" s="536" t="str">
        <f>IF(Inventory!O704="","",Inventory!O704)</f>
        <v/>
      </c>
      <c r="T707" s="541" t="str">
        <f>IFERROR(IF(C707="","",IF(INDEX(xyWattage_Table,MATCH(M707,'Fixture Identities'!$B$9:$B$997,0),2)="Exit Sign",8760,IF(VLOOKUP(C707,xySpace_Type_Details,8,FALSE)="TRM",INDEX('General Information'!$AF$17:$AG$28,11,MATCH(N707,'General Information'!$AF$16:$AG$16,0)),HLOOKUP(VLOOKUP(C707,xySpace_Type_Details,8,FALSE),'General Information'!$P$15:$AG$28,13,FALSE)))),"")</f>
        <v/>
      </c>
      <c r="U707" s="542" t="str">
        <f>IFERROR(IF(C707="","",IF(INDEX(xyWattage_Table,MATCH(M707,'Fixture Identities'!$B$9:$B$997,0),2)="Exit Sign",1,IF(VLOOKUP(C707,xySpace_Type_Details,8,FALSE)="TRM",INDEX('General Information'!$AF$17:$AG$28,12,MATCH(N707,'General Information'!$AF$16:$AG$16,0)),HLOOKUP(VLOOKUP(C707,xySpace_Type_Details,8,FALSE),'General Information'!$P$15:$AG$28,14,FALSE)))),"")</f>
        <v/>
      </c>
      <c r="V707" s="542" t="str">
        <f>IFERROR(VLOOKUP(INDEX(xySpace_Type_Details,MATCH($C707,'General Information'!$C$40:$C$60,0),12),Lookups!$L$8:$N$12,2,FALSE),"")</f>
        <v/>
      </c>
      <c r="W707" s="542" t="str">
        <f>IFERROR(VLOOKUP(INDEX(xySpace_Type_Details,MATCH($C707,'General Information'!$C$40:$C$60,0),12),Lookups!$L$8:$N$12,3,FALSE),"")</f>
        <v/>
      </c>
      <c r="Y707" s="542" t="str">
        <f>IFERROR(IF(C707="","",IF(INDEX(xyWattage_Table,MATCH(M707,'Fixture Identities'!$B$9:$B$997,0),2)="Exit Sign",0,IF(PRJ_Type="Retrofit",VLOOKUP(I707,xySVG_Factors,2,FALSE),IF(AND(PRJ_Type="New Construction",Inventory!C704="N"),VLOOKUP(VLOOKUP(Building_Type,xyLPD_BuildingArea,5,FALSE),xySVG_Factors_NC,3,FALSE),0)))),"")</f>
        <v/>
      </c>
      <c r="Z707" s="544" t="str">
        <f>IFERROR(IF(C707="","",IF(INDEX(xyWattage_Table,MATCH(M707,'Fixture Identities'!$B$9:$B$997,0),2)="Exit Sign",0,VLOOKUP(S707,xySVG_Factors,2,FALSE))),"")</f>
        <v/>
      </c>
      <c r="AA707" s="545" t="str">
        <f t="shared" si="241"/>
        <v/>
      </c>
      <c r="AB707" s="542" t="str">
        <f t="shared" si="242"/>
        <v/>
      </c>
      <c r="AC707" s="539" t="str">
        <f t="shared" si="243"/>
        <v/>
      </c>
      <c r="AD707" s="546" t="str">
        <f t="shared" si="244"/>
        <v/>
      </c>
      <c r="AE707" s="539" t="str">
        <f t="shared" si="245"/>
        <v/>
      </c>
      <c r="AF707" s="546" t="str">
        <f t="shared" si="246"/>
        <v/>
      </c>
      <c r="AG707" s="539" t="str">
        <f t="shared" si="247"/>
        <v/>
      </c>
      <c r="AH707" s="32">
        <f t="shared" si="249"/>
        <v>0</v>
      </c>
      <c r="AI707" s="32">
        <f t="shared" si="250"/>
        <v>0</v>
      </c>
      <c r="AJ707" s="32">
        <f t="shared" si="251"/>
        <v>0</v>
      </c>
      <c r="AK707" t="str">
        <f t="shared" si="252"/>
        <v/>
      </c>
      <c r="AL707" t="str">
        <f t="shared" si="253"/>
        <v/>
      </c>
      <c r="AM707" t="str">
        <f t="shared" si="254"/>
        <v/>
      </c>
      <c r="AO707" t="str">
        <f>IFERROR(VLOOKUP(M707,'Fixture Identities'!$B$9:$O$1045,14,FALSE),"")</f>
        <v/>
      </c>
      <c r="AP707" t="str">
        <f t="shared" si="248"/>
        <v/>
      </c>
    </row>
    <row r="708" spans="1:42">
      <c r="A708" s="71">
        <f t="shared" si="256"/>
        <v>0</v>
      </c>
      <c r="B708" s="513">
        <f t="shared" si="255"/>
        <v>696</v>
      </c>
      <c r="C708" s="530" t="str">
        <f>IF(Inventory!E705="","",Inventory!E705)</f>
        <v/>
      </c>
      <c r="D708" s="531">
        <f>IF(Inventory!D705="",0,Inventory!D705)</f>
        <v>0</v>
      </c>
      <c r="E708" s="532" t="str">
        <f>IF(Inventory!I705=0,"",Inventory!I705)</f>
        <v/>
      </c>
      <c r="F708" s="533" t="str">
        <f t="shared" si="235"/>
        <v/>
      </c>
      <c r="G708" s="534" t="str">
        <f>IF(Inventory!G705="","",Inventory!G705)</f>
        <v/>
      </c>
      <c r="H708" s="535" t="str">
        <f t="shared" si="236"/>
        <v/>
      </c>
      <c r="I708" s="536" t="str">
        <f>IF(Inventory!J705="","",Inventory!J705)</f>
        <v/>
      </c>
      <c r="J708" s="537" t="str">
        <f>IFERROR(IF(PRJ_Type="New Construction",IF(Inventory!C705="N",INDEX(xyLPD_BuildingArea,MATCH(Building_Type,Lookups!$F$37:$F$75,0),4),INDEX(xyLPD_SpaceBySpace,MATCH(INDEX(xyNCEx,MATCH(I708,yNCExArea,0),2),ySpace_by_Space_Type,0),2)),VLOOKUP(E708,xyWattage_Table,11,FALSE)),"")</f>
        <v/>
      </c>
      <c r="K708" s="538" t="str">
        <f>IFERROR(IF(AND(NC_Type="Building Area Method",Inventory!C705="N"),IF(ISERROR(INDEX('Usage Groups (&gt;120 MWh only)'!$N$8:$N$12,MATCH(C708,'Usage Groups (&gt;120 MWh only)'!$B$8:$B$12,0),1))=TRUE,SqFt/COUNTIFS(Inventory!$C$10:$C$1009,"N",$Q$13:$Q$1012,"&gt;=0"),INDEX('Usage Groups (&gt;120 MWh only)'!$N$8:$N$12,MATCH(C708,'Usage Groups (&gt;120 MWh only)'!$B$8:$B$12,0),1)/COUNTIF($C$13:$C$1012,C708)),IF(AND(NC_Type="Building Area Method",Inventory!C705="Y"),INDEX(xyNCEx,MATCH(I708,yNCExArea,0),3)/COUNTIF($I$13:$I$1012,I708),VLOOKUP(J708,xyWattage_Table,10,FALSE))),"")</f>
        <v/>
      </c>
      <c r="L708" s="539" t="str">
        <f t="shared" si="237"/>
        <v/>
      </c>
      <c r="M708" s="540">
        <f>IF(Inventory!N705="","",Inventory!N705)</f>
        <v>0</v>
      </c>
      <c r="N708" s="533" t="str">
        <f t="shared" si="238"/>
        <v/>
      </c>
      <c r="O708" s="534"/>
      <c r="P708" s="533" t="str">
        <f t="shared" si="239"/>
        <v/>
      </c>
      <c r="Q708" s="534" t="str">
        <f>IF(Inventory!L705="","",Inventory!L705)</f>
        <v/>
      </c>
      <c r="R708" s="535" t="str">
        <f t="shared" si="240"/>
        <v/>
      </c>
      <c r="S708" s="536" t="str">
        <f>IF(Inventory!O705="","",Inventory!O705)</f>
        <v/>
      </c>
      <c r="T708" s="541" t="str">
        <f>IFERROR(IF(C708="","",IF(INDEX(xyWattage_Table,MATCH(M708,'Fixture Identities'!$B$9:$B$997,0),2)="Exit Sign",8760,IF(VLOOKUP(C708,xySpace_Type_Details,8,FALSE)="TRM",INDEX('General Information'!$AF$17:$AG$28,11,MATCH(N708,'General Information'!$AF$16:$AG$16,0)),HLOOKUP(VLOOKUP(C708,xySpace_Type_Details,8,FALSE),'General Information'!$P$15:$AG$28,13,FALSE)))),"")</f>
        <v/>
      </c>
      <c r="U708" s="542" t="str">
        <f>IFERROR(IF(C708="","",IF(INDEX(xyWattage_Table,MATCH(M708,'Fixture Identities'!$B$9:$B$997,0),2)="Exit Sign",1,IF(VLOOKUP(C708,xySpace_Type_Details,8,FALSE)="TRM",INDEX('General Information'!$AF$17:$AG$28,12,MATCH(N708,'General Information'!$AF$16:$AG$16,0)),HLOOKUP(VLOOKUP(C708,xySpace_Type_Details,8,FALSE),'General Information'!$P$15:$AG$28,14,FALSE)))),"")</f>
        <v/>
      </c>
      <c r="V708" s="542" t="str">
        <f>IFERROR(VLOOKUP(INDEX(xySpace_Type_Details,MATCH($C708,'General Information'!$C$40:$C$60,0),12),Lookups!$L$8:$N$12,2,FALSE),"")</f>
        <v/>
      </c>
      <c r="W708" s="542" t="str">
        <f>IFERROR(VLOOKUP(INDEX(xySpace_Type_Details,MATCH($C708,'General Information'!$C$40:$C$60,0),12),Lookups!$L$8:$N$12,3,FALSE),"")</f>
        <v/>
      </c>
      <c r="Y708" s="542" t="str">
        <f>IFERROR(IF(C708="","",IF(INDEX(xyWattage_Table,MATCH(M708,'Fixture Identities'!$B$9:$B$997,0),2)="Exit Sign",0,IF(PRJ_Type="Retrofit",VLOOKUP(I708,xySVG_Factors,2,FALSE),IF(AND(PRJ_Type="New Construction",Inventory!C705="N"),VLOOKUP(VLOOKUP(Building_Type,xyLPD_BuildingArea,5,FALSE),xySVG_Factors_NC,3,FALSE),0)))),"")</f>
        <v/>
      </c>
      <c r="Z708" s="544" t="str">
        <f>IFERROR(IF(C708="","",IF(INDEX(xyWattage_Table,MATCH(M708,'Fixture Identities'!$B$9:$B$997,0),2)="Exit Sign",0,VLOOKUP(S708,xySVG_Factors,2,FALSE))),"")</f>
        <v/>
      </c>
      <c r="AA708" s="545" t="str">
        <f t="shared" si="241"/>
        <v/>
      </c>
      <c r="AB708" s="542" t="str">
        <f t="shared" si="242"/>
        <v/>
      </c>
      <c r="AC708" s="539" t="str">
        <f t="shared" si="243"/>
        <v/>
      </c>
      <c r="AD708" s="546" t="str">
        <f t="shared" si="244"/>
        <v/>
      </c>
      <c r="AE708" s="539" t="str">
        <f t="shared" si="245"/>
        <v/>
      </c>
      <c r="AF708" s="546" t="str">
        <f t="shared" si="246"/>
        <v/>
      </c>
      <c r="AG708" s="539" t="str">
        <f t="shared" si="247"/>
        <v/>
      </c>
      <c r="AH708" s="32">
        <f t="shared" si="249"/>
        <v>0</v>
      </c>
      <c r="AI708" s="32">
        <f t="shared" si="250"/>
        <v>0</v>
      </c>
      <c r="AJ708" s="32">
        <f t="shared" si="251"/>
        <v>0</v>
      </c>
      <c r="AK708" t="str">
        <f t="shared" si="252"/>
        <v/>
      </c>
      <c r="AL708" t="str">
        <f t="shared" si="253"/>
        <v/>
      </c>
      <c r="AM708" t="str">
        <f t="shared" si="254"/>
        <v/>
      </c>
      <c r="AO708" t="str">
        <f>IFERROR(VLOOKUP(M708,'Fixture Identities'!$B$9:$O$1045,14,FALSE),"")</f>
        <v/>
      </c>
      <c r="AP708" t="str">
        <f t="shared" si="248"/>
        <v/>
      </c>
    </row>
    <row r="709" spans="1:42">
      <c r="A709" s="71">
        <f t="shared" si="256"/>
        <v>0</v>
      </c>
      <c r="B709" s="513">
        <f t="shared" si="255"/>
        <v>697</v>
      </c>
      <c r="C709" s="530" t="str">
        <f>IF(Inventory!E706="","",Inventory!E706)</f>
        <v/>
      </c>
      <c r="D709" s="531">
        <f>IF(Inventory!D706="",0,Inventory!D706)</f>
        <v>0</v>
      </c>
      <c r="E709" s="532" t="str">
        <f>IF(Inventory!I706=0,"",Inventory!I706)</f>
        <v/>
      </c>
      <c r="F709" s="533" t="str">
        <f t="shared" si="235"/>
        <v/>
      </c>
      <c r="G709" s="534" t="str">
        <f>IF(Inventory!G706="","",Inventory!G706)</f>
        <v/>
      </c>
      <c r="H709" s="535" t="str">
        <f t="shared" si="236"/>
        <v/>
      </c>
      <c r="I709" s="536" t="str">
        <f>IF(Inventory!J706="","",Inventory!J706)</f>
        <v/>
      </c>
      <c r="J709" s="537" t="str">
        <f>IFERROR(IF(PRJ_Type="New Construction",IF(Inventory!C706="N",INDEX(xyLPD_BuildingArea,MATCH(Building_Type,Lookups!$F$37:$F$75,0),4),INDEX(xyLPD_SpaceBySpace,MATCH(INDEX(xyNCEx,MATCH(I709,yNCExArea,0),2),ySpace_by_Space_Type,0),2)),VLOOKUP(E709,xyWattage_Table,11,FALSE)),"")</f>
        <v/>
      </c>
      <c r="K709" s="538" t="str">
        <f>IFERROR(IF(AND(NC_Type="Building Area Method",Inventory!C706="N"),IF(ISERROR(INDEX('Usage Groups (&gt;120 MWh only)'!$N$8:$N$12,MATCH(C709,'Usage Groups (&gt;120 MWh only)'!$B$8:$B$12,0),1))=TRUE,SqFt/COUNTIFS(Inventory!$C$10:$C$1009,"N",$Q$13:$Q$1012,"&gt;=0"),INDEX('Usage Groups (&gt;120 MWh only)'!$N$8:$N$12,MATCH(C709,'Usage Groups (&gt;120 MWh only)'!$B$8:$B$12,0),1)/COUNTIF($C$13:$C$1012,C709)),IF(AND(NC_Type="Building Area Method",Inventory!C706="Y"),INDEX(xyNCEx,MATCH(I709,yNCExArea,0),3)/COUNTIF($I$13:$I$1012,I709),VLOOKUP(J709,xyWattage_Table,10,FALSE))),"")</f>
        <v/>
      </c>
      <c r="L709" s="539" t="str">
        <f t="shared" si="237"/>
        <v/>
      </c>
      <c r="M709" s="540">
        <f>IF(Inventory!N706="","",Inventory!N706)</f>
        <v>0</v>
      </c>
      <c r="N709" s="533" t="str">
        <f t="shared" si="238"/>
        <v/>
      </c>
      <c r="O709" s="534"/>
      <c r="P709" s="533" t="str">
        <f t="shared" si="239"/>
        <v/>
      </c>
      <c r="Q709" s="534" t="str">
        <f>IF(Inventory!L706="","",Inventory!L706)</f>
        <v/>
      </c>
      <c r="R709" s="535" t="str">
        <f t="shared" si="240"/>
        <v/>
      </c>
      <c r="S709" s="536" t="str">
        <f>IF(Inventory!O706="","",Inventory!O706)</f>
        <v/>
      </c>
      <c r="T709" s="541" t="str">
        <f>IFERROR(IF(C709="","",IF(INDEX(xyWattage_Table,MATCH(M709,'Fixture Identities'!$B$9:$B$997,0),2)="Exit Sign",8760,IF(VLOOKUP(C709,xySpace_Type_Details,8,FALSE)="TRM",INDEX('General Information'!$AF$17:$AG$28,11,MATCH(N709,'General Information'!$AF$16:$AG$16,0)),HLOOKUP(VLOOKUP(C709,xySpace_Type_Details,8,FALSE),'General Information'!$P$15:$AG$28,13,FALSE)))),"")</f>
        <v/>
      </c>
      <c r="U709" s="542" t="str">
        <f>IFERROR(IF(C709="","",IF(INDEX(xyWattage_Table,MATCH(M709,'Fixture Identities'!$B$9:$B$997,0),2)="Exit Sign",1,IF(VLOOKUP(C709,xySpace_Type_Details,8,FALSE)="TRM",INDEX('General Information'!$AF$17:$AG$28,12,MATCH(N709,'General Information'!$AF$16:$AG$16,0)),HLOOKUP(VLOOKUP(C709,xySpace_Type_Details,8,FALSE),'General Information'!$P$15:$AG$28,14,FALSE)))),"")</f>
        <v/>
      </c>
      <c r="V709" s="542" t="str">
        <f>IFERROR(VLOOKUP(INDEX(xySpace_Type_Details,MATCH($C709,'General Information'!$C$40:$C$60,0),12),Lookups!$L$8:$N$12,2,FALSE),"")</f>
        <v/>
      </c>
      <c r="W709" s="542" t="str">
        <f>IFERROR(VLOOKUP(INDEX(xySpace_Type_Details,MATCH($C709,'General Information'!$C$40:$C$60,0),12),Lookups!$L$8:$N$12,3,FALSE),"")</f>
        <v/>
      </c>
      <c r="Y709" s="542" t="str">
        <f>IFERROR(IF(C709="","",IF(INDEX(xyWattage_Table,MATCH(M709,'Fixture Identities'!$B$9:$B$997,0),2)="Exit Sign",0,IF(PRJ_Type="Retrofit",VLOOKUP(I709,xySVG_Factors,2,FALSE),IF(AND(PRJ_Type="New Construction",Inventory!C706="N"),VLOOKUP(VLOOKUP(Building_Type,xyLPD_BuildingArea,5,FALSE),xySVG_Factors_NC,3,FALSE),0)))),"")</f>
        <v/>
      </c>
      <c r="Z709" s="544" t="str">
        <f>IFERROR(IF(C709="","",IF(INDEX(xyWattage_Table,MATCH(M709,'Fixture Identities'!$B$9:$B$997,0),2)="Exit Sign",0,VLOOKUP(S709,xySVG_Factors,2,FALSE))),"")</f>
        <v/>
      </c>
      <c r="AA709" s="545" t="str">
        <f t="shared" si="241"/>
        <v/>
      </c>
      <c r="AB709" s="542" t="str">
        <f t="shared" si="242"/>
        <v/>
      </c>
      <c r="AC709" s="539" t="str">
        <f t="shared" si="243"/>
        <v/>
      </c>
      <c r="AD709" s="546" t="str">
        <f t="shared" si="244"/>
        <v/>
      </c>
      <c r="AE709" s="539" t="str">
        <f t="shared" si="245"/>
        <v/>
      </c>
      <c r="AF709" s="546" t="str">
        <f t="shared" si="246"/>
        <v/>
      </c>
      <c r="AG709" s="539" t="str">
        <f t="shared" si="247"/>
        <v/>
      </c>
      <c r="AH709" s="32">
        <f t="shared" si="249"/>
        <v>0</v>
      </c>
      <c r="AI709" s="32">
        <f t="shared" si="250"/>
        <v>0</v>
      </c>
      <c r="AJ709" s="32">
        <f t="shared" si="251"/>
        <v>0</v>
      </c>
      <c r="AK709" t="str">
        <f t="shared" si="252"/>
        <v/>
      </c>
      <c r="AL709" t="str">
        <f t="shared" si="253"/>
        <v/>
      </c>
      <c r="AM709" t="str">
        <f t="shared" si="254"/>
        <v/>
      </c>
      <c r="AO709" t="str">
        <f>IFERROR(VLOOKUP(M709,'Fixture Identities'!$B$9:$O$1045,14,FALSE),"")</f>
        <v/>
      </c>
      <c r="AP709" t="str">
        <f t="shared" si="248"/>
        <v/>
      </c>
    </row>
    <row r="710" spans="1:42">
      <c r="A710" s="71">
        <f t="shared" si="256"/>
        <v>0</v>
      </c>
      <c r="B710" s="513">
        <f t="shared" si="255"/>
        <v>698</v>
      </c>
      <c r="C710" s="530" t="str">
        <f>IF(Inventory!E707="","",Inventory!E707)</f>
        <v/>
      </c>
      <c r="D710" s="531">
        <f>IF(Inventory!D707="",0,Inventory!D707)</f>
        <v>0</v>
      </c>
      <c r="E710" s="532" t="str">
        <f>IF(Inventory!I707=0,"",Inventory!I707)</f>
        <v/>
      </c>
      <c r="F710" s="533" t="str">
        <f t="shared" si="235"/>
        <v/>
      </c>
      <c r="G710" s="534" t="str">
        <f>IF(Inventory!G707="","",Inventory!G707)</f>
        <v/>
      </c>
      <c r="H710" s="535" t="str">
        <f t="shared" si="236"/>
        <v/>
      </c>
      <c r="I710" s="536" t="str">
        <f>IF(Inventory!J707="","",Inventory!J707)</f>
        <v/>
      </c>
      <c r="J710" s="537" t="str">
        <f>IFERROR(IF(PRJ_Type="New Construction",IF(Inventory!C707="N",INDEX(xyLPD_BuildingArea,MATCH(Building_Type,Lookups!$F$37:$F$75,0),4),INDEX(xyLPD_SpaceBySpace,MATCH(INDEX(xyNCEx,MATCH(I710,yNCExArea,0),2),ySpace_by_Space_Type,0),2)),VLOOKUP(E710,xyWattage_Table,11,FALSE)),"")</f>
        <v/>
      </c>
      <c r="K710" s="538" t="str">
        <f>IFERROR(IF(AND(NC_Type="Building Area Method",Inventory!C707="N"),IF(ISERROR(INDEX('Usage Groups (&gt;120 MWh only)'!$N$8:$N$12,MATCH(C710,'Usage Groups (&gt;120 MWh only)'!$B$8:$B$12,0),1))=TRUE,SqFt/COUNTIFS(Inventory!$C$10:$C$1009,"N",$Q$13:$Q$1012,"&gt;=0"),INDEX('Usage Groups (&gt;120 MWh only)'!$N$8:$N$12,MATCH(C710,'Usage Groups (&gt;120 MWh only)'!$B$8:$B$12,0),1)/COUNTIF($C$13:$C$1012,C710)),IF(AND(NC_Type="Building Area Method",Inventory!C707="Y"),INDEX(xyNCEx,MATCH(I710,yNCExArea,0),3)/COUNTIF($I$13:$I$1012,I710),VLOOKUP(J710,xyWattage_Table,10,FALSE))),"")</f>
        <v/>
      </c>
      <c r="L710" s="539" t="str">
        <f t="shared" si="237"/>
        <v/>
      </c>
      <c r="M710" s="540">
        <f>IF(Inventory!N707="","",Inventory!N707)</f>
        <v>0</v>
      </c>
      <c r="N710" s="533" t="str">
        <f t="shared" si="238"/>
        <v/>
      </c>
      <c r="O710" s="534"/>
      <c r="P710" s="533" t="str">
        <f t="shared" si="239"/>
        <v/>
      </c>
      <c r="Q710" s="534" t="str">
        <f>IF(Inventory!L707="","",Inventory!L707)</f>
        <v/>
      </c>
      <c r="R710" s="535" t="str">
        <f t="shared" si="240"/>
        <v/>
      </c>
      <c r="S710" s="536" t="str">
        <f>IF(Inventory!O707="","",Inventory!O707)</f>
        <v/>
      </c>
      <c r="T710" s="541" t="str">
        <f>IFERROR(IF(C710="","",IF(INDEX(xyWattage_Table,MATCH(M710,'Fixture Identities'!$B$9:$B$997,0),2)="Exit Sign",8760,IF(VLOOKUP(C710,xySpace_Type_Details,8,FALSE)="TRM",INDEX('General Information'!$AF$17:$AG$28,11,MATCH(N710,'General Information'!$AF$16:$AG$16,0)),HLOOKUP(VLOOKUP(C710,xySpace_Type_Details,8,FALSE),'General Information'!$P$15:$AG$28,13,FALSE)))),"")</f>
        <v/>
      </c>
      <c r="U710" s="542" t="str">
        <f>IFERROR(IF(C710="","",IF(INDEX(xyWattage_Table,MATCH(M710,'Fixture Identities'!$B$9:$B$997,0),2)="Exit Sign",1,IF(VLOOKUP(C710,xySpace_Type_Details,8,FALSE)="TRM",INDEX('General Information'!$AF$17:$AG$28,12,MATCH(N710,'General Information'!$AF$16:$AG$16,0)),HLOOKUP(VLOOKUP(C710,xySpace_Type_Details,8,FALSE),'General Information'!$P$15:$AG$28,14,FALSE)))),"")</f>
        <v/>
      </c>
      <c r="V710" s="542" t="str">
        <f>IFERROR(VLOOKUP(INDEX(xySpace_Type_Details,MATCH($C710,'General Information'!$C$40:$C$60,0),12),Lookups!$L$8:$N$12,2,FALSE),"")</f>
        <v/>
      </c>
      <c r="W710" s="542" t="str">
        <f>IFERROR(VLOOKUP(INDEX(xySpace_Type_Details,MATCH($C710,'General Information'!$C$40:$C$60,0),12),Lookups!$L$8:$N$12,3,FALSE),"")</f>
        <v/>
      </c>
      <c r="Y710" s="542" t="str">
        <f>IFERROR(IF(C710="","",IF(INDEX(xyWattage_Table,MATCH(M710,'Fixture Identities'!$B$9:$B$997,0),2)="Exit Sign",0,IF(PRJ_Type="Retrofit",VLOOKUP(I710,xySVG_Factors,2,FALSE),IF(AND(PRJ_Type="New Construction",Inventory!C707="N"),VLOOKUP(VLOOKUP(Building_Type,xyLPD_BuildingArea,5,FALSE),xySVG_Factors_NC,3,FALSE),0)))),"")</f>
        <v/>
      </c>
      <c r="Z710" s="544" t="str">
        <f>IFERROR(IF(C710="","",IF(INDEX(xyWattage_Table,MATCH(M710,'Fixture Identities'!$B$9:$B$997,0),2)="Exit Sign",0,VLOOKUP(S710,xySVG_Factors,2,FALSE))),"")</f>
        <v/>
      </c>
      <c r="AA710" s="545" t="str">
        <f t="shared" si="241"/>
        <v/>
      </c>
      <c r="AB710" s="542" t="str">
        <f t="shared" si="242"/>
        <v/>
      </c>
      <c r="AC710" s="539" t="str">
        <f t="shared" si="243"/>
        <v/>
      </c>
      <c r="AD710" s="546" t="str">
        <f t="shared" si="244"/>
        <v/>
      </c>
      <c r="AE710" s="539" t="str">
        <f t="shared" si="245"/>
        <v/>
      </c>
      <c r="AF710" s="546" t="str">
        <f t="shared" si="246"/>
        <v/>
      </c>
      <c r="AG710" s="539" t="str">
        <f t="shared" si="247"/>
        <v/>
      </c>
      <c r="AH710" s="32">
        <f t="shared" si="249"/>
        <v>0</v>
      </c>
      <c r="AI710" s="32">
        <f t="shared" si="250"/>
        <v>0</v>
      </c>
      <c r="AJ710" s="32">
        <f t="shared" si="251"/>
        <v>0</v>
      </c>
      <c r="AK710" t="str">
        <f t="shared" si="252"/>
        <v/>
      </c>
      <c r="AL710" t="str">
        <f t="shared" si="253"/>
        <v/>
      </c>
      <c r="AM710" t="str">
        <f t="shared" si="254"/>
        <v/>
      </c>
      <c r="AO710" t="str">
        <f>IFERROR(VLOOKUP(M710,'Fixture Identities'!$B$9:$O$1045,14,FALSE),"")</f>
        <v/>
      </c>
      <c r="AP710" t="str">
        <f t="shared" si="248"/>
        <v/>
      </c>
    </row>
    <row r="711" spans="1:42">
      <c r="A711" s="71">
        <f t="shared" si="256"/>
        <v>0</v>
      </c>
      <c r="B711" s="513">
        <f t="shared" si="255"/>
        <v>699</v>
      </c>
      <c r="C711" s="530" t="str">
        <f>IF(Inventory!E708="","",Inventory!E708)</f>
        <v/>
      </c>
      <c r="D711" s="531">
        <f>IF(Inventory!D708="",0,Inventory!D708)</f>
        <v>0</v>
      </c>
      <c r="E711" s="532" t="str">
        <f>IF(Inventory!I708=0,"",Inventory!I708)</f>
        <v/>
      </c>
      <c r="F711" s="533" t="str">
        <f t="shared" ref="F711:F774" si="257">IFERROR(VLOOKUP(E711,xyWattage_Table,10,FALSE),"")</f>
        <v/>
      </c>
      <c r="G711" s="534" t="str">
        <f>IF(Inventory!G708="","",Inventory!G708)</f>
        <v/>
      </c>
      <c r="H711" s="535" t="str">
        <f t="shared" ref="H711:H774" si="258">IF(G711="","",G711*F711)</f>
        <v/>
      </c>
      <c r="I711" s="536" t="str">
        <f>IF(Inventory!J708="","",Inventory!J708)</f>
        <v/>
      </c>
      <c r="J711" s="537" t="str">
        <f>IFERROR(IF(PRJ_Type="New Construction",IF(Inventory!C708="N",INDEX(xyLPD_BuildingArea,MATCH(Building_Type,Lookups!$F$37:$F$75,0),4),INDEX(xyLPD_SpaceBySpace,MATCH(INDEX(xyNCEx,MATCH(I711,yNCExArea,0),2),ySpace_by_Space_Type,0),2)),VLOOKUP(E711,xyWattage_Table,11,FALSE)),"")</f>
        <v/>
      </c>
      <c r="K711" s="538" t="str">
        <f>IFERROR(IF(AND(NC_Type="Building Area Method",Inventory!C708="N"),IF(ISERROR(INDEX('Usage Groups (&gt;120 MWh only)'!$N$8:$N$12,MATCH(C711,'Usage Groups (&gt;120 MWh only)'!$B$8:$B$12,0),1))=TRUE,SqFt/COUNTIFS(Inventory!$C$10:$C$1009,"N",$Q$13:$Q$1012,"&gt;=0"),INDEX('Usage Groups (&gt;120 MWh only)'!$N$8:$N$12,MATCH(C711,'Usage Groups (&gt;120 MWh only)'!$B$8:$B$12,0),1)/COUNTIF($C$13:$C$1012,C711)),IF(AND(NC_Type="Building Area Method",Inventory!C708="Y"),INDEX(xyNCEx,MATCH(I711,yNCExArea,0),3)/COUNTIF($I$13:$I$1012,I711),VLOOKUP(J711,xyWattage_Table,10,FALSE))),"")</f>
        <v/>
      </c>
      <c r="L711" s="539" t="str">
        <f t="shared" ref="L711:L774" si="259">IFERROR(IF(PRJ_Type="New Construction",J711*K711,IF(G711="","",K711*G711)),"")</f>
        <v/>
      </c>
      <c r="M711" s="540">
        <f>IF(Inventory!N708="","",Inventory!N708)</f>
        <v>0</v>
      </c>
      <c r="N711" s="533" t="str">
        <f t="shared" ref="N711:N774" si="260">IFERROR(VLOOKUP(M711,xyWattage_Table,12,FALSE),"")</f>
        <v/>
      </c>
      <c r="O711" s="534"/>
      <c r="P711" s="533" t="str">
        <f t="shared" ref="P711:P774" si="261">IFERROR(VLOOKUP(M711,xyWattage_Table,10,FALSE),"")</f>
        <v/>
      </c>
      <c r="Q711" s="534" t="str">
        <f>IF(Inventory!L708="","",Inventory!L708)</f>
        <v/>
      </c>
      <c r="R711" s="535" t="str">
        <f t="shared" ref="R711:R774" si="262">IF(P711="","",Q711*P711)</f>
        <v/>
      </c>
      <c r="S711" s="536" t="str">
        <f>IF(Inventory!O708="","",Inventory!O708)</f>
        <v/>
      </c>
      <c r="T711" s="541" t="str">
        <f>IFERROR(IF(C711="","",IF(INDEX(xyWattage_Table,MATCH(M711,'Fixture Identities'!$B$9:$B$997,0),2)="Exit Sign",8760,IF(VLOOKUP(C711,xySpace_Type_Details,8,FALSE)="TRM",INDEX('General Information'!$AF$17:$AG$28,11,MATCH(N711,'General Information'!$AF$16:$AG$16,0)),HLOOKUP(VLOOKUP(C711,xySpace_Type_Details,8,FALSE),'General Information'!$P$15:$AG$28,13,FALSE)))),"")</f>
        <v/>
      </c>
      <c r="U711" s="542" t="str">
        <f>IFERROR(IF(C711="","",IF(INDEX(xyWattage_Table,MATCH(M711,'Fixture Identities'!$B$9:$B$997,0),2)="Exit Sign",1,IF(VLOOKUP(C711,xySpace_Type_Details,8,FALSE)="TRM",INDEX('General Information'!$AF$17:$AG$28,12,MATCH(N711,'General Information'!$AF$16:$AG$16,0)),HLOOKUP(VLOOKUP(C711,xySpace_Type_Details,8,FALSE),'General Information'!$P$15:$AG$28,14,FALSE)))),"")</f>
        <v/>
      </c>
      <c r="V711" s="542" t="str">
        <f>IFERROR(VLOOKUP(INDEX(xySpace_Type_Details,MATCH($C711,'General Information'!$C$40:$C$60,0),12),Lookups!$L$8:$N$12,2,FALSE),"")</f>
        <v/>
      </c>
      <c r="W711" s="542" t="str">
        <f>IFERROR(VLOOKUP(INDEX(xySpace_Type_Details,MATCH($C711,'General Information'!$C$40:$C$60,0),12),Lookups!$L$8:$N$12,3,FALSE),"")</f>
        <v/>
      </c>
      <c r="Y711" s="542" t="str">
        <f>IFERROR(IF(C711="","",IF(INDEX(xyWattage_Table,MATCH(M711,'Fixture Identities'!$B$9:$B$997,0),2)="Exit Sign",0,IF(PRJ_Type="Retrofit",VLOOKUP(I711,xySVG_Factors,2,FALSE),IF(AND(PRJ_Type="New Construction",Inventory!C708="N"),VLOOKUP(VLOOKUP(Building_Type,xyLPD_BuildingArea,5,FALSE),xySVG_Factors_NC,3,FALSE),0)))),"")</f>
        <v/>
      </c>
      <c r="Z711" s="544" t="str">
        <f>IFERROR(IF(C711="","",IF(INDEX(xyWattage_Table,MATCH(M711,'Fixture Identities'!$B$9:$B$997,0),2)="Exit Sign",0,VLOOKUP(S711,xySVG_Factors,2,FALSE))),"")</f>
        <v/>
      </c>
      <c r="AA711" s="545" t="str">
        <f t="shared" ref="AA711:AA774" si="263">IFERROR((L711-R711)/1000,"")</f>
        <v/>
      </c>
      <c r="AB711" s="542" t="str">
        <f t="shared" ref="AB711:AB774" si="264">IFERROR(AA711*U711*(1+W711)*(1-Y711),"")</f>
        <v/>
      </c>
      <c r="AC711" s="539" t="str">
        <f t="shared" ref="AC711:AC774" si="265">IFERROR(AA711*T711*(1+V711)*(1-Y711),"")</f>
        <v/>
      </c>
      <c r="AD711" s="546" t="str">
        <f t="shared" ref="AD711:AD774" si="266">IFERROR(R711/1000*(Z711-Y711)*(1+W711)*U711,"")</f>
        <v/>
      </c>
      <c r="AE711" s="539" t="str">
        <f t="shared" ref="AE711:AE774" si="267">IFERROR(R711/1000*T711*(Z711-Y711)*(1+V711),"")</f>
        <v/>
      </c>
      <c r="AF711" s="546" t="str">
        <f t="shared" ref="AF711:AF774" si="268">IFERROR(AB711+AD711,"")</f>
        <v/>
      </c>
      <c r="AG711" s="539" t="str">
        <f t="shared" ref="AG711:AG774" si="269">IFERROR(AC711+AE711,"")</f>
        <v/>
      </c>
      <c r="AH711" s="32">
        <f t="shared" si="249"/>
        <v>0</v>
      </c>
      <c r="AI711" s="32">
        <f t="shared" si="250"/>
        <v>0</v>
      </c>
      <c r="AJ711" s="32">
        <f t="shared" si="251"/>
        <v>0</v>
      </c>
      <c r="AK711" t="str">
        <f t="shared" si="252"/>
        <v/>
      </c>
      <c r="AL711" t="str">
        <f t="shared" si="253"/>
        <v/>
      </c>
      <c r="AM711" t="str">
        <f t="shared" si="254"/>
        <v/>
      </c>
      <c r="AO711" t="str">
        <f>IFERROR(VLOOKUP(M711,'Fixture Identities'!$B$9:$O$1045,14,FALSE),"")</f>
        <v/>
      </c>
      <c r="AP711" t="str">
        <f t="shared" si="248"/>
        <v/>
      </c>
    </row>
    <row r="712" spans="1:42">
      <c r="A712" s="71">
        <f t="shared" si="256"/>
        <v>0</v>
      </c>
      <c r="B712" s="513">
        <f t="shared" si="255"/>
        <v>700</v>
      </c>
      <c r="C712" s="530" t="str">
        <f>IF(Inventory!E709="","",Inventory!E709)</f>
        <v/>
      </c>
      <c r="D712" s="531">
        <f>IF(Inventory!D709="",0,Inventory!D709)</f>
        <v>0</v>
      </c>
      <c r="E712" s="532" t="str">
        <f>IF(Inventory!I709=0,"",Inventory!I709)</f>
        <v/>
      </c>
      <c r="F712" s="533" t="str">
        <f t="shared" si="257"/>
        <v/>
      </c>
      <c r="G712" s="534" t="str">
        <f>IF(Inventory!G709="","",Inventory!G709)</f>
        <v/>
      </c>
      <c r="H712" s="535" t="str">
        <f t="shared" si="258"/>
        <v/>
      </c>
      <c r="I712" s="536" t="str">
        <f>IF(Inventory!J709="","",Inventory!J709)</f>
        <v/>
      </c>
      <c r="J712" s="537" t="str">
        <f>IFERROR(IF(PRJ_Type="New Construction",IF(Inventory!C709="N",INDEX(xyLPD_BuildingArea,MATCH(Building_Type,Lookups!$F$37:$F$75,0),4),INDEX(xyLPD_SpaceBySpace,MATCH(INDEX(xyNCEx,MATCH(I712,yNCExArea,0),2),ySpace_by_Space_Type,0),2)),VLOOKUP(E712,xyWattage_Table,11,FALSE)),"")</f>
        <v/>
      </c>
      <c r="K712" s="538" t="str">
        <f>IFERROR(IF(AND(NC_Type="Building Area Method",Inventory!C709="N"),IF(ISERROR(INDEX('Usage Groups (&gt;120 MWh only)'!$N$8:$N$12,MATCH(C712,'Usage Groups (&gt;120 MWh only)'!$B$8:$B$12,0),1))=TRUE,SqFt/COUNTIFS(Inventory!$C$10:$C$1009,"N",$Q$13:$Q$1012,"&gt;=0"),INDEX('Usage Groups (&gt;120 MWh only)'!$N$8:$N$12,MATCH(C712,'Usage Groups (&gt;120 MWh only)'!$B$8:$B$12,0),1)/COUNTIF($C$13:$C$1012,C712)),IF(AND(NC_Type="Building Area Method",Inventory!C709="Y"),INDEX(xyNCEx,MATCH(I712,yNCExArea,0),3)/COUNTIF($I$13:$I$1012,I712),VLOOKUP(J712,xyWattage_Table,10,FALSE))),"")</f>
        <v/>
      </c>
      <c r="L712" s="539" t="str">
        <f t="shared" si="259"/>
        <v/>
      </c>
      <c r="M712" s="540">
        <f>IF(Inventory!N709="","",Inventory!N709)</f>
        <v>0</v>
      </c>
      <c r="N712" s="533" t="str">
        <f t="shared" si="260"/>
        <v/>
      </c>
      <c r="O712" s="534"/>
      <c r="P712" s="533" t="str">
        <f t="shared" si="261"/>
        <v/>
      </c>
      <c r="Q712" s="534" t="str">
        <f>IF(Inventory!L709="","",Inventory!L709)</f>
        <v/>
      </c>
      <c r="R712" s="535" t="str">
        <f t="shared" si="262"/>
        <v/>
      </c>
      <c r="S712" s="536" t="str">
        <f>IF(Inventory!O709="","",Inventory!O709)</f>
        <v/>
      </c>
      <c r="T712" s="541" t="str">
        <f>IFERROR(IF(C712="","",IF(INDEX(xyWattage_Table,MATCH(M712,'Fixture Identities'!$B$9:$B$997,0),2)="Exit Sign",8760,IF(VLOOKUP(C712,xySpace_Type_Details,8,FALSE)="TRM",INDEX('General Information'!$AF$17:$AG$28,11,MATCH(N712,'General Information'!$AF$16:$AG$16,0)),HLOOKUP(VLOOKUP(C712,xySpace_Type_Details,8,FALSE),'General Information'!$P$15:$AG$28,13,FALSE)))),"")</f>
        <v/>
      </c>
      <c r="U712" s="542" t="str">
        <f>IFERROR(IF(C712="","",IF(INDEX(xyWattage_Table,MATCH(M712,'Fixture Identities'!$B$9:$B$997,0),2)="Exit Sign",1,IF(VLOOKUP(C712,xySpace_Type_Details,8,FALSE)="TRM",INDEX('General Information'!$AF$17:$AG$28,12,MATCH(N712,'General Information'!$AF$16:$AG$16,0)),HLOOKUP(VLOOKUP(C712,xySpace_Type_Details,8,FALSE),'General Information'!$P$15:$AG$28,14,FALSE)))),"")</f>
        <v/>
      </c>
      <c r="V712" s="542" t="str">
        <f>IFERROR(VLOOKUP(INDEX(xySpace_Type_Details,MATCH($C712,'General Information'!$C$40:$C$60,0),12),Lookups!$L$8:$N$12,2,FALSE),"")</f>
        <v/>
      </c>
      <c r="W712" s="542" t="str">
        <f>IFERROR(VLOOKUP(INDEX(xySpace_Type_Details,MATCH($C712,'General Information'!$C$40:$C$60,0),12),Lookups!$L$8:$N$12,3,FALSE),"")</f>
        <v/>
      </c>
      <c r="Y712" s="542" t="str">
        <f>IFERROR(IF(C712="","",IF(INDEX(xyWattage_Table,MATCH(M712,'Fixture Identities'!$B$9:$B$997,0),2)="Exit Sign",0,IF(PRJ_Type="Retrofit",VLOOKUP(I712,xySVG_Factors,2,FALSE),IF(AND(PRJ_Type="New Construction",Inventory!C709="N"),VLOOKUP(VLOOKUP(Building_Type,xyLPD_BuildingArea,5,FALSE),xySVG_Factors_NC,3,FALSE),0)))),"")</f>
        <v/>
      </c>
      <c r="Z712" s="544" t="str">
        <f>IFERROR(IF(C712="","",IF(INDEX(xyWattage_Table,MATCH(M712,'Fixture Identities'!$B$9:$B$997,0),2)="Exit Sign",0,VLOOKUP(S712,xySVG_Factors,2,FALSE))),"")</f>
        <v/>
      </c>
      <c r="AA712" s="545" t="str">
        <f t="shared" si="263"/>
        <v/>
      </c>
      <c r="AB712" s="542" t="str">
        <f t="shared" si="264"/>
        <v/>
      </c>
      <c r="AC712" s="539" t="str">
        <f t="shared" si="265"/>
        <v/>
      </c>
      <c r="AD712" s="546" t="str">
        <f t="shared" si="266"/>
        <v/>
      </c>
      <c r="AE712" s="539" t="str">
        <f t="shared" si="267"/>
        <v/>
      </c>
      <c r="AF712" s="546" t="str">
        <f t="shared" si="268"/>
        <v/>
      </c>
      <c r="AG712" s="539" t="str">
        <f t="shared" si="269"/>
        <v/>
      </c>
      <c r="AH712" s="32">
        <f t="shared" si="249"/>
        <v>0</v>
      </c>
      <c r="AI712" s="32">
        <f t="shared" si="250"/>
        <v>0</v>
      </c>
      <c r="AJ712" s="32">
        <f t="shared" si="251"/>
        <v>0</v>
      </c>
      <c r="AK712" t="str">
        <f t="shared" si="252"/>
        <v/>
      </c>
      <c r="AL712" t="str">
        <f t="shared" si="253"/>
        <v/>
      </c>
      <c r="AM712" t="str">
        <f t="shared" si="254"/>
        <v/>
      </c>
      <c r="AO712" t="str">
        <f>IFERROR(VLOOKUP(M712,'Fixture Identities'!$B$9:$O$1045,14,FALSE),"")</f>
        <v/>
      </c>
      <c r="AP712" t="str">
        <f t="shared" si="248"/>
        <v/>
      </c>
    </row>
    <row r="713" spans="1:42">
      <c r="A713" s="71">
        <f t="shared" si="256"/>
        <v>0</v>
      </c>
      <c r="B713" s="513">
        <f t="shared" si="255"/>
        <v>701</v>
      </c>
      <c r="C713" s="530" t="str">
        <f>IF(Inventory!E710="","",Inventory!E710)</f>
        <v/>
      </c>
      <c r="D713" s="531">
        <f>IF(Inventory!D710="",0,Inventory!D710)</f>
        <v>0</v>
      </c>
      <c r="E713" s="532" t="str">
        <f>IF(Inventory!I710=0,"",Inventory!I710)</f>
        <v/>
      </c>
      <c r="F713" s="533" t="str">
        <f t="shared" si="257"/>
        <v/>
      </c>
      <c r="G713" s="534" t="str">
        <f>IF(Inventory!G710="","",Inventory!G710)</f>
        <v/>
      </c>
      <c r="H713" s="535" t="str">
        <f t="shared" si="258"/>
        <v/>
      </c>
      <c r="I713" s="536" t="str">
        <f>IF(Inventory!J710="","",Inventory!J710)</f>
        <v/>
      </c>
      <c r="J713" s="537" t="str">
        <f>IFERROR(IF(PRJ_Type="New Construction",IF(Inventory!C710="N",INDEX(xyLPD_BuildingArea,MATCH(Building_Type,Lookups!$F$37:$F$75,0),4),INDEX(xyLPD_SpaceBySpace,MATCH(INDEX(xyNCEx,MATCH(I713,yNCExArea,0),2),ySpace_by_Space_Type,0),2)),VLOOKUP(E713,xyWattage_Table,11,FALSE)),"")</f>
        <v/>
      </c>
      <c r="K713" s="538" t="str">
        <f>IFERROR(IF(AND(NC_Type="Building Area Method",Inventory!C710="N"),IF(ISERROR(INDEX('Usage Groups (&gt;120 MWh only)'!$N$8:$N$12,MATCH(C713,'Usage Groups (&gt;120 MWh only)'!$B$8:$B$12,0),1))=TRUE,SqFt/COUNTIFS(Inventory!$C$10:$C$1009,"N",$Q$13:$Q$1012,"&gt;=0"),INDEX('Usage Groups (&gt;120 MWh only)'!$N$8:$N$12,MATCH(C713,'Usage Groups (&gt;120 MWh only)'!$B$8:$B$12,0),1)/COUNTIF($C$13:$C$1012,C713)),IF(AND(NC_Type="Building Area Method",Inventory!C710="Y"),INDEX(xyNCEx,MATCH(I713,yNCExArea,0),3)/COUNTIF($I$13:$I$1012,I713),VLOOKUP(J713,xyWattage_Table,10,FALSE))),"")</f>
        <v/>
      </c>
      <c r="L713" s="539" t="str">
        <f t="shared" si="259"/>
        <v/>
      </c>
      <c r="M713" s="540">
        <f>IF(Inventory!N710="","",Inventory!N710)</f>
        <v>0</v>
      </c>
      <c r="N713" s="533" t="str">
        <f t="shared" si="260"/>
        <v/>
      </c>
      <c r="O713" s="534"/>
      <c r="P713" s="533" t="str">
        <f t="shared" si="261"/>
        <v/>
      </c>
      <c r="Q713" s="534" t="str">
        <f>IF(Inventory!L710="","",Inventory!L710)</f>
        <v/>
      </c>
      <c r="R713" s="535" t="str">
        <f t="shared" si="262"/>
        <v/>
      </c>
      <c r="S713" s="536" t="str">
        <f>IF(Inventory!O710="","",Inventory!O710)</f>
        <v/>
      </c>
      <c r="T713" s="541" t="str">
        <f>IFERROR(IF(C713="","",IF(INDEX(xyWattage_Table,MATCH(M713,'Fixture Identities'!$B$9:$B$997,0),2)="Exit Sign",8760,IF(VLOOKUP(C713,xySpace_Type_Details,8,FALSE)="TRM",INDEX('General Information'!$AF$17:$AG$28,11,MATCH(N713,'General Information'!$AF$16:$AG$16,0)),HLOOKUP(VLOOKUP(C713,xySpace_Type_Details,8,FALSE),'General Information'!$P$15:$AG$28,13,FALSE)))),"")</f>
        <v/>
      </c>
      <c r="U713" s="542" t="str">
        <f>IFERROR(IF(C713="","",IF(INDEX(xyWattage_Table,MATCH(M713,'Fixture Identities'!$B$9:$B$997,0),2)="Exit Sign",1,IF(VLOOKUP(C713,xySpace_Type_Details,8,FALSE)="TRM",INDEX('General Information'!$AF$17:$AG$28,12,MATCH(N713,'General Information'!$AF$16:$AG$16,0)),HLOOKUP(VLOOKUP(C713,xySpace_Type_Details,8,FALSE),'General Information'!$P$15:$AG$28,14,FALSE)))),"")</f>
        <v/>
      </c>
      <c r="V713" s="542" t="str">
        <f>IFERROR(VLOOKUP(INDEX(xySpace_Type_Details,MATCH($C713,'General Information'!$C$40:$C$60,0),12),Lookups!$L$8:$N$12,2,FALSE),"")</f>
        <v/>
      </c>
      <c r="W713" s="542" t="str">
        <f>IFERROR(VLOOKUP(INDEX(xySpace_Type_Details,MATCH($C713,'General Information'!$C$40:$C$60,0),12),Lookups!$L$8:$N$12,3,FALSE),"")</f>
        <v/>
      </c>
      <c r="Y713" s="542" t="str">
        <f>IFERROR(IF(C713="","",IF(INDEX(xyWattage_Table,MATCH(M713,'Fixture Identities'!$B$9:$B$997,0),2)="Exit Sign",0,IF(PRJ_Type="Retrofit",VLOOKUP(I713,xySVG_Factors,2,FALSE),IF(AND(PRJ_Type="New Construction",Inventory!C710="N"),VLOOKUP(VLOOKUP(Building_Type,xyLPD_BuildingArea,5,FALSE),xySVG_Factors_NC,3,FALSE),0)))),"")</f>
        <v/>
      </c>
      <c r="Z713" s="544" t="str">
        <f>IFERROR(IF(C713="","",IF(INDEX(xyWattage_Table,MATCH(M713,'Fixture Identities'!$B$9:$B$997,0),2)="Exit Sign",0,VLOOKUP(S713,xySVG_Factors,2,FALSE))),"")</f>
        <v/>
      </c>
      <c r="AA713" s="545" t="str">
        <f t="shared" si="263"/>
        <v/>
      </c>
      <c r="AB713" s="542" t="str">
        <f t="shared" si="264"/>
        <v/>
      </c>
      <c r="AC713" s="539" t="str">
        <f t="shared" si="265"/>
        <v/>
      </c>
      <c r="AD713" s="546" t="str">
        <f t="shared" si="266"/>
        <v/>
      </c>
      <c r="AE713" s="539" t="str">
        <f t="shared" si="267"/>
        <v/>
      </c>
      <c r="AF713" s="546" t="str">
        <f t="shared" si="268"/>
        <v/>
      </c>
      <c r="AG713" s="539" t="str">
        <f t="shared" si="269"/>
        <v/>
      </c>
      <c r="AH713" s="32">
        <f t="shared" si="249"/>
        <v>0</v>
      </c>
      <c r="AI713" s="32">
        <f t="shared" si="250"/>
        <v>0</v>
      </c>
      <c r="AJ713" s="32">
        <f t="shared" si="251"/>
        <v>0</v>
      </c>
      <c r="AK713" t="str">
        <f t="shared" si="252"/>
        <v/>
      </c>
      <c r="AL713" t="str">
        <f t="shared" si="253"/>
        <v/>
      </c>
      <c r="AM713" t="str">
        <f t="shared" si="254"/>
        <v/>
      </c>
      <c r="AO713" t="str">
        <f>IFERROR(VLOOKUP(M713,'Fixture Identities'!$B$9:$O$1045,14,FALSE),"")</f>
        <v/>
      </c>
      <c r="AP713" t="str">
        <f t="shared" si="248"/>
        <v/>
      </c>
    </row>
    <row r="714" spans="1:42">
      <c r="A714" s="71">
        <f t="shared" si="256"/>
        <v>0</v>
      </c>
      <c r="B714" s="513">
        <f t="shared" si="255"/>
        <v>702</v>
      </c>
      <c r="C714" s="530" t="str">
        <f>IF(Inventory!E711="","",Inventory!E711)</f>
        <v/>
      </c>
      <c r="D714" s="531">
        <f>IF(Inventory!D711="",0,Inventory!D711)</f>
        <v>0</v>
      </c>
      <c r="E714" s="532" t="str">
        <f>IF(Inventory!I711=0,"",Inventory!I711)</f>
        <v/>
      </c>
      <c r="F714" s="533" t="str">
        <f t="shared" si="257"/>
        <v/>
      </c>
      <c r="G714" s="534" t="str">
        <f>IF(Inventory!G711="","",Inventory!G711)</f>
        <v/>
      </c>
      <c r="H714" s="535" t="str">
        <f t="shared" si="258"/>
        <v/>
      </c>
      <c r="I714" s="536" t="str">
        <f>IF(Inventory!J711="","",Inventory!J711)</f>
        <v/>
      </c>
      <c r="J714" s="537" t="str">
        <f>IFERROR(IF(PRJ_Type="New Construction",IF(Inventory!C711="N",INDEX(xyLPD_BuildingArea,MATCH(Building_Type,Lookups!$F$37:$F$75,0),4),INDEX(xyLPD_SpaceBySpace,MATCH(INDEX(xyNCEx,MATCH(I714,yNCExArea,0),2),ySpace_by_Space_Type,0),2)),VLOOKUP(E714,xyWattage_Table,11,FALSE)),"")</f>
        <v/>
      </c>
      <c r="K714" s="538" t="str">
        <f>IFERROR(IF(AND(NC_Type="Building Area Method",Inventory!C711="N"),IF(ISERROR(INDEX('Usage Groups (&gt;120 MWh only)'!$N$8:$N$12,MATCH(C714,'Usage Groups (&gt;120 MWh only)'!$B$8:$B$12,0),1))=TRUE,SqFt/COUNTIFS(Inventory!$C$10:$C$1009,"N",$Q$13:$Q$1012,"&gt;=0"),INDEX('Usage Groups (&gt;120 MWh only)'!$N$8:$N$12,MATCH(C714,'Usage Groups (&gt;120 MWh only)'!$B$8:$B$12,0),1)/COUNTIF($C$13:$C$1012,C714)),IF(AND(NC_Type="Building Area Method",Inventory!C711="Y"),INDEX(xyNCEx,MATCH(I714,yNCExArea,0),3)/COUNTIF($I$13:$I$1012,I714),VLOOKUP(J714,xyWattage_Table,10,FALSE))),"")</f>
        <v/>
      </c>
      <c r="L714" s="539" t="str">
        <f t="shared" si="259"/>
        <v/>
      </c>
      <c r="M714" s="540">
        <f>IF(Inventory!N711="","",Inventory!N711)</f>
        <v>0</v>
      </c>
      <c r="N714" s="533" t="str">
        <f t="shared" si="260"/>
        <v/>
      </c>
      <c r="O714" s="534"/>
      <c r="P714" s="533" t="str">
        <f t="shared" si="261"/>
        <v/>
      </c>
      <c r="Q714" s="534" t="str">
        <f>IF(Inventory!L711="","",Inventory!L711)</f>
        <v/>
      </c>
      <c r="R714" s="535" t="str">
        <f t="shared" si="262"/>
        <v/>
      </c>
      <c r="S714" s="536" t="str">
        <f>IF(Inventory!O711="","",Inventory!O711)</f>
        <v/>
      </c>
      <c r="T714" s="541" t="str">
        <f>IFERROR(IF(C714="","",IF(INDEX(xyWattage_Table,MATCH(M714,'Fixture Identities'!$B$9:$B$997,0),2)="Exit Sign",8760,IF(VLOOKUP(C714,xySpace_Type_Details,8,FALSE)="TRM",INDEX('General Information'!$AF$17:$AG$28,11,MATCH(N714,'General Information'!$AF$16:$AG$16,0)),HLOOKUP(VLOOKUP(C714,xySpace_Type_Details,8,FALSE),'General Information'!$P$15:$AG$28,13,FALSE)))),"")</f>
        <v/>
      </c>
      <c r="U714" s="542" t="str">
        <f>IFERROR(IF(C714="","",IF(INDEX(xyWattage_Table,MATCH(M714,'Fixture Identities'!$B$9:$B$997,0),2)="Exit Sign",1,IF(VLOOKUP(C714,xySpace_Type_Details,8,FALSE)="TRM",INDEX('General Information'!$AF$17:$AG$28,12,MATCH(N714,'General Information'!$AF$16:$AG$16,0)),HLOOKUP(VLOOKUP(C714,xySpace_Type_Details,8,FALSE),'General Information'!$P$15:$AG$28,14,FALSE)))),"")</f>
        <v/>
      </c>
      <c r="V714" s="542" t="str">
        <f>IFERROR(VLOOKUP(INDEX(xySpace_Type_Details,MATCH($C714,'General Information'!$C$40:$C$60,0),12),Lookups!$L$8:$N$12,2,FALSE),"")</f>
        <v/>
      </c>
      <c r="W714" s="542" t="str">
        <f>IFERROR(VLOOKUP(INDEX(xySpace_Type_Details,MATCH($C714,'General Information'!$C$40:$C$60,0),12),Lookups!$L$8:$N$12,3,FALSE),"")</f>
        <v/>
      </c>
      <c r="Y714" s="542" t="str">
        <f>IFERROR(IF(C714="","",IF(INDEX(xyWattage_Table,MATCH(M714,'Fixture Identities'!$B$9:$B$997,0),2)="Exit Sign",0,IF(PRJ_Type="Retrofit",VLOOKUP(I714,xySVG_Factors,2,FALSE),IF(AND(PRJ_Type="New Construction",Inventory!C711="N"),VLOOKUP(VLOOKUP(Building_Type,xyLPD_BuildingArea,5,FALSE),xySVG_Factors_NC,3,FALSE),0)))),"")</f>
        <v/>
      </c>
      <c r="Z714" s="544" t="str">
        <f>IFERROR(IF(C714="","",IF(INDEX(xyWattage_Table,MATCH(M714,'Fixture Identities'!$B$9:$B$997,0),2)="Exit Sign",0,VLOOKUP(S714,xySVG_Factors,2,FALSE))),"")</f>
        <v/>
      </c>
      <c r="AA714" s="545" t="str">
        <f t="shared" si="263"/>
        <v/>
      </c>
      <c r="AB714" s="542" t="str">
        <f t="shared" si="264"/>
        <v/>
      </c>
      <c r="AC714" s="539" t="str">
        <f t="shared" si="265"/>
        <v/>
      </c>
      <c r="AD714" s="546" t="str">
        <f t="shared" si="266"/>
        <v/>
      </c>
      <c r="AE714" s="539" t="str">
        <f t="shared" si="267"/>
        <v/>
      </c>
      <c r="AF714" s="546" t="str">
        <f t="shared" si="268"/>
        <v/>
      </c>
      <c r="AG714" s="539" t="str">
        <f t="shared" si="269"/>
        <v/>
      </c>
      <c r="AH714" s="32">
        <f t="shared" si="249"/>
        <v>0</v>
      </c>
      <c r="AI714" s="32">
        <f t="shared" si="250"/>
        <v>0</v>
      </c>
      <c r="AJ714" s="32">
        <f t="shared" si="251"/>
        <v>0</v>
      </c>
      <c r="AK714" t="str">
        <f t="shared" si="252"/>
        <v/>
      </c>
      <c r="AL714" t="str">
        <f t="shared" si="253"/>
        <v/>
      </c>
      <c r="AM714" t="str">
        <f t="shared" si="254"/>
        <v/>
      </c>
      <c r="AO714" t="str">
        <f>IFERROR(VLOOKUP(M714,'Fixture Identities'!$B$9:$O$1045,14,FALSE),"")</f>
        <v/>
      </c>
      <c r="AP714" t="str">
        <f t="shared" si="248"/>
        <v/>
      </c>
    </row>
    <row r="715" spans="1:42">
      <c r="A715" s="71">
        <f t="shared" si="256"/>
        <v>0</v>
      </c>
      <c r="B715" s="513">
        <f t="shared" si="255"/>
        <v>703</v>
      </c>
      <c r="C715" s="530" t="str">
        <f>IF(Inventory!E712="","",Inventory!E712)</f>
        <v/>
      </c>
      <c r="D715" s="531">
        <f>IF(Inventory!D712="",0,Inventory!D712)</f>
        <v>0</v>
      </c>
      <c r="E715" s="532" t="str">
        <f>IF(Inventory!I712=0,"",Inventory!I712)</f>
        <v/>
      </c>
      <c r="F715" s="533" t="str">
        <f t="shared" si="257"/>
        <v/>
      </c>
      <c r="G715" s="534" t="str">
        <f>IF(Inventory!G712="","",Inventory!G712)</f>
        <v/>
      </c>
      <c r="H715" s="535" t="str">
        <f t="shared" si="258"/>
        <v/>
      </c>
      <c r="I715" s="536" t="str">
        <f>IF(Inventory!J712="","",Inventory!J712)</f>
        <v/>
      </c>
      <c r="J715" s="537" t="str">
        <f>IFERROR(IF(PRJ_Type="New Construction",IF(Inventory!C712="N",INDEX(xyLPD_BuildingArea,MATCH(Building_Type,Lookups!$F$37:$F$75,0),4),INDEX(xyLPD_SpaceBySpace,MATCH(INDEX(xyNCEx,MATCH(I715,yNCExArea,0),2),ySpace_by_Space_Type,0),2)),VLOOKUP(E715,xyWattage_Table,11,FALSE)),"")</f>
        <v/>
      </c>
      <c r="K715" s="538" t="str">
        <f>IFERROR(IF(AND(NC_Type="Building Area Method",Inventory!C712="N"),IF(ISERROR(INDEX('Usage Groups (&gt;120 MWh only)'!$N$8:$N$12,MATCH(C715,'Usage Groups (&gt;120 MWh only)'!$B$8:$B$12,0),1))=TRUE,SqFt/COUNTIFS(Inventory!$C$10:$C$1009,"N",$Q$13:$Q$1012,"&gt;=0"),INDEX('Usage Groups (&gt;120 MWh only)'!$N$8:$N$12,MATCH(C715,'Usage Groups (&gt;120 MWh only)'!$B$8:$B$12,0),1)/COUNTIF($C$13:$C$1012,C715)),IF(AND(NC_Type="Building Area Method",Inventory!C712="Y"),INDEX(xyNCEx,MATCH(I715,yNCExArea,0),3)/COUNTIF($I$13:$I$1012,I715),VLOOKUP(J715,xyWattage_Table,10,FALSE))),"")</f>
        <v/>
      </c>
      <c r="L715" s="539" t="str">
        <f t="shared" si="259"/>
        <v/>
      </c>
      <c r="M715" s="540">
        <f>IF(Inventory!N712="","",Inventory!N712)</f>
        <v>0</v>
      </c>
      <c r="N715" s="533" t="str">
        <f t="shared" si="260"/>
        <v/>
      </c>
      <c r="O715" s="534"/>
      <c r="P715" s="533" t="str">
        <f t="shared" si="261"/>
        <v/>
      </c>
      <c r="Q715" s="534" t="str">
        <f>IF(Inventory!L712="","",Inventory!L712)</f>
        <v/>
      </c>
      <c r="R715" s="535" t="str">
        <f t="shared" si="262"/>
        <v/>
      </c>
      <c r="S715" s="536" t="str">
        <f>IF(Inventory!O712="","",Inventory!O712)</f>
        <v/>
      </c>
      <c r="T715" s="541" t="str">
        <f>IFERROR(IF(C715="","",IF(INDEX(xyWattage_Table,MATCH(M715,'Fixture Identities'!$B$9:$B$997,0),2)="Exit Sign",8760,IF(VLOOKUP(C715,xySpace_Type_Details,8,FALSE)="TRM",INDEX('General Information'!$AF$17:$AG$28,11,MATCH(N715,'General Information'!$AF$16:$AG$16,0)),HLOOKUP(VLOOKUP(C715,xySpace_Type_Details,8,FALSE),'General Information'!$P$15:$AG$28,13,FALSE)))),"")</f>
        <v/>
      </c>
      <c r="U715" s="542" t="str">
        <f>IFERROR(IF(C715="","",IF(INDEX(xyWattage_Table,MATCH(M715,'Fixture Identities'!$B$9:$B$997,0),2)="Exit Sign",1,IF(VLOOKUP(C715,xySpace_Type_Details,8,FALSE)="TRM",INDEX('General Information'!$AF$17:$AG$28,12,MATCH(N715,'General Information'!$AF$16:$AG$16,0)),HLOOKUP(VLOOKUP(C715,xySpace_Type_Details,8,FALSE),'General Information'!$P$15:$AG$28,14,FALSE)))),"")</f>
        <v/>
      </c>
      <c r="V715" s="542" t="str">
        <f>IFERROR(VLOOKUP(INDEX(xySpace_Type_Details,MATCH($C715,'General Information'!$C$40:$C$60,0),12),Lookups!$L$8:$N$12,2,FALSE),"")</f>
        <v/>
      </c>
      <c r="W715" s="542" t="str">
        <f>IFERROR(VLOOKUP(INDEX(xySpace_Type_Details,MATCH($C715,'General Information'!$C$40:$C$60,0),12),Lookups!$L$8:$N$12,3,FALSE),"")</f>
        <v/>
      </c>
      <c r="Y715" s="542" t="str">
        <f>IFERROR(IF(C715="","",IF(INDEX(xyWattage_Table,MATCH(M715,'Fixture Identities'!$B$9:$B$997,0),2)="Exit Sign",0,IF(PRJ_Type="Retrofit",VLOOKUP(I715,xySVG_Factors,2,FALSE),IF(AND(PRJ_Type="New Construction",Inventory!C712="N"),VLOOKUP(VLOOKUP(Building_Type,xyLPD_BuildingArea,5,FALSE),xySVG_Factors_NC,3,FALSE),0)))),"")</f>
        <v/>
      </c>
      <c r="Z715" s="544" t="str">
        <f>IFERROR(IF(C715="","",IF(INDEX(xyWattage_Table,MATCH(M715,'Fixture Identities'!$B$9:$B$997,0),2)="Exit Sign",0,VLOOKUP(S715,xySVG_Factors,2,FALSE))),"")</f>
        <v/>
      </c>
      <c r="AA715" s="545" t="str">
        <f t="shared" si="263"/>
        <v/>
      </c>
      <c r="AB715" s="542" t="str">
        <f t="shared" si="264"/>
        <v/>
      </c>
      <c r="AC715" s="539" t="str">
        <f t="shared" si="265"/>
        <v/>
      </c>
      <c r="AD715" s="546" t="str">
        <f t="shared" si="266"/>
        <v/>
      </c>
      <c r="AE715" s="539" t="str">
        <f t="shared" si="267"/>
        <v/>
      </c>
      <c r="AF715" s="546" t="str">
        <f t="shared" si="268"/>
        <v/>
      </c>
      <c r="AG715" s="539" t="str">
        <f t="shared" si="269"/>
        <v/>
      </c>
      <c r="AH715" s="32">
        <f t="shared" si="249"/>
        <v>0</v>
      </c>
      <c r="AI715" s="32">
        <f t="shared" si="250"/>
        <v>0</v>
      </c>
      <c r="AJ715" s="32">
        <f t="shared" si="251"/>
        <v>0</v>
      </c>
      <c r="AK715" t="str">
        <f t="shared" si="252"/>
        <v/>
      </c>
      <c r="AL715" t="str">
        <f t="shared" si="253"/>
        <v/>
      </c>
      <c r="AM715" t="str">
        <f t="shared" si="254"/>
        <v/>
      </c>
      <c r="AO715" t="str">
        <f>IFERROR(VLOOKUP(M715,'Fixture Identities'!$B$9:$O$1045,14,FALSE),"")</f>
        <v/>
      </c>
      <c r="AP715" t="str">
        <f t="shared" si="248"/>
        <v/>
      </c>
    </row>
    <row r="716" spans="1:42">
      <c r="A716" s="71">
        <f t="shared" si="256"/>
        <v>0</v>
      </c>
      <c r="B716" s="513">
        <f t="shared" si="255"/>
        <v>704</v>
      </c>
      <c r="C716" s="530" t="str">
        <f>IF(Inventory!E713="","",Inventory!E713)</f>
        <v/>
      </c>
      <c r="D716" s="531">
        <f>IF(Inventory!D713="",0,Inventory!D713)</f>
        <v>0</v>
      </c>
      <c r="E716" s="532" t="str">
        <f>IF(Inventory!I713=0,"",Inventory!I713)</f>
        <v/>
      </c>
      <c r="F716" s="533" t="str">
        <f t="shared" si="257"/>
        <v/>
      </c>
      <c r="G716" s="534" t="str">
        <f>IF(Inventory!G713="","",Inventory!G713)</f>
        <v/>
      </c>
      <c r="H716" s="535" t="str">
        <f t="shared" si="258"/>
        <v/>
      </c>
      <c r="I716" s="536" t="str">
        <f>IF(Inventory!J713="","",Inventory!J713)</f>
        <v/>
      </c>
      <c r="J716" s="537" t="str">
        <f>IFERROR(IF(PRJ_Type="New Construction",IF(Inventory!C713="N",INDEX(xyLPD_BuildingArea,MATCH(Building_Type,Lookups!$F$37:$F$75,0),4),INDEX(xyLPD_SpaceBySpace,MATCH(INDEX(xyNCEx,MATCH(I716,yNCExArea,0),2),ySpace_by_Space_Type,0),2)),VLOOKUP(E716,xyWattage_Table,11,FALSE)),"")</f>
        <v/>
      </c>
      <c r="K716" s="538" t="str">
        <f>IFERROR(IF(AND(NC_Type="Building Area Method",Inventory!C713="N"),IF(ISERROR(INDEX('Usage Groups (&gt;120 MWh only)'!$N$8:$N$12,MATCH(C716,'Usage Groups (&gt;120 MWh only)'!$B$8:$B$12,0),1))=TRUE,SqFt/COUNTIFS(Inventory!$C$10:$C$1009,"N",$Q$13:$Q$1012,"&gt;=0"),INDEX('Usage Groups (&gt;120 MWh only)'!$N$8:$N$12,MATCH(C716,'Usage Groups (&gt;120 MWh only)'!$B$8:$B$12,0),1)/COUNTIF($C$13:$C$1012,C716)),IF(AND(NC_Type="Building Area Method",Inventory!C713="Y"),INDEX(xyNCEx,MATCH(I716,yNCExArea,0),3)/COUNTIF($I$13:$I$1012,I716),VLOOKUP(J716,xyWattage_Table,10,FALSE))),"")</f>
        <v/>
      </c>
      <c r="L716" s="539" t="str">
        <f t="shared" si="259"/>
        <v/>
      </c>
      <c r="M716" s="540">
        <f>IF(Inventory!N713="","",Inventory!N713)</f>
        <v>0</v>
      </c>
      <c r="N716" s="533" t="str">
        <f t="shared" si="260"/>
        <v/>
      </c>
      <c r="O716" s="534"/>
      <c r="P716" s="533" t="str">
        <f t="shared" si="261"/>
        <v/>
      </c>
      <c r="Q716" s="534" t="str">
        <f>IF(Inventory!L713="","",Inventory!L713)</f>
        <v/>
      </c>
      <c r="R716" s="535" t="str">
        <f t="shared" si="262"/>
        <v/>
      </c>
      <c r="S716" s="536" t="str">
        <f>IF(Inventory!O713="","",Inventory!O713)</f>
        <v/>
      </c>
      <c r="T716" s="541" t="str">
        <f>IFERROR(IF(C716="","",IF(INDEX(xyWattage_Table,MATCH(M716,'Fixture Identities'!$B$9:$B$997,0),2)="Exit Sign",8760,IF(VLOOKUP(C716,xySpace_Type_Details,8,FALSE)="TRM",INDEX('General Information'!$AF$17:$AG$28,11,MATCH(N716,'General Information'!$AF$16:$AG$16,0)),HLOOKUP(VLOOKUP(C716,xySpace_Type_Details,8,FALSE),'General Information'!$P$15:$AG$28,13,FALSE)))),"")</f>
        <v/>
      </c>
      <c r="U716" s="542" t="str">
        <f>IFERROR(IF(C716="","",IF(INDEX(xyWattage_Table,MATCH(M716,'Fixture Identities'!$B$9:$B$997,0),2)="Exit Sign",1,IF(VLOOKUP(C716,xySpace_Type_Details,8,FALSE)="TRM",INDEX('General Information'!$AF$17:$AG$28,12,MATCH(N716,'General Information'!$AF$16:$AG$16,0)),HLOOKUP(VLOOKUP(C716,xySpace_Type_Details,8,FALSE),'General Information'!$P$15:$AG$28,14,FALSE)))),"")</f>
        <v/>
      </c>
      <c r="V716" s="542" t="str">
        <f>IFERROR(VLOOKUP(INDEX(xySpace_Type_Details,MATCH($C716,'General Information'!$C$40:$C$60,0),12),Lookups!$L$8:$N$12,2,FALSE),"")</f>
        <v/>
      </c>
      <c r="W716" s="542" t="str">
        <f>IFERROR(VLOOKUP(INDEX(xySpace_Type_Details,MATCH($C716,'General Information'!$C$40:$C$60,0),12),Lookups!$L$8:$N$12,3,FALSE),"")</f>
        <v/>
      </c>
      <c r="Y716" s="542" t="str">
        <f>IFERROR(IF(C716="","",IF(INDEX(xyWattage_Table,MATCH(M716,'Fixture Identities'!$B$9:$B$997,0),2)="Exit Sign",0,IF(PRJ_Type="Retrofit",VLOOKUP(I716,xySVG_Factors,2,FALSE),IF(AND(PRJ_Type="New Construction",Inventory!C713="N"),VLOOKUP(VLOOKUP(Building_Type,xyLPD_BuildingArea,5,FALSE),xySVG_Factors_NC,3,FALSE),0)))),"")</f>
        <v/>
      </c>
      <c r="Z716" s="544" t="str">
        <f>IFERROR(IF(C716="","",IF(INDEX(xyWattage_Table,MATCH(M716,'Fixture Identities'!$B$9:$B$997,0),2)="Exit Sign",0,VLOOKUP(S716,xySVG_Factors,2,FALSE))),"")</f>
        <v/>
      </c>
      <c r="AA716" s="545" t="str">
        <f t="shared" si="263"/>
        <v/>
      </c>
      <c r="AB716" s="542" t="str">
        <f t="shared" si="264"/>
        <v/>
      </c>
      <c r="AC716" s="539" t="str">
        <f t="shared" si="265"/>
        <v/>
      </c>
      <c r="AD716" s="546" t="str">
        <f t="shared" si="266"/>
        <v/>
      </c>
      <c r="AE716" s="539" t="str">
        <f t="shared" si="267"/>
        <v/>
      </c>
      <c r="AF716" s="546" t="str">
        <f t="shared" si="268"/>
        <v/>
      </c>
      <c r="AG716" s="539" t="str">
        <f t="shared" si="269"/>
        <v/>
      </c>
      <c r="AH716" s="32">
        <f t="shared" si="249"/>
        <v>0</v>
      </c>
      <c r="AI716" s="32">
        <f t="shared" si="250"/>
        <v>0</v>
      </c>
      <c r="AJ716" s="32">
        <f t="shared" si="251"/>
        <v>0</v>
      </c>
      <c r="AK716" t="str">
        <f t="shared" si="252"/>
        <v/>
      </c>
      <c r="AL716" t="str">
        <f t="shared" si="253"/>
        <v/>
      </c>
      <c r="AM716" t="str">
        <f t="shared" si="254"/>
        <v/>
      </c>
      <c r="AO716" t="str">
        <f>IFERROR(VLOOKUP(M716,'Fixture Identities'!$B$9:$O$1045,14,FALSE),"")</f>
        <v/>
      </c>
      <c r="AP716" t="str">
        <f t="shared" si="248"/>
        <v/>
      </c>
    </row>
    <row r="717" spans="1:42">
      <c r="A717" s="71">
        <f t="shared" si="256"/>
        <v>0</v>
      </c>
      <c r="B717" s="513">
        <f t="shared" si="255"/>
        <v>705</v>
      </c>
      <c r="C717" s="530" t="str">
        <f>IF(Inventory!E714="","",Inventory!E714)</f>
        <v/>
      </c>
      <c r="D717" s="531">
        <f>IF(Inventory!D714="",0,Inventory!D714)</f>
        <v>0</v>
      </c>
      <c r="E717" s="532" t="str">
        <f>IF(Inventory!I714=0,"",Inventory!I714)</f>
        <v/>
      </c>
      <c r="F717" s="533" t="str">
        <f t="shared" si="257"/>
        <v/>
      </c>
      <c r="G717" s="534" t="str">
        <f>IF(Inventory!G714="","",Inventory!G714)</f>
        <v/>
      </c>
      <c r="H717" s="535" t="str">
        <f t="shared" si="258"/>
        <v/>
      </c>
      <c r="I717" s="536" t="str">
        <f>IF(Inventory!J714="","",Inventory!J714)</f>
        <v/>
      </c>
      <c r="J717" s="537" t="str">
        <f>IFERROR(IF(PRJ_Type="New Construction",IF(Inventory!C714="N",INDEX(xyLPD_BuildingArea,MATCH(Building_Type,Lookups!$F$37:$F$75,0),4),INDEX(xyLPD_SpaceBySpace,MATCH(INDEX(xyNCEx,MATCH(I717,yNCExArea,0),2),ySpace_by_Space_Type,0),2)),VLOOKUP(E717,xyWattage_Table,11,FALSE)),"")</f>
        <v/>
      </c>
      <c r="K717" s="538" t="str">
        <f>IFERROR(IF(AND(NC_Type="Building Area Method",Inventory!C714="N"),IF(ISERROR(INDEX('Usage Groups (&gt;120 MWh only)'!$N$8:$N$12,MATCH(C717,'Usage Groups (&gt;120 MWh only)'!$B$8:$B$12,0),1))=TRUE,SqFt/COUNTIFS(Inventory!$C$10:$C$1009,"N",$Q$13:$Q$1012,"&gt;=0"),INDEX('Usage Groups (&gt;120 MWh only)'!$N$8:$N$12,MATCH(C717,'Usage Groups (&gt;120 MWh only)'!$B$8:$B$12,0),1)/COUNTIF($C$13:$C$1012,C717)),IF(AND(NC_Type="Building Area Method",Inventory!C714="Y"),INDEX(xyNCEx,MATCH(I717,yNCExArea,0),3)/COUNTIF($I$13:$I$1012,I717),VLOOKUP(J717,xyWattage_Table,10,FALSE))),"")</f>
        <v/>
      </c>
      <c r="L717" s="539" t="str">
        <f t="shared" si="259"/>
        <v/>
      </c>
      <c r="M717" s="540">
        <f>IF(Inventory!N714="","",Inventory!N714)</f>
        <v>0</v>
      </c>
      <c r="N717" s="533" t="str">
        <f t="shared" si="260"/>
        <v/>
      </c>
      <c r="O717" s="534"/>
      <c r="P717" s="533" t="str">
        <f t="shared" si="261"/>
        <v/>
      </c>
      <c r="Q717" s="534" t="str">
        <f>IF(Inventory!L714="","",Inventory!L714)</f>
        <v/>
      </c>
      <c r="R717" s="535" t="str">
        <f t="shared" si="262"/>
        <v/>
      </c>
      <c r="S717" s="536" t="str">
        <f>IF(Inventory!O714="","",Inventory!O714)</f>
        <v/>
      </c>
      <c r="T717" s="541" t="str">
        <f>IFERROR(IF(C717="","",IF(INDEX(xyWattage_Table,MATCH(M717,'Fixture Identities'!$B$9:$B$997,0),2)="Exit Sign",8760,IF(VLOOKUP(C717,xySpace_Type_Details,8,FALSE)="TRM",INDEX('General Information'!$AF$17:$AG$28,11,MATCH(N717,'General Information'!$AF$16:$AG$16,0)),HLOOKUP(VLOOKUP(C717,xySpace_Type_Details,8,FALSE),'General Information'!$P$15:$AG$28,13,FALSE)))),"")</f>
        <v/>
      </c>
      <c r="U717" s="542" t="str">
        <f>IFERROR(IF(C717="","",IF(INDEX(xyWattage_Table,MATCH(M717,'Fixture Identities'!$B$9:$B$997,0),2)="Exit Sign",1,IF(VLOOKUP(C717,xySpace_Type_Details,8,FALSE)="TRM",INDEX('General Information'!$AF$17:$AG$28,12,MATCH(N717,'General Information'!$AF$16:$AG$16,0)),HLOOKUP(VLOOKUP(C717,xySpace_Type_Details,8,FALSE),'General Information'!$P$15:$AG$28,14,FALSE)))),"")</f>
        <v/>
      </c>
      <c r="V717" s="542" t="str">
        <f>IFERROR(VLOOKUP(INDEX(xySpace_Type_Details,MATCH($C717,'General Information'!$C$40:$C$60,0),12),Lookups!$L$8:$N$12,2,FALSE),"")</f>
        <v/>
      </c>
      <c r="W717" s="542" t="str">
        <f>IFERROR(VLOOKUP(INDEX(xySpace_Type_Details,MATCH($C717,'General Information'!$C$40:$C$60,0),12),Lookups!$L$8:$N$12,3,FALSE),"")</f>
        <v/>
      </c>
      <c r="Y717" s="542" t="str">
        <f>IFERROR(IF(C717="","",IF(INDEX(xyWattage_Table,MATCH(M717,'Fixture Identities'!$B$9:$B$997,0),2)="Exit Sign",0,IF(PRJ_Type="Retrofit",VLOOKUP(I717,xySVG_Factors,2,FALSE),IF(AND(PRJ_Type="New Construction",Inventory!C714="N"),VLOOKUP(VLOOKUP(Building_Type,xyLPD_BuildingArea,5,FALSE),xySVG_Factors_NC,3,FALSE),0)))),"")</f>
        <v/>
      </c>
      <c r="Z717" s="544" t="str">
        <f>IFERROR(IF(C717="","",IF(INDEX(xyWattage_Table,MATCH(M717,'Fixture Identities'!$B$9:$B$997,0),2)="Exit Sign",0,VLOOKUP(S717,xySVG_Factors,2,FALSE))),"")</f>
        <v/>
      </c>
      <c r="AA717" s="545" t="str">
        <f t="shared" si="263"/>
        <v/>
      </c>
      <c r="AB717" s="542" t="str">
        <f t="shared" si="264"/>
        <v/>
      </c>
      <c r="AC717" s="539" t="str">
        <f t="shared" si="265"/>
        <v/>
      </c>
      <c r="AD717" s="546" t="str">
        <f t="shared" si="266"/>
        <v/>
      </c>
      <c r="AE717" s="539" t="str">
        <f t="shared" si="267"/>
        <v/>
      </c>
      <c r="AF717" s="546" t="str">
        <f t="shared" si="268"/>
        <v/>
      </c>
      <c r="AG717" s="539" t="str">
        <f t="shared" si="269"/>
        <v/>
      </c>
      <c r="AH717" s="32">
        <f t="shared" si="249"/>
        <v>0</v>
      </c>
      <c r="AI717" s="32">
        <f t="shared" si="250"/>
        <v>0</v>
      </c>
      <c r="AJ717" s="32">
        <f t="shared" si="251"/>
        <v>0</v>
      </c>
      <c r="AK717" t="str">
        <f t="shared" si="252"/>
        <v/>
      </c>
      <c r="AL717" t="str">
        <f t="shared" si="253"/>
        <v/>
      </c>
      <c r="AM717" t="str">
        <f t="shared" si="254"/>
        <v/>
      </c>
      <c r="AO717" t="str">
        <f>IFERROR(VLOOKUP(M717,'Fixture Identities'!$B$9:$O$1045,14,FALSE),"")</f>
        <v/>
      </c>
      <c r="AP717" t="str">
        <f t="shared" ref="AP717:AP780" si="270">IF(M718="Signage",G718,"")</f>
        <v/>
      </c>
    </row>
    <row r="718" spans="1:42">
      <c r="A718" s="71">
        <f t="shared" si="256"/>
        <v>0</v>
      </c>
      <c r="B718" s="513">
        <f t="shared" si="255"/>
        <v>706</v>
      </c>
      <c r="C718" s="530" t="str">
        <f>IF(Inventory!E715="","",Inventory!E715)</f>
        <v/>
      </c>
      <c r="D718" s="531">
        <f>IF(Inventory!D715="",0,Inventory!D715)</f>
        <v>0</v>
      </c>
      <c r="E718" s="532" t="str">
        <f>IF(Inventory!I715=0,"",Inventory!I715)</f>
        <v/>
      </c>
      <c r="F718" s="533" t="str">
        <f t="shared" si="257"/>
        <v/>
      </c>
      <c r="G718" s="534" t="str">
        <f>IF(Inventory!G715="","",Inventory!G715)</f>
        <v/>
      </c>
      <c r="H718" s="535" t="str">
        <f t="shared" si="258"/>
        <v/>
      </c>
      <c r="I718" s="536" t="str">
        <f>IF(Inventory!J715="","",Inventory!J715)</f>
        <v/>
      </c>
      <c r="J718" s="537" t="str">
        <f>IFERROR(IF(PRJ_Type="New Construction",IF(Inventory!C715="N",INDEX(xyLPD_BuildingArea,MATCH(Building_Type,Lookups!$F$37:$F$75,0),4),INDEX(xyLPD_SpaceBySpace,MATCH(INDEX(xyNCEx,MATCH(I718,yNCExArea,0),2),ySpace_by_Space_Type,0),2)),VLOOKUP(E718,xyWattage_Table,11,FALSE)),"")</f>
        <v/>
      </c>
      <c r="K718" s="538" t="str">
        <f>IFERROR(IF(AND(NC_Type="Building Area Method",Inventory!C715="N"),IF(ISERROR(INDEX('Usage Groups (&gt;120 MWh only)'!$N$8:$N$12,MATCH(C718,'Usage Groups (&gt;120 MWh only)'!$B$8:$B$12,0),1))=TRUE,SqFt/COUNTIFS(Inventory!$C$10:$C$1009,"N",$Q$13:$Q$1012,"&gt;=0"),INDEX('Usage Groups (&gt;120 MWh only)'!$N$8:$N$12,MATCH(C718,'Usage Groups (&gt;120 MWh only)'!$B$8:$B$12,0),1)/COUNTIF($C$13:$C$1012,C718)),IF(AND(NC_Type="Building Area Method",Inventory!C715="Y"),INDEX(xyNCEx,MATCH(I718,yNCExArea,0),3)/COUNTIF($I$13:$I$1012,I718),VLOOKUP(J718,xyWattage_Table,10,FALSE))),"")</f>
        <v/>
      </c>
      <c r="L718" s="539" t="str">
        <f t="shared" si="259"/>
        <v/>
      </c>
      <c r="M718" s="540">
        <f>IF(Inventory!N715="","",Inventory!N715)</f>
        <v>0</v>
      </c>
      <c r="N718" s="533" t="str">
        <f t="shared" si="260"/>
        <v/>
      </c>
      <c r="O718" s="534"/>
      <c r="P718" s="533" t="str">
        <f t="shared" si="261"/>
        <v/>
      </c>
      <c r="Q718" s="534" t="str">
        <f>IF(Inventory!L715="","",Inventory!L715)</f>
        <v/>
      </c>
      <c r="R718" s="535" t="str">
        <f t="shared" si="262"/>
        <v/>
      </c>
      <c r="S718" s="536" t="str">
        <f>IF(Inventory!O715="","",Inventory!O715)</f>
        <v/>
      </c>
      <c r="T718" s="541" t="str">
        <f>IFERROR(IF(C718="","",IF(INDEX(xyWattage_Table,MATCH(M718,'Fixture Identities'!$B$9:$B$997,0),2)="Exit Sign",8760,IF(VLOOKUP(C718,xySpace_Type_Details,8,FALSE)="TRM",INDEX('General Information'!$AF$17:$AG$28,11,MATCH(N718,'General Information'!$AF$16:$AG$16,0)),HLOOKUP(VLOOKUP(C718,xySpace_Type_Details,8,FALSE),'General Information'!$P$15:$AG$28,13,FALSE)))),"")</f>
        <v/>
      </c>
      <c r="U718" s="542" t="str">
        <f>IFERROR(IF(C718="","",IF(INDEX(xyWattage_Table,MATCH(M718,'Fixture Identities'!$B$9:$B$997,0),2)="Exit Sign",1,IF(VLOOKUP(C718,xySpace_Type_Details,8,FALSE)="TRM",INDEX('General Information'!$AF$17:$AG$28,12,MATCH(N718,'General Information'!$AF$16:$AG$16,0)),HLOOKUP(VLOOKUP(C718,xySpace_Type_Details,8,FALSE),'General Information'!$P$15:$AG$28,14,FALSE)))),"")</f>
        <v/>
      </c>
      <c r="V718" s="542" t="str">
        <f>IFERROR(VLOOKUP(INDEX(xySpace_Type_Details,MATCH($C718,'General Information'!$C$40:$C$60,0),12),Lookups!$L$8:$N$12,2,FALSE),"")</f>
        <v/>
      </c>
      <c r="W718" s="542" t="str">
        <f>IFERROR(VLOOKUP(INDEX(xySpace_Type_Details,MATCH($C718,'General Information'!$C$40:$C$60,0),12),Lookups!$L$8:$N$12,3,FALSE),"")</f>
        <v/>
      </c>
      <c r="Y718" s="542" t="str">
        <f>IFERROR(IF(C718="","",IF(INDEX(xyWattage_Table,MATCH(M718,'Fixture Identities'!$B$9:$B$997,0),2)="Exit Sign",0,IF(PRJ_Type="Retrofit",VLOOKUP(I718,xySVG_Factors,2,FALSE),IF(AND(PRJ_Type="New Construction",Inventory!C715="N"),VLOOKUP(VLOOKUP(Building_Type,xyLPD_BuildingArea,5,FALSE),xySVG_Factors_NC,3,FALSE),0)))),"")</f>
        <v/>
      </c>
      <c r="Z718" s="544" t="str">
        <f>IFERROR(IF(C718="","",IF(INDEX(xyWattage_Table,MATCH(M718,'Fixture Identities'!$B$9:$B$997,0),2)="Exit Sign",0,VLOOKUP(S718,xySVG_Factors,2,FALSE))),"")</f>
        <v/>
      </c>
      <c r="AA718" s="545" t="str">
        <f t="shared" si="263"/>
        <v/>
      </c>
      <c r="AB718" s="542" t="str">
        <f t="shared" si="264"/>
        <v/>
      </c>
      <c r="AC718" s="539" t="str">
        <f t="shared" si="265"/>
        <v/>
      </c>
      <c r="AD718" s="546" t="str">
        <f t="shared" si="266"/>
        <v/>
      </c>
      <c r="AE718" s="539" t="str">
        <f t="shared" si="267"/>
        <v/>
      </c>
      <c r="AF718" s="546" t="str">
        <f t="shared" si="268"/>
        <v/>
      </c>
      <c r="AG718" s="539" t="str">
        <f t="shared" si="269"/>
        <v/>
      </c>
      <c r="AH718" s="32">
        <f t="shared" ref="AH718:AH781" si="271">IF(I718&lt;&gt;S718,R718,0)</f>
        <v>0</v>
      </c>
      <c r="AI718" s="32">
        <f t="shared" ref="AI718:AI781" si="272">IFERROR(VLOOKUP(E718,xyWattage_Table,8,FALSE)*G718,0)</f>
        <v>0</v>
      </c>
      <c r="AJ718" s="32">
        <f t="shared" ref="AJ718:AJ781" si="273">IFERROR(VLOOKUP(M718,xyWattage_Table,8,FALSE)*Q718,0)</f>
        <v>0</v>
      </c>
      <c r="AK718" t="str">
        <f t="shared" ref="AK718:AK781" si="274">IFERROR((L718)/1000,"")</f>
        <v/>
      </c>
      <c r="AL718" t="str">
        <f t="shared" ref="AL718:AL781" si="275">IFERROR(AK718*U718*(1+W718)*(1-Y718),"")</f>
        <v/>
      </c>
      <c r="AM718" t="str">
        <f t="shared" ref="AM718:AM781" si="276">IFERROR(AK718*T718*(1+V718)*(1-Y718),"")</f>
        <v/>
      </c>
      <c r="AO718" t="str">
        <f>IFERROR(VLOOKUP(M718,'Fixture Identities'!$B$9:$O$1045,14,FALSE),"")</f>
        <v/>
      </c>
      <c r="AP718" t="str">
        <f t="shared" si="270"/>
        <v/>
      </c>
    </row>
    <row r="719" spans="1:42">
      <c r="A719" s="71">
        <f t="shared" si="256"/>
        <v>0</v>
      </c>
      <c r="B719" s="513">
        <f t="shared" ref="B719:B782" si="277">B718+1</f>
        <v>707</v>
      </c>
      <c r="C719" s="530" t="str">
        <f>IF(Inventory!E716="","",Inventory!E716)</f>
        <v/>
      </c>
      <c r="D719" s="531">
        <f>IF(Inventory!D716="",0,Inventory!D716)</f>
        <v>0</v>
      </c>
      <c r="E719" s="532" t="str">
        <f>IF(Inventory!I716=0,"",Inventory!I716)</f>
        <v/>
      </c>
      <c r="F719" s="533" t="str">
        <f t="shared" si="257"/>
        <v/>
      </c>
      <c r="G719" s="534" t="str">
        <f>IF(Inventory!G716="","",Inventory!G716)</f>
        <v/>
      </c>
      <c r="H719" s="535" t="str">
        <f t="shared" si="258"/>
        <v/>
      </c>
      <c r="I719" s="536" t="str">
        <f>IF(Inventory!J716="","",Inventory!J716)</f>
        <v/>
      </c>
      <c r="J719" s="537" t="str">
        <f>IFERROR(IF(PRJ_Type="New Construction",IF(Inventory!C716="N",INDEX(xyLPD_BuildingArea,MATCH(Building_Type,Lookups!$F$37:$F$75,0),4),INDEX(xyLPD_SpaceBySpace,MATCH(INDEX(xyNCEx,MATCH(I719,yNCExArea,0),2),ySpace_by_Space_Type,0),2)),VLOOKUP(E719,xyWattage_Table,11,FALSE)),"")</f>
        <v/>
      </c>
      <c r="K719" s="538" t="str">
        <f>IFERROR(IF(AND(NC_Type="Building Area Method",Inventory!C716="N"),IF(ISERROR(INDEX('Usage Groups (&gt;120 MWh only)'!$N$8:$N$12,MATCH(C719,'Usage Groups (&gt;120 MWh only)'!$B$8:$B$12,0),1))=TRUE,SqFt/COUNTIFS(Inventory!$C$10:$C$1009,"N",$Q$13:$Q$1012,"&gt;=0"),INDEX('Usage Groups (&gt;120 MWh only)'!$N$8:$N$12,MATCH(C719,'Usage Groups (&gt;120 MWh only)'!$B$8:$B$12,0),1)/COUNTIF($C$13:$C$1012,C719)),IF(AND(NC_Type="Building Area Method",Inventory!C716="Y"),INDEX(xyNCEx,MATCH(I719,yNCExArea,0),3)/COUNTIF($I$13:$I$1012,I719),VLOOKUP(J719,xyWattage_Table,10,FALSE))),"")</f>
        <v/>
      </c>
      <c r="L719" s="539" t="str">
        <f t="shared" si="259"/>
        <v/>
      </c>
      <c r="M719" s="540">
        <f>IF(Inventory!N716="","",Inventory!N716)</f>
        <v>0</v>
      </c>
      <c r="N719" s="533" t="str">
        <f t="shared" si="260"/>
        <v/>
      </c>
      <c r="O719" s="534"/>
      <c r="P719" s="533" t="str">
        <f t="shared" si="261"/>
        <v/>
      </c>
      <c r="Q719" s="534" t="str">
        <f>IF(Inventory!L716="","",Inventory!L716)</f>
        <v/>
      </c>
      <c r="R719" s="535" t="str">
        <f t="shared" si="262"/>
        <v/>
      </c>
      <c r="S719" s="536" t="str">
        <f>IF(Inventory!O716="","",Inventory!O716)</f>
        <v/>
      </c>
      <c r="T719" s="541" t="str">
        <f>IFERROR(IF(C719="","",IF(INDEX(xyWattage_Table,MATCH(M719,'Fixture Identities'!$B$9:$B$997,0),2)="Exit Sign",8760,IF(VLOOKUP(C719,xySpace_Type_Details,8,FALSE)="TRM",INDEX('General Information'!$AF$17:$AG$28,11,MATCH(N719,'General Information'!$AF$16:$AG$16,0)),HLOOKUP(VLOOKUP(C719,xySpace_Type_Details,8,FALSE),'General Information'!$P$15:$AG$28,13,FALSE)))),"")</f>
        <v/>
      </c>
      <c r="U719" s="542" t="str">
        <f>IFERROR(IF(C719="","",IF(INDEX(xyWattage_Table,MATCH(M719,'Fixture Identities'!$B$9:$B$997,0),2)="Exit Sign",1,IF(VLOOKUP(C719,xySpace_Type_Details,8,FALSE)="TRM",INDEX('General Information'!$AF$17:$AG$28,12,MATCH(N719,'General Information'!$AF$16:$AG$16,0)),HLOOKUP(VLOOKUP(C719,xySpace_Type_Details,8,FALSE),'General Information'!$P$15:$AG$28,14,FALSE)))),"")</f>
        <v/>
      </c>
      <c r="V719" s="542" t="str">
        <f>IFERROR(VLOOKUP(INDEX(xySpace_Type_Details,MATCH($C719,'General Information'!$C$40:$C$60,0),12),Lookups!$L$8:$N$12,2,FALSE),"")</f>
        <v/>
      </c>
      <c r="W719" s="542" t="str">
        <f>IFERROR(VLOOKUP(INDEX(xySpace_Type_Details,MATCH($C719,'General Information'!$C$40:$C$60,0),12),Lookups!$L$8:$N$12,3,FALSE),"")</f>
        <v/>
      </c>
      <c r="Y719" s="542" t="str">
        <f>IFERROR(IF(C719="","",IF(INDEX(xyWattage_Table,MATCH(M719,'Fixture Identities'!$B$9:$B$997,0),2)="Exit Sign",0,IF(PRJ_Type="Retrofit",VLOOKUP(I719,xySVG_Factors,2,FALSE),IF(AND(PRJ_Type="New Construction",Inventory!C716="N"),VLOOKUP(VLOOKUP(Building_Type,xyLPD_BuildingArea,5,FALSE),xySVG_Factors_NC,3,FALSE),0)))),"")</f>
        <v/>
      </c>
      <c r="Z719" s="544" t="str">
        <f>IFERROR(IF(C719="","",IF(INDEX(xyWattage_Table,MATCH(M719,'Fixture Identities'!$B$9:$B$997,0),2)="Exit Sign",0,VLOOKUP(S719,xySVG_Factors,2,FALSE))),"")</f>
        <v/>
      </c>
      <c r="AA719" s="545" t="str">
        <f t="shared" si="263"/>
        <v/>
      </c>
      <c r="AB719" s="542" t="str">
        <f t="shared" si="264"/>
        <v/>
      </c>
      <c r="AC719" s="539" t="str">
        <f t="shared" si="265"/>
        <v/>
      </c>
      <c r="AD719" s="546" t="str">
        <f t="shared" si="266"/>
        <v/>
      </c>
      <c r="AE719" s="539" t="str">
        <f t="shared" si="267"/>
        <v/>
      </c>
      <c r="AF719" s="546" t="str">
        <f t="shared" si="268"/>
        <v/>
      </c>
      <c r="AG719" s="539" t="str">
        <f t="shared" si="269"/>
        <v/>
      </c>
      <c r="AH719" s="32">
        <f t="shared" si="271"/>
        <v>0</v>
      </c>
      <c r="AI719" s="32">
        <f t="shared" si="272"/>
        <v>0</v>
      </c>
      <c r="AJ719" s="32">
        <f t="shared" si="273"/>
        <v>0</v>
      </c>
      <c r="AK719" t="str">
        <f t="shared" si="274"/>
        <v/>
      </c>
      <c r="AL719" t="str">
        <f t="shared" si="275"/>
        <v/>
      </c>
      <c r="AM719" t="str">
        <f t="shared" si="276"/>
        <v/>
      </c>
      <c r="AO719" t="str">
        <f>IFERROR(VLOOKUP(M719,'Fixture Identities'!$B$9:$O$1045,14,FALSE),"")</f>
        <v/>
      </c>
      <c r="AP719" t="str">
        <f t="shared" si="270"/>
        <v/>
      </c>
    </row>
    <row r="720" spans="1:42">
      <c r="A720" s="71">
        <f t="shared" si="256"/>
        <v>0</v>
      </c>
      <c r="B720" s="513">
        <f t="shared" si="277"/>
        <v>708</v>
      </c>
      <c r="C720" s="530" t="str">
        <f>IF(Inventory!E717="","",Inventory!E717)</f>
        <v/>
      </c>
      <c r="D720" s="531">
        <f>IF(Inventory!D717="",0,Inventory!D717)</f>
        <v>0</v>
      </c>
      <c r="E720" s="532" t="str">
        <f>IF(Inventory!I717=0,"",Inventory!I717)</f>
        <v/>
      </c>
      <c r="F720" s="533" t="str">
        <f t="shared" si="257"/>
        <v/>
      </c>
      <c r="G720" s="534" t="str">
        <f>IF(Inventory!G717="","",Inventory!G717)</f>
        <v/>
      </c>
      <c r="H720" s="535" t="str">
        <f t="shared" si="258"/>
        <v/>
      </c>
      <c r="I720" s="536" t="str">
        <f>IF(Inventory!J717="","",Inventory!J717)</f>
        <v/>
      </c>
      <c r="J720" s="537" t="str">
        <f>IFERROR(IF(PRJ_Type="New Construction",IF(Inventory!C717="N",INDEX(xyLPD_BuildingArea,MATCH(Building_Type,Lookups!$F$37:$F$75,0),4),INDEX(xyLPD_SpaceBySpace,MATCH(INDEX(xyNCEx,MATCH(I720,yNCExArea,0),2),ySpace_by_Space_Type,0),2)),VLOOKUP(E720,xyWattage_Table,11,FALSE)),"")</f>
        <v/>
      </c>
      <c r="K720" s="538" t="str">
        <f>IFERROR(IF(AND(NC_Type="Building Area Method",Inventory!C717="N"),IF(ISERROR(INDEX('Usage Groups (&gt;120 MWh only)'!$N$8:$N$12,MATCH(C720,'Usage Groups (&gt;120 MWh only)'!$B$8:$B$12,0),1))=TRUE,SqFt/COUNTIFS(Inventory!$C$10:$C$1009,"N",$Q$13:$Q$1012,"&gt;=0"),INDEX('Usage Groups (&gt;120 MWh only)'!$N$8:$N$12,MATCH(C720,'Usage Groups (&gt;120 MWh only)'!$B$8:$B$12,0),1)/COUNTIF($C$13:$C$1012,C720)),IF(AND(NC_Type="Building Area Method",Inventory!C717="Y"),INDEX(xyNCEx,MATCH(I720,yNCExArea,0),3)/COUNTIF($I$13:$I$1012,I720),VLOOKUP(J720,xyWattage_Table,10,FALSE))),"")</f>
        <v/>
      </c>
      <c r="L720" s="539" t="str">
        <f t="shared" si="259"/>
        <v/>
      </c>
      <c r="M720" s="540">
        <f>IF(Inventory!N717="","",Inventory!N717)</f>
        <v>0</v>
      </c>
      <c r="N720" s="533" t="str">
        <f t="shared" si="260"/>
        <v/>
      </c>
      <c r="O720" s="534"/>
      <c r="P720" s="533" t="str">
        <f t="shared" si="261"/>
        <v/>
      </c>
      <c r="Q720" s="534" t="str">
        <f>IF(Inventory!L717="","",Inventory!L717)</f>
        <v/>
      </c>
      <c r="R720" s="535" t="str">
        <f t="shared" si="262"/>
        <v/>
      </c>
      <c r="S720" s="536" t="str">
        <f>IF(Inventory!O717="","",Inventory!O717)</f>
        <v/>
      </c>
      <c r="T720" s="541" t="str">
        <f>IFERROR(IF(C720="","",IF(INDEX(xyWattage_Table,MATCH(M720,'Fixture Identities'!$B$9:$B$997,0),2)="Exit Sign",8760,IF(VLOOKUP(C720,xySpace_Type_Details,8,FALSE)="TRM",INDEX('General Information'!$AF$17:$AG$28,11,MATCH(N720,'General Information'!$AF$16:$AG$16,0)),HLOOKUP(VLOOKUP(C720,xySpace_Type_Details,8,FALSE),'General Information'!$P$15:$AG$28,13,FALSE)))),"")</f>
        <v/>
      </c>
      <c r="U720" s="542" t="str">
        <f>IFERROR(IF(C720="","",IF(INDEX(xyWattage_Table,MATCH(M720,'Fixture Identities'!$B$9:$B$997,0),2)="Exit Sign",1,IF(VLOOKUP(C720,xySpace_Type_Details,8,FALSE)="TRM",INDEX('General Information'!$AF$17:$AG$28,12,MATCH(N720,'General Information'!$AF$16:$AG$16,0)),HLOOKUP(VLOOKUP(C720,xySpace_Type_Details,8,FALSE),'General Information'!$P$15:$AG$28,14,FALSE)))),"")</f>
        <v/>
      </c>
      <c r="V720" s="542" t="str">
        <f>IFERROR(VLOOKUP(INDEX(xySpace_Type_Details,MATCH($C720,'General Information'!$C$40:$C$60,0),12),Lookups!$L$8:$N$12,2,FALSE),"")</f>
        <v/>
      </c>
      <c r="W720" s="542" t="str">
        <f>IFERROR(VLOOKUP(INDEX(xySpace_Type_Details,MATCH($C720,'General Information'!$C$40:$C$60,0),12),Lookups!$L$8:$N$12,3,FALSE),"")</f>
        <v/>
      </c>
      <c r="Y720" s="542" t="str">
        <f>IFERROR(IF(C720="","",IF(INDEX(xyWattage_Table,MATCH(M720,'Fixture Identities'!$B$9:$B$997,0),2)="Exit Sign",0,IF(PRJ_Type="Retrofit",VLOOKUP(I720,xySVG_Factors,2,FALSE),IF(AND(PRJ_Type="New Construction",Inventory!C717="N"),VLOOKUP(VLOOKUP(Building_Type,xyLPD_BuildingArea,5,FALSE),xySVG_Factors_NC,3,FALSE),0)))),"")</f>
        <v/>
      </c>
      <c r="Z720" s="544" t="str">
        <f>IFERROR(IF(C720="","",IF(INDEX(xyWattage_Table,MATCH(M720,'Fixture Identities'!$B$9:$B$997,0),2)="Exit Sign",0,VLOOKUP(S720,xySVG_Factors,2,FALSE))),"")</f>
        <v/>
      </c>
      <c r="AA720" s="545" t="str">
        <f t="shared" si="263"/>
        <v/>
      </c>
      <c r="AB720" s="542" t="str">
        <f t="shared" si="264"/>
        <v/>
      </c>
      <c r="AC720" s="539" t="str">
        <f t="shared" si="265"/>
        <v/>
      </c>
      <c r="AD720" s="546" t="str">
        <f t="shared" si="266"/>
        <v/>
      </c>
      <c r="AE720" s="539" t="str">
        <f t="shared" si="267"/>
        <v/>
      </c>
      <c r="AF720" s="546" t="str">
        <f t="shared" si="268"/>
        <v/>
      </c>
      <c r="AG720" s="539" t="str">
        <f t="shared" si="269"/>
        <v/>
      </c>
      <c r="AH720" s="32">
        <f t="shared" si="271"/>
        <v>0</v>
      </c>
      <c r="AI720" s="32">
        <f t="shared" si="272"/>
        <v>0</v>
      </c>
      <c r="AJ720" s="32">
        <f t="shared" si="273"/>
        <v>0</v>
      </c>
      <c r="AK720" t="str">
        <f t="shared" si="274"/>
        <v/>
      </c>
      <c r="AL720" t="str">
        <f t="shared" si="275"/>
        <v/>
      </c>
      <c r="AM720" t="str">
        <f t="shared" si="276"/>
        <v/>
      </c>
      <c r="AO720" t="str">
        <f>IFERROR(VLOOKUP(M720,'Fixture Identities'!$B$9:$O$1045,14,FALSE),"")</f>
        <v/>
      </c>
      <c r="AP720" t="str">
        <f t="shared" si="270"/>
        <v/>
      </c>
    </row>
    <row r="721" spans="1:42">
      <c r="A721" s="71">
        <f t="shared" si="256"/>
        <v>0</v>
      </c>
      <c r="B721" s="513">
        <f t="shared" si="277"/>
        <v>709</v>
      </c>
      <c r="C721" s="530" t="str">
        <f>IF(Inventory!E718="","",Inventory!E718)</f>
        <v/>
      </c>
      <c r="D721" s="531">
        <f>IF(Inventory!D718="",0,Inventory!D718)</f>
        <v>0</v>
      </c>
      <c r="E721" s="532" t="str">
        <f>IF(Inventory!I718=0,"",Inventory!I718)</f>
        <v/>
      </c>
      <c r="F721" s="533" t="str">
        <f t="shared" si="257"/>
        <v/>
      </c>
      <c r="G721" s="534" t="str">
        <f>IF(Inventory!G718="","",Inventory!G718)</f>
        <v/>
      </c>
      <c r="H721" s="535" t="str">
        <f t="shared" si="258"/>
        <v/>
      </c>
      <c r="I721" s="536" t="str">
        <f>IF(Inventory!J718="","",Inventory!J718)</f>
        <v/>
      </c>
      <c r="J721" s="537" t="str">
        <f>IFERROR(IF(PRJ_Type="New Construction",IF(Inventory!C718="N",INDEX(xyLPD_BuildingArea,MATCH(Building_Type,Lookups!$F$37:$F$75,0),4),INDEX(xyLPD_SpaceBySpace,MATCH(INDEX(xyNCEx,MATCH(I721,yNCExArea,0),2),ySpace_by_Space_Type,0),2)),VLOOKUP(E721,xyWattage_Table,11,FALSE)),"")</f>
        <v/>
      </c>
      <c r="K721" s="538" t="str">
        <f>IFERROR(IF(AND(NC_Type="Building Area Method",Inventory!C718="N"),IF(ISERROR(INDEX('Usage Groups (&gt;120 MWh only)'!$N$8:$N$12,MATCH(C721,'Usage Groups (&gt;120 MWh only)'!$B$8:$B$12,0),1))=TRUE,SqFt/COUNTIFS(Inventory!$C$10:$C$1009,"N",$Q$13:$Q$1012,"&gt;=0"),INDEX('Usage Groups (&gt;120 MWh only)'!$N$8:$N$12,MATCH(C721,'Usage Groups (&gt;120 MWh only)'!$B$8:$B$12,0),1)/COUNTIF($C$13:$C$1012,C721)),IF(AND(NC_Type="Building Area Method",Inventory!C718="Y"),INDEX(xyNCEx,MATCH(I721,yNCExArea,0),3)/COUNTIF($I$13:$I$1012,I721),VLOOKUP(J721,xyWattage_Table,10,FALSE))),"")</f>
        <v/>
      </c>
      <c r="L721" s="539" t="str">
        <f t="shared" si="259"/>
        <v/>
      </c>
      <c r="M721" s="540">
        <f>IF(Inventory!N718="","",Inventory!N718)</f>
        <v>0</v>
      </c>
      <c r="N721" s="533" t="str">
        <f t="shared" si="260"/>
        <v/>
      </c>
      <c r="O721" s="534"/>
      <c r="P721" s="533" t="str">
        <f t="shared" si="261"/>
        <v/>
      </c>
      <c r="Q721" s="534" t="str">
        <f>IF(Inventory!L718="","",Inventory!L718)</f>
        <v/>
      </c>
      <c r="R721" s="535" t="str">
        <f t="shared" si="262"/>
        <v/>
      </c>
      <c r="S721" s="536" t="str">
        <f>IF(Inventory!O718="","",Inventory!O718)</f>
        <v/>
      </c>
      <c r="T721" s="541" t="str">
        <f>IFERROR(IF(C721="","",IF(INDEX(xyWattage_Table,MATCH(M721,'Fixture Identities'!$B$9:$B$997,0),2)="Exit Sign",8760,IF(VLOOKUP(C721,xySpace_Type_Details,8,FALSE)="TRM",INDEX('General Information'!$AF$17:$AG$28,11,MATCH(N721,'General Information'!$AF$16:$AG$16,0)),HLOOKUP(VLOOKUP(C721,xySpace_Type_Details,8,FALSE),'General Information'!$P$15:$AG$28,13,FALSE)))),"")</f>
        <v/>
      </c>
      <c r="U721" s="542" t="str">
        <f>IFERROR(IF(C721="","",IF(INDEX(xyWattage_Table,MATCH(M721,'Fixture Identities'!$B$9:$B$997,0),2)="Exit Sign",1,IF(VLOOKUP(C721,xySpace_Type_Details,8,FALSE)="TRM",INDEX('General Information'!$AF$17:$AG$28,12,MATCH(N721,'General Information'!$AF$16:$AG$16,0)),HLOOKUP(VLOOKUP(C721,xySpace_Type_Details,8,FALSE),'General Information'!$P$15:$AG$28,14,FALSE)))),"")</f>
        <v/>
      </c>
      <c r="V721" s="542" t="str">
        <f>IFERROR(VLOOKUP(INDEX(xySpace_Type_Details,MATCH($C721,'General Information'!$C$40:$C$60,0),12),Lookups!$L$8:$N$12,2,FALSE),"")</f>
        <v/>
      </c>
      <c r="W721" s="542" t="str">
        <f>IFERROR(VLOOKUP(INDEX(xySpace_Type_Details,MATCH($C721,'General Information'!$C$40:$C$60,0),12),Lookups!$L$8:$N$12,3,FALSE),"")</f>
        <v/>
      </c>
      <c r="Y721" s="542" t="str">
        <f>IFERROR(IF(C721="","",IF(INDEX(xyWattage_Table,MATCH(M721,'Fixture Identities'!$B$9:$B$997,0),2)="Exit Sign",0,IF(PRJ_Type="Retrofit",VLOOKUP(I721,xySVG_Factors,2,FALSE),IF(AND(PRJ_Type="New Construction",Inventory!C718="N"),VLOOKUP(VLOOKUP(Building_Type,xyLPD_BuildingArea,5,FALSE),xySVG_Factors_NC,3,FALSE),0)))),"")</f>
        <v/>
      </c>
      <c r="Z721" s="544" t="str">
        <f>IFERROR(IF(C721="","",IF(INDEX(xyWattage_Table,MATCH(M721,'Fixture Identities'!$B$9:$B$997,0),2)="Exit Sign",0,VLOOKUP(S721,xySVG_Factors,2,FALSE))),"")</f>
        <v/>
      </c>
      <c r="AA721" s="545" t="str">
        <f t="shared" si="263"/>
        <v/>
      </c>
      <c r="AB721" s="542" t="str">
        <f t="shared" si="264"/>
        <v/>
      </c>
      <c r="AC721" s="539" t="str">
        <f t="shared" si="265"/>
        <v/>
      </c>
      <c r="AD721" s="546" t="str">
        <f t="shared" si="266"/>
        <v/>
      </c>
      <c r="AE721" s="539" t="str">
        <f t="shared" si="267"/>
        <v/>
      </c>
      <c r="AF721" s="546" t="str">
        <f t="shared" si="268"/>
        <v/>
      </c>
      <c r="AG721" s="539" t="str">
        <f t="shared" si="269"/>
        <v/>
      </c>
      <c r="AH721" s="32">
        <f t="shared" si="271"/>
        <v>0</v>
      </c>
      <c r="AI721" s="32">
        <f t="shared" si="272"/>
        <v>0</v>
      </c>
      <c r="AJ721" s="32">
        <f t="shared" si="273"/>
        <v>0</v>
      </c>
      <c r="AK721" t="str">
        <f t="shared" si="274"/>
        <v/>
      </c>
      <c r="AL721" t="str">
        <f t="shared" si="275"/>
        <v/>
      </c>
      <c r="AM721" t="str">
        <f t="shared" si="276"/>
        <v/>
      </c>
      <c r="AO721" t="str">
        <f>IFERROR(VLOOKUP(M721,'Fixture Identities'!$B$9:$O$1045,14,FALSE),"")</f>
        <v/>
      </c>
      <c r="AP721" t="str">
        <f t="shared" si="270"/>
        <v/>
      </c>
    </row>
    <row r="722" spans="1:42">
      <c r="A722" s="71">
        <f t="shared" ref="A722:A785" si="278">IF(E722&lt;&gt;J722,1,0)</f>
        <v>0</v>
      </c>
      <c r="B722" s="513">
        <f t="shared" si="277"/>
        <v>710</v>
      </c>
      <c r="C722" s="530" t="str">
        <f>IF(Inventory!E719="","",Inventory!E719)</f>
        <v/>
      </c>
      <c r="D722" s="531">
        <f>IF(Inventory!D719="",0,Inventory!D719)</f>
        <v>0</v>
      </c>
      <c r="E722" s="532" t="str">
        <f>IF(Inventory!I719=0,"",Inventory!I719)</f>
        <v/>
      </c>
      <c r="F722" s="533" t="str">
        <f t="shared" si="257"/>
        <v/>
      </c>
      <c r="G722" s="534" t="str">
        <f>IF(Inventory!G719="","",Inventory!G719)</f>
        <v/>
      </c>
      <c r="H722" s="535" t="str">
        <f t="shared" si="258"/>
        <v/>
      </c>
      <c r="I722" s="536" t="str">
        <f>IF(Inventory!J719="","",Inventory!J719)</f>
        <v/>
      </c>
      <c r="J722" s="537" t="str">
        <f>IFERROR(IF(PRJ_Type="New Construction",IF(Inventory!C719="N",INDEX(xyLPD_BuildingArea,MATCH(Building_Type,Lookups!$F$37:$F$75,0),4),INDEX(xyLPD_SpaceBySpace,MATCH(INDEX(xyNCEx,MATCH(I722,yNCExArea,0),2),ySpace_by_Space_Type,0),2)),VLOOKUP(E722,xyWattage_Table,11,FALSE)),"")</f>
        <v/>
      </c>
      <c r="K722" s="538" t="str">
        <f>IFERROR(IF(AND(NC_Type="Building Area Method",Inventory!C719="N"),IF(ISERROR(INDEX('Usage Groups (&gt;120 MWh only)'!$N$8:$N$12,MATCH(C722,'Usage Groups (&gt;120 MWh only)'!$B$8:$B$12,0),1))=TRUE,SqFt/COUNTIFS(Inventory!$C$10:$C$1009,"N",$Q$13:$Q$1012,"&gt;=0"),INDEX('Usage Groups (&gt;120 MWh only)'!$N$8:$N$12,MATCH(C722,'Usage Groups (&gt;120 MWh only)'!$B$8:$B$12,0),1)/COUNTIF($C$13:$C$1012,C722)),IF(AND(NC_Type="Building Area Method",Inventory!C719="Y"),INDEX(xyNCEx,MATCH(I722,yNCExArea,0),3)/COUNTIF($I$13:$I$1012,I722),VLOOKUP(J722,xyWattage_Table,10,FALSE))),"")</f>
        <v/>
      </c>
      <c r="L722" s="539" t="str">
        <f t="shared" si="259"/>
        <v/>
      </c>
      <c r="M722" s="540">
        <f>IF(Inventory!N719="","",Inventory!N719)</f>
        <v>0</v>
      </c>
      <c r="N722" s="533" t="str">
        <f t="shared" si="260"/>
        <v/>
      </c>
      <c r="O722" s="534"/>
      <c r="P722" s="533" t="str">
        <f t="shared" si="261"/>
        <v/>
      </c>
      <c r="Q722" s="534" t="str">
        <f>IF(Inventory!L719="","",Inventory!L719)</f>
        <v/>
      </c>
      <c r="R722" s="535" t="str">
        <f t="shared" si="262"/>
        <v/>
      </c>
      <c r="S722" s="536" t="str">
        <f>IF(Inventory!O719="","",Inventory!O719)</f>
        <v/>
      </c>
      <c r="T722" s="541" t="str">
        <f>IFERROR(IF(C722="","",IF(INDEX(xyWattage_Table,MATCH(M722,'Fixture Identities'!$B$9:$B$997,0),2)="Exit Sign",8760,IF(VLOOKUP(C722,xySpace_Type_Details,8,FALSE)="TRM",INDEX('General Information'!$AF$17:$AG$28,11,MATCH(N722,'General Information'!$AF$16:$AG$16,0)),HLOOKUP(VLOOKUP(C722,xySpace_Type_Details,8,FALSE),'General Information'!$P$15:$AG$28,13,FALSE)))),"")</f>
        <v/>
      </c>
      <c r="U722" s="542" t="str">
        <f>IFERROR(IF(C722="","",IF(INDEX(xyWattage_Table,MATCH(M722,'Fixture Identities'!$B$9:$B$997,0),2)="Exit Sign",1,IF(VLOOKUP(C722,xySpace_Type_Details,8,FALSE)="TRM",INDEX('General Information'!$AF$17:$AG$28,12,MATCH(N722,'General Information'!$AF$16:$AG$16,0)),HLOOKUP(VLOOKUP(C722,xySpace_Type_Details,8,FALSE),'General Information'!$P$15:$AG$28,14,FALSE)))),"")</f>
        <v/>
      </c>
      <c r="V722" s="542" t="str">
        <f>IFERROR(VLOOKUP(INDEX(xySpace_Type_Details,MATCH($C722,'General Information'!$C$40:$C$60,0),12),Lookups!$L$8:$N$12,2,FALSE),"")</f>
        <v/>
      </c>
      <c r="W722" s="542" t="str">
        <f>IFERROR(VLOOKUP(INDEX(xySpace_Type_Details,MATCH($C722,'General Information'!$C$40:$C$60,0),12),Lookups!$L$8:$N$12,3,FALSE),"")</f>
        <v/>
      </c>
      <c r="Y722" s="542" t="str">
        <f>IFERROR(IF(C722="","",IF(INDEX(xyWattage_Table,MATCH(M722,'Fixture Identities'!$B$9:$B$997,0),2)="Exit Sign",0,IF(PRJ_Type="Retrofit",VLOOKUP(I722,xySVG_Factors,2,FALSE),IF(AND(PRJ_Type="New Construction",Inventory!C719="N"),VLOOKUP(VLOOKUP(Building_Type,xyLPD_BuildingArea,5,FALSE),xySVG_Factors_NC,3,FALSE),0)))),"")</f>
        <v/>
      </c>
      <c r="Z722" s="544" t="str">
        <f>IFERROR(IF(C722="","",IF(INDEX(xyWattage_Table,MATCH(M722,'Fixture Identities'!$B$9:$B$997,0),2)="Exit Sign",0,VLOOKUP(S722,xySVG_Factors,2,FALSE))),"")</f>
        <v/>
      </c>
      <c r="AA722" s="545" t="str">
        <f t="shared" si="263"/>
        <v/>
      </c>
      <c r="AB722" s="542" t="str">
        <f t="shared" si="264"/>
        <v/>
      </c>
      <c r="AC722" s="539" t="str">
        <f t="shared" si="265"/>
        <v/>
      </c>
      <c r="AD722" s="546" t="str">
        <f t="shared" si="266"/>
        <v/>
      </c>
      <c r="AE722" s="539" t="str">
        <f t="shared" si="267"/>
        <v/>
      </c>
      <c r="AF722" s="546" t="str">
        <f t="shared" si="268"/>
        <v/>
      </c>
      <c r="AG722" s="539" t="str">
        <f t="shared" si="269"/>
        <v/>
      </c>
      <c r="AH722" s="32">
        <f t="shared" si="271"/>
        <v>0</v>
      </c>
      <c r="AI722" s="32">
        <f t="shared" si="272"/>
        <v>0</v>
      </c>
      <c r="AJ722" s="32">
        <f t="shared" si="273"/>
        <v>0</v>
      </c>
      <c r="AK722" t="str">
        <f t="shared" si="274"/>
        <v/>
      </c>
      <c r="AL722" t="str">
        <f t="shared" si="275"/>
        <v/>
      </c>
      <c r="AM722" t="str">
        <f t="shared" si="276"/>
        <v/>
      </c>
      <c r="AO722" t="str">
        <f>IFERROR(VLOOKUP(M722,'Fixture Identities'!$B$9:$O$1045,14,FALSE),"")</f>
        <v/>
      </c>
      <c r="AP722" t="str">
        <f t="shared" si="270"/>
        <v/>
      </c>
    </row>
    <row r="723" spans="1:42">
      <c r="A723" s="71">
        <f t="shared" si="278"/>
        <v>0</v>
      </c>
      <c r="B723" s="513">
        <f t="shared" si="277"/>
        <v>711</v>
      </c>
      <c r="C723" s="530" t="str">
        <f>IF(Inventory!E720="","",Inventory!E720)</f>
        <v/>
      </c>
      <c r="D723" s="531">
        <f>IF(Inventory!D720="",0,Inventory!D720)</f>
        <v>0</v>
      </c>
      <c r="E723" s="532" t="str">
        <f>IF(Inventory!I720=0,"",Inventory!I720)</f>
        <v/>
      </c>
      <c r="F723" s="533" t="str">
        <f t="shared" si="257"/>
        <v/>
      </c>
      <c r="G723" s="534" t="str">
        <f>IF(Inventory!G720="","",Inventory!G720)</f>
        <v/>
      </c>
      <c r="H723" s="535" t="str">
        <f t="shared" si="258"/>
        <v/>
      </c>
      <c r="I723" s="536" t="str">
        <f>IF(Inventory!J720="","",Inventory!J720)</f>
        <v/>
      </c>
      <c r="J723" s="537" t="str">
        <f>IFERROR(IF(PRJ_Type="New Construction",IF(Inventory!C720="N",INDEX(xyLPD_BuildingArea,MATCH(Building_Type,Lookups!$F$37:$F$75,0),4),INDEX(xyLPD_SpaceBySpace,MATCH(INDEX(xyNCEx,MATCH(I723,yNCExArea,0),2),ySpace_by_Space_Type,0),2)),VLOOKUP(E723,xyWattage_Table,11,FALSE)),"")</f>
        <v/>
      </c>
      <c r="K723" s="538" t="str">
        <f>IFERROR(IF(AND(NC_Type="Building Area Method",Inventory!C720="N"),IF(ISERROR(INDEX('Usage Groups (&gt;120 MWh only)'!$N$8:$N$12,MATCH(C723,'Usage Groups (&gt;120 MWh only)'!$B$8:$B$12,0),1))=TRUE,SqFt/COUNTIFS(Inventory!$C$10:$C$1009,"N",$Q$13:$Q$1012,"&gt;=0"),INDEX('Usage Groups (&gt;120 MWh only)'!$N$8:$N$12,MATCH(C723,'Usage Groups (&gt;120 MWh only)'!$B$8:$B$12,0),1)/COUNTIF($C$13:$C$1012,C723)),IF(AND(NC_Type="Building Area Method",Inventory!C720="Y"),INDEX(xyNCEx,MATCH(I723,yNCExArea,0),3)/COUNTIF($I$13:$I$1012,I723),VLOOKUP(J723,xyWattage_Table,10,FALSE))),"")</f>
        <v/>
      </c>
      <c r="L723" s="539" t="str">
        <f t="shared" si="259"/>
        <v/>
      </c>
      <c r="M723" s="540">
        <f>IF(Inventory!N720="","",Inventory!N720)</f>
        <v>0</v>
      </c>
      <c r="N723" s="533" t="str">
        <f t="shared" si="260"/>
        <v/>
      </c>
      <c r="O723" s="534"/>
      <c r="P723" s="533" t="str">
        <f t="shared" si="261"/>
        <v/>
      </c>
      <c r="Q723" s="534" t="str">
        <f>IF(Inventory!L720="","",Inventory!L720)</f>
        <v/>
      </c>
      <c r="R723" s="535" t="str">
        <f t="shared" si="262"/>
        <v/>
      </c>
      <c r="S723" s="536" t="str">
        <f>IF(Inventory!O720="","",Inventory!O720)</f>
        <v/>
      </c>
      <c r="T723" s="541" t="str">
        <f>IFERROR(IF(C723="","",IF(INDEX(xyWattage_Table,MATCH(M723,'Fixture Identities'!$B$9:$B$997,0),2)="Exit Sign",8760,IF(VLOOKUP(C723,xySpace_Type_Details,8,FALSE)="TRM",INDEX('General Information'!$AF$17:$AG$28,11,MATCH(N723,'General Information'!$AF$16:$AG$16,0)),HLOOKUP(VLOOKUP(C723,xySpace_Type_Details,8,FALSE),'General Information'!$P$15:$AG$28,13,FALSE)))),"")</f>
        <v/>
      </c>
      <c r="U723" s="542" t="str">
        <f>IFERROR(IF(C723="","",IF(INDEX(xyWattage_Table,MATCH(M723,'Fixture Identities'!$B$9:$B$997,0),2)="Exit Sign",1,IF(VLOOKUP(C723,xySpace_Type_Details,8,FALSE)="TRM",INDEX('General Information'!$AF$17:$AG$28,12,MATCH(N723,'General Information'!$AF$16:$AG$16,0)),HLOOKUP(VLOOKUP(C723,xySpace_Type_Details,8,FALSE),'General Information'!$P$15:$AG$28,14,FALSE)))),"")</f>
        <v/>
      </c>
      <c r="V723" s="542" t="str">
        <f>IFERROR(VLOOKUP(INDEX(xySpace_Type_Details,MATCH($C723,'General Information'!$C$40:$C$60,0),12),Lookups!$L$8:$N$12,2,FALSE),"")</f>
        <v/>
      </c>
      <c r="W723" s="542" t="str">
        <f>IFERROR(VLOOKUP(INDEX(xySpace_Type_Details,MATCH($C723,'General Information'!$C$40:$C$60,0),12),Lookups!$L$8:$N$12,3,FALSE),"")</f>
        <v/>
      </c>
      <c r="Y723" s="542" t="str">
        <f>IFERROR(IF(C723="","",IF(INDEX(xyWattage_Table,MATCH(M723,'Fixture Identities'!$B$9:$B$997,0),2)="Exit Sign",0,IF(PRJ_Type="Retrofit",VLOOKUP(I723,xySVG_Factors,2,FALSE),IF(AND(PRJ_Type="New Construction",Inventory!C720="N"),VLOOKUP(VLOOKUP(Building_Type,xyLPD_BuildingArea,5,FALSE),xySVG_Factors_NC,3,FALSE),0)))),"")</f>
        <v/>
      </c>
      <c r="Z723" s="544" t="str">
        <f>IFERROR(IF(C723="","",IF(INDEX(xyWattage_Table,MATCH(M723,'Fixture Identities'!$B$9:$B$997,0),2)="Exit Sign",0,VLOOKUP(S723,xySVG_Factors,2,FALSE))),"")</f>
        <v/>
      </c>
      <c r="AA723" s="545" t="str">
        <f t="shared" si="263"/>
        <v/>
      </c>
      <c r="AB723" s="542" t="str">
        <f t="shared" si="264"/>
        <v/>
      </c>
      <c r="AC723" s="539" t="str">
        <f t="shared" si="265"/>
        <v/>
      </c>
      <c r="AD723" s="546" t="str">
        <f t="shared" si="266"/>
        <v/>
      </c>
      <c r="AE723" s="539" t="str">
        <f t="shared" si="267"/>
        <v/>
      </c>
      <c r="AF723" s="546" t="str">
        <f t="shared" si="268"/>
        <v/>
      </c>
      <c r="AG723" s="539" t="str">
        <f t="shared" si="269"/>
        <v/>
      </c>
      <c r="AH723" s="32">
        <f t="shared" si="271"/>
        <v>0</v>
      </c>
      <c r="AI723" s="32">
        <f t="shared" si="272"/>
        <v>0</v>
      </c>
      <c r="AJ723" s="32">
        <f t="shared" si="273"/>
        <v>0</v>
      </c>
      <c r="AK723" t="str">
        <f t="shared" si="274"/>
        <v/>
      </c>
      <c r="AL723" t="str">
        <f t="shared" si="275"/>
        <v/>
      </c>
      <c r="AM723" t="str">
        <f t="shared" si="276"/>
        <v/>
      </c>
      <c r="AO723" t="str">
        <f>IFERROR(VLOOKUP(M723,'Fixture Identities'!$B$9:$O$1045,14,FALSE),"")</f>
        <v/>
      </c>
      <c r="AP723" t="str">
        <f t="shared" si="270"/>
        <v/>
      </c>
    </row>
    <row r="724" spans="1:42">
      <c r="A724" s="71">
        <f t="shared" si="278"/>
        <v>0</v>
      </c>
      <c r="B724" s="513">
        <f t="shared" si="277"/>
        <v>712</v>
      </c>
      <c r="C724" s="530" t="str">
        <f>IF(Inventory!E721="","",Inventory!E721)</f>
        <v/>
      </c>
      <c r="D724" s="531">
        <f>IF(Inventory!D721="",0,Inventory!D721)</f>
        <v>0</v>
      </c>
      <c r="E724" s="532" t="str">
        <f>IF(Inventory!I721=0,"",Inventory!I721)</f>
        <v/>
      </c>
      <c r="F724" s="533" t="str">
        <f t="shared" si="257"/>
        <v/>
      </c>
      <c r="G724" s="534" t="str">
        <f>IF(Inventory!G721="","",Inventory!G721)</f>
        <v/>
      </c>
      <c r="H724" s="535" t="str">
        <f t="shared" si="258"/>
        <v/>
      </c>
      <c r="I724" s="536" t="str">
        <f>IF(Inventory!J721="","",Inventory!J721)</f>
        <v/>
      </c>
      <c r="J724" s="537" t="str">
        <f>IFERROR(IF(PRJ_Type="New Construction",IF(Inventory!C721="N",INDEX(xyLPD_BuildingArea,MATCH(Building_Type,Lookups!$F$37:$F$75,0),4),INDEX(xyLPD_SpaceBySpace,MATCH(INDEX(xyNCEx,MATCH(I724,yNCExArea,0),2),ySpace_by_Space_Type,0),2)),VLOOKUP(E724,xyWattage_Table,11,FALSE)),"")</f>
        <v/>
      </c>
      <c r="K724" s="538" t="str">
        <f>IFERROR(IF(AND(NC_Type="Building Area Method",Inventory!C721="N"),IF(ISERROR(INDEX('Usage Groups (&gt;120 MWh only)'!$N$8:$N$12,MATCH(C724,'Usage Groups (&gt;120 MWh only)'!$B$8:$B$12,0),1))=TRUE,SqFt/COUNTIFS(Inventory!$C$10:$C$1009,"N",$Q$13:$Q$1012,"&gt;=0"),INDEX('Usage Groups (&gt;120 MWh only)'!$N$8:$N$12,MATCH(C724,'Usage Groups (&gt;120 MWh only)'!$B$8:$B$12,0),1)/COUNTIF($C$13:$C$1012,C724)),IF(AND(NC_Type="Building Area Method",Inventory!C721="Y"),INDEX(xyNCEx,MATCH(I724,yNCExArea,0),3)/COUNTIF($I$13:$I$1012,I724),VLOOKUP(J724,xyWattage_Table,10,FALSE))),"")</f>
        <v/>
      </c>
      <c r="L724" s="539" t="str">
        <f t="shared" si="259"/>
        <v/>
      </c>
      <c r="M724" s="540">
        <f>IF(Inventory!N721="","",Inventory!N721)</f>
        <v>0</v>
      </c>
      <c r="N724" s="533" t="str">
        <f t="shared" si="260"/>
        <v/>
      </c>
      <c r="O724" s="534"/>
      <c r="P724" s="533" t="str">
        <f t="shared" si="261"/>
        <v/>
      </c>
      <c r="Q724" s="534" t="str">
        <f>IF(Inventory!L721="","",Inventory!L721)</f>
        <v/>
      </c>
      <c r="R724" s="535" t="str">
        <f t="shared" si="262"/>
        <v/>
      </c>
      <c r="S724" s="536" t="str">
        <f>IF(Inventory!O721="","",Inventory!O721)</f>
        <v/>
      </c>
      <c r="T724" s="541" t="str">
        <f>IFERROR(IF(C724="","",IF(INDEX(xyWattage_Table,MATCH(M724,'Fixture Identities'!$B$9:$B$997,0),2)="Exit Sign",8760,IF(VLOOKUP(C724,xySpace_Type_Details,8,FALSE)="TRM",INDEX('General Information'!$AF$17:$AG$28,11,MATCH(N724,'General Information'!$AF$16:$AG$16,0)),HLOOKUP(VLOOKUP(C724,xySpace_Type_Details,8,FALSE),'General Information'!$P$15:$AG$28,13,FALSE)))),"")</f>
        <v/>
      </c>
      <c r="U724" s="542" t="str">
        <f>IFERROR(IF(C724="","",IF(INDEX(xyWattage_Table,MATCH(M724,'Fixture Identities'!$B$9:$B$997,0),2)="Exit Sign",1,IF(VLOOKUP(C724,xySpace_Type_Details,8,FALSE)="TRM",INDEX('General Information'!$AF$17:$AG$28,12,MATCH(N724,'General Information'!$AF$16:$AG$16,0)),HLOOKUP(VLOOKUP(C724,xySpace_Type_Details,8,FALSE),'General Information'!$P$15:$AG$28,14,FALSE)))),"")</f>
        <v/>
      </c>
      <c r="V724" s="542" t="str">
        <f>IFERROR(VLOOKUP(INDEX(xySpace_Type_Details,MATCH($C724,'General Information'!$C$40:$C$60,0),12),Lookups!$L$8:$N$12,2,FALSE),"")</f>
        <v/>
      </c>
      <c r="W724" s="542" t="str">
        <f>IFERROR(VLOOKUP(INDEX(xySpace_Type_Details,MATCH($C724,'General Information'!$C$40:$C$60,0),12),Lookups!$L$8:$N$12,3,FALSE),"")</f>
        <v/>
      </c>
      <c r="Y724" s="542" t="str">
        <f>IFERROR(IF(C724="","",IF(INDEX(xyWattage_Table,MATCH(M724,'Fixture Identities'!$B$9:$B$997,0),2)="Exit Sign",0,IF(PRJ_Type="Retrofit",VLOOKUP(I724,xySVG_Factors,2,FALSE),IF(AND(PRJ_Type="New Construction",Inventory!C721="N"),VLOOKUP(VLOOKUP(Building_Type,xyLPD_BuildingArea,5,FALSE),xySVG_Factors_NC,3,FALSE),0)))),"")</f>
        <v/>
      </c>
      <c r="Z724" s="544" t="str">
        <f>IFERROR(IF(C724="","",IF(INDEX(xyWattage_Table,MATCH(M724,'Fixture Identities'!$B$9:$B$997,0),2)="Exit Sign",0,VLOOKUP(S724,xySVG_Factors,2,FALSE))),"")</f>
        <v/>
      </c>
      <c r="AA724" s="545" t="str">
        <f t="shared" si="263"/>
        <v/>
      </c>
      <c r="AB724" s="542" t="str">
        <f t="shared" si="264"/>
        <v/>
      </c>
      <c r="AC724" s="539" t="str">
        <f t="shared" si="265"/>
        <v/>
      </c>
      <c r="AD724" s="546" t="str">
        <f t="shared" si="266"/>
        <v/>
      </c>
      <c r="AE724" s="539" t="str">
        <f t="shared" si="267"/>
        <v/>
      </c>
      <c r="AF724" s="546" t="str">
        <f t="shared" si="268"/>
        <v/>
      </c>
      <c r="AG724" s="539" t="str">
        <f t="shared" si="269"/>
        <v/>
      </c>
      <c r="AH724" s="32">
        <f t="shared" si="271"/>
        <v>0</v>
      </c>
      <c r="AI724" s="32">
        <f t="shared" si="272"/>
        <v>0</v>
      </c>
      <c r="AJ724" s="32">
        <f t="shared" si="273"/>
        <v>0</v>
      </c>
      <c r="AK724" t="str">
        <f t="shared" si="274"/>
        <v/>
      </c>
      <c r="AL724" t="str">
        <f t="shared" si="275"/>
        <v/>
      </c>
      <c r="AM724" t="str">
        <f t="shared" si="276"/>
        <v/>
      </c>
      <c r="AO724" t="str">
        <f>IFERROR(VLOOKUP(M724,'Fixture Identities'!$B$9:$O$1045,14,FALSE),"")</f>
        <v/>
      </c>
      <c r="AP724" t="str">
        <f t="shared" si="270"/>
        <v/>
      </c>
    </row>
    <row r="725" spans="1:42">
      <c r="A725" s="71">
        <f t="shared" si="278"/>
        <v>0</v>
      </c>
      <c r="B725" s="513">
        <f t="shared" si="277"/>
        <v>713</v>
      </c>
      <c r="C725" s="530" t="str">
        <f>IF(Inventory!E722="","",Inventory!E722)</f>
        <v/>
      </c>
      <c r="D725" s="531">
        <f>IF(Inventory!D722="",0,Inventory!D722)</f>
        <v>0</v>
      </c>
      <c r="E725" s="532" t="str">
        <f>IF(Inventory!I722=0,"",Inventory!I722)</f>
        <v/>
      </c>
      <c r="F725" s="533" t="str">
        <f t="shared" si="257"/>
        <v/>
      </c>
      <c r="G725" s="534" t="str">
        <f>IF(Inventory!G722="","",Inventory!G722)</f>
        <v/>
      </c>
      <c r="H725" s="535" t="str">
        <f t="shared" si="258"/>
        <v/>
      </c>
      <c r="I725" s="536" t="str">
        <f>IF(Inventory!J722="","",Inventory!J722)</f>
        <v/>
      </c>
      <c r="J725" s="537" t="str">
        <f>IFERROR(IF(PRJ_Type="New Construction",IF(Inventory!C722="N",INDEX(xyLPD_BuildingArea,MATCH(Building_Type,Lookups!$F$37:$F$75,0),4),INDEX(xyLPD_SpaceBySpace,MATCH(INDEX(xyNCEx,MATCH(I725,yNCExArea,0),2),ySpace_by_Space_Type,0),2)),VLOOKUP(E725,xyWattage_Table,11,FALSE)),"")</f>
        <v/>
      </c>
      <c r="K725" s="538" t="str">
        <f>IFERROR(IF(AND(NC_Type="Building Area Method",Inventory!C722="N"),IF(ISERROR(INDEX('Usage Groups (&gt;120 MWh only)'!$N$8:$N$12,MATCH(C725,'Usage Groups (&gt;120 MWh only)'!$B$8:$B$12,0),1))=TRUE,SqFt/COUNTIFS(Inventory!$C$10:$C$1009,"N",$Q$13:$Q$1012,"&gt;=0"),INDEX('Usage Groups (&gt;120 MWh only)'!$N$8:$N$12,MATCH(C725,'Usage Groups (&gt;120 MWh only)'!$B$8:$B$12,0),1)/COUNTIF($C$13:$C$1012,C725)),IF(AND(NC_Type="Building Area Method",Inventory!C722="Y"),INDEX(xyNCEx,MATCH(I725,yNCExArea,0),3)/COUNTIF($I$13:$I$1012,I725),VLOOKUP(J725,xyWattage_Table,10,FALSE))),"")</f>
        <v/>
      </c>
      <c r="L725" s="539" t="str">
        <f t="shared" si="259"/>
        <v/>
      </c>
      <c r="M725" s="540">
        <f>IF(Inventory!N722="","",Inventory!N722)</f>
        <v>0</v>
      </c>
      <c r="N725" s="533" t="str">
        <f t="shared" si="260"/>
        <v/>
      </c>
      <c r="O725" s="534"/>
      <c r="P725" s="533" t="str">
        <f t="shared" si="261"/>
        <v/>
      </c>
      <c r="Q725" s="534" t="str">
        <f>IF(Inventory!L722="","",Inventory!L722)</f>
        <v/>
      </c>
      <c r="R725" s="535" t="str">
        <f t="shared" si="262"/>
        <v/>
      </c>
      <c r="S725" s="536" t="str">
        <f>IF(Inventory!O722="","",Inventory!O722)</f>
        <v/>
      </c>
      <c r="T725" s="541" t="str">
        <f>IFERROR(IF(C725="","",IF(INDEX(xyWattage_Table,MATCH(M725,'Fixture Identities'!$B$9:$B$997,0),2)="Exit Sign",8760,IF(VLOOKUP(C725,xySpace_Type_Details,8,FALSE)="TRM",INDEX('General Information'!$AF$17:$AG$28,11,MATCH(N725,'General Information'!$AF$16:$AG$16,0)),HLOOKUP(VLOOKUP(C725,xySpace_Type_Details,8,FALSE),'General Information'!$P$15:$AG$28,13,FALSE)))),"")</f>
        <v/>
      </c>
      <c r="U725" s="542" t="str">
        <f>IFERROR(IF(C725="","",IF(INDEX(xyWattage_Table,MATCH(M725,'Fixture Identities'!$B$9:$B$997,0),2)="Exit Sign",1,IF(VLOOKUP(C725,xySpace_Type_Details,8,FALSE)="TRM",INDEX('General Information'!$AF$17:$AG$28,12,MATCH(N725,'General Information'!$AF$16:$AG$16,0)),HLOOKUP(VLOOKUP(C725,xySpace_Type_Details,8,FALSE),'General Information'!$P$15:$AG$28,14,FALSE)))),"")</f>
        <v/>
      </c>
      <c r="V725" s="542" t="str">
        <f>IFERROR(VLOOKUP(INDEX(xySpace_Type_Details,MATCH($C725,'General Information'!$C$40:$C$60,0),12),Lookups!$L$8:$N$12,2,FALSE),"")</f>
        <v/>
      </c>
      <c r="W725" s="542" t="str">
        <f>IFERROR(VLOOKUP(INDEX(xySpace_Type_Details,MATCH($C725,'General Information'!$C$40:$C$60,0),12),Lookups!$L$8:$N$12,3,FALSE),"")</f>
        <v/>
      </c>
      <c r="Y725" s="542" t="str">
        <f>IFERROR(IF(C725="","",IF(INDEX(xyWattage_Table,MATCH(M725,'Fixture Identities'!$B$9:$B$997,0),2)="Exit Sign",0,IF(PRJ_Type="Retrofit",VLOOKUP(I725,xySVG_Factors,2,FALSE),IF(AND(PRJ_Type="New Construction",Inventory!C722="N"),VLOOKUP(VLOOKUP(Building_Type,xyLPD_BuildingArea,5,FALSE),xySVG_Factors_NC,3,FALSE),0)))),"")</f>
        <v/>
      </c>
      <c r="Z725" s="544" t="str">
        <f>IFERROR(IF(C725="","",IF(INDEX(xyWattage_Table,MATCH(M725,'Fixture Identities'!$B$9:$B$997,0),2)="Exit Sign",0,VLOOKUP(S725,xySVG_Factors,2,FALSE))),"")</f>
        <v/>
      </c>
      <c r="AA725" s="545" t="str">
        <f t="shared" si="263"/>
        <v/>
      </c>
      <c r="AB725" s="542" t="str">
        <f t="shared" si="264"/>
        <v/>
      </c>
      <c r="AC725" s="539" t="str">
        <f t="shared" si="265"/>
        <v/>
      </c>
      <c r="AD725" s="546" t="str">
        <f t="shared" si="266"/>
        <v/>
      </c>
      <c r="AE725" s="539" t="str">
        <f t="shared" si="267"/>
        <v/>
      </c>
      <c r="AF725" s="546" t="str">
        <f t="shared" si="268"/>
        <v/>
      </c>
      <c r="AG725" s="539" t="str">
        <f t="shared" si="269"/>
        <v/>
      </c>
      <c r="AH725" s="32">
        <f t="shared" si="271"/>
        <v>0</v>
      </c>
      <c r="AI725" s="32">
        <f t="shared" si="272"/>
        <v>0</v>
      </c>
      <c r="AJ725" s="32">
        <f t="shared" si="273"/>
        <v>0</v>
      </c>
      <c r="AK725" t="str">
        <f t="shared" si="274"/>
        <v/>
      </c>
      <c r="AL725" t="str">
        <f t="shared" si="275"/>
        <v/>
      </c>
      <c r="AM725" t="str">
        <f t="shared" si="276"/>
        <v/>
      </c>
      <c r="AO725" t="str">
        <f>IFERROR(VLOOKUP(M725,'Fixture Identities'!$B$9:$O$1045,14,FALSE),"")</f>
        <v/>
      </c>
      <c r="AP725" t="str">
        <f t="shared" si="270"/>
        <v/>
      </c>
    </row>
    <row r="726" spans="1:42">
      <c r="A726" s="71">
        <f t="shared" si="278"/>
        <v>0</v>
      </c>
      <c r="B726" s="513">
        <f t="shared" si="277"/>
        <v>714</v>
      </c>
      <c r="C726" s="530" t="str">
        <f>IF(Inventory!E723="","",Inventory!E723)</f>
        <v/>
      </c>
      <c r="D726" s="531">
        <f>IF(Inventory!D723="",0,Inventory!D723)</f>
        <v>0</v>
      </c>
      <c r="E726" s="532" t="str">
        <f>IF(Inventory!I723=0,"",Inventory!I723)</f>
        <v/>
      </c>
      <c r="F726" s="533" t="str">
        <f t="shared" si="257"/>
        <v/>
      </c>
      <c r="G726" s="534" t="str">
        <f>IF(Inventory!G723="","",Inventory!G723)</f>
        <v/>
      </c>
      <c r="H726" s="535" t="str">
        <f t="shared" si="258"/>
        <v/>
      </c>
      <c r="I726" s="536" t="str">
        <f>IF(Inventory!J723="","",Inventory!J723)</f>
        <v/>
      </c>
      <c r="J726" s="537" t="str">
        <f>IFERROR(IF(PRJ_Type="New Construction",IF(Inventory!C723="N",INDEX(xyLPD_BuildingArea,MATCH(Building_Type,Lookups!$F$37:$F$75,0),4),INDEX(xyLPD_SpaceBySpace,MATCH(INDEX(xyNCEx,MATCH(I726,yNCExArea,0),2),ySpace_by_Space_Type,0),2)),VLOOKUP(E726,xyWattage_Table,11,FALSE)),"")</f>
        <v/>
      </c>
      <c r="K726" s="538" t="str">
        <f>IFERROR(IF(AND(NC_Type="Building Area Method",Inventory!C723="N"),IF(ISERROR(INDEX('Usage Groups (&gt;120 MWh only)'!$N$8:$N$12,MATCH(C726,'Usage Groups (&gt;120 MWh only)'!$B$8:$B$12,0),1))=TRUE,SqFt/COUNTIFS(Inventory!$C$10:$C$1009,"N",$Q$13:$Q$1012,"&gt;=0"),INDEX('Usage Groups (&gt;120 MWh only)'!$N$8:$N$12,MATCH(C726,'Usage Groups (&gt;120 MWh only)'!$B$8:$B$12,0),1)/COUNTIF($C$13:$C$1012,C726)),IF(AND(NC_Type="Building Area Method",Inventory!C723="Y"),INDEX(xyNCEx,MATCH(I726,yNCExArea,0),3)/COUNTIF($I$13:$I$1012,I726),VLOOKUP(J726,xyWattage_Table,10,FALSE))),"")</f>
        <v/>
      </c>
      <c r="L726" s="539" t="str">
        <f t="shared" si="259"/>
        <v/>
      </c>
      <c r="M726" s="540">
        <f>IF(Inventory!N723="","",Inventory!N723)</f>
        <v>0</v>
      </c>
      <c r="N726" s="533" t="str">
        <f t="shared" si="260"/>
        <v/>
      </c>
      <c r="O726" s="534"/>
      <c r="P726" s="533" t="str">
        <f t="shared" si="261"/>
        <v/>
      </c>
      <c r="Q726" s="534" t="str">
        <f>IF(Inventory!L723="","",Inventory!L723)</f>
        <v/>
      </c>
      <c r="R726" s="535" t="str">
        <f t="shared" si="262"/>
        <v/>
      </c>
      <c r="S726" s="536" t="str">
        <f>IF(Inventory!O723="","",Inventory!O723)</f>
        <v/>
      </c>
      <c r="T726" s="541" t="str">
        <f>IFERROR(IF(C726="","",IF(INDEX(xyWattage_Table,MATCH(M726,'Fixture Identities'!$B$9:$B$997,0),2)="Exit Sign",8760,IF(VLOOKUP(C726,xySpace_Type_Details,8,FALSE)="TRM",INDEX('General Information'!$AF$17:$AG$28,11,MATCH(N726,'General Information'!$AF$16:$AG$16,0)),HLOOKUP(VLOOKUP(C726,xySpace_Type_Details,8,FALSE),'General Information'!$P$15:$AG$28,13,FALSE)))),"")</f>
        <v/>
      </c>
      <c r="U726" s="542" t="str">
        <f>IFERROR(IF(C726="","",IF(INDEX(xyWattage_Table,MATCH(M726,'Fixture Identities'!$B$9:$B$997,0),2)="Exit Sign",1,IF(VLOOKUP(C726,xySpace_Type_Details,8,FALSE)="TRM",INDEX('General Information'!$AF$17:$AG$28,12,MATCH(N726,'General Information'!$AF$16:$AG$16,0)),HLOOKUP(VLOOKUP(C726,xySpace_Type_Details,8,FALSE),'General Information'!$P$15:$AG$28,14,FALSE)))),"")</f>
        <v/>
      </c>
      <c r="V726" s="542" t="str">
        <f>IFERROR(VLOOKUP(INDEX(xySpace_Type_Details,MATCH($C726,'General Information'!$C$40:$C$60,0),12),Lookups!$L$8:$N$12,2,FALSE),"")</f>
        <v/>
      </c>
      <c r="W726" s="542" t="str">
        <f>IFERROR(VLOOKUP(INDEX(xySpace_Type_Details,MATCH($C726,'General Information'!$C$40:$C$60,0),12),Lookups!$L$8:$N$12,3,FALSE),"")</f>
        <v/>
      </c>
      <c r="Y726" s="542" t="str">
        <f>IFERROR(IF(C726="","",IF(INDEX(xyWattage_Table,MATCH(M726,'Fixture Identities'!$B$9:$B$997,0),2)="Exit Sign",0,IF(PRJ_Type="Retrofit",VLOOKUP(I726,xySVG_Factors,2,FALSE),IF(AND(PRJ_Type="New Construction",Inventory!C723="N"),VLOOKUP(VLOOKUP(Building_Type,xyLPD_BuildingArea,5,FALSE),xySVG_Factors_NC,3,FALSE),0)))),"")</f>
        <v/>
      </c>
      <c r="Z726" s="544" t="str">
        <f>IFERROR(IF(C726="","",IF(INDEX(xyWattage_Table,MATCH(M726,'Fixture Identities'!$B$9:$B$997,0),2)="Exit Sign",0,VLOOKUP(S726,xySVG_Factors,2,FALSE))),"")</f>
        <v/>
      </c>
      <c r="AA726" s="545" t="str">
        <f t="shared" si="263"/>
        <v/>
      </c>
      <c r="AB726" s="542" t="str">
        <f t="shared" si="264"/>
        <v/>
      </c>
      <c r="AC726" s="539" t="str">
        <f t="shared" si="265"/>
        <v/>
      </c>
      <c r="AD726" s="546" t="str">
        <f t="shared" si="266"/>
        <v/>
      </c>
      <c r="AE726" s="539" t="str">
        <f t="shared" si="267"/>
        <v/>
      </c>
      <c r="AF726" s="546" t="str">
        <f t="shared" si="268"/>
        <v/>
      </c>
      <c r="AG726" s="539" t="str">
        <f t="shared" si="269"/>
        <v/>
      </c>
      <c r="AH726" s="32">
        <f t="shared" si="271"/>
        <v>0</v>
      </c>
      <c r="AI726" s="32">
        <f t="shared" si="272"/>
        <v>0</v>
      </c>
      <c r="AJ726" s="32">
        <f t="shared" si="273"/>
        <v>0</v>
      </c>
      <c r="AK726" t="str">
        <f t="shared" si="274"/>
        <v/>
      </c>
      <c r="AL726" t="str">
        <f t="shared" si="275"/>
        <v/>
      </c>
      <c r="AM726" t="str">
        <f t="shared" si="276"/>
        <v/>
      </c>
      <c r="AO726" t="str">
        <f>IFERROR(VLOOKUP(M726,'Fixture Identities'!$B$9:$O$1045,14,FALSE),"")</f>
        <v/>
      </c>
      <c r="AP726" t="str">
        <f t="shared" si="270"/>
        <v/>
      </c>
    </row>
    <row r="727" spans="1:42">
      <c r="A727" s="71">
        <f t="shared" si="278"/>
        <v>0</v>
      </c>
      <c r="B727" s="513">
        <f t="shared" si="277"/>
        <v>715</v>
      </c>
      <c r="C727" s="530" t="str">
        <f>IF(Inventory!E724="","",Inventory!E724)</f>
        <v/>
      </c>
      <c r="D727" s="531">
        <f>IF(Inventory!D724="",0,Inventory!D724)</f>
        <v>0</v>
      </c>
      <c r="E727" s="532" t="str">
        <f>IF(Inventory!I724=0,"",Inventory!I724)</f>
        <v/>
      </c>
      <c r="F727" s="533" t="str">
        <f t="shared" si="257"/>
        <v/>
      </c>
      <c r="G727" s="534" t="str">
        <f>IF(Inventory!G724="","",Inventory!G724)</f>
        <v/>
      </c>
      <c r="H727" s="535" t="str">
        <f t="shared" si="258"/>
        <v/>
      </c>
      <c r="I727" s="536" t="str">
        <f>IF(Inventory!J724="","",Inventory!J724)</f>
        <v/>
      </c>
      <c r="J727" s="537" t="str">
        <f>IFERROR(IF(PRJ_Type="New Construction",IF(Inventory!C724="N",INDEX(xyLPD_BuildingArea,MATCH(Building_Type,Lookups!$F$37:$F$75,0),4),INDEX(xyLPD_SpaceBySpace,MATCH(INDEX(xyNCEx,MATCH(I727,yNCExArea,0),2),ySpace_by_Space_Type,0),2)),VLOOKUP(E727,xyWattage_Table,11,FALSE)),"")</f>
        <v/>
      </c>
      <c r="K727" s="538" t="str">
        <f>IFERROR(IF(AND(NC_Type="Building Area Method",Inventory!C724="N"),IF(ISERROR(INDEX('Usage Groups (&gt;120 MWh only)'!$N$8:$N$12,MATCH(C727,'Usage Groups (&gt;120 MWh only)'!$B$8:$B$12,0),1))=TRUE,SqFt/COUNTIFS(Inventory!$C$10:$C$1009,"N",$Q$13:$Q$1012,"&gt;=0"),INDEX('Usage Groups (&gt;120 MWh only)'!$N$8:$N$12,MATCH(C727,'Usage Groups (&gt;120 MWh only)'!$B$8:$B$12,0),1)/COUNTIF($C$13:$C$1012,C727)),IF(AND(NC_Type="Building Area Method",Inventory!C724="Y"),INDEX(xyNCEx,MATCH(I727,yNCExArea,0),3)/COUNTIF($I$13:$I$1012,I727),VLOOKUP(J727,xyWattage_Table,10,FALSE))),"")</f>
        <v/>
      </c>
      <c r="L727" s="539" t="str">
        <f t="shared" si="259"/>
        <v/>
      </c>
      <c r="M727" s="540">
        <f>IF(Inventory!N724="","",Inventory!N724)</f>
        <v>0</v>
      </c>
      <c r="N727" s="533" t="str">
        <f t="shared" si="260"/>
        <v/>
      </c>
      <c r="O727" s="534"/>
      <c r="P727" s="533" t="str">
        <f t="shared" si="261"/>
        <v/>
      </c>
      <c r="Q727" s="534" t="str">
        <f>IF(Inventory!L724="","",Inventory!L724)</f>
        <v/>
      </c>
      <c r="R727" s="535" t="str">
        <f t="shared" si="262"/>
        <v/>
      </c>
      <c r="S727" s="536" t="str">
        <f>IF(Inventory!O724="","",Inventory!O724)</f>
        <v/>
      </c>
      <c r="T727" s="541" t="str">
        <f>IFERROR(IF(C727="","",IF(INDEX(xyWattage_Table,MATCH(M727,'Fixture Identities'!$B$9:$B$997,0),2)="Exit Sign",8760,IF(VLOOKUP(C727,xySpace_Type_Details,8,FALSE)="TRM",INDEX('General Information'!$AF$17:$AG$28,11,MATCH(N727,'General Information'!$AF$16:$AG$16,0)),HLOOKUP(VLOOKUP(C727,xySpace_Type_Details,8,FALSE),'General Information'!$P$15:$AG$28,13,FALSE)))),"")</f>
        <v/>
      </c>
      <c r="U727" s="542" t="str">
        <f>IFERROR(IF(C727="","",IF(INDEX(xyWattage_Table,MATCH(M727,'Fixture Identities'!$B$9:$B$997,0),2)="Exit Sign",1,IF(VLOOKUP(C727,xySpace_Type_Details,8,FALSE)="TRM",INDEX('General Information'!$AF$17:$AG$28,12,MATCH(N727,'General Information'!$AF$16:$AG$16,0)),HLOOKUP(VLOOKUP(C727,xySpace_Type_Details,8,FALSE),'General Information'!$P$15:$AG$28,14,FALSE)))),"")</f>
        <v/>
      </c>
      <c r="V727" s="542" t="str">
        <f>IFERROR(VLOOKUP(INDEX(xySpace_Type_Details,MATCH($C727,'General Information'!$C$40:$C$60,0),12),Lookups!$L$8:$N$12,2,FALSE),"")</f>
        <v/>
      </c>
      <c r="W727" s="542" t="str">
        <f>IFERROR(VLOOKUP(INDEX(xySpace_Type_Details,MATCH($C727,'General Information'!$C$40:$C$60,0),12),Lookups!$L$8:$N$12,3,FALSE),"")</f>
        <v/>
      </c>
      <c r="Y727" s="542" t="str">
        <f>IFERROR(IF(C727="","",IF(INDEX(xyWattage_Table,MATCH(M727,'Fixture Identities'!$B$9:$B$997,0),2)="Exit Sign",0,IF(PRJ_Type="Retrofit",VLOOKUP(I727,xySVG_Factors,2,FALSE),IF(AND(PRJ_Type="New Construction",Inventory!C724="N"),VLOOKUP(VLOOKUP(Building_Type,xyLPD_BuildingArea,5,FALSE),xySVG_Factors_NC,3,FALSE),0)))),"")</f>
        <v/>
      </c>
      <c r="Z727" s="544" t="str">
        <f>IFERROR(IF(C727="","",IF(INDEX(xyWattage_Table,MATCH(M727,'Fixture Identities'!$B$9:$B$997,0),2)="Exit Sign",0,VLOOKUP(S727,xySVG_Factors,2,FALSE))),"")</f>
        <v/>
      </c>
      <c r="AA727" s="545" t="str">
        <f t="shared" si="263"/>
        <v/>
      </c>
      <c r="AB727" s="542" t="str">
        <f t="shared" si="264"/>
        <v/>
      </c>
      <c r="AC727" s="539" t="str">
        <f t="shared" si="265"/>
        <v/>
      </c>
      <c r="AD727" s="546" t="str">
        <f t="shared" si="266"/>
        <v/>
      </c>
      <c r="AE727" s="539" t="str">
        <f t="shared" si="267"/>
        <v/>
      </c>
      <c r="AF727" s="546" t="str">
        <f t="shared" si="268"/>
        <v/>
      </c>
      <c r="AG727" s="539" t="str">
        <f t="shared" si="269"/>
        <v/>
      </c>
      <c r="AH727" s="32">
        <f t="shared" si="271"/>
        <v>0</v>
      </c>
      <c r="AI727" s="32">
        <f t="shared" si="272"/>
        <v>0</v>
      </c>
      <c r="AJ727" s="32">
        <f t="shared" si="273"/>
        <v>0</v>
      </c>
      <c r="AK727" t="str">
        <f t="shared" si="274"/>
        <v/>
      </c>
      <c r="AL727" t="str">
        <f t="shared" si="275"/>
        <v/>
      </c>
      <c r="AM727" t="str">
        <f t="shared" si="276"/>
        <v/>
      </c>
      <c r="AO727" t="str">
        <f>IFERROR(VLOOKUP(M727,'Fixture Identities'!$B$9:$O$1045,14,FALSE),"")</f>
        <v/>
      </c>
      <c r="AP727" t="str">
        <f t="shared" si="270"/>
        <v/>
      </c>
    </row>
    <row r="728" spans="1:42">
      <c r="A728" s="71">
        <f t="shared" si="278"/>
        <v>0</v>
      </c>
      <c r="B728" s="513">
        <f t="shared" si="277"/>
        <v>716</v>
      </c>
      <c r="C728" s="530" t="str">
        <f>IF(Inventory!E725="","",Inventory!E725)</f>
        <v/>
      </c>
      <c r="D728" s="531">
        <f>IF(Inventory!D725="",0,Inventory!D725)</f>
        <v>0</v>
      </c>
      <c r="E728" s="532" t="str">
        <f>IF(Inventory!I725=0,"",Inventory!I725)</f>
        <v/>
      </c>
      <c r="F728" s="533" t="str">
        <f t="shared" si="257"/>
        <v/>
      </c>
      <c r="G728" s="534" t="str">
        <f>IF(Inventory!G725="","",Inventory!G725)</f>
        <v/>
      </c>
      <c r="H728" s="535" t="str">
        <f t="shared" si="258"/>
        <v/>
      </c>
      <c r="I728" s="536" t="str">
        <f>IF(Inventory!J725="","",Inventory!J725)</f>
        <v/>
      </c>
      <c r="J728" s="537" t="str">
        <f>IFERROR(IF(PRJ_Type="New Construction",IF(Inventory!C725="N",INDEX(xyLPD_BuildingArea,MATCH(Building_Type,Lookups!$F$37:$F$75,0),4),INDEX(xyLPD_SpaceBySpace,MATCH(INDEX(xyNCEx,MATCH(I728,yNCExArea,0),2),ySpace_by_Space_Type,0),2)),VLOOKUP(E728,xyWattage_Table,11,FALSE)),"")</f>
        <v/>
      </c>
      <c r="K728" s="538" t="str">
        <f>IFERROR(IF(AND(NC_Type="Building Area Method",Inventory!C725="N"),IF(ISERROR(INDEX('Usage Groups (&gt;120 MWh only)'!$N$8:$N$12,MATCH(C728,'Usage Groups (&gt;120 MWh only)'!$B$8:$B$12,0),1))=TRUE,SqFt/COUNTIFS(Inventory!$C$10:$C$1009,"N",$Q$13:$Q$1012,"&gt;=0"),INDEX('Usage Groups (&gt;120 MWh only)'!$N$8:$N$12,MATCH(C728,'Usage Groups (&gt;120 MWh only)'!$B$8:$B$12,0),1)/COUNTIF($C$13:$C$1012,C728)),IF(AND(NC_Type="Building Area Method",Inventory!C725="Y"),INDEX(xyNCEx,MATCH(I728,yNCExArea,0),3)/COUNTIF($I$13:$I$1012,I728),VLOOKUP(J728,xyWattage_Table,10,FALSE))),"")</f>
        <v/>
      </c>
      <c r="L728" s="539" t="str">
        <f t="shared" si="259"/>
        <v/>
      </c>
      <c r="M728" s="540">
        <f>IF(Inventory!N725="","",Inventory!N725)</f>
        <v>0</v>
      </c>
      <c r="N728" s="533" t="str">
        <f t="shared" si="260"/>
        <v/>
      </c>
      <c r="O728" s="534"/>
      <c r="P728" s="533" t="str">
        <f t="shared" si="261"/>
        <v/>
      </c>
      <c r="Q728" s="534" t="str">
        <f>IF(Inventory!L725="","",Inventory!L725)</f>
        <v/>
      </c>
      <c r="R728" s="535" t="str">
        <f t="shared" si="262"/>
        <v/>
      </c>
      <c r="S728" s="536" t="str">
        <f>IF(Inventory!O725="","",Inventory!O725)</f>
        <v/>
      </c>
      <c r="T728" s="541" t="str">
        <f>IFERROR(IF(C728="","",IF(INDEX(xyWattage_Table,MATCH(M728,'Fixture Identities'!$B$9:$B$997,0),2)="Exit Sign",8760,IF(VLOOKUP(C728,xySpace_Type_Details,8,FALSE)="TRM",INDEX('General Information'!$AF$17:$AG$28,11,MATCH(N728,'General Information'!$AF$16:$AG$16,0)),HLOOKUP(VLOOKUP(C728,xySpace_Type_Details,8,FALSE),'General Information'!$P$15:$AG$28,13,FALSE)))),"")</f>
        <v/>
      </c>
      <c r="U728" s="542" t="str">
        <f>IFERROR(IF(C728="","",IF(INDEX(xyWattage_Table,MATCH(M728,'Fixture Identities'!$B$9:$B$997,0),2)="Exit Sign",1,IF(VLOOKUP(C728,xySpace_Type_Details,8,FALSE)="TRM",INDEX('General Information'!$AF$17:$AG$28,12,MATCH(N728,'General Information'!$AF$16:$AG$16,0)),HLOOKUP(VLOOKUP(C728,xySpace_Type_Details,8,FALSE),'General Information'!$P$15:$AG$28,14,FALSE)))),"")</f>
        <v/>
      </c>
      <c r="V728" s="542" t="str">
        <f>IFERROR(VLOOKUP(INDEX(xySpace_Type_Details,MATCH($C728,'General Information'!$C$40:$C$60,0),12),Lookups!$L$8:$N$12,2,FALSE),"")</f>
        <v/>
      </c>
      <c r="W728" s="542" t="str">
        <f>IFERROR(VLOOKUP(INDEX(xySpace_Type_Details,MATCH($C728,'General Information'!$C$40:$C$60,0),12),Lookups!$L$8:$N$12,3,FALSE),"")</f>
        <v/>
      </c>
      <c r="Y728" s="542" t="str">
        <f>IFERROR(IF(C728="","",IF(INDEX(xyWattage_Table,MATCH(M728,'Fixture Identities'!$B$9:$B$997,0),2)="Exit Sign",0,IF(PRJ_Type="Retrofit",VLOOKUP(I728,xySVG_Factors,2,FALSE),IF(AND(PRJ_Type="New Construction",Inventory!C725="N"),VLOOKUP(VLOOKUP(Building_Type,xyLPD_BuildingArea,5,FALSE),xySVG_Factors_NC,3,FALSE),0)))),"")</f>
        <v/>
      </c>
      <c r="Z728" s="544" t="str">
        <f>IFERROR(IF(C728="","",IF(INDEX(xyWattage_Table,MATCH(M728,'Fixture Identities'!$B$9:$B$997,0),2)="Exit Sign",0,VLOOKUP(S728,xySVG_Factors,2,FALSE))),"")</f>
        <v/>
      </c>
      <c r="AA728" s="545" t="str">
        <f t="shared" si="263"/>
        <v/>
      </c>
      <c r="AB728" s="542" t="str">
        <f t="shared" si="264"/>
        <v/>
      </c>
      <c r="AC728" s="539" t="str">
        <f t="shared" si="265"/>
        <v/>
      </c>
      <c r="AD728" s="546" t="str">
        <f t="shared" si="266"/>
        <v/>
      </c>
      <c r="AE728" s="539" t="str">
        <f t="shared" si="267"/>
        <v/>
      </c>
      <c r="AF728" s="546" t="str">
        <f t="shared" si="268"/>
        <v/>
      </c>
      <c r="AG728" s="539" t="str">
        <f t="shared" si="269"/>
        <v/>
      </c>
      <c r="AH728" s="32">
        <f t="shared" si="271"/>
        <v>0</v>
      </c>
      <c r="AI728" s="32">
        <f t="shared" si="272"/>
        <v>0</v>
      </c>
      <c r="AJ728" s="32">
        <f t="shared" si="273"/>
        <v>0</v>
      </c>
      <c r="AK728" t="str">
        <f t="shared" si="274"/>
        <v/>
      </c>
      <c r="AL728" t="str">
        <f t="shared" si="275"/>
        <v/>
      </c>
      <c r="AM728" t="str">
        <f t="shared" si="276"/>
        <v/>
      </c>
      <c r="AO728" t="str">
        <f>IFERROR(VLOOKUP(M728,'Fixture Identities'!$B$9:$O$1045,14,FALSE),"")</f>
        <v/>
      </c>
      <c r="AP728" t="str">
        <f t="shared" si="270"/>
        <v/>
      </c>
    </row>
    <row r="729" spans="1:42">
      <c r="A729" s="71">
        <f t="shared" si="278"/>
        <v>0</v>
      </c>
      <c r="B729" s="513">
        <f t="shared" si="277"/>
        <v>717</v>
      </c>
      <c r="C729" s="530" t="str">
        <f>IF(Inventory!E726="","",Inventory!E726)</f>
        <v/>
      </c>
      <c r="D729" s="531">
        <f>IF(Inventory!D726="",0,Inventory!D726)</f>
        <v>0</v>
      </c>
      <c r="E729" s="532" t="str">
        <f>IF(Inventory!I726=0,"",Inventory!I726)</f>
        <v/>
      </c>
      <c r="F729" s="533" t="str">
        <f t="shared" si="257"/>
        <v/>
      </c>
      <c r="G729" s="534" t="str">
        <f>IF(Inventory!G726="","",Inventory!G726)</f>
        <v/>
      </c>
      <c r="H729" s="535" t="str">
        <f t="shared" si="258"/>
        <v/>
      </c>
      <c r="I729" s="536" t="str">
        <f>IF(Inventory!J726="","",Inventory!J726)</f>
        <v/>
      </c>
      <c r="J729" s="537" t="str">
        <f>IFERROR(IF(PRJ_Type="New Construction",IF(Inventory!C726="N",INDEX(xyLPD_BuildingArea,MATCH(Building_Type,Lookups!$F$37:$F$75,0),4),INDEX(xyLPD_SpaceBySpace,MATCH(INDEX(xyNCEx,MATCH(I729,yNCExArea,0),2),ySpace_by_Space_Type,0),2)),VLOOKUP(E729,xyWattage_Table,11,FALSE)),"")</f>
        <v/>
      </c>
      <c r="K729" s="538" t="str">
        <f>IFERROR(IF(AND(NC_Type="Building Area Method",Inventory!C726="N"),IF(ISERROR(INDEX('Usage Groups (&gt;120 MWh only)'!$N$8:$N$12,MATCH(C729,'Usage Groups (&gt;120 MWh only)'!$B$8:$B$12,0),1))=TRUE,SqFt/COUNTIFS(Inventory!$C$10:$C$1009,"N",$Q$13:$Q$1012,"&gt;=0"),INDEX('Usage Groups (&gt;120 MWh only)'!$N$8:$N$12,MATCH(C729,'Usage Groups (&gt;120 MWh only)'!$B$8:$B$12,0),1)/COUNTIF($C$13:$C$1012,C729)),IF(AND(NC_Type="Building Area Method",Inventory!C726="Y"),INDEX(xyNCEx,MATCH(I729,yNCExArea,0),3)/COUNTIF($I$13:$I$1012,I729),VLOOKUP(J729,xyWattage_Table,10,FALSE))),"")</f>
        <v/>
      </c>
      <c r="L729" s="539" t="str">
        <f t="shared" si="259"/>
        <v/>
      </c>
      <c r="M729" s="540">
        <f>IF(Inventory!N726="","",Inventory!N726)</f>
        <v>0</v>
      </c>
      <c r="N729" s="533" t="str">
        <f t="shared" si="260"/>
        <v/>
      </c>
      <c r="O729" s="534"/>
      <c r="P729" s="533" t="str">
        <f t="shared" si="261"/>
        <v/>
      </c>
      <c r="Q729" s="534" t="str">
        <f>IF(Inventory!L726="","",Inventory!L726)</f>
        <v/>
      </c>
      <c r="R729" s="535" t="str">
        <f t="shared" si="262"/>
        <v/>
      </c>
      <c r="S729" s="536" t="str">
        <f>IF(Inventory!O726="","",Inventory!O726)</f>
        <v/>
      </c>
      <c r="T729" s="541" t="str">
        <f>IFERROR(IF(C729="","",IF(INDEX(xyWattage_Table,MATCH(M729,'Fixture Identities'!$B$9:$B$997,0),2)="Exit Sign",8760,IF(VLOOKUP(C729,xySpace_Type_Details,8,FALSE)="TRM",INDEX('General Information'!$AF$17:$AG$28,11,MATCH(N729,'General Information'!$AF$16:$AG$16,0)),HLOOKUP(VLOOKUP(C729,xySpace_Type_Details,8,FALSE),'General Information'!$P$15:$AG$28,13,FALSE)))),"")</f>
        <v/>
      </c>
      <c r="U729" s="542" t="str">
        <f>IFERROR(IF(C729="","",IF(INDEX(xyWattage_Table,MATCH(M729,'Fixture Identities'!$B$9:$B$997,0),2)="Exit Sign",1,IF(VLOOKUP(C729,xySpace_Type_Details,8,FALSE)="TRM",INDEX('General Information'!$AF$17:$AG$28,12,MATCH(N729,'General Information'!$AF$16:$AG$16,0)),HLOOKUP(VLOOKUP(C729,xySpace_Type_Details,8,FALSE),'General Information'!$P$15:$AG$28,14,FALSE)))),"")</f>
        <v/>
      </c>
      <c r="V729" s="542" t="str">
        <f>IFERROR(VLOOKUP(INDEX(xySpace_Type_Details,MATCH($C729,'General Information'!$C$40:$C$60,0),12),Lookups!$L$8:$N$12,2,FALSE),"")</f>
        <v/>
      </c>
      <c r="W729" s="542" t="str">
        <f>IFERROR(VLOOKUP(INDEX(xySpace_Type_Details,MATCH($C729,'General Information'!$C$40:$C$60,0),12),Lookups!$L$8:$N$12,3,FALSE),"")</f>
        <v/>
      </c>
      <c r="Y729" s="542" t="str">
        <f>IFERROR(IF(C729="","",IF(INDEX(xyWattage_Table,MATCH(M729,'Fixture Identities'!$B$9:$B$997,0),2)="Exit Sign",0,IF(PRJ_Type="Retrofit",VLOOKUP(I729,xySVG_Factors,2,FALSE),IF(AND(PRJ_Type="New Construction",Inventory!C726="N"),VLOOKUP(VLOOKUP(Building_Type,xyLPD_BuildingArea,5,FALSE),xySVG_Factors_NC,3,FALSE),0)))),"")</f>
        <v/>
      </c>
      <c r="Z729" s="544" t="str">
        <f>IFERROR(IF(C729="","",IF(INDEX(xyWattage_Table,MATCH(M729,'Fixture Identities'!$B$9:$B$997,0),2)="Exit Sign",0,VLOOKUP(S729,xySVG_Factors,2,FALSE))),"")</f>
        <v/>
      </c>
      <c r="AA729" s="545" t="str">
        <f t="shared" si="263"/>
        <v/>
      </c>
      <c r="AB729" s="542" t="str">
        <f t="shared" si="264"/>
        <v/>
      </c>
      <c r="AC729" s="539" t="str">
        <f t="shared" si="265"/>
        <v/>
      </c>
      <c r="AD729" s="546" t="str">
        <f t="shared" si="266"/>
        <v/>
      </c>
      <c r="AE729" s="539" t="str">
        <f t="shared" si="267"/>
        <v/>
      </c>
      <c r="AF729" s="546" t="str">
        <f t="shared" si="268"/>
        <v/>
      </c>
      <c r="AG729" s="539" t="str">
        <f t="shared" si="269"/>
        <v/>
      </c>
      <c r="AH729" s="32">
        <f t="shared" si="271"/>
        <v>0</v>
      </c>
      <c r="AI729" s="32">
        <f t="shared" si="272"/>
        <v>0</v>
      </c>
      <c r="AJ729" s="32">
        <f t="shared" si="273"/>
        <v>0</v>
      </c>
      <c r="AK729" t="str">
        <f t="shared" si="274"/>
        <v/>
      </c>
      <c r="AL729" t="str">
        <f t="shared" si="275"/>
        <v/>
      </c>
      <c r="AM729" t="str">
        <f t="shared" si="276"/>
        <v/>
      </c>
      <c r="AO729" t="str">
        <f>IFERROR(VLOOKUP(M729,'Fixture Identities'!$B$9:$O$1045,14,FALSE),"")</f>
        <v/>
      </c>
      <c r="AP729" t="str">
        <f t="shared" si="270"/>
        <v/>
      </c>
    </row>
    <row r="730" spans="1:42">
      <c r="A730" s="71">
        <f t="shared" si="278"/>
        <v>0</v>
      </c>
      <c r="B730" s="513">
        <f t="shared" si="277"/>
        <v>718</v>
      </c>
      <c r="C730" s="530" t="str">
        <f>IF(Inventory!E727="","",Inventory!E727)</f>
        <v/>
      </c>
      <c r="D730" s="531">
        <f>IF(Inventory!D727="",0,Inventory!D727)</f>
        <v>0</v>
      </c>
      <c r="E730" s="532" t="str">
        <f>IF(Inventory!I727=0,"",Inventory!I727)</f>
        <v/>
      </c>
      <c r="F730" s="533" t="str">
        <f t="shared" si="257"/>
        <v/>
      </c>
      <c r="G730" s="534" t="str">
        <f>IF(Inventory!G727="","",Inventory!G727)</f>
        <v/>
      </c>
      <c r="H730" s="535" t="str">
        <f t="shared" si="258"/>
        <v/>
      </c>
      <c r="I730" s="536" t="str">
        <f>IF(Inventory!J727="","",Inventory!J727)</f>
        <v/>
      </c>
      <c r="J730" s="537" t="str">
        <f>IFERROR(IF(PRJ_Type="New Construction",IF(Inventory!C727="N",INDEX(xyLPD_BuildingArea,MATCH(Building_Type,Lookups!$F$37:$F$75,0),4),INDEX(xyLPD_SpaceBySpace,MATCH(INDEX(xyNCEx,MATCH(I730,yNCExArea,0),2),ySpace_by_Space_Type,0),2)),VLOOKUP(E730,xyWattage_Table,11,FALSE)),"")</f>
        <v/>
      </c>
      <c r="K730" s="538" t="str">
        <f>IFERROR(IF(AND(NC_Type="Building Area Method",Inventory!C727="N"),IF(ISERROR(INDEX('Usage Groups (&gt;120 MWh only)'!$N$8:$N$12,MATCH(C730,'Usage Groups (&gt;120 MWh only)'!$B$8:$B$12,0),1))=TRUE,SqFt/COUNTIFS(Inventory!$C$10:$C$1009,"N",$Q$13:$Q$1012,"&gt;=0"),INDEX('Usage Groups (&gt;120 MWh only)'!$N$8:$N$12,MATCH(C730,'Usage Groups (&gt;120 MWh only)'!$B$8:$B$12,0),1)/COUNTIF($C$13:$C$1012,C730)),IF(AND(NC_Type="Building Area Method",Inventory!C727="Y"),INDEX(xyNCEx,MATCH(I730,yNCExArea,0),3)/COUNTIF($I$13:$I$1012,I730),VLOOKUP(J730,xyWattage_Table,10,FALSE))),"")</f>
        <v/>
      </c>
      <c r="L730" s="539" t="str">
        <f t="shared" si="259"/>
        <v/>
      </c>
      <c r="M730" s="540">
        <f>IF(Inventory!N727="","",Inventory!N727)</f>
        <v>0</v>
      </c>
      <c r="N730" s="533" t="str">
        <f t="shared" si="260"/>
        <v/>
      </c>
      <c r="O730" s="534"/>
      <c r="P730" s="533" t="str">
        <f t="shared" si="261"/>
        <v/>
      </c>
      <c r="Q730" s="534" t="str">
        <f>IF(Inventory!L727="","",Inventory!L727)</f>
        <v/>
      </c>
      <c r="R730" s="535" t="str">
        <f t="shared" si="262"/>
        <v/>
      </c>
      <c r="S730" s="536" t="str">
        <f>IF(Inventory!O727="","",Inventory!O727)</f>
        <v/>
      </c>
      <c r="T730" s="541" t="str">
        <f>IFERROR(IF(C730="","",IF(INDEX(xyWattage_Table,MATCH(M730,'Fixture Identities'!$B$9:$B$997,0),2)="Exit Sign",8760,IF(VLOOKUP(C730,xySpace_Type_Details,8,FALSE)="TRM",INDEX('General Information'!$AF$17:$AG$28,11,MATCH(N730,'General Information'!$AF$16:$AG$16,0)),HLOOKUP(VLOOKUP(C730,xySpace_Type_Details,8,FALSE),'General Information'!$P$15:$AG$28,13,FALSE)))),"")</f>
        <v/>
      </c>
      <c r="U730" s="542" t="str">
        <f>IFERROR(IF(C730="","",IF(INDEX(xyWattage_Table,MATCH(M730,'Fixture Identities'!$B$9:$B$997,0),2)="Exit Sign",1,IF(VLOOKUP(C730,xySpace_Type_Details,8,FALSE)="TRM",INDEX('General Information'!$AF$17:$AG$28,12,MATCH(N730,'General Information'!$AF$16:$AG$16,0)),HLOOKUP(VLOOKUP(C730,xySpace_Type_Details,8,FALSE),'General Information'!$P$15:$AG$28,14,FALSE)))),"")</f>
        <v/>
      </c>
      <c r="V730" s="542" t="str">
        <f>IFERROR(VLOOKUP(INDEX(xySpace_Type_Details,MATCH($C730,'General Information'!$C$40:$C$60,0),12),Lookups!$L$8:$N$12,2,FALSE),"")</f>
        <v/>
      </c>
      <c r="W730" s="542" t="str">
        <f>IFERROR(VLOOKUP(INDEX(xySpace_Type_Details,MATCH($C730,'General Information'!$C$40:$C$60,0),12),Lookups!$L$8:$N$12,3,FALSE),"")</f>
        <v/>
      </c>
      <c r="Y730" s="542" t="str">
        <f>IFERROR(IF(C730="","",IF(INDEX(xyWattage_Table,MATCH(M730,'Fixture Identities'!$B$9:$B$997,0),2)="Exit Sign",0,IF(PRJ_Type="Retrofit",VLOOKUP(I730,xySVG_Factors,2,FALSE),IF(AND(PRJ_Type="New Construction",Inventory!C727="N"),VLOOKUP(VLOOKUP(Building_Type,xyLPD_BuildingArea,5,FALSE),xySVG_Factors_NC,3,FALSE),0)))),"")</f>
        <v/>
      </c>
      <c r="Z730" s="544" t="str">
        <f>IFERROR(IF(C730="","",IF(INDEX(xyWattage_Table,MATCH(M730,'Fixture Identities'!$B$9:$B$997,0),2)="Exit Sign",0,VLOOKUP(S730,xySVG_Factors,2,FALSE))),"")</f>
        <v/>
      </c>
      <c r="AA730" s="545" t="str">
        <f t="shared" si="263"/>
        <v/>
      </c>
      <c r="AB730" s="542" t="str">
        <f t="shared" si="264"/>
        <v/>
      </c>
      <c r="AC730" s="539" t="str">
        <f t="shared" si="265"/>
        <v/>
      </c>
      <c r="AD730" s="546" t="str">
        <f t="shared" si="266"/>
        <v/>
      </c>
      <c r="AE730" s="539" t="str">
        <f t="shared" si="267"/>
        <v/>
      </c>
      <c r="AF730" s="546" t="str">
        <f t="shared" si="268"/>
        <v/>
      </c>
      <c r="AG730" s="539" t="str">
        <f t="shared" si="269"/>
        <v/>
      </c>
      <c r="AH730" s="32">
        <f t="shared" si="271"/>
        <v>0</v>
      </c>
      <c r="AI730" s="32">
        <f t="shared" si="272"/>
        <v>0</v>
      </c>
      <c r="AJ730" s="32">
        <f t="shared" si="273"/>
        <v>0</v>
      </c>
      <c r="AK730" t="str">
        <f t="shared" si="274"/>
        <v/>
      </c>
      <c r="AL730" t="str">
        <f t="shared" si="275"/>
        <v/>
      </c>
      <c r="AM730" t="str">
        <f t="shared" si="276"/>
        <v/>
      </c>
      <c r="AO730" t="str">
        <f>IFERROR(VLOOKUP(M730,'Fixture Identities'!$B$9:$O$1045,14,FALSE),"")</f>
        <v/>
      </c>
      <c r="AP730" t="str">
        <f t="shared" si="270"/>
        <v/>
      </c>
    </row>
    <row r="731" spans="1:42">
      <c r="A731" s="71">
        <f t="shared" si="278"/>
        <v>0</v>
      </c>
      <c r="B731" s="513">
        <f t="shared" si="277"/>
        <v>719</v>
      </c>
      <c r="C731" s="530" t="str">
        <f>IF(Inventory!E728="","",Inventory!E728)</f>
        <v/>
      </c>
      <c r="D731" s="531">
        <f>IF(Inventory!D728="",0,Inventory!D728)</f>
        <v>0</v>
      </c>
      <c r="E731" s="532" t="str">
        <f>IF(Inventory!I728=0,"",Inventory!I728)</f>
        <v/>
      </c>
      <c r="F731" s="533" t="str">
        <f t="shared" si="257"/>
        <v/>
      </c>
      <c r="G731" s="534" t="str">
        <f>IF(Inventory!G728="","",Inventory!G728)</f>
        <v/>
      </c>
      <c r="H731" s="535" t="str">
        <f t="shared" si="258"/>
        <v/>
      </c>
      <c r="I731" s="536" t="str">
        <f>IF(Inventory!J728="","",Inventory!J728)</f>
        <v/>
      </c>
      <c r="J731" s="537" t="str">
        <f>IFERROR(IF(PRJ_Type="New Construction",IF(Inventory!C728="N",INDEX(xyLPD_BuildingArea,MATCH(Building_Type,Lookups!$F$37:$F$75,0),4),INDEX(xyLPD_SpaceBySpace,MATCH(INDEX(xyNCEx,MATCH(I731,yNCExArea,0),2),ySpace_by_Space_Type,0),2)),VLOOKUP(E731,xyWattage_Table,11,FALSE)),"")</f>
        <v/>
      </c>
      <c r="K731" s="538" t="str">
        <f>IFERROR(IF(AND(NC_Type="Building Area Method",Inventory!C728="N"),IF(ISERROR(INDEX('Usage Groups (&gt;120 MWh only)'!$N$8:$N$12,MATCH(C731,'Usage Groups (&gt;120 MWh only)'!$B$8:$B$12,0),1))=TRUE,SqFt/COUNTIFS(Inventory!$C$10:$C$1009,"N",$Q$13:$Q$1012,"&gt;=0"),INDEX('Usage Groups (&gt;120 MWh only)'!$N$8:$N$12,MATCH(C731,'Usage Groups (&gt;120 MWh only)'!$B$8:$B$12,0),1)/COUNTIF($C$13:$C$1012,C731)),IF(AND(NC_Type="Building Area Method",Inventory!C728="Y"),INDEX(xyNCEx,MATCH(I731,yNCExArea,0),3)/COUNTIF($I$13:$I$1012,I731),VLOOKUP(J731,xyWattage_Table,10,FALSE))),"")</f>
        <v/>
      </c>
      <c r="L731" s="539" t="str">
        <f t="shared" si="259"/>
        <v/>
      </c>
      <c r="M731" s="540">
        <f>IF(Inventory!N728="","",Inventory!N728)</f>
        <v>0</v>
      </c>
      <c r="N731" s="533" t="str">
        <f t="shared" si="260"/>
        <v/>
      </c>
      <c r="O731" s="534"/>
      <c r="P731" s="533" t="str">
        <f t="shared" si="261"/>
        <v/>
      </c>
      <c r="Q731" s="534" t="str">
        <f>IF(Inventory!L728="","",Inventory!L728)</f>
        <v/>
      </c>
      <c r="R731" s="535" t="str">
        <f t="shared" si="262"/>
        <v/>
      </c>
      <c r="S731" s="536" t="str">
        <f>IF(Inventory!O728="","",Inventory!O728)</f>
        <v/>
      </c>
      <c r="T731" s="541" t="str">
        <f>IFERROR(IF(C731="","",IF(INDEX(xyWattage_Table,MATCH(M731,'Fixture Identities'!$B$9:$B$997,0),2)="Exit Sign",8760,IF(VLOOKUP(C731,xySpace_Type_Details,8,FALSE)="TRM",INDEX('General Information'!$AF$17:$AG$28,11,MATCH(N731,'General Information'!$AF$16:$AG$16,0)),HLOOKUP(VLOOKUP(C731,xySpace_Type_Details,8,FALSE),'General Information'!$P$15:$AG$28,13,FALSE)))),"")</f>
        <v/>
      </c>
      <c r="U731" s="542" t="str">
        <f>IFERROR(IF(C731="","",IF(INDEX(xyWattage_Table,MATCH(M731,'Fixture Identities'!$B$9:$B$997,0),2)="Exit Sign",1,IF(VLOOKUP(C731,xySpace_Type_Details,8,FALSE)="TRM",INDEX('General Information'!$AF$17:$AG$28,12,MATCH(N731,'General Information'!$AF$16:$AG$16,0)),HLOOKUP(VLOOKUP(C731,xySpace_Type_Details,8,FALSE),'General Information'!$P$15:$AG$28,14,FALSE)))),"")</f>
        <v/>
      </c>
      <c r="V731" s="542" t="str">
        <f>IFERROR(VLOOKUP(INDEX(xySpace_Type_Details,MATCH($C731,'General Information'!$C$40:$C$60,0),12),Lookups!$L$8:$N$12,2,FALSE),"")</f>
        <v/>
      </c>
      <c r="W731" s="542" t="str">
        <f>IFERROR(VLOOKUP(INDEX(xySpace_Type_Details,MATCH($C731,'General Information'!$C$40:$C$60,0),12),Lookups!$L$8:$N$12,3,FALSE),"")</f>
        <v/>
      </c>
      <c r="Y731" s="542" t="str">
        <f>IFERROR(IF(C731="","",IF(INDEX(xyWattage_Table,MATCH(M731,'Fixture Identities'!$B$9:$B$997,0),2)="Exit Sign",0,IF(PRJ_Type="Retrofit",VLOOKUP(I731,xySVG_Factors,2,FALSE),IF(AND(PRJ_Type="New Construction",Inventory!C728="N"),VLOOKUP(VLOOKUP(Building_Type,xyLPD_BuildingArea,5,FALSE),xySVG_Factors_NC,3,FALSE),0)))),"")</f>
        <v/>
      </c>
      <c r="Z731" s="544" t="str">
        <f>IFERROR(IF(C731="","",IF(INDEX(xyWattage_Table,MATCH(M731,'Fixture Identities'!$B$9:$B$997,0),2)="Exit Sign",0,VLOOKUP(S731,xySVG_Factors,2,FALSE))),"")</f>
        <v/>
      </c>
      <c r="AA731" s="545" t="str">
        <f t="shared" si="263"/>
        <v/>
      </c>
      <c r="AB731" s="542" t="str">
        <f t="shared" si="264"/>
        <v/>
      </c>
      <c r="AC731" s="539" t="str">
        <f t="shared" si="265"/>
        <v/>
      </c>
      <c r="AD731" s="546" t="str">
        <f t="shared" si="266"/>
        <v/>
      </c>
      <c r="AE731" s="539" t="str">
        <f t="shared" si="267"/>
        <v/>
      </c>
      <c r="AF731" s="546" t="str">
        <f t="shared" si="268"/>
        <v/>
      </c>
      <c r="AG731" s="539" t="str">
        <f t="shared" si="269"/>
        <v/>
      </c>
      <c r="AH731" s="32">
        <f t="shared" si="271"/>
        <v>0</v>
      </c>
      <c r="AI731" s="32">
        <f t="shared" si="272"/>
        <v>0</v>
      </c>
      <c r="AJ731" s="32">
        <f t="shared" si="273"/>
        <v>0</v>
      </c>
      <c r="AK731" t="str">
        <f t="shared" si="274"/>
        <v/>
      </c>
      <c r="AL731" t="str">
        <f t="shared" si="275"/>
        <v/>
      </c>
      <c r="AM731" t="str">
        <f t="shared" si="276"/>
        <v/>
      </c>
      <c r="AO731" t="str">
        <f>IFERROR(VLOOKUP(M731,'Fixture Identities'!$B$9:$O$1045,14,FALSE),"")</f>
        <v/>
      </c>
      <c r="AP731" t="str">
        <f t="shared" si="270"/>
        <v/>
      </c>
    </row>
    <row r="732" spans="1:42">
      <c r="A732" s="71">
        <f t="shared" si="278"/>
        <v>0</v>
      </c>
      <c r="B732" s="513">
        <f t="shared" si="277"/>
        <v>720</v>
      </c>
      <c r="C732" s="530" t="str">
        <f>IF(Inventory!E729="","",Inventory!E729)</f>
        <v/>
      </c>
      <c r="D732" s="531">
        <f>IF(Inventory!D729="",0,Inventory!D729)</f>
        <v>0</v>
      </c>
      <c r="E732" s="532" t="str">
        <f>IF(Inventory!I729=0,"",Inventory!I729)</f>
        <v/>
      </c>
      <c r="F732" s="533" t="str">
        <f t="shared" si="257"/>
        <v/>
      </c>
      <c r="G732" s="534" t="str">
        <f>IF(Inventory!G729="","",Inventory!G729)</f>
        <v/>
      </c>
      <c r="H732" s="535" t="str">
        <f t="shared" si="258"/>
        <v/>
      </c>
      <c r="I732" s="536" t="str">
        <f>IF(Inventory!J729="","",Inventory!J729)</f>
        <v/>
      </c>
      <c r="J732" s="537" t="str">
        <f>IFERROR(IF(PRJ_Type="New Construction",IF(Inventory!C729="N",INDEX(xyLPD_BuildingArea,MATCH(Building_Type,Lookups!$F$37:$F$75,0),4),INDEX(xyLPD_SpaceBySpace,MATCH(INDEX(xyNCEx,MATCH(I732,yNCExArea,0),2),ySpace_by_Space_Type,0),2)),VLOOKUP(E732,xyWattage_Table,11,FALSE)),"")</f>
        <v/>
      </c>
      <c r="K732" s="538" t="str">
        <f>IFERROR(IF(AND(NC_Type="Building Area Method",Inventory!C729="N"),IF(ISERROR(INDEX('Usage Groups (&gt;120 MWh only)'!$N$8:$N$12,MATCH(C732,'Usage Groups (&gt;120 MWh only)'!$B$8:$B$12,0),1))=TRUE,SqFt/COUNTIFS(Inventory!$C$10:$C$1009,"N",$Q$13:$Q$1012,"&gt;=0"),INDEX('Usage Groups (&gt;120 MWh only)'!$N$8:$N$12,MATCH(C732,'Usage Groups (&gt;120 MWh only)'!$B$8:$B$12,0),1)/COUNTIF($C$13:$C$1012,C732)),IF(AND(NC_Type="Building Area Method",Inventory!C729="Y"),INDEX(xyNCEx,MATCH(I732,yNCExArea,0),3)/COUNTIF($I$13:$I$1012,I732),VLOOKUP(J732,xyWattage_Table,10,FALSE))),"")</f>
        <v/>
      </c>
      <c r="L732" s="539" t="str">
        <f t="shared" si="259"/>
        <v/>
      </c>
      <c r="M732" s="540">
        <f>IF(Inventory!N729="","",Inventory!N729)</f>
        <v>0</v>
      </c>
      <c r="N732" s="533" t="str">
        <f t="shared" si="260"/>
        <v/>
      </c>
      <c r="O732" s="534"/>
      <c r="P732" s="533" t="str">
        <f t="shared" si="261"/>
        <v/>
      </c>
      <c r="Q732" s="534" t="str">
        <f>IF(Inventory!L729="","",Inventory!L729)</f>
        <v/>
      </c>
      <c r="R732" s="535" t="str">
        <f t="shared" si="262"/>
        <v/>
      </c>
      <c r="S732" s="536" t="str">
        <f>IF(Inventory!O729="","",Inventory!O729)</f>
        <v/>
      </c>
      <c r="T732" s="541" t="str">
        <f>IFERROR(IF(C732="","",IF(INDEX(xyWattage_Table,MATCH(M732,'Fixture Identities'!$B$9:$B$997,0),2)="Exit Sign",8760,IF(VLOOKUP(C732,xySpace_Type_Details,8,FALSE)="TRM",INDEX('General Information'!$AF$17:$AG$28,11,MATCH(N732,'General Information'!$AF$16:$AG$16,0)),HLOOKUP(VLOOKUP(C732,xySpace_Type_Details,8,FALSE),'General Information'!$P$15:$AG$28,13,FALSE)))),"")</f>
        <v/>
      </c>
      <c r="U732" s="542" t="str">
        <f>IFERROR(IF(C732="","",IF(INDEX(xyWattage_Table,MATCH(M732,'Fixture Identities'!$B$9:$B$997,0),2)="Exit Sign",1,IF(VLOOKUP(C732,xySpace_Type_Details,8,FALSE)="TRM",INDEX('General Information'!$AF$17:$AG$28,12,MATCH(N732,'General Information'!$AF$16:$AG$16,0)),HLOOKUP(VLOOKUP(C732,xySpace_Type_Details,8,FALSE),'General Information'!$P$15:$AG$28,14,FALSE)))),"")</f>
        <v/>
      </c>
      <c r="V732" s="542" t="str">
        <f>IFERROR(VLOOKUP(INDEX(xySpace_Type_Details,MATCH($C732,'General Information'!$C$40:$C$60,0),12),Lookups!$L$8:$N$12,2,FALSE),"")</f>
        <v/>
      </c>
      <c r="W732" s="542" t="str">
        <f>IFERROR(VLOOKUP(INDEX(xySpace_Type_Details,MATCH($C732,'General Information'!$C$40:$C$60,0),12),Lookups!$L$8:$N$12,3,FALSE),"")</f>
        <v/>
      </c>
      <c r="Y732" s="542" t="str">
        <f>IFERROR(IF(C732="","",IF(INDEX(xyWattage_Table,MATCH(M732,'Fixture Identities'!$B$9:$B$997,0),2)="Exit Sign",0,IF(PRJ_Type="Retrofit",VLOOKUP(I732,xySVG_Factors,2,FALSE),IF(AND(PRJ_Type="New Construction",Inventory!C729="N"),VLOOKUP(VLOOKUP(Building_Type,xyLPD_BuildingArea,5,FALSE),xySVG_Factors_NC,3,FALSE),0)))),"")</f>
        <v/>
      </c>
      <c r="Z732" s="544" t="str">
        <f>IFERROR(IF(C732="","",IF(INDEX(xyWattage_Table,MATCH(M732,'Fixture Identities'!$B$9:$B$997,0),2)="Exit Sign",0,VLOOKUP(S732,xySVG_Factors,2,FALSE))),"")</f>
        <v/>
      </c>
      <c r="AA732" s="545" t="str">
        <f t="shared" si="263"/>
        <v/>
      </c>
      <c r="AB732" s="542" t="str">
        <f t="shared" si="264"/>
        <v/>
      </c>
      <c r="AC732" s="539" t="str">
        <f t="shared" si="265"/>
        <v/>
      </c>
      <c r="AD732" s="546" t="str">
        <f t="shared" si="266"/>
        <v/>
      </c>
      <c r="AE732" s="539" t="str">
        <f t="shared" si="267"/>
        <v/>
      </c>
      <c r="AF732" s="546" t="str">
        <f t="shared" si="268"/>
        <v/>
      </c>
      <c r="AG732" s="539" t="str">
        <f t="shared" si="269"/>
        <v/>
      </c>
      <c r="AH732" s="32">
        <f t="shared" si="271"/>
        <v>0</v>
      </c>
      <c r="AI732" s="32">
        <f t="shared" si="272"/>
        <v>0</v>
      </c>
      <c r="AJ732" s="32">
        <f t="shared" si="273"/>
        <v>0</v>
      </c>
      <c r="AK732" t="str">
        <f t="shared" si="274"/>
        <v/>
      </c>
      <c r="AL732" t="str">
        <f t="shared" si="275"/>
        <v/>
      </c>
      <c r="AM732" t="str">
        <f t="shared" si="276"/>
        <v/>
      </c>
      <c r="AO732" t="str">
        <f>IFERROR(VLOOKUP(M732,'Fixture Identities'!$B$9:$O$1045,14,FALSE),"")</f>
        <v/>
      </c>
      <c r="AP732" t="str">
        <f t="shared" si="270"/>
        <v/>
      </c>
    </row>
    <row r="733" spans="1:42">
      <c r="A733" s="71">
        <f t="shared" si="278"/>
        <v>0</v>
      </c>
      <c r="B733" s="513">
        <f t="shared" si="277"/>
        <v>721</v>
      </c>
      <c r="C733" s="530" t="str">
        <f>IF(Inventory!E730="","",Inventory!E730)</f>
        <v/>
      </c>
      <c r="D733" s="531">
        <f>IF(Inventory!D730="",0,Inventory!D730)</f>
        <v>0</v>
      </c>
      <c r="E733" s="532" t="str">
        <f>IF(Inventory!I730=0,"",Inventory!I730)</f>
        <v/>
      </c>
      <c r="F733" s="533" t="str">
        <f t="shared" si="257"/>
        <v/>
      </c>
      <c r="G733" s="534" t="str">
        <f>IF(Inventory!G730="","",Inventory!G730)</f>
        <v/>
      </c>
      <c r="H733" s="535" t="str">
        <f t="shared" si="258"/>
        <v/>
      </c>
      <c r="I733" s="536" t="str">
        <f>IF(Inventory!J730="","",Inventory!J730)</f>
        <v/>
      </c>
      <c r="J733" s="537" t="str">
        <f>IFERROR(IF(PRJ_Type="New Construction",IF(Inventory!C730="N",INDEX(xyLPD_BuildingArea,MATCH(Building_Type,Lookups!$F$37:$F$75,0),4),INDEX(xyLPD_SpaceBySpace,MATCH(INDEX(xyNCEx,MATCH(I733,yNCExArea,0),2),ySpace_by_Space_Type,0),2)),VLOOKUP(E733,xyWattage_Table,11,FALSE)),"")</f>
        <v/>
      </c>
      <c r="K733" s="538" t="str">
        <f>IFERROR(IF(AND(NC_Type="Building Area Method",Inventory!C730="N"),IF(ISERROR(INDEX('Usage Groups (&gt;120 MWh only)'!$N$8:$N$12,MATCH(C733,'Usage Groups (&gt;120 MWh only)'!$B$8:$B$12,0),1))=TRUE,SqFt/COUNTIFS(Inventory!$C$10:$C$1009,"N",$Q$13:$Q$1012,"&gt;=0"),INDEX('Usage Groups (&gt;120 MWh only)'!$N$8:$N$12,MATCH(C733,'Usage Groups (&gt;120 MWh only)'!$B$8:$B$12,0),1)/COUNTIF($C$13:$C$1012,C733)),IF(AND(NC_Type="Building Area Method",Inventory!C730="Y"),INDEX(xyNCEx,MATCH(I733,yNCExArea,0),3)/COUNTIF($I$13:$I$1012,I733),VLOOKUP(J733,xyWattage_Table,10,FALSE))),"")</f>
        <v/>
      </c>
      <c r="L733" s="539" t="str">
        <f t="shared" si="259"/>
        <v/>
      </c>
      <c r="M733" s="540">
        <f>IF(Inventory!N730="","",Inventory!N730)</f>
        <v>0</v>
      </c>
      <c r="N733" s="533" t="str">
        <f t="shared" si="260"/>
        <v/>
      </c>
      <c r="O733" s="534"/>
      <c r="P733" s="533" t="str">
        <f t="shared" si="261"/>
        <v/>
      </c>
      <c r="Q733" s="534" t="str">
        <f>IF(Inventory!L730="","",Inventory!L730)</f>
        <v/>
      </c>
      <c r="R733" s="535" t="str">
        <f t="shared" si="262"/>
        <v/>
      </c>
      <c r="S733" s="536" t="str">
        <f>IF(Inventory!O730="","",Inventory!O730)</f>
        <v/>
      </c>
      <c r="T733" s="541" t="str">
        <f>IFERROR(IF(C733="","",IF(INDEX(xyWattage_Table,MATCH(M733,'Fixture Identities'!$B$9:$B$997,0),2)="Exit Sign",8760,IF(VLOOKUP(C733,xySpace_Type_Details,8,FALSE)="TRM",INDEX('General Information'!$AF$17:$AG$28,11,MATCH(N733,'General Information'!$AF$16:$AG$16,0)),HLOOKUP(VLOOKUP(C733,xySpace_Type_Details,8,FALSE),'General Information'!$P$15:$AG$28,13,FALSE)))),"")</f>
        <v/>
      </c>
      <c r="U733" s="542" t="str">
        <f>IFERROR(IF(C733="","",IF(INDEX(xyWattage_Table,MATCH(M733,'Fixture Identities'!$B$9:$B$997,0),2)="Exit Sign",1,IF(VLOOKUP(C733,xySpace_Type_Details,8,FALSE)="TRM",INDEX('General Information'!$AF$17:$AG$28,12,MATCH(N733,'General Information'!$AF$16:$AG$16,0)),HLOOKUP(VLOOKUP(C733,xySpace_Type_Details,8,FALSE),'General Information'!$P$15:$AG$28,14,FALSE)))),"")</f>
        <v/>
      </c>
      <c r="V733" s="542" t="str">
        <f>IFERROR(VLOOKUP(INDEX(xySpace_Type_Details,MATCH($C733,'General Information'!$C$40:$C$60,0),12),Lookups!$L$8:$N$12,2,FALSE),"")</f>
        <v/>
      </c>
      <c r="W733" s="542" t="str">
        <f>IFERROR(VLOOKUP(INDEX(xySpace_Type_Details,MATCH($C733,'General Information'!$C$40:$C$60,0),12),Lookups!$L$8:$N$12,3,FALSE),"")</f>
        <v/>
      </c>
      <c r="Y733" s="542" t="str">
        <f>IFERROR(IF(C733="","",IF(INDEX(xyWattage_Table,MATCH(M733,'Fixture Identities'!$B$9:$B$997,0),2)="Exit Sign",0,IF(PRJ_Type="Retrofit",VLOOKUP(I733,xySVG_Factors,2,FALSE),IF(AND(PRJ_Type="New Construction",Inventory!C730="N"),VLOOKUP(VLOOKUP(Building_Type,xyLPD_BuildingArea,5,FALSE),xySVG_Factors_NC,3,FALSE),0)))),"")</f>
        <v/>
      </c>
      <c r="Z733" s="544" t="str">
        <f>IFERROR(IF(C733="","",IF(INDEX(xyWattage_Table,MATCH(M733,'Fixture Identities'!$B$9:$B$997,0),2)="Exit Sign",0,VLOOKUP(S733,xySVG_Factors,2,FALSE))),"")</f>
        <v/>
      </c>
      <c r="AA733" s="545" t="str">
        <f t="shared" si="263"/>
        <v/>
      </c>
      <c r="AB733" s="542" t="str">
        <f t="shared" si="264"/>
        <v/>
      </c>
      <c r="AC733" s="539" t="str">
        <f t="shared" si="265"/>
        <v/>
      </c>
      <c r="AD733" s="546" t="str">
        <f t="shared" si="266"/>
        <v/>
      </c>
      <c r="AE733" s="539" t="str">
        <f t="shared" si="267"/>
        <v/>
      </c>
      <c r="AF733" s="546" t="str">
        <f t="shared" si="268"/>
        <v/>
      </c>
      <c r="AG733" s="539" t="str">
        <f t="shared" si="269"/>
        <v/>
      </c>
      <c r="AH733" s="32">
        <f t="shared" si="271"/>
        <v>0</v>
      </c>
      <c r="AI733" s="32">
        <f t="shared" si="272"/>
        <v>0</v>
      </c>
      <c r="AJ733" s="32">
        <f t="shared" si="273"/>
        <v>0</v>
      </c>
      <c r="AK733" t="str">
        <f t="shared" si="274"/>
        <v/>
      </c>
      <c r="AL733" t="str">
        <f t="shared" si="275"/>
        <v/>
      </c>
      <c r="AM733" t="str">
        <f t="shared" si="276"/>
        <v/>
      </c>
      <c r="AO733" t="str">
        <f>IFERROR(VLOOKUP(M733,'Fixture Identities'!$B$9:$O$1045,14,FALSE),"")</f>
        <v/>
      </c>
      <c r="AP733" t="str">
        <f t="shared" si="270"/>
        <v/>
      </c>
    </row>
    <row r="734" spans="1:42">
      <c r="A734" s="71">
        <f t="shared" si="278"/>
        <v>0</v>
      </c>
      <c r="B734" s="513">
        <f t="shared" si="277"/>
        <v>722</v>
      </c>
      <c r="C734" s="530" t="str">
        <f>IF(Inventory!E731="","",Inventory!E731)</f>
        <v/>
      </c>
      <c r="D734" s="531">
        <f>IF(Inventory!D731="",0,Inventory!D731)</f>
        <v>0</v>
      </c>
      <c r="E734" s="532" t="str">
        <f>IF(Inventory!I731=0,"",Inventory!I731)</f>
        <v/>
      </c>
      <c r="F734" s="533" t="str">
        <f t="shared" si="257"/>
        <v/>
      </c>
      <c r="G734" s="534" t="str">
        <f>IF(Inventory!G731="","",Inventory!G731)</f>
        <v/>
      </c>
      <c r="H734" s="535" t="str">
        <f t="shared" si="258"/>
        <v/>
      </c>
      <c r="I734" s="536" t="str">
        <f>IF(Inventory!J731="","",Inventory!J731)</f>
        <v/>
      </c>
      <c r="J734" s="537" t="str">
        <f>IFERROR(IF(PRJ_Type="New Construction",IF(Inventory!C731="N",INDEX(xyLPD_BuildingArea,MATCH(Building_Type,Lookups!$F$37:$F$75,0),4),INDEX(xyLPD_SpaceBySpace,MATCH(INDEX(xyNCEx,MATCH(I734,yNCExArea,0),2),ySpace_by_Space_Type,0),2)),VLOOKUP(E734,xyWattage_Table,11,FALSE)),"")</f>
        <v/>
      </c>
      <c r="K734" s="538" t="str">
        <f>IFERROR(IF(AND(NC_Type="Building Area Method",Inventory!C731="N"),IF(ISERROR(INDEX('Usage Groups (&gt;120 MWh only)'!$N$8:$N$12,MATCH(C734,'Usage Groups (&gt;120 MWh only)'!$B$8:$B$12,0),1))=TRUE,SqFt/COUNTIFS(Inventory!$C$10:$C$1009,"N",$Q$13:$Q$1012,"&gt;=0"),INDEX('Usage Groups (&gt;120 MWh only)'!$N$8:$N$12,MATCH(C734,'Usage Groups (&gt;120 MWh only)'!$B$8:$B$12,0),1)/COUNTIF($C$13:$C$1012,C734)),IF(AND(NC_Type="Building Area Method",Inventory!C731="Y"),INDEX(xyNCEx,MATCH(I734,yNCExArea,0),3)/COUNTIF($I$13:$I$1012,I734),VLOOKUP(J734,xyWattage_Table,10,FALSE))),"")</f>
        <v/>
      </c>
      <c r="L734" s="539" t="str">
        <f t="shared" si="259"/>
        <v/>
      </c>
      <c r="M734" s="540">
        <f>IF(Inventory!N731="","",Inventory!N731)</f>
        <v>0</v>
      </c>
      <c r="N734" s="533" t="str">
        <f t="shared" si="260"/>
        <v/>
      </c>
      <c r="O734" s="534"/>
      <c r="P734" s="533" t="str">
        <f t="shared" si="261"/>
        <v/>
      </c>
      <c r="Q734" s="534" t="str">
        <f>IF(Inventory!L731="","",Inventory!L731)</f>
        <v/>
      </c>
      <c r="R734" s="535" t="str">
        <f t="shared" si="262"/>
        <v/>
      </c>
      <c r="S734" s="536" t="str">
        <f>IF(Inventory!O731="","",Inventory!O731)</f>
        <v/>
      </c>
      <c r="T734" s="541" t="str">
        <f>IFERROR(IF(C734="","",IF(INDEX(xyWattage_Table,MATCH(M734,'Fixture Identities'!$B$9:$B$997,0),2)="Exit Sign",8760,IF(VLOOKUP(C734,xySpace_Type_Details,8,FALSE)="TRM",INDEX('General Information'!$AF$17:$AG$28,11,MATCH(N734,'General Information'!$AF$16:$AG$16,0)),HLOOKUP(VLOOKUP(C734,xySpace_Type_Details,8,FALSE),'General Information'!$P$15:$AG$28,13,FALSE)))),"")</f>
        <v/>
      </c>
      <c r="U734" s="542" t="str">
        <f>IFERROR(IF(C734="","",IF(INDEX(xyWattage_Table,MATCH(M734,'Fixture Identities'!$B$9:$B$997,0),2)="Exit Sign",1,IF(VLOOKUP(C734,xySpace_Type_Details,8,FALSE)="TRM",INDEX('General Information'!$AF$17:$AG$28,12,MATCH(N734,'General Information'!$AF$16:$AG$16,0)),HLOOKUP(VLOOKUP(C734,xySpace_Type_Details,8,FALSE),'General Information'!$P$15:$AG$28,14,FALSE)))),"")</f>
        <v/>
      </c>
      <c r="V734" s="542" t="str">
        <f>IFERROR(VLOOKUP(INDEX(xySpace_Type_Details,MATCH($C734,'General Information'!$C$40:$C$60,0),12),Lookups!$L$8:$N$12,2,FALSE),"")</f>
        <v/>
      </c>
      <c r="W734" s="542" t="str">
        <f>IFERROR(VLOOKUP(INDEX(xySpace_Type_Details,MATCH($C734,'General Information'!$C$40:$C$60,0),12),Lookups!$L$8:$N$12,3,FALSE),"")</f>
        <v/>
      </c>
      <c r="Y734" s="542" t="str">
        <f>IFERROR(IF(C734="","",IF(INDEX(xyWattage_Table,MATCH(M734,'Fixture Identities'!$B$9:$B$997,0),2)="Exit Sign",0,IF(PRJ_Type="Retrofit",VLOOKUP(I734,xySVG_Factors,2,FALSE),IF(AND(PRJ_Type="New Construction",Inventory!C731="N"),VLOOKUP(VLOOKUP(Building_Type,xyLPD_BuildingArea,5,FALSE),xySVG_Factors_NC,3,FALSE),0)))),"")</f>
        <v/>
      </c>
      <c r="Z734" s="544" t="str">
        <f>IFERROR(IF(C734="","",IF(INDEX(xyWattage_Table,MATCH(M734,'Fixture Identities'!$B$9:$B$997,0),2)="Exit Sign",0,VLOOKUP(S734,xySVG_Factors,2,FALSE))),"")</f>
        <v/>
      </c>
      <c r="AA734" s="545" t="str">
        <f t="shared" si="263"/>
        <v/>
      </c>
      <c r="AB734" s="542" t="str">
        <f t="shared" si="264"/>
        <v/>
      </c>
      <c r="AC734" s="539" t="str">
        <f t="shared" si="265"/>
        <v/>
      </c>
      <c r="AD734" s="546" t="str">
        <f t="shared" si="266"/>
        <v/>
      </c>
      <c r="AE734" s="539" t="str">
        <f t="shared" si="267"/>
        <v/>
      </c>
      <c r="AF734" s="546" t="str">
        <f t="shared" si="268"/>
        <v/>
      </c>
      <c r="AG734" s="539" t="str">
        <f t="shared" si="269"/>
        <v/>
      </c>
      <c r="AH734" s="32">
        <f t="shared" si="271"/>
        <v>0</v>
      </c>
      <c r="AI734" s="32">
        <f t="shared" si="272"/>
        <v>0</v>
      </c>
      <c r="AJ734" s="32">
        <f t="shared" si="273"/>
        <v>0</v>
      </c>
      <c r="AK734" t="str">
        <f t="shared" si="274"/>
        <v/>
      </c>
      <c r="AL734" t="str">
        <f t="shared" si="275"/>
        <v/>
      </c>
      <c r="AM734" t="str">
        <f t="shared" si="276"/>
        <v/>
      </c>
      <c r="AO734" t="str">
        <f>IFERROR(VLOOKUP(M734,'Fixture Identities'!$B$9:$O$1045,14,FALSE),"")</f>
        <v/>
      </c>
      <c r="AP734" t="str">
        <f t="shared" si="270"/>
        <v/>
      </c>
    </row>
    <row r="735" spans="1:42">
      <c r="A735" s="71">
        <f t="shared" si="278"/>
        <v>0</v>
      </c>
      <c r="B735" s="513">
        <f t="shared" si="277"/>
        <v>723</v>
      </c>
      <c r="C735" s="530" t="str">
        <f>IF(Inventory!E732="","",Inventory!E732)</f>
        <v/>
      </c>
      <c r="D735" s="531">
        <f>IF(Inventory!D732="",0,Inventory!D732)</f>
        <v>0</v>
      </c>
      <c r="E735" s="532" t="str">
        <f>IF(Inventory!I732=0,"",Inventory!I732)</f>
        <v/>
      </c>
      <c r="F735" s="533" t="str">
        <f t="shared" si="257"/>
        <v/>
      </c>
      <c r="G735" s="534" t="str">
        <f>IF(Inventory!G732="","",Inventory!G732)</f>
        <v/>
      </c>
      <c r="H735" s="535" t="str">
        <f t="shared" si="258"/>
        <v/>
      </c>
      <c r="I735" s="536" t="str">
        <f>IF(Inventory!J732="","",Inventory!J732)</f>
        <v/>
      </c>
      <c r="J735" s="537" t="str">
        <f>IFERROR(IF(PRJ_Type="New Construction",IF(Inventory!C732="N",INDEX(xyLPD_BuildingArea,MATCH(Building_Type,Lookups!$F$37:$F$75,0),4),INDEX(xyLPD_SpaceBySpace,MATCH(INDEX(xyNCEx,MATCH(I735,yNCExArea,0),2),ySpace_by_Space_Type,0),2)),VLOOKUP(E735,xyWattage_Table,11,FALSE)),"")</f>
        <v/>
      </c>
      <c r="K735" s="538" t="str">
        <f>IFERROR(IF(AND(NC_Type="Building Area Method",Inventory!C732="N"),IF(ISERROR(INDEX('Usage Groups (&gt;120 MWh only)'!$N$8:$N$12,MATCH(C735,'Usage Groups (&gt;120 MWh only)'!$B$8:$B$12,0),1))=TRUE,SqFt/COUNTIFS(Inventory!$C$10:$C$1009,"N",$Q$13:$Q$1012,"&gt;=0"),INDEX('Usage Groups (&gt;120 MWh only)'!$N$8:$N$12,MATCH(C735,'Usage Groups (&gt;120 MWh only)'!$B$8:$B$12,0),1)/COUNTIF($C$13:$C$1012,C735)),IF(AND(NC_Type="Building Area Method",Inventory!C732="Y"),INDEX(xyNCEx,MATCH(I735,yNCExArea,0),3)/COUNTIF($I$13:$I$1012,I735),VLOOKUP(J735,xyWattage_Table,10,FALSE))),"")</f>
        <v/>
      </c>
      <c r="L735" s="539" t="str">
        <f t="shared" si="259"/>
        <v/>
      </c>
      <c r="M735" s="540">
        <f>IF(Inventory!N732="","",Inventory!N732)</f>
        <v>0</v>
      </c>
      <c r="N735" s="533" t="str">
        <f t="shared" si="260"/>
        <v/>
      </c>
      <c r="O735" s="534"/>
      <c r="P735" s="533" t="str">
        <f t="shared" si="261"/>
        <v/>
      </c>
      <c r="Q735" s="534" t="str">
        <f>IF(Inventory!L732="","",Inventory!L732)</f>
        <v/>
      </c>
      <c r="R735" s="535" t="str">
        <f t="shared" si="262"/>
        <v/>
      </c>
      <c r="S735" s="536" t="str">
        <f>IF(Inventory!O732="","",Inventory!O732)</f>
        <v/>
      </c>
      <c r="T735" s="541" t="str">
        <f>IFERROR(IF(C735="","",IF(INDEX(xyWattage_Table,MATCH(M735,'Fixture Identities'!$B$9:$B$997,0),2)="Exit Sign",8760,IF(VLOOKUP(C735,xySpace_Type_Details,8,FALSE)="TRM",INDEX('General Information'!$AF$17:$AG$28,11,MATCH(N735,'General Information'!$AF$16:$AG$16,0)),HLOOKUP(VLOOKUP(C735,xySpace_Type_Details,8,FALSE),'General Information'!$P$15:$AG$28,13,FALSE)))),"")</f>
        <v/>
      </c>
      <c r="U735" s="542" t="str">
        <f>IFERROR(IF(C735="","",IF(INDEX(xyWattage_Table,MATCH(M735,'Fixture Identities'!$B$9:$B$997,0),2)="Exit Sign",1,IF(VLOOKUP(C735,xySpace_Type_Details,8,FALSE)="TRM",INDEX('General Information'!$AF$17:$AG$28,12,MATCH(N735,'General Information'!$AF$16:$AG$16,0)),HLOOKUP(VLOOKUP(C735,xySpace_Type_Details,8,FALSE),'General Information'!$P$15:$AG$28,14,FALSE)))),"")</f>
        <v/>
      </c>
      <c r="V735" s="542" t="str">
        <f>IFERROR(VLOOKUP(INDEX(xySpace_Type_Details,MATCH($C735,'General Information'!$C$40:$C$60,0),12),Lookups!$L$8:$N$12,2,FALSE),"")</f>
        <v/>
      </c>
      <c r="W735" s="542" t="str">
        <f>IFERROR(VLOOKUP(INDEX(xySpace_Type_Details,MATCH($C735,'General Information'!$C$40:$C$60,0),12),Lookups!$L$8:$N$12,3,FALSE),"")</f>
        <v/>
      </c>
      <c r="Y735" s="542" t="str">
        <f>IFERROR(IF(C735="","",IF(INDEX(xyWattage_Table,MATCH(M735,'Fixture Identities'!$B$9:$B$997,0),2)="Exit Sign",0,IF(PRJ_Type="Retrofit",VLOOKUP(I735,xySVG_Factors,2,FALSE),IF(AND(PRJ_Type="New Construction",Inventory!C732="N"),VLOOKUP(VLOOKUP(Building_Type,xyLPD_BuildingArea,5,FALSE),xySVG_Factors_NC,3,FALSE),0)))),"")</f>
        <v/>
      </c>
      <c r="Z735" s="544" t="str">
        <f>IFERROR(IF(C735="","",IF(INDEX(xyWattage_Table,MATCH(M735,'Fixture Identities'!$B$9:$B$997,0),2)="Exit Sign",0,VLOOKUP(S735,xySVG_Factors,2,FALSE))),"")</f>
        <v/>
      </c>
      <c r="AA735" s="545" t="str">
        <f t="shared" si="263"/>
        <v/>
      </c>
      <c r="AB735" s="542" t="str">
        <f t="shared" si="264"/>
        <v/>
      </c>
      <c r="AC735" s="539" t="str">
        <f t="shared" si="265"/>
        <v/>
      </c>
      <c r="AD735" s="546" t="str">
        <f t="shared" si="266"/>
        <v/>
      </c>
      <c r="AE735" s="539" t="str">
        <f t="shared" si="267"/>
        <v/>
      </c>
      <c r="AF735" s="546" t="str">
        <f t="shared" si="268"/>
        <v/>
      </c>
      <c r="AG735" s="539" t="str">
        <f t="shared" si="269"/>
        <v/>
      </c>
      <c r="AH735" s="32">
        <f t="shared" si="271"/>
        <v>0</v>
      </c>
      <c r="AI735" s="32">
        <f t="shared" si="272"/>
        <v>0</v>
      </c>
      <c r="AJ735" s="32">
        <f t="shared" si="273"/>
        <v>0</v>
      </c>
      <c r="AK735" t="str">
        <f t="shared" si="274"/>
        <v/>
      </c>
      <c r="AL735" t="str">
        <f t="shared" si="275"/>
        <v/>
      </c>
      <c r="AM735" t="str">
        <f t="shared" si="276"/>
        <v/>
      </c>
      <c r="AO735" t="str">
        <f>IFERROR(VLOOKUP(M735,'Fixture Identities'!$B$9:$O$1045,14,FALSE),"")</f>
        <v/>
      </c>
      <c r="AP735" t="str">
        <f t="shared" si="270"/>
        <v/>
      </c>
    </row>
    <row r="736" spans="1:42">
      <c r="A736" s="71">
        <f t="shared" si="278"/>
        <v>0</v>
      </c>
      <c r="B736" s="513">
        <f t="shared" si="277"/>
        <v>724</v>
      </c>
      <c r="C736" s="530" t="str">
        <f>IF(Inventory!E733="","",Inventory!E733)</f>
        <v/>
      </c>
      <c r="D736" s="531">
        <f>IF(Inventory!D733="",0,Inventory!D733)</f>
        <v>0</v>
      </c>
      <c r="E736" s="532" t="str">
        <f>IF(Inventory!I733=0,"",Inventory!I733)</f>
        <v/>
      </c>
      <c r="F736" s="533" t="str">
        <f t="shared" si="257"/>
        <v/>
      </c>
      <c r="G736" s="534" t="str">
        <f>IF(Inventory!G733="","",Inventory!G733)</f>
        <v/>
      </c>
      <c r="H736" s="535" t="str">
        <f t="shared" si="258"/>
        <v/>
      </c>
      <c r="I736" s="536" t="str">
        <f>IF(Inventory!J733="","",Inventory!J733)</f>
        <v/>
      </c>
      <c r="J736" s="537" t="str">
        <f>IFERROR(IF(PRJ_Type="New Construction",IF(Inventory!C733="N",INDEX(xyLPD_BuildingArea,MATCH(Building_Type,Lookups!$F$37:$F$75,0),4),INDEX(xyLPD_SpaceBySpace,MATCH(INDEX(xyNCEx,MATCH(I736,yNCExArea,0),2),ySpace_by_Space_Type,0),2)),VLOOKUP(E736,xyWattage_Table,11,FALSE)),"")</f>
        <v/>
      </c>
      <c r="K736" s="538" t="str">
        <f>IFERROR(IF(AND(NC_Type="Building Area Method",Inventory!C733="N"),IF(ISERROR(INDEX('Usage Groups (&gt;120 MWh only)'!$N$8:$N$12,MATCH(C736,'Usage Groups (&gt;120 MWh only)'!$B$8:$B$12,0),1))=TRUE,SqFt/COUNTIFS(Inventory!$C$10:$C$1009,"N",$Q$13:$Q$1012,"&gt;=0"),INDEX('Usage Groups (&gt;120 MWh only)'!$N$8:$N$12,MATCH(C736,'Usage Groups (&gt;120 MWh only)'!$B$8:$B$12,0),1)/COUNTIF($C$13:$C$1012,C736)),IF(AND(NC_Type="Building Area Method",Inventory!C733="Y"),INDEX(xyNCEx,MATCH(I736,yNCExArea,0),3)/COUNTIF($I$13:$I$1012,I736),VLOOKUP(J736,xyWattage_Table,10,FALSE))),"")</f>
        <v/>
      </c>
      <c r="L736" s="539" t="str">
        <f t="shared" si="259"/>
        <v/>
      </c>
      <c r="M736" s="540">
        <f>IF(Inventory!N733="","",Inventory!N733)</f>
        <v>0</v>
      </c>
      <c r="N736" s="533" t="str">
        <f t="shared" si="260"/>
        <v/>
      </c>
      <c r="O736" s="534"/>
      <c r="P736" s="533" t="str">
        <f t="shared" si="261"/>
        <v/>
      </c>
      <c r="Q736" s="534" t="str">
        <f>IF(Inventory!L733="","",Inventory!L733)</f>
        <v/>
      </c>
      <c r="R736" s="535" t="str">
        <f t="shared" si="262"/>
        <v/>
      </c>
      <c r="S736" s="536" t="str">
        <f>IF(Inventory!O733="","",Inventory!O733)</f>
        <v/>
      </c>
      <c r="T736" s="541" t="str">
        <f>IFERROR(IF(C736="","",IF(INDEX(xyWattage_Table,MATCH(M736,'Fixture Identities'!$B$9:$B$997,0),2)="Exit Sign",8760,IF(VLOOKUP(C736,xySpace_Type_Details,8,FALSE)="TRM",INDEX('General Information'!$AF$17:$AG$28,11,MATCH(N736,'General Information'!$AF$16:$AG$16,0)),HLOOKUP(VLOOKUP(C736,xySpace_Type_Details,8,FALSE),'General Information'!$P$15:$AG$28,13,FALSE)))),"")</f>
        <v/>
      </c>
      <c r="U736" s="542" t="str">
        <f>IFERROR(IF(C736="","",IF(INDEX(xyWattage_Table,MATCH(M736,'Fixture Identities'!$B$9:$B$997,0),2)="Exit Sign",1,IF(VLOOKUP(C736,xySpace_Type_Details,8,FALSE)="TRM",INDEX('General Information'!$AF$17:$AG$28,12,MATCH(N736,'General Information'!$AF$16:$AG$16,0)),HLOOKUP(VLOOKUP(C736,xySpace_Type_Details,8,FALSE),'General Information'!$P$15:$AG$28,14,FALSE)))),"")</f>
        <v/>
      </c>
      <c r="V736" s="542" t="str">
        <f>IFERROR(VLOOKUP(INDEX(xySpace_Type_Details,MATCH($C736,'General Information'!$C$40:$C$60,0),12),Lookups!$L$8:$N$12,2,FALSE),"")</f>
        <v/>
      </c>
      <c r="W736" s="542" t="str">
        <f>IFERROR(VLOOKUP(INDEX(xySpace_Type_Details,MATCH($C736,'General Information'!$C$40:$C$60,0),12),Lookups!$L$8:$N$12,3,FALSE),"")</f>
        <v/>
      </c>
      <c r="Y736" s="542" t="str">
        <f>IFERROR(IF(C736="","",IF(INDEX(xyWattage_Table,MATCH(M736,'Fixture Identities'!$B$9:$B$997,0),2)="Exit Sign",0,IF(PRJ_Type="Retrofit",VLOOKUP(I736,xySVG_Factors,2,FALSE),IF(AND(PRJ_Type="New Construction",Inventory!C733="N"),VLOOKUP(VLOOKUP(Building_Type,xyLPD_BuildingArea,5,FALSE),xySVG_Factors_NC,3,FALSE),0)))),"")</f>
        <v/>
      </c>
      <c r="Z736" s="544" t="str">
        <f>IFERROR(IF(C736="","",IF(INDEX(xyWattage_Table,MATCH(M736,'Fixture Identities'!$B$9:$B$997,0),2)="Exit Sign",0,VLOOKUP(S736,xySVG_Factors,2,FALSE))),"")</f>
        <v/>
      </c>
      <c r="AA736" s="545" t="str">
        <f t="shared" si="263"/>
        <v/>
      </c>
      <c r="AB736" s="542" t="str">
        <f t="shared" si="264"/>
        <v/>
      </c>
      <c r="AC736" s="539" t="str">
        <f t="shared" si="265"/>
        <v/>
      </c>
      <c r="AD736" s="546" t="str">
        <f t="shared" si="266"/>
        <v/>
      </c>
      <c r="AE736" s="539" t="str">
        <f t="shared" si="267"/>
        <v/>
      </c>
      <c r="AF736" s="546" t="str">
        <f t="shared" si="268"/>
        <v/>
      </c>
      <c r="AG736" s="539" t="str">
        <f t="shared" si="269"/>
        <v/>
      </c>
      <c r="AH736" s="32">
        <f t="shared" si="271"/>
        <v>0</v>
      </c>
      <c r="AI736" s="32">
        <f t="shared" si="272"/>
        <v>0</v>
      </c>
      <c r="AJ736" s="32">
        <f t="shared" si="273"/>
        <v>0</v>
      </c>
      <c r="AK736" t="str">
        <f t="shared" si="274"/>
        <v/>
      </c>
      <c r="AL736" t="str">
        <f t="shared" si="275"/>
        <v/>
      </c>
      <c r="AM736" t="str">
        <f t="shared" si="276"/>
        <v/>
      </c>
      <c r="AO736" t="str">
        <f>IFERROR(VLOOKUP(M736,'Fixture Identities'!$B$9:$O$1045,14,FALSE),"")</f>
        <v/>
      </c>
      <c r="AP736" t="str">
        <f t="shared" si="270"/>
        <v/>
      </c>
    </row>
    <row r="737" spans="1:42">
      <c r="A737" s="71">
        <f t="shared" si="278"/>
        <v>0</v>
      </c>
      <c r="B737" s="513">
        <f t="shared" si="277"/>
        <v>725</v>
      </c>
      <c r="C737" s="530" t="str">
        <f>IF(Inventory!E734="","",Inventory!E734)</f>
        <v/>
      </c>
      <c r="D737" s="531">
        <f>IF(Inventory!D734="",0,Inventory!D734)</f>
        <v>0</v>
      </c>
      <c r="E737" s="532" t="str">
        <f>IF(Inventory!I734=0,"",Inventory!I734)</f>
        <v/>
      </c>
      <c r="F737" s="533" t="str">
        <f t="shared" si="257"/>
        <v/>
      </c>
      <c r="G737" s="534" t="str">
        <f>IF(Inventory!G734="","",Inventory!G734)</f>
        <v/>
      </c>
      <c r="H737" s="535" t="str">
        <f t="shared" si="258"/>
        <v/>
      </c>
      <c r="I737" s="536" t="str">
        <f>IF(Inventory!J734="","",Inventory!J734)</f>
        <v/>
      </c>
      <c r="J737" s="537" t="str">
        <f>IFERROR(IF(PRJ_Type="New Construction",IF(Inventory!C734="N",INDEX(xyLPD_BuildingArea,MATCH(Building_Type,Lookups!$F$37:$F$75,0),4),INDEX(xyLPD_SpaceBySpace,MATCH(INDEX(xyNCEx,MATCH(I737,yNCExArea,0),2),ySpace_by_Space_Type,0),2)),VLOOKUP(E737,xyWattage_Table,11,FALSE)),"")</f>
        <v/>
      </c>
      <c r="K737" s="538" t="str">
        <f>IFERROR(IF(AND(NC_Type="Building Area Method",Inventory!C734="N"),IF(ISERROR(INDEX('Usage Groups (&gt;120 MWh only)'!$N$8:$N$12,MATCH(C737,'Usage Groups (&gt;120 MWh only)'!$B$8:$B$12,0),1))=TRUE,SqFt/COUNTIFS(Inventory!$C$10:$C$1009,"N",$Q$13:$Q$1012,"&gt;=0"),INDEX('Usage Groups (&gt;120 MWh only)'!$N$8:$N$12,MATCH(C737,'Usage Groups (&gt;120 MWh only)'!$B$8:$B$12,0),1)/COUNTIF($C$13:$C$1012,C737)),IF(AND(NC_Type="Building Area Method",Inventory!C734="Y"),INDEX(xyNCEx,MATCH(I737,yNCExArea,0),3)/COUNTIF($I$13:$I$1012,I737),VLOOKUP(J737,xyWattage_Table,10,FALSE))),"")</f>
        <v/>
      </c>
      <c r="L737" s="539" t="str">
        <f t="shared" si="259"/>
        <v/>
      </c>
      <c r="M737" s="540">
        <f>IF(Inventory!N734="","",Inventory!N734)</f>
        <v>0</v>
      </c>
      <c r="N737" s="533" t="str">
        <f t="shared" si="260"/>
        <v/>
      </c>
      <c r="O737" s="534"/>
      <c r="P737" s="533" t="str">
        <f t="shared" si="261"/>
        <v/>
      </c>
      <c r="Q737" s="534" t="str">
        <f>IF(Inventory!L734="","",Inventory!L734)</f>
        <v/>
      </c>
      <c r="R737" s="535" t="str">
        <f t="shared" si="262"/>
        <v/>
      </c>
      <c r="S737" s="536" t="str">
        <f>IF(Inventory!O734="","",Inventory!O734)</f>
        <v/>
      </c>
      <c r="T737" s="541" t="str">
        <f>IFERROR(IF(C737="","",IF(INDEX(xyWattage_Table,MATCH(M737,'Fixture Identities'!$B$9:$B$997,0),2)="Exit Sign",8760,IF(VLOOKUP(C737,xySpace_Type_Details,8,FALSE)="TRM",INDEX('General Information'!$AF$17:$AG$28,11,MATCH(N737,'General Information'!$AF$16:$AG$16,0)),HLOOKUP(VLOOKUP(C737,xySpace_Type_Details,8,FALSE),'General Information'!$P$15:$AG$28,13,FALSE)))),"")</f>
        <v/>
      </c>
      <c r="U737" s="542" t="str">
        <f>IFERROR(IF(C737="","",IF(INDEX(xyWattage_Table,MATCH(M737,'Fixture Identities'!$B$9:$B$997,0),2)="Exit Sign",1,IF(VLOOKUP(C737,xySpace_Type_Details,8,FALSE)="TRM",INDEX('General Information'!$AF$17:$AG$28,12,MATCH(N737,'General Information'!$AF$16:$AG$16,0)),HLOOKUP(VLOOKUP(C737,xySpace_Type_Details,8,FALSE),'General Information'!$P$15:$AG$28,14,FALSE)))),"")</f>
        <v/>
      </c>
      <c r="V737" s="542" t="str">
        <f>IFERROR(VLOOKUP(INDEX(xySpace_Type_Details,MATCH($C737,'General Information'!$C$40:$C$60,0),12),Lookups!$L$8:$N$12,2,FALSE),"")</f>
        <v/>
      </c>
      <c r="W737" s="542" t="str">
        <f>IFERROR(VLOOKUP(INDEX(xySpace_Type_Details,MATCH($C737,'General Information'!$C$40:$C$60,0),12),Lookups!$L$8:$N$12,3,FALSE),"")</f>
        <v/>
      </c>
      <c r="Y737" s="542" t="str">
        <f>IFERROR(IF(C737="","",IF(INDEX(xyWattage_Table,MATCH(M737,'Fixture Identities'!$B$9:$B$997,0),2)="Exit Sign",0,IF(PRJ_Type="Retrofit",VLOOKUP(I737,xySVG_Factors,2,FALSE),IF(AND(PRJ_Type="New Construction",Inventory!C734="N"),VLOOKUP(VLOOKUP(Building_Type,xyLPD_BuildingArea,5,FALSE),xySVG_Factors_NC,3,FALSE),0)))),"")</f>
        <v/>
      </c>
      <c r="Z737" s="544" t="str">
        <f>IFERROR(IF(C737="","",IF(INDEX(xyWattage_Table,MATCH(M737,'Fixture Identities'!$B$9:$B$997,0),2)="Exit Sign",0,VLOOKUP(S737,xySVG_Factors,2,FALSE))),"")</f>
        <v/>
      </c>
      <c r="AA737" s="545" t="str">
        <f t="shared" si="263"/>
        <v/>
      </c>
      <c r="AB737" s="542" t="str">
        <f t="shared" si="264"/>
        <v/>
      </c>
      <c r="AC737" s="539" t="str">
        <f t="shared" si="265"/>
        <v/>
      </c>
      <c r="AD737" s="546" t="str">
        <f t="shared" si="266"/>
        <v/>
      </c>
      <c r="AE737" s="539" t="str">
        <f t="shared" si="267"/>
        <v/>
      </c>
      <c r="AF737" s="546" t="str">
        <f t="shared" si="268"/>
        <v/>
      </c>
      <c r="AG737" s="539" t="str">
        <f t="shared" si="269"/>
        <v/>
      </c>
      <c r="AH737" s="32">
        <f t="shared" si="271"/>
        <v>0</v>
      </c>
      <c r="AI737" s="32">
        <f t="shared" si="272"/>
        <v>0</v>
      </c>
      <c r="AJ737" s="32">
        <f t="shared" si="273"/>
        <v>0</v>
      </c>
      <c r="AK737" t="str">
        <f t="shared" si="274"/>
        <v/>
      </c>
      <c r="AL737" t="str">
        <f t="shared" si="275"/>
        <v/>
      </c>
      <c r="AM737" t="str">
        <f t="shared" si="276"/>
        <v/>
      </c>
      <c r="AO737" t="str">
        <f>IFERROR(VLOOKUP(M737,'Fixture Identities'!$B$9:$O$1045,14,FALSE),"")</f>
        <v/>
      </c>
      <c r="AP737" t="str">
        <f t="shared" si="270"/>
        <v/>
      </c>
    </row>
    <row r="738" spans="1:42">
      <c r="A738" s="71">
        <f t="shared" si="278"/>
        <v>0</v>
      </c>
      <c r="B738" s="513">
        <f t="shared" si="277"/>
        <v>726</v>
      </c>
      <c r="C738" s="530" t="str">
        <f>IF(Inventory!E735="","",Inventory!E735)</f>
        <v/>
      </c>
      <c r="D738" s="531">
        <f>IF(Inventory!D735="",0,Inventory!D735)</f>
        <v>0</v>
      </c>
      <c r="E738" s="532" t="str">
        <f>IF(Inventory!I735=0,"",Inventory!I735)</f>
        <v/>
      </c>
      <c r="F738" s="533" t="str">
        <f t="shared" si="257"/>
        <v/>
      </c>
      <c r="G738" s="534" t="str">
        <f>IF(Inventory!G735="","",Inventory!G735)</f>
        <v/>
      </c>
      <c r="H738" s="535" t="str">
        <f t="shared" si="258"/>
        <v/>
      </c>
      <c r="I738" s="536" t="str">
        <f>IF(Inventory!J735="","",Inventory!J735)</f>
        <v/>
      </c>
      <c r="J738" s="537" t="str">
        <f>IFERROR(IF(PRJ_Type="New Construction",IF(Inventory!C735="N",INDEX(xyLPD_BuildingArea,MATCH(Building_Type,Lookups!$F$37:$F$75,0),4),INDEX(xyLPD_SpaceBySpace,MATCH(INDEX(xyNCEx,MATCH(I738,yNCExArea,0),2),ySpace_by_Space_Type,0),2)),VLOOKUP(E738,xyWattage_Table,11,FALSE)),"")</f>
        <v/>
      </c>
      <c r="K738" s="538" t="str">
        <f>IFERROR(IF(AND(NC_Type="Building Area Method",Inventory!C735="N"),IF(ISERROR(INDEX('Usage Groups (&gt;120 MWh only)'!$N$8:$N$12,MATCH(C738,'Usage Groups (&gt;120 MWh only)'!$B$8:$B$12,0),1))=TRUE,SqFt/COUNTIFS(Inventory!$C$10:$C$1009,"N",$Q$13:$Q$1012,"&gt;=0"),INDEX('Usage Groups (&gt;120 MWh only)'!$N$8:$N$12,MATCH(C738,'Usage Groups (&gt;120 MWh only)'!$B$8:$B$12,0),1)/COUNTIF($C$13:$C$1012,C738)),IF(AND(NC_Type="Building Area Method",Inventory!C735="Y"),INDEX(xyNCEx,MATCH(I738,yNCExArea,0),3)/COUNTIF($I$13:$I$1012,I738),VLOOKUP(J738,xyWattage_Table,10,FALSE))),"")</f>
        <v/>
      </c>
      <c r="L738" s="539" t="str">
        <f t="shared" si="259"/>
        <v/>
      </c>
      <c r="M738" s="540">
        <f>IF(Inventory!N735="","",Inventory!N735)</f>
        <v>0</v>
      </c>
      <c r="N738" s="533" t="str">
        <f t="shared" si="260"/>
        <v/>
      </c>
      <c r="O738" s="534"/>
      <c r="P738" s="533" t="str">
        <f t="shared" si="261"/>
        <v/>
      </c>
      <c r="Q738" s="534" t="str">
        <f>IF(Inventory!L735="","",Inventory!L735)</f>
        <v/>
      </c>
      <c r="R738" s="535" t="str">
        <f t="shared" si="262"/>
        <v/>
      </c>
      <c r="S738" s="536" t="str">
        <f>IF(Inventory!O735="","",Inventory!O735)</f>
        <v/>
      </c>
      <c r="T738" s="541" t="str">
        <f>IFERROR(IF(C738="","",IF(INDEX(xyWattage_Table,MATCH(M738,'Fixture Identities'!$B$9:$B$997,0),2)="Exit Sign",8760,IF(VLOOKUP(C738,xySpace_Type_Details,8,FALSE)="TRM",INDEX('General Information'!$AF$17:$AG$28,11,MATCH(N738,'General Information'!$AF$16:$AG$16,0)),HLOOKUP(VLOOKUP(C738,xySpace_Type_Details,8,FALSE),'General Information'!$P$15:$AG$28,13,FALSE)))),"")</f>
        <v/>
      </c>
      <c r="U738" s="542" t="str">
        <f>IFERROR(IF(C738="","",IF(INDEX(xyWattage_Table,MATCH(M738,'Fixture Identities'!$B$9:$B$997,0),2)="Exit Sign",1,IF(VLOOKUP(C738,xySpace_Type_Details,8,FALSE)="TRM",INDEX('General Information'!$AF$17:$AG$28,12,MATCH(N738,'General Information'!$AF$16:$AG$16,0)),HLOOKUP(VLOOKUP(C738,xySpace_Type_Details,8,FALSE),'General Information'!$P$15:$AG$28,14,FALSE)))),"")</f>
        <v/>
      </c>
      <c r="V738" s="542" t="str">
        <f>IFERROR(VLOOKUP(INDEX(xySpace_Type_Details,MATCH($C738,'General Information'!$C$40:$C$60,0),12),Lookups!$L$8:$N$12,2,FALSE),"")</f>
        <v/>
      </c>
      <c r="W738" s="542" t="str">
        <f>IFERROR(VLOOKUP(INDEX(xySpace_Type_Details,MATCH($C738,'General Information'!$C$40:$C$60,0),12),Lookups!$L$8:$N$12,3,FALSE),"")</f>
        <v/>
      </c>
      <c r="Y738" s="542" t="str">
        <f>IFERROR(IF(C738="","",IF(INDEX(xyWattage_Table,MATCH(M738,'Fixture Identities'!$B$9:$B$997,0),2)="Exit Sign",0,IF(PRJ_Type="Retrofit",VLOOKUP(I738,xySVG_Factors,2,FALSE),IF(AND(PRJ_Type="New Construction",Inventory!C735="N"),VLOOKUP(VLOOKUP(Building_Type,xyLPD_BuildingArea,5,FALSE),xySVG_Factors_NC,3,FALSE),0)))),"")</f>
        <v/>
      </c>
      <c r="Z738" s="544" t="str">
        <f>IFERROR(IF(C738="","",IF(INDEX(xyWattage_Table,MATCH(M738,'Fixture Identities'!$B$9:$B$997,0),2)="Exit Sign",0,VLOOKUP(S738,xySVG_Factors,2,FALSE))),"")</f>
        <v/>
      </c>
      <c r="AA738" s="545" t="str">
        <f t="shared" si="263"/>
        <v/>
      </c>
      <c r="AB738" s="542" t="str">
        <f t="shared" si="264"/>
        <v/>
      </c>
      <c r="AC738" s="539" t="str">
        <f t="shared" si="265"/>
        <v/>
      </c>
      <c r="AD738" s="546" t="str">
        <f t="shared" si="266"/>
        <v/>
      </c>
      <c r="AE738" s="539" t="str">
        <f t="shared" si="267"/>
        <v/>
      </c>
      <c r="AF738" s="546" t="str">
        <f t="shared" si="268"/>
        <v/>
      </c>
      <c r="AG738" s="539" t="str">
        <f t="shared" si="269"/>
        <v/>
      </c>
      <c r="AH738" s="32">
        <f t="shared" si="271"/>
        <v>0</v>
      </c>
      <c r="AI738" s="32">
        <f t="shared" si="272"/>
        <v>0</v>
      </c>
      <c r="AJ738" s="32">
        <f t="shared" si="273"/>
        <v>0</v>
      </c>
      <c r="AK738" t="str">
        <f t="shared" si="274"/>
        <v/>
      </c>
      <c r="AL738" t="str">
        <f t="shared" si="275"/>
        <v/>
      </c>
      <c r="AM738" t="str">
        <f t="shared" si="276"/>
        <v/>
      </c>
      <c r="AO738" t="str">
        <f>IFERROR(VLOOKUP(M738,'Fixture Identities'!$B$9:$O$1045,14,FALSE),"")</f>
        <v/>
      </c>
      <c r="AP738" t="str">
        <f t="shared" si="270"/>
        <v/>
      </c>
    </row>
    <row r="739" spans="1:42">
      <c r="A739" s="71">
        <f t="shared" si="278"/>
        <v>0</v>
      </c>
      <c r="B739" s="513">
        <f t="shared" si="277"/>
        <v>727</v>
      </c>
      <c r="C739" s="530" t="str">
        <f>IF(Inventory!E736="","",Inventory!E736)</f>
        <v/>
      </c>
      <c r="D739" s="531">
        <f>IF(Inventory!D736="",0,Inventory!D736)</f>
        <v>0</v>
      </c>
      <c r="E739" s="532" t="str">
        <f>IF(Inventory!I736=0,"",Inventory!I736)</f>
        <v/>
      </c>
      <c r="F739" s="533" t="str">
        <f t="shared" si="257"/>
        <v/>
      </c>
      <c r="G739" s="534" t="str">
        <f>IF(Inventory!G736="","",Inventory!G736)</f>
        <v/>
      </c>
      <c r="H739" s="535" t="str">
        <f t="shared" si="258"/>
        <v/>
      </c>
      <c r="I739" s="536" t="str">
        <f>IF(Inventory!J736="","",Inventory!J736)</f>
        <v/>
      </c>
      <c r="J739" s="537" t="str">
        <f>IFERROR(IF(PRJ_Type="New Construction",IF(Inventory!C736="N",INDEX(xyLPD_BuildingArea,MATCH(Building_Type,Lookups!$F$37:$F$75,0),4),INDEX(xyLPD_SpaceBySpace,MATCH(INDEX(xyNCEx,MATCH(I739,yNCExArea,0),2),ySpace_by_Space_Type,0),2)),VLOOKUP(E739,xyWattage_Table,11,FALSE)),"")</f>
        <v/>
      </c>
      <c r="K739" s="538" t="str">
        <f>IFERROR(IF(AND(NC_Type="Building Area Method",Inventory!C736="N"),IF(ISERROR(INDEX('Usage Groups (&gt;120 MWh only)'!$N$8:$N$12,MATCH(C739,'Usage Groups (&gt;120 MWh only)'!$B$8:$B$12,0),1))=TRUE,SqFt/COUNTIFS(Inventory!$C$10:$C$1009,"N",$Q$13:$Q$1012,"&gt;=0"),INDEX('Usage Groups (&gt;120 MWh only)'!$N$8:$N$12,MATCH(C739,'Usage Groups (&gt;120 MWh only)'!$B$8:$B$12,0),1)/COUNTIF($C$13:$C$1012,C739)),IF(AND(NC_Type="Building Area Method",Inventory!C736="Y"),INDEX(xyNCEx,MATCH(I739,yNCExArea,0),3)/COUNTIF($I$13:$I$1012,I739),VLOOKUP(J739,xyWattage_Table,10,FALSE))),"")</f>
        <v/>
      </c>
      <c r="L739" s="539" t="str">
        <f t="shared" si="259"/>
        <v/>
      </c>
      <c r="M739" s="540">
        <f>IF(Inventory!N736="","",Inventory!N736)</f>
        <v>0</v>
      </c>
      <c r="N739" s="533" t="str">
        <f t="shared" si="260"/>
        <v/>
      </c>
      <c r="O739" s="534"/>
      <c r="P739" s="533" t="str">
        <f t="shared" si="261"/>
        <v/>
      </c>
      <c r="Q739" s="534" t="str">
        <f>IF(Inventory!L736="","",Inventory!L736)</f>
        <v/>
      </c>
      <c r="R739" s="535" t="str">
        <f t="shared" si="262"/>
        <v/>
      </c>
      <c r="S739" s="536" t="str">
        <f>IF(Inventory!O736="","",Inventory!O736)</f>
        <v/>
      </c>
      <c r="T739" s="541" t="str">
        <f>IFERROR(IF(C739="","",IF(INDEX(xyWattage_Table,MATCH(M739,'Fixture Identities'!$B$9:$B$997,0),2)="Exit Sign",8760,IF(VLOOKUP(C739,xySpace_Type_Details,8,FALSE)="TRM",INDEX('General Information'!$AF$17:$AG$28,11,MATCH(N739,'General Information'!$AF$16:$AG$16,0)),HLOOKUP(VLOOKUP(C739,xySpace_Type_Details,8,FALSE),'General Information'!$P$15:$AG$28,13,FALSE)))),"")</f>
        <v/>
      </c>
      <c r="U739" s="542" t="str">
        <f>IFERROR(IF(C739="","",IF(INDEX(xyWattage_Table,MATCH(M739,'Fixture Identities'!$B$9:$B$997,0),2)="Exit Sign",1,IF(VLOOKUP(C739,xySpace_Type_Details,8,FALSE)="TRM",INDEX('General Information'!$AF$17:$AG$28,12,MATCH(N739,'General Information'!$AF$16:$AG$16,0)),HLOOKUP(VLOOKUP(C739,xySpace_Type_Details,8,FALSE),'General Information'!$P$15:$AG$28,14,FALSE)))),"")</f>
        <v/>
      </c>
      <c r="V739" s="542" t="str">
        <f>IFERROR(VLOOKUP(INDEX(xySpace_Type_Details,MATCH($C739,'General Information'!$C$40:$C$60,0),12),Lookups!$L$8:$N$12,2,FALSE),"")</f>
        <v/>
      </c>
      <c r="W739" s="542" t="str">
        <f>IFERROR(VLOOKUP(INDEX(xySpace_Type_Details,MATCH($C739,'General Information'!$C$40:$C$60,0),12),Lookups!$L$8:$N$12,3,FALSE),"")</f>
        <v/>
      </c>
      <c r="Y739" s="542" t="str">
        <f>IFERROR(IF(C739="","",IF(INDEX(xyWattage_Table,MATCH(M739,'Fixture Identities'!$B$9:$B$997,0),2)="Exit Sign",0,IF(PRJ_Type="Retrofit",VLOOKUP(I739,xySVG_Factors,2,FALSE),IF(AND(PRJ_Type="New Construction",Inventory!C736="N"),VLOOKUP(VLOOKUP(Building_Type,xyLPD_BuildingArea,5,FALSE),xySVG_Factors_NC,3,FALSE),0)))),"")</f>
        <v/>
      </c>
      <c r="Z739" s="544" t="str">
        <f>IFERROR(IF(C739="","",IF(INDEX(xyWattage_Table,MATCH(M739,'Fixture Identities'!$B$9:$B$997,0),2)="Exit Sign",0,VLOOKUP(S739,xySVG_Factors,2,FALSE))),"")</f>
        <v/>
      </c>
      <c r="AA739" s="545" t="str">
        <f t="shared" si="263"/>
        <v/>
      </c>
      <c r="AB739" s="542" t="str">
        <f t="shared" si="264"/>
        <v/>
      </c>
      <c r="AC739" s="539" t="str">
        <f t="shared" si="265"/>
        <v/>
      </c>
      <c r="AD739" s="546" t="str">
        <f t="shared" si="266"/>
        <v/>
      </c>
      <c r="AE739" s="539" t="str">
        <f t="shared" si="267"/>
        <v/>
      </c>
      <c r="AF739" s="546" t="str">
        <f t="shared" si="268"/>
        <v/>
      </c>
      <c r="AG739" s="539" t="str">
        <f t="shared" si="269"/>
        <v/>
      </c>
      <c r="AH739" s="32">
        <f t="shared" si="271"/>
        <v>0</v>
      </c>
      <c r="AI739" s="32">
        <f t="shared" si="272"/>
        <v>0</v>
      </c>
      <c r="AJ739" s="32">
        <f t="shared" si="273"/>
        <v>0</v>
      </c>
      <c r="AK739" t="str">
        <f t="shared" si="274"/>
        <v/>
      </c>
      <c r="AL739" t="str">
        <f t="shared" si="275"/>
        <v/>
      </c>
      <c r="AM739" t="str">
        <f t="shared" si="276"/>
        <v/>
      </c>
      <c r="AO739" t="str">
        <f>IFERROR(VLOOKUP(M739,'Fixture Identities'!$B$9:$O$1045,14,FALSE),"")</f>
        <v/>
      </c>
      <c r="AP739" t="str">
        <f t="shared" si="270"/>
        <v/>
      </c>
    </row>
    <row r="740" spans="1:42">
      <c r="A740" s="71">
        <f t="shared" si="278"/>
        <v>0</v>
      </c>
      <c r="B740" s="513">
        <f t="shared" si="277"/>
        <v>728</v>
      </c>
      <c r="C740" s="530" t="str">
        <f>IF(Inventory!E737="","",Inventory!E737)</f>
        <v/>
      </c>
      <c r="D740" s="531">
        <f>IF(Inventory!D737="",0,Inventory!D737)</f>
        <v>0</v>
      </c>
      <c r="E740" s="532" t="str">
        <f>IF(Inventory!I737=0,"",Inventory!I737)</f>
        <v/>
      </c>
      <c r="F740" s="533" t="str">
        <f t="shared" si="257"/>
        <v/>
      </c>
      <c r="G740" s="534" t="str">
        <f>IF(Inventory!G737="","",Inventory!G737)</f>
        <v/>
      </c>
      <c r="H740" s="535" t="str">
        <f t="shared" si="258"/>
        <v/>
      </c>
      <c r="I740" s="536" t="str">
        <f>IF(Inventory!J737="","",Inventory!J737)</f>
        <v/>
      </c>
      <c r="J740" s="537" t="str">
        <f>IFERROR(IF(PRJ_Type="New Construction",IF(Inventory!C737="N",INDEX(xyLPD_BuildingArea,MATCH(Building_Type,Lookups!$F$37:$F$75,0),4),INDEX(xyLPD_SpaceBySpace,MATCH(INDEX(xyNCEx,MATCH(I740,yNCExArea,0),2),ySpace_by_Space_Type,0),2)),VLOOKUP(E740,xyWattage_Table,11,FALSE)),"")</f>
        <v/>
      </c>
      <c r="K740" s="538" t="str">
        <f>IFERROR(IF(AND(NC_Type="Building Area Method",Inventory!C737="N"),IF(ISERROR(INDEX('Usage Groups (&gt;120 MWh only)'!$N$8:$N$12,MATCH(C740,'Usage Groups (&gt;120 MWh only)'!$B$8:$B$12,0),1))=TRUE,SqFt/COUNTIFS(Inventory!$C$10:$C$1009,"N",$Q$13:$Q$1012,"&gt;=0"),INDEX('Usage Groups (&gt;120 MWh only)'!$N$8:$N$12,MATCH(C740,'Usage Groups (&gt;120 MWh only)'!$B$8:$B$12,0),1)/COUNTIF($C$13:$C$1012,C740)),IF(AND(NC_Type="Building Area Method",Inventory!C737="Y"),INDEX(xyNCEx,MATCH(I740,yNCExArea,0),3)/COUNTIF($I$13:$I$1012,I740),VLOOKUP(J740,xyWattage_Table,10,FALSE))),"")</f>
        <v/>
      </c>
      <c r="L740" s="539" t="str">
        <f t="shared" si="259"/>
        <v/>
      </c>
      <c r="M740" s="540">
        <f>IF(Inventory!N737="","",Inventory!N737)</f>
        <v>0</v>
      </c>
      <c r="N740" s="533" t="str">
        <f t="shared" si="260"/>
        <v/>
      </c>
      <c r="O740" s="534"/>
      <c r="P740" s="533" t="str">
        <f t="shared" si="261"/>
        <v/>
      </c>
      <c r="Q740" s="534" t="str">
        <f>IF(Inventory!L737="","",Inventory!L737)</f>
        <v/>
      </c>
      <c r="R740" s="535" t="str">
        <f t="shared" si="262"/>
        <v/>
      </c>
      <c r="S740" s="536" t="str">
        <f>IF(Inventory!O737="","",Inventory!O737)</f>
        <v/>
      </c>
      <c r="T740" s="541" t="str">
        <f>IFERROR(IF(C740="","",IF(INDEX(xyWattage_Table,MATCH(M740,'Fixture Identities'!$B$9:$B$997,0),2)="Exit Sign",8760,IF(VLOOKUP(C740,xySpace_Type_Details,8,FALSE)="TRM",INDEX('General Information'!$AF$17:$AG$28,11,MATCH(N740,'General Information'!$AF$16:$AG$16,0)),HLOOKUP(VLOOKUP(C740,xySpace_Type_Details,8,FALSE),'General Information'!$P$15:$AG$28,13,FALSE)))),"")</f>
        <v/>
      </c>
      <c r="U740" s="542" t="str">
        <f>IFERROR(IF(C740="","",IF(INDEX(xyWattage_Table,MATCH(M740,'Fixture Identities'!$B$9:$B$997,0),2)="Exit Sign",1,IF(VLOOKUP(C740,xySpace_Type_Details,8,FALSE)="TRM",INDEX('General Information'!$AF$17:$AG$28,12,MATCH(N740,'General Information'!$AF$16:$AG$16,0)),HLOOKUP(VLOOKUP(C740,xySpace_Type_Details,8,FALSE),'General Information'!$P$15:$AG$28,14,FALSE)))),"")</f>
        <v/>
      </c>
      <c r="V740" s="542" t="str">
        <f>IFERROR(VLOOKUP(INDEX(xySpace_Type_Details,MATCH($C740,'General Information'!$C$40:$C$60,0),12),Lookups!$L$8:$N$12,2,FALSE),"")</f>
        <v/>
      </c>
      <c r="W740" s="542" t="str">
        <f>IFERROR(VLOOKUP(INDEX(xySpace_Type_Details,MATCH($C740,'General Information'!$C$40:$C$60,0),12),Lookups!$L$8:$N$12,3,FALSE),"")</f>
        <v/>
      </c>
      <c r="Y740" s="542" t="str">
        <f>IFERROR(IF(C740="","",IF(INDEX(xyWattage_Table,MATCH(M740,'Fixture Identities'!$B$9:$B$997,0),2)="Exit Sign",0,IF(PRJ_Type="Retrofit",VLOOKUP(I740,xySVG_Factors,2,FALSE),IF(AND(PRJ_Type="New Construction",Inventory!C737="N"),VLOOKUP(VLOOKUP(Building_Type,xyLPD_BuildingArea,5,FALSE),xySVG_Factors_NC,3,FALSE),0)))),"")</f>
        <v/>
      </c>
      <c r="Z740" s="544" t="str">
        <f>IFERROR(IF(C740="","",IF(INDEX(xyWattage_Table,MATCH(M740,'Fixture Identities'!$B$9:$B$997,0),2)="Exit Sign",0,VLOOKUP(S740,xySVG_Factors,2,FALSE))),"")</f>
        <v/>
      </c>
      <c r="AA740" s="545" t="str">
        <f t="shared" si="263"/>
        <v/>
      </c>
      <c r="AB740" s="542" t="str">
        <f t="shared" si="264"/>
        <v/>
      </c>
      <c r="AC740" s="539" t="str">
        <f t="shared" si="265"/>
        <v/>
      </c>
      <c r="AD740" s="546" t="str">
        <f t="shared" si="266"/>
        <v/>
      </c>
      <c r="AE740" s="539" t="str">
        <f t="shared" si="267"/>
        <v/>
      </c>
      <c r="AF740" s="546" t="str">
        <f t="shared" si="268"/>
        <v/>
      </c>
      <c r="AG740" s="539" t="str">
        <f t="shared" si="269"/>
        <v/>
      </c>
      <c r="AH740" s="32">
        <f t="shared" si="271"/>
        <v>0</v>
      </c>
      <c r="AI740" s="32">
        <f t="shared" si="272"/>
        <v>0</v>
      </c>
      <c r="AJ740" s="32">
        <f t="shared" si="273"/>
        <v>0</v>
      </c>
      <c r="AK740" t="str">
        <f t="shared" si="274"/>
        <v/>
      </c>
      <c r="AL740" t="str">
        <f t="shared" si="275"/>
        <v/>
      </c>
      <c r="AM740" t="str">
        <f t="shared" si="276"/>
        <v/>
      </c>
      <c r="AO740" t="str">
        <f>IFERROR(VLOOKUP(M740,'Fixture Identities'!$B$9:$O$1045,14,FALSE),"")</f>
        <v/>
      </c>
      <c r="AP740" t="str">
        <f t="shared" si="270"/>
        <v/>
      </c>
    </row>
    <row r="741" spans="1:42">
      <c r="A741" s="71">
        <f t="shared" si="278"/>
        <v>0</v>
      </c>
      <c r="B741" s="513">
        <f t="shared" si="277"/>
        <v>729</v>
      </c>
      <c r="C741" s="530" t="str">
        <f>IF(Inventory!E738="","",Inventory!E738)</f>
        <v/>
      </c>
      <c r="D741" s="531">
        <f>IF(Inventory!D738="",0,Inventory!D738)</f>
        <v>0</v>
      </c>
      <c r="E741" s="532" t="str">
        <f>IF(Inventory!I738=0,"",Inventory!I738)</f>
        <v/>
      </c>
      <c r="F741" s="533" t="str">
        <f t="shared" si="257"/>
        <v/>
      </c>
      <c r="G741" s="534" t="str">
        <f>IF(Inventory!G738="","",Inventory!G738)</f>
        <v/>
      </c>
      <c r="H741" s="535" t="str">
        <f t="shared" si="258"/>
        <v/>
      </c>
      <c r="I741" s="536" t="str">
        <f>IF(Inventory!J738="","",Inventory!J738)</f>
        <v/>
      </c>
      <c r="J741" s="537" t="str">
        <f>IFERROR(IF(PRJ_Type="New Construction",IF(Inventory!C738="N",INDEX(xyLPD_BuildingArea,MATCH(Building_Type,Lookups!$F$37:$F$75,0),4),INDEX(xyLPD_SpaceBySpace,MATCH(INDEX(xyNCEx,MATCH(I741,yNCExArea,0),2),ySpace_by_Space_Type,0),2)),VLOOKUP(E741,xyWattage_Table,11,FALSE)),"")</f>
        <v/>
      </c>
      <c r="K741" s="538" t="str">
        <f>IFERROR(IF(AND(NC_Type="Building Area Method",Inventory!C738="N"),IF(ISERROR(INDEX('Usage Groups (&gt;120 MWh only)'!$N$8:$N$12,MATCH(C741,'Usage Groups (&gt;120 MWh only)'!$B$8:$B$12,0),1))=TRUE,SqFt/COUNTIFS(Inventory!$C$10:$C$1009,"N",$Q$13:$Q$1012,"&gt;=0"),INDEX('Usage Groups (&gt;120 MWh only)'!$N$8:$N$12,MATCH(C741,'Usage Groups (&gt;120 MWh only)'!$B$8:$B$12,0),1)/COUNTIF($C$13:$C$1012,C741)),IF(AND(NC_Type="Building Area Method",Inventory!C738="Y"),INDEX(xyNCEx,MATCH(I741,yNCExArea,0),3)/COUNTIF($I$13:$I$1012,I741),VLOOKUP(J741,xyWattage_Table,10,FALSE))),"")</f>
        <v/>
      </c>
      <c r="L741" s="539" t="str">
        <f t="shared" si="259"/>
        <v/>
      </c>
      <c r="M741" s="540">
        <f>IF(Inventory!N738="","",Inventory!N738)</f>
        <v>0</v>
      </c>
      <c r="N741" s="533" t="str">
        <f t="shared" si="260"/>
        <v/>
      </c>
      <c r="O741" s="534"/>
      <c r="P741" s="533" t="str">
        <f t="shared" si="261"/>
        <v/>
      </c>
      <c r="Q741" s="534" t="str">
        <f>IF(Inventory!L738="","",Inventory!L738)</f>
        <v/>
      </c>
      <c r="R741" s="535" t="str">
        <f t="shared" si="262"/>
        <v/>
      </c>
      <c r="S741" s="536" t="str">
        <f>IF(Inventory!O738="","",Inventory!O738)</f>
        <v/>
      </c>
      <c r="T741" s="541" t="str">
        <f>IFERROR(IF(C741="","",IF(INDEX(xyWattage_Table,MATCH(M741,'Fixture Identities'!$B$9:$B$997,0),2)="Exit Sign",8760,IF(VLOOKUP(C741,xySpace_Type_Details,8,FALSE)="TRM",INDEX('General Information'!$AF$17:$AG$28,11,MATCH(N741,'General Information'!$AF$16:$AG$16,0)),HLOOKUP(VLOOKUP(C741,xySpace_Type_Details,8,FALSE),'General Information'!$P$15:$AG$28,13,FALSE)))),"")</f>
        <v/>
      </c>
      <c r="U741" s="542" t="str">
        <f>IFERROR(IF(C741="","",IF(INDEX(xyWattage_Table,MATCH(M741,'Fixture Identities'!$B$9:$B$997,0),2)="Exit Sign",1,IF(VLOOKUP(C741,xySpace_Type_Details,8,FALSE)="TRM",INDEX('General Information'!$AF$17:$AG$28,12,MATCH(N741,'General Information'!$AF$16:$AG$16,0)),HLOOKUP(VLOOKUP(C741,xySpace_Type_Details,8,FALSE),'General Information'!$P$15:$AG$28,14,FALSE)))),"")</f>
        <v/>
      </c>
      <c r="V741" s="542" t="str">
        <f>IFERROR(VLOOKUP(INDEX(xySpace_Type_Details,MATCH($C741,'General Information'!$C$40:$C$60,0),12),Lookups!$L$8:$N$12,2,FALSE),"")</f>
        <v/>
      </c>
      <c r="W741" s="542" t="str">
        <f>IFERROR(VLOOKUP(INDEX(xySpace_Type_Details,MATCH($C741,'General Information'!$C$40:$C$60,0),12),Lookups!$L$8:$N$12,3,FALSE),"")</f>
        <v/>
      </c>
      <c r="Y741" s="542" t="str">
        <f>IFERROR(IF(C741="","",IF(INDEX(xyWattage_Table,MATCH(M741,'Fixture Identities'!$B$9:$B$997,0),2)="Exit Sign",0,IF(PRJ_Type="Retrofit",VLOOKUP(I741,xySVG_Factors,2,FALSE),IF(AND(PRJ_Type="New Construction",Inventory!C738="N"),VLOOKUP(VLOOKUP(Building_Type,xyLPD_BuildingArea,5,FALSE),xySVG_Factors_NC,3,FALSE),0)))),"")</f>
        <v/>
      </c>
      <c r="Z741" s="544" t="str">
        <f>IFERROR(IF(C741="","",IF(INDEX(xyWattage_Table,MATCH(M741,'Fixture Identities'!$B$9:$B$997,0),2)="Exit Sign",0,VLOOKUP(S741,xySVG_Factors,2,FALSE))),"")</f>
        <v/>
      </c>
      <c r="AA741" s="545" t="str">
        <f t="shared" si="263"/>
        <v/>
      </c>
      <c r="AB741" s="542" t="str">
        <f t="shared" si="264"/>
        <v/>
      </c>
      <c r="AC741" s="539" t="str">
        <f t="shared" si="265"/>
        <v/>
      </c>
      <c r="AD741" s="546" t="str">
        <f t="shared" si="266"/>
        <v/>
      </c>
      <c r="AE741" s="539" t="str">
        <f t="shared" si="267"/>
        <v/>
      </c>
      <c r="AF741" s="546" t="str">
        <f t="shared" si="268"/>
        <v/>
      </c>
      <c r="AG741" s="539" t="str">
        <f t="shared" si="269"/>
        <v/>
      </c>
      <c r="AH741" s="32">
        <f t="shared" si="271"/>
        <v>0</v>
      </c>
      <c r="AI741" s="32">
        <f t="shared" si="272"/>
        <v>0</v>
      </c>
      <c r="AJ741" s="32">
        <f t="shared" si="273"/>
        <v>0</v>
      </c>
      <c r="AK741" t="str">
        <f t="shared" si="274"/>
        <v/>
      </c>
      <c r="AL741" t="str">
        <f t="shared" si="275"/>
        <v/>
      </c>
      <c r="AM741" t="str">
        <f t="shared" si="276"/>
        <v/>
      </c>
      <c r="AO741" t="str">
        <f>IFERROR(VLOOKUP(M741,'Fixture Identities'!$B$9:$O$1045,14,FALSE),"")</f>
        <v/>
      </c>
      <c r="AP741" t="str">
        <f t="shared" si="270"/>
        <v/>
      </c>
    </row>
    <row r="742" spans="1:42">
      <c r="A742" s="71">
        <f t="shared" si="278"/>
        <v>0</v>
      </c>
      <c r="B742" s="513">
        <f t="shared" si="277"/>
        <v>730</v>
      </c>
      <c r="C742" s="530" t="str">
        <f>IF(Inventory!E739="","",Inventory!E739)</f>
        <v/>
      </c>
      <c r="D742" s="531">
        <f>IF(Inventory!D739="",0,Inventory!D739)</f>
        <v>0</v>
      </c>
      <c r="E742" s="532" t="str">
        <f>IF(Inventory!I739=0,"",Inventory!I739)</f>
        <v/>
      </c>
      <c r="F742" s="533" t="str">
        <f t="shared" si="257"/>
        <v/>
      </c>
      <c r="G742" s="534" t="str">
        <f>IF(Inventory!G739="","",Inventory!G739)</f>
        <v/>
      </c>
      <c r="H742" s="535" t="str">
        <f t="shared" si="258"/>
        <v/>
      </c>
      <c r="I742" s="536" t="str">
        <f>IF(Inventory!J739="","",Inventory!J739)</f>
        <v/>
      </c>
      <c r="J742" s="537" t="str">
        <f>IFERROR(IF(PRJ_Type="New Construction",IF(Inventory!C739="N",INDEX(xyLPD_BuildingArea,MATCH(Building_Type,Lookups!$F$37:$F$75,0),4),INDEX(xyLPD_SpaceBySpace,MATCH(INDEX(xyNCEx,MATCH(I742,yNCExArea,0),2),ySpace_by_Space_Type,0),2)),VLOOKUP(E742,xyWattage_Table,11,FALSE)),"")</f>
        <v/>
      </c>
      <c r="K742" s="538" t="str">
        <f>IFERROR(IF(AND(NC_Type="Building Area Method",Inventory!C739="N"),IF(ISERROR(INDEX('Usage Groups (&gt;120 MWh only)'!$N$8:$N$12,MATCH(C742,'Usage Groups (&gt;120 MWh only)'!$B$8:$B$12,0),1))=TRUE,SqFt/COUNTIFS(Inventory!$C$10:$C$1009,"N",$Q$13:$Q$1012,"&gt;=0"),INDEX('Usage Groups (&gt;120 MWh only)'!$N$8:$N$12,MATCH(C742,'Usage Groups (&gt;120 MWh only)'!$B$8:$B$12,0),1)/COUNTIF($C$13:$C$1012,C742)),IF(AND(NC_Type="Building Area Method",Inventory!C739="Y"),INDEX(xyNCEx,MATCH(I742,yNCExArea,0),3)/COUNTIF($I$13:$I$1012,I742),VLOOKUP(J742,xyWattage_Table,10,FALSE))),"")</f>
        <v/>
      </c>
      <c r="L742" s="539" t="str">
        <f t="shared" si="259"/>
        <v/>
      </c>
      <c r="M742" s="540">
        <f>IF(Inventory!N739="","",Inventory!N739)</f>
        <v>0</v>
      </c>
      <c r="N742" s="533" t="str">
        <f t="shared" si="260"/>
        <v/>
      </c>
      <c r="O742" s="534"/>
      <c r="P742" s="533" t="str">
        <f t="shared" si="261"/>
        <v/>
      </c>
      <c r="Q742" s="534" t="str">
        <f>IF(Inventory!L739="","",Inventory!L739)</f>
        <v/>
      </c>
      <c r="R742" s="535" t="str">
        <f t="shared" si="262"/>
        <v/>
      </c>
      <c r="S742" s="536" t="str">
        <f>IF(Inventory!O739="","",Inventory!O739)</f>
        <v/>
      </c>
      <c r="T742" s="541" t="str">
        <f>IFERROR(IF(C742="","",IF(INDEX(xyWattage_Table,MATCH(M742,'Fixture Identities'!$B$9:$B$997,0),2)="Exit Sign",8760,IF(VLOOKUP(C742,xySpace_Type_Details,8,FALSE)="TRM",INDEX('General Information'!$AF$17:$AG$28,11,MATCH(N742,'General Information'!$AF$16:$AG$16,0)),HLOOKUP(VLOOKUP(C742,xySpace_Type_Details,8,FALSE),'General Information'!$P$15:$AG$28,13,FALSE)))),"")</f>
        <v/>
      </c>
      <c r="U742" s="542" t="str">
        <f>IFERROR(IF(C742="","",IF(INDEX(xyWattage_Table,MATCH(M742,'Fixture Identities'!$B$9:$B$997,0),2)="Exit Sign",1,IF(VLOOKUP(C742,xySpace_Type_Details,8,FALSE)="TRM",INDEX('General Information'!$AF$17:$AG$28,12,MATCH(N742,'General Information'!$AF$16:$AG$16,0)),HLOOKUP(VLOOKUP(C742,xySpace_Type_Details,8,FALSE),'General Information'!$P$15:$AG$28,14,FALSE)))),"")</f>
        <v/>
      </c>
      <c r="V742" s="542" t="str">
        <f>IFERROR(VLOOKUP(INDEX(xySpace_Type_Details,MATCH($C742,'General Information'!$C$40:$C$60,0),12),Lookups!$L$8:$N$12,2,FALSE),"")</f>
        <v/>
      </c>
      <c r="W742" s="542" t="str">
        <f>IFERROR(VLOOKUP(INDEX(xySpace_Type_Details,MATCH($C742,'General Information'!$C$40:$C$60,0),12),Lookups!$L$8:$N$12,3,FALSE),"")</f>
        <v/>
      </c>
      <c r="Y742" s="542" t="str">
        <f>IFERROR(IF(C742="","",IF(INDEX(xyWattage_Table,MATCH(M742,'Fixture Identities'!$B$9:$B$997,0),2)="Exit Sign",0,IF(PRJ_Type="Retrofit",VLOOKUP(I742,xySVG_Factors,2,FALSE),IF(AND(PRJ_Type="New Construction",Inventory!C739="N"),VLOOKUP(VLOOKUP(Building_Type,xyLPD_BuildingArea,5,FALSE),xySVG_Factors_NC,3,FALSE),0)))),"")</f>
        <v/>
      </c>
      <c r="Z742" s="544" t="str">
        <f>IFERROR(IF(C742="","",IF(INDEX(xyWattage_Table,MATCH(M742,'Fixture Identities'!$B$9:$B$997,0),2)="Exit Sign",0,VLOOKUP(S742,xySVG_Factors,2,FALSE))),"")</f>
        <v/>
      </c>
      <c r="AA742" s="545" t="str">
        <f t="shared" si="263"/>
        <v/>
      </c>
      <c r="AB742" s="542" t="str">
        <f t="shared" si="264"/>
        <v/>
      </c>
      <c r="AC742" s="539" t="str">
        <f t="shared" si="265"/>
        <v/>
      </c>
      <c r="AD742" s="546" t="str">
        <f t="shared" si="266"/>
        <v/>
      </c>
      <c r="AE742" s="539" t="str">
        <f t="shared" si="267"/>
        <v/>
      </c>
      <c r="AF742" s="546" t="str">
        <f t="shared" si="268"/>
        <v/>
      </c>
      <c r="AG742" s="539" t="str">
        <f t="shared" si="269"/>
        <v/>
      </c>
      <c r="AH742" s="32">
        <f t="shared" si="271"/>
        <v>0</v>
      </c>
      <c r="AI742" s="32">
        <f t="shared" si="272"/>
        <v>0</v>
      </c>
      <c r="AJ742" s="32">
        <f t="shared" si="273"/>
        <v>0</v>
      </c>
      <c r="AK742" t="str">
        <f t="shared" si="274"/>
        <v/>
      </c>
      <c r="AL742" t="str">
        <f t="shared" si="275"/>
        <v/>
      </c>
      <c r="AM742" t="str">
        <f t="shared" si="276"/>
        <v/>
      </c>
      <c r="AO742" t="str">
        <f>IFERROR(VLOOKUP(M742,'Fixture Identities'!$B$9:$O$1045,14,FALSE),"")</f>
        <v/>
      </c>
      <c r="AP742" t="str">
        <f t="shared" si="270"/>
        <v/>
      </c>
    </row>
    <row r="743" spans="1:42">
      <c r="A743" s="71">
        <f t="shared" si="278"/>
        <v>0</v>
      </c>
      <c r="B743" s="513">
        <f t="shared" si="277"/>
        <v>731</v>
      </c>
      <c r="C743" s="530" t="str">
        <f>IF(Inventory!E740="","",Inventory!E740)</f>
        <v/>
      </c>
      <c r="D743" s="531">
        <f>IF(Inventory!D740="",0,Inventory!D740)</f>
        <v>0</v>
      </c>
      <c r="E743" s="532" t="str">
        <f>IF(Inventory!I740=0,"",Inventory!I740)</f>
        <v/>
      </c>
      <c r="F743" s="533" t="str">
        <f t="shared" si="257"/>
        <v/>
      </c>
      <c r="G743" s="534" t="str">
        <f>IF(Inventory!G740="","",Inventory!G740)</f>
        <v/>
      </c>
      <c r="H743" s="535" t="str">
        <f t="shared" si="258"/>
        <v/>
      </c>
      <c r="I743" s="536" t="str">
        <f>IF(Inventory!J740="","",Inventory!J740)</f>
        <v/>
      </c>
      <c r="J743" s="537" t="str">
        <f>IFERROR(IF(PRJ_Type="New Construction",IF(Inventory!C740="N",INDEX(xyLPD_BuildingArea,MATCH(Building_Type,Lookups!$F$37:$F$75,0),4),INDEX(xyLPD_SpaceBySpace,MATCH(INDEX(xyNCEx,MATCH(I743,yNCExArea,0),2),ySpace_by_Space_Type,0),2)),VLOOKUP(E743,xyWattage_Table,11,FALSE)),"")</f>
        <v/>
      </c>
      <c r="K743" s="538" t="str">
        <f>IFERROR(IF(AND(NC_Type="Building Area Method",Inventory!C740="N"),IF(ISERROR(INDEX('Usage Groups (&gt;120 MWh only)'!$N$8:$N$12,MATCH(C743,'Usage Groups (&gt;120 MWh only)'!$B$8:$B$12,0),1))=TRUE,SqFt/COUNTIFS(Inventory!$C$10:$C$1009,"N",$Q$13:$Q$1012,"&gt;=0"),INDEX('Usage Groups (&gt;120 MWh only)'!$N$8:$N$12,MATCH(C743,'Usage Groups (&gt;120 MWh only)'!$B$8:$B$12,0),1)/COUNTIF($C$13:$C$1012,C743)),IF(AND(NC_Type="Building Area Method",Inventory!C740="Y"),INDEX(xyNCEx,MATCH(I743,yNCExArea,0),3)/COUNTIF($I$13:$I$1012,I743),VLOOKUP(J743,xyWattage_Table,10,FALSE))),"")</f>
        <v/>
      </c>
      <c r="L743" s="539" t="str">
        <f t="shared" si="259"/>
        <v/>
      </c>
      <c r="M743" s="540">
        <f>IF(Inventory!N740="","",Inventory!N740)</f>
        <v>0</v>
      </c>
      <c r="N743" s="533" t="str">
        <f t="shared" si="260"/>
        <v/>
      </c>
      <c r="O743" s="534"/>
      <c r="P743" s="533" t="str">
        <f t="shared" si="261"/>
        <v/>
      </c>
      <c r="Q743" s="534" t="str">
        <f>IF(Inventory!L740="","",Inventory!L740)</f>
        <v/>
      </c>
      <c r="R743" s="535" t="str">
        <f t="shared" si="262"/>
        <v/>
      </c>
      <c r="S743" s="536" t="str">
        <f>IF(Inventory!O740="","",Inventory!O740)</f>
        <v/>
      </c>
      <c r="T743" s="541" t="str">
        <f>IFERROR(IF(C743="","",IF(INDEX(xyWattage_Table,MATCH(M743,'Fixture Identities'!$B$9:$B$997,0),2)="Exit Sign",8760,IF(VLOOKUP(C743,xySpace_Type_Details,8,FALSE)="TRM",INDEX('General Information'!$AF$17:$AG$28,11,MATCH(N743,'General Information'!$AF$16:$AG$16,0)),HLOOKUP(VLOOKUP(C743,xySpace_Type_Details,8,FALSE),'General Information'!$P$15:$AG$28,13,FALSE)))),"")</f>
        <v/>
      </c>
      <c r="U743" s="542" t="str">
        <f>IFERROR(IF(C743="","",IF(INDEX(xyWattage_Table,MATCH(M743,'Fixture Identities'!$B$9:$B$997,0),2)="Exit Sign",1,IF(VLOOKUP(C743,xySpace_Type_Details,8,FALSE)="TRM",INDEX('General Information'!$AF$17:$AG$28,12,MATCH(N743,'General Information'!$AF$16:$AG$16,0)),HLOOKUP(VLOOKUP(C743,xySpace_Type_Details,8,FALSE),'General Information'!$P$15:$AG$28,14,FALSE)))),"")</f>
        <v/>
      </c>
      <c r="V743" s="542" t="str">
        <f>IFERROR(VLOOKUP(INDEX(xySpace_Type_Details,MATCH($C743,'General Information'!$C$40:$C$60,0),12),Lookups!$L$8:$N$12,2,FALSE),"")</f>
        <v/>
      </c>
      <c r="W743" s="542" t="str">
        <f>IFERROR(VLOOKUP(INDEX(xySpace_Type_Details,MATCH($C743,'General Information'!$C$40:$C$60,0),12),Lookups!$L$8:$N$12,3,FALSE),"")</f>
        <v/>
      </c>
      <c r="Y743" s="542" t="str">
        <f>IFERROR(IF(C743="","",IF(INDEX(xyWattage_Table,MATCH(M743,'Fixture Identities'!$B$9:$B$997,0),2)="Exit Sign",0,IF(PRJ_Type="Retrofit",VLOOKUP(I743,xySVG_Factors,2,FALSE),IF(AND(PRJ_Type="New Construction",Inventory!C740="N"),VLOOKUP(VLOOKUP(Building_Type,xyLPD_BuildingArea,5,FALSE),xySVG_Factors_NC,3,FALSE),0)))),"")</f>
        <v/>
      </c>
      <c r="Z743" s="544" t="str">
        <f>IFERROR(IF(C743="","",IF(INDEX(xyWattage_Table,MATCH(M743,'Fixture Identities'!$B$9:$B$997,0),2)="Exit Sign",0,VLOOKUP(S743,xySVG_Factors,2,FALSE))),"")</f>
        <v/>
      </c>
      <c r="AA743" s="545" t="str">
        <f t="shared" si="263"/>
        <v/>
      </c>
      <c r="AB743" s="542" t="str">
        <f t="shared" si="264"/>
        <v/>
      </c>
      <c r="AC743" s="539" t="str">
        <f t="shared" si="265"/>
        <v/>
      </c>
      <c r="AD743" s="546" t="str">
        <f t="shared" si="266"/>
        <v/>
      </c>
      <c r="AE743" s="539" t="str">
        <f t="shared" si="267"/>
        <v/>
      </c>
      <c r="AF743" s="546" t="str">
        <f t="shared" si="268"/>
        <v/>
      </c>
      <c r="AG743" s="539" t="str">
        <f t="shared" si="269"/>
        <v/>
      </c>
      <c r="AH743" s="32">
        <f t="shared" si="271"/>
        <v>0</v>
      </c>
      <c r="AI743" s="32">
        <f t="shared" si="272"/>
        <v>0</v>
      </c>
      <c r="AJ743" s="32">
        <f t="shared" si="273"/>
        <v>0</v>
      </c>
      <c r="AK743" t="str">
        <f t="shared" si="274"/>
        <v/>
      </c>
      <c r="AL743" t="str">
        <f t="shared" si="275"/>
        <v/>
      </c>
      <c r="AM743" t="str">
        <f t="shared" si="276"/>
        <v/>
      </c>
      <c r="AO743" t="str">
        <f>IFERROR(VLOOKUP(M743,'Fixture Identities'!$B$9:$O$1045,14,FALSE),"")</f>
        <v/>
      </c>
      <c r="AP743" t="str">
        <f t="shared" si="270"/>
        <v/>
      </c>
    </row>
    <row r="744" spans="1:42">
      <c r="A744" s="71">
        <f t="shared" si="278"/>
        <v>0</v>
      </c>
      <c r="B744" s="513">
        <f t="shared" si="277"/>
        <v>732</v>
      </c>
      <c r="C744" s="530" t="str">
        <f>IF(Inventory!E741="","",Inventory!E741)</f>
        <v/>
      </c>
      <c r="D744" s="531">
        <f>IF(Inventory!D741="",0,Inventory!D741)</f>
        <v>0</v>
      </c>
      <c r="E744" s="532" t="str">
        <f>IF(Inventory!I741=0,"",Inventory!I741)</f>
        <v/>
      </c>
      <c r="F744" s="533" t="str">
        <f t="shared" si="257"/>
        <v/>
      </c>
      <c r="G744" s="534" t="str">
        <f>IF(Inventory!G741="","",Inventory!G741)</f>
        <v/>
      </c>
      <c r="H744" s="535" t="str">
        <f t="shared" si="258"/>
        <v/>
      </c>
      <c r="I744" s="536" t="str">
        <f>IF(Inventory!J741="","",Inventory!J741)</f>
        <v/>
      </c>
      <c r="J744" s="537" t="str">
        <f>IFERROR(IF(PRJ_Type="New Construction",IF(Inventory!C741="N",INDEX(xyLPD_BuildingArea,MATCH(Building_Type,Lookups!$F$37:$F$75,0),4),INDEX(xyLPD_SpaceBySpace,MATCH(INDEX(xyNCEx,MATCH(I744,yNCExArea,0),2),ySpace_by_Space_Type,0),2)),VLOOKUP(E744,xyWattage_Table,11,FALSE)),"")</f>
        <v/>
      </c>
      <c r="K744" s="538" t="str">
        <f>IFERROR(IF(AND(NC_Type="Building Area Method",Inventory!C741="N"),IF(ISERROR(INDEX('Usage Groups (&gt;120 MWh only)'!$N$8:$N$12,MATCH(C744,'Usage Groups (&gt;120 MWh only)'!$B$8:$B$12,0),1))=TRUE,SqFt/COUNTIFS(Inventory!$C$10:$C$1009,"N",$Q$13:$Q$1012,"&gt;=0"),INDEX('Usage Groups (&gt;120 MWh only)'!$N$8:$N$12,MATCH(C744,'Usage Groups (&gt;120 MWh only)'!$B$8:$B$12,0),1)/COUNTIF($C$13:$C$1012,C744)),IF(AND(NC_Type="Building Area Method",Inventory!C741="Y"),INDEX(xyNCEx,MATCH(I744,yNCExArea,0),3)/COUNTIF($I$13:$I$1012,I744),VLOOKUP(J744,xyWattage_Table,10,FALSE))),"")</f>
        <v/>
      </c>
      <c r="L744" s="539" t="str">
        <f t="shared" si="259"/>
        <v/>
      </c>
      <c r="M744" s="540">
        <f>IF(Inventory!N741="","",Inventory!N741)</f>
        <v>0</v>
      </c>
      <c r="N744" s="533" t="str">
        <f t="shared" si="260"/>
        <v/>
      </c>
      <c r="O744" s="534"/>
      <c r="P744" s="533" t="str">
        <f t="shared" si="261"/>
        <v/>
      </c>
      <c r="Q744" s="534" t="str">
        <f>IF(Inventory!L741="","",Inventory!L741)</f>
        <v/>
      </c>
      <c r="R744" s="535" t="str">
        <f t="shared" si="262"/>
        <v/>
      </c>
      <c r="S744" s="536" t="str">
        <f>IF(Inventory!O741="","",Inventory!O741)</f>
        <v/>
      </c>
      <c r="T744" s="541" t="str">
        <f>IFERROR(IF(C744="","",IF(INDEX(xyWattage_Table,MATCH(M744,'Fixture Identities'!$B$9:$B$997,0),2)="Exit Sign",8760,IF(VLOOKUP(C744,xySpace_Type_Details,8,FALSE)="TRM",INDEX('General Information'!$AF$17:$AG$28,11,MATCH(N744,'General Information'!$AF$16:$AG$16,0)),HLOOKUP(VLOOKUP(C744,xySpace_Type_Details,8,FALSE),'General Information'!$P$15:$AG$28,13,FALSE)))),"")</f>
        <v/>
      </c>
      <c r="U744" s="542" t="str">
        <f>IFERROR(IF(C744="","",IF(INDEX(xyWattage_Table,MATCH(M744,'Fixture Identities'!$B$9:$B$997,0),2)="Exit Sign",1,IF(VLOOKUP(C744,xySpace_Type_Details,8,FALSE)="TRM",INDEX('General Information'!$AF$17:$AG$28,12,MATCH(N744,'General Information'!$AF$16:$AG$16,0)),HLOOKUP(VLOOKUP(C744,xySpace_Type_Details,8,FALSE),'General Information'!$P$15:$AG$28,14,FALSE)))),"")</f>
        <v/>
      </c>
      <c r="V744" s="542" t="str">
        <f>IFERROR(VLOOKUP(INDEX(xySpace_Type_Details,MATCH($C744,'General Information'!$C$40:$C$60,0),12),Lookups!$L$8:$N$12,2,FALSE),"")</f>
        <v/>
      </c>
      <c r="W744" s="542" t="str">
        <f>IFERROR(VLOOKUP(INDEX(xySpace_Type_Details,MATCH($C744,'General Information'!$C$40:$C$60,0),12),Lookups!$L$8:$N$12,3,FALSE),"")</f>
        <v/>
      </c>
      <c r="Y744" s="542" t="str">
        <f>IFERROR(IF(C744="","",IF(INDEX(xyWattage_Table,MATCH(M744,'Fixture Identities'!$B$9:$B$997,0),2)="Exit Sign",0,IF(PRJ_Type="Retrofit",VLOOKUP(I744,xySVG_Factors,2,FALSE),IF(AND(PRJ_Type="New Construction",Inventory!C741="N"),VLOOKUP(VLOOKUP(Building_Type,xyLPD_BuildingArea,5,FALSE),xySVG_Factors_NC,3,FALSE),0)))),"")</f>
        <v/>
      </c>
      <c r="Z744" s="544" t="str">
        <f>IFERROR(IF(C744="","",IF(INDEX(xyWattage_Table,MATCH(M744,'Fixture Identities'!$B$9:$B$997,0),2)="Exit Sign",0,VLOOKUP(S744,xySVG_Factors,2,FALSE))),"")</f>
        <v/>
      </c>
      <c r="AA744" s="545" t="str">
        <f t="shared" si="263"/>
        <v/>
      </c>
      <c r="AB744" s="542" t="str">
        <f t="shared" si="264"/>
        <v/>
      </c>
      <c r="AC744" s="539" t="str">
        <f t="shared" si="265"/>
        <v/>
      </c>
      <c r="AD744" s="546" t="str">
        <f t="shared" si="266"/>
        <v/>
      </c>
      <c r="AE744" s="539" t="str">
        <f t="shared" si="267"/>
        <v/>
      </c>
      <c r="AF744" s="546" t="str">
        <f t="shared" si="268"/>
        <v/>
      </c>
      <c r="AG744" s="539" t="str">
        <f t="shared" si="269"/>
        <v/>
      </c>
      <c r="AH744" s="32">
        <f t="shared" si="271"/>
        <v>0</v>
      </c>
      <c r="AI744" s="32">
        <f t="shared" si="272"/>
        <v>0</v>
      </c>
      <c r="AJ744" s="32">
        <f t="shared" si="273"/>
        <v>0</v>
      </c>
      <c r="AK744" t="str">
        <f t="shared" si="274"/>
        <v/>
      </c>
      <c r="AL744" t="str">
        <f t="shared" si="275"/>
        <v/>
      </c>
      <c r="AM744" t="str">
        <f t="shared" si="276"/>
        <v/>
      </c>
      <c r="AO744" t="str">
        <f>IFERROR(VLOOKUP(M744,'Fixture Identities'!$B$9:$O$1045,14,FALSE),"")</f>
        <v/>
      </c>
      <c r="AP744" t="str">
        <f t="shared" si="270"/>
        <v/>
      </c>
    </row>
    <row r="745" spans="1:42">
      <c r="A745" s="71">
        <f t="shared" si="278"/>
        <v>0</v>
      </c>
      <c r="B745" s="513">
        <f t="shared" si="277"/>
        <v>733</v>
      </c>
      <c r="C745" s="530" t="str">
        <f>IF(Inventory!E742="","",Inventory!E742)</f>
        <v/>
      </c>
      <c r="D745" s="531">
        <f>IF(Inventory!D742="",0,Inventory!D742)</f>
        <v>0</v>
      </c>
      <c r="E745" s="532" t="str">
        <f>IF(Inventory!I742=0,"",Inventory!I742)</f>
        <v/>
      </c>
      <c r="F745" s="533" t="str">
        <f t="shared" si="257"/>
        <v/>
      </c>
      <c r="G745" s="534" t="str">
        <f>IF(Inventory!G742="","",Inventory!G742)</f>
        <v/>
      </c>
      <c r="H745" s="535" t="str">
        <f t="shared" si="258"/>
        <v/>
      </c>
      <c r="I745" s="536" t="str">
        <f>IF(Inventory!J742="","",Inventory!J742)</f>
        <v/>
      </c>
      <c r="J745" s="537" t="str">
        <f>IFERROR(IF(PRJ_Type="New Construction",IF(Inventory!C742="N",INDEX(xyLPD_BuildingArea,MATCH(Building_Type,Lookups!$F$37:$F$75,0),4),INDEX(xyLPD_SpaceBySpace,MATCH(INDEX(xyNCEx,MATCH(I745,yNCExArea,0),2),ySpace_by_Space_Type,0),2)),VLOOKUP(E745,xyWattage_Table,11,FALSE)),"")</f>
        <v/>
      </c>
      <c r="K745" s="538" t="str">
        <f>IFERROR(IF(AND(NC_Type="Building Area Method",Inventory!C742="N"),IF(ISERROR(INDEX('Usage Groups (&gt;120 MWh only)'!$N$8:$N$12,MATCH(C745,'Usage Groups (&gt;120 MWh only)'!$B$8:$B$12,0),1))=TRUE,SqFt/COUNTIFS(Inventory!$C$10:$C$1009,"N",$Q$13:$Q$1012,"&gt;=0"),INDEX('Usage Groups (&gt;120 MWh only)'!$N$8:$N$12,MATCH(C745,'Usage Groups (&gt;120 MWh only)'!$B$8:$B$12,0),1)/COUNTIF($C$13:$C$1012,C745)),IF(AND(NC_Type="Building Area Method",Inventory!C742="Y"),INDEX(xyNCEx,MATCH(I745,yNCExArea,0),3)/COUNTIF($I$13:$I$1012,I745),VLOOKUP(J745,xyWattage_Table,10,FALSE))),"")</f>
        <v/>
      </c>
      <c r="L745" s="539" t="str">
        <f t="shared" si="259"/>
        <v/>
      </c>
      <c r="M745" s="540">
        <f>IF(Inventory!N742="","",Inventory!N742)</f>
        <v>0</v>
      </c>
      <c r="N745" s="533" t="str">
        <f t="shared" si="260"/>
        <v/>
      </c>
      <c r="O745" s="534"/>
      <c r="P745" s="533" t="str">
        <f t="shared" si="261"/>
        <v/>
      </c>
      <c r="Q745" s="534" t="str">
        <f>IF(Inventory!L742="","",Inventory!L742)</f>
        <v/>
      </c>
      <c r="R745" s="535" t="str">
        <f t="shared" si="262"/>
        <v/>
      </c>
      <c r="S745" s="536" t="str">
        <f>IF(Inventory!O742="","",Inventory!O742)</f>
        <v/>
      </c>
      <c r="T745" s="541" t="str">
        <f>IFERROR(IF(C745="","",IF(INDEX(xyWattage_Table,MATCH(M745,'Fixture Identities'!$B$9:$B$997,0),2)="Exit Sign",8760,IF(VLOOKUP(C745,xySpace_Type_Details,8,FALSE)="TRM",INDEX('General Information'!$AF$17:$AG$28,11,MATCH(N745,'General Information'!$AF$16:$AG$16,0)),HLOOKUP(VLOOKUP(C745,xySpace_Type_Details,8,FALSE),'General Information'!$P$15:$AG$28,13,FALSE)))),"")</f>
        <v/>
      </c>
      <c r="U745" s="542" t="str">
        <f>IFERROR(IF(C745="","",IF(INDEX(xyWattage_Table,MATCH(M745,'Fixture Identities'!$B$9:$B$997,0),2)="Exit Sign",1,IF(VLOOKUP(C745,xySpace_Type_Details,8,FALSE)="TRM",INDEX('General Information'!$AF$17:$AG$28,12,MATCH(N745,'General Information'!$AF$16:$AG$16,0)),HLOOKUP(VLOOKUP(C745,xySpace_Type_Details,8,FALSE),'General Information'!$P$15:$AG$28,14,FALSE)))),"")</f>
        <v/>
      </c>
      <c r="V745" s="542" t="str">
        <f>IFERROR(VLOOKUP(INDEX(xySpace_Type_Details,MATCH($C745,'General Information'!$C$40:$C$60,0),12),Lookups!$L$8:$N$12,2,FALSE),"")</f>
        <v/>
      </c>
      <c r="W745" s="542" t="str">
        <f>IFERROR(VLOOKUP(INDEX(xySpace_Type_Details,MATCH($C745,'General Information'!$C$40:$C$60,0),12),Lookups!$L$8:$N$12,3,FALSE),"")</f>
        <v/>
      </c>
      <c r="Y745" s="542" t="str">
        <f>IFERROR(IF(C745="","",IF(INDEX(xyWattage_Table,MATCH(M745,'Fixture Identities'!$B$9:$B$997,0),2)="Exit Sign",0,IF(PRJ_Type="Retrofit",VLOOKUP(I745,xySVG_Factors,2,FALSE),IF(AND(PRJ_Type="New Construction",Inventory!C742="N"),VLOOKUP(VLOOKUP(Building_Type,xyLPD_BuildingArea,5,FALSE),xySVG_Factors_NC,3,FALSE),0)))),"")</f>
        <v/>
      </c>
      <c r="Z745" s="544" t="str">
        <f>IFERROR(IF(C745="","",IF(INDEX(xyWattage_Table,MATCH(M745,'Fixture Identities'!$B$9:$B$997,0),2)="Exit Sign",0,VLOOKUP(S745,xySVG_Factors,2,FALSE))),"")</f>
        <v/>
      </c>
      <c r="AA745" s="545" t="str">
        <f t="shared" si="263"/>
        <v/>
      </c>
      <c r="AB745" s="542" t="str">
        <f t="shared" si="264"/>
        <v/>
      </c>
      <c r="AC745" s="539" t="str">
        <f t="shared" si="265"/>
        <v/>
      </c>
      <c r="AD745" s="546" t="str">
        <f t="shared" si="266"/>
        <v/>
      </c>
      <c r="AE745" s="539" t="str">
        <f t="shared" si="267"/>
        <v/>
      </c>
      <c r="AF745" s="546" t="str">
        <f t="shared" si="268"/>
        <v/>
      </c>
      <c r="AG745" s="539" t="str">
        <f t="shared" si="269"/>
        <v/>
      </c>
      <c r="AH745" s="32">
        <f t="shared" si="271"/>
        <v>0</v>
      </c>
      <c r="AI745" s="32">
        <f t="shared" si="272"/>
        <v>0</v>
      </c>
      <c r="AJ745" s="32">
        <f t="shared" si="273"/>
        <v>0</v>
      </c>
      <c r="AK745" t="str">
        <f t="shared" si="274"/>
        <v/>
      </c>
      <c r="AL745" t="str">
        <f t="shared" si="275"/>
        <v/>
      </c>
      <c r="AM745" t="str">
        <f t="shared" si="276"/>
        <v/>
      </c>
      <c r="AO745" t="str">
        <f>IFERROR(VLOOKUP(M745,'Fixture Identities'!$B$9:$O$1045,14,FALSE),"")</f>
        <v/>
      </c>
      <c r="AP745" t="str">
        <f t="shared" si="270"/>
        <v/>
      </c>
    </row>
    <row r="746" spans="1:42">
      <c r="A746" s="71">
        <f t="shared" si="278"/>
        <v>0</v>
      </c>
      <c r="B746" s="513">
        <f t="shared" si="277"/>
        <v>734</v>
      </c>
      <c r="C746" s="530" t="str">
        <f>IF(Inventory!E743="","",Inventory!E743)</f>
        <v/>
      </c>
      <c r="D746" s="531">
        <f>IF(Inventory!D743="",0,Inventory!D743)</f>
        <v>0</v>
      </c>
      <c r="E746" s="532" t="str">
        <f>IF(Inventory!I743=0,"",Inventory!I743)</f>
        <v/>
      </c>
      <c r="F746" s="533" t="str">
        <f t="shared" si="257"/>
        <v/>
      </c>
      <c r="G746" s="534" t="str">
        <f>IF(Inventory!G743="","",Inventory!G743)</f>
        <v/>
      </c>
      <c r="H746" s="535" t="str">
        <f t="shared" si="258"/>
        <v/>
      </c>
      <c r="I746" s="536" t="str">
        <f>IF(Inventory!J743="","",Inventory!J743)</f>
        <v/>
      </c>
      <c r="J746" s="537" t="str">
        <f>IFERROR(IF(PRJ_Type="New Construction",IF(Inventory!C743="N",INDEX(xyLPD_BuildingArea,MATCH(Building_Type,Lookups!$F$37:$F$75,0),4),INDEX(xyLPD_SpaceBySpace,MATCH(INDEX(xyNCEx,MATCH(I746,yNCExArea,0),2),ySpace_by_Space_Type,0),2)),VLOOKUP(E746,xyWattage_Table,11,FALSE)),"")</f>
        <v/>
      </c>
      <c r="K746" s="538" t="str">
        <f>IFERROR(IF(AND(NC_Type="Building Area Method",Inventory!C743="N"),IF(ISERROR(INDEX('Usage Groups (&gt;120 MWh only)'!$N$8:$N$12,MATCH(C746,'Usage Groups (&gt;120 MWh only)'!$B$8:$B$12,0),1))=TRUE,SqFt/COUNTIFS(Inventory!$C$10:$C$1009,"N",$Q$13:$Q$1012,"&gt;=0"),INDEX('Usage Groups (&gt;120 MWh only)'!$N$8:$N$12,MATCH(C746,'Usage Groups (&gt;120 MWh only)'!$B$8:$B$12,0),1)/COUNTIF($C$13:$C$1012,C746)),IF(AND(NC_Type="Building Area Method",Inventory!C743="Y"),INDEX(xyNCEx,MATCH(I746,yNCExArea,0),3)/COUNTIF($I$13:$I$1012,I746),VLOOKUP(J746,xyWattage_Table,10,FALSE))),"")</f>
        <v/>
      </c>
      <c r="L746" s="539" t="str">
        <f t="shared" si="259"/>
        <v/>
      </c>
      <c r="M746" s="540">
        <f>IF(Inventory!N743="","",Inventory!N743)</f>
        <v>0</v>
      </c>
      <c r="N746" s="533" t="str">
        <f t="shared" si="260"/>
        <v/>
      </c>
      <c r="O746" s="534"/>
      <c r="P746" s="533" t="str">
        <f t="shared" si="261"/>
        <v/>
      </c>
      <c r="Q746" s="534" t="str">
        <f>IF(Inventory!L743="","",Inventory!L743)</f>
        <v/>
      </c>
      <c r="R746" s="535" t="str">
        <f t="shared" si="262"/>
        <v/>
      </c>
      <c r="S746" s="536" t="str">
        <f>IF(Inventory!O743="","",Inventory!O743)</f>
        <v/>
      </c>
      <c r="T746" s="541" t="str">
        <f>IFERROR(IF(C746="","",IF(INDEX(xyWattage_Table,MATCH(M746,'Fixture Identities'!$B$9:$B$997,0),2)="Exit Sign",8760,IF(VLOOKUP(C746,xySpace_Type_Details,8,FALSE)="TRM",INDEX('General Information'!$AF$17:$AG$28,11,MATCH(N746,'General Information'!$AF$16:$AG$16,0)),HLOOKUP(VLOOKUP(C746,xySpace_Type_Details,8,FALSE),'General Information'!$P$15:$AG$28,13,FALSE)))),"")</f>
        <v/>
      </c>
      <c r="U746" s="542" t="str">
        <f>IFERROR(IF(C746="","",IF(INDEX(xyWattage_Table,MATCH(M746,'Fixture Identities'!$B$9:$B$997,0),2)="Exit Sign",1,IF(VLOOKUP(C746,xySpace_Type_Details,8,FALSE)="TRM",INDEX('General Information'!$AF$17:$AG$28,12,MATCH(N746,'General Information'!$AF$16:$AG$16,0)),HLOOKUP(VLOOKUP(C746,xySpace_Type_Details,8,FALSE),'General Information'!$P$15:$AG$28,14,FALSE)))),"")</f>
        <v/>
      </c>
      <c r="V746" s="542" t="str">
        <f>IFERROR(VLOOKUP(INDEX(xySpace_Type_Details,MATCH($C746,'General Information'!$C$40:$C$60,0),12),Lookups!$L$8:$N$12,2,FALSE),"")</f>
        <v/>
      </c>
      <c r="W746" s="542" t="str">
        <f>IFERROR(VLOOKUP(INDEX(xySpace_Type_Details,MATCH($C746,'General Information'!$C$40:$C$60,0),12),Lookups!$L$8:$N$12,3,FALSE),"")</f>
        <v/>
      </c>
      <c r="Y746" s="542" t="str">
        <f>IFERROR(IF(C746="","",IF(INDEX(xyWattage_Table,MATCH(M746,'Fixture Identities'!$B$9:$B$997,0),2)="Exit Sign",0,IF(PRJ_Type="Retrofit",VLOOKUP(I746,xySVG_Factors,2,FALSE),IF(AND(PRJ_Type="New Construction",Inventory!C743="N"),VLOOKUP(VLOOKUP(Building_Type,xyLPD_BuildingArea,5,FALSE),xySVG_Factors_NC,3,FALSE),0)))),"")</f>
        <v/>
      </c>
      <c r="Z746" s="544" t="str">
        <f>IFERROR(IF(C746="","",IF(INDEX(xyWattage_Table,MATCH(M746,'Fixture Identities'!$B$9:$B$997,0),2)="Exit Sign",0,VLOOKUP(S746,xySVG_Factors,2,FALSE))),"")</f>
        <v/>
      </c>
      <c r="AA746" s="545" t="str">
        <f t="shared" si="263"/>
        <v/>
      </c>
      <c r="AB746" s="542" t="str">
        <f t="shared" si="264"/>
        <v/>
      </c>
      <c r="AC746" s="539" t="str">
        <f t="shared" si="265"/>
        <v/>
      </c>
      <c r="AD746" s="546" t="str">
        <f t="shared" si="266"/>
        <v/>
      </c>
      <c r="AE746" s="539" t="str">
        <f t="shared" si="267"/>
        <v/>
      </c>
      <c r="AF746" s="546" t="str">
        <f t="shared" si="268"/>
        <v/>
      </c>
      <c r="AG746" s="539" t="str">
        <f t="shared" si="269"/>
        <v/>
      </c>
      <c r="AH746" s="32">
        <f t="shared" si="271"/>
        <v>0</v>
      </c>
      <c r="AI746" s="32">
        <f t="shared" si="272"/>
        <v>0</v>
      </c>
      <c r="AJ746" s="32">
        <f t="shared" si="273"/>
        <v>0</v>
      </c>
      <c r="AK746" t="str">
        <f t="shared" si="274"/>
        <v/>
      </c>
      <c r="AL746" t="str">
        <f t="shared" si="275"/>
        <v/>
      </c>
      <c r="AM746" t="str">
        <f t="shared" si="276"/>
        <v/>
      </c>
      <c r="AO746" t="str">
        <f>IFERROR(VLOOKUP(M746,'Fixture Identities'!$B$9:$O$1045,14,FALSE),"")</f>
        <v/>
      </c>
      <c r="AP746" t="str">
        <f t="shared" si="270"/>
        <v/>
      </c>
    </row>
    <row r="747" spans="1:42">
      <c r="A747" s="71">
        <f t="shared" si="278"/>
        <v>0</v>
      </c>
      <c r="B747" s="513">
        <f t="shared" si="277"/>
        <v>735</v>
      </c>
      <c r="C747" s="530" t="str">
        <f>IF(Inventory!E744="","",Inventory!E744)</f>
        <v/>
      </c>
      <c r="D747" s="531">
        <f>IF(Inventory!D744="",0,Inventory!D744)</f>
        <v>0</v>
      </c>
      <c r="E747" s="532" t="str">
        <f>IF(Inventory!I744=0,"",Inventory!I744)</f>
        <v/>
      </c>
      <c r="F747" s="533" t="str">
        <f t="shared" si="257"/>
        <v/>
      </c>
      <c r="G747" s="534" t="str">
        <f>IF(Inventory!G744="","",Inventory!G744)</f>
        <v/>
      </c>
      <c r="H747" s="535" t="str">
        <f t="shared" si="258"/>
        <v/>
      </c>
      <c r="I747" s="536" t="str">
        <f>IF(Inventory!J744="","",Inventory!J744)</f>
        <v/>
      </c>
      <c r="J747" s="537" t="str">
        <f>IFERROR(IF(PRJ_Type="New Construction",IF(Inventory!C744="N",INDEX(xyLPD_BuildingArea,MATCH(Building_Type,Lookups!$F$37:$F$75,0),4),INDEX(xyLPD_SpaceBySpace,MATCH(INDEX(xyNCEx,MATCH(I747,yNCExArea,0),2),ySpace_by_Space_Type,0),2)),VLOOKUP(E747,xyWattage_Table,11,FALSE)),"")</f>
        <v/>
      </c>
      <c r="K747" s="538" t="str">
        <f>IFERROR(IF(AND(NC_Type="Building Area Method",Inventory!C744="N"),IF(ISERROR(INDEX('Usage Groups (&gt;120 MWh only)'!$N$8:$N$12,MATCH(C747,'Usage Groups (&gt;120 MWh only)'!$B$8:$B$12,0),1))=TRUE,SqFt/COUNTIFS(Inventory!$C$10:$C$1009,"N",$Q$13:$Q$1012,"&gt;=0"),INDEX('Usage Groups (&gt;120 MWh only)'!$N$8:$N$12,MATCH(C747,'Usage Groups (&gt;120 MWh only)'!$B$8:$B$12,0),1)/COUNTIF($C$13:$C$1012,C747)),IF(AND(NC_Type="Building Area Method",Inventory!C744="Y"),INDEX(xyNCEx,MATCH(I747,yNCExArea,0),3)/COUNTIF($I$13:$I$1012,I747),VLOOKUP(J747,xyWattage_Table,10,FALSE))),"")</f>
        <v/>
      </c>
      <c r="L747" s="539" t="str">
        <f t="shared" si="259"/>
        <v/>
      </c>
      <c r="M747" s="540">
        <f>IF(Inventory!N744="","",Inventory!N744)</f>
        <v>0</v>
      </c>
      <c r="N747" s="533" t="str">
        <f t="shared" si="260"/>
        <v/>
      </c>
      <c r="O747" s="534"/>
      <c r="P747" s="533" t="str">
        <f t="shared" si="261"/>
        <v/>
      </c>
      <c r="Q747" s="534" t="str">
        <f>IF(Inventory!L744="","",Inventory!L744)</f>
        <v/>
      </c>
      <c r="R747" s="535" t="str">
        <f t="shared" si="262"/>
        <v/>
      </c>
      <c r="S747" s="536" t="str">
        <f>IF(Inventory!O744="","",Inventory!O744)</f>
        <v/>
      </c>
      <c r="T747" s="541" t="str">
        <f>IFERROR(IF(C747="","",IF(INDEX(xyWattage_Table,MATCH(M747,'Fixture Identities'!$B$9:$B$997,0),2)="Exit Sign",8760,IF(VLOOKUP(C747,xySpace_Type_Details,8,FALSE)="TRM",INDEX('General Information'!$AF$17:$AG$28,11,MATCH(N747,'General Information'!$AF$16:$AG$16,0)),HLOOKUP(VLOOKUP(C747,xySpace_Type_Details,8,FALSE),'General Information'!$P$15:$AG$28,13,FALSE)))),"")</f>
        <v/>
      </c>
      <c r="U747" s="542" t="str">
        <f>IFERROR(IF(C747="","",IF(INDEX(xyWattage_Table,MATCH(M747,'Fixture Identities'!$B$9:$B$997,0),2)="Exit Sign",1,IF(VLOOKUP(C747,xySpace_Type_Details,8,FALSE)="TRM",INDEX('General Information'!$AF$17:$AG$28,12,MATCH(N747,'General Information'!$AF$16:$AG$16,0)),HLOOKUP(VLOOKUP(C747,xySpace_Type_Details,8,FALSE),'General Information'!$P$15:$AG$28,14,FALSE)))),"")</f>
        <v/>
      </c>
      <c r="V747" s="542" t="str">
        <f>IFERROR(VLOOKUP(INDEX(xySpace_Type_Details,MATCH($C747,'General Information'!$C$40:$C$60,0),12),Lookups!$L$8:$N$12,2,FALSE),"")</f>
        <v/>
      </c>
      <c r="W747" s="542" t="str">
        <f>IFERROR(VLOOKUP(INDEX(xySpace_Type_Details,MATCH($C747,'General Information'!$C$40:$C$60,0),12),Lookups!$L$8:$N$12,3,FALSE),"")</f>
        <v/>
      </c>
      <c r="Y747" s="542" t="str">
        <f>IFERROR(IF(C747="","",IF(INDEX(xyWattage_Table,MATCH(M747,'Fixture Identities'!$B$9:$B$997,0),2)="Exit Sign",0,IF(PRJ_Type="Retrofit",VLOOKUP(I747,xySVG_Factors,2,FALSE),IF(AND(PRJ_Type="New Construction",Inventory!C744="N"),VLOOKUP(VLOOKUP(Building_Type,xyLPD_BuildingArea,5,FALSE),xySVG_Factors_NC,3,FALSE),0)))),"")</f>
        <v/>
      </c>
      <c r="Z747" s="544" t="str">
        <f>IFERROR(IF(C747="","",IF(INDEX(xyWattage_Table,MATCH(M747,'Fixture Identities'!$B$9:$B$997,0),2)="Exit Sign",0,VLOOKUP(S747,xySVG_Factors,2,FALSE))),"")</f>
        <v/>
      </c>
      <c r="AA747" s="545" t="str">
        <f t="shared" si="263"/>
        <v/>
      </c>
      <c r="AB747" s="542" t="str">
        <f t="shared" si="264"/>
        <v/>
      </c>
      <c r="AC747" s="539" t="str">
        <f t="shared" si="265"/>
        <v/>
      </c>
      <c r="AD747" s="546" t="str">
        <f t="shared" si="266"/>
        <v/>
      </c>
      <c r="AE747" s="539" t="str">
        <f t="shared" si="267"/>
        <v/>
      </c>
      <c r="AF747" s="546" t="str">
        <f t="shared" si="268"/>
        <v/>
      </c>
      <c r="AG747" s="539" t="str">
        <f t="shared" si="269"/>
        <v/>
      </c>
      <c r="AH747" s="32">
        <f t="shared" si="271"/>
        <v>0</v>
      </c>
      <c r="AI747" s="32">
        <f t="shared" si="272"/>
        <v>0</v>
      </c>
      <c r="AJ747" s="32">
        <f t="shared" si="273"/>
        <v>0</v>
      </c>
      <c r="AK747" t="str">
        <f t="shared" si="274"/>
        <v/>
      </c>
      <c r="AL747" t="str">
        <f t="shared" si="275"/>
        <v/>
      </c>
      <c r="AM747" t="str">
        <f t="shared" si="276"/>
        <v/>
      </c>
      <c r="AO747" t="str">
        <f>IFERROR(VLOOKUP(M747,'Fixture Identities'!$B$9:$O$1045,14,FALSE),"")</f>
        <v/>
      </c>
      <c r="AP747" t="str">
        <f t="shared" si="270"/>
        <v/>
      </c>
    </row>
    <row r="748" spans="1:42">
      <c r="A748" s="71">
        <f t="shared" si="278"/>
        <v>0</v>
      </c>
      <c r="B748" s="513">
        <f t="shared" si="277"/>
        <v>736</v>
      </c>
      <c r="C748" s="530" t="str">
        <f>IF(Inventory!E745="","",Inventory!E745)</f>
        <v/>
      </c>
      <c r="D748" s="531">
        <f>IF(Inventory!D745="",0,Inventory!D745)</f>
        <v>0</v>
      </c>
      <c r="E748" s="532" t="str">
        <f>IF(Inventory!I745=0,"",Inventory!I745)</f>
        <v/>
      </c>
      <c r="F748" s="533" t="str">
        <f t="shared" si="257"/>
        <v/>
      </c>
      <c r="G748" s="534" t="str">
        <f>IF(Inventory!G745="","",Inventory!G745)</f>
        <v/>
      </c>
      <c r="H748" s="535" t="str">
        <f t="shared" si="258"/>
        <v/>
      </c>
      <c r="I748" s="536" t="str">
        <f>IF(Inventory!J745="","",Inventory!J745)</f>
        <v/>
      </c>
      <c r="J748" s="537" t="str">
        <f>IFERROR(IF(PRJ_Type="New Construction",IF(Inventory!C745="N",INDEX(xyLPD_BuildingArea,MATCH(Building_Type,Lookups!$F$37:$F$75,0),4),INDEX(xyLPD_SpaceBySpace,MATCH(INDEX(xyNCEx,MATCH(I748,yNCExArea,0),2),ySpace_by_Space_Type,0),2)),VLOOKUP(E748,xyWattage_Table,11,FALSE)),"")</f>
        <v/>
      </c>
      <c r="K748" s="538" t="str">
        <f>IFERROR(IF(AND(NC_Type="Building Area Method",Inventory!C745="N"),IF(ISERROR(INDEX('Usage Groups (&gt;120 MWh only)'!$N$8:$N$12,MATCH(C748,'Usage Groups (&gt;120 MWh only)'!$B$8:$B$12,0),1))=TRUE,SqFt/COUNTIFS(Inventory!$C$10:$C$1009,"N",$Q$13:$Q$1012,"&gt;=0"),INDEX('Usage Groups (&gt;120 MWh only)'!$N$8:$N$12,MATCH(C748,'Usage Groups (&gt;120 MWh only)'!$B$8:$B$12,0),1)/COUNTIF($C$13:$C$1012,C748)),IF(AND(NC_Type="Building Area Method",Inventory!C745="Y"),INDEX(xyNCEx,MATCH(I748,yNCExArea,0),3)/COUNTIF($I$13:$I$1012,I748),VLOOKUP(J748,xyWattage_Table,10,FALSE))),"")</f>
        <v/>
      </c>
      <c r="L748" s="539" t="str">
        <f t="shared" si="259"/>
        <v/>
      </c>
      <c r="M748" s="540">
        <f>IF(Inventory!N745="","",Inventory!N745)</f>
        <v>0</v>
      </c>
      <c r="N748" s="533" t="str">
        <f t="shared" si="260"/>
        <v/>
      </c>
      <c r="O748" s="534"/>
      <c r="P748" s="533" t="str">
        <f t="shared" si="261"/>
        <v/>
      </c>
      <c r="Q748" s="534" t="str">
        <f>IF(Inventory!L745="","",Inventory!L745)</f>
        <v/>
      </c>
      <c r="R748" s="535" t="str">
        <f t="shared" si="262"/>
        <v/>
      </c>
      <c r="S748" s="536" t="str">
        <f>IF(Inventory!O745="","",Inventory!O745)</f>
        <v/>
      </c>
      <c r="T748" s="541" t="str">
        <f>IFERROR(IF(C748="","",IF(INDEX(xyWattage_Table,MATCH(M748,'Fixture Identities'!$B$9:$B$997,0),2)="Exit Sign",8760,IF(VLOOKUP(C748,xySpace_Type_Details,8,FALSE)="TRM",INDEX('General Information'!$AF$17:$AG$28,11,MATCH(N748,'General Information'!$AF$16:$AG$16,0)),HLOOKUP(VLOOKUP(C748,xySpace_Type_Details,8,FALSE),'General Information'!$P$15:$AG$28,13,FALSE)))),"")</f>
        <v/>
      </c>
      <c r="U748" s="542" t="str">
        <f>IFERROR(IF(C748="","",IF(INDEX(xyWattage_Table,MATCH(M748,'Fixture Identities'!$B$9:$B$997,0),2)="Exit Sign",1,IF(VLOOKUP(C748,xySpace_Type_Details,8,FALSE)="TRM",INDEX('General Information'!$AF$17:$AG$28,12,MATCH(N748,'General Information'!$AF$16:$AG$16,0)),HLOOKUP(VLOOKUP(C748,xySpace_Type_Details,8,FALSE),'General Information'!$P$15:$AG$28,14,FALSE)))),"")</f>
        <v/>
      </c>
      <c r="V748" s="542" t="str">
        <f>IFERROR(VLOOKUP(INDEX(xySpace_Type_Details,MATCH($C748,'General Information'!$C$40:$C$60,0),12),Lookups!$L$8:$N$12,2,FALSE),"")</f>
        <v/>
      </c>
      <c r="W748" s="542" t="str">
        <f>IFERROR(VLOOKUP(INDEX(xySpace_Type_Details,MATCH($C748,'General Information'!$C$40:$C$60,0),12),Lookups!$L$8:$N$12,3,FALSE),"")</f>
        <v/>
      </c>
      <c r="Y748" s="542" t="str">
        <f>IFERROR(IF(C748="","",IF(INDEX(xyWattage_Table,MATCH(M748,'Fixture Identities'!$B$9:$B$997,0),2)="Exit Sign",0,IF(PRJ_Type="Retrofit",VLOOKUP(I748,xySVG_Factors,2,FALSE),IF(AND(PRJ_Type="New Construction",Inventory!C745="N"),VLOOKUP(VLOOKUP(Building_Type,xyLPD_BuildingArea,5,FALSE),xySVG_Factors_NC,3,FALSE),0)))),"")</f>
        <v/>
      </c>
      <c r="Z748" s="544" t="str">
        <f>IFERROR(IF(C748="","",IF(INDEX(xyWattage_Table,MATCH(M748,'Fixture Identities'!$B$9:$B$997,0),2)="Exit Sign",0,VLOOKUP(S748,xySVG_Factors,2,FALSE))),"")</f>
        <v/>
      </c>
      <c r="AA748" s="545" t="str">
        <f t="shared" si="263"/>
        <v/>
      </c>
      <c r="AB748" s="542" t="str">
        <f t="shared" si="264"/>
        <v/>
      </c>
      <c r="AC748" s="539" t="str">
        <f t="shared" si="265"/>
        <v/>
      </c>
      <c r="AD748" s="546" t="str">
        <f t="shared" si="266"/>
        <v/>
      </c>
      <c r="AE748" s="539" t="str">
        <f t="shared" si="267"/>
        <v/>
      </c>
      <c r="AF748" s="546" t="str">
        <f t="shared" si="268"/>
        <v/>
      </c>
      <c r="AG748" s="539" t="str">
        <f t="shared" si="269"/>
        <v/>
      </c>
      <c r="AH748" s="32">
        <f t="shared" si="271"/>
        <v>0</v>
      </c>
      <c r="AI748" s="32">
        <f t="shared" si="272"/>
        <v>0</v>
      </c>
      <c r="AJ748" s="32">
        <f t="shared" si="273"/>
        <v>0</v>
      </c>
      <c r="AK748" t="str">
        <f t="shared" si="274"/>
        <v/>
      </c>
      <c r="AL748" t="str">
        <f t="shared" si="275"/>
        <v/>
      </c>
      <c r="AM748" t="str">
        <f t="shared" si="276"/>
        <v/>
      </c>
      <c r="AO748" t="str">
        <f>IFERROR(VLOOKUP(M748,'Fixture Identities'!$B$9:$O$1045,14,FALSE),"")</f>
        <v/>
      </c>
      <c r="AP748" t="str">
        <f t="shared" si="270"/>
        <v/>
      </c>
    </row>
    <row r="749" spans="1:42">
      <c r="A749" s="71">
        <f t="shared" si="278"/>
        <v>0</v>
      </c>
      <c r="B749" s="513">
        <f t="shared" si="277"/>
        <v>737</v>
      </c>
      <c r="C749" s="530" t="str">
        <f>IF(Inventory!E746="","",Inventory!E746)</f>
        <v/>
      </c>
      <c r="D749" s="531">
        <f>IF(Inventory!D746="",0,Inventory!D746)</f>
        <v>0</v>
      </c>
      <c r="E749" s="532" t="str">
        <f>IF(Inventory!I746=0,"",Inventory!I746)</f>
        <v/>
      </c>
      <c r="F749" s="533" t="str">
        <f t="shared" si="257"/>
        <v/>
      </c>
      <c r="G749" s="534" t="str">
        <f>IF(Inventory!G746="","",Inventory!G746)</f>
        <v/>
      </c>
      <c r="H749" s="535" t="str">
        <f t="shared" si="258"/>
        <v/>
      </c>
      <c r="I749" s="536" t="str">
        <f>IF(Inventory!J746="","",Inventory!J746)</f>
        <v/>
      </c>
      <c r="J749" s="537" t="str">
        <f>IFERROR(IF(PRJ_Type="New Construction",IF(Inventory!C746="N",INDEX(xyLPD_BuildingArea,MATCH(Building_Type,Lookups!$F$37:$F$75,0),4),INDEX(xyLPD_SpaceBySpace,MATCH(INDEX(xyNCEx,MATCH(I749,yNCExArea,0),2),ySpace_by_Space_Type,0),2)),VLOOKUP(E749,xyWattage_Table,11,FALSE)),"")</f>
        <v/>
      </c>
      <c r="K749" s="538" t="str">
        <f>IFERROR(IF(AND(NC_Type="Building Area Method",Inventory!C746="N"),IF(ISERROR(INDEX('Usage Groups (&gt;120 MWh only)'!$N$8:$N$12,MATCH(C749,'Usage Groups (&gt;120 MWh only)'!$B$8:$B$12,0),1))=TRUE,SqFt/COUNTIFS(Inventory!$C$10:$C$1009,"N",$Q$13:$Q$1012,"&gt;=0"),INDEX('Usage Groups (&gt;120 MWh only)'!$N$8:$N$12,MATCH(C749,'Usage Groups (&gt;120 MWh only)'!$B$8:$B$12,0),1)/COUNTIF($C$13:$C$1012,C749)),IF(AND(NC_Type="Building Area Method",Inventory!C746="Y"),INDEX(xyNCEx,MATCH(I749,yNCExArea,0),3)/COUNTIF($I$13:$I$1012,I749),VLOOKUP(J749,xyWattage_Table,10,FALSE))),"")</f>
        <v/>
      </c>
      <c r="L749" s="539" t="str">
        <f t="shared" si="259"/>
        <v/>
      </c>
      <c r="M749" s="540">
        <f>IF(Inventory!N746="","",Inventory!N746)</f>
        <v>0</v>
      </c>
      <c r="N749" s="533" t="str">
        <f t="shared" si="260"/>
        <v/>
      </c>
      <c r="O749" s="534"/>
      <c r="P749" s="533" t="str">
        <f t="shared" si="261"/>
        <v/>
      </c>
      <c r="Q749" s="534" t="str">
        <f>IF(Inventory!L746="","",Inventory!L746)</f>
        <v/>
      </c>
      <c r="R749" s="535" t="str">
        <f t="shared" si="262"/>
        <v/>
      </c>
      <c r="S749" s="536" t="str">
        <f>IF(Inventory!O746="","",Inventory!O746)</f>
        <v/>
      </c>
      <c r="T749" s="541" t="str">
        <f>IFERROR(IF(C749="","",IF(INDEX(xyWattage_Table,MATCH(M749,'Fixture Identities'!$B$9:$B$997,0),2)="Exit Sign",8760,IF(VLOOKUP(C749,xySpace_Type_Details,8,FALSE)="TRM",INDEX('General Information'!$AF$17:$AG$28,11,MATCH(N749,'General Information'!$AF$16:$AG$16,0)),HLOOKUP(VLOOKUP(C749,xySpace_Type_Details,8,FALSE),'General Information'!$P$15:$AG$28,13,FALSE)))),"")</f>
        <v/>
      </c>
      <c r="U749" s="542" t="str">
        <f>IFERROR(IF(C749="","",IF(INDEX(xyWattage_Table,MATCH(M749,'Fixture Identities'!$B$9:$B$997,0),2)="Exit Sign",1,IF(VLOOKUP(C749,xySpace_Type_Details,8,FALSE)="TRM",INDEX('General Information'!$AF$17:$AG$28,12,MATCH(N749,'General Information'!$AF$16:$AG$16,0)),HLOOKUP(VLOOKUP(C749,xySpace_Type_Details,8,FALSE),'General Information'!$P$15:$AG$28,14,FALSE)))),"")</f>
        <v/>
      </c>
      <c r="V749" s="542" t="str">
        <f>IFERROR(VLOOKUP(INDEX(xySpace_Type_Details,MATCH($C749,'General Information'!$C$40:$C$60,0),12),Lookups!$L$8:$N$12,2,FALSE),"")</f>
        <v/>
      </c>
      <c r="W749" s="542" t="str">
        <f>IFERROR(VLOOKUP(INDEX(xySpace_Type_Details,MATCH($C749,'General Information'!$C$40:$C$60,0),12),Lookups!$L$8:$N$12,3,FALSE),"")</f>
        <v/>
      </c>
      <c r="Y749" s="542" t="str">
        <f>IFERROR(IF(C749="","",IF(INDEX(xyWattage_Table,MATCH(M749,'Fixture Identities'!$B$9:$B$997,0),2)="Exit Sign",0,IF(PRJ_Type="Retrofit",VLOOKUP(I749,xySVG_Factors,2,FALSE),IF(AND(PRJ_Type="New Construction",Inventory!C746="N"),VLOOKUP(VLOOKUP(Building_Type,xyLPD_BuildingArea,5,FALSE),xySVG_Factors_NC,3,FALSE),0)))),"")</f>
        <v/>
      </c>
      <c r="Z749" s="544" t="str">
        <f>IFERROR(IF(C749="","",IF(INDEX(xyWattage_Table,MATCH(M749,'Fixture Identities'!$B$9:$B$997,0),2)="Exit Sign",0,VLOOKUP(S749,xySVG_Factors,2,FALSE))),"")</f>
        <v/>
      </c>
      <c r="AA749" s="545" t="str">
        <f t="shared" si="263"/>
        <v/>
      </c>
      <c r="AB749" s="542" t="str">
        <f t="shared" si="264"/>
        <v/>
      </c>
      <c r="AC749" s="539" t="str">
        <f t="shared" si="265"/>
        <v/>
      </c>
      <c r="AD749" s="546" t="str">
        <f t="shared" si="266"/>
        <v/>
      </c>
      <c r="AE749" s="539" t="str">
        <f t="shared" si="267"/>
        <v/>
      </c>
      <c r="AF749" s="546" t="str">
        <f t="shared" si="268"/>
        <v/>
      </c>
      <c r="AG749" s="539" t="str">
        <f t="shared" si="269"/>
        <v/>
      </c>
      <c r="AH749" s="32">
        <f t="shared" si="271"/>
        <v>0</v>
      </c>
      <c r="AI749" s="32">
        <f t="shared" si="272"/>
        <v>0</v>
      </c>
      <c r="AJ749" s="32">
        <f t="shared" si="273"/>
        <v>0</v>
      </c>
      <c r="AK749" t="str">
        <f t="shared" si="274"/>
        <v/>
      </c>
      <c r="AL749" t="str">
        <f t="shared" si="275"/>
        <v/>
      </c>
      <c r="AM749" t="str">
        <f t="shared" si="276"/>
        <v/>
      </c>
      <c r="AO749" t="str">
        <f>IFERROR(VLOOKUP(M749,'Fixture Identities'!$B$9:$O$1045,14,FALSE),"")</f>
        <v/>
      </c>
      <c r="AP749" t="str">
        <f t="shared" si="270"/>
        <v/>
      </c>
    </row>
    <row r="750" spans="1:42">
      <c r="A750" s="71">
        <f t="shared" si="278"/>
        <v>0</v>
      </c>
      <c r="B750" s="513">
        <f t="shared" si="277"/>
        <v>738</v>
      </c>
      <c r="C750" s="530" t="str">
        <f>IF(Inventory!E747="","",Inventory!E747)</f>
        <v/>
      </c>
      <c r="D750" s="531">
        <f>IF(Inventory!D747="",0,Inventory!D747)</f>
        <v>0</v>
      </c>
      <c r="E750" s="532" t="str">
        <f>IF(Inventory!I747=0,"",Inventory!I747)</f>
        <v/>
      </c>
      <c r="F750" s="533" t="str">
        <f t="shared" si="257"/>
        <v/>
      </c>
      <c r="G750" s="534" t="str">
        <f>IF(Inventory!G747="","",Inventory!G747)</f>
        <v/>
      </c>
      <c r="H750" s="535" t="str">
        <f t="shared" si="258"/>
        <v/>
      </c>
      <c r="I750" s="536" t="str">
        <f>IF(Inventory!J747="","",Inventory!J747)</f>
        <v/>
      </c>
      <c r="J750" s="537" t="str">
        <f>IFERROR(IF(PRJ_Type="New Construction",IF(Inventory!C747="N",INDEX(xyLPD_BuildingArea,MATCH(Building_Type,Lookups!$F$37:$F$75,0),4),INDEX(xyLPD_SpaceBySpace,MATCH(INDEX(xyNCEx,MATCH(I750,yNCExArea,0),2),ySpace_by_Space_Type,0),2)),VLOOKUP(E750,xyWattage_Table,11,FALSE)),"")</f>
        <v/>
      </c>
      <c r="K750" s="538" t="str">
        <f>IFERROR(IF(AND(NC_Type="Building Area Method",Inventory!C747="N"),IF(ISERROR(INDEX('Usage Groups (&gt;120 MWh only)'!$N$8:$N$12,MATCH(C750,'Usage Groups (&gt;120 MWh only)'!$B$8:$B$12,0),1))=TRUE,SqFt/COUNTIFS(Inventory!$C$10:$C$1009,"N",$Q$13:$Q$1012,"&gt;=0"),INDEX('Usage Groups (&gt;120 MWh only)'!$N$8:$N$12,MATCH(C750,'Usage Groups (&gt;120 MWh only)'!$B$8:$B$12,0),1)/COUNTIF($C$13:$C$1012,C750)),IF(AND(NC_Type="Building Area Method",Inventory!C747="Y"),INDEX(xyNCEx,MATCH(I750,yNCExArea,0),3)/COUNTIF($I$13:$I$1012,I750),VLOOKUP(J750,xyWattage_Table,10,FALSE))),"")</f>
        <v/>
      </c>
      <c r="L750" s="539" t="str">
        <f t="shared" si="259"/>
        <v/>
      </c>
      <c r="M750" s="540">
        <f>IF(Inventory!N747="","",Inventory!N747)</f>
        <v>0</v>
      </c>
      <c r="N750" s="533" t="str">
        <f t="shared" si="260"/>
        <v/>
      </c>
      <c r="O750" s="534"/>
      <c r="P750" s="533" t="str">
        <f t="shared" si="261"/>
        <v/>
      </c>
      <c r="Q750" s="534" t="str">
        <f>IF(Inventory!L747="","",Inventory!L747)</f>
        <v/>
      </c>
      <c r="R750" s="535" t="str">
        <f t="shared" si="262"/>
        <v/>
      </c>
      <c r="S750" s="536" t="str">
        <f>IF(Inventory!O747="","",Inventory!O747)</f>
        <v/>
      </c>
      <c r="T750" s="541" t="str">
        <f>IFERROR(IF(C750="","",IF(INDEX(xyWattage_Table,MATCH(M750,'Fixture Identities'!$B$9:$B$997,0),2)="Exit Sign",8760,IF(VLOOKUP(C750,xySpace_Type_Details,8,FALSE)="TRM",INDEX('General Information'!$AF$17:$AG$28,11,MATCH(N750,'General Information'!$AF$16:$AG$16,0)),HLOOKUP(VLOOKUP(C750,xySpace_Type_Details,8,FALSE),'General Information'!$P$15:$AG$28,13,FALSE)))),"")</f>
        <v/>
      </c>
      <c r="U750" s="542" t="str">
        <f>IFERROR(IF(C750="","",IF(INDEX(xyWattage_Table,MATCH(M750,'Fixture Identities'!$B$9:$B$997,0),2)="Exit Sign",1,IF(VLOOKUP(C750,xySpace_Type_Details,8,FALSE)="TRM",INDEX('General Information'!$AF$17:$AG$28,12,MATCH(N750,'General Information'!$AF$16:$AG$16,0)),HLOOKUP(VLOOKUP(C750,xySpace_Type_Details,8,FALSE),'General Information'!$P$15:$AG$28,14,FALSE)))),"")</f>
        <v/>
      </c>
      <c r="V750" s="542" t="str">
        <f>IFERROR(VLOOKUP(INDEX(xySpace_Type_Details,MATCH($C750,'General Information'!$C$40:$C$60,0),12),Lookups!$L$8:$N$12,2,FALSE),"")</f>
        <v/>
      </c>
      <c r="W750" s="542" t="str">
        <f>IFERROR(VLOOKUP(INDEX(xySpace_Type_Details,MATCH($C750,'General Information'!$C$40:$C$60,0),12),Lookups!$L$8:$N$12,3,FALSE),"")</f>
        <v/>
      </c>
      <c r="Y750" s="542" t="str">
        <f>IFERROR(IF(C750="","",IF(INDEX(xyWattage_Table,MATCH(M750,'Fixture Identities'!$B$9:$B$997,0),2)="Exit Sign",0,IF(PRJ_Type="Retrofit",VLOOKUP(I750,xySVG_Factors,2,FALSE),IF(AND(PRJ_Type="New Construction",Inventory!C747="N"),VLOOKUP(VLOOKUP(Building_Type,xyLPD_BuildingArea,5,FALSE),xySVG_Factors_NC,3,FALSE),0)))),"")</f>
        <v/>
      </c>
      <c r="Z750" s="544" t="str">
        <f>IFERROR(IF(C750="","",IF(INDEX(xyWattage_Table,MATCH(M750,'Fixture Identities'!$B$9:$B$997,0),2)="Exit Sign",0,VLOOKUP(S750,xySVG_Factors,2,FALSE))),"")</f>
        <v/>
      </c>
      <c r="AA750" s="545" t="str">
        <f t="shared" si="263"/>
        <v/>
      </c>
      <c r="AB750" s="542" t="str">
        <f t="shared" si="264"/>
        <v/>
      </c>
      <c r="AC750" s="539" t="str">
        <f t="shared" si="265"/>
        <v/>
      </c>
      <c r="AD750" s="546" t="str">
        <f t="shared" si="266"/>
        <v/>
      </c>
      <c r="AE750" s="539" t="str">
        <f t="shared" si="267"/>
        <v/>
      </c>
      <c r="AF750" s="546" t="str">
        <f t="shared" si="268"/>
        <v/>
      </c>
      <c r="AG750" s="539" t="str">
        <f t="shared" si="269"/>
        <v/>
      </c>
      <c r="AH750" s="32">
        <f t="shared" si="271"/>
        <v>0</v>
      </c>
      <c r="AI750" s="32">
        <f t="shared" si="272"/>
        <v>0</v>
      </c>
      <c r="AJ750" s="32">
        <f t="shared" si="273"/>
        <v>0</v>
      </c>
      <c r="AK750" t="str">
        <f t="shared" si="274"/>
        <v/>
      </c>
      <c r="AL750" t="str">
        <f t="shared" si="275"/>
        <v/>
      </c>
      <c r="AM750" t="str">
        <f t="shared" si="276"/>
        <v/>
      </c>
      <c r="AO750" t="str">
        <f>IFERROR(VLOOKUP(M750,'Fixture Identities'!$B$9:$O$1045,14,FALSE),"")</f>
        <v/>
      </c>
      <c r="AP750" t="str">
        <f t="shared" si="270"/>
        <v/>
      </c>
    </row>
    <row r="751" spans="1:42">
      <c r="A751" s="71">
        <f t="shared" si="278"/>
        <v>0</v>
      </c>
      <c r="B751" s="513">
        <f t="shared" si="277"/>
        <v>739</v>
      </c>
      <c r="C751" s="530" t="str">
        <f>IF(Inventory!E748="","",Inventory!E748)</f>
        <v/>
      </c>
      <c r="D751" s="531">
        <f>IF(Inventory!D748="",0,Inventory!D748)</f>
        <v>0</v>
      </c>
      <c r="E751" s="532" t="str">
        <f>IF(Inventory!I748=0,"",Inventory!I748)</f>
        <v/>
      </c>
      <c r="F751" s="533" t="str">
        <f t="shared" si="257"/>
        <v/>
      </c>
      <c r="G751" s="534" t="str">
        <f>IF(Inventory!G748="","",Inventory!G748)</f>
        <v/>
      </c>
      <c r="H751" s="535" t="str">
        <f t="shared" si="258"/>
        <v/>
      </c>
      <c r="I751" s="536" t="str">
        <f>IF(Inventory!J748="","",Inventory!J748)</f>
        <v/>
      </c>
      <c r="J751" s="537" t="str">
        <f>IFERROR(IF(PRJ_Type="New Construction",IF(Inventory!C748="N",INDEX(xyLPD_BuildingArea,MATCH(Building_Type,Lookups!$F$37:$F$75,0),4),INDEX(xyLPD_SpaceBySpace,MATCH(INDEX(xyNCEx,MATCH(I751,yNCExArea,0),2),ySpace_by_Space_Type,0),2)),VLOOKUP(E751,xyWattage_Table,11,FALSE)),"")</f>
        <v/>
      </c>
      <c r="K751" s="538" t="str">
        <f>IFERROR(IF(AND(NC_Type="Building Area Method",Inventory!C748="N"),IF(ISERROR(INDEX('Usage Groups (&gt;120 MWh only)'!$N$8:$N$12,MATCH(C751,'Usage Groups (&gt;120 MWh only)'!$B$8:$B$12,0),1))=TRUE,SqFt/COUNTIFS(Inventory!$C$10:$C$1009,"N",$Q$13:$Q$1012,"&gt;=0"),INDEX('Usage Groups (&gt;120 MWh only)'!$N$8:$N$12,MATCH(C751,'Usage Groups (&gt;120 MWh only)'!$B$8:$B$12,0),1)/COUNTIF($C$13:$C$1012,C751)),IF(AND(NC_Type="Building Area Method",Inventory!C748="Y"),INDEX(xyNCEx,MATCH(I751,yNCExArea,0),3)/COUNTIF($I$13:$I$1012,I751),VLOOKUP(J751,xyWattage_Table,10,FALSE))),"")</f>
        <v/>
      </c>
      <c r="L751" s="539" t="str">
        <f t="shared" si="259"/>
        <v/>
      </c>
      <c r="M751" s="540">
        <f>IF(Inventory!N748="","",Inventory!N748)</f>
        <v>0</v>
      </c>
      <c r="N751" s="533" t="str">
        <f t="shared" si="260"/>
        <v/>
      </c>
      <c r="O751" s="534"/>
      <c r="P751" s="533" t="str">
        <f t="shared" si="261"/>
        <v/>
      </c>
      <c r="Q751" s="534" t="str">
        <f>IF(Inventory!L748="","",Inventory!L748)</f>
        <v/>
      </c>
      <c r="R751" s="535" t="str">
        <f t="shared" si="262"/>
        <v/>
      </c>
      <c r="S751" s="536" t="str">
        <f>IF(Inventory!O748="","",Inventory!O748)</f>
        <v/>
      </c>
      <c r="T751" s="541" t="str">
        <f>IFERROR(IF(C751="","",IF(INDEX(xyWattage_Table,MATCH(M751,'Fixture Identities'!$B$9:$B$997,0),2)="Exit Sign",8760,IF(VLOOKUP(C751,xySpace_Type_Details,8,FALSE)="TRM",INDEX('General Information'!$AF$17:$AG$28,11,MATCH(N751,'General Information'!$AF$16:$AG$16,0)),HLOOKUP(VLOOKUP(C751,xySpace_Type_Details,8,FALSE),'General Information'!$P$15:$AG$28,13,FALSE)))),"")</f>
        <v/>
      </c>
      <c r="U751" s="542" t="str">
        <f>IFERROR(IF(C751="","",IF(INDEX(xyWattage_Table,MATCH(M751,'Fixture Identities'!$B$9:$B$997,0),2)="Exit Sign",1,IF(VLOOKUP(C751,xySpace_Type_Details,8,FALSE)="TRM",INDEX('General Information'!$AF$17:$AG$28,12,MATCH(N751,'General Information'!$AF$16:$AG$16,0)),HLOOKUP(VLOOKUP(C751,xySpace_Type_Details,8,FALSE),'General Information'!$P$15:$AG$28,14,FALSE)))),"")</f>
        <v/>
      </c>
      <c r="V751" s="542" t="str">
        <f>IFERROR(VLOOKUP(INDEX(xySpace_Type_Details,MATCH($C751,'General Information'!$C$40:$C$60,0),12),Lookups!$L$8:$N$12,2,FALSE),"")</f>
        <v/>
      </c>
      <c r="W751" s="542" t="str">
        <f>IFERROR(VLOOKUP(INDEX(xySpace_Type_Details,MATCH($C751,'General Information'!$C$40:$C$60,0),12),Lookups!$L$8:$N$12,3,FALSE),"")</f>
        <v/>
      </c>
      <c r="Y751" s="542" t="str">
        <f>IFERROR(IF(C751="","",IF(INDEX(xyWattage_Table,MATCH(M751,'Fixture Identities'!$B$9:$B$997,0),2)="Exit Sign",0,IF(PRJ_Type="Retrofit",VLOOKUP(I751,xySVG_Factors,2,FALSE),IF(AND(PRJ_Type="New Construction",Inventory!C748="N"),VLOOKUP(VLOOKUP(Building_Type,xyLPD_BuildingArea,5,FALSE),xySVG_Factors_NC,3,FALSE),0)))),"")</f>
        <v/>
      </c>
      <c r="Z751" s="544" t="str">
        <f>IFERROR(IF(C751="","",IF(INDEX(xyWattage_Table,MATCH(M751,'Fixture Identities'!$B$9:$B$997,0),2)="Exit Sign",0,VLOOKUP(S751,xySVG_Factors,2,FALSE))),"")</f>
        <v/>
      </c>
      <c r="AA751" s="545" t="str">
        <f t="shared" si="263"/>
        <v/>
      </c>
      <c r="AB751" s="542" t="str">
        <f t="shared" si="264"/>
        <v/>
      </c>
      <c r="AC751" s="539" t="str">
        <f t="shared" si="265"/>
        <v/>
      </c>
      <c r="AD751" s="546" t="str">
        <f t="shared" si="266"/>
        <v/>
      </c>
      <c r="AE751" s="539" t="str">
        <f t="shared" si="267"/>
        <v/>
      </c>
      <c r="AF751" s="546" t="str">
        <f t="shared" si="268"/>
        <v/>
      </c>
      <c r="AG751" s="539" t="str">
        <f t="shared" si="269"/>
        <v/>
      </c>
      <c r="AH751" s="32">
        <f t="shared" si="271"/>
        <v>0</v>
      </c>
      <c r="AI751" s="32">
        <f t="shared" si="272"/>
        <v>0</v>
      </c>
      <c r="AJ751" s="32">
        <f t="shared" si="273"/>
        <v>0</v>
      </c>
      <c r="AK751" t="str">
        <f t="shared" si="274"/>
        <v/>
      </c>
      <c r="AL751" t="str">
        <f t="shared" si="275"/>
        <v/>
      </c>
      <c r="AM751" t="str">
        <f t="shared" si="276"/>
        <v/>
      </c>
      <c r="AO751" t="str">
        <f>IFERROR(VLOOKUP(M751,'Fixture Identities'!$B$9:$O$1045,14,FALSE),"")</f>
        <v/>
      </c>
      <c r="AP751" t="str">
        <f t="shared" si="270"/>
        <v/>
      </c>
    </row>
    <row r="752" spans="1:42">
      <c r="A752" s="71">
        <f t="shared" si="278"/>
        <v>0</v>
      </c>
      <c r="B752" s="513">
        <f t="shared" si="277"/>
        <v>740</v>
      </c>
      <c r="C752" s="530" t="str">
        <f>IF(Inventory!E749="","",Inventory!E749)</f>
        <v/>
      </c>
      <c r="D752" s="531">
        <f>IF(Inventory!D749="",0,Inventory!D749)</f>
        <v>0</v>
      </c>
      <c r="E752" s="532" t="str">
        <f>IF(Inventory!I749=0,"",Inventory!I749)</f>
        <v/>
      </c>
      <c r="F752" s="533" t="str">
        <f t="shared" si="257"/>
        <v/>
      </c>
      <c r="G752" s="534" t="str">
        <f>IF(Inventory!G749="","",Inventory!G749)</f>
        <v/>
      </c>
      <c r="H752" s="535" t="str">
        <f t="shared" si="258"/>
        <v/>
      </c>
      <c r="I752" s="536" t="str">
        <f>IF(Inventory!J749="","",Inventory!J749)</f>
        <v/>
      </c>
      <c r="J752" s="537" t="str">
        <f>IFERROR(IF(PRJ_Type="New Construction",IF(Inventory!C749="N",INDEX(xyLPD_BuildingArea,MATCH(Building_Type,Lookups!$F$37:$F$75,0),4),INDEX(xyLPD_SpaceBySpace,MATCH(INDEX(xyNCEx,MATCH(I752,yNCExArea,0),2),ySpace_by_Space_Type,0),2)),VLOOKUP(E752,xyWattage_Table,11,FALSE)),"")</f>
        <v/>
      </c>
      <c r="K752" s="538" t="str">
        <f>IFERROR(IF(AND(NC_Type="Building Area Method",Inventory!C749="N"),IF(ISERROR(INDEX('Usage Groups (&gt;120 MWh only)'!$N$8:$N$12,MATCH(C752,'Usage Groups (&gt;120 MWh only)'!$B$8:$B$12,0),1))=TRUE,SqFt/COUNTIFS(Inventory!$C$10:$C$1009,"N",$Q$13:$Q$1012,"&gt;=0"),INDEX('Usage Groups (&gt;120 MWh only)'!$N$8:$N$12,MATCH(C752,'Usage Groups (&gt;120 MWh only)'!$B$8:$B$12,0),1)/COUNTIF($C$13:$C$1012,C752)),IF(AND(NC_Type="Building Area Method",Inventory!C749="Y"),INDEX(xyNCEx,MATCH(I752,yNCExArea,0),3)/COUNTIF($I$13:$I$1012,I752),VLOOKUP(J752,xyWattage_Table,10,FALSE))),"")</f>
        <v/>
      </c>
      <c r="L752" s="539" t="str">
        <f t="shared" si="259"/>
        <v/>
      </c>
      <c r="M752" s="540">
        <f>IF(Inventory!N749="","",Inventory!N749)</f>
        <v>0</v>
      </c>
      <c r="N752" s="533" t="str">
        <f t="shared" si="260"/>
        <v/>
      </c>
      <c r="O752" s="534"/>
      <c r="P752" s="533" t="str">
        <f t="shared" si="261"/>
        <v/>
      </c>
      <c r="Q752" s="534" t="str">
        <f>IF(Inventory!L749="","",Inventory!L749)</f>
        <v/>
      </c>
      <c r="R752" s="535" t="str">
        <f t="shared" si="262"/>
        <v/>
      </c>
      <c r="S752" s="536" t="str">
        <f>IF(Inventory!O749="","",Inventory!O749)</f>
        <v/>
      </c>
      <c r="T752" s="541" t="str">
        <f>IFERROR(IF(C752="","",IF(INDEX(xyWattage_Table,MATCH(M752,'Fixture Identities'!$B$9:$B$997,0),2)="Exit Sign",8760,IF(VLOOKUP(C752,xySpace_Type_Details,8,FALSE)="TRM",INDEX('General Information'!$AF$17:$AG$28,11,MATCH(N752,'General Information'!$AF$16:$AG$16,0)),HLOOKUP(VLOOKUP(C752,xySpace_Type_Details,8,FALSE),'General Information'!$P$15:$AG$28,13,FALSE)))),"")</f>
        <v/>
      </c>
      <c r="U752" s="542" t="str">
        <f>IFERROR(IF(C752="","",IF(INDEX(xyWattage_Table,MATCH(M752,'Fixture Identities'!$B$9:$B$997,0),2)="Exit Sign",1,IF(VLOOKUP(C752,xySpace_Type_Details,8,FALSE)="TRM",INDEX('General Information'!$AF$17:$AG$28,12,MATCH(N752,'General Information'!$AF$16:$AG$16,0)),HLOOKUP(VLOOKUP(C752,xySpace_Type_Details,8,FALSE),'General Information'!$P$15:$AG$28,14,FALSE)))),"")</f>
        <v/>
      </c>
      <c r="V752" s="542" t="str">
        <f>IFERROR(VLOOKUP(INDEX(xySpace_Type_Details,MATCH($C752,'General Information'!$C$40:$C$60,0),12),Lookups!$L$8:$N$12,2,FALSE),"")</f>
        <v/>
      </c>
      <c r="W752" s="542" t="str">
        <f>IFERROR(VLOOKUP(INDEX(xySpace_Type_Details,MATCH($C752,'General Information'!$C$40:$C$60,0),12),Lookups!$L$8:$N$12,3,FALSE),"")</f>
        <v/>
      </c>
      <c r="Y752" s="542" t="str">
        <f>IFERROR(IF(C752="","",IF(INDEX(xyWattage_Table,MATCH(M752,'Fixture Identities'!$B$9:$B$997,0),2)="Exit Sign",0,IF(PRJ_Type="Retrofit",VLOOKUP(I752,xySVG_Factors,2,FALSE),IF(AND(PRJ_Type="New Construction",Inventory!C749="N"),VLOOKUP(VLOOKUP(Building_Type,xyLPD_BuildingArea,5,FALSE),xySVG_Factors_NC,3,FALSE),0)))),"")</f>
        <v/>
      </c>
      <c r="Z752" s="544" t="str">
        <f>IFERROR(IF(C752="","",IF(INDEX(xyWattage_Table,MATCH(M752,'Fixture Identities'!$B$9:$B$997,0),2)="Exit Sign",0,VLOOKUP(S752,xySVG_Factors,2,FALSE))),"")</f>
        <v/>
      </c>
      <c r="AA752" s="545" t="str">
        <f t="shared" si="263"/>
        <v/>
      </c>
      <c r="AB752" s="542" t="str">
        <f t="shared" si="264"/>
        <v/>
      </c>
      <c r="AC752" s="539" t="str">
        <f t="shared" si="265"/>
        <v/>
      </c>
      <c r="AD752" s="546" t="str">
        <f t="shared" si="266"/>
        <v/>
      </c>
      <c r="AE752" s="539" t="str">
        <f t="shared" si="267"/>
        <v/>
      </c>
      <c r="AF752" s="546" t="str">
        <f t="shared" si="268"/>
        <v/>
      </c>
      <c r="AG752" s="539" t="str">
        <f t="shared" si="269"/>
        <v/>
      </c>
      <c r="AH752" s="32">
        <f t="shared" si="271"/>
        <v>0</v>
      </c>
      <c r="AI752" s="32">
        <f t="shared" si="272"/>
        <v>0</v>
      </c>
      <c r="AJ752" s="32">
        <f t="shared" si="273"/>
        <v>0</v>
      </c>
      <c r="AK752" t="str">
        <f t="shared" si="274"/>
        <v/>
      </c>
      <c r="AL752" t="str">
        <f t="shared" si="275"/>
        <v/>
      </c>
      <c r="AM752" t="str">
        <f t="shared" si="276"/>
        <v/>
      </c>
      <c r="AO752" t="str">
        <f>IFERROR(VLOOKUP(M752,'Fixture Identities'!$B$9:$O$1045,14,FALSE),"")</f>
        <v/>
      </c>
      <c r="AP752" t="str">
        <f t="shared" si="270"/>
        <v/>
      </c>
    </row>
    <row r="753" spans="1:42">
      <c r="A753" s="71">
        <f t="shared" si="278"/>
        <v>0</v>
      </c>
      <c r="B753" s="513">
        <f t="shared" si="277"/>
        <v>741</v>
      </c>
      <c r="C753" s="530" t="str">
        <f>IF(Inventory!E750="","",Inventory!E750)</f>
        <v/>
      </c>
      <c r="D753" s="531">
        <f>IF(Inventory!D750="",0,Inventory!D750)</f>
        <v>0</v>
      </c>
      <c r="E753" s="532" t="str">
        <f>IF(Inventory!I750=0,"",Inventory!I750)</f>
        <v/>
      </c>
      <c r="F753" s="533" t="str">
        <f t="shared" si="257"/>
        <v/>
      </c>
      <c r="G753" s="534" t="str">
        <f>IF(Inventory!G750="","",Inventory!G750)</f>
        <v/>
      </c>
      <c r="H753" s="535" t="str">
        <f t="shared" si="258"/>
        <v/>
      </c>
      <c r="I753" s="536" t="str">
        <f>IF(Inventory!J750="","",Inventory!J750)</f>
        <v/>
      </c>
      <c r="J753" s="537" t="str">
        <f>IFERROR(IF(PRJ_Type="New Construction",IF(Inventory!C750="N",INDEX(xyLPD_BuildingArea,MATCH(Building_Type,Lookups!$F$37:$F$75,0),4),INDEX(xyLPD_SpaceBySpace,MATCH(INDEX(xyNCEx,MATCH(I753,yNCExArea,0),2),ySpace_by_Space_Type,0),2)),VLOOKUP(E753,xyWattage_Table,11,FALSE)),"")</f>
        <v/>
      </c>
      <c r="K753" s="538" t="str">
        <f>IFERROR(IF(AND(NC_Type="Building Area Method",Inventory!C750="N"),IF(ISERROR(INDEX('Usage Groups (&gt;120 MWh only)'!$N$8:$N$12,MATCH(C753,'Usage Groups (&gt;120 MWh only)'!$B$8:$B$12,0),1))=TRUE,SqFt/COUNTIFS(Inventory!$C$10:$C$1009,"N",$Q$13:$Q$1012,"&gt;=0"),INDEX('Usage Groups (&gt;120 MWh only)'!$N$8:$N$12,MATCH(C753,'Usage Groups (&gt;120 MWh only)'!$B$8:$B$12,0),1)/COUNTIF($C$13:$C$1012,C753)),IF(AND(NC_Type="Building Area Method",Inventory!C750="Y"),INDEX(xyNCEx,MATCH(I753,yNCExArea,0),3)/COUNTIF($I$13:$I$1012,I753),VLOOKUP(J753,xyWattage_Table,10,FALSE))),"")</f>
        <v/>
      </c>
      <c r="L753" s="539" t="str">
        <f t="shared" si="259"/>
        <v/>
      </c>
      <c r="M753" s="540">
        <f>IF(Inventory!N750="","",Inventory!N750)</f>
        <v>0</v>
      </c>
      <c r="N753" s="533" t="str">
        <f t="shared" si="260"/>
        <v/>
      </c>
      <c r="O753" s="534"/>
      <c r="P753" s="533" t="str">
        <f t="shared" si="261"/>
        <v/>
      </c>
      <c r="Q753" s="534" t="str">
        <f>IF(Inventory!L750="","",Inventory!L750)</f>
        <v/>
      </c>
      <c r="R753" s="535" t="str">
        <f t="shared" si="262"/>
        <v/>
      </c>
      <c r="S753" s="536" t="str">
        <f>IF(Inventory!O750="","",Inventory!O750)</f>
        <v/>
      </c>
      <c r="T753" s="541" t="str">
        <f>IFERROR(IF(C753="","",IF(INDEX(xyWattage_Table,MATCH(M753,'Fixture Identities'!$B$9:$B$997,0),2)="Exit Sign",8760,IF(VLOOKUP(C753,xySpace_Type_Details,8,FALSE)="TRM",INDEX('General Information'!$AF$17:$AG$28,11,MATCH(N753,'General Information'!$AF$16:$AG$16,0)),HLOOKUP(VLOOKUP(C753,xySpace_Type_Details,8,FALSE),'General Information'!$P$15:$AG$28,13,FALSE)))),"")</f>
        <v/>
      </c>
      <c r="U753" s="542" t="str">
        <f>IFERROR(IF(C753="","",IF(INDEX(xyWattage_Table,MATCH(M753,'Fixture Identities'!$B$9:$B$997,0),2)="Exit Sign",1,IF(VLOOKUP(C753,xySpace_Type_Details,8,FALSE)="TRM",INDEX('General Information'!$AF$17:$AG$28,12,MATCH(N753,'General Information'!$AF$16:$AG$16,0)),HLOOKUP(VLOOKUP(C753,xySpace_Type_Details,8,FALSE),'General Information'!$P$15:$AG$28,14,FALSE)))),"")</f>
        <v/>
      </c>
      <c r="V753" s="542" t="str">
        <f>IFERROR(VLOOKUP(INDEX(xySpace_Type_Details,MATCH($C753,'General Information'!$C$40:$C$60,0),12),Lookups!$L$8:$N$12,2,FALSE),"")</f>
        <v/>
      </c>
      <c r="W753" s="542" t="str">
        <f>IFERROR(VLOOKUP(INDEX(xySpace_Type_Details,MATCH($C753,'General Information'!$C$40:$C$60,0),12),Lookups!$L$8:$N$12,3,FALSE),"")</f>
        <v/>
      </c>
      <c r="Y753" s="542" t="str">
        <f>IFERROR(IF(C753="","",IF(INDEX(xyWattage_Table,MATCH(M753,'Fixture Identities'!$B$9:$B$997,0),2)="Exit Sign",0,IF(PRJ_Type="Retrofit",VLOOKUP(I753,xySVG_Factors,2,FALSE),IF(AND(PRJ_Type="New Construction",Inventory!C750="N"),VLOOKUP(VLOOKUP(Building_Type,xyLPD_BuildingArea,5,FALSE),xySVG_Factors_NC,3,FALSE),0)))),"")</f>
        <v/>
      </c>
      <c r="Z753" s="544" t="str">
        <f>IFERROR(IF(C753="","",IF(INDEX(xyWattage_Table,MATCH(M753,'Fixture Identities'!$B$9:$B$997,0),2)="Exit Sign",0,VLOOKUP(S753,xySVG_Factors,2,FALSE))),"")</f>
        <v/>
      </c>
      <c r="AA753" s="545" t="str">
        <f t="shared" si="263"/>
        <v/>
      </c>
      <c r="AB753" s="542" t="str">
        <f t="shared" si="264"/>
        <v/>
      </c>
      <c r="AC753" s="539" t="str">
        <f t="shared" si="265"/>
        <v/>
      </c>
      <c r="AD753" s="546" t="str">
        <f t="shared" si="266"/>
        <v/>
      </c>
      <c r="AE753" s="539" t="str">
        <f t="shared" si="267"/>
        <v/>
      </c>
      <c r="AF753" s="546" t="str">
        <f t="shared" si="268"/>
        <v/>
      </c>
      <c r="AG753" s="539" t="str">
        <f t="shared" si="269"/>
        <v/>
      </c>
      <c r="AH753" s="32">
        <f t="shared" si="271"/>
        <v>0</v>
      </c>
      <c r="AI753" s="32">
        <f t="shared" si="272"/>
        <v>0</v>
      </c>
      <c r="AJ753" s="32">
        <f t="shared" si="273"/>
        <v>0</v>
      </c>
      <c r="AK753" t="str">
        <f t="shared" si="274"/>
        <v/>
      </c>
      <c r="AL753" t="str">
        <f t="shared" si="275"/>
        <v/>
      </c>
      <c r="AM753" t="str">
        <f t="shared" si="276"/>
        <v/>
      </c>
      <c r="AO753" t="str">
        <f>IFERROR(VLOOKUP(M753,'Fixture Identities'!$B$9:$O$1045,14,FALSE),"")</f>
        <v/>
      </c>
      <c r="AP753" t="str">
        <f t="shared" si="270"/>
        <v/>
      </c>
    </row>
    <row r="754" spans="1:42">
      <c r="A754" s="71">
        <f t="shared" si="278"/>
        <v>0</v>
      </c>
      <c r="B754" s="513">
        <f t="shared" si="277"/>
        <v>742</v>
      </c>
      <c r="C754" s="530" t="str">
        <f>IF(Inventory!E751="","",Inventory!E751)</f>
        <v/>
      </c>
      <c r="D754" s="531">
        <f>IF(Inventory!D751="",0,Inventory!D751)</f>
        <v>0</v>
      </c>
      <c r="E754" s="532" t="str">
        <f>IF(Inventory!I751=0,"",Inventory!I751)</f>
        <v/>
      </c>
      <c r="F754" s="533" t="str">
        <f t="shared" si="257"/>
        <v/>
      </c>
      <c r="G754" s="534" t="str">
        <f>IF(Inventory!G751="","",Inventory!G751)</f>
        <v/>
      </c>
      <c r="H754" s="535" t="str">
        <f t="shared" si="258"/>
        <v/>
      </c>
      <c r="I754" s="536" t="str">
        <f>IF(Inventory!J751="","",Inventory!J751)</f>
        <v/>
      </c>
      <c r="J754" s="537" t="str">
        <f>IFERROR(IF(PRJ_Type="New Construction",IF(Inventory!C751="N",INDEX(xyLPD_BuildingArea,MATCH(Building_Type,Lookups!$F$37:$F$75,0),4),INDEX(xyLPD_SpaceBySpace,MATCH(INDEX(xyNCEx,MATCH(I754,yNCExArea,0),2),ySpace_by_Space_Type,0),2)),VLOOKUP(E754,xyWattage_Table,11,FALSE)),"")</f>
        <v/>
      </c>
      <c r="K754" s="538" t="str">
        <f>IFERROR(IF(AND(NC_Type="Building Area Method",Inventory!C751="N"),IF(ISERROR(INDEX('Usage Groups (&gt;120 MWh only)'!$N$8:$N$12,MATCH(C754,'Usage Groups (&gt;120 MWh only)'!$B$8:$B$12,0),1))=TRUE,SqFt/COUNTIFS(Inventory!$C$10:$C$1009,"N",$Q$13:$Q$1012,"&gt;=0"),INDEX('Usage Groups (&gt;120 MWh only)'!$N$8:$N$12,MATCH(C754,'Usage Groups (&gt;120 MWh only)'!$B$8:$B$12,0),1)/COUNTIF($C$13:$C$1012,C754)),IF(AND(NC_Type="Building Area Method",Inventory!C751="Y"),INDEX(xyNCEx,MATCH(I754,yNCExArea,0),3)/COUNTIF($I$13:$I$1012,I754),VLOOKUP(J754,xyWattage_Table,10,FALSE))),"")</f>
        <v/>
      </c>
      <c r="L754" s="539" t="str">
        <f t="shared" si="259"/>
        <v/>
      </c>
      <c r="M754" s="540">
        <f>IF(Inventory!N751="","",Inventory!N751)</f>
        <v>0</v>
      </c>
      <c r="N754" s="533" t="str">
        <f t="shared" si="260"/>
        <v/>
      </c>
      <c r="O754" s="534"/>
      <c r="P754" s="533" t="str">
        <f t="shared" si="261"/>
        <v/>
      </c>
      <c r="Q754" s="534" t="str">
        <f>IF(Inventory!L751="","",Inventory!L751)</f>
        <v/>
      </c>
      <c r="R754" s="535" t="str">
        <f t="shared" si="262"/>
        <v/>
      </c>
      <c r="S754" s="536" t="str">
        <f>IF(Inventory!O751="","",Inventory!O751)</f>
        <v/>
      </c>
      <c r="T754" s="541" t="str">
        <f>IFERROR(IF(C754="","",IF(INDEX(xyWattage_Table,MATCH(M754,'Fixture Identities'!$B$9:$B$997,0),2)="Exit Sign",8760,IF(VLOOKUP(C754,xySpace_Type_Details,8,FALSE)="TRM",INDEX('General Information'!$AF$17:$AG$28,11,MATCH(N754,'General Information'!$AF$16:$AG$16,0)),HLOOKUP(VLOOKUP(C754,xySpace_Type_Details,8,FALSE),'General Information'!$P$15:$AG$28,13,FALSE)))),"")</f>
        <v/>
      </c>
      <c r="U754" s="542" t="str">
        <f>IFERROR(IF(C754="","",IF(INDEX(xyWattage_Table,MATCH(M754,'Fixture Identities'!$B$9:$B$997,0),2)="Exit Sign",1,IF(VLOOKUP(C754,xySpace_Type_Details,8,FALSE)="TRM",INDEX('General Information'!$AF$17:$AG$28,12,MATCH(N754,'General Information'!$AF$16:$AG$16,0)),HLOOKUP(VLOOKUP(C754,xySpace_Type_Details,8,FALSE),'General Information'!$P$15:$AG$28,14,FALSE)))),"")</f>
        <v/>
      </c>
      <c r="V754" s="542" t="str">
        <f>IFERROR(VLOOKUP(INDEX(xySpace_Type_Details,MATCH($C754,'General Information'!$C$40:$C$60,0),12),Lookups!$L$8:$N$12,2,FALSE),"")</f>
        <v/>
      </c>
      <c r="W754" s="542" t="str">
        <f>IFERROR(VLOOKUP(INDEX(xySpace_Type_Details,MATCH($C754,'General Information'!$C$40:$C$60,0),12),Lookups!$L$8:$N$12,3,FALSE),"")</f>
        <v/>
      </c>
      <c r="Y754" s="542" t="str">
        <f>IFERROR(IF(C754="","",IF(INDEX(xyWattage_Table,MATCH(M754,'Fixture Identities'!$B$9:$B$997,0),2)="Exit Sign",0,IF(PRJ_Type="Retrofit",VLOOKUP(I754,xySVG_Factors,2,FALSE),IF(AND(PRJ_Type="New Construction",Inventory!C751="N"),VLOOKUP(VLOOKUP(Building_Type,xyLPD_BuildingArea,5,FALSE),xySVG_Factors_NC,3,FALSE),0)))),"")</f>
        <v/>
      </c>
      <c r="Z754" s="544" t="str">
        <f>IFERROR(IF(C754="","",IF(INDEX(xyWattage_Table,MATCH(M754,'Fixture Identities'!$B$9:$B$997,0),2)="Exit Sign",0,VLOOKUP(S754,xySVG_Factors,2,FALSE))),"")</f>
        <v/>
      </c>
      <c r="AA754" s="545" t="str">
        <f t="shared" si="263"/>
        <v/>
      </c>
      <c r="AB754" s="542" t="str">
        <f t="shared" si="264"/>
        <v/>
      </c>
      <c r="AC754" s="539" t="str">
        <f t="shared" si="265"/>
        <v/>
      </c>
      <c r="AD754" s="546" t="str">
        <f t="shared" si="266"/>
        <v/>
      </c>
      <c r="AE754" s="539" t="str">
        <f t="shared" si="267"/>
        <v/>
      </c>
      <c r="AF754" s="546" t="str">
        <f t="shared" si="268"/>
        <v/>
      </c>
      <c r="AG754" s="539" t="str">
        <f t="shared" si="269"/>
        <v/>
      </c>
      <c r="AH754" s="32">
        <f t="shared" si="271"/>
        <v>0</v>
      </c>
      <c r="AI754" s="32">
        <f t="shared" si="272"/>
        <v>0</v>
      </c>
      <c r="AJ754" s="32">
        <f t="shared" si="273"/>
        <v>0</v>
      </c>
      <c r="AK754" t="str">
        <f t="shared" si="274"/>
        <v/>
      </c>
      <c r="AL754" t="str">
        <f t="shared" si="275"/>
        <v/>
      </c>
      <c r="AM754" t="str">
        <f t="shared" si="276"/>
        <v/>
      </c>
      <c r="AO754" t="str">
        <f>IFERROR(VLOOKUP(M754,'Fixture Identities'!$B$9:$O$1045,14,FALSE),"")</f>
        <v/>
      </c>
      <c r="AP754" t="str">
        <f t="shared" si="270"/>
        <v/>
      </c>
    </row>
    <row r="755" spans="1:42">
      <c r="A755" s="71">
        <f t="shared" si="278"/>
        <v>0</v>
      </c>
      <c r="B755" s="513">
        <f t="shared" si="277"/>
        <v>743</v>
      </c>
      <c r="C755" s="530" t="str">
        <f>IF(Inventory!E752="","",Inventory!E752)</f>
        <v/>
      </c>
      <c r="D755" s="531">
        <f>IF(Inventory!D752="",0,Inventory!D752)</f>
        <v>0</v>
      </c>
      <c r="E755" s="532" t="str">
        <f>IF(Inventory!I752=0,"",Inventory!I752)</f>
        <v/>
      </c>
      <c r="F755" s="533" t="str">
        <f t="shared" si="257"/>
        <v/>
      </c>
      <c r="G755" s="534" t="str">
        <f>IF(Inventory!G752="","",Inventory!G752)</f>
        <v/>
      </c>
      <c r="H755" s="535" t="str">
        <f t="shared" si="258"/>
        <v/>
      </c>
      <c r="I755" s="536" t="str">
        <f>IF(Inventory!J752="","",Inventory!J752)</f>
        <v/>
      </c>
      <c r="J755" s="537" t="str">
        <f>IFERROR(IF(PRJ_Type="New Construction",IF(Inventory!C752="N",INDEX(xyLPD_BuildingArea,MATCH(Building_Type,Lookups!$F$37:$F$75,0),4),INDEX(xyLPD_SpaceBySpace,MATCH(INDEX(xyNCEx,MATCH(I755,yNCExArea,0),2),ySpace_by_Space_Type,0),2)),VLOOKUP(E755,xyWattage_Table,11,FALSE)),"")</f>
        <v/>
      </c>
      <c r="K755" s="538" t="str">
        <f>IFERROR(IF(AND(NC_Type="Building Area Method",Inventory!C752="N"),IF(ISERROR(INDEX('Usage Groups (&gt;120 MWh only)'!$N$8:$N$12,MATCH(C755,'Usage Groups (&gt;120 MWh only)'!$B$8:$B$12,0),1))=TRUE,SqFt/COUNTIFS(Inventory!$C$10:$C$1009,"N",$Q$13:$Q$1012,"&gt;=0"),INDEX('Usage Groups (&gt;120 MWh only)'!$N$8:$N$12,MATCH(C755,'Usage Groups (&gt;120 MWh only)'!$B$8:$B$12,0),1)/COUNTIF($C$13:$C$1012,C755)),IF(AND(NC_Type="Building Area Method",Inventory!C752="Y"),INDEX(xyNCEx,MATCH(I755,yNCExArea,0),3)/COUNTIF($I$13:$I$1012,I755),VLOOKUP(J755,xyWattage_Table,10,FALSE))),"")</f>
        <v/>
      </c>
      <c r="L755" s="539" t="str">
        <f t="shared" si="259"/>
        <v/>
      </c>
      <c r="M755" s="540">
        <f>IF(Inventory!N752="","",Inventory!N752)</f>
        <v>0</v>
      </c>
      <c r="N755" s="533" t="str">
        <f t="shared" si="260"/>
        <v/>
      </c>
      <c r="O755" s="534"/>
      <c r="P755" s="533" t="str">
        <f t="shared" si="261"/>
        <v/>
      </c>
      <c r="Q755" s="534" t="str">
        <f>IF(Inventory!L752="","",Inventory!L752)</f>
        <v/>
      </c>
      <c r="R755" s="535" t="str">
        <f t="shared" si="262"/>
        <v/>
      </c>
      <c r="S755" s="536" t="str">
        <f>IF(Inventory!O752="","",Inventory!O752)</f>
        <v/>
      </c>
      <c r="T755" s="541" t="str">
        <f>IFERROR(IF(C755="","",IF(INDEX(xyWattage_Table,MATCH(M755,'Fixture Identities'!$B$9:$B$997,0),2)="Exit Sign",8760,IF(VLOOKUP(C755,xySpace_Type_Details,8,FALSE)="TRM",INDEX('General Information'!$AF$17:$AG$28,11,MATCH(N755,'General Information'!$AF$16:$AG$16,0)),HLOOKUP(VLOOKUP(C755,xySpace_Type_Details,8,FALSE),'General Information'!$P$15:$AG$28,13,FALSE)))),"")</f>
        <v/>
      </c>
      <c r="U755" s="542" t="str">
        <f>IFERROR(IF(C755="","",IF(INDEX(xyWattage_Table,MATCH(M755,'Fixture Identities'!$B$9:$B$997,0),2)="Exit Sign",1,IF(VLOOKUP(C755,xySpace_Type_Details,8,FALSE)="TRM",INDEX('General Information'!$AF$17:$AG$28,12,MATCH(N755,'General Information'!$AF$16:$AG$16,0)),HLOOKUP(VLOOKUP(C755,xySpace_Type_Details,8,FALSE),'General Information'!$P$15:$AG$28,14,FALSE)))),"")</f>
        <v/>
      </c>
      <c r="V755" s="542" t="str">
        <f>IFERROR(VLOOKUP(INDEX(xySpace_Type_Details,MATCH($C755,'General Information'!$C$40:$C$60,0),12),Lookups!$L$8:$N$12,2,FALSE),"")</f>
        <v/>
      </c>
      <c r="W755" s="542" t="str">
        <f>IFERROR(VLOOKUP(INDEX(xySpace_Type_Details,MATCH($C755,'General Information'!$C$40:$C$60,0),12),Lookups!$L$8:$N$12,3,FALSE),"")</f>
        <v/>
      </c>
      <c r="Y755" s="542" t="str">
        <f>IFERROR(IF(C755="","",IF(INDEX(xyWattage_Table,MATCH(M755,'Fixture Identities'!$B$9:$B$997,0),2)="Exit Sign",0,IF(PRJ_Type="Retrofit",VLOOKUP(I755,xySVG_Factors,2,FALSE),IF(AND(PRJ_Type="New Construction",Inventory!C752="N"),VLOOKUP(VLOOKUP(Building_Type,xyLPD_BuildingArea,5,FALSE),xySVG_Factors_NC,3,FALSE),0)))),"")</f>
        <v/>
      </c>
      <c r="Z755" s="544" t="str">
        <f>IFERROR(IF(C755="","",IF(INDEX(xyWattage_Table,MATCH(M755,'Fixture Identities'!$B$9:$B$997,0),2)="Exit Sign",0,VLOOKUP(S755,xySVG_Factors,2,FALSE))),"")</f>
        <v/>
      </c>
      <c r="AA755" s="545" t="str">
        <f t="shared" si="263"/>
        <v/>
      </c>
      <c r="AB755" s="542" t="str">
        <f t="shared" si="264"/>
        <v/>
      </c>
      <c r="AC755" s="539" t="str">
        <f t="shared" si="265"/>
        <v/>
      </c>
      <c r="AD755" s="546" t="str">
        <f t="shared" si="266"/>
        <v/>
      </c>
      <c r="AE755" s="539" t="str">
        <f t="shared" si="267"/>
        <v/>
      </c>
      <c r="AF755" s="546" t="str">
        <f t="shared" si="268"/>
        <v/>
      </c>
      <c r="AG755" s="539" t="str">
        <f t="shared" si="269"/>
        <v/>
      </c>
      <c r="AH755" s="32">
        <f t="shared" si="271"/>
        <v>0</v>
      </c>
      <c r="AI755" s="32">
        <f t="shared" si="272"/>
        <v>0</v>
      </c>
      <c r="AJ755" s="32">
        <f t="shared" si="273"/>
        <v>0</v>
      </c>
      <c r="AK755" t="str">
        <f t="shared" si="274"/>
        <v/>
      </c>
      <c r="AL755" t="str">
        <f t="shared" si="275"/>
        <v/>
      </c>
      <c r="AM755" t="str">
        <f t="shared" si="276"/>
        <v/>
      </c>
      <c r="AO755" t="str">
        <f>IFERROR(VLOOKUP(M755,'Fixture Identities'!$B$9:$O$1045,14,FALSE),"")</f>
        <v/>
      </c>
      <c r="AP755" t="str">
        <f t="shared" si="270"/>
        <v/>
      </c>
    </row>
    <row r="756" spans="1:42">
      <c r="A756" s="71">
        <f t="shared" si="278"/>
        <v>0</v>
      </c>
      <c r="B756" s="513">
        <f t="shared" si="277"/>
        <v>744</v>
      </c>
      <c r="C756" s="530" t="str">
        <f>IF(Inventory!E753="","",Inventory!E753)</f>
        <v/>
      </c>
      <c r="D756" s="531">
        <f>IF(Inventory!D753="",0,Inventory!D753)</f>
        <v>0</v>
      </c>
      <c r="E756" s="532" t="str">
        <f>IF(Inventory!I753=0,"",Inventory!I753)</f>
        <v/>
      </c>
      <c r="F756" s="533" t="str">
        <f t="shared" si="257"/>
        <v/>
      </c>
      <c r="G756" s="534" t="str">
        <f>IF(Inventory!G753="","",Inventory!G753)</f>
        <v/>
      </c>
      <c r="H756" s="535" t="str">
        <f t="shared" si="258"/>
        <v/>
      </c>
      <c r="I756" s="536" t="str">
        <f>IF(Inventory!J753="","",Inventory!J753)</f>
        <v/>
      </c>
      <c r="J756" s="537" t="str">
        <f>IFERROR(IF(PRJ_Type="New Construction",IF(Inventory!C753="N",INDEX(xyLPD_BuildingArea,MATCH(Building_Type,Lookups!$F$37:$F$75,0),4),INDEX(xyLPD_SpaceBySpace,MATCH(INDEX(xyNCEx,MATCH(I756,yNCExArea,0),2),ySpace_by_Space_Type,0),2)),VLOOKUP(E756,xyWattage_Table,11,FALSE)),"")</f>
        <v/>
      </c>
      <c r="K756" s="538" t="str">
        <f>IFERROR(IF(AND(NC_Type="Building Area Method",Inventory!C753="N"),IF(ISERROR(INDEX('Usage Groups (&gt;120 MWh only)'!$N$8:$N$12,MATCH(C756,'Usage Groups (&gt;120 MWh only)'!$B$8:$B$12,0),1))=TRUE,SqFt/COUNTIFS(Inventory!$C$10:$C$1009,"N",$Q$13:$Q$1012,"&gt;=0"),INDEX('Usage Groups (&gt;120 MWh only)'!$N$8:$N$12,MATCH(C756,'Usage Groups (&gt;120 MWh only)'!$B$8:$B$12,0),1)/COUNTIF($C$13:$C$1012,C756)),IF(AND(NC_Type="Building Area Method",Inventory!C753="Y"),INDEX(xyNCEx,MATCH(I756,yNCExArea,0),3)/COUNTIF($I$13:$I$1012,I756),VLOOKUP(J756,xyWattage_Table,10,FALSE))),"")</f>
        <v/>
      </c>
      <c r="L756" s="539" t="str">
        <f t="shared" si="259"/>
        <v/>
      </c>
      <c r="M756" s="540">
        <f>IF(Inventory!N753="","",Inventory!N753)</f>
        <v>0</v>
      </c>
      <c r="N756" s="533" t="str">
        <f t="shared" si="260"/>
        <v/>
      </c>
      <c r="O756" s="534"/>
      <c r="P756" s="533" t="str">
        <f t="shared" si="261"/>
        <v/>
      </c>
      <c r="Q756" s="534" t="str">
        <f>IF(Inventory!L753="","",Inventory!L753)</f>
        <v/>
      </c>
      <c r="R756" s="535" t="str">
        <f t="shared" si="262"/>
        <v/>
      </c>
      <c r="S756" s="536" t="str">
        <f>IF(Inventory!O753="","",Inventory!O753)</f>
        <v/>
      </c>
      <c r="T756" s="541" t="str">
        <f>IFERROR(IF(C756="","",IF(INDEX(xyWattage_Table,MATCH(M756,'Fixture Identities'!$B$9:$B$997,0),2)="Exit Sign",8760,IF(VLOOKUP(C756,xySpace_Type_Details,8,FALSE)="TRM",INDEX('General Information'!$AF$17:$AG$28,11,MATCH(N756,'General Information'!$AF$16:$AG$16,0)),HLOOKUP(VLOOKUP(C756,xySpace_Type_Details,8,FALSE),'General Information'!$P$15:$AG$28,13,FALSE)))),"")</f>
        <v/>
      </c>
      <c r="U756" s="542" t="str">
        <f>IFERROR(IF(C756="","",IF(INDEX(xyWattage_Table,MATCH(M756,'Fixture Identities'!$B$9:$B$997,0),2)="Exit Sign",1,IF(VLOOKUP(C756,xySpace_Type_Details,8,FALSE)="TRM",INDEX('General Information'!$AF$17:$AG$28,12,MATCH(N756,'General Information'!$AF$16:$AG$16,0)),HLOOKUP(VLOOKUP(C756,xySpace_Type_Details,8,FALSE),'General Information'!$P$15:$AG$28,14,FALSE)))),"")</f>
        <v/>
      </c>
      <c r="V756" s="542" t="str">
        <f>IFERROR(VLOOKUP(INDEX(xySpace_Type_Details,MATCH($C756,'General Information'!$C$40:$C$60,0),12),Lookups!$L$8:$N$12,2,FALSE),"")</f>
        <v/>
      </c>
      <c r="W756" s="542" t="str">
        <f>IFERROR(VLOOKUP(INDEX(xySpace_Type_Details,MATCH($C756,'General Information'!$C$40:$C$60,0),12),Lookups!$L$8:$N$12,3,FALSE),"")</f>
        <v/>
      </c>
      <c r="Y756" s="542" t="str">
        <f>IFERROR(IF(C756="","",IF(INDEX(xyWattage_Table,MATCH(M756,'Fixture Identities'!$B$9:$B$997,0),2)="Exit Sign",0,IF(PRJ_Type="Retrofit",VLOOKUP(I756,xySVG_Factors,2,FALSE),IF(AND(PRJ_Type="New Construction",Inventory!C753="N"),VLOOKUP(VLOOKUP(Building_Type,xyLPD_BuildingArea,5,FALSE),xySVG_Factors_NC,3,FALSE),0)))),"")</f>
        <v/>
      </c>
      <c r="Z756" s="544" t="str">
        <f>IFERROR(IF(C756="","",IF(INDEX(xyWattage_Table,MATCH(M756,'Fixture Identities'!$B$9:$B$997,0),2)="Exit Sign",0,VLOOKUP(S756,xySVG_Factors,2,FALSE))),"")</f>
        <v/>
      </c>
      <c r="AA756" s="545" t="str">
        <f t="shared" si="263"/>
        <v/>
      </c>
      <c r="AB756" s="542" t="str">
        <f t="shared" si="264"/>
        <v/>
      </c>
      <c r="AC756" s="539" t="str">
        <f t="shared" si="265"/>
        <v/>
      </c>
      <c r="AD756" s="546" t="str">
        <f t="shared" si="266"/>
        <v/>
      </c>
      <c r="AE756" s="539" t="str">
        <f t="shared" si="267"/>
        <v/>
      </c>
      <c r="AF756" s="546" t="str">
        <f t="shared" si="268"/>
        <v/>
      </c>
      <c r="AG756" s="539" t="str">
        <f t="shared" si="269"/>
        <v/>
      </c>
      <c r="AH756" s="32">
        <f t="shared" si="271"/>
        <v>0</v>
      </c>
      <c r="AI756" s="32">
        <f t="shared" si="272"/>
        <v>0</v>
      </c>
      <c r="AJ756" s="32">
        <f t="shared" si="273"/>
        <v>0</v>
      </c>
      <c r="AK756" t="str">
        <f t="shared" si="274"/>
        <v/>
      </c>
      <c r="AL756" t="str">
        <f t="shared" si="275"/>
        <v/>
      </c>
      <c r="AM756" t="str">
        <f t="shared" si="276"/>
        <v/>
      </c>
      <c r="AO756" t="str">
        <f>IFERROR(VLOOKUP(M756,'Fixture Identities'!$B$9:$O$1045,14,FALSE),"")</f>
        <v/>
      </c>
      <c r="AP756" t="str">
        <f t="shared" si="270"/>
        <v/>
      </c>
    </row>
    <row r="757" spans="1:42">
      <c r="A757" s="71">
        <f t="shared" si="278"/>
        <v>0</v>
      </c>
      <c r="B757" s="513">
        <f t="shared" si="277"/>
        <v>745</v>
      </c>
      <c r="C757" s="530" t="str">
        <f>IF(Inventory!E754="","",Inventory!E754)</f>
        <v/>
      </c>
      <c r="D757" s="531">
        <f>IF(Inventory!D754="",0,Inventory!D754)</f>
        <v>0</v>
      </c>
      <c r="E757" s="532" t="str">
        <f>IF(Inventory!I754=0,"",Inventory!I754)</f>
        <v/>
      </c>
      <c r="F757" s="533" t="str">
        <f t="shared" si="257"/>
        <v/>
      </c>
      <c r="G757" s="534" t="str">
        <f>IF(Inventory!G754="","",Inventory!G754)</f>
        <v/>
      </c>
      <c r="H757" s="535" t="str">
        <f t="shared" si="258"/>
        <v/>
      </c>
      <c r="I757" s="536" t="str">
        <f>IF(Inventory!J754="","",Inventory!J754)</f>
        <v/>
      </c>
      <c r="J757" s="537" t="str">
        <f>IFERROR(IF(PRJ_Type="New Construction",IF(Inventory!C754="N",INDEX(xyLPD_BuildingArea,MATCH(Building_Type,Lookups!$F$37:$F$75,0),4),INDEX(xyLPD_SpaceBySpace,MATCH(INDEX(xyNCEx,MATCH(I757,yNCExArea,0),2),ySpace_by_Space_Type,0),2)),VLOOKUP(E757,xyWattage_Table,11,FALSE)),"")</f>
        <v/>
      </c>
      <c r="K757" s="538" t="str">
        <f>IFERROR(IF(AND(NC_Type="Building Area Method",Inventory!C754="N"),IF(ISERROR(INDEX('Usage Groups (&gt;120 MWh only)'!$N$8:$N$12,MATCH(C757,'Usage Groups (&gt;120 MWh only)'!$B$8:$B$12,0),1))=TRUE,SqFt/COUNTIFS(Inventory!$C$10:$C$1009,"N",$Q$13:$Q$1012,"&gt;=0"),INDEX('Usage Groups (&gt;120 MWh only)'!$N$8:$N$12,MATCH(C757,'Usage Groups (&gt;120 MWh only)'!$B$8:$B$12,0),1)/COUNTIF($C$13:$C$1012,C757)),IF(AND(NC_Type="Building Area Method",Inventory!C754="Y"),INDEX(xyNCEx,MATCH(I757,yNCExArea,0),3)/COUNTIF($I$13:$I$1012,I757),VLOOKUP(J757,xyWattage_Table,10,FALSE))),"")</f>
        <v/>
      </c>
      <c r="L757" s="539" t="str">
        <f t="shared" si="259"/>
        <v/>
      </c>
      <c r="M757" s="540">
        <f>IF(Inventory!N754="","",Inventory!N754)</f>
        <v>0</v>
      </c>
      <c r="N757" s="533" t="str">
        <f t="shared" si="260"/>
        <v/>
      </c>
      <c r="O757" s="534"/>
      <c r="P757" s="533" t="str">
        <f t="shared" si="261"/>
        <v/>
      </c>
      <c r="Q757" s="534" t="str">
        <f>IF(Inventory!L754="","",Inventory!L754)</f>
        <v/>
      </c>
      <c r="R757" s="535" t="str">
        <f t="shared" si="262"/>
        <v/>
      </c>
      <c r="S757" s="536" t="str">
        <f>IF(Inventory!O754="","",Inventory!O754)</f>
        <v/>
      </c>
      <c r="T757" s="541" t="str">
        <f>IFERROR(IF(C757="","",IF(INDEX(xyWattage_Table,MATCH(M757,'Fixture Identities'!$B$9:$B$997,0),2)="Exit Sign",8760,IF(VLOOKUP(C757,xySpace_Type_Details,8,FALSE)="TRM",INDEX('General Information'!$AF$17:$AG$28,11,MATCH(N757,'General Information'!$AF$16:$AG$16,0)),HLOOKUP(VLOOKUP(C757,xySpace_Type_Details,8,FALSE),'General Information'!$P$15:$AG$28,13,FALSE)))),"")</f>
        <v/>
      </c>
      <c r="U757" s="542" t="str">
        <f>IFERROR(IF(C757="","",IF(INDEX(xyWattage_Table,MATCH(M757,'Fixture Identities'!$B$9:$B$997,0),2)="Exit Sign",1,IF(VLOOKUP(C757,xySpace_Type_Details,8,FALSE)="TRM",INDEX('General Information'!$AF$17:$AG$28,12,MATCH(N757,'General Information'!$AF$16:$AG$16,0)),HLOOKUP(VLOOKUP(C757,xySpace_Type_Details,8,FALSE),'General Information'!$P$15:$AG$28,14,FALSE)))),"")</f>
        <v/>
      </c>
      <c r="V757" s="542" t="str">
        <f>IFERROR(VLOOKUP(INDEX(xySpace_Type_Details,MATCH($C757,'General Information'!$C$40:$C$60,0),12),Lookups!$L$8:$N$12,2,FALSE),"")</f>
        <v/>
      </c>
      <c r="W757" s="542" t="str">
        <f>IFERROR(VLOOKUP(INDEX(xySpace_Type_Details,MATCH($C757,'General Information'!$C$40:$C$60,0),12),Lookups!$L$8:$N$12,3,FALSE),"")</f>
        <v/>
      </c>
      <c r="Y757" s="542" t="str">
        <f>IFERROR(IF(C757="","",IF(INDEX(xyWattage_Table,MATCH(M757,'Fixture Identities'!$B$9:$B$997,0),2)="Exit Sign",0,IF(PRJ_Type="Retrofit",VLOOKUP(I757,xySVG_Factors,2,FALSE),IF(AND(PRJ_Type="New Construction",Inventory!C754="N"),VLOOKUP(VLOOKUP(Building_Type,xyLPD_BuildingArea,5,FALSE),xySVG_Factors_NC,3,FALSE),0)))),"")</f>
        <v/>
      </c>
      <c r="Z757" s="544" t="str">
        <f>IFERROR(IF(C757="","",IF(INDEX(xyWattage_Table,MATCH(M757,'Fixture Identities'!$B$9:$B$997,0),2)="Exit Sign",0,VLOOKUP(S757,xySVG_Factors,2,FALSE))),"")</f>
        <v/>
      </c>
      <c r="AA757" s="545" t="str">
        <f t="shared" si="263"/>
        <v/>
      </c>
      <c r="AB757" s="542" t="str">
        <f t="shared" si="264"/>
        <v/>
      </c>
      <c r="AC757" s="539" t="str">
        <f t="shared" si="265"/>
        <v/>
      </c>
      <c r="AD757" s="546" t="str">
        <f t="shared" si="266"/>
        <v/>
      </c>
      <c r="AE757" s="539" t="str">
        <f t="shared" si="267"/>
        <v/>
      </c>
      <c r="AF757" s="546" t="str">
        <f t="shared" si="268"/>
        <v/>
      </c>
      <c r="AG757" s="539" t="str">
        <f t="shared" si="269"/>
        <v/>
      </c>
      <c r="AH757" s="32">
        <f t="shared" si="271"/>
        <v>0</v>
      </c>
      <c r="AI757" s="32">
        <f t="shared" si="272"/>
        <v>0</v>
      </c>
      <c r="AJ757" s="32">
        <f t="shared" si="273"/>
        <v>0</v>
      </c>
      <c r="AK757" t="str">
        <f t="shared" si="274"/>
        <v/>
      </c>
      <c r="AL757" t="str">
        <f t="shared" si="275"/>
        <v/>
      </c>
      <c r="AM757" t="str">
        <f t="shared" si="276"/>
        <v/>
      </c>
      <c r="AO757" t="str">
        <f>IFERROR(VLOOKUP(M757,'Fixture Identities'!$B$9:$O$1045,14,FALSE),"")</f>
        <v/>
      </c>
      <c r="AP757" t="str">
        <f t="shared" si="270"/>
        <v/>
      </c>
    </row>
    <row r="758" spans="1:42">
      <c r="A758" s="71">
        <f t="shared" si="278"/>
        <v>0</v>
      </c>
      <c r="B758" s="513">
        <f t="shared" si="277"/>
        <v>746</v>
      </c>
      <c r="C758" s="530" t="str">
        <f>IF(Inventory!E755="","",Inventory!E755)</f>
        <v/>
      </c>
      <c r="D758" s="531">
        <f>IF(Inventory!D755="",0,Inventory!D755)</f>
        <v>0</v>
      </c>
      <c r="E758" s="532" t="str">
        <f>IF(Inventory!I755=0,"",Inventory!I755)</f>
        <v/>
      </c>
      <c r="F758" s="533" t="str">
        <f t="shared" si="257"/>
        <v/>
      </c>
      <c r="G758" s="534" t="str">
        <f>IF(Inventory!G755="","",Inventory!G755)</f>
        <v/>
      </c>
      <c r="H758" s="535" t="str">
        <f t="shared" si="258"/>
        <v/>
      </c>
      <c r="I758" s="536" t="str">
        <f>IF(Inventory!J755="","",Inventory!J755)</f>
        <v/>
      </c>
      <c r="J758" s="537" t="str">
        <f>IFERROR(IF(PRJ_Type="New Construction",IF(Inventory!C755="N",INDEX(xyLPD_BuildingArea,MATCH(Building_Type,Lookups!$F$37:$F$75,0),4),INDEX(xyLPD_SpaceBySpace,MATCH(INDEX(xyNCEx,MATCH(I758,yNCExArea,0),2),ySpace_by_Space_Type,0),2)),VLOOKUP(E758,xyWattage_Table,11,FALSE)),"")</f>
        <v/>
      </c>
      <c r="K758" s="538" t="str">
        <f>IFERROR(IF(AND(NC_Type="Building Area Method",Inventory!C755="N"),IF(ISERROR(INDEX('Usage Groups (&gt;120 MWh only)'!$N$8:$N$12,MATCH(C758,'Usage Groups (&gt;120 MWh only)'!$B$8:$B$12,0),1))=TRUE,SqFt/COUNTIFS(Inventory!$C$10:$C$1009,"N",$Q$13:$Q$1012,"&gt;=0"),INDEX('Usage Groups (&gt;120 MWh only)'!$N$8:$N$12,MATCH(C758,'Usage Groups (&gt;120 MWh only)'!$B$8:$B$12,0),1)/COUNTIF($C$13:$C$1012,C758)),IF(AND(NC_Type="Building Area Method",Inventory!C755="Y"),INDEX(xyNCEx,MATCH(I758,yNCExArea,0),3)/COUNTIF($I$13:$I$1012,I758),VLOOKUP(J758,xyWattage_Table,10,FALSE))),"")</f>
        <v/>
      </c>
      <c r="L758" s="539" t="str">
        <f t="shared" si="259"/>
        <v/>
      </c>
      <c r="M758" s="540">
        <f>IF(Inventory!N755="","",Inventory!N755)</f>
        <v>0</v>
      </c>
      <c r="N758" s="533" t="str">
        <f t="shared" si="260"/>
        <v/>
      </c>
      <c r="O758" s="534"/>
      <c r="P758" s="533" t="str">
        <f t="shared" si="261"/>
        <v/>
      </c>
      <c r="Q758" s="534" t="str">
        <f>IF(Inventory!L755="","",Inventory!L755)</f>
        <v/>
      </c>
      <c r="R758" s="535" t="str">
        <f t="shared" si="262"/>
        <v/>
      </c>
      <c r="S758" s="536" t="str">
        <f>IF(Inventory!O755="","",Inventory!O755)</f>
        <v/>
      </c>
      <c r="T758" s="541" t="str">
        <f>IFERROR(IF(C758="","",IF(INDEX(xyWattage_Table,MATCH(M758,'Fixture Identities'!$B$9:$B$997,0),2)="Exit Sign",8760,IF(VLOOKUP(C758,xySpace_Type_Details,8,FALSE)="TRM",INDEX('General Information'!$AF$17:$AG$28,11,MATCH(N758,'General Information'!$AF$16:$AG$16,0)),HLOOKUP(VLOOKUP(C758,xySpace_Type_Details,8,FALSE),'General Information'!$P$15:$AG$28,13,FALSE)))),"")</f>
        <v/>
      </c>
      <c r="U758" s="542" t="str">
        <f>IFERROR(IF(C758="","",IF(INDEX(xyWattage_Table,MATCH(M758,'Fixture Identities'!$B$9:$B$997,0),2)="Exit Sign",1,IF(VLOOKUP(C758,xySpace_Type_Details,8,FALSE)="TRM",INDEX('General Information'!$AF$17:$AG$28,12,MATCH(N758,'General Information'!$AF$16:$AG$16,0)),HLOOKUP(VLOOKUP(C758,xySpace_Type_Details,8,FALSE),'General Information'!$P$15:$AG$28,14,FALSE)))),"")</f>
        <v/>
      </c>
      <c r="V758" s="542" t="str">
        <f>IFERROR(VLOOKUP(INDEX(xySpace_Type_Details,MATCH($C758,'General Information'!$C$40:$C$60,0),12),Lookups!$L$8:$N$12,2,FALSE),"")</f>
        <v/>
      </c>
      <c r="W758" s="542" t="str">
        <f>IFERROR(VLOOKUP(INDEX(xySpace_Type_Details,MATCH($C758,'General Information'!$C$40:$C$60,0),12),Lookups!$L$8:$N$12,3,FALSE),"")</f>
        <v/>
      </c>
      <c r="Y758" s="542" t="str">
        <f>IFERROR(IF(C758="","",IF(INDEX(xyWattage_Table,MATCH(M758,'Fixture Identities'!$B$9:$B$997,0),2)="Exit Sign",0,IF(PRJ_Type="Retrofit",VLOOKUP(I758,xySVG_Factors,2,FALSE),IF(AND(PRJ_Type="New Construction",Inventory!C755="N"),VLOOKUP(VLOOKUP(Building_Type,xyLPD_BuildingArea,5,FALSE),xySVG_Factors_NC,3,FALSE),0)))),"")</f>
        <v/>
      </c>
      <c r="Z758" s="544" t="str">
        <f>IFERROR(IF(C758="","",IF(INDEX(xyWattage_Table,MATCH(M758,'Fixture Identities'!$B$9:$B$997,0),2)="Exit Sign",0,VLOOKUP(S758,xySVG_Factors,2,FALSE))),"")</f>
        <v/>
      </c>
      <c r="AA758" s="545" t="str">
        <f t="shared" si="263"/>
        <v/>
      </c>
      <c r="AB758" s="542" t="str">
        <f t="shared" si="264"/>
        <v/>
      </c>
      <c r="AC758" s="539" t="str">
        <f t="shared" si="265"/>
        <v/>
      </c>
      <c r="AD758" s="546" t="str">
        <f t="shared" si="266"/>
        <v/>
      </c>
      <c r="AE758" s="539" t="str">
        <f t="shared" si="267"/>
        <v/>
      </c>
      <c r="AF758" s="546" t="str">
        <f t="shared" si="268"/>
        <v/>
      </c>
      <c r="AG758" s="539" t="str">
        <f t="shared" si="269"/>
        <v/>
      </c>
      <c r="AH758" s="32">
        <f t="shared" si="271"/>
        <v>0</v>
      </c>
      <c r="AI758" s="32">
        <f t="shared" si="272"/>
        <v>0</v>
      </c>
      <c r="AJ758" s="32">
        <f t="shared" si="273"/>
        <v>0</v>
      </c>
      <c r="AK758" t="str">
        <f t="shared" si="274"/>
        <v/>
      </c>
      <c r="AL758" t="str">
        <f t="shared" si="275"/>
        <v/>
      </c>
      <c r="AM758" t="str">
        <f t="shared" si="276"/>
        <v/>
      </c>
      <c r="AO758" t="str">
        <f>IFERROR(VLOOKUP(M758,'Fixture Identities'!$B$9:$O$1045,14,FALSE),"")</f>
        <v/>
      </c>
      <c r="AP758" t="str">
        <f t="shared" si="270"/>
        <v/>
      </c>
    </row>
    <row r="759" spans="1:42">
      <c r="A759" s="71">
        <f t="shared" si="278"/>
        <v>0</v>
      </c>
      <c r="B759" s="513">
        <f t="shared" si="277"/>
        <v>747</v>
      </c>
      <c r="C759" s="530" t="str">
        <f>IF(Inventory!E756="","",Inventory!E756)</f>
        <v/>
      </c>
      <c r="D759" s="531">
        <f>IF(Inventory!D756="",0,Inventory!D756)</f>
        <v>0</v>
      </c>
      <c r="E759" s="532" t="str">
        <f>IF(Inventory!I756=0,"",Inventory!I756)</f>
        <v/>
      </c>
      <c r="F759" s="533" t="str">
        <f t="shared" si="257"/>
        <v/>
      </c>
      <c r="G759" s="534" t="str">
        <f>IF(Inventory!G756="","",Inventory!G756)</f>
        <v/>
      </c>
      <c r="H759" s="535" t="str">
        <f t="shared" si="258"/>
        <v/>
      </c>
      <c r="I759" s="536" t="str">
        <f>IF(Inventory!J756="","",Inventory!J756)</f>
        <v/>
      </c>
      <c r="J759" s="537" t="str">
        <f>IFERROR(IF(PRJ_Type="New Construction",IF(Inventory!C756="N",INDEX(xyLPD_BuildingArea,MATCH(Building_Type,Lookups!$F$37:$F$75,0),4),INDEX(xyLPD_SpaceBySpace,MATCH(INDEX(xyNCEx,MATCH(I759,yNCExArea,0),2),ySpace_by_Space_Type,0),2)),VLOOKUP(E759,xyWattage_Table,11,FALSE)),"")</f>
        <v/>
      </c>
      <c r="K759" s="538" t="str">
        <f>IFERROR(IF(AND(NC_Type="Building Area Method",Inventory!C756="N"),IF(ISERROR(INDEX('Usage Groups (&gt;120 MWh only)'!$N$8:$N$12,MATCH(C759,'Usage Groups (&gt;120 MWh only)'!$B$8:$B$12,0),1))=TRUE,SqFt/COUNTIFS(Inventory!$C$10:$C$1009,"N",$Q$13:$Q$1012,"&gt;=0"),INDEX('Usage Groups (&gt;120 MWh only)'!$N$8:$N$12,MATCH(C759,'Usage Groups (&gt;120 MWh only)'!$B$8:$B$12,0),1)/COUNTIF($C$13:$C$1012,C759)),IF(AND(NC_Type="Building Area Method",Inventory!C756="Y"),INDEX(xyNCEx,MATCH(I759,yNCExArea,0),3)/COUNTIF($I$13:$I$1012,I759),VLOOKUP(J759,xyWattage_Table,10,FALSE))),"")</f>
        <v/>
      </c>
      <c r="L759" s="539" t="str">
        <f t="shared" si="259"/>
        <v/>
      </c>
      <c r="M759" s="540">
        <f>IF(Inventory!N756="","",Inventory!N756)</f>
        <v>0</v>
      </c>
      <c r="N759" s="533" t="str">
        <f t="shared" si="260"/>
        <v/>
      </c>
      <c r="O759" s="534"/>
      <c r="P759" s="533" t="str">
        <f t="shared" si="261"/>
        <v/>
      </c>
      <c r="Q759" s="534" t="str">
        <f>IF(Inventory!L756="","",Inventory!L756)</f>
        <v/>
      </c>
      <c r="R759" s="535" t="str">
        <f t="shared" si="262"/>
        <v/>
      </c>
      <c r="S759" s="536" t="str">
        <f>IF(Inventory!O756="","",Inventory!O756)</f>
        <v/>
      </c>
      <c r="T759" s="541" t="str">
        <f>IFERROR(IF(C759="","",IF(INDEX(xyWattage_Table,MATCH(M759,'Fixture Identities'!$B$9:$B$997,0),2)="Exit Sign",8760,IF(VLOOKUP(C759,xySpace_Type_Details,8,FALSE)="TRM",INDEX('General Information'!$AF$17:$AG$28,11,MATCH(N759,'General Information'!$AF$16:$AG$16,0)),HLOOKUP(VLOOKUP(C759,xySpace_Type_Details,8,FALSE),'General Information'!$P$15:$AG$28,13,FALSE)))),"")</f>
        <v/>
      </c>
      <c r="U759" s="542" t="str">
        <f>IFERROR(IF(C759="","",IF(INDEX(xyWattage_Table,MATCH(M759,'Fixture Identities'!$B$9:$B$997,0),2)="Exit Sign",1,IF(VLOOKUP(C759,xySpace_Type_Details,8,FALSE)="TRM",INDEX('General Information'!$AF$17:$AG$28,12,MATCH(N759,'General Information'!$AF$16:$AG$16,0)),HLOOKUP(VLOOKUP(C759,xySpace_Type_Details,8,FALSE),'General Information'!$P$15:$AG$28,14,FALSE)))),"")</f>
        <v/>
      </c>
      <c r="V759" s="542" t="str">
        <f>IFERROR(VLOOKUP(INDEX(xySpace_Type_Details,MATCH($C759,'General Information'!$C$40:$C$60,0),12),Lookups!$L$8:$N$12,2,FALSE),"")</f>
        <v/>
      </c>
      <c r="W759" s="542" t="str">
        <f>IFERROR(VLOOKUP(INDEX(xySpace_Type_Details,MATCH($C759,'General Information'!$C$40:$C$60,0),12),Lookups!$L$8:$N$12,3,FALSE),"")</f>
        <v/>
      </c>
      <c r="Y759" s="542" t="str">
        <f>IFERROR(IF(C759="","",IF(INDEX(xyWattage_Table,MATCH(M759,'Fixture Identities'!$B$9:$B$997,0),2)="Exit Sign",0,IF(PRJ_Type="Retrofit",VLOOKUP(I759,xySVG_Factors,2,FALSE),IF(AND(PRJ_Type="New Construction",Inventory!C756="N"),VLOOKUP(VLOOKUP(Building_Type,xyLPD_BuildingArea,5,FALSE),xySVG_Factors_NC,3,FALSE),0)))),"")</f>
        <v/>
      </c>
      <c r="Z759" s="544" t="str">
        <f>IFERROR(IF(C759="","",IF(INDEX(xyWattage_Table,MATCH(M759,'Fixture Identities'!$B$9:$B$997,0),2)="Exit Sign",0,VLOOKUP(S759,xySVG_Factors,2,FALSE))),"")</f>
        <v/>
      </c>
      <c r="AA759" s="545" t="str">
        <f t="shared" si="263"/>
        <v/>
      </c>
      <c r="AB759" s="542" t="str">
        <f t="shared" si="264"/>
        <v/>
      </c>
      <c r="AC759" s="539" t="str">
        <f t="shared" si="265"/>
        <v/>
      </c>
      <c r="AD759" s="546" t="str">
        <f t="shared" si="266"/>
        <v/>
      </c>
      <c r="AE759" s="539" t="str">
        <f t="shared" si="267"/>
        <v/>
      </c>
      <c r="AF759" s="546" t="str">
        <f t="shared" si="268"/>
        <v/>
      </c>
      <c r="AG759" s="539" t="str">
        <f t="shared" si="269"/>
        <v/>
      </c>
      <c r="AH759" s="32">
        <f t="shared" si="271"/>
        <v>0</v>
      </c>
      <c r="AI759" s="32">
        <f t="shared" si="272"/>
        <v>0</v>
      </c>
      <c r="AJ759" s="32">
        <f t="shared" si="273"/>
        <v>0</v>
      </c>
      <c r="AK759" t="str">
        <f t="shared" si="274"/>
        <v/>
      </c>
      <c r="AL759" t="str">
        <f t="shared" si="275"/>
        <v/>
      </c>
      <c r="AM759" t="str">
        <f t="shared" si="276"/>
        <v/>
      </c>
      <c r="AO759" t="str">
        <f>IFERROR(VLOOKUP(M759,'Fixture Identities'!$B$9:$O$1045,14,FALSE),"")</f>
        <v/>
      </c>
      <c r="AP759" t="str">
        <f t="shared" si="270"/>
        <v/>
      </c>
    </row>
    <row r="760" spans="1:42">
      <c r="A760" s="71">
        <f t="shared" si="278"/>
        <v>0</v>
      </c>
      <c r="B760" s="513">
        <f t="shared" si="277"/>
        <v>748</v>
      </c>
      <c r="C760" s="530" t="str">
        <f>IF(Inventory!E757="","",Inventory!E757)</f>
        <v/>
      </c>
      <c r="D760" s="531">
        <f>IF(Inventory!D757="",0,Inventory!D757)</f>
        <v>0</v>
      </c>
      <c r="E760" s="532" t="str">
        <f>IF(Inventory!I757=0,"",Inventory!I757)</f>
        <v/>
      </c>
      <c r="F760" s="533" t="str">
        <f t="shared" si="257"/>
        <v/>
      </c>
      <c r="G760" s="534" t="str">
        <f>IF(Inventory!G757="","",Inventory!G757)</f>
        <v/>
      </c>
      <c r="H760" s="535" t="str">
        <f t="shared" si="258"/>
        <v/>
      </c>
      <c r="I760" s="536" t="str">
        <f>IF(Inventory!J757="","",Inventory!J757)</f>
        <v/>
      </c>
      <c r="J760" s="537" t="str">
        <f>IFERROR(IF(PRJ_Type="New Construction",IF(Inventory!C757="N",INDEX(xyLPD_BuildingArea,MATCH(Building_Type,Lookups!$F$37:$F$75,0),4),INDEX(xyLPD_SpaceBySpace,MATCH(INDEX(xyNCEx,MATCH(I760,yNCExArea,0),2),ySpace_by_Space_Type,0),2)),VLOOKUP(E760,xyWattage_Table,11,FALSE)),"")</f>
        <v/>
      </c>
      <c r="K760" s="538" t="str">
        <f>IFERROR(IF(AND(NC_Type="Building Area Method",Inventory!C757="N"),IF(ISERROR(INDEX('Usage Groups (&gt;120 MWh only)'!$N$8:$N$12,MATCH(C760,'Usage Groups (&gt;120 MWh only)'!$B$8:$B$12,0),1))=TRUE,SqFt/COUNTIFS(Inventory!$C$10:$C$1009,"N",$Q$13:$Q$1012,"&gt;=0"),INDEX('Usage Groups (&gt;120 MWh only)'!$N$8:$N$12,MATCH(C760,'Usage Groups (&gt;120 MWh only)'!$B$8:$B$12,0),1)/COUNTIF($C$13:$C$1012,C760)),IF(AND(NC_Type="Building Area Method",Inventory!C757="Y"),INDEX(xyNCEx,MATCH(I760,yNCExArea,0),3)/COUNTIF($I$13:$I$1012,I760),VLOOKUP(J760,xyWattage_Table,10,FALSE))),"")</f>
        <v/>
      </c>
      <c r="L760" s="539" t="str">
        <f t="shared" si="259"/>
        <v/>
      </c>
      <c r="M760" s="540">
        <f>IF(Inventory!N757="","",Inventory!N757)</f>
        <v>0</v>
      </c>
      <c r="N760" s="533" t="str">
        <f t="shared" si="260"/>
        <v/>
      </c>
      <c r="O760" s="534"/>
      <c r="P760" s="533" t="str">
        <f t="shared" si="261"/>
        <v/>
      </c>
      <c r="Q760" s="534" t="str">
        <f>IF(Inventory!L757="","",Inventory!L757)</f>
        <v/>
      </c>
      <c r="R760" s="535" t="str">
        <f t="shared" si="262"/>
        <v/>
      </c>
      <c r="S760" s="536" t="str">
        <f>IF(Inventory!O757="","",Inventory!O757)</f>
        <v/>
      </c>
      <c r="T760" s="541" t="str">
        <f>IFERROR(IF(C760="","",IF(INDEX(xyWattage_Table,MATCH(M760,'Fixture Identities'!$B$9:$B$997,0),2)="Exit Sign",8760,IF(VLOOKUP(C760,xySpace_Type_Details,8,FALSE)="TRM",INDEX('General Information'!$AF$17:$AG$28,11,MATCH(N760,'General Information'!$AF$16:$AG$16,0)),HLOOKUP(VLOOKUP(C760,xySpace_Type_Details,8,FALSE),'General Information'!$P$15:$AG$28,13,FALSE)))),"")</f>
        <v/>
      </c>
      <c r="U760" s="542" t="str">
        <f>IFERROR(IF(C760="","",IF(INDEX(xyWattage_Table,MATCH(M760,'Fixture Identities'!$B$9:$B$997,0),2)="Exit Sign",1,IF(VLOOKUP(C760,xySpace_Type_Details,8,FALSE)="TRM",INDEX('General Information'!$AF$17:$AG$28,12,MATCH(N760,'General Information'!$AF$16:$AG$16,0)),HLOOKUP(VLOOKUP(C760,xySpace_Type_Details,8,FALSE),'General Information'!$P$15:$AG$28,14,FALSE)))),"")</f>
        <v/>
      </c>
      <c r="V760" s="542" t="str">
        <f>IFERROR(VLOOKUP(INDEX(xySpace_Type_Details,MATCH($C760,'General Information'!$C$40:$C$60,0),12),Lookups!$L$8:$N$12,2,FALSE),"")</f>
        <v/>
      </c>
      <c r="W760" s="542" t="str">
        <f>IFERROR(VLOOKUP(INDEX(xySpace_Type_Details,MATCH($C760,'General Information'!$C$40:$C$60,0),12),Lookups!$L$8:$N$12,3,FALSE),"")</f>
        <v/>
      </c>
      <c r="Y760" s="542" t="str">
        <f>IFERROR(IF(C760="","",IF(INDEX(xyWattage_Table,MATCH(M760,'Fixture Identities'!$B$9:$B$997,0),2)="Exit Sign",0,IF(PRJ_Type="Retrofit",VLOOKUP(I760,xySVG_Factors,2,FALSE),IF(AND(PRJ_Type="New Construction",Inventory!C757="N"),VLOOKUP(VLOOKUP(Building_Type,xyLPD_BuildingArea,5,FALSE),xySVG_Factors_NC,3,FALSE),0)))),"")</f>
        <v/>
      </c>
      <c r="Z760" s="544" t="str">
        <f>IFERROR(IF(C760="","",IF(INDEX(xyWattage_Table,MATCH(M760,'Fixture Identities'!$B$9:$B$997,0),2)="Exit Sign",0,VLOOKUP(S760,xySVG_Factors,2,FALSE))),"")</f>
        <v/>
      </c>
      <c r="AA760" s="545" t="str">
        <f t="shared" si="263"/>
        <v/>
      </c>
      <c r="AB760" s="542" t="str">
        <f t="shared" si="264"/>
        <v/>
      </c>
      <c r="AC760" s="539" t="str">
        <f t="shared" si="265"/>
        <v/>
      </c>
      <c r="AD760" s="546" t="str">
        <f t="shared" si="266"/>
        <v/>
      </c>
      <c r="AE760" s="539" t="str">
        <f t="shared" si="267"/>
        <v/>
      </c>
      <c r="AF760" s="546" t="str">
        <f t="shared" si="268"/>
        <v/>
      </c>
      <c r="AG760" s="539" t="str">
        <f t="shared" si="269"/>
        <v/>
      </c>
      <c r="AH760" s="32">
        <f t="shared" si="271"/>
        <v>0</v>
      </c>
      <c r="AI760" s="32">
        <f t="shared" si="272"/>
        <v>0</v>
      </c>
      <c r="AJ760" s="32">
        <f t="shared" si="273"/>
        <v>0</v>
      </c>
      <c r="AK760" t="str">
        <f t="shared" si="274"/>
        <v/>
      </c>
      <c r="AL760" t="str">
        <f t="shared" si="275"/>
        <v/>
      </c>
      <c r="AM760" t="str">
        <f t="shared" si="276"/>
        <v/>
      </c>
      <c r="AO760" t="str">
        <f>IFERROR(VLOOKUP(M760,'Fixture Identities'!$B$9:$O$1045,14,FALSE),"")</f>
        <v/>
      </c>
      <c r="AP760" t="str">
        <f t="shared" si="270"/>
        <v/>
      </c>
    </row>
    <row r="761" spans="1:42">
      <c r="A761" s="71">
        <f t="shared" si="278"/>
        <v>0</v>
      </c>
      <c r="B761" s="513">
        <f t="shared" si="277"/>
        <v>749</v>
      </c>
      <c r="C761" s="530" t="str">
        <f>IF(Inventory!E758="","",Inventory!E758)</f>
        <v/>
      </c>
      <c r="D761" s="531">
        <f>IF(Inventory!D758="",0,Inventory!D758)</f>
        <v>0</v>
      </c>
      <c r="E761" s="532" t="str">
        <f>IF(Inventory!I758=0,"",Inventory!I758)</f>
        <v/>
      </c>
      <c r="F761" s="533" t="str">
        <f t="shared" si="257"/>
        <v/>
      </c>
      <c r="G761" s="534" t="str">
        <f>IF(Inventory!G758="","",Inventory!G758)</f>
        <v/>
      </c>
      <c r="H761" s="535" t="str">
        <f t="shared" si="258"/>
        <v/>
      </c>
      <c r="I761" s="536" t="str">
        <f>IF(Inventory!J758="","",Inventory!J758)</f>
        <v/>
      </c>
      <c r="J761" s="537" t="str">
        <f>IFERROR(IF(PRJ_Type="New Construction",IF(Inventory!C758="N",INDEX(xyLPD_BuildingArea,MATCH(Building_Type,Lookups!$F$37:$F$75,0),4),INDEX(xyLPD_SpaceBySpace,MATCH(INDEX(xyNCEx,MATCH(I761,yNCExArea,0),2),ySpace_by_Space_Type,0),2)),VLOOKUP(E761,xyWattage_Table,11,FALSE)),"")</f>
        <v/>
      </c>
      <c r="K761" s="538" t="str">
        <f>IFERROR(IF(AND(NC_Type="Building Area Method",Inventory!C758="N"),IF(ISERROR(INDEX('Usage Groups (&gt;120 MWh only)'!$N$8:$N$12,MATCH(C761,'Usage Groups (&gt;120 MWh only)'!$B$8:$B$12,0),1))=TRUE,SqFt/COUNTIFS(Inventory!$C$10:$C$1009,"N",$Q$13:$Q$1012,"&gt;=0"),INDEX('Usage Groups (&gt;120 MWh only)'!$N$8:$N$12,MATCH(C761,'Usage Groups (&gt;120 MWh only)'!$B$8:$B$12,0),1)/COUNTIF($C$13:$C$1012,C761)),IF(AND(NC_Type="Building Area Method",Inventory!C758="Y"),INDEX(xyNCEx,MATCH(I761,yNCExArea,0),3)/COUNTIF($I$13:$I$1012,I761),VLOOKUP(J761,xyWattage_Table,10,FALSE))),"")</f>
        <v/>
      </c>
      <c r="L761" s="539" t="str">
        <f t="shared" si="259"/>
        <v/>
      </c>
      <c r="M761" s="540">
        <f>IF(Inventory!N758="","",Inventory!N758)</f>
        <v>0</v>
      </c>
      <c r="N761" s="533" t="str">
        <f t="shared" si="260"/>
        <v/>
      </c>
      <c r="O761" s="534"/>
      <c r="P761" s="533" t="str">
        <f t="shared" si="261"/>
        <v/>
      </c>
      <c r="Q761" s="534" t="str">
        <f>IF(Inventory!L758="","",Inventory!L758)</f>
        <v/>
      </c>
      <c r="R761" s="535" t="str">
        <f t="shared" si="262"/>
        <v/>
      </c>
      <c r="S761" s="536" t="str">
        <f>IF(Inventory!O758="","",Inventory!O758)</f>
        <v/>
      </c>
      <c r="T761" s="541" t="str">
        <f>IFERROR(IF(C761="","",IF(INDEX(xyWattage_Table,MATCH(M761,'Fixture Identities'!$B$9:$B$997,0),2)="Exit Sign",8760,IF(VLOOKUP(C761,xySpace_Type_Details,8,FALSE)="TRM",INDEX('General Information'!$AF$17:$AG$28,11,MATCH(N761,'General Information'!$AF$16:$AG$16,0)),HLOOKUP(VLOOKUP(C761,xySpace_Type_Details,8,FALSE),'General Information'!$P$15:$AG$28,13,FALSE)))),"")</f>
        <v/>
      </c>
      <c r="U761" s="542" t="str">
        <f>IFERROR(IF(C761="","",IF(INDEX(xyWattage_Table,MATCH(M761,'Fixture Identities'!$B$9:$B$997,0),2)="Exit Sign",1,IF(VLOOKUP(C761,xySpace_Type_Details,8,FALSE)="TRM",INDEX('General Information'!$AF$17:$AG$28,12,MATCH(N761,'General Information'!$AF$16:$AG$16,0)),HLOOKUP(VLOOKUP(C761,xySpace_Type_Details,8,FALSE),'General Information'!$P$15:$AG$28,14,FALSE)))),"")</f>
        <v/>
      </c>
      <c r="V761" s="542" t="str">
        <f>IFERROR(VLOOKUP(INDEX(xySpace_Type_Details,MATCH($C761,'General Information'!$C$40:$C$60,0),12),Lookups!$L$8:$N$12,2,FALSE),"")</f>
        <v/>
      </c>
      <c r="W761" s="542" t="str">
        <f>IFERROR(VLOOKUP(INDEX(xySpace_Type_Details,MATCH($C761,'General Information'!$C$40:$C$60,0),12),Lookups!$L$8:$N$12,3,FALSE),"")</f>
        <v/>
      </c>
      <c r="Y761" s="542" t="str">
        <f>IFERROR(IF(C761="","",IF(INDEX(xyWattage_Table,MATCH(M761,'Fixture Identities'!$B$9:$B$997,0),2)="Exit Sign",0,IF(PRJ_Type="Retrofit",VLOOKUP(I761,xySVG_Factors,2,FALSE),IF(AND(PRJ_Type="New Construction",Inventory!C758="N"),VLOOKUP(VLOOKUP(Building_Type,xyLPD_BuildingArea,5,FALSE),xySVG_Factors_NC,3,FALSE),0)))),"")</f>
        <v/>
      </c>
      <c r="Z761" s="544" t="str">
        <f>IFERROR(IF(C761="","",IF(INDEX(xyWattage_Table,MATCH(M761,'Fixture Identities'!$B$9:$B$997,0),2)="Exit Sign",0,VLOOKUP(S761,xySVG_Factors,2,FALSE))),"")</f>
        <v/>
      </c>
      <c r="AA761" s="545" t="str">
        <f t="shared" si="263"/>
        <v/>
      </c>
      <c r="AB761" s="542" t="str">
        <f t="shared" si="264"/>
        <v/>
      </c>
      <c r="AC761" s="539" t="str">
        <f t="shared" si="265"/>
        <v/>
      </c>
      <c r="AD761" s="546" t="str">
        <f t="shared" si="266"/>
        <v/>
      </c>
      <c r="AE761" s="539" t="str">
        <f t="shared" si="267"/>
        <v/>
      </c>
      <c r="AF761" s="546" t="str">
        <f t="shared" si="268"/>
        <v/>
      </c>
      <c r="AG761" s="539" t="str">
        <f t="shared" si="269"/>
        <v/>
      </c>
      <c r="AH761" s="32">
        <f t="shared" si="271"/>
        <v>0</v>
      </c>
      <c r="AI761" s="32">
        <f t="shared" si="272"/>
        <v>0</v>
      </c>
      <c r="AJ761" s="32">
        <f t="shared" si="273"/>
        <v>0</v>
      </c>
      <c r="AK761" t="str">
        <f t="shared" si="274"/>
        <v/>
      </c>
      <c r="AL761" t="str">
        <f t="shared" si="275"/>
        <v/>
      </c>
      <c r="AM761" t="str">
        <f t="shared" si="276"/>
        <v/>
      </c>
      <c r="AO761" t="str">
        <f>IFERROR(VLOOKUP(M761,'Fixture Identities'!$B$9:$O$1045,14,FALSE),"")</f>
        <v/>
      </c>
      <c r="AP761" t="str">
        <f t="shared" si="270"/>
        <v/>
      </c>
    </row>
    <row r="762" spans="1:42">
      <c r="A762" s="71">
        <f t="shared" si="278"/>
        <v>0</v>
      </c>
      <c r="B762" s="513">
        <f t="shared" si="277"/>
        <v>750</v>
      </c>
      <c r="C762" s="530" t="str">
        <f>IF(Inventory!E759="","",Inventory!E759)</f>
        <v/>
      </c>
      <c r="D762" s="531">
        <f>IF(Inventory!D759="",0,Inventory!D759)</f>
        <v>0</v>
      </c>
      <c r="E762" s="532" t="str">
        <f>IF(Inventory!I759=0,"",Inventory!I759)</f>
        <v/>
      </c>
      <c r="F762" s="533" t="str">
        <f t="shared" si="257"/>
        <v/>
      </c>
      <c r="G762" s="534" t="str">
        <f>IF(Inventory!G759="","",Inventory!G759)</f>
        <v/>
      </c>
      <c r="H762" s="535" t="str">
        <f t="shared" si="258"/>
        <v/>
      </c>
      <c r="I762" s="536" t="str">
        <f>IF(Inventory!J759="","",Inventory!J759)</f>
        <v/>
      </c>
      <c r="J762" s="537" t="str">
        <f>IFERROR(IF(PRJ_Type="New Construction",IF(Inventory!C759="N",INDEX(xyLPD_BuildingArea,MATCH(Building_Type,Lookups!$F$37:$F$75,0),4),INDEX(xyLPD_SpaceBySpace,MATCH(INDEX(xyNCEx,MATCH(I762,yNCExArea,0),2),ySpace_by_Space_Type,0),2)),VLOOKUP(E762,xyWattage_Table,11,FALSE)),"")</f>
        <v/>
      </c>
      <c r="K762" s="538" t="str">
        <f>IFERROR(IF(AND(NC_Type="Building Area Method",Inventory!C759="N"),IF(ISERROR(INDEX('Usage Groups (&gt;120 MWh only)'!$N$8:$N$12,MATCH(C762,'Usage Groups (&gt;120 MWh only)'!$B$8:$B$12,0),1))=TRUE,SqFt/COUNTIFS(Inventory!$C$10:$C$1009,"N",$Q$13:$Q$1012,"&gt;=0"),INDEX('Usage Groups (&gt;120 MWh only)'!$N$8:$N$12,MATCH(C762,'Usage Groups (&gt;120 MWh only)'!$B$8:$B$12,0),1)/COUNTIF($C$13:$C$1012,C762)),IF(AND(NC_Type="Building Area Method",Inventory!C759="Y"),INDEX(xyNCEx,MATCH(I762,yNCExArea,0),3)/COUNTIF($I$13:$I$1012,I762),VLOOKUP(J762,xyWattage_Table,10,FALSE))),"")</f>
        <v/>
      </c>
      <c r="L762" s="539" t="str">
        <f t="shared" si="259"/>
        <v/>
      </c>
      <c r="M762" s="540">
        <f>IF(Inventory!N759="","",Inventory!N759)</f>
        <v>0</v>
      </c>
      <c r="N762" s="533" t="str">
        <f t="shared" si="260"/>
        <v/>
      </c>
      <c r="O762" s="534"/>
      <c r="P762" s="533" t="str">
        <f t="shared" si="261"/>
        <v/>
      </c>
      <c r="Q762" s="534" t="str">
        <f>IF(Inventory!L759="","",Inventory!L759)</f>
        <v/>
      </c>
      <c r="R762" s="535" t="str">
        <f t="shared" si="262"/>
        <v/>
      </c>
      <c r="S762" s="536" t="str">
        <f>IF(Inventory!O759="","",Inventory!O759)</f>
        <v/>
      </c>
      <c r="T762" s="541" t="str">
        <f>IFERROR(IF(C762="","",IF(INDEX(xyWattage_Table,MATCH(M762,'Fixture Identities'!$B$9:$B$997,0),2)="Exit Sign",8760,IF(VLOOKUP(C762,xySpace_Type_Details,8,FALSE)="TRM",INDEX('General Information'!$AF$17:$AG$28,11,MATCH(N762,'General Information'!$AF$16:$AG$16,0)),HLOOKUP(VLOOKUP(C762,xySpace_Type_Details,8,FALSE),'General Information'!$P$15:$AG$28,13,FALSE)))),"")</f>
        <v/>
      </c>
      <c r="U762" s="542" t="str">
        <f>IFERROR(IF(C762="","",IF(INDEX(xyWattage_Table,MATCH(M762,'Fixture Identities'!$B$9:$B$997,0),2)="Exit Sign",1,IF(VLOOKUP(C762,xySpace_Type_Details,8,FALSE)="TRM",INDEX('General Information'!$AF$17:$AG$28,12,MATCH(N762,'General Information'!$AF$16:$AG$16,0)),HLOOKUP(VLOOKUP(C762,xySpace_Type_Details,8,FALSE),'General Information'!$P$15:$AG$28,14,FALSE)))),"")</f>
        <v/>
      </c>
      <c r="V762" s="542" t="str">
        <f>IFERROR(VLOOKUP(INDEX(xySpace_Type_Details,MATCH($C762,'General Information'!$C$40:$C$60,0),12),Lookups!$L$8:$N$12,2,FALSE),"")</f>
        <v/>
      </c>
      <c r="W762" s="542" t="str">
        <f>IFERROR(VLOOKUP(INDEX(xySpace_Type_Details,MATCH($C762,'General Information'!$C$40:$C$60,0),12),Lookups!$L$8:$N$12,3,FALSE),"")</f>
        <v/>
      </c>
      <c r="Y762" s="542" t="str">
        <f>IFERROR(IF(C762="","",IF(INDEX(xyWattage_Table,MATCH(M762,'Fixture Identities'!$B$9:$B$997,0),2)="Exit Sign",0,IF(PRJ_Type="Retrofit",VLOOKUP(I762,xySVG_Factors,2,FALSE),IF(AND(PRJ_Type="New Construction",Inventory!C759="N"),VLOOKUP(VLOOKUP(Building_Type,xyLPD_BuildingArea,5,FALSE),xySVG_Factors_NC,3,FALSE),0)))),"")</f>
        <v/>
      </c>
      <c r="Z762" s="544" t="str">
        <f>IFERROR(IF(C762="","",IF(INDEX(xyWattage_Table,MATCH(M762,'Fixture Identities'!$B$9:$B$997,0),2)="Exit Sign",0,VLOOKUP(S762,xySVG_Factors,2,FALSE))),"")</f>
        <v/>
      </c>
      <c r="AA762" s="545" t="str">
        <f t="shared" si="263"/>
        <v/>
      </c>
      <c r="AB762" s="542" t="str">
        <f t="shared" si="264"/>
        <v/>
      </c>
      <c r="AC762" s="539" t="str">
        <f t="shared" si="265"/>
        <v/>
      </c>
      <c r="AD762" s="546" t="str">
        <f t="shared" si="266"/>
        <v/>
      </c>
      <c r="AE762" s="539" t="str">
        <f t="shared" si="267"/>
        <v/>
      </c>
      <c r="AF762" s="546" t="str">
        <f t="shared" si="268"/>
        <v/>
      </c>
      <c r="AG762" s="539" t="str">
        <f t="shared" si="269"/>
        <v/>
      </c>
      <c r="AH762" s="32">
        <f t="shared" si="271"/>
        <v>0</v>
      </c>
      <c r="AI762" s="32">
        <f t="shared" si="272"/>
        <v>0</v>
      </c>
      <c r="AJ762" s="32">
        <f t="shared" si="273"/>
        <v>0</v>
      </c>
      <c r="AK762" t="str">
        <f t="shared" si="274"/>
        <v/>
      </c>
      <c r="AL762" t="str">
        <f t="shared" si="275"/>
        <v/>
      </c>
      <c r="AM762" t="str">
        <f t="shared" si="276"/>
        <v/>
      </c>
      <c r="AO762" t="str">
        <f>IFERROR(VLOOKUP(M762,'Fixture Identities'!$B$9:$O$1045,14,FALSE),"")</f>
        <v/>
      </c>
      <c r="AP762" t="str">
        <f t="shared" si="270"/>
        <v/>
      </c>
    </row>
    <row r="763" spans="1:42">
      <c r="A763" s="71">
        <f t="shared" si="278"/>
        <v>0</v>
      </c>
      <c r="B763" s="513">
        <f t="shared" si="277"/>
        <v>751</v>
      </c>
      <c r="C763" s="530" t="str">
        <f>IF(Inventory!E760="","",Inventory!E760)</f>
        <v/>
      </c>
      <c r="D763" s="531">
        <f>IF(Inventory!D760="",0,Inventory!D760)</f>
        <v>0</v>
      </c>
      <c r="E763" s="532" t="str">
        <f>IF(Inventory!I760=0,"",Inventory!I760)</f>
        <v/>
      </c>
      <c r="F763" s="533" t="str">
        <f t="shared" si="257"/>
        <v/>
      </c>
      <c r="G763" s="534" t="str">
        <f>IF(Inventory!G760="","",Inventory!G760)</f>
        <v/>
      </c>
      <c r="H763" s="535" t="str">
        <f t="shared" si="258"/>
        <v/>
      </c>
      <c r="I763" s="536" t="str">
        <f>IF(Inventory!J760="","",Inventory!J760)</f>
        <v/>
      </c>
      <c r="J763" s="537" t="str">
        <f>IFERROR(IF(PRJ_Type="New Construction",IF(Inventory!C760="N",INDEX(xyLPD_BuildingArea,MATCH(Building_Type,Lookups!$F$37:$F$75,0),4),INDEX(xyLPD_SpaceBySpace,MATCH(INDEX(xyNCEx,MATCH(I763,yNCExArea,0),2),ySpace_by_Space_Type,0),2)),VLOOKUP(E763,xyWattage_Table,11,FALSE)),"")</f>
        <v/>
      </c>
      <c r="K763" s="538" t="str">
        <f>IFERROR(IF(AND(NC_Type="Building Area Method",Inventory!C760="N"),IF(ISERROR(INDEX('Usage Groups (&gt;120 MWh only)'!$N$8:$N$12,MATCH(C763,'Usage Groups (&gt;120 MWh only)'!$B$8:$B$12,0),1))=TRUE,SqFt/COUNTIFS(Inventory!$C$10:$C$1009,"N",$Q$13:$Q$1012,"&gt;=0"),INDEX('Usage Groups (&gt;120 MWh only)'!$N$8:$N$12,MATCH(C763,'Usage Groups (&gt;120 MWh only)'!$B$8:$B$12,0),1)/COUNTIF($C$13:$C$1012,C763)),IF(AND(NC_Type="Building Area Method",Inventory!C760="Y"),INDEX(xyNCEx,MATCH(I763,yNCExArea,0),3)/COUNTIF($I$13:$I$1012,I763),VLOOKUP(J763,xyWattage_Table,10,FALSE))),"")</f>
        <v/>
      </c>
      <c r="L763" s="539" t="str">
        <f t="shared" si="259"/>
        <v/>
      </c>
      <c r="M763" s="540">
        <f>IF(Inventory!N760="","",Inventory!N760)</f>
        <v>0</v>
      </c>
      <c r="N763" s="533" t="str">
        <f t="shared" si="260"/>
        <v/>
      </c>
      <c r="O763" s="534"/>
      <c r="P763" s="533" t="str">
        <f t="shared" si="261"/>
        <v/>
      </c>
      <c r="Q763" s="534" t="str">
        <f>IF(Inventory!L760="","",Inventory!L760)</f>
        <v/>
      </c>
      <c r="R763" s="535" t="str">
        <f t="shared" si="262"/>
        <v/>
      </c>
      <c r="S763" s="536" t="str">
        <f>IF(Inventory!O760="","",Inventory!O760)</f>
        <v/>
      </c>
      <c r="T763" s="541" t="str">
        <f>IFERROR(IF(C763="","",IF(INDEX(xyWattage_Table,MATCH(M763,'Fixture Identities'!$B$9:$B$997,0),2)="Exit Sign",8760,IF(VLOOKUP(C763,xySpace_Type_Details,8,FALSE)="TRM",INDEX('General Information'!$AF$17:$AG$28,11,MATCH(N763,'General Information'!$AF$16:$AG$16,0)),HLOOKUP(VLOOKUP(C763,xySpace_Type_Details,8,FALSE),'General Information'!$P$15:$AG$28,13,FALSE)))),"")</f>
        <v/>
      </c>
      <c r="U763" s="542" t="str">
        <f>IFERROR(IF(C763="","",IF(INDEX(xyWattage_Table,MATCH(M763,'Fixture Identities'!$B$9:$B$997,0),2)="Exit Sign",1,IF(VLOOKUP(C763,xySpace_Type_Details,8,FALSE)="TRM",INDEX('General Information'!$AF$17:$AG$28,12,MATCH(N763,'General Information'!$AF$16:$AG$16,0)),HLOOKUP(VLOOKUP(C763,xySpace_Type_Details,8,FALSE),'General Information'!$P$15:$AG$28,14,FALSE)))),"")</f>
        <v/>
      </c>
      <c r="V763" s="542" t="str">
        <f>IFERROR(VLOOKUP(INDEX(xySpace_Type_Details,MATCH($C763,'General Information'!$C$40:$C$60,0),12),Lookups!$L$8:$N$12,2,FALSE),"")</f>
        <v/>
      </c>
      <c r="W763" s="542" t="str">
        <f>IFERROR(VLOOKUP(INDEX(xySpace_Type_Details,MATCH($C763,'General Information'!$C$40:$C$60,0),12),Lookups!$L$8:$N$12,3,FALSE),"")</f>
        <v/>
      </c>
      <c r="Y763" s="542" t="str">
        <f>IFERROR(IF(C763="","",IF(INDEX(xyWattage_Table,MATCH(M763,'Fixture Identities'!$B$9:$B$997,0),2)="Exit Sign",0,IF(PRJ_Type="Retrofit",VLOOKUP(I763,xySVG_Factors,2,FALSE),IF(AND(PRJ_Type="New Construction",Inventory!C760="N"),VLOOKUP(VLOOKUP(Building_Type,xyLPD_BuildingArea,5,FALSE),xySVG_Factors_NC,3,FALSE),0)))),"")</f>
        <v/>
      </c>
      <c r="Z763" s="544" t="str">
        <f>IFERROR(IF(C763="","",IF(INDEX(xyWattage_Table,MATCH(M763,'Fixture Identities'!$B$9:$B$997,0),2)="Exit Sign",0,VLOOKUP(S763,xySVG_Factors,2,FALSE))),"")</f>
        <v/>
      </c>
      <c r="AA763" s="545" t="str">
        <f t="shared" si="263"/>
        <v/>
      </c>
      <c r="AB763" s="542" t="str">
        <f t="shared" si="264"/>
        <v/>
      </c>
      <c r="AC763" s="539" t="str">
        <f t="shared" si="265"/>
        <v/>
      </c>
      <c r="AD763" s="546" t="str">
        <f t="shared" si="266"/>
        <v/>
      </c>
      <c r="AE763" s="539" t="str">
        <f t="shared" si="267"/>
        <v/>
      </c>
      <c r="AF763" s="546" t="str">
        <f t="shared" si="268"/>
        <v/>
      </c>
      <c r="AG763" s="539" t="str">
        <f t="shared" si="269"/>
        <v/>
      </c>
      <c r="AH763" s="32">
        <f t="shared" si="271"/>
        <v>0</v>
      </c>
      <c r="AI763" s="32">
        <f t="shared" si="272"/>
        <v>0</v>
      </c>
      <c r="AJ763" s="32">
        <f t="shared" si="273"/>
        <v>0</v>
      </c>
      <c r="AK763" t="str">
        <f t="shared" si="274"/>
        <v/>
      </c>
      <c r="AL763" t="str">
        <f t="shared" si="275"/>
        <v/>
      </c>
      <c r="AM763" t="str">
        <f t="shared" si="276"/>
        <v/>
      </c>
      <c r="AO763" t="str">
        <f>IFERROR(VLOOKUP(M763,'Fixture Identities'!$B$9:$O$1045,14,FALSE),"")</f>
        <v/>
      </c>
      <c r="AP763" t="str">
        <f t="shared" si="270"/>
        <v/>
      </c>
    </row>
    <row r="764" spans="1:42">
      <c r="A764" s="71">
        <f t="shared" si="278"/>
        <v>0</v>
      </c>
      <c r="B764" s="513">
        <f t="shared" si="277"/>
        <v>752</v>
      </c>
      <c r="C764" s="530" t="str">
        <f>IF(Inventory!E761="","",Inventory!E761)</f>
        <v/>
      </c>
      <c r="D764" s="531">
        <f>IF(Inventory!D761="",0,Inventory!D761)</f>
        <v>0</v>
      </c>
      <c r="E764" s="532" t="str">
        <f>IF(Inventory!I761=0,"",Inventory!I761)</f>
        <v/>
      </c>
      <c r="F764" s="533" t="str">
        <f t="shared" si="257"/>
        <v/>
      </c>
      <c r="G764" s="534" t="str">
        <f>IF(Inventory!G761="","",Inventory!G761)</f>
        <v/>
      </c>
      <c r="H764" s="535" t="str">
        <f t="shared" si="258"/>
        <v/>
      </c>
      <c r="I764" s="536" t="str">
        <f>IF(Inventory!J761="","",Inventory!J761)</f>
        <v/>
      </c>
      <c r="J764" s="537" t="str">
        <f>IFERROR(IF(PRJ_Type="New Construction",IF(Inventory!C761="N",INDEX(xyLPD_BuildingArea,MATCH(Building_Type,Lookups!$F$37:$F$75,0),4),INDEX(xyLPD_SpaceBySpace,MATCH(INDEX(xyNCEx,MATCH(I764,yNCExArea,0),2),ySpace_by_Space_Type,0),2)),VLOOKUP(E764,xyWattage_Table,11,FALSE)),"")</f>
        <v/>
      </c>
      <c r="K764" s="538" t="str">
        <f>IFERROR(IF(AND(NC_Type="Building Area Method",Inventory!C761="N"),IF(ISERROR(INDEX('Usage Groups (&gt;120 MWh only)'!$N$8:$N$12,MATCH(C764,'Usage Groups (&gt;120 MWh only)'!$B$8:$B$12,0),1))=TRUE,SqFt/COUNTIFS(Inventory!$C$10:$C$1009,"N",$Q$13:$Q$1012,"&gt;=0"),INDEX('Usage Groups (&gt;120 MWh only)'!$N$8:$N$12,MATCH(C764,'Usage Groups (&gt;120 MWh only)'!$B$8:$B$12,0),1)/COUNTIF($C$13:$C$1012,C764)),IF(AND(NC_Type="Building Area Method",Inventory!C761="Y"),INDEX(xyNCEx,MATCH(I764,yNCExArea,0),3)/COUNTIF($I$13:$I$1012,I764),VLOOKUP(J764,xyWattage_Table,10,FALSE))),"")</f>
        <v/>
      </c>
      <c r="L764" s="539" t="str">
        <f t="shared" si="259"/>
        <v/>
      </c>
      <c r="M764" s="540">
        <f>IF(Inventory!N761="","",Inventory!N761)</f>
        <v>0</v>
      </c>
      <c r="N764" s="533" t="str">
        <f t="shared" si="260"/>
        <v/>
      </c>
      <c r="O764" s="534"/>
      <c r="P764" s="533" t="str">
        <f t="shared" si="261"/>
        <v/>
      </c>
      <c r="Q764" s="534" t="str">
        <f>IF(Inventory!L761="","",Inventory!L761)</f>
        <v/>
      </c>
      <c r="R764" s="535" t="str">
        <f t="shared" si="262"/>
        <v/>
      </c>
      <c r="S764" s="536" t="str">
        <f>IF(Inventory!O761="","",Inventory!O761)</f>
        <v/>
      </c>
      <c r="T764" s="541" t="str">
        <f>IFERROR(IF(C764="","",IF(INDEX(xyWattage_Table,MATCH(M764,'Fixture Identities'!$B$9:$B$997,0),2)="Exit Sign",8760,IF(VLOOKUP(C764,xySpace_Type_Details,8,FALSE)="TRM",INDEX('General Information'!$AF$17:$AG$28,11,MATCH(N764,'General Information'!$AF$16:$AG$16,0)),HLOOKUP(VLOOKUP(C764,xySpace_Type_Details,8,FALSE),'General Information'!$P$15:$AG$28,13,FALSE)))),"")</f>
        <v/>
      </c>
      <c r="U764" s="542" t="str">
        <f>IFERROR(IF(C764="","",IF(INDEX(xyWattage_Table,MATCH(M764,'Fixture Identities'!$B$9:$B$997,0),2)="Exit Sign",1,IF(VLOOKUP(C764,xySpace_Type_Details,8,FALSE)="TRM",INDEX('General Information'!$AF$17:$AG$28,12,MATCH(N764,'General Information'!$AF$16:$AG$16,0)),HLOOKUP(VLOOKUP(C764,xySpace_Type_Details,8,FALSE),'General Information'!$P$15:$AG$28,14,FALSE)))),"")</f>
        <v/>
      </c>
      <c r="V764" s="542" t="str">
        <f>IFERROR(VLOOKUP(INDEX(xySpace_Type_Details,MATCH($C764,'General Information'!$C$40:$C$60,0),12),Lookups!$L$8:$N$12,2,FALSE),"")</f>
        <v/>
      </c>
      <c r="W764" s="542" t="str">
        <f>IFERROR(VLOOKUP(INDEX(xySpace_Type_Details,MATCH($C764,'General Information'!$C$40:$C$60,0),12),Lookups!$L$8:$N$12,3,FALSE),"")</f>
        <v/>
      </c>
      <c r="Y764" s="542" t="str">
        <f>IFERROR(IF(C764="","",IF(INDEX(xyWattage_Table,MATCH(M764,'Fixture Identities'!$B$9:$B$997,0),2)="Exit Sign",0,IF(PRJ_Type="Retrofit",VLOOKUP(I764,xySVG_Factors,2,FALSE),IF(AND(PRJ_Type="New Construction",Inventory!C761="N"),VLOOKUP(VLOOKUP(Building_Type,xyLPD_BuildingArea,5,FALSE),xySVG_Factors_NC,3,FALSE),0)))),"")</f>
        <v/>
      </c>
      <c r="Z764" s="544" t="str">
        <f>IFERROR(IF(C764="","",IF(INDEX(xyWattage_Table,MATCH(M764,'Fixture Identities'!$B$9:$B$997,0),2)="Exit Sign",0,VLOOKUP(S764,xySVG_Factors,2,FALSE))),"")</f>
        <v/>
      </c>
      <c r="AA764" s="545" t="str">
        <f t="shared" si="263"/>
        <v/>
      </c>
      <c r="AB764" s="542" t="str">
        <f t="shared" si="264"/>
        <v/>
      </c>
      <c r="AC764" s="539" t="str">
        <f t="shared" si="265"/>
        <v/>
      </c>
      <c r="AD764" s="546" t="str">
        <f t="shared" si="266"/>
        <v/>
      </c>
      <c r="AE764" s="539" t="str">
        <f t="shared" si="267"/>
        <v/>
      </c>
      <c r="AF764" s="546" t="str">
        <f t="shared" si="268"/>
        <v/>
      </c>
      <c r="AG764" s="539" t="str">
        <f t="shared" si="269"/>
        <v/>
      </c>
      <c r="AH764" s="32">
        <f t="shared" si="271"/>
        <v>0</v>
      </c>
      <c r="AI764" s="32">
        <f t="shared" si="272"/>
        <v>0</v>
      </c>
      <c r="AJ764" s="32">
        <f t="shared" si="273"/>
        <v>0</v>
      </c>
      <c r="AK764" t="str">
        <f t="shared" si="274"/>
        <v/>
      </c>
      <c r="AL764" t="str">
        <f t="shared" si="275"/>
        <v/>
      </c>
      <c r="AM764" t="str">
        <f t="shared" si="276"/>
        <v/>
      </c>
      <c r="AO764" t="str">
        <f>IFERROR(VLOOKUP(M764,'Fixture Identities'!$B$9:$O$1045,14,FALSE),"")</f>
        <v/>
      </c>
      <c r="AP764" t="str">
        <f t="shared" si="270"/>
        <v/>
      </c>
    </row>
    <row r="765" spans="1:42">
      <c r="A765" s="71">
        <f t="shared" si="278"/>
        <v>0</v>
      </c>
      <c r="B765" s="513">
        <f t="shared" si="277"/>
        <v>753</v>
      </c>
      <c r="C765" s="530" t="str">
        <f>IF(Inventory!E762="","",Inventory!E762)</f>
        <v/>
      </c>
      <c r="D765" s="531">
        <f>IF(Inventory!D762="",0,Inventory!D762)</f>
        <v>0</v>
      </c>
      <c r="E765" s="532" t="str">
        <f>IF(Inventory!I762=0,"",Inventory!I762)</f>
        <v/>
      </c>
      <c r="F765" s="533" t="str">
        <f t="shared" si="257"/>
        <v/>
      </c>
      <c r="G765" s="534" t="str">
        <f>IF(Inventory!G762="","",Inventory!G762)</f>
        <v/>
      </c>
      <c r="H765" s="535" t="str">
        <f t="shared" si="258"/>
        <v/>
      </c>
      <c r="I765" s="536" t="str">
        <f>IF(Inventory!J762="","",Inventory!J762)</f>
        <v/>
      </c>
      <c r="J765" s="537" t="str">
        <f>IFERROR(IF(PRJ_Type="New Construction",IF(Inventory!C762="N",INDEX(xyLPD_BuildingArea,MATCH(Building_Type,Lookups!$F$37:$F$75,0),4),INDEX(xyLPD_SpaceBySpace,MATCH(INDEX(xyNCEx,MATCH(I765,yNCExArea,0),2),ySpace_by_Space_Type,0),2)),VLOOKUP(E765,xyWattage_Table,11,FALSE)),"")</f>
        <v/>
      </c>
      <c r="K765" s="538" t="str">
        <f>IFERROR(IF(AND(NC_Type="Building Area Method",Inventory!C762="N"),IF(ISERROR(INDEX('Usage Groups (&gt;120 MWh only)'!$N$8:$N$12,MATCH(C765,'Usage Groups (&gt;120 MWh only)'!$B$8:$B$12,0),1))=TRUE,SqFt/COUNTIFS(Inventory!$C$10:$C$1009,"N",$Q$13:$Q$1012,"&gt;=0"),INDEX('Usage Groups (&gt;120 MWh only)'!$N$8:$N$12,MATCH(C765,'Usage Groups (&gt;120 MWh only)'!$B$8:$B$12,0),1)/COUNTIF($C$13:$C$1012,C765)),IF(AND(NC_Type="Building Area Method",Inventory!C762="Y"),INDEX(xyNCEx,MATCH(I765,yNCExArea,0),3)/COUNTIF($I$13:$I$1012,I765),VLOOKUP(J765,xyWattage_Table,10,FALSE))),"")</f>
        <v/>
      </c>
      <c r="L765" s="539" t="str">
        <f t="shared" si="259"/>
        <v/>
      </c>
      <c r="M765" s="540">
        <f>IF(Inventory!N762="","",Inventory!N762)</f>
        <v>0</v>
      </c>
      <c r="N765" s="533" t="str">
        <f t="shared" si="260"/>
        <v/>
      </c>
      <c r="O765" s="534"/>
      <c r="P765" s="533" t="str">
        <f t="shared" si="261"/>
        <v/>
      </c>
      <c r="Q765" s="534" t="str">
        <f>IF(Inventory!L762="","",Inventory!L762)</f>
        <v/>
      </c>
      <c r="R765" s="535" t="str">
        <f t="shared" si="262"/>
        <v/>
      </c>
      <c r="S765" s="536" t="str">
        <f>IF(Inventory!O762="","",Inventory!O762)</f>
        <v/>
      </c>
      <c r="T765" s="541" t="str">
        <f>IFERROR(IF(C765="","",IF(INDEX(xyWattage_Table,MATCH(M765,'Fixture Identities'!$B$9:$B$997,0),2)="Exit Sign",8760,IF(VLOOKUP(C765,xySpace_Type_Details,8,FALSE)="TRM",INDEX('General Information'!$AF$17:$AG$28,11,MATCH(N765,'General Information'!$AF$16:$AG$16,0)),HLOOKUP(VLOOKUP(C765,xySpace_Type_Details,8,FALSE),'General Information'!$P$15:$AG$28,13,FALSE)))),"")</f>
        <v/>
      </c>
      <c r="U765" s="542" t="str">
        <f>IFERROR(IF(C765="","",IF(INDEX(xyWattage_Table,MATCH(M765,'Fixture Identities'!$B$9:$B$997,0),2)="Exit Sign",1,IF(VLOOKUP(C765,xySpace_Type_Details,8,FALSE)="TRM",INDEX('General Information'!$AF$17:$AG$28,12,MATCH(N765,'General Information'!$AF$16:$AG$16,0)),HLOOKUP(VLOOKUP(C765,xySpace_Type_Details,8,FALSE),'General Information'!$P$15:$AG$28,14,FALSE)))),"")</f>
        <v/>
      </c>
      <c r="V765" s="542" t="str">
        <f>IFERROR(VLOOKUP(INDEX(xySpace_Type_Details,MATCH($C765,'General Information'!$C$40:$C$60,0),12),Lookups!$L$8:$N$12,2,FALSE),"")</f>
        <v/>
      </c>
      <c r="W765" s="542" t="str">
        <f>IFERROR(VLOOKUP(INDEX(xySpace_Type_Details,MATCH($C765,'General Information'!$C$40:$C$60,0),12),Lookups!$L$8:$N$12,3,FALSE),"")</f>
        <v/>
      </c>
      <c r="Y765" s="542" t="str">
        <f>IFERROR(IF(C765="","",IF(INDEX(xyWattage_Table,MATCH(M765,'Fixture Identities'!$B$9:$B$997,0),2)="Exit Sign",0,IF(PRJ_Type="Retrofit",VLOOKUP(I765,xySVG_Factors,2,FALSE),IF(AND(PRJ_Type="New Construction",Inventory!C762="N"),VLOOKUP(VLOOKUP(Building_Type,xyLPD_BuildingArea,5,FALSE),xySVG_Factors_NC,3,FALSE),0)))),"")</f>
        <v/>
      </c>
      <c r="Z765" s="544" t="str">
        <f>IFERROR(IF(C765="","",IF(INDEX(xyWattage_Table,MATCH(M765,'Fixture Identities'!$B$9:$B$997,0),2)="Exit Sign",0,VLOOKUP(S765,xySVG_Factors,2,FALSE))),"")</f>
        <v/>
      </c>
      <c r="AA765" s="545" t="str">
        <f t="shared" si="263"/>
        <v/>
      </c>
      <c r="AB765" s="542" t="str">
        <f t="shared" si="264"/>
        <v/>
      </c>
      <c r="AC765" s="539" t="str">
        <f t="shared" si="265"/>
        <v/>
      </c>
      <c r="AD765" s="546" t="str">
        <f t="shared" si="266"/>
        <v/>
      </c>
      <c r="AE765" s="539" t="str">
        <f t="shared" si="267"/>
        <v/>
      </c>
      <c r="AF765" s="546" t="str">
        <f t="shared" si="268"/>
        <v/>
      </c>
      <c r="AG765" s="539" t="str">
        <f t="shared" si="269"/>
        <v/>
      </c>
      <c r="AH765" s="32">
        <f t="shared" si="271"/>
        <v>0</v>
      </c>
      <c r="AI765" s="32">
        <f t="shared" si="272"/>
        <v>0</v>
      </c>
      <c r="AJ765" s="32">
        <f t="shared" si="273"/>
        <v>0</v>
      </c>
      <c r="AK765" t="str">
        <f t="shared" si="274"/>
        <v/>
      </c>
      <c r="AL765" t="str">
        <f t="shared" si="275"/>
        <v/>
      </c>
      <c r="AM765" t="str">
        <f t="shared" si="276"/>
        <v/>
      </c>
      <c r="AO765" t="str">
        <f>IFERROR(VLOOKUP(M765,'Fixture Identities'!$B$9:$O$1045,14,FALSE),"")</f>
        <v/>
      </c>
      <c r="AP765" t="str">
        <f t="shared" si="270"/>
        <v/>
      </c>
    </row>
    <row r="766" spans="1:42">
      <c r="A766" s="71">
        <f t="shared" si="278"/>
        <v>0</v>
      </c>
      <c r="B766" s="513">
        <f t="shared" si="277"/>
        <v>754</v>
      </c>
      <c r="C766" s="530" t="str">
        <f>IF(Inventory!E763="","",Inventory!E763)</f>
        <v/>
      </c>
      <c r="D766" s="531">
        <f>IF(Inventory!D763="",0,Inventory!D763)</f>
        <v>0</v>
      </c>
      <c r="E766" s="532" t="str">
        <f>IF(Inventory!I763=0,"",Inventory!I763)</f>
        <v/>
      </c>
      <c r="F766" s="533" t="str">
        <f t="shared" si="257"/>
        <v/>
      </c>
      <c r="G766" s="534" t="str">
        <f>IF(Inventory!G763="","",Inventory!G763)</f>
        <v/>
      </c>
      <c r="H766" s="535" t="str">
        <f t="shared" si="258"/>
        <v/>
      </c>
      <c r="I766" s="536" t="str">
        <f>IF(Inventory!J763="","",Inventory!J763)</f>
        <v/>
      </c>
      <c r="J766" s="537" t="str">
        <f>IFERROR(IF(PRJ_Type="New Construction",IF(Inventory!C763="N",INDEX(xyLPD_BuildingArea,MATCH(Building_Type,Lookups!$F$37:$F$75,0),4),INDEX(xyLPD_SpaceBySpace,MATCH(INDEX(xyNCEx,MATCH(I766,yNCExArea,0),2),ySpace_by_Space_Type,0),2)),VLOOKUP(E766,xyWattage_Table,11,FALSE)),"")</f>
        <v/>
      </c>
      <c r="K766" s="538" t="str">
        <f>IFERROR(IF(AND(NC_Type="Building Area Method",Inventory!C763="N"),IF(ISERROR(INDEX('Usage Groups (&gt;120 MWh only)'!$N$8:$N$12,MATCH(C766,'Usage Groups (&gt;120 MWh only)'!$B$8:$B$12,0),1))=TRUE,SqFt/COUNTIFS(Inventory!$C$10:$C$1009,"N",$Q$13:$Q$1012,"&gt;=0"),INDEX('Usage Groups (&gt;120 MWh only)'!$N$8:$N$12,MATCH(C766,'Usage Groups (&gt;120 MWh only)'!$B$8:$B$12,0),1)/COUNTIF($C$13:$C$1012,C766)),IF(AND(NC_Type="Building Area Method",Inventory!C763="Y"),INDEX(xyNCEx,MATCH(I766,yNCExArea,0),3)/COUNTIF($I$13:$I$1012,I766),VLOOKUP(J766,xyWattage_Table,10,FALSE))),"")</f>
        <v/>
      </c>
      <c r="L766" s="539" t="str">
        <f t="shared" si="259"/>
        <v/>
      </c>
      <c r="M766" s="540">
        <f>IF(Inventory!N763="","",Inventory!N763)</f>
        <v>0</v>
      </c>
      <c r="N766" s="533" t="str">
        <f t="shared" si="260"/>
        <v/>
      </c>
      <c r="O766" s="534"/>
      <c r="P766" s="533" t="str">
        <f t="shared" si="261"/>
        <v/>
      </c>
      <c r="Q766" s="534" t="str">
        <f>IF(Inventory!L763="","",Inventory!L763)</f>
        <v/>
      </c>
      <c r="R766" s="535" t="str">
        <f t="shared" si="262"/>
        <v/>
      </c>
      <c r="S766" s="536" t="str">
        <f>IF(Inventory!O763="","",Inventory!O763)</f>
        <v/>
      </c>
      <c r="T766" s="541" t="str">
        <f>IFERROR(IF(C766="","",IF(INDEX(xyWattage_Table,MATCH(M766,'Fixture Identities'!$B$9:$B$997,0),2)="Exit Sign",8760,IF(VLOOKUP(C766,xySpace_Type_Details,8,FALSE)="TRM",INDEX('General Information'!$AF$17:$AG$28,11,MATCH(N766,'General Information'!$AF$16:$AG$16,0)),HLOOKUP(VLOOKUP(C766,xySpace_Type_Details,8,FALSE),'General Information'!$P$15:$AG$28,13,FALSE)))),"")</f>
        <v/>
      </c>
      <c r="U766" s="542" t="str">
        <f>IFERROR(IF(C766="","",IF(INDEX(xyWattage_Table,MATCH(M766,'Fixture Identities'!$B$9:$B$997,0),2)="Exit Sign",1,IF(VLOOKUP(C766,xySpace_Type_Details,8,FALSE)="TRM",INDEX('General Information'!$AF$17:$AG$28,12,MATCH(N766,'General Information'!$AF$16:$AG$16,0)),HLOOKUP(VLOOKUP(C766,xySpace_Type_Details,8,FALSE),'General Information'!$P$15:$AG$28,14,FALSE)))),"")</f>
        <v/>
      </c>
      <c r="V766" s="542" t="str">
        <f>IFERROR(VLOOKUP(INDEX(xySpace_Type_Details,MATCH($C766,'General Information'!$C$40:$C$60,0),12),Lookups!$L$8:$N$12,2,FALSE),"")</f>
        <v/>
      </c>
      <c r="W766" s="542" t="str">
        <f>IFERROR(VLOOKUP(INDEX(xySpace_Type_Details,MATCH($C766,'General Information'!$C$40:$C$60,0),12),Lookups!$L$8:$N$12,3,FALSE),"")</f>
        <v/>
      </c>
      <c r="Y766" s="542" t="str">
        <f>IFERROR(IF(C766="","",IF(INDEX(xyWattage_Table,MATCH(M766,'Fixture Identities'!$B$9:$B$997,0),2)="Exit Sign",0,IF(PRJ_Type="Retrofit",VLOOKUP(I766,xySVG_Factors,2,FALSE),IF(AND(PRJ_Type="New Construction",Inventory!C763="N"),VLOOKUP(VLOOKUP(Building_Type,xyLPD_BuildingArea,5,FALSE),xySVG_Factors_NC,3,FALSE),0)))),"")</f>
        <v/>
      </c>
      <c r="Z766" s="544" t="str">
        <f>IFERROR(IF(C766="","",IF(INDEX(xyWattage_Table,MATCH(M766,'Fixture Identities'!$B$9:$B$997,0),2)="Exit Sign",0,VLOOKUP(S766,xySVG_Factors,2,FALSE))),"")</f>
        <v/>
      </c>
      <c r="AA766" s="545" t="str">
        <f t="shared" si="263"/>
        <v/>
      </c>
      <c r="AB766" s="542" t="str">
        <f t="shared" si="264"/>
        <v/>
      </c>
      <c r="AC766" s="539" t="str">
        <f t="shared" si="265"/>
        <v/>
      </c>
      <c r="AD766" s="546" t="str">
        <f t="shared" si="266"/>
        <v/>
      </c>
      <c r="AE766" s="539" t="str">
        <f t="shared" si="267"/>
        <v/>
      </c>
      <c r="AF766" s="546" t="str">
        <f t="shared" si="268"/>
        <v/>
      </c>
      <c r="AG766" s="539" t="str">
        <f t="shared" si="269"/>
        <v/>
      </c>
      <c r="AH766" s="32">
        <f t="shared" si="271"/>
        <v>0</v>
      </c>
      <c r="AI766" s="32">
        <f t="shared" si="272"/>
        <v>0</v>
      </c>
      <c r="AJ766" s="32">
        <f t="shared" si="273"/>
        <v>0</v>
      </c>
      <c r="AK766" t="str">
        <f t="shared" si="274"/>
        <v/>
      </c>
      <c r="AL766" t="str">
        <f t="shared" si="275"/>
        <v/>
      </c>
      <c r="AM766" t="str">
        <f t="shared" si="276"/>
        <v/>
      </c>
      <c r="AO766" t="str">
        <f>IFERROR(VLOOKUP(M766,'Fixture Identities'!$B$9:$O$1045,14,FALSE),"")</f>
        <v/>
      </c>
      <c r="AP766" t="str">
        <f t="shared" si="270"/>
        <v/>
      </c>
    </row>
    <row r="767" spans="1:42">
      <c r="A767" s="71">
        <f t="shared" si="278"/>
        <v>0</v>
      </c>
      <c r="B767" s="513">
        <f t="shared" si="277"/>
        <v>755</v>
      </c>
      <c r="C767" s="530" t="str">
        <f>IF(Inventory!E764="","",Inventory!E764)</f>
        <v/>
      </c>
      <c r="D767" s="531">
        <f>IF(Inventory!D764="",0,Inventory!D764)</f>
        <v>0</v>
      </c>
      <c r="E767" s="532" t="str">
        <f>IF(Inventory!I764=0,"",Inventory!I764)</f>
        <v/>
      </c>
      <c r="F767" s="533" t="str">
        <f t="shared" si="257"/>
        <v/>
      </c>
      <c r="G767" s="534" t="str">
        <f>IF(Inventory!G764="","",Inventory!G764)</f>
        <v/>
      </c>
      <c r="H767" s="535" t="str">
        <f t="shared" si="258"/>
        <v/>
      </c>
      <c r="I767" s="536" t="str">
        <f>IF(Inventory!J764="","",Inventory!J764)</f>
        <v/>
      </c>
      <c r="J767" s="537" t="str">
        <f>IFERROR(IF(PRJ_Type="New Construction",IF(Inventory!C764="N",INDEX(xyLPD_BuildingArea,MATCH(Building_Type,Lookups!$F$37:$F$75,0),4),INDEX(xyLPD_SpaceBySpace,MATCH(INDEX(xyNCEx,MATCH(I767,yNCExArea,0),2),ySpace_by_Space_Type,0),2)),VLOOKUP(E767,xyWattage_Table,11,FALSE)),"")</f>
        <v/>
      </c>
      <c r="K767" s="538" t="str">
        <f>IFERROR(IF(AND(NC_Type="Building Area Method",Inventory!C764="N"),IF(ISERROR(INDEX('Usage Groups (&gt;120 MWh only)'!$N$8:$N$12,MATCH(C767,'Usage Groups (&gt;120 MWh only)'!$B$8:$B$12,0),1))=TRUE,SqFt/COUNTIFS(Inventory!$C$10:$C$1009,"N",$Q$13:$Q$1012,"&gt;=0"),INDEX('Usage Groups (&gt;120 MWh only)'!$N$8:$N$12,MATCH(C767,'Usage Groups (&gt;120 MWh only)'!$B$8:$B$12,0),1)/COUNTIF($C$13:$C$1012,C767)),IF(AND(NC_Type="Building Area Method",Inventory!C764="Y"),INDEX(xyNCEx,MATCH(I767,yNCExArea,0),3)/COUNTIF($I$13:$I$1012,I767),VLOOKUP(J767,xyWattage_Table,10,FALSE))),"")</f>
        <v/>
      </c>
      <c r="L767" s="539" t="str">
        <f t="shared" si="259"/>
        <v/>
      </c>
      <c r="M767" s="540">
        <f>IF(Inventory!N764="","",Inventory!N764)</f>
        <v>0</v>
      </c>
      <c r="N767" s="533" t="str">
        <f t="shared" si="260"/>
        <v/>
      </c>
      <c r="O767" s="534"/>
      <c r="P767" s="533" t="str">
        <f t="shared" si="261"/>
        <v/>
      </c>
      <c r="Q767" s="534" t="str">
        <f>IF(Inventory!L764="","",Inventory!L764)</f>
        <v/>
      </c>
      <c r="R767" s="535" t="str">
        <f t="shared" si="262"/>
        <v/>
      </c>
      <c r="S767" s="536" t="str">
        <f>IF(Inventory!O764="","",Inventory!O764)</f>
        <v/>
      </c>
      <c r="T767" s="541" t="str">
        <f>IFERROR(IF(C767="","",IF(INDEX(xyWattage_Table,MATCH(M767,'Fixture Identities'!$B$9:$B$997,0),2)="Exit Sign",8760,IF(VLOOKUP(C767,xySpace_Type_Details,8,FALSE)="TRM",INDEX('General Information'!$AF$17:$AG$28,11,MATCH(N767,'General Information'!$AF$16:$AG$16,0)),HLOOKUP(VLOOKUP(C767,xySpace_Type_Details,8,FALSE),'General Information'!$P$15:$AG$28,13,FALSE)))),"")</f>
        <v/>
      </c>
      <c r="U767" s="542" t="str">
        <f>IFERROR(IF(C767="","",IF(INDEX(xyWattage_Table,MATCH(M767,'Fixture Identities'!$B$9:$B$997,0),2)="Exit Sign",1,IF(VLOOKUP(C767,xySpace_Type_Details,8,FALSE)="TRM",INDEX('General Information'!$AF$17:$AG$28,12,MATCH(N767,'General Information'!$AF$16:$AG$16,0)),HLOOKUP(VLOOKUP(C767,xySpace_Type_Details,8,FALSE),'General Information'!$P$15:$AG$28,14,FALSE)))),"")</f>
        <v/>
      </c>
      <c r="V767" s="542" t="str">
        <f>IFERROR(VLOOKUP(INDEX(xySpace_Type_Details,MATCH($C767,'General Information'!$C$40:$C$60,0),12),Lookups!$L$8:$N$12,2,FALSE),"")</f>
        <v/>
      </c>
      <c r="W767" s="542" t="str">
        <f>IFERROR(VLOOKUP(INDEX(xySpace_Type_Details,MATCH($C767,'General Information'!$C$40:$C$60,0),12),Lookups!$L$8:$N$12,3,FALSE),"")</f>
        <v/>
      </c>
      <c r="Y767" s="542" t="str">
        <f>IFERROR(IF(C767="","",IF(INDEX(xyWattage_Table,MATCH(M767,'Fixture Identities'!$B$9:$B$997,0),2)="Exit Sign",0,IF(PRJ_Type="Retrofit",VLOOKUP(I767,xySVG_Factors,2,FALSE),IF(AND(PRJ_Type="New Construction",Inventory!C764="N"),VLOOKUP(VLOOKUP(Building_Type,xyLPD_BuildingArea,5,FALSE),xySVG_Factors_NC,3,FALSE),0)))),"")</f>
        <v/>
      </c>
      <c r="Z767" s="544" t="str">
        <f>IFERROR(IF(C767="","",IF(INDEX(xyWattage_Table,MATCH(M767,'Fixture Identities'!$B$9:$B$997,0),2)="Exit Sign",0,VLOOKUP(S767,xySVG_Factors,2,FALSE))),"")</f>
        <v/>
      </c>
      <c r="AA767" s="545" t="str">
        <f t="shared" si="263"/>
        <v/>
      </c>
      <c r="AB767" s="542" t="str">
        <f t="shared" si="264"/>
        <v/>
      </c>
      <c r="AC767" s="539" t="str">
        <f t="shared" si="265"/>
        <v/>
      </c>
      <c r="AD767" s="546" t="str">
        <f t="shared" si="266"/>
        <v/>
      </c>
      <c r="AE767" s="539" t="str">
        <f t="shared" si="267"/>
        <v/>
      </c>
      <c r="AF767" s="546" t="str">
        <f t="shared" si="268"/>
        <v/>
      </c>
      <c r="AG767" s="539" t="str">
        <f t="shared" si="269"/>
        <v/>
      </c>
      <c r="AH767" s="32">
        <f t="shared" si="271"/>
        <v>0</v>
      </c>
      <c r="AI767" s="32">
        <f t="shared" si="272"/>
        <v>0</v>
      </c>
      <c r="AJ767" s="32">
        <f t="shared" si="273"/>
        <v>0</v>
      </c>
      <c r="AK767" t="str">
        <f t="shared" si="274"/>
        <v/>
      </c>
      <c r="AL767" t="str">
        <f t="shared" si="275"/>
        <v/>
      </c>
      <c r="AM767" t="str">
        <f t="shared" si="276"/>
        <v/>
      </c>
      <c r="AO767" t="str">
        <f>IFERROR(VLOOKUP(M767,'Fixture Identities'!$B$9:$O$1045,14,FALSE),"")</f>
        <v/>
      </c>
      <c r="AP767" t="str">
        <f t="shared" si="270"/>
        <v/>
      </c>
    </row>
    <row r="768" spans="1:42">
      <c r="A768" s="71">
        <f t="shared" si="278"/>
        <v>0</v>
      </c>
      <c r="B768" s="513">
        <f t="shared" si="277"/>
        <v>756</v>
      </c>
      <c r="C768" s="530" t="str">
        <f>IF(Inventory!E765="","",Inventory!E765)</f>
        <v/>
      </c>
      <c r="D768" s="531">
        <f>IF(Inventory!D765="",0,Inventory!D765)</f>
        <v>0</v>
      </c>
      <c r="E768" s="532" t="str">
        <f>IF(Inventory!I765=0,"",Inventory!I765)</f>
        <v/>
      </c>
      <c r="F768" s="533" t="str">
        <f t="shared" si="257"/>
        <v/>
      </c>
      <c r="G768" s="534" t="str">
        <f>IF(Inventory!G765="","",Inventory!G765)</f>
        <v/>
      </c>
      <c r="H768" s="535" t="str">
        <f t="shared" si="258"/>
        <v/>
      </c>
      <c r="I768" s="536" t="str">
        <f>IF(Inventory!J765="","",Inventory!J765)</f>
        <v/>
      </c>
      <c r="J768" s="537" t="str">
        <f>IFERROR(IF(PRJ_Type="New Construction",IF(Inventory!C765="N",INDEX(xyLPD_BuildingArea,MATCH(Building_Type,Lookups!$F$37:$F$75,0),4),INDEX(xyLPD_SpaceBySpace,MATCH(INDEX(xyNCEx,MATCH(I768,yNCExArea,0),2),ySpace_by_Space_Type,0),2)),VLOOKUP(E768,xyWattage_Table,11,FALSE)),"")</f>
        <v/>
      </c>
      <c r="K768" s="538" t="str">
        <f>IFERROR(IF(AND(NC_Type="Building Area Method",Inventory!C765="N"),IF(ISERROR(INDEX('Usage Groups (&gt;120 MWh only)'!$N$8:$N$12,MATCH(C768,'Usage Groups (&gt;120 MWh only)'!$B$8:$B$12,0),1))=TRUE,SqFt/COUNTIFS(Inventory!$C$10:$C$1009,"N",$Q$13:$Q$1012,"&gt;=0"),INDEX('Usage Groups (&gt;120 MWh only)'!$N$8:$N$12,MATCH(C768,'Usage Groups (&gt;120 MWh only)'!$B$8:$B$12,0),1)/COUNTIF($C$13:$C$1012,C768)),IF(AND(NC_Type="Building Area Method",Inventory!C765="Y"),INDEX(xyNCEx,MATCH(I768,yNCExArea,0),3)/COUNTIF($I$13:$I$1012,I768),VLOOKUP(J768,xyWattage_Table,10,FALSE))),"")</f>
        <v/>
      </c>
      <c r="L768" s="539" t="str">
        <f t="shared" si="259"/>
        <v/>
      </c>
      <c r="M768" s="540">
        <f>IF(Inventory!N765="","",Inventory!N765)</f>
        <v>0</v>
      </c>
      <c r="N768" s="533" t="str">
        <f t="shared" si="260"/>
        <v/>
      </c>
      <c r="O768" s="534"/>
      <c r="P768" s="533" t="str">
        <f t="shared" si="261"/>
        <v/>
      </c>
      <c r="Q768" s="534" t="str">
        <f>IF(Inventory!L765="","",Inventory!L765)</f>
        <v/>
      </c>
      <c r="R768" s="535" t="str">
        <f t="shared" si="262"/>
        <v/>
      </c>
      <c r="S768" s="536" t="str">
        <f>IF(Inventory!O765="","",Inventory!O765)</f>
        <v/>
      </c>
      <c r="T768" s="541" t="str">
        <f>IFERROR(IF(C768="","",IF(INDEX(xyWattage_Table,MATCH(M768,'Fixture Identities'!$B$9:$B$997,0),2)="Exit Sign",8760,IF(VLOOKUP(C768,xySpace_Type_Details,8,FALSE)="TRM",INDEX('General Information'!$AF$17:$AG$28,11,MATCH(N768,'General Information'!$AF$16:$AG$16,0)),HLOOKUP(VLOOKUP(C768,xySpace_Type_Details,8,FALSE),'General Information'!$P$15:$AG$28,13,FALSE)))),"")</f>
        <v/>
      </c>
      <c r="U768" s="542" t="str">
        <f>IFERROR(IF(C768="","",IF(INDEX(xyWattage_Table,MATCH(M768,'Fixture Identities'!$B$9:$B$997,0),2)="Exit Sign",1,IF(VLOOKUP(C768,xySpace_Type_Details,8,FALSE)="TRM",INDEX('General Information'!$AF$17:$AG$28,12,MATCH(N768,'General Information'!$AF$16:$AG$16,0)),HLOOKUP(VLOOKUP(C768,xySpace_Type_Details,8,FALSE),'General Information'!$P$15:$AG$28,14,FALSE)))),"")</f>
        <v/>
      </c>
      <c r="V768" s="542" t="str">
        <f>IFERROR(VLOOKUP(INDEX(xySpace_Type_Details,MATCH($C768,'General Information'!$C$40:$C$60,0),12),Lookups!$L$8:$N$12,2,FALSE),"")</f>
        <v/>
      </c>
      <c r="W768" s="542" t="str">
        <f>IFERROR(VLOOKUP(INDEX(xySpace_Type_Details,MATCH($C768,'General Information'!$C$40:$C$60,0),12),Lookups!$L$8:$N$12,3,FALSE),"")</f>
        <v/>
      </c>
      <c r="Y768" s="542" t="str">
        <f>IFERROR(IF(C768="","",IF(INDEX(xyWattage_Table,MATCH(M768,'Fixture Identities'!$B$9:$B$997,0),2)="Exit Sign",0,IF(PRJ_Type="Retrofit",VLOOKUP(I768,xySVG_Factors,2,FALSE),IF(AND(PRJ_Type="New Construction",Inventory!C765="N"),VLOOKUP(VLOOKUP(Building_Type,xyLPD_BuildingArea,5,FALSE),xySVG_Factors_NC,3,FALSE),0)))),"")</f>
        <v/>
      </c>
      <c r="Z768" s="544" t="str">
        <f>IFERROR(IF(C768="","",IF(INDEX(xyWattage_Table,MATCH(M768,'Fixture Identities'!$B$9:$B$997,0),2)="Exit Sign",0,VLOOKUP(S768,xySVG_Factors,2,FALSE))),"")</f>
        <v/>
      </c>
      <c r="AA768" s="545" t="str">
        <f t="shared" si="263"/>
        <v/>
      </c>
      <c r="AB768" s="542" t="str">
        <f t="shared" si="264"/>
        <v/>
      </c>
      <c r="AC768" s="539" t="str">
        <f t="shared" si="265"/>
        <v/>
      </c>
      <c r="AD768" s="546" t="str">
        <f t="shared" si="266"/>
        <v/>
      </c>
      <c r="AE768" s="539" t="str">
        <f t="shared" si="267"/>
        <v/>
      </c>
      <c r="AF768" s="546" t="str">
        <f t="shared" si="268"/>
        <v/>
      </c>
      <c r="AG768" s="539" t="str">
        <f t="shared" si="269"/>
        <v/>
      </c>
      <c r="AH768" s="32">
        <f t="shared" si="271"/>
        <v>0</v>
      </c>
      <c r="AI768" s="32">
        <f t="shared" si="272"/>
        <v>0</v>
      </c>
      <c r="AJ768" s="32">
        <f t="shared" si="273"/>
        <v>0</v>
      </c>
      <c r="AK768" t="str">
        <f t="shared" si="274"/>
        <v/>
      </c>
      <c r="AL768" t="str">
        <f t="shared" si="275"/>
        <v/>
      </c>
      <c r="AM768" t="str">
        <f t="shared" si="276"/>
        <v/>
      </c>
      <c r="AO768" t="str">
        <f>IFERROR(VLOOKUP(M768,'Fixture Identities'!$B$9:$O$1045,14,FALSE),"")</f>
        <v/>
      </c>
      <c r="AP768" t="str">
        <f t="shared" si="270"/>
        <v/>
      </c>
    </row>
    <row r="769" spans="1:42">
      <c r="A769" s="71">
        <f t="shared" si="278"/>
        <v>0</v>
      </c>
      <c r="B769" s="513">
        <f t="shared" si="277"/>
        <v>757</v>
      </c>
      <c r="C769" s="530" t="str">
        <f>IF(Inventory!E766="","",Inventory!E766)</f>
        <v/>
      </c>
      <c r="D769" s="531">
        <f>IF(Inventory!D766="",0,Inventory!D766)</f>
        <v>0</v>
      </c>
      <c r="E769" s="532" t="str">
        <f>IF(Inventory!I766=0,"",Inventory!I766)</f>
        <v/>
      </c>
      <c r="F769" s="533" t="str">
        <f t="shared" si="257"/>
        <v/>
      </c>
      <c r="G769" s="534" t="str">
        <f>IF(Inventory!G766="","",Inventory!G766)</f>
        <v/>
      </c>
      <c r="H769" s="535" t="str">
        <f t="shared" si="258"/>
        <v/>
      </c>
      <c r="I769" s="536" t="str">
        <f>IF(Inventory!J766="","",Inventory!J766)</f>
        <v/>
      </c>
      <c r="J769" s="537" t="str">
        <f>IFERROR(IF(PRJ_Type="New Construction",IF(Inventory!C766="N",INDEX(xyLPD_BuildingArea,MATCH(Building_Type,Lookups!$F$37:$F$75,0),4),INDEX(xyLPD_SpaceBySpace,MATCH(INDEX(xyNCEx,MATCH(I769,yNCExArea,0),2),ySpace_by_Space_Type,0),2)),VLOOKUP(E769,xyWattage_Table,11,FALSE)),"")</f>
        <v/>
      </c>
      <c r="K769" s="538" t="str">
        <f>IFERROR(IF(AND(NC_Type="Building Area Method",Inventory!C766="N"),IF(ISERROR(INDEX('Usage Groups (&gt;120 MWh only)'!$N$8:$N$12,MATCH(C769,'Usage Groups (&gt;120 MWh only)'!$B$8:$B$12,0),1))=TRUE,SqFt/COUNTIFS(Inventory!$C$10:$C$1009,"N",$Q$13:$Q$1012,"&gt;=0"),INDEX('Usage Groups (&gt;120 MWh only)'!$N$8:$N$12,MATCH(C769,'Usage Groups (&gt;120 MWh only)'!$B$8:$B$12,0),1)/COUNTIF($C$13:$C$1012,C769)),IF(AND(NC_Type="Building Area Method",Inventory!C766="Y"),INDEX(xyNCEx,MATCH(I769,yNCExArea,0),3)/COUNTIF($I$13:$I$1012,I769),VLOOKUP(J769,xyWattage_Table,10,FALSE))),"")</f>
        <v/>
      </c>
      <c r="L769" s="539" t="str">
        <f t="shared" si="259"/>
        <v/>
      </c>
      <c r="M769" s="540">
        <f>IF(Inventory!N766="","",Inventory!N766)</f>
        <v>0</v>
      </c>
      <c r="N769" s="533" t="str">
        <f t="shared" si="260"/>
        <v/>
      </c>
      <c r="O769" s="534"/>
      <c r="P769" s="533" t="str">
        <f t="shared" si="261"/>
        <v/>
      </c>
      <c r="Q769" s="534" t="str">
        <f>IF(Inventory!L766="","",Inventory!L766)</f>
        <v/>
      </c>
      <c r="R769" s="535" t="str">
        <f t="shared" si="262"/>
        <v/>
      </c>
      <c r="S769" s="536" t="str">
        <f>IF(Inventory!O766="","",Inventory!O766)</f>
        <v/>
      </c>
      <c r="T769" s="541" t="str">
        <f>IFERROR(IF(C769="","",IF(INDEX(xyWattage_Table,MATCH(M769,'Fixture Identities'!$B$9:$B$997,0),2)="Exit Sign",8760,IF(VLOOKUP(C769,xySpace_Type_Details,8,FALSE)="TRM",INDEX('General Information'!$AF$17:$AG$28,11,MATCH(N769,'General Information'!$AF$16:$AG$16,0)),HLOOKUP(VLOOKUP(C769,xySpace_Type_Details,8,FALSE),'General Information'!$P$15:$AG$28,13,FALSE)))),"")</f>
        <v/>
      </c>
      <c r="U769" s="542" t="str">
        <f>IFERROR(IF(C769="","",IF(INDEX(xyWattage_Table,MATCH(M769,'Fixture Identities'!$B$9:$B$997,0),2)="Exit Sign",1,IF(VLOOKUP(C769,xySpace_Type_Details,8,FALSE)="TRM",INDEX('General Information'!$AF$17:$AG$28,12,MATCH(N769,'General Information'!$AF$16:$AG$16,0)),HLOOKUP(VLOOKUP(C769,xySpace_Type_Details,8,FALSE),'General Information'!$P$15:$AG$28,14,FALSE)))),"")</f>
        <v/>
      </c>
      <c r="V769" s="542" t="str">
        <f>IFERROR(VLOOKUP(INDEX(xySpace_Type_Details,MATCH($C769,'General Information'!$C$40:$C$60,0),12),Lookups!$L$8:$N$12,2,FALSE),"")</f>
        <v/>
      </c>
      <c r="W769" s="542" t="str">
        <f>IFERROR(VLOOKUP(INDEX(xySpace_Type_Details,MATCH($C769,'General Information'!$C$40:$C$60,0),12),Lookups!$L$8:$N$12,3,FALSE),"")</f>
        <v/>
      </c>
      <c r="Y769" s="542" t="str">
        <f>IFERROR(IF(C769="","",IF(INDEX(xyWattage_Table,MATCH(M769,'Fixture Identities'!$B$9:$B$997,0),2)="Exit Sign",0,IF(PRJ_Type="Retrofit",VLOOKUP(I769,xySVG_Factors,2,FALSE),IF(AND(PRJ_Type="New Construction",Inventory!C766="N"),VLOOKUP(VLOOKUP(Building_Type,xyLPD_BuildingArea,5,FALSE),xySVG_Factors_NC,3,FALSE),0)))),"")</f>
        <v/>
      </c>
      <c r="Z769" s="544" t="str">
        <f>IFERROR(IF(C769="","",IF(INDEX(xyWattage_Table,MATCH(M769,'Fixture Identities'!$B$9:$B$997,0),2)="Exit Sign",0,VLOOKUP(S769,xySVG_Factors,2,FALSE))),"")</f>
        <v/>
      </c>
      <c r="AA769" s="545" t="str">
        <f t="shared" si="263"/>
        <v/>
      </c>
      <c r="AB769" s="542" t="str">
        <f t="shared" si="264"/>
        <v/>
      </c>
      <c r="AC769" s="539" t="str">
        <f t="shared" si="265"/>
        <v/>
      </c>
      <c r="AD769" s="546" t="str">
        <f t="shared" si="266"/>
        <v/>
      </c>
      <c r="AE769" s="539" t="str">
        <f t="shared" si="267"/>
        <v/>
      </c>
      <c r="AF769" s="546" t="str">
        <f t="shared" si="268"/>
        <v/>
      </c>
      <c r="AG769" s="539" t="str">
        <f t="shared" si="269"/>
        <v/>
      </c>
      <c r="AH769" s="32">
        <f t="shared" si="271"/>
        <v>0</v>
      </c>
      <c r="AI769" s="32">
        <f t="shared" si="272"/>
        <v>0</v>
      </c>
      <c r="AJ769" s="32">
        <f t="shared" si="273"/>
        <v>0</v>
      </c>
      <c r="AK769" t="str">
        <f t="shared" si="274"/>
        <v/>
      </c>
      <c r="AL769" t="str">
        <f t="shared" si="275"/>
        <v/>
      </c>
      <c r="AM769" t="str">
        <f t="shared" si="276"/>
        <v/>
      </c>
      <c r="AO769" t="str">
        <f>IFERROR(VLOOKUP(M769,'Fixture Identities'!$B$9:$O$1045,14,FALSE),"")</f>
        <v/>
      </c>
      <c r="AP769" t="str">
        <f t="shared" si="270"/>
        <v/>
      </c>
    </row>
    <row r="770" spans="1:42">
      <c r="A770" s="71">
        <f t="shared" si="278"/>
        <v>0</v>
      </c>
      <c r="B770" s="513">
        <f t="shared" si="277"/>
        <v>758</v>
      </c>
      <c r="C770" s="530" t="str">
        <f>IF(Inventory!E767="","",Inventory!E767)</f>
        <v/>
      </c>
      <c r="D770" s="531">
        <f>IF(Inventory!D767="",0,Inventory!D767)</f>
        <v>0</v>
      </c>
      <c r="E770" s="532" t="str">
        <f>IF(Inventory!I767=0,"",Inventory!I767)</f>
        <v/>
      </c>
      <c r="F770" s="533" t="str">
        <f t="shared" si="257"/>
        <v/>
      </c>
      <c r="G770" s="534" t="str">
        <f>IF(Inventory!G767="","",Inventory!G767)</f>
        <v/>
      </c>
      <c r="H770" s="535" t="str">
        <f t="shared" si="258"/>
        <v/>
      </c>
      <c r="I770" s="536" t="str">
        <f>IF(Inventory!J767="","",Inventory!J767)</f>
        <v/>
      </c>
      <c r="J770" s="537" t="str">
        <f>IFERROR(IF(PRJ_Type="New Construction",IF(Inventory!C767="N",INDEX(xyLPD_BuildingArea,MATCH(Building_Type,Lookups!$F$37:$F$75,0),4),INDEX(xyLPD_SpaceBySpace,MATCH(INDEX(xyNCEx,MATCH(I770,yNCExArea,0),2),ySpace_by_Space_Type,0),2)),VLOOKUP(E770,xyWattage_Table,11,FALSE)),"")</f>
        <v/>
      </c>
      <c r="K770" s="538" t="str">
        <f>IFERROR(IF(AND(NC_Type="Building Area Method",Inventory!C767="N"),IF(ISERROR(INDEX('Usage Groups (&gt;120 MWh only)'!$N$8:$N$12,MATCH(C770,'Usage Groups (&gt;120 MWh only)'!$B$8:$B$12,0),1))=TRUE,SqFt/COUNTIFS(Inventory!$C$10:$C$1009,"N",$Q$13:$Q$1012,"&gt;=0"),INDEX('Usage Groups (&gt;120 MWh only)'!$N$8:$N$12,MATCH(C770,'Usage Groups (&gt;120 MWh only)'!$B$8:$B$12,0),1)/COUNTIF($C$13:$C$1012,C770)),IF(AND(NC_Type="Building Area Method",Inventory!C767="Y"),INDEX(xyNCEx,MATCH(I770,yNCExArea,0),3)/COUNTIF($I$13:$I$1012,I770),VLOOKUP(J770,xyWattage_Table,10,FALSE))),"")</f>
        <v/>
      </c>
      <c r="L770" s="539" t="str">
        <f t="shared" si="259"/>
        <v/>
      </c>
      <c r="M770" s="540">
        <f>IF(Inventory!N767="","",Inventory!N767)</f>
        <v>0</v>
      </c>
      <c r="N770" s="533" t="str">
        <f t="shared" si="260"/>
        <v/>
      </c>
      <c r="O770" s="534"/>
      <c r="P770" s="533" t="str">
        <f t="shared" si="261"/>
        <v/>
      </c>
      <c r="Q770" s="534" t="str">
        <f>IF(Inventory!L767="","",Inventory!L767)</f>
        <v/>
      </c>
      <c r="R770" s="535" t="str">
        <f t="shared" si="262"/>
        <v/>
      </c>
      <c r="S770" s="536" t="str">
        <f>IF(Inventory!O767="","",Inventory!O767)</f>
        <v/>
      </c>
      <c r="T770" s="541" t="str">
        <f>IFERROR(IF(C770="","",IF(INDEX(xyWattage_Table,MATCH(M770,'Fixture Identities'!$B$9:$B$997,0),2)="Exit Sign",8760,IF(VLOOKUP(C770,xySpace_Type_Details,8,FALSE)="TRM",INDEX('General Information'!$AF$17:$AG$28,11,MATCH(N770,'General Information'!$AF$16:$AG$16,0)),HLOOKUP(VLOOKUP(C770,xySpace_Type_Details,8,FALSE),'General Information'!$P$15:$AG$28,13,FALSE)))),"")</f>
        <v/>
      </c>
      <c r="U770" s="542" t="str">
        <f>IFERROR(IF(C770="","",IF(INDEX(xyWattage_Table,MATCH(M770,'Fixture Identities'!$B$9:$B$997,0),2)="Exit Sign",1,IF(VLOOKUP(C770,xySpace_Type_Details,8,FALSE)="TRM",INDEX('General Information'!$AF$17:$AG$28,12,MATCH(N770,'General Information'!$AF$16:$AG$16,0)),HLOOKUP(VLOOKUP(C770,xySpace_Type_Details,8,FALSE),'General Information'!$P$15:$AG$28,14,FALSE)))),"")</f>
        <v/>
      </c>
      <c r="V770" s="542" t="str">
        <f>IFERROR(VLOOKUP(INDEX(xySpace_Type_Details,MATCH($C770,'General Information'!$C$40:$C$60,0),12),Lookups!$L$8:$N$12,2,FALSE),"")</f>
        <v/>
      </c>
      <c r="W770" s="542" t="str">
        <f>IFERROR(VLOOKUP(INDEX(xySpace_Type_Details,MATCH($C770,'General Information'!$C$40:$C$60,0),12),Lookups!$L$8:$N$12,3,FALSE),"")</f>
        <v/>
      </c>
      <c r="Y770" s="542" t="str">
        <f>IFERROR(IF(C770="","",IF(INDEX(xyWattage_Table,MATCH(M770,'Fixture Identities'!$B$9:$B$997,0),2)="Exit Sign",0,IF(PRJ_Type="Retrofit",VLOOKUP(I770,xySVG_Factors,2,FALSE),IF(AND(PRJ_Type="New Construction",Inventory!C767="N"),VLOOKUP(VLOOKUP(Building_Type,xyLPD_BuildingArea,5,FALSE),xySVG_Factors_NC,3,FALSE),0)))),"")</f>
        <v/>
      </c>
      <c r="Z770" s="544" t="str">
        <f>IFERROR(IF(C770="","",IF(INDEX(xyWattage_Table,MATCH(M770,'Fixture Identities'!$B$9:$B$997,0),2)="Exit Sign",0,VLOOKUP(S770,xySVG_Factors,2,FALSE))),"")</f>
        <v/>
      </c>
      <c r="AA770" s="545" t="str">
        <f t="shared" si="263"/>
        <v/>
      </c>
      <c r="AB770" s="542" t="str">
        <f t="shared" si="264"/>
        <v/>
      </c>
      <c r="AC770" s="539" t="str">
        <f t="shared" si="265"/>
        <v/>
      </c>
      <c r="AD770" s="546" t="str">
        <f t="shared" si="266"/>
        <v/>
      </c>
      <c r="AE770" s="539" t="str">
        <f t="shared" si="267"/>
        <v/>
      </c>
      <c r="AF770" s="546" t="str">
        <f t="shared" si="268"/>
        <v/>
      </c>
      <c r="AG770" s="539" t="str">
        <f t="shared" si="269"/>
        <v/>
      </c>
      <c r="AH770" s="32">
        <f t="shared" si="271"/>
        <v>0</v>
      </c>
      <c r="AI770" s="32">
        <f t="shared" si="272"/>
        <v>0</v>
      </c>
      <c r="AJ770" s="32">
        <f t="shared" si="273"/>
        <v>0</v>
      </c>
      <c r="AK770" t="str">
        <f t="shared" si="274"/>
        <v/>
      </c>
      <c r="AL770" t="str">
        <f t="shared" si="275"/>
        <v/>
      </c>
      <c r="AM770" t="str">
        <f t="shared" si="276"/>
        <v/>
      </c>
      <c r="AO770" t="str">
        <f>IFERROR(VLOOKUP(M770,'Fixture Identities'!$B$9:$O$1045,14,FALSE),"")</f>
        <v/>
      </c>
      <c r="AP770" t="str">
        <f t="shared" si="270"/>
        <v/>
      </c>
    </row>
    <row r="771" spans="1:42">
      <c r="A771" s="71">
        <f t="shared" si="278"/>
        <v>0</v>
      </c>
      <c r="B771" s="513">
        <f t="shared" si="277"/>
        <v>759</v>
      </c>
      <c r="C771" s="530" t="str">
        <f>IF(Inventory!E768="","",Inventory!E768)</f>
        <v/>
      </c>
      <c r="D771" s="531">
        <f>IF(Inventory!D768="",0,Inventory!D768)</f>
        <v>0</v>
      </c>
      <c r="E771" s="532" t="str">
        <f>IF(Inventory!I768=0,"",Inventory!I768)</f>
        <v/>
      </c>
      <c r="F771" s="533" t="str">
        <f t="shared" si="257"/>
        <v/>
      </c>
      <c r="G771" s="534" t="str">
        <f>IF(Inventory!G768="","",Inventory!G768)</f>
        <v/>
      </c>
      <c r="H771" s="535" t="str">
        <f t="shared" si="258"/>
        <v/>
      </c>
      <c r="I771" s="536" t="str">
        <f>IF(Inventory!J768="","",Inventory!J768)</f>
        <v/>
      </c>
      <c r="J771" s="537" t="str">
        <f>IFERROR(IF(PRJ_Type="New Construction",IF(Inventory!C768="N",INDEX(xyLPD_BuildingArea,MATCH(Building_Type,Lookups!$F$37:$F$75,0),4),INDEX(xyLPD_SpaceBySpace,MATCH(INDEX(xyNCEx,MATCH(I771,yNCExArea,0),2),ySpace_by_Space_Type,0),2)),VLOOKUP(E771,xyWattage_Table,11,FALSE)),"")</f>
        <v/>
      </c>
      <c r="K771" s="538" t="str">
        <f>IFERROR(IF(AND(NC_Type="Building Area Method",Inventory!C768="N"),IF(ISERROR(INDEX('Usage Groups (&gt;120 MWh only)'!$N$8:$N$12,MATCH(C771,'Usage Groups (&gt;120 MWh only)'!$B$8:$B$12,0),1))=TRUE,SqFt/COUNTIFS(Inventory!$C$10:$C$1009,"N",$Q$13:$Q$1012,"&gt;=0"),INDEX('Usage Groups (&gt;120 MWh only)'!$N$8:$N$12,MATCH(C771,'Usage Groups (&gt;120 MWh only)'!$B$8:$B$12,0),1)/COUNTIF($C$13:$C$1012,C771)),IF(AND(NC_Type="Building Area Method",Inventory!C768="Y"),INDEX(xyNCEx,MATCH(I771,yNCExArea,0),3)/COUNTIF($I$13:$I$1012,I771),VLOOKUP(J771,xyWattage_Table,10,FALSE))),"")</f>
        <v/>
      </c>
      <c r="L771" s="539" t="str">
        <f t="shared" si="259"/>
        <v/>
      </c>
      <c r="M771" s="540">
        <f>IF(Inventory!N768="","",Inventory!N768)</f>
        <v>0</v>
      </c>
      <c r="N771" s="533" t="str">
        <f t="shared" si="260"/>
        <v/>
      </c>
      <c r="O771" s="534"/>
      <c r="P771" s="533" t="str">
        <f t="shared" si="261"/>
        <v/>
      </c>
      <c r="Q771" s="534" t="str">
        <f>IF(Inventory!L768="","",Inventory!L768)</f>
        <v/>
      </c>
      <c r="R771" s="535" t="str">
        <f t="shared" si="262"/>
        <v/>
      </c>
      <c r="S771" s="536" t="str">
        <f>IF(Inventory!O768="","",Inventory!O768)</f>
        <v/>
      </c>
      <c r="T771" s="541" t="str">
        <f>IFERROR(IF(C771="","",IF(INDEX(xyWattage_Table,MATCH(M771,'Fixture Identities'!$B$9:$B$997,0),2)="Exit Sign",8760,IF(VLOOKUP(C771,xySpace_Type_Details,8,FALSE)="TRM",INDEX('General Information'!$AF$17:$AG$28,11,MATCH(N771,'General Information'!$AF$16:$AG$16,0)),HLOOKUP(VLOOKUP(C771,xySpace_Type_Details,8,FALSE),'General Information'!$P$15:$AG$28,13,FALSE)))),"")</f>
        <v/>
      </c>
      <c r="U771" s="542" t="str">
        <f>IFERROR(IF(C771="","",IF(INDEX(xyWattage_Table,MATCH(M771,'Fixture Identities'!$B$9:$B$997,0),2)="Exit Sign",1,IF(VLOOKUP(C771,xySpace_Type_Details,8,FALSE)="TRM",INDEX('General Information'!$AF$17:$AG$28,12,MATCH(N771,'General Information'!$AF$16:$AG$16,0)),HLOOKUP(VLOOKUP(C771,xySpace_Type_Details,8,FALSE),'General Information'!$P$15:$AG$28,14,FALSE)))),"")</f>
        <v/>
      </c>
      <c r="V771" s="542" t="str">
        <f>IFERROR(VLOOKUP(INDEX(xySpace_Type_Details,MATCH($C771,'General Information'!$C$40:$C$60,0),12),Lookups!$L$8:$N$12,2,FALSE),"")</f>
        <v/>
      </c>
      <c r="W771" s="542" t="str">
        <f>IFERROR(VLOOKUP(INDEX(xySpace_Type_Details,MATCH($C771,'General Information'!$C$40:$C$60,0),12),Lookups!$L$8:$N$12,3,FALSE),"")</f>
        <v/>
      </c>
      <c r="Y771" s="542" t="str">
        <f>IFERROR(IF(C771="","",IF(INDEX(xyWattage_Table,MATCH(M771,'Fixture Identities'!$B$9:$B$997,0),2)="Exit Sign",0,IF(PRJ_Type="Retrofit",VLOOKUP(I771,xySVG_Factors,2,FALSE),IF(AND(PRJ_Type="New Construction",Inventory!C768="N"),VLOOKUP(VLOOKUP(Building_Type,xyLPD_BuildingArea,5,FALSE),xySVG_Factors_NC,3,FALSE),0)))),"")</f>
        <v/>
      </c>
      <c r="Z771" s="544" t="str">
        <f>IFERROR(IF(C771="","",IF(INDEX(xyWattage_Table,MATCH(M771,'Fixture Identities'!$B$9:$B$997,0),2)="Exit Sign",0,VLOOKUP(S771,xySVG_Factors,2,FALSE))),"")</f>
        <v/>
      </c>
      <c r="AA771" s="545" t="str">
        <f t="shared" si="263"/>
        <v/>
      </c>
      <c r="AB771" s="542" t="str">
        <f t="shared" si="264"/>
        <v/>
      </c>
      <c r="AC771" s="539" t="str">
        <f t="shared" si="265"/>
        <v/>
      </c>
      <c r="AD771" s="546" t="str">
        <f t="shared" si="266"/>
        <v/>
      </c>
      <c r="AE771" s="539" t="str">
        <f t="shared" si="267"/>
        <v/>
      </c>
      <c r="AF771" s="546" t="str">
        <f t="shared" si="268"/>
        <v/>
      </c>
      <c r="AG771" s="539" t="str">
        <f t="shared" si="269"/>
        <v/>
      </c>
      <c r="AH771" s="32">
        <f t="shared" si="271"/>
        <v>0</v>
      </c>
      <c r="AI771" s="32">
        <f t="shared" si="272"/>
        <v>0</v>
      </c>
      <c r="AJ771" s="32">
        <f t="shared" si="273"/>
        <v>0</v>
      </c>
      <c r="AK771" t="str">
        <f t="shared" si="274"/>
        <v/>
      </c>
      <c r="AL771" t="str">
        <f t="shared" si="275"/>
        <v/>
      </c>
      <c r="AM771" t="str">
        <f t="shared" si="276"/>
        <v/>
      </c>
      <c r="AO771" t="str">
        <f>IFERROR(VLOOKUP(M771,'Fixture Identities'!$B$9:$O$1045,14,FALSE),"")</f>
        <v/>
      </c>
      <c r="AP771" t="str">
        <f t="shared" si="270"/>
        <v/>
      </c>
    </row>
    <row r="772" spans="1:42">
      <c r="A772" s="71">
        <f t="shared" si="278"/>
        <v>0</v>
      </c>
      <c r="B772" s="513">
        <f t="shared" si="277"/>
        <v>760</v>
      </c>
      <c r="C772" s="530" t="str">
        <f>IF(Inventory!E769="","",Inventory!E769)</f>
        <v/>
      </c>
      <c r="D772" s="531">
        <f>IF(Inventory!D769="",0,Inventory!D769)</f>
        <v>0</v>
      </c>
      <c r="E772" s="532" t="str">
        <f>IF(Inventory!I769=0,"",Inventory!I769)</f>
        <v/>
      </c>
      <c r="F772" s="533" t="str">
        <f t="shared" si="257"/>
        <v/>
      </c>
      <c r="G772" s="534" t="str">
        <f>IF(Inventory!G769="","",Inventory!G769)</f>
        <v/>
      </c>
      <c r="H772" s="535" t="str">
        <f t="shared" si="258"/>
        <v/>
      </c>
      <c r="I772" s="536" t="str">
        <f>IF(Inventory!J769="","",Inventory!J769)</f>
        <v/>
      </c>
      <c r="J772" s="537" t="str">
        <f>IFERROR(IF(PRJ_Type="New Construction",IF(Inventory!C769="N",INDEX(xyLPD_BuildingArea,MATCH(Building_Type,Lookups!$F$37:$F$75,0),4),INDEX(xyLPD_SpaceBySpace,MATCH(INDEX(xyNCEx,MATCH(I772,yNCExArea,0),2),ySpace_by_Space_Type,0),2)),VLOOKUP(E772,xyWattage_Table,11,FALSE)),"")</f>
        <v/>
      </c>
      <c r="K772" s="538" t="str">
        <f>IFERROR(IF(AND(NC_Type="Building Area Method",Inventory!C769="N"),IF(ISERROR(INDEX('Usage Groups (&gt;120 MWh only)'!$N$8:$N$12,MATCH(C772,'Usage Groups (&gt;120 MWh only)'!$B$8:$B$12,0),1))=TRUE,SqFt/COUNTIFS(Inventory!$C$10:$C$1009,"N",$Q$13:$Q$1012,"&gt;=0"),INDEX('Usage Groups (&gt;120 MWh only)'!$N$8:$N$12,MATCH(C772,'Usage Groups (&gt;120 MWh only)'!$B$8:$B$12,0),1)/COUNTIF($C$13:$C$1012,C772)),IF(AND(NC_Type="Building Area Method",Inventory!C769="Y"),INDEX(xyNCEx,MATCH(I772,yNCExArea,0),3)/COUNTIF($I$13:$I$1012,I772),VLOOKUP(J772,xyWattage_Table,10,FALSE))),"")</f>
        <v/>
      </c>
      <c r="L772" s="539" t="str">
        <f t="shared" si="259"/>
        <v/>
      </c>
      <c r="M772" s="540">
        <f>IF(Inventory!N769="","",Inventory!N769)</f>
        <v>0</v>
      </c>
      <c r="N772" s="533" t="str">
        <f t="shared" si="260"/>
        <v/>
      </c>
      <c r="O772" s="534"/>
      <c r="P772" s="533" t="str">
        <f t="shared" si="261"/>
        <v/>
      </c>
      <c r="Q772" s="534" t="str">
        <f>IF(Inventory!L769="","",Inventory!L769)</f>
        <v/>
      </c>
      <c r="R772" s="535" t="str">
        <f t="shared" si="262"/>
        <v/>
      </c>
      <c r="S772" s="536" t="str">
        <f>IF(Inventory!O769="","",Inventory!O769)</f>
        <v/>
      </c>
      <c r="T772" s="541" t="str">
        <f>IFERROR(IF(C772="","",IF(INDEX(xyWattage_Table,MATCH(M772,'Fixture Identities'!$B$9:$B$997,0),2)="Exit Sign",8760,IF(VLOOKUP(C772,xySpace_Type_Details,8,FALSE)="TRM",INDEX('General Information'!$AF$17:$AG$28,11,MATCH(N772,'General Information'!$AF$16:$AG$16,0)),HLOOKUP(VLOOKUP(C772,xySpace_Type_Details,8,FALSE),'General Information'!$P$15:$AG$28,13,FALSE)))),"")</f>
        <v/>
      </c>
      <c r="U772" s="542" t="str">
        <f>IFERROR(IF(C772="","",IF(INDEX(xyWattage_Table,MATCH(M772,'Fixture Identities'!$B$9:$B$997,0),2)="Exit Sign",1,IF(VLOOKUP(C772,xySpace_Type_Details,8,FALSE)="TRM",INDEX('General Information'!$AF$17:$AG$28,12,MATCH(N772,'General Information'!$AF$16:$AG$16,0)),HLOOKUP(VLOOKUP(C772,xySpace_Type_Details,8,FALSE),'General Information'!$P$15:$AG$28,14,FALSE)))),"")</f>
        <v/>
      </c>
      <c r="V772" s="542" t="str">
        <f>IFERROR(VLOOKUP(INDEX(xySpace_Type_Details,MATCH($C772,'General Information'!$C$40:$C$60,0),12),Lookups!$L$8:$N$12,2,FALSE),"")</f>
        <v/>
      </c>
      <c r="W772" s="542" t="str">
        <f>IFERROR(VLOOKUP(INDEX(xySpace_Type_Details,MATCH($C772,'General Information'!$C$40:$C$60,0),12),Lookups!$L$8:$N$12,3,FALSE),"")</f>
        <v/>
      </c>
      <c r="Y772" s="542" t="str">
        <f>IFERROR(IF(C772="","",IF(INDEX(xyWattage_Table,MATCH(M772,'Fixture Identities'!$B$9:$B$997,0),2)="Exit Sign",0,IF(PRJ_Type="Retrofit",VLOOKUP(I772,xySVG_Factors,2,FALSE),IF(AND(PRJ_Type="New Construction",Inventory!C769="N"),VLOOKUP(VLOOKUP(Building_Type,xyLPD_BuildingArea,5,FALSE),xySVG_Factors_NC,3,FALSE),0)))),"")</f>
        <v/>
      </c>
      <c r="Z772" s="544" t="str">
        <f>IFERROR(IF(C772="","",IF(INDEX(xyWattage_Table,MATCH(M772,'Fixture Identities'!$B$9:$B$997,0),2)="Exit Sign",0,VLOOKUP(S772,xySVG_Factors,2,FALSE))),"")</f>
        <v/>
      </c>
      <c r="AA772" s="545" t="str">
        <f t="shared" si="263"/>
        <v/>
      </c>
      <c r="AB772" s="542" t="str">
        <f t="shared" si="264"/>
        <v/>
      </c>
      <c r="AC772" s="539" t="str">
        <f t="shared" si="265"/>
        <v/>
      </c>
      <c r="AD772" s="546" t="str">
        <f t="shared" si="266"/>
        <v/>
      </c>
      <c r="AE772" s="539" t="str">
        <f t="shared" si="267"/>
        <v/>
      </c>
      <c r="AF772" s="546" t="str">
        <f t="shared" si="268"/>
        <v/>
      </c>
      <c r="AG772" s="539" t="str">
        <f t="shared" si="269"/>
        <v/>
      </c>
      <c r="AH772" s="32">
        <f t="shared" si="271"/>
        <v>0</v>
      </c>
      <c r="AI772" s="32">
        <f t="shared" si="272"/>
        <v>0</v>
      </c>
      <c r="AJ772" s="32">
        <f t="shared" si="273"/>
        <v>0</v>
      </c>
      <c r="AK772" t="str">
        <f t="shared" si="274"/>
        <v/>
      </c>
      <c r="AL772" t="str">
        <f t="shared" si="275"/>
        <v/>
      </c>
      <c r="AM772" t="str">
        <f t="shared" si="276"/>
        <v/>
      </c>
      <c r="AO772" t="str">
        <f>IFERROR(VLOOKUP(M772,'Fixture Identities'!$B$9:$O$1045,14,FALSE),"")</f>
        <v/>
      </c>
      <c r="AP772" t="str">
        <f t="shared" si="270"/>
        <v/>
      </c>
    </row>
    <row r="773" spans="1:42">
      <c r="A773" s="71">
        <f t="shared" si="278"/>
        <v>0</v>
      </c>
      <c r="B773" s="513">
        <f t="shared" si="277"/>
        <v>761</v>
      </c>
      <c r="C773" s="530" t="str">
        <f>IF(Inventory!E770="","",Inventory!E770)</f>
        <v/>
      </c>
      <c r="D773" s="531">
        <f>IF(Inventory!D770="",0,Inventory!D770)</f>
        <v>0</v>
      </c>
      <c r="E773" s="532" t="str">
        <f>IF(Inventory!I770=0,"",Inventory!I770)</f>
        <v/>
      </c>
      <c r="F773" s="533" t="str">
        <f t="shared" si="257"/>
        <v/>
      </c>
      <c r="G773" s="534" t="str">
        <f>IF(Inventory!G770="","",Inventory!G770)</f>
        <v/>
      </c>
      <c r="H773" s="535" t="str">
        <f t="shared" si="258"/>
        <v/>
      </c>
      <c r="I773" s="536" t="str">
        <f>IF(Inventory!J770="","",Inventory!J770)</f>
        <v/>
      </c>
      <c r="J773" s="537" t="str">
        <f>IFERROR(IF(PRJ_Type="New Construction",IF(Inventory!C770="N",INDEX(xyLPD_BuildingArea,MATCH(Building_Type,Lookups!$F$37:$F$75,0),4),INDEX(xyLPD_SpaceBySpace,MATCH(INDEX(xyNCEx,MATCH(I773,yNCExArea,0),2),ySpace_by_Space_Type,0),2)),VLOOKUP(E773,xyWattage_Table,11,FALSE)),"")</f>
        <v/>
      </c>
      <c r="K773" s="538" t="str">
        <f>IFERROR(IF(AND(NC_Type="Building Area Method",Inventory!C770="N"),IF(ISERROR(INDEX('Usage Groups (&gt;120 MWh only)'!$N$8:$N$12,MATCH(C773,'Usage Groups (&gt;120 MWh only)'!$B$8:$B$12,0),1))=TRUE,SqFt/COUNTIFS(Inventory!$C$10:$C$1009,"N",$Q$13:$Q$1012,"&gt;=0"),INDEX('Usage Groups (&gt;120 MWh only)'!$N$8:$N$12,MATCH(C773,'Usage Groups (&gt;120 MWh only)'!$B$8:$B$12,0),1)/COUNTIF($C$13:$C$1012,C773)),IF(AND(NC_Type="Building Area Method",Inventory!C770="Y"),INDEX(xyNCEx,MATCH(I773,yNCExArea,0),3)/COUNTIF($I$13:$I$1012,I773),VLOOKUP(J773,xyWattage_Table,10,FALSE))),"")</f>
        <v/>
      </c>
      <c r="L773" s="539" t="str">
        <f t="shared" si="259"/>
        <v/>
      </c>
      <c r="M773" s="540">
        <f>IF(Inventory!N770="","",Inventory!N770)</f>
        <v>0</v>
      </c>
      <c r="N773" s="533" t="str">
        <f t="shared" si="260"/>
        <v/>
      </c>
      <c r="O773" s="534"/>
      <c r="P773" s="533" t="str">
        <f t="shared" si="261"/>
        <v/>
      </c>
      <c r="Q773" s="534" t="str">
        <f>IF(Inventory!L770="","",Inventory!L770)</f>
        <v/>
      </c>
      <c r="R773" s="535" t="str">
        <f t="shared" si="262"/>
        <v/>
      </c>
      <c r="S773" s="536" t="str">
        <f>IF(Inventory!O770="","",Inventory!O770)</f>
        <v/>
      </c>
      <c r="T773" s="541" t="str">
        <f>IFERROR(IF(C773="","",IF(INDEX(xyWattage_Table,MATCH(M773,'Fixture Identities'!$B$9:$B$997,0),2)="Exit Sign",8760,IF(VLOOKUP(C773,xySpace_Type_Details,8,FALSE)="TRM",INDEX('General Information'!$AF$17:$AG$28,11,MATCH(N773,'General Information'!$AF$16:$AG$16,0)),HLOOKUP(VLOOKUP(C773,xySpace_Type_Details,8,FALSE),'General Information'!$P$15:$AG$28,13,FALSE)))),"")</f>
        <v/>
      </c>
      <c r="U773" s="542" t="str">
        <f>IFERROR(IF(C773="","",IF(INDEX(xyWattage_Table,MATCH(M773,'Fixture Identities'!$B$9:$B$997,0),2)="Exit Sign",1,IF(VLOOKUP(C773,xySpace_Type_Details,8,FALSE)="TRM",INDEX('General Information'!$AF$17:$AG$28,12,MATCH(N773,'General Information'!$AF$16:$AG$16,0)),HLOOKUP(VLOOKUP(C773,xySpace_Type_Details,8,FALSE),'General Information'!$P$15:$AG$28,14,FALSE)))),"")</f>
        <v/>
      </c>
      <c r="V773" s="542" t="str">
        <f>IFERROR(VLOOKUP(INDEX(xySpace_Type_Details,MATCH($C773,'General Information'!$C$40:$C$60,0),12),Lookups!$L$8:$N$12,2,FALSE),"")</f>
        <v/>
      </c>
      <c r="W773" s="542" t="str">
        <f>IFERROR(VLOOKUP(INDEX(xySpace_Type_Details,MATCH($C773,'General Information'!$C$40:$C$60,0),12),Lookups!$L$8:$N$12,3,FALSE),"")</f>
        <v/>
      </c>
      <c r="Y773" s="542" t="str">
        <f>IFERROR(IF(C773="","",IF(INDEX(xyWattage_Table,MATCH(M773,'Fixture Identities'!$B$9:$B$997,0),2)="Exit Sign",0,IF(PRJ_Type="Retrofit",VLOOKUP(I773,xySVG_Factors,2,FALSE),IF(AND(PRJ_Type="New Construction",Inventory!C770="N"),VLOOKUP(VLOOKUP(Building_Type,xyLPD_BuildingArea,5,FALSE),xySVG_Factors_NC,3,FALSE),0)))),"")</f>
        <v/>
      </c>
      <c r="Z773" s="544" t="str">
        <f>IFERROR(IF(C773="","",IF(INDEX(xyWattage_Table,MATCH(M773,'Fixture Identities'!$B$9:$B$997,0),2)="Exit Sign",0,VLOOKUP(S773,xySVG_Factors,2,FALSE))),"")</f>
        <v/>
      </c>
      <c r="AA773" s="545" t="str">
        <f t="shared" si="263"/>
        <v/>
      </c>
      <c r="AB773" s="542" t="str">
        <f t="shared" si="264"/>
        <v/>
      </c>
      <c r="AC773" s="539" t="str">
        <f t="shared" si="265"/>
        <v/>
      </c>
      <c r="AD773" s="546" t="str">
        <f t="shared" si="266"/>
        <v/>
      </c>
      <c r="AE773" s="539" t="str">
        <f t="shared" si="267"/>
        <v/>
      </c>
      <c r="AF773" s="546" t="str">
        <f t="shared" si="268"/>
        <v/>
      </c>
      <c r="AG773" s="539" t="str">
        <f t="shared" si="269"/>
        <v/>
      </c>
      <c r="AH773" s="32">
        <f t="shared" si="271"/>
        <v>0</v>
      </c>
      <c r="AI773" s="32">
        <f t="shared" si="272"/>
        <v>0</v>
      </c>
      <c r="AJ773" s="32">
        <f t="shared" si="273"/>
        <v>0</v>
      </c>
      <c r="AK773" t="str">
        <f t="shared" si="274"/>
        <v/>
      </c>
      <c r="AL773" t="str">
        <f t="shared" si="275"/>
        <v/>
      </c>
      <c r="AM773" t="str">
        <f t="shared" si="276"/>
        <v/>
      </c>
      <c r="AO773" t="str">
        <f>IFERROR(VLOOKUP(M773,'Fixture Identities'!$B$9:$O$1045,14,FALSE),"")</f>
        <v/>
      </c>
      <c r="AP773" t="str">
        <f t="shared" si="270"/>
        <v/>
      </c>
    </row>
    <row r="774" spans="1:42">
      <c r="A774" s="71">
        <f t="shared" si="278"/>
        <v>0</v>
      </c>
      <c r="B774" s="513">
        <f t="shared" si="277"/>
        <v>762</v>
      </c>
      <c r="C774" s="530" t="str">
        <f>IF(Inventory!E771="","",Inventory!E771)</f>
        <v/>
      </c>
      <c r="D774" s="531">
        <f>IF(Inventory!D771="",0,Inventory!D771)</f>
        <v>0</v>
      </c>
      <c r="E774" s="532" t="str">
        <f>IF(Inventory!I771=0,"",Inventory!I771)</f>
        <v/>
      </c>
      <c r="F774" s="533" t="str">
        <f t="shared" si="257"/>
        <v/>
      </c>
      <c r="G774" s="534" t="str">
        <f>IF(Inventory!G771="","",Inventory!G771)</f>
        <v/>
      </c>
      <c r="H774" s="535" t="str">
        <f t="shared" si="258"/>
        <v/>
      </c>
      <c r="I774" s="536" t="str">
        <f>IF(Inventory!J771="","",Inventory!J771)</f>
        <v/>
      </c>
      <c r="J774" s="537" t="str">
        <f>IFERROR(IF(PRJ_Type="New Construction",IF(Inventory!C771="N",INDEX(xyLPD_BuildingArea,MATCH(Building_Type,Lookups!$F$37:$F$75,0),4),INDEX(xyLPD_SpaceBySpace,MATCH(INDEX(xyNCEx,MATCH(I774,yNCExArea,0),2),ySpace_by_Space_Type,0),2)),VLOOKUP(E774,xyWattage_Table,11,FALSE)),"")</f>
        <v/>
      </c>
      <c r="K774" s="538" t="str">
        <f>IFERROR(IF(AND(NC_Type="Building Area Method",Inventory!C771="N"),IF(ISERROR(INDEX('Usage Groups (&gt;120 MWh only)'!$N$8:$N$12,MATCH(C774,'Usage Groups (&gt;120 MWh only)'!$B$8:$B$12,0),1))=TRUE,SqFt/COUNTIFS(Inventory!$C$10:$C$1009,"N",$Q$13:$Q$1012,"&gt;=0"),INDEX('Usage Groups (&gt;120 MWh only)'!$N$8:$N$12,MATCH(C774,'Usage Groups (&gt;120 MWh only)'!$B$8:$B$12,0),1)/COUNTIF($C$13:$C$1012,C774)),IF(AND(NC_Type="Building Area Method",Inventory!C771="Y"),INDEX(xyNCEx,MATCH(I774,yNCExArea,0),3)/COUNTIF($I$13:$I$1012,I774),VLOOKUP(J774,xyWattage_Table,10,FALSE))),"")</f>
        <v/>
      </c>
      <c r="L774" s="539" t="str">
        <f t="shared" si="259"/>
        <v/>
      </c>
      <c r="M774" s="540">
        <f>IF(Inventory!N771="","",Inventory!N771)</f>
        <v>0</v>
      </c>
      <c r="N774" s="533" t="str">
        <f t="shared" si="260"/>
        <v/>
      </c>
      <c r="O774" s="534"/>
      <c r="P774" s="533" t="str">
        <f t="shared" si="261"/>
        <v/>
      </c>
      <c r="Q774" s="534" t="str">
        <f>IF(Inventory!L771="","",Inventory!L771)</f>
        <v/>
      </c>
      <c r="R774" s="535" t="str">
        <f t="shared" si="262"/>
        <v/>
      </c>
      <c r="S774" s="536" t="str">
        <f>IF(Inventory!O771="","",Inventory!O771)</f>
        <v/>
      </c>
      <c r="T774" s="541" t="str">
        <f>IFERROR(IF(C774="","",IF(INDEX(xyWattage_Table,MATCH(M774,'Fixture Identities'!$B$9:$B$997,0),2)="Exit Sign",8760,IF(VLOOKUP(C774,xySpace_Type_Details,8,FALSE)="TRM",INDEX('General Information'!$AF$17:$AG$28,11,MATCH(N774,'General Information'!$AF$16:$AG$16,0)),HLOOKUP(VLOOKUP(C774,xySpace_Type_Details,8,FALSE),'General Information'!$P$15:$AG$28,13,FALSE)))),"")</f>
        <v/>
      </c>
      <c r="U774" s="542" t="str">
        <f>IFERROR(IF(C774="","",IF(INDEX(xyWattage_Table,MATCH(M774,'Fixture Identities'!$B$9:$B$997,0),2)="Exit Sign",1,IF(VLOOKUP(C774,xySpace_Type_Details,8,FALSE)="TRM",INDEX('General Information'!$AF$17:$AG$28,12,MATCH(N774,'General Information'!$AF$16:$AG$16,0)),HLOOKUP(VLOOKUP(C774,xySpace_Type_Details,8,FALSE),'General Information'!$P$15:$AG$28,14,FALSE)))),"")</f>
        <v/>
      </c>
      <c r="V774" s="542" t="str">
        <f>IFERROR(VLOOKUP(INDEX(xySpace_Type_Details,MATCH($C774,'General Information'!$C$40:$C$60,0),12),Lookups!$L$8:$N$12,2,FALSE),"")</f>
        <v/>
      </c>
      <c r="W774" s="542" t="str">
        <f>IFERROR(VLOOKUP(INDEX(xySpace_Type_Details,MATCH($C774,'General Information'!$C$40:$C$60,0),12),Lookups!$L$8:$N$12,3,FALSE),"")</f>
        <v/>
      </c>
      <c r="Y774" s="542" t="str">
        <f>IFERROR(IF(C774="","",IF(INDEX(xyWattage_Table,MATCH(M774,'Fixture Identities'!$B$9:$B$997,0),2)="Exit Sign",0,IF(PRJ_Type="Retrofit",VLOOKUP(I774,xySVG_Factors,2,FALSE),IF(AND(PRJ_Type="New Construction",Inventory!C771="N"),VLOOKUP(VLOOKUP(Building_Type,xyLPD_BuildingArea,5,FALSE),xySVG_Factors_NC,3,FALSE),0)))),"")</f>
        <v/>
      </c>
      <c r="Z774" s="544" t="str">
        <f>IFERROR(IF(C774="","",IF(INDEX(xyWattage_Table,MATCH(M774,'Fixture Identities'!$B$9:$B$997,0),2)="Exit Sign",0,VLOOKUP(S774,xySVG_Factors,2,FALSE))),"")</f>
        <v/>
      </c>
      <c r="AA774" s="545" t="str">
        <f t="shared" si="263"/>
        <v/>
      </c>
      <c r="AB774" s="542" t="str">
        <f t="shared" si="264"/>
        <v/>
      </c>
      <c r="AC774" s="539" t="str">
        <f t="shared" si="265"/>
        <v/>
      </c>
      <c r="AD774" s="546" t="str">
        <f t="shared" si="266"/>
        <v/>
      </c>
      <c r="AE774" s="539" t="str">
        <f t="shared" si="267"/>
        <v/>
      </c>
      <c r="AF774" s="546" t="str">
        <f t="shared" si="268"/>
        <v/>
      </c>
      <c r="AG774" s="539" t="str">
        <f t="shared" si="269"/>
        <v/>
      </c>
      <c r="AH774" s="32">
        <f t="shared" si="271"/>
        <v>0</v>
      </c>
      <c r="AI774" s="32">
        <f t="shared" si="272"/>
        <v>0</v>
      </c>
      <c r="AJ774" s="32">
        <f t="shared" si="273"/>
        <v>0</v>
      </c>
      <c r="AK774" t="str">
        <f t="shared" si="274"/>
        <v/>
      </c>
      <c r="AL774" t="str">
        <f t="shared" si="275"/>
        <v/>
      </c>
      <c r="AM774" t="str">
        <f t="shared" si="276"/>
        <v/>
      </c>
      <c r="AO774" t="str">
        <f>IFERROR(VLOOKUP(M774,'Fixture Identities'!$B$9:$O$1045,14,FALSE),"")</f>
        <v/>
      </c>
      <c r="AP774" t="str">
        <f t="shared" si="270"/>
        <v/>
      </c>
    </row>
    <row r="775" spans="1:42">
      <c r="A775" s="71">
        <f t="shared" si="278"/>
        <v>0</v>
      </c>
      <c r="B775" s="513">
        <f t="shared" si="277"/>
        <v>763</v>
      </c>
      <c r="C775" s="530" t="str">
        <f>IF(Inventory!E772="","",Inventory!E772)</f>
        <v/>
      </c>
      <c r="D775" s="531">
        <f>IF(Inventory!D772="",0,Inventory!D772)</f>
        <v>0</v>
      </c>
      <c r="E775" s="532" t="str">
        <f>IF(Inventory!I772=0,"",Inventory!I772)</f>
        <v/>
      </c>
      <c r="F775" s="533" t="str">
        <f t="shared" ref="F775:F838" si="279">IFERROR(VLOOKUP(E775,xyWattage_Table,10,FALSE),"")</f>
        <v/>
      </c>
      <c r="G775" s="534" t="str">
        <f>IF(Inventory!G772="","",Inventory!G772)</f>
        <v/>
      </c>
      <c r="H775" s="535" t="str">
        <f t="shared" ref="H775:H838" si="280">IF(G775="","",G775*F775)</f>
        <v/>
      </c>
      <c r="I775" s="536" t="str">
        <f>IF(Inventory!J772="","",Inventory!J772)</f>
        <v/>
      </c>
      <c r="J775" s="537" t="str">
        <f>IFERROR(IF(PRJ_Type="New Construction",IF(Inventory!C772="N",INDEX(xyLPD_BuildingArea,MATCH(Building_Type,Lookups!$F$37:$F$75,0),4),INDEX(xyLPD_SpaceBySpace,MATCH(INDEX(xyNCEx,MATCH(I775,yNCExArea,0),2),ySpace_by_Space_Type,0),2)),VLOOKUP(E775,xyWattage_Table,11,FALSE)),"")</f>
        <v/>
      </c>
      <c r="K775" s="538" t="str">
        <f>IFERROR(IF(AND(NC_Type="Building Area Method",Inventory!C772="N"),IF(ISERROR(INDEX('Usage Groups (&gt;120 MWh only)'!$N$8:$N$12,MATCH(C775,'Usage Groups (&gt;120 MWh only)'!$B$8:$B$12,0),1))=TRUE,SqFt/COUNTIFS(Inventory!$C$10:$C$1009,"N",$Q$13:$Q$1012,"&gt;=0"),INDEX('Usage Groups (&gt;120 MWh only)'!$N$8:$N$12,MATCH(C775,'Usage Groups (&gt;120 MWh only)'!$B$8:$B$12,0),1)/COUNTIF($C$13:$C$1012,C775)),IF(AND(NC_Type="Building Area Method",Inventory!C772="Y"),INDEX(xyNCEx,MATCH(I775,yNCExArea,0),3)/COUNTIF($I$13:$I$1012,I775),VLOOKUP(J775,xyWattage_Table,10,FALSE))),"")</f>
        <v/>
      </c>
      <c r="L775" s="539" t="str">
        <f t="shared" ref="L775:L838" si="281">IFERROR(IF(PRJ_Type="New Construction",J775*K775,IF(G775="","",K775*G775)),"")</f>
        <v/>
      </c>
      <c r="M775" s="540">
        <f>IF(Inventory!N772="","",Inventory!N772)</f>
        <v>0</v>
      </c>
      <c r="N775" s="533" t="str">
        <f t="shared" ref="N775:N838" si="282">IFERROR(VLOOKUP(M775,xyWattage_Table,12,FALSE),"")</f>
        <v/>
      </c>
      <c r="O775" s="534"/>
      <c r="P775" s="533" t="str">
        <f t="shared" ref="P775:P838" si="283">IFERROR(VLOOKUP(M775,xyWattage_Table,10,FALSE),"")</f>
        <v/>
      </c>
      <c r="Q775" s="534" t="str">
        <f>IF(Inventory!L772="","",Inventory!L772)</f>
        <v/>
      </c>
      <c r="R775" s="535" t="str">
        <f t="shared" ref="R775:R838" si="284">IF(P775="","",Q775*P775)</f>
        <v/>
      </c>
      <c r="S775" s="536" t="str">
        <f>IF(Inventory!O772="","",Inventory!O772)</f>
        <v/>
      </c>
      <c r="T775" s="541" t="str">
        <f>IFERROR(IF(C775="","",IF(INDEX(xyWattage_Table,MATCH(M775,'Fixture Identities'!$B$9:$B$997,0),2)="Exit Sign",8760,IF(VLOOKUP(C775,xySpace_Type_Details,8,FALSE)="TRM",INDEX('General Information'!$AF$17:$AG$28,11,MATCH(N775,'General Information'!$AF$16:$AG$16,0)),HLOOKUP(VLOOKUP(C775,xySpace_Type_Details,8,FALSE),'General Information'!$P$15:$AG$28,13,FALSE)))),"")</f>
        <v/>
      </c>
      <c r="U775" s="542" t="str">
        <f>IFERROR(IF(C775="","",IF(INDEX(xyWattage_Table,MATCH(M775,'Fixture Identities'!$B$9:$B$997,0),2)="Exit Sign",1,IF(VLOOKUP(C775,xySpace_Type_Details,8,FALSE)="TRM",INDEX('General Information'!$AF$17:$AG$28,12,MATCH(N775,'General Information'!$AF$16:$AG$16,0)),HLOOKUP(VLOOKUP(C775,xySpace_Type_Details,8,FALSE),'General Information'!$P$15:$AG$28,14,FALSE)))),"")</f>
        <v/>
      </c>
      <c r="V775" s="542" t="str">
        <f>IFERROR(VLOOKUP(INDEX(xySpace_Type_Details,MATCH($C775,'General Information'!$C$40:$C$60,0),12),Lookups!$L$8:$N$12,2,FALSE),"")</f>
        <v/>
      </c>
      <c r="W775" s="542" t="str">
        <f>IFERROR(VLOOKUP(INDEX(xySpace_Type_Details,MATCH($C775,'General Information'!$C$40:$C$60,0),12),Lookups!$L$8:$N$12,3,FALSE),"")</f>
        <v/>
      </c>
      <c r="Y775" s="542" t="str">
        <f>IFERROR(IF(C775="","",IF(INDEX(xyWattage_Table,MATCH(M775,'Fixture Identities'!$B$9:$B$997,0),2)="Exit Sign",0,IF(PRJ_Type="Retrofit",VLOOKUP(I775,xySVG_Factors,2,FALSE),IF(AND(PRJ_Type="New Construction",Inventory!C772="N"),VLOOKUP(VLOOKUP(Building_Type,xyLPD_BuildingArea,5,FALSE),xySVG_Factors_NC,3,FALSE),0)))),"")</f>
        <v/>
      </c>
      <c r="Z775" s="544" t="str">
        <f>IFERROR(IF(C775="","",IF(INDEX(xyWattage_Table,MATCH(M775,'Fixture Identities'!$B$9:$B$997,0),2)="Exit Sign",0,VLOOKUP(S775,xySVG_Factors,2,FALSE))),"")</f>
        <v/>
      </c>
      <c r="AA775" s="545" t="str">
        <f t="shared" ref="AA775:AA838" si="285">IFERROR((L775-R775)/1000,"")</f>
        <v/>
      </c>
      <c r="AB775" s="542" t="str">
        <f t="shared" ref="AB775:AB838" si="286">IFERROR(AA775*U775*(1+W775)*(1-Y775),"")</f>
        <v/>
      </c>
      <c r="AC775" s="539" t="str">
        <f t="shared" ref="AC775:AC838" si="287">IFERROR(AA775*T775*(1+V775)*(1-Y775),"")</f>
        <v/>
      </c>
      <c r="AD775" s="546" t="str">
        <f t="shared" ref="AD775:AD838" si="288">IFERROR(R775/1000*(Z775-Y775)*(1+W775)*U775,"")</f>
        <v/>
      </c>
      <c r="AE775" s="539" t="str">
        <f t="shared" ref="AE775:AE838" si="289">IFERROR(R775/1000*T775*(Z775-Y775)*(1+V775),"")</f>
        <v/>
      </c>
      <c r="AF775" s="546" t="str">
        <f t="shared" ref="AF775:AF838" si="290">IFERROR(AB775+AD775,"")</f>
        <v/>
      </c>
      <c r="AG775" s="539" t="str">
        <f t="shared" ref="AG775:AG838" si="291">IFERROR(AC775+AE775,"")</f>
        <v/>
      </c>
      <c r="AH775" s="32">
        <f t="shared" si="271"/>
        <v>0</v>
      </c>
      <c r="AI775" s="32">
        <f t="shared" si="272"/>
        <v>0</v>
      </c>
      <c r="AJ775" s="32">
        <f t="shared" si="273"/>
        <v>0</v>
      </c>
      <c r="AK775" t="str">
        <f t="shared" si="274"/>
        <v/>
      </c>
      <c r="AL775" t="str">
        <f t="shared" si="275"/>
        <v/>
      </c>
      <c r="AM775" t="str">
        <f t="shared" si="276"/>
        <v/>
      </c>
      <c r="AO775" t="str">
        <f>IFERROR(VLOOKUP(M775,'Fixture Identities'!$B$9:$O$1045,14,FALSE),"")</f>
        <v/>
      </c>
      <c r="AP775" t="str">
        <f t="shared" si="270"/>
        <v/>
      </c>
    </row>
    <row r="776" spans="1:42">
      <c r="A776" s="71">
        <f t="shared" si="278"/>
        <v>0</v>
      </c>
      <c r="B776" s="513">
        <f t="shared" si="277"/>
        <v>764</v>
      </c>
      <c r="C776" s="530" t="str">
        <f>IF(Inventory!E773="","",Inventory!E773)</f>
        <v/>
      </c>
      <c r="D776" s="531">
        <f>IF(Inventory!D773="",0,Inventory!D773)</f>
        <v>0</v>
      </c>
      <c r="E776" s="532" t="str">
        <f>IF(Inventory!I773=0,"",Inventory!I773)</f>
        <v/>
      </c>
      <c r="F776" s="533" t="str">
        <f t="shared" si="279"/>
        <v/>
      </c>
      <c r="G776" s="534" t="str">
        <f>IF(Inventory!G773="","",Inventory!G773)</f>
        <v/>
      </c>
      <c r="H776" s="535" t="str">
        <f t="shared" si="280"/>
        <v/>
      </c>
      <c r="I776" s="536" t="str">
        <f>IF(Inventory!J773="","",Inventory!J773)</f>
        <v/>
      </c>
      <c r="J776" s="537" t="str">
        <f>IFERROR(IF(PRJ_Type="New Construction",IF(Inventory!C773="N",INDEX(xyLPD_BuildingArea,MATCH(Building_Type,Lookups!$F$37:$F$75,0),4),INDEX(xyLPD_SpaceBySpace,MATCH(INDEX(xyNCEx,MATCH(I776,yNCExArea,0),2),ySpace_by_Space_Type,0),2)),VLOOKUP(E776,xyWattage_Table,11,FALSE)),"")</f>
        <v/>
      </c>
      <c r="K776" s="538" t="str">
        <f>IFERROR(IF(AND(NC_Type="Building Area Method",Inventory!C773="N"),IF(ISERROR(INDEX('Usage Groups (&gt;120 MWh only)'!$N$8:$N$12,MATCH(C776,'Usage Groups (&gt;120 MWh only)'!$B$8:$B$12,0),1))=TRUE,SqFt/COUNTIFS(Inventory!$C$10:$C$1009,"N",$Q$13:$Q$1012,"&gt;=0"),INDEX('Usage Groups (&gt;120 MWh only)'!$N$8:$N$12,MATCH(C776,'Usage Groups (&gt;120 MWh only)'!$B$8:$B$12,0),1)/COUNTIF($C$13:$C$1012,C776)),IF(AND(NC_Type="Building Area Method",Inventory!C773="Y"),INDEX(xyNCEx,MATCH(I776,yNCExArea,0),3)/COUNTIF($I$13:$I$1012,I776),VLOOKUP(J776,xyWattage_Table,10,FALSE))),"")</f>
        <v/>
      </c>
      <c r="L776" s="539" t="str">
        <f t="shared" si="281"/>
        <v/>
      </c>
      <c r="M776" s="540">
        <f>IF(Inventory!N773="","",Inventory!N773)</f>
        <v>0</v>
      </c>
      <c r="N776" s="533" t="str">
        <f t="shared" si="282"/>
        <v/>
      </c>
      <c r="O776" s="534"/>
      <c r="P776" s="533" t="str">
        <f t="shared" si="283"/>
        <v/>
      </c>
      <c r="Q776" s="534" t="str">
        <f>IF(Inventory!L773="","",Inventory!L773)</f>
        <v/>
      </c>
      <c r="R776" s="535" t="str">
        <f t="shared" si="284"/>
        <v/>
      </c>
      <c r="S776" s="536" t="str">
        <f>IF(Inventory!O773="","",Inventory!O773)</f>
        <v/>
      </c>
      <c r="T776" s="541" t="str">
        <f>IFERROR(IF(C776="","",IF(INDEX(xyWattage_Table,MATCH(M776,'Fixture Identities'!$B$9:$B$997,0),2)="Exit Sign",8760,IF(VLOOKUP(C776,xySpace_Type_Details,8,FALSE)="TRM",INDEX('General Information'!$AF$17:$AG$28,11,MATCH(N776,'General Information'!$AF$16:$AG$16,0)),HLOOKUP(VLOOKUP(C776,xySpace_Type_Details,8,FALSE),'General Information'!$P$15:$AG$28,13,FALSE)))),"")</f>
        <v/>
      </c>
      <c r="U776" s="542" t="str">
        <f>IFERROR(IF(C776="","",IF(INDEX(xyWattage_Table,MATCH(M776,'Fixture Identities'!$B$9:$B$997,0),2)="Exit Sign",1,IF(VLOOKUP(C776,xySpace_Type_Details,8,FALSE)="TRM",INDEX('General Information'!$AF$17:$AG$28,12,MATCH(N776,'General Information'!$AF$16:$AG$16,0)),HLOOKUP(VLOOKUP(C776,xySpace_Type_Details,8,FALSE),'General Information'!$P$15:$AG$28,14,FALSE)))),"")</f>
        <v/>
      </c>
      <c r="V776" s="542" t="str">
        <f>IFERROR(VLOOKUP(INDEX(xySpace_Type_Details,MATCH($C776,'General Information'!$C$40:$C$60,0),12),Lookups!$L$8:$N$12,2,FALSE),"")</f>
        <v/>
      </c>
      <c r="W776" s="542" t="str">
        <f>IFERROR(VLOOKUP(INDEX(xySpace_Type_Details,MATCH($C776,'General Information'!$C$40:$C$60,0),12),Lookups!$L$8:$N$12,3,FALSE),"")</f>
        <v/>
      </c>
      <c r="Y776" s="542" t="str">
        <f>IFERROR(IF(C776="","",IF(INDEX(xyWattage_Table,MATCH(M776,'Fixture Identities'!$B$9:$B$997,0),2)="Exit Sign",0,IF(PRJ_Type="Retrofit",VLOOKUP(I776,xySVG_Factors,2,FALSE),IF(AND(PRJ_Type="New Construction",Inventory!C773="N"),VLOOKUP(VLOOKUP(Building_Type,xyLPD_BuildingArea,5,FALSE),xySVG_Factors_NC,3,FALSE),0)))),"")</f>
        <v/>
      </c>
      <c r="Z776" s="544" t="str">
        <f>IFERROR(IF(C776="","",IF(INDEX(xyWattage_Table,MATCH(M776,'Fixture Identities'!$B$9:$B$997,0),2)="Exit Sign",0,VLOOKUP(S776,xySVG_Factors,2,FALSE))),"")</f>
        <v/>
      </c>
      <c r="AA776" s="545" t="str">
        <f t="shared" si="285"/>
        <v/>
      </c>
      <c r="AB776" s="542" t="str">
        <f t="shared" si="286"/>
        <v/>
      </c>
      <c r="AC776" s="539" t="str">
        <f t="shared" si="287"/>
        <v/>
      </c>
      <c r="AD776" s="546" t="str">
        <f t="shared" si="288"/>
        <v/>
      </c>
      <c r="AE776" s="539" t="str">
        <f t="shared" si="289"/>
        <v/>
      </c>
      <c r="AF776" s="546" t="str">
        <f t="shared" si="290"/>
        <v/>
      </c>
      <c r="AG776" s="539" t="str">
        <f t="shared" si="291"/>
        <v/>
      </c>
      <c r="AH776" s="32">
        <f t="shared" si="271"/>
        <v>0</v>
      </c>
      <c r="AI776" s="32">
        <f t="shared" si="272"/>
        <v>0</v>
      </c>
      <c r="AJ776" s="32">
        <f t="shared" si="273"/>
        <v>0</v>
      </c>
      <c r="AK776" t="str">
        <f t="shared" si="274"/>
        <v/>
      </c>
      <c r="AL776" t="str">
        <f t="shared" si="275"/>
        <v/>
      </c>
      <c r="AM776" t="str">
        <f t="shared" si="276"/>
        <v/>
      </c>
      <c r="AO776" t="str">
        <f>IFERROR(VLOOKUP(M776,'Fixture Identities'!$B$9:$O$1045,14,FALSE),"")</f>
        <v/>
      </c>
      <c r="AP776" t="str">
        <f t="shared" si="270"/>
        <v/>
      </c>
    </row>
    <row r="777" spans="1:42">
      <c r="A777" s="71">
        <f t="shared" si="278"/>
        <v>0</v>
      </c>
      <c r="B777" s="513">
        <f t="shared" si="277"/>
        <v>765</v>
      </c>
      <c r="C777" s="530" t="str">
        <f>IF(Inventory!E774="","",Inventory!E774)</f>
        <v/>
      </c>
      <c r="D777" s="531">
        <f>IF(Inventory!D774="",0,Inventory!D774)</f>
        <v>0</v>
      </c>
      <c r="E777" s="532" t="str">
        <f>IF(Inventory!I774=0,"",Inventory!I774)</f>
        <v/>
      </c>
      <c r="F777" s="533" t="str">
        <f t="shared" si="279"/>
        <v/>
      </c>
      <c r="G777" s="534" t="str">
        <f>IF(Inventory!G774="","",Inventory!G774)</f>
        <v/>
      </c>
      <c r="H777" s="535" t="str">
        <f t="shared" si="280"/>
        <v/>
      </c>
      <c r="I777" s="536" t="str">
        <f>IF(Inventory!J774="","",Inventory!J774)</f>
        <v/>
      </c>
      <c r="J777" s="537" t="str">
        <f>IFERROR(IF(PRJ_Type="New Construction",IF(Inventory!C774="N",INDEX(xyLPD_BuildingArea,MATCH(Building_Type,Lookups!$F$37:$F$75,0),4),INDEX(xyLPD_SpaceBySpace,MATCH(INDEX(xyNCEx,MATCH(I777,yNCExArea,0),2),ySpace_by_Space_Type,0),2)),VLOOKUP(E777,xyWattage_Table,11,FALSE)),"")</f>
        <v/>
      </c>
      <c r="K777" s="538" t="str">
        <f>IFERROR(IF(AND(NC_Type="Building Area Method",Inventory!C774="N"),IF(ISERROR(INDEX('Usage Groups (&gt;120 MWh only)'!$N$8:$N$12,MATCH(C777,'Usage Groups (&gt;120 MWh only)'!$B$8:$B$12,0),1))=TRUE,SqFt/COUNTIFS(Inventory!$C$10:$C$1009,"N",$Q$13:$Q$1012,"&gt;=0"),INDEX('Usage Groups (&gt;120 MWh only)'!$N$8:$N$12,MATCH(C777,'Usage Groups (&gt;120 MWh only)'!$B$8:$B$12,0),1)/COUNTIF($C$13:$C$1012,C777)),IF(AND(NC_Type="Building Area Method",Inventory!C774="Y"),INDEX(xyNCEx,MATCH(I777,yNCExArea,0),3)/COUNTIF($I$13:$I$1012,I777),VLOOKUP(J777,xyWattage_Table,10,FALSE))),"")</f>
        <v/>
      </c>
      <c r="L777" s="539" t="str">
        <f t="shared" si="281"/>
        <v/>
      </c>
      <c r="M777" s="540">
        <f>IF(Inventory!N774="","",Inventory!N774)</f>
        <v>0</v>
      </c>
      <c r="N777" s="533" t="str">
        <f t="shared" si="282"/>
        <v/>
      </c>
      <c r="O777" s="534"/>
      <c r="P777" s="533" t="str">
        <f t="shared" si="283"/>
        <v/>
      </c>
      <c r="Q777" s="534" t="str">
        <f>IF(Inventory!L774="","",Inventory!L774)</f>
        <v/>
      </c>
      <c r="R777" s="535" t="str">
        <f t="shared" si="284"/>
        <v/>
      </c>
      <c r="S777" s="536" t="str">
        <f>IF(Inventory!O774="","",Inventory!O774)</f>
        <v/>
      </c>
      <c r="T777" s="541" t="str">
        <f>IFERROR(IF(C777="","",IF(INDEX(xyWattage_Table,MATCH(M777,'Fixture Identities'!$B$9:$B$997,0),2)="Exit Sign",8760,IF(VLOOKUP(C777,xySpace_Type_Details,8,FALSE)="TRM",INDEX('General Information'!$AF$17:$AG$28,11,MATCH(N777,'General Information'!$AF$16:$AG$16,0)),HLOOKUP(VLOOKUP(C777,xySpace_Type_Details,8,FALSE),'General Information'!$P$15:$AG$28,13,FALSE)))),"")</f>
        <v/>
      </c>
      <c r="U777" s="542" t="str">
        <f>IFERROR(IF(C777="","",IF(INDEX(xyWattage_Table,MATCH(M777,'Fixture Identities'!$B$9:$B$997,0),2)="Exit Sign",1,IF(VLOOKUP(C777,xySpace_Type_Details,8,FALSE)="TRM",INDEX('General Information'!$AF$17:$AG$28,12,MATCH(N777,'General Information'!$AF$16:$AG$16,0)),HLOOKUP(VLOOKUP(C777,xySpace_Type_Details,8,FALSE),'General Information'!$P$15:$AG$28,14,FALSE)))),"")</f>
        <v/>
      </c>
      <c r="V777" s="542" t="str">
        <f>IFERROR(VLOOKUP(INDEX(xySpace_Type_Details,MATCH($C777,'General Information'!$C$40:$C$60,0),12),Lookups!$L$8:$N$12,2,FALSE),"")</f>
        <v/>
      </c>
      <c r="W777" s="542" t="str">
        <f>IFERROR(VLOOKUP(INDEX(xySpace_Type_Details,MATCH($C777,'General Information'!$C$40:$C$60,0),12),Lookups!$L$8:$N$12,3,FALSE),"")</f>
        <v/>
      </c>
      <c r="Y777" s="542" t="str">
        <f>IFERROR(IF(C777="","",IF(INDEX(xyWattage_Table,MATCH(M777,'Fixture Identities'!$B$9:$B$997,0),2)="Exit Sign",0,IF(PRJ_Type="Retrofit",VLOOKUP(I777,xySVG_Factors,2,FALSE),IF(AND(PRJ_Type="New Construction",Inventory!C774="N"),VLOOKUP(VLOOKUP(Building_Type,xyLPD_BuildingArea,5,FALSE),xySVG_Factors_NC,3,FALSE),0)))),"")</f>
        <v/>
      </c>
      <c r="Z777" s="544" t="str">
        <f>IFERROR(IF(C777="","",IF(INDEX(xyWattage_Table,MATCH(M777,'Fixture Identities'!$B$9:$B$997,0),2)="Exit Sign",0,VLOOKUP(S777,xySVG_Factors,2,FALSE))),"")</f>
        <v/>
      </c>
      <c r="AA777" s="545" t="str">
        <f t="shared" si="285"/>
        <v/>
      </c>
      <c r="AB777" s="542" t="str">
        <f t="shared" si="286"/>
        <v/>
      </c>
      <c r="AC777" s="539" t="str">
        <f t="shared" si="287"/>
        <v/>
      </c>
      <c r="AD777" s="546" t="str">
        <f t="shared" si="288"/>
        <v/>
      </c>
      <c r="AE777" s="539" t="str">
        <f t="shared" si="289"/>
        <v/>
      </c>
      <c r="AF777" s="546" t="str">
        <f t="shared" si="290"/>
        <v/>
      </c>
      <c r="AG777" s="539" t="str">
        <f t="shared" si="291"/>
        <v/>
      </c>
      <c r="AH777" s="32">
        <f t="shared" si="271"/>
        <v>0</v>
      </c>
      <c r="AI777" s="32">
        <f t="shared" si="272"/>
        <v>0</v>
      </c>
      <c r="AJ777" s="32">
        <f t="shared" si="273"/>
        <v>0</v>
      </c>
      <c r="AK777" t="str">
        <f t="shared" si="274"/>
        <v/>
      </c>
      <c r="AL777" t="str">
        <f t="shared" si="275"/>
        <v/>
      </c>
      <c r="AM777" t="str">
        <f t="shared" si="276"/>
        <v/>
      </c>
      <c r="AO777" t="str">
        <f>IFERROR(VLOOKUP(M777,'Fixture Identities'!$B$9:$O$1045,14,FALSE),"")</f>
        <v/>
      </c>
      <c r="AP777" t="str">
        <f t="shared" si="270"/>
        <v/>
      </c>
    </row>
    <row r="778" spans="1:42">
      <c r="A778" s="71">
        <f t="shared" si="278"/>
        <v>0</v>
      </c>
      <c r="B778" s="513">
        <f t="shared" si="277"/>
        <v>766</v>
      </c>
      <c r="C778" s="530" t="str">
        <f>IF(Inventory!E775="","",Inventory!E775)</f>
        <v/>
      </c>
      <c r="D778" s="531">
        <f>IF(Inventory!D775="",0,Inventory!D775)</f>
        <v>0</v>
      </c>
      <c r="E778" s="532" t="str">
        <f>IF(Inventory!I775=0,"",Inventory!I775)</f>
        <v/>
      </c>
      <c r="F778" s="533" t="str">
        <f t="shared" si="279"/>
        <v/>
      </c>
      <c r="G778" s="534" t="str">
        <f>IF(Inventory!G775="","",Inventory!G775)</f>
        <v/>
      </c>
      <c r="H778" s="535" t="str">
        <f t="shared" si="280"/>
        <v/>
      </c>
      <c r="I778" s="536" t="str">
        <f>IF(Inventory!J775="","",Inventory!J775)</f>
        <v/>
      </c>
      <c r="J778" s="537" t="str">
        <f>IFERROR(IF(PRJ_Type="New Construction",IF(Inventory!C775="N",INDEX(xyLPD_BuildingArea,MATCH(Building_Type,Lookups!$F$37:$F$75,0),4),INDEX(xyLPD_SpaceBySpace,MATCH(INDEX(xyNCEx,MATCH(I778,yNCExArea,0),2),ySpace_by_Space_Type,0),2)),VLOOKUP(E778,xyWattage_Table,11,FALSE)),"")</f>
        <v/>
      </c>
      <c r="K778" s="538" t="str">
        <f>IFERROR(IF(AND(NC_Type="Building Area Method",Inventory!C775="N"),IF(ISERROR(INDEX('Usage Groups (&gt;120 MWh only)'!$N$8:$N$12,MATCH(C778,'Usage Groups (&gt;120 MWh only)'!$B$8:$B$12,0),1))=TRUE,SqFt/COUNTIFS(Inventory!$C$10:$C$1009,"N",$Q$13:$Q$1012,"&gt;=0"),INDEX('Usage Groups (&gt;120 MWh only)'!$N$8:$N$12,MATCH(C778,'Usage Groups (&gt;120 MWh only)'!$B$8:$B$12,0),1)/COUNTIF($C$13:$C$1012,C778)),IF(AND(NC_Type="Building Area Method",Inventory!C775="Y"),INDEX(xyNCEx,MATCH(I778,yNCExArea,0),3)/COUNTIF($I$13:$I$1012,I778),VLOOKUP(J778,xyWattage_Table,10,FALSE))),"")</f>
        <v/>
      </c>
      <c r="L778" s="539" t="str">
        <f t="shared" si="281"/>
        <v/>
      </c>
      <c r="M778" s="540">
        <f>IF(Inventory!N775="","",Inventory!N775)</f>
        <v>0</v>
      </c>
      <c r="N778" s="533" t="str">
        <f t="shared" si="282"/>
        <v/>
      </c>
      <c r="O778" s="534"/>
      <c r="P778" s="533" t="str">
        <f t="shared" si="283"/>
        <v/>
      </c>
      <c r="Q778" s="534" t="str">
        <f>IF(Inventory!L775="","",Inventory!L775)</f>
        <v/>
      </c>
      <c r="R778" s="535" t="str">
        <f t="shared" si="284"/>
        <v/>
      </c>
      <c r="S778" s="536" t="str">
        <f>IF(Inventory!O775="","",Inventory!O775)</f>
        <v/>
      </c>
      <c r="T778" s="541" t="str">
        <f>IFERROR(IF(C778="","",IF(INDEX(xyWattage_Table,MATCH(M778,'Fixture Identities'!$B$9:$B$997,0),2)="Exit Sign",8760,IF(VLOOKUP(C778,xySpace_Type_Details,8,FALSE)="TRM",INDEX('General Information'!$AF$17:$AG$28,11,MATCH(N778,'General Information'!$AF$16:$AG$16,0)),HLOOKUP(VLOOKUP(C778,xySpace_Type_Details,8,FALSE),'General Information'!$P$15:$AG$28,13,FALSE)))),"")</f>
        <v/>
      </c>
      <c r="U778" s="542" t="str">
        <f>IFERROR(IF(C778="","",IF(INDEX(xyWattage_Table,MATCH(M778,'Fixture Identities'!$B$9:$B$997,0),2)="Exit Sign",1,IF(VLOOKUP(C778,xySpace_Type_Details,8,FALSE)="TRM",INDEX('General Information'!$AF$17:$AG$28,12,MATCH(N778,'General Information'!$AF$16:$AG$16,0)),HLOOKUP(VLOOKUP(C778,xySpace_Type_Details,8,FALSE),'General Information'!$P$15:$AG$28,14,FALSE)))),"")</f>
        <v/>
      </c>
      <c r="V778" s="542" t="str">
        <f>IFERROR(VLOOKUP(INDEX(xySpace_Type_Details,MATCH($C778,'General Information'!$C$40:$C$60,0),12),Lookups!$L$8:$N$12,2,FALSE),"")</f>
        <v/>
      </c>
      <c r="W778" s="542" t="str">
        <f>IFERROR(VLOOKUP(INDEX(xySpace_Type_Details,MATCH($C778,'General Information'!$C$40:$C$60,0),12),Lookups!$L$8:$N$12,3,FALSE),"")</f>
        <v/>
      </c>
      <c r="Y778" s="542" t="str">
        <f>IFERROR(IF(C778="","",IF(INDEX(xyWattage_Table,MATCH(M778,'Fixture Identities'!$B$9:$B$997,0),2)="Exit Sign",0,IF(PRJ_Type="Retrofit",VLOOKUP(I778,xySVG_Factors,2,FALSE),IF(AND(PRJ_Type="New Construction",Inventory!C775="N"),VLOOKUP(VLOOKUP(Building_Type,xyLPD_BuildingArea,5,FALSE),xySVG_Factors_NC,3,FALSE),0)))),"")</f>
        <v/>
      </c>
      <c r="Z778" s="544" t="str">
        <f>IFERROR(IF(C778="","",IF(INDEX(xyWattage_Table,MATCH(M778,'Fixture Identities'!$B$9:$B$997,0),2)="Exit Sign",0,VLOOKUP(S778,xySVG_Factors,2,FALSE))),"")</f>
        <v/>
      </c>
      <c r="AA778" s="545" t="str">
        <f t="shared" si="285"/>
        <v/>
      </c>
      <c r="AB778" s="542" t="str">
        <f t="shared" si="286"/>
        <v/>
      </c>
      <c r="AC778" s="539" t="str">
        <f t="shared" si="287"/>
        <v/>
      </c>
      <c r="AD778" s="546" t="str">
        <f t="shared" si="288"/>
        <v/>
      </c>
      <c r="AE778" s="539" t="str">
        <f t="shared" si="289"/>
        <v/>
      </c>
      <c r="AF778" s="546" t="str">
        <f t="shared" si="290"/>
        <v/>
      </c>
      <c r="AG778" s="539" t="str">
        <f t="shared" si="291"/>
        <v/>
      </c>
      <c r="AH778" s="32">
        <f t="shared" si="271"/>
        <v>0</v>
      </c>
      <c r="AI778" s="32">
        <f t="shared" si="272"/>
        <v>0</v>
      </c>
      <c r="AJ778" s="32">
        <f t="shared" si="273"/>
        <v>0</v>
      </c>
      <c r="AK778" t="str">
        <f t="shared" si="274"/>
        <v/>
      </c>
      <c r="AL778" t="str">
        <f t="shared" si="275"/>
        <v/>
      </c>
      <c r="AM778" t="str">
        <f t="shared" si="276"/>
        <v/>
      </c>
      <c r="AO778" t="str">
        <f>IFERROR(VLOOKUP(M778,'Fixture Identities'!$B$9:$O$1045,14,FALSE),"")</f>
        <v/>
      </c>
      <c r="AP778" t="str">
        <f t="shared" si="270"/>
        <v/>
      </c>
    </row>
    <row r="779" spans="1:42">
      <c r="A779" s="71">
        <f t="shared" si="278"/>
        <v>0</v>
      </c>
      <c r="B779" s="513">
        <f t="shared" si="277"/>
        <v>767</v>
      </c>
      <c r="C779" s="530" t="str">
        <f>IF(Inventory!E776="","",Inventory!E776)</f>
        <v/>
      </c>
      <c r="D779" s="531">
        <f>IF(Inventory!D776="",0,Inventory!D776)</f>
        <v>0</v>
      </c>
      <c r="E779" s="532" t="str">
        <f>IF(Inventory!I776=0,"",Inventory!I776)</f>
        <v/>
      </c>
      <c r="F779" s="533" t="str">
        <f t="shared" si="279"/>
        <v/>
      </c>
      <c r="G779" s="534" t="str">
        <f>IF(Inventory!G776="","",Inventory!G776)</f>
        <v/>
      </c>
      <c r="H779" s="535" t="str">
        <f t="shared" si="280"/>
        <v/>
      </c>
      <c r="I779" s="536" t="str">
        <f>IF(Inventory!J776="","",Inventory!J776)</f>
        <v/>
      </c>
      <c r="J779" s="537" t="str">
        <f>IFERROR(IF(PRJ_Type="New Construction",IF(Inventory!C776="N",INDEX(xyLPD_BuildingArea,MATCH(Building_Type,Lookups!$F$37:$F$75,0),4),INDEX(xyLPD_SpaceBySpace,MATCH(INDEX(xyNCEx,MATCH(I779,yNCExArea,0),2),ySpace_by_Space_Type,0),2)),VLOOKUP(E779,xyWattage_Table,11,FALSE)),"")</f>
        <v/>
      </c>
      <c r="K779" s="538" t="str">
        <f>IFERROR(IF(AND(NC_Type="Building Area Method",Inventory!C776="N"),IF(ISERROR(INDEX('Usage Groups (&gt;120 MWh only)'!$N$8:$N$12,MATCH(C779,'Usage Groups (&gt;120 MWh only)'!$B$8:$B$12,0),1))=TRUE,SqFt/COUNTIFS(Inventory!$C$10:$C$1009,"N",$Q$13:$Q$1012,"&gt;=0"),INDEX('Usage Groups (&gt;120 MWh only)'!$N$8:$N$12,MATCH(C779,'Usage Groups (&gt;120 MWh only)'!$B$8:$B$12,0),1)/COUNTIF($C$13:$C$1012,C779)),IF(AND(NC_Type="Building Area Method",Inventory!C776="Y"),INDEX(xyNCEx,MATCH(I779,yNCExArea,0),3)/COUNTIF($I$13:$I$1012,I779),VLOOKUP(J779,xyWattage_Table,10,FALSE))),"")</f>
        <v/>
      </c>
      <c r="L779" s="539" t="str">
        <f t="shared" si="281"/>
        <v/>
      </c>
      <c r="M779" s="540">
        <f>IF(Inventory!N776="","",Inventory!N776)</f>
        <v>0</v>
      </c>
      <c r="N779" s="533" t="str">
        <f t="shared" si="282"/>
        <v/>
      </c>
      <c r="O779" s="534"/>
      <c r="P779" s="533" t="str">
        <f t="shared" si="283"/>
        <v/>
      </c>
      <c r="Q779" s="534" t="str">
        <f>IF(Inventory!L776="","",Inventory!L776)</f>
        <v/>
      </c>
      <c r="R779" s="535" t="str">
        <f t="shared" si="284"/>
        <v/>
      </c>
      <c r="S779" s="536" t="str">
        <f>IF(Inventory!O776="","",Inventory!O776)</f>
        <v/>
      </c>
      <c r="T779" s="541" t="str">
        <f>IFERROR(IF(C779="","",IF(INDEX(xyWattage_Table,MATCH(M779,'Fixture Identities'!$B$9:$B$997,0),2)="Exit Sign",8760,IF(VLOOKUP(C779,xySpace_Type_Details,8,FALSE)="TRM",INDEX('General Information'!$AF$17:$AG$28,11,MATCH(N779,'General Information'!$AF$16:$AG$16,0)),HLOOKUP(VLOOKUP(C779,xySpace_Type_Details,8,FALSE),'General Information'!$P$15:$AG$28,13,FALSE)))),"")</f>
        <v/>
      </c>
      <c r="U779" s="542" t="str">
        <f>IFERROR(IF(C779="","",IF(INDEX(xyWattage_Table,MATCH(M779,'Fixture Identities'!$B$9:$B$997,0),2)="Exit Sign",1,IF(VLOOKUP(C779,xySpace_Type_Details,8,FALSE)="TRM",INDEX('General Information'!$AF$17:$AG$28,12,MATCH(N779,'General Information'!$AF$16:$AG$16,0)),HLOOKUP(VLOOKUP(C779,xySpace_Type_Details,8,FALSE),'General Information'!$P$15:$AG$28,14,FALSE)))),"")</f>
        <v/>
      </c>
      <c r="V779" s="542" t="str">
        <f>IFERROR(VLOOKUP(INDEX(xySpace_Type_Details,MATCH($C779,'General Information'!$C$40:$C$60,0),12),Lookups!$L$8:$N$12,2,FALSE),"")</f>
        <v/>
      </c>
      <c r="W779" s="542" t="str">
        <f>IFERROR(VLOOKUP(INDEX(xySpace_Type_Details,MATCH($C779,'General Information'!$C$40:$C$60,0),12),Lookups!$L$8:$N$12,3,FALSE),"")</f>
        <v/>
      </c>
      <c r="Y779" s="542" t="str">
        <f>IFERROR(IF(C779="","",IF(INDEX(xyWattage_Table,MATCH(M779,'Fixture Identities'!$B$9:$B$997,0),2)="Exit Sign",0,IF(PRJ_Type="Retrofit",VLOOKUP(I779,xySVG_Factors,2,FALSE),IF(AND(PRJ_Type="New Construction",Inventory!C776="N"),VLOOKUP(VLOOKUP(Building_Type,xyLPD_BuildingArea,5,FALSE),xySVG_Factors_NC,3,FALSE),0)))),"")</f>
        <v/>
      </c>
      <c r="Z779" s="544" t="str">
        <f>IFERROR(IF(C779="","",IF(INDEX(xyWattage_Table,MATCH(M779,'Fixture Identities'!$B$9:$B$997,0),2)="Exit Sign",0,VLOOKUP(S779,xySVG_Factors,2,FALSE))),"")</f>
        <v/>
      </c>
      <c r="AA779" s="545" t="str">
        <f t="shared" si="285"/>
        <v/>
      </c>
      <c r="AB779" s="542" t="str">
        <f t="shared" si="286"/>
        <v/>
      </c>
      <c r="AC779" s="539" t="str">
        <f t="shared" si="287"/>
        <v/>
      </c>
      <c r="AD779" s="546" t="str">
        <f t="shared" si="288"/>
        <v/>
      </c>
      <c r="AE779" s="539" t="str">
        <f t="shared" si="289"/>
        <v/>
      </c>
      <c r="AF779" s="546" t="str">
        <f t="shared" si="290"/>
        <v/>
      </c>
      <c r="AG779" s="539" t="str">
        <f t="shared" si="291"/>
        <v/>
      </c>
      <c r="AH779" s="32">
        <f t="shared" si="271"/>
        <v>0</v>
      </c>
      <c r="AI779" s="32">
        <f t="shared" si="272"/>
        <v>0</v>
      </c>
      <c r="AJ779" s="32">
        <f t="shared" si="273"/>
        <v>0</v>
      </c>
      <c r="AK779" t="str">
        <f t="shared" si="274"/>
        <v/>
      </c>
      <c r="AL779" t="str">
        <f t="shared" si="275"/>
        <v/>
      </c>
      <c r="AM779" t="str">
        <f t="shared" si="276"/>
        <v/>
      </c>
      <c r="AO779" t="str">
        <f>IFERROR(VLOOKUP(M779,'Fixture Identities'!$B$9:$O$1045,14,FALSE),"")</f>
        <v/>
      </c>
      <c r="AP779" t="str">
        <f t="shared" si="270"/>
        <v/>
      </c>
    </row>
    <row r="780" spans="1:42">
      <c r="A780" s="71">
        <f t="shared" si="278"/>
        <v>0</v>
      </c>
      <c r="B780" s="513">
        <f t="shared" si="277"/>
        <v>768</v>
      </c>
      <c r="C780" s="530" t="str">
        <f>IF(Inventory!E777="","",Inventory!E777)</f>
        <v/>
      </c>
      <c r="D780" s="531">
        <f>IF(Inventory!D777="",0,Inventory!D777)</f>
        <v>0</v>
      </c>
      <c r="E780" s="532" t="str">
        <f>IF(Inventory!I777=0,"",Inventory!I777)</f>
        <v/>
      </c>
      <c r="F780" s="533" t="str">
        <f t="shared" si="279"/>
        <v/>
      </c>
      <c r="G780" s="534" t="str">
        <f>IF(Inventory!G777="","",Inventory!G777)</f>
        <v/>
      </c>
      <c r="H780" s="535" t="str">
        <f t="shared" si="280"/>
        <v/>
      </c>
      <c r="I780" s="536" t="str">
        <f>IF(Inventory!J777="","",Inventory!J777)</f>
        <v/>
      </c>
      <c r="J780" s="537" t="str">
        <f>IFERROR(IF(PRJ_Type="New Construction",IF(Inventory!C777="N",INDEX(xyLPD_BuildingArea,MATCH(Building_Type,Lookups!$F$37:$F$75,0),4),INDEX(xyLPD_SpaceBySpace,MATCH(INDEX(xyNCEx,MATCH(I780,yNCExArea,0),2),ySpace_by_Space_Type,0),2)),VLOOKUP(E780,xyWattage_Table,11,FALSE)),"")</f>
        <v/>
      </c>
      <c r="K780" s="538" t="str">
        <f>IFERROR(IF(AND(NC_Type="Building Area Method",Inventory!C777="N"),IF(ISERROR(INDEX('Usage Groups (&gt;120 MWh only)'!$N$8:$N$12,MATCH(C780,'Usage Groups (&gt;120 MWh only)'!$B$8:$B$12,0),1))=TRUE,SqFt/COUNTIFS(Inventory!$C$10:$C$1009,"N",$Q$13:$Q$1012,"&gt;=0"),INDEX('Usage Groups (&gt;120 MWh only)'!$N$8:$N$12,MATCH(C780,'Usage Groups (&gt;120 MWh only)'!$B$8:$B$12,0),1)/COUNTIF($C$13:$C$1012,C780)),IF(AND(NC_Type="Building Area Method",Inventory!C777="Y"),INDEX(xyNCEx,MATCH(I780,yNCExArea,0),3)/COUNTIF($I$13:$I$1012,I780),VLOOKUP(J780,xyWattage_Table,10,FALSE))),"")</f>
        <v/>
      </c>
      <c r="L780" s="539" t="str">
        <f t="shared" si="281"/>
        <v/>
      </c>
      <c r="M780" s="540">
        <f>IF(Inventory!N777="","",Inventory!N777)</f>
        <v>0</v>
      </c>
      <c r="N780" s="533" t="str">
        <f t="shared" si="282"/>
        <v/>
      </c>
      <c r="O780" s="534"/>
      <c r="P780" s="533" t="str">
        <f t="shared" si="283"/>
        <v/>
      </c>
      <c r="Q780" s="534" t="str">
        <f>IF(Inventory!L777="","",Inventory!L777)</f>
        <v/>
      </c>
      <c r="R780" s="535" t="str">
        <f t="shared" si="284"/>
        <v/>
      </c>
      <c r="S780" s="536" t="str">
        <f>IF(Inventory!O777="","",Inventory!O777)</f>
        <v/>
      </c>
      <c r="T780" s="541" t="str">
        <f>IFERROR(IF(C780="","",IF(INDEX(xyWattage_Table,MATCH(M780,'Fixture Identities'!$B$9:$B$997,0),2)="Exit Sign",8760,IF(VLOOKUP(C780,xySpace_Type_Details,8,FALSE)="TRM",INDEX('General Information'!$AF$17:$AG$28,11,MATCH(N780,'General Information'!$AF$16:$AG$16,0)),HLOOKUP(VLOOKUP(C780,xySpace_Type_Details,8,FALSE),'General Information'!$P$15:$AG$28,13,FALSE)))),"")</f>
        <v/>
      </c>
      <c r="U780" s="542" t="str">
        <f>IFERROR(IF(C780="","",IF(INDEX(xyWattage_Table,MATCH(M780,'Fixture Identities'!$B$9:$B$997,0),2)="Exit Sign",1,IF(VLOOKUP(C780,xySpace_Type_Details,8,FALSE)="TRM",INDEX('General Information'!$AF$17:$AG$28,12,MATCH(N780,'General Information'!$AF$16:$AG$16,0)),HLOOKUP(VLOOKUP(C780,xySpace_Type_Details,8,FALSE),'General Information'!$P$15:$AG$28,14,FALSE)))),"")</f>
        <v/>
      </c>
      <c r="V780" s="542" t="str">
        <f>IFERROR(VLOOKUP(INDEX(xySpace_Type_Details,MATCH($C780,'General Information'!$C$40:$C$60,0),12),Lookups!$L$8:$N$12,2,FALSE),"")</f>
        <v/>
      </c>
      <c r="W780" s="542" t="str">
        <f>IFERROR(VLOOKUP(INDEX(xySpace_Type_Details,MATCH($C780,'General Information'!$C$40:$C$60,0),12),Lookups!$L$8:$N$12,3,FALSE),"")</f>
        <v/>
      </c>
      <c r="Y780" s="542" t="str">
        <f>IFERROR(IF(C780="","",IF(INDEX(xyWattage_Table,MATCH(M780,'Fixture Identities'!$B$9:$B$997,0),2)="Exit Sign",0,IF(PRJ_Type="Retrofit",VLOOKUP(I780,xySVG_Factors,2,FALSE),IF(AND(PRJ_Type="New Construction",Inventory!C777="N"),VLOOKUP(VLOOKUP(Building_Type,xyLPD_BuildingArea,5,FALSE),xySVG_Factors_NC,3,FALSE),0)))),"")</f>
        <v/>
      </c>
      <c r="Z780" s="544" t="str">
        <f>IFERROR(IF(C780="","",IF(INDEX(xyWattage_Table,MATCH(M780,'Fixture Identities'!$B$9:$B$997,0),2)="Exit Sign",0,VLOOKUP(S780,xySVG_Factors,2,FALSE))),"")</f>
        <v/>
      </c>
      <c r="AA780" s="545" t="str">
        <f t="shared" si="285"/>
        <v/>
      </c>
      <c r="AB780" s="542" t="str">
        <f t="shared" si="286"/>
        <v/>
      </c>
      <c r="AC780" s="539" t="str">
        <f t="shared" si="287"/>
        <v/>
      </c>
      <c r="AD780" s="546" t="str">
        <f t="shared" si="288"/>
        <v/>
      </c>
      <c r="AE780" s="539" t="str">
        <f t="shared" si="289"/>
        <v/>
      </c>
      <c r="AF780" s="546" t="str">
        <f t="shared" si="290"/>
        <v/>
      </c>
      <c r="AG780" s="539" t="str">
        <f t="shared" si="291"/>
        <v/>
      </c>
      <c r="AH780" s="32">
        <f t="shared" si="271"/>
        <v>0</v>
      </c>
      <c r="AI780" s="32">
        <f t="shared" si="272"/>
        <v>0</v>
      </c>
      <c r="AJ780" s="32">
        <f t="shared" si="273"/>
        <v>0</v>
      </c>
      <c r="AK780" t="str">
        <f t="shared" si="274"/>
        <v/>
      </c>
      <c r="AL780" t="str">
        <f t="shared" si="275"/>
        <v/>
      </c>
      <c r="AM780" t="str">
        <f t="shared" si="276"/>
        <v/>
      </c>
      <c r="AO780" t="str">
        <f>IFERROR(VLOOKUP(M780,'Fixture Identities'!$B$9:$O$1045,14,FALSE),"")</f>
        <v/>
      </c>
      <c r="AP780" t="str">
        <f t="shared" si="270"/>
        <v/>
      </c>
    </row>
    <row r="781" spans="1:42">
      <c r="A781" s="71">
        <f t="shared" si="278"/>
        <v>0</v>
      </c>
      <c r="B781" s="513">
        <f t="shared" si="277"/>
        <v>769</v>
      </c>
      <c r="C781" s="530" t="str">
        <f>IF(Inventory!E778="","",Inventory!E778)</f>
        <v/>
      </c>
      <c r="D781" s="531">
        <f>IF(Inventory!D778="",0,Inventory!D778)</f>
        <v>0</v>
      </c>
      <c r="E781" s="532" t="str">
        <f>IF(Inventory!I778=0,"",Inventory!I778)</f>
        <v/>
      </c>
      <c r="F781" s="533" t="str">
        <f t="shared" si="279"/>
        <v/>
      </c>
      <c r="G781" s="534" t="str">
        <f>IF(Inventory!G778="","",Inventory!G778)</f>
        <v/>
      </c>
      <c r="H781" s="535" t="str">
        <f t="shared" si="280"/>
        <v/>
      </c>
      <c r="I781" s="536" t="str">
        <f>IF(Inventory!J778="","",Inventory!J778)</f>
        <v/>
      </c>
      <c r="J781" s="537" t="str">
        <f>IFERROR(IF(PRJ_Type="New Construction",IF(Inventory!C778="N",INDEX(xyLPD_BuildingArea,MATCH(Building_Type,Lookups!$F$37:$F$75,0),4),INDEX(xyLPD_SpaceBySpace,MATCH(INDEX(xyNCEx,MATCH(I781,yNCExArea,0),2),ySpace_by_Space_Type,0),2)),VLOOKUP(E781,xyWattage_Table,11,FALSE)),"")</f>
        <v/>
      </c>
      <c r="K781" s="538" t="str">
        <f>IFERROR(IF(AND(NC_Type="Building Area Method",Inventory!C778="N"),IF(ISERROR(INDEX('Usage Groups (&gt;120 MWh only)'!$N$8:$N$12,MATCH(C781,'Usage Groups (&gt;120 MWh only)'!$B$8:$B$12,0),1))=TRUE,SqFt/COUNTIFS(Inventory!$C$10:$C$1009,"N",$Q$13:$Q$1012,"&gt;=0"),INDEX('Usage Groups (&gt;120 MWh only)'!$N$8:$N$12,MATCH(C781,'Usage Groups (&gt;120 MWh only)'!$B$8:$B$12,0),1)/COUNTIF($C$13:$C$1012,C781)),IF(AND(NC_Type="Building Area Method",Inventory!C778="Y"),INDEX(xyNCEx,MATCH(I781,yNCExArea,0),3)/COUNTIF($I$13:$I$1012,I781),VLOOKUP(J781,xyWattage_Table,10,FALSE))),"")</f>
        <v/>
      </c>
      <c r="L781" s="539" t="str">
        <f t="shared" si="281"/>
        <v/>
      </c>
      <c r="M781" s="540">
        <f>IF(Inventory!N778="","",Inventory!N778)</f>
        <v>0</v>
      </c>
      <c r="N781" s="533" t="str">
        <f t="shared" si="282"/>
        <v/>
      </c>
      <c r="O781" s="534"/>
      <c r="P781" s="533" t="str">
        <f t="shared" si="283"/>
        <v/>
      </c>
      <c r="Q781" s="534" t="str">
        <f>IF(Inventory!L778="","",Inventory!L778)</f>
        <v/>
      </c>
      <c r="R781" s="535" t="str">
        <f t="shared" si="284"/>
        <v/>
      </c>
      <c r="S781" s="536" t="str">
        <f>IF(Inventory!O778="","",Inventory!O778)</f>
        <v/>
      </c>
      <c r="T781" s="541" t="str">
        <f>IFERROR(IF(C781="","",IF(INDEX(xyWattage_Table,MATCH(M781,'Fixture Identities'!$B$9:$B$997,0),2)="Exit Sign",8760,IF(VLOOKUP(C781,xySpace_Type_Details,8,FALSE)="TRM",INDEX('General Information'!$AF$17:$AG$28,11,MATCH(N781,'General Information'!$AF$16:$AG$16,0)),HLOOKUP(VLOOKUP(C781,xySpace_Type_Details,8,FALSE),'General Information'!$P$15:$AG$28,13,FALSE)))),"")</f>
        <v/>
      </c>
      <c r="U781" s="542" t="str">
        <f>IFERROR(IF(C781="","",IF(INDEX(xyWattage_Table,MATCH(M781,'Fixture Identities'!$B$9:$B$997,0),2)="Exit Sign",1,IF(VLOOKUP(C781,xySpace_Type_Details,8,FALSE)="TRM",INDEX('General Information'!$AF$17:$AG$28,12,MATCH(N781,'General Information'!$AF$16:$AG$16,0)),HLOOKUP(VLOOKUP(C781,xySpace_Type_Details,8,FALSE),'General Information'!$P$15:$AG$28,14,FALSE)))),"")</f>
        <v/>
      </c>
      <c r="V781" s="542" t="str">
        <f>IFERROR(VLOOKUP(INDEX(xySpace_Type_Details,MATCH($C781,'General Information'!$C$40:$C$60,0),12),Lookups!$L$8:$N$12,2,FALSE),"")</f>
        <v/>
      </c>
      <c r="W781" s="542" t="str">
        <f>IFERROR(VLOOKUP(INDEX(xySpace_Type_Details,MATCH($C781,'General Information'!$C$40:$C$60,0),12),Lookups!$L$8:$N$12,3,FALSE),"")</f>
        <v/>
      </c>
      <c r="Y781" s="542" t="str">
        <f>IFERROR(IF(C781="","",IF(INDEX(xyWattage_Table,MATCH(M781,'Fixture Identities'!$B$9:$B$997,0),2)="Exit Sign",0,IF(PRJ_Type="Retrofit",VLOOKUP(I781,xySVG_Factors,2,FALSE),IF(AND(PRJ_Type="New Construction",Inventory!C778="N"),VLOOKUP(VLOOKUP(Building_Type,xyLPD_BuildingArea,5,FALSE),xySVG_Factors_NC,3,FALSE),0)))),"")</f>
        <v/>
      </c>
      <c r="Z781" s="544" t="str">
        <f>IFERROR(IF(C781="","",IF(INDEX(xyWattage_Table,MATCH(M781,'Fixture Identities'!$B$9:$B$997,0),2)="Exit Sign",0,VLOOKUP(S781,xySVG_Factors,2,FALSE))),"")</f>
        <v/>
      </c>
      <c r="AA781" s="545" t="str">
        <f t="shared" si="285"/>
        <v/>
      </c>
      <c r="AB781" s="542" t="str">
        <f t="shared" si="286"/>
        <v/>
      </c>
      <c r="AC781" s="539" t="str">
        <f t="shared" si="287"/>
        <v/>
      </c>
      <c r="AD781" s="546" t="str">
        <f t="shared" si="288"/>
        <v/>
      </c>
      <c r="AE781" s="539" t="str">
        <f t="shared" si="289"/>
        <v/>
      </c>
      <c r="AF781" s="546" t="str">
        <f t="shared" si="290"/>
        <v/>
      </c>
      <c r="AG781" s="539" t="str">
        <f t="shared" si="291"/>
        <v/>
      </c>
      <c r="AH781" s="32">
        <f t="shared" si="271"/>
        <v>0</v>
      </c>
      <c r="AI781" s="32">
        <f t="shared" si="272"/>
        <v>0</v>
      </c>
      <c r="AJ781" s="32">
        <f t="shared" si="273"/>
        <v>0</v>
      </c>
      <c r="AK781" t="str">
        <f t="shared" si="274"/>
        <v/>
      </c>
      <c r="AL781" t="str">
        <f t="shared" si="275"/>
        <v/>
      </c>
      <c r="AM781" t="str">
        <f t="shared" si="276"/>
        <v/>
      </c>
      <c r="AO781" t="str">
        <f>IFERROR(VLOOKUP(M781,'Fixture Identities'!$B$9:$O$1045,14,FALSE),"")</f>
        <v/>
      </c>
      <c r="AP781" t="str">
        <f t="shared" ref="AP781:AP844" si="292">IF(M782="Signage",G782,"")</f>
        <v/>
      </c>
    </row>
    <row r="782" spans="1:42">
      <c r="A782" s="71">
        <f t="shared" si="278"/>
        <v>0</v>
      </c>
      <c r="B782" s="513">
        <f t="shared" si="277"/>
        <v>770</v>
      </c>
      <c r="C782" s="530" t="str">
        <f>IF(Inventory!E779="","",Inventory!E779)</f>
        <v/>
      </c>
      <c r="D782" s="531">
        <f>IF(Inventory!D779="",0,Inventory!D779)</f>
        <v>0</v>
      </c>
      <c r="E782" s="532" t="str">
        <f>IF(Inventory!I779=0,"",Inventory!I779)</f>
        <v/>
      </c>
      <c r="F782" s="533" t="str">
        <f t="shared" si="279"/>
        <v/>
      </c>
      <c r="G782" s="534" t="str">
        <f>IF(Inventory!G779="","",Inventory!G779)</f>
        <v/>
      </c>
      <c r="H782" s="535" t="str">
        <f t="shared" si="280"/>
        <v/>
      </c>
      <c r="I782" s="536" t="str">
        <f>IF(Inventory!J779="","",Inventory!J779)</f>
        <v/>
      </c>
      <c r="J782" s="537" t="str">
        <f>IFERROR(IF(PRJ_Type="New Construction",IF(Inventory!C779="N",INDEX(xyLPD_BuildingArea,MATCH(Building_Type,Lookups!$F$37:$F$75,0),4),INDEX(xyLPD_SpaceBySpace,MATCH(INDEX(xyNCEx,MATCH(I782,yNCExArea,0),2),ySpace_by_Space_Type,0),2)),VLOOKUP(E782,xyWattage_Table,11,FALSE)),"")</f>
        <v/>
      </c>
      <c r="K782" s="538" t="str">
        <f>IFERROR(IF(AND(NC_Type="Building Area Method",Inventory!C779="N"),IF(ISERROR(INDEX('Usage Groups (&gt;120 MWh only)'!$N$8:$N$12,MATCH(C782,'Usage Groups (&gt;120 MWh only)'!$B$8:$B$12,0),1))=TRUE,SqFt/COUNTIFS(Inventory!$C$10:$C$1009,"N",$Q$13:$Q$1012,"&gt;=0"),INDEX('Usage Groups (&gt;120 MWh only)'!$N$8:$N$12,MATCH(C782,'Usage Groups (&gt;120 MWh only)'!$B$8:$B$12,0),1)/COUNTIF($C$13:$C$1012,C782)),IF(AND(NC_Type="Building Area Method",Inventory!C779="Y"),INDEX(xyNCEx,MATCH(I782,yNCExArea,0),3)/COUNTIF($I$13:$I$1012,I782),VLOOKUP(J782,xyWattage_Table,10,FALSE))),"")</f>
        <v/>
      </c>
      <c r="L782" s="539" t="str">
        <f t="shared" si="281"/>
        <v/>
      </c>
      <c r="M782" s="540">
        <f>IF(Inventory!N779="","",Inventory!N779)</f>
        <v>0</v>
      </c>
      <c r="N782" s="533" t="str">
        <f t="shared" si="282"/>
        <v/>
      </c>
      <c r="O782" s="534"/>
      <c r="P782" s="533" t="str">
        <f t="shared" si="283"/>
        <v/>
      </c>
      <c r="Q782" s="534" t="str">
        <f>IF(Inventory!L779="","",Inventory!L779)</f>
        <v/>
      </c>
      <c r="R782" s="535" t="str">
        <f t="shared" si="284"/>
        <v/>
      </c>
      <c r="S782" s="536" t="str">
        <f>IF(Inventory!O779="","",Inventory!O779)</f>
        <v/>
      </c>
      <c r="T782" s="541" t="str">
        <f>IFERROR(IF(C782="","",IF(INDEX(xyWattage_Table,MATCH(M782,'Fixture Identities'!$B$9:$B$997,0),2)="Exit Sign",8760,IF(VLOOKUP(C782,xySpace_Type_Details,8,FALSE)="TRM",INDEX('General Information'!$AF$17:$AG$28,11,MATCH(N782,'General Information'!$AF$16:$AG$16,0)),HLOOKUP(VLOOKUP(C782,xySpace_Type_Details,8,FALSE),'General Information'!$P$15:$AG$28,13,FALSE)))),"")</f>
        <v/>
      </c>
      <c r="U782" s="542" t="str">
        <f>IFERROR(IF(C782="","",IF(INDEX(xyWattage_Table,MATCH(M782,'Fixture Identities'!$B$9:$B$997,0),2)="Exit Sign",1,IF(VLOOKUP(C782,xySpace_Type_Details,8,FALSE)="TRM",INDEX('General Information'!$AF$17:$AG$28,12,MATCH(N782,'General Information'!$AF$16:$AG$16,0)),HLOOKUP(VLOOKUP(C782,xySpace_Type_Details,8,FALSE),'General Information'!$P$15:$AG$28,14,FALSE)))),"")</f>
        <v/>
      </c>
      <c r="V782" s="542" t="str">
        <f>IFERROR(VLOOKUP(INDEX(xySpace_Type_Details,MATCH($C782,'General Information'!$C$40:$C$60,0),12),Lookups!$L$8:$N$12,2,FALSE),"")</f>
        <v/>
      </c>
      <c r="W782" s="542" t="str">
        <f>IFERROR(VLOOKUP(INDEX(xySpace_Type_Details,MATCH($C782,'General Information'!$C$40:$C$60,0),12),Lookups!$L$8:$N$12,3,FALSE),"")</f>
        <v/>
      </c>
      <c r="Y782" s="542" t="str">
        <f>IFERROR(IF(C782="","",IF(INDEX(xyWattage_Table,MATCH(M782,'Fixture Identities'!$B$9:$B$997,0),2)="Exit Sign",0,IF(PRJ_Type="Retrofit",VLOOKUP(I782,xySVG_Factors,2,FALSE),IF(AND(PRJ_Type="New Construction",Inventory!C779="N"),VLOOKUP(VLOOKUP(Building_Type,xyLPD_BuildingArea,5,FALSE),xySVG_Factors_NC,3,FALSE),0)))),"")</f>
        <v/>
      </c>
      <c r="Z782" s="544" t="str">
        <f>IFERROR(IF(C782="","",IF(INDEX(xyWattage_Table,MATCH(M782,'Fixture Identities'!$B$9:$B$997,0),2)="Exit Sign",0,VLOOKUP(S782,xySVG_Factors,2,FALSE))),"")</f>
        <v/>
      </c>
      <c r="AA782" s="545" t="str">
        <f t="shared" si="285"/>
        <v/>
      </c>
      <c r="AB782" s="542" t="str">
        <f t="shared" si="286"/>
        <v/>
      </c>
      <c r="AC782" s="539" t="str">
        <f t="shared" si="287"/>
        <v/>
      </c>
      <c r="AD782" s="546" t="str">
        <f t="shared" si="288"/>
        <v/>
      </c>
      <c r="AE782" s="539" t="str">
        <f t="shared" si="289"/>
        <v/>
      </c>
      <c r="AF782" s="546" t="str">
        <f t="shared" si="290"/>
        <v/>
      </c>
      <c r="AG782" s="539" t="str">
        <f t="shared" si="291"/>
        <v/>
      </c>
      <c r="AH782" s="32">
        <f t="shared" ref="AH782:AH845" si="293">IF(I782&lt;&gt;S782,R782,0)</f>
        <v>0</v>
      </c>
      <c r="AI782" s="32">
        <f t="shared" ref="AI782:AI845" si="294">IFERROR(VLOOKUP(E782,xyWattage_Table,8,FALSE)*G782,0)</f>
        <v>0</v>
      </c>
      <c r="AJ782" s="32">
        <f t="shared" ref="AJ782:AJ845" si="295">IFERROR(VLOOKUP(M782,xyWattage_Table,8,FALSE)*Q782,0)</f>
        <v>0</v>
      </c>
      <c r="AK782" t="str">
        <f t="shared" ref="AK782:AK845" si="296">IFERROR((L782)/1000,"")</f>
        <v/>
      </c>
      <c r="AL782" t="str">
        <f t="shared" ref="AL782:AL845" si="297">IFERROR(AK782*U782*(1+W782)*(1-Y782),"")</f>
        <v/>
      </c>
      <c r="AM782" t="str">
        <f t="shared" ref="AM782:AM845" si="298">IFERROR(AK782*T782*(1+V782)*(1-Y782),"")</f>
        <v/>
      </c>
      <c r="AO782" t="str">
        <f>IFERROR(VLOOKUP(M782,'Fixture Identities'!$B$9:$O$1045,14,FALSE),"")</f>
        <v/>
      </c>
      <c r="AP782" t="str">
        <f t="shared" si="292"/>
        <v/>
      </c>
    </row>
    <row r="783" spans="1:42">
      <c r="A783" s="71">
        <f t="shared" si="278"/>
        <v>0</v>
      </c>
      <c r="B783" s="513">
        <f t="shared" ref="B783:B846" si="299">B782+1</f>
        <v>771</v>
      </c>
      <c r="C783" s="530" t="str">
        <f>IF(Inventory!E780="","",Inventory!E780)</f>
        <v/>
      </c>
      <c r="D783" s="531">
        <f>IF(Inventory!D780="",0,Inventory!D780)</f>
        <v>0</v>
      </c>
      <c r="E783" s="532" t="str">
        <f>IF(Inventory!I780=0,"",Inventory!I780)</f>
        <v/>
      </c>
      <c r="F783" s="533" t="str">
        <f t="shared" si="279"/>
        <v/>
      </c>
      <c r="G783" s="534" t="str">
        <f>IF(Inventory!G780="","",Inventory!G780)</f>
        <v/>
      </c>
      <c r="H783" s="535" t="str">
        <f t="shared" si="280"/>
        <v/>
      </c>
      <c r="I783" s="536" t="str">
        <f>IF(Inventory!J780="","",Inventory!J780)</f>
        <v/>
      </c>
      <c r="J783" s="537" t="str">
        <f>IFERROR(IF(PRJ_Type="New Construction",IF(Inventory!C780="N",INDEX(xyLPD_BuildingArea,MATCH(Building_Type,Lookups!$F$37:$F$75,0),4),INDEX(xyLPD_SpaceBySpace,MATCH(INDEX(xyNCEx,MATCH(I783,yNCExArea,0),2),ySpace_by_Space_Type,0),2)),VLOOKUP(E783,xyWattage_Table,11,FALSE)),"")</f>
        <v/>
      </c>
      <c r="K783" s="538" t="str">
        <f>IFERROR(IF(AND(NC_Type="Building Area Method",Inventory!C780="N"),IF(ISERROR(INDEX('Usage Groups (&gt;120 MWh only)'!$N$8:$N$12,MATCH(C783,'Usage Groups (&gt;120 MWh only)'!$B$8:$B$12,0),1))=TRUE,SqFt/COUNTIFS(Inventory!$C$10:$C$1009,"N",$Q$13:$Q$1012,"&gt;=0"),INDEX('Usage Groups (&gt;120 MWh only)'!$N$8:$N$12,MATCH(C783,'Usage Groups (&gt;120 MWh only)'!$B$8:$B$12,0),1)/COUNTIF($C$13:$C$1012,C783)),IF(AND(NC_Type="Building Area Method",Inventory!C780="Y"),INDEX(xyNCEx,MATCH(I783,yNCExArea,0),3)/COUNTIF($I$13:$I$1012,I783),VLOOKUP(J783,xyWattage_Table,10,FALSE))),"")</f>
        <v/>
      </c>
      <c r="L783" s="539" t="str">
        <f t="shared" si="281"/>
        <v/>
      </c>
      <c r="M783" s="540">
        <f>IF(Inventory!N780="","",Inventory!N780)</f>
        <v>0</v>
      </c>
      <c r="N783" s="533" t="str">
        <f t="shared" si="282"/>
        <v/>
      </c>
      <c r="O783" s="534"/>
      <c r="P783" s="533" t="str">
        <f t="shared" si="283"/>
        <v/>
      </c>
      <c r="Q783" s="534" t="str">
        <f>IF(Inventory!L780="","",Inventory!L780)</f>
        <v/>
      </c>
      <c r="R783" s="535" t="str">
        <f t="shared" si="284"/>
        <v/>
      </c>
      <c r="S783" s="536" t="str">
        <f>IF(Inventory!O780="","",Inventory!O780)</f>
        <v/>
      </c>
      <c r="T783" s="541" t="str">
        <f>IFERROR(IF(C783="","",IF(INDEX(xyWattage_Table,MATCH(M783,'Fixture Identities'!$B$9:$B$997,0),2)="Exit Sign",8760,IF(VLOOKUP(C783,xySpace_Type_Details,8,FALSE)="TRM",INDEX('General Information'!$AF$17:$AG$28,11,MATCH(N783,'General Information'!$AF$16:$AG$16,0)),HLOOKUP(VLOOKUP(C783,xySpace_Type_Details,8,FALSE),'General Information'!$P$15:$AG$28,13,FALSE)))),"")</f>
        <v/>
      </c>
      <c r="U783" s="542" t="str">
        <f>IFERROR(IF(C783="","",IF(INDEX(xyWattage_Table,MATCH(M783,'Fixture Identities'!$B$9:$B$997,0),2)="Exit Sign",1,IF(VLOOKUP(C783,xySpace_Type_Details,8,FALSE)="TRM",INDEX('General Information'!$AF$17:$AG$28,12,MATCH(N783,'General Information'!$AF$16:$AG$16,0)),HLOOKUP(VLOOKUP(C783,xySpace_Type_Details,8,FALSE),'General Information'!$P$15:$AG$28,14,FALSE)))),"")</f>
        <v/>
      </c>
      <c r="V783" s="542" t="str">
        <f>IFERROR(VLOOKUP(INDEX(xySpace_Type_Details,MATCH($C783,'General Information'!$C$40:$C$60,0),12),Lookups!$L$8:$N$12,2,FALSE),"")</f>
        <v/>
      </c>
      <c r="W783" s="542" t="str">
        <f>IFERROR(VLOOKUP(INDEX(xySpace_Type_Details,MATCH($C783,'General Information'!$C$40:$C$60,0),12),Lookups!$L$8:$N$12,3,FALSE),"")</f>
        <v/>
      </c>
      <c r="Y783" s="542" t="str">
        <f>IFERROR(IF(C783="","",IF(INDEX(xyWattage_Table,MATCH(M783,'Fixture Identities'!$B$9:$B$997,0),2)="Exit Sign",0,IF(PRJ_Type="Retrofit",VLOOKUP(I783,xySVG_Factors,2,FALSE),IF(AND(PRJ_Type="New Construction",Inventory!C780="N"),VLOOKUP(VLOOKUP(Building_Type,xyLPD_BuildingArea,5,FALSE),xySVG_Factors_NC,3,FALSE),0)))),"")</f>
        <v/>
      </c>
      <c r="Z783" s="544" t="str">
        <f>IFERROR(IF(C783="","",IF(INDEX(xyWattage_Table,MATCH(M783,'Fixture Identities'!$B$9:$B$997,0),2)="Exit Sign",0,VLOOKUP(S783,xySVG_Factors,2,FALSE))),"")</f>
        <v/>
      </c>
      <c r="AA783" s="545" t="str">
        <f t="shared" si="285"/>
        <v/>
      </c>
      <c r="AB783" s="542" t="str">
        <f t="shared" si="286"/>
        <v/>
      </c>
      <c r="AC783" s="539" t="str">
        <f t="shared" si="287"/>
        <v/>
      </c>
      <c r="AD783" s="546" t="str">
        <f t="shared" si="288"/>
        <v/>
      </c>
      <c r="AE783" s="539" t="str">
        <f t="shared" si="289"/>
        <v/>
      </c>
      <c r="AF783" s="546" t="str">
        <f t="shared" si="290"/>
        <v/>
      </c>
      <c r="AG783" s="539" t="str">
        <f t="shared" si="291"/>
        <v/>
      </c>
      <c r="AH783" s="32">
        <f t="shared" si="293"/>
        <v>0</v>
      </c>
      <c r="AI783" s="32">
        <f t="shared" si="294"/>
        <v>0</v>
      </c>
      <c r="AJ783" s="32">
        <f t="shared" si="295"/>
        <v>0</v>
      </c>
      <c r="AK783" t="str">
        <f t="shared" si="296"/>
        <v/>
      </c>
      <c r="AL783" t="str">
        <f t="shared" si="297"/>
        <v/>
      </c>
      <c r="AM783" t="str">
        <f t="shared" si="298"/>
        <v/>
      </c>
      <c r="AO783" t="str">
        <f>IFERROR(VLOOKUP(M783,'Fixture Identities'!$B$9:$O$1045,14,FALSE),"")</f>
        <v/>
      </c>
      <c r="AP783" t="str">
        <f t="shared" si="292"/>
        <v/>
      </c>
    </row>
    <row r="784" spans="1:42">
      <c r="A784" s="71">
        <f t="shared" si="278"/>
        <v>0</v>
      </c>
      <c r="B784" s="513">
        <f t="shared" si="299"/>
        <v>772</v>
      </c>
      <c r="C784" s="530" t="str">
        <f>IF(Inventory!E781="","",Inventory!E781)</f>
        <v/>
      </c>
      <c r="D784" s="531">
        <f>IF(Inventory!D781="",0,Inventory!D781)</f>
        <v>0</v>
      </c>
      <c r="E784" s="532" t="str">
        <f>IF(Inventory!I781=0,"",Inventory!I781)</f>
        <v/>
      </c>
      <c r="F784" s="533" t="str">
        <f t="shared" si="279"/>
        <v/>
      </c>
      <c r="G784" s="534" t="str">
        <f>IF(Inventory!G781="","",Inventory!G781)</f>
        <v/>
      </c>
      <c r="H784" s="535" t="str">
        <f t="shared" si="280"/>
        <v/>
      </c>
      <c r="I784" s="536" t="str">
        <f>IF(Inventory!J781="","",Inventory!J781)</f>
        <v/>
      </c>
      <c r="J784" s="537" t="str">
        <f>IFERROR(IF(PRJ_Type="New Construction",IF(Inventory!C781="N",INDEX(xyLPD_BuildingArea,MATCH(Building_Type,Lookups!$F$37:$F$75,0),4),INDEX(xyLPD_SpaceBySpace,MATCH(INDEX(xyNCEx,MATCH(I784,yNCExArea,0),2),ySpace_by_Space_Type,0),2)),VLOOKUP(E784,xyWattage_Table,11,FALSE)),"")</f>
        <v/>
      </c>
      <c r="K784" s="538" t="str">
        <f>IFERROR(IF(AND(NC_Type="Building Area Method",Inventory!C781="N"),IF(ISERROR(INDEX('Usage Groups (&gt;120 MWh only)'!$N$8:$N$12,MATCH(C784,'Usage Groups (&gt;120 MWh only)'!$B$8:$B$12,0),1))=TRUE,SqFt/COUNTIFS(Inventory!$C$10:$C$1009,"N",$Q$13:$Q$1012,"&gt;=0"),INDEX('Usage Groups (&gt;120 MWh only)'!$N$8:$N$12,MATCH(C784,'Usage Groups (&gt;120 MWh only)'!$B$8:$B$12,0),1)/COUNTIF($C$13:$C$1012,C784)),IF(AND(NC_Type="Building Area Method",Inventory!C781="Y"),INDEX(xyNCEx,MATCH(I784,yNCExArea,0),3)/COUNTIF($I$13:$I$1012,I784),VLOOKUP(J784,xyWattage_Table,10,FALSE))),"")</f>
        <v/>
      </c>
      <c r="L784" s="539" t="str">
        <f t="shared" si="281"/>
        <v/>
      </c>
      <c r="M784" s="540">
        <f>IF(Inventory!N781="","",Inventory!N781)</f>
        <v>0</v>
      </c>
      <c r="N784" s="533" t="str">
        <f t="shared" si="282"/>
        <v/>
      </c>
      <c r="O784" s="534"/>
      <c r="P784" s="533" t="str">
        <f t="shared" si="283"/>
        <v/>
      </c>
      <c r="Q784" s="534" t="str">
        <f>IF(Inventory!L781="","",Inventory!L781)</f>
        <v/>
      </c>
      <c r="R784" s="535" t="str">
        <f t="shared" si="284"/>
        <v/>
      </c>
      <c r="S784" s="536" t="str">
        <f>IF(Inventory!O781="","",Inventory!O781)</f>
        <v/>
      </c>
      <c r="T784" s="541" t="str">
        <f>IFERROR(IF(C784="","",IF(INDEX(xyWattage_Table,MATCH(M784,'Fixture Identities'!$B$9:$B$997,0),2)="Exit Sign",8760,IF(VLOOKUP(C784,xySpace_Type_Details,8,FALSE)="TRM",INDEX('General Information'!$AF$17:$AG$28,11,MATCH(N784,'General Information'!$AF$16:$AG$16,0)),HLOOKUP(VLOOKUP(C784,xySpace_Type_Details,8,FALSE),'General Information'!$P$15:$AG$28,13,FALSE)))),"")</f>
        <v/>
      </c>
      <c r="U784" s="542" t="str">
        <f>IFERROR(IF(C784="","",IF(INDEX(xyWattage_Table,MATCH(M784,'Fixture Identities'!$B$9:$B$997,0),2)="Exit Sign",1,IF(VLOOKUP(C784,xySpace_Type_Details,8,FALSE)="TRM",INDEX('General Information'!$AF$17:$AG$28,12,MATCH(N784,'General Information'!$AF$16:$AG$16,0)),HLOOKUP(VLOOKUP(C784,xySpace_Type_Details,8,FALSE),'General Information'!$P$15:$AG$28,14,FALSE)))),"")</f>
        <v/>
      </c>
      <c r="V784" s="542" t="str">
        <f>IFERROR(VLOOKUP(INDEX(xySpace_Type_Details,MATCH($C784,'General Information'!$C$40:$C$60,0),12),Lookups!$L$8:$N$12,2,FALSE),"")</f>
        <v/>
      </c>
      <c r="W784" s="542" t="str">
        <f>IFERROR(VLOOKUP(INDEX(xySpace_Type_Details,MATCH($C784,'General Information'!$C$40:$C$60,0),12),Lookups!$L$8:$N$12,3,FALSE),"")</f>
        <v/>
      </c>
      <c r="Y784" s="542" t="str">
        <f>IFERROR(IF(C784="","",IF(INDEX(xyWattage_Table,MATCH(M784,'Fixture Identities'!$B$9:$B$997,0),2)="Exit Sign",0,IF(PRJ_Type="Retrofit",VLOOKUP(I784,xySVG_Factors,2,FALSE),IF(AND(PRJ_Type="New Construction",Inventory!C781="N"),VLOOKUP(VLOOKUP(Building_Type,xyLPD_BuildingArea,5,FALSE),xySVG_Factors_NC,3,FALSE),0)))),"")</f>
        <v/>
      </c>
      <c r="Z784" s="544" t="str">
        <f>IFERROR(IF(C784="","",IF(INDEX(xyWattage_Table,MATCH(M784,'Fixture Identities'!$B$9:$B$997,0),2)="Exit Sign",0,VLOOKUP(S784,xySVG_Factors,2,FALSE))),"")</f>
        <v/>
      </c>
      <c r="AA784" s="545" t="str">
        <f t="shared" si="285"/>
        <v/>
      </c>
      <c r="AB784" s="542" t="str">
        <f t="shared" si="286"/>
        <v/>
      </c>
      <c r="AC784" s="539" t="str">
        <f t="shared" si="287"/>
        <v/>
      </c>
      <c r="AD784" s="546" t="str">
        <f t="shared" si="288"/>
        <v/>
      </c>
      <c r="AE784" s="539" t="str">
        <f t="shared" si="289"/>
        <v/>
      </c>
      <c r="AF784" s="546" t="str">
        <f t="shared" si="290"/>
        <v/>
      </c>
      <c r="AG784" s="539" t="str">
        <f t="shared" si="291"/>
        <v/>
      </c>
      <c r="AH784" s="32">
        <f t="shared" si="293"/>
        <v>0</v>
      </c>
      <c r="AI784" s="32">
        <f t="shared" si="294"/>
        <v>0</v>
      </c>
      <c r="AJ784" s="32">
        <f t="shared" si="295"/>
        <v>0</v>
      </c>
      <c r="AK784" t="str">
        <f t="shared" si="296"/>
        <v/>
      </c>
      <c r="AL784" t="str">
        <f t="shared" si="297"/>
        <v/>
      </c>
      <c r="AM784" t="str">
        <f t="shared" si="298"/>
        <v/>
      </c>
      <c r="AO784" t="str">
        <f>IFERROR(VLOOKUP(M784,'Fixture Identities'!$B$9:$O$1045,14,FALSE),"")</f>
        <v/>
      </c>
      <c r="AP784" t="str">
        <f t="shared" si="292"/>
        <v/>
      </c>
    </row>
    <row r="785" spans="1:42">
      <c r="A785" s="71">
        <f t="shared" si="278"/>
        <v>0</v>
      </c>
      <c r="B785" s="513">
        <f t="shared" si="299"/>
        <v>773</v>
      </c>
      <c r="C785" s="530" t="str">
        <f>IF(Inventory!E782="","",Inventory!E782)</f>
        <v/>
      </c>
      <c r="D785" s="531">
        <f>IF(Inventory!D782="",0,Inventory!D782)</f>
        <v>0</v>
      </c>
      <c r="E785" s="532" t="str">
        <f>IF(Inventory!I782=0,"",Inventory!I782)</f>
        <v/>
      </c>
      <c r="F785" s="533" t="str">
        <f t="shared" si="279"/>
        <v/>
      </c>
      <c r="G785" s="534" t="str">
        <f>IF(Inventory!G782="","",Inventory!G782)</f>
        <v/>
      </c>
      <c r="H785" s="535" t="str">
        <f t="shared" si="280"/>
        <v/>
      </c>
      <c r="I785" s="536" t="str">
        <f>IF(Inventory!J782="","",Inventory!J782)</f>
        <v/>
      </c>
      <c r="J785" s="537" t="str">
        <f>IFERROR(IF(PRJ_Type="New Construction",IF(Inventory!C782="N",INDEX(xyLPD_BuildingArea,MATCH(Building_Type,Lookups!$F$37:$F$75,0),4),INDEX(xyLPD_SpaceBySpace,MATCH(INDEX(xyNCEx,MATCH(I785,yNCExArea,0),2),ySpace_by_Space_Type,0),2)),VLOOKUP(E785,xyWattage_Table,11,FALSE)),"")</f>
        <v/>
      </c>
      <c r="K785" s="538" t="str">
        <f>IFERROR(IF(AND(NC_Type="Building Area Method",Inventory!C782="N"),IF(ISERROR(INDEX('Usage Groups (&gt;120 MWh only)'!$N$8:$N$12,MATCH(C785,'Usage Groups (&gt;120 MWh only)'!$B$8:$B$12,0),1))=TRUE,SqFt/COUNTIFS(Inventory!$C$10:$C$1009,"N",$Q$13:$Q$1012,"&gt;=0"),INDEX('Usage Groups (&gt;120 MWh only)'!$N$8:$N$12,MATCH(C785,'Usage Groups (&gt;120 MWh only)'!$B$8:$B$12,0),1)/COUNTIF($C$13:$C$1012,C785)),IF(AND(NC_Type="Building Area Method",Inventory!C782="Y"),INDEX(xyNCEx,MATCH(I785,yNCExArea,0),3)/COUNTIF($I$13:$I$1012,I785),VLOOKUP(J785,xyWattage_Table,10,FALSE))),"")</f>
        <v/>
      </c>
      <c r="L785" s="539" t="str">
        <f t="shared" si="281"/>
        <v/>
      </c>
      <c r="M785" s="540">
        <f>IF(Inventory!N782="","",Inventory!N782)</f>
        <v>0</v>
      </c>
      <c r="N785" s="533" t="str">
        <f t="shared" si="282"/>
        <v/>
      </c>
      <c r="O785" s="534"/>
      <c r="P785" s="533" t="str">
        <f t="shared" si="283"/>
        <v/>
      </c>
      <c r="Q785" s="534" t="str">
        <f>IF(Inventory!L782="","",Inventory!L782)</f>
        <v/>
      </c>
      <c r="R785" s="535" t="str">
        <f t="shared" si="284"/>
        <v/>
      </c>
      <c r="S785" s="536" t="str">
        <f>IF(Inventory!O782="","",Inventory!O782)</f>
        <v/>
      </c>
      <c r="T785" s="541" t="str">
        <f>IFERROR(IF(C785="","",IF(INDEX(xyWattage_Table,MATCH(M785,'Fixture Identities'!$B$9:$B$997,0),2)="Exit Sign",8760,IF(VLOOKUP(C785,xySpace_Type_Details,8,FALSE)="TRM",INDEX('General Information'!$AF$17:$AG$28,11,MATCH(N785,'General Information'!$AF$16:$AG$16,0)),HLOOKUP(VLOOKUP(C785,xySpace_Type_Details,8,FALSE),'General Information'!$P$15:$AG$28,13,FALSE)))),"")</f>
        <v/>
      </c>
      <c r="U785" s="542" t="str">
        <f>IFERROR(IF(C785="","",IF(INDEX(xyWattage_Table,MATCH(M785,'Fixture Identities'!$B$9:$B$997,0),2)="Exit Sign",1,IF(VLOOKUP(C785,xySpace_Type_Details,8,FALSE)="TRM",INDEX('General Information'!$AF$17:$AG$28,12,MATCH(N785,'General Information'!$AF$16:$AG$16,0)),HLOOKUP(VLOOKUP(C785,xySpace_Type_Details,8,FALSE),'General Information'!$P$15:$AG$28,14,FALSE)))),"")</f>
        <v/>
      </c>
      <c r="V785" s="542" t="str">
        <f>IFERROR(VLOOKUP(INDEX(xySpace_Type_Details,MATCH($C785,'General Information'!$C$40:$C$60,0),12),Lookups!$L$8:$N$12,2,FALSE),"")</f>
        <v/>
      </c>
      <c r="W785" s="542" t="str">
        <f>IFERROR(VLOOKUP(INDEX(xySpace_Type_Details,MATCH($C785,'General Information'!$C$40:$C$60,0),12),Lookups!$L$8:$N$12,3,FALSE),"")</f>
        <v/>
      </c>
      <c r="Y785" s="542" t="str">
        <f>IFERROR(IF(C785="","",IF(INDEX(xyWattage_Table,MATCH(M785,'Fixture Identities'!$B$9:$B$997,0),2)="Exit Sign",0,IF(PRJ_Type="Retrofit",VLOOKUP(I785,xySVG_Factors,2,FALSE),IF(AND(PRJ_Type="New Construction",Inventory!C782="N"),VLOOKUP(VLOOKUP(Building_Type,xyLPD_BuildingArea,5,FALSE),xySVG_Factors_NC,3,FALSE),0)))),"")</f>
        <v/>
      </c>
      <c r="Z785" s="544" t="str">
        <f>IFERROR(IF(C785="","",IF(INDEX(xyWattage_Table,MATCH(M785,'Fixture Identities'!$B$9:$B$997,0),2)="Exit Sign",0,VLOOKUP(S785,xySVG_Factors,2,FALSE))),"")</f>
        <v/>
      </c>
      <c r="AA785" s="545" t="str">
        <f t="shared" si="285"/>
        <v/>
      </c>
      <c r="AB785" s="542" t="str">
        <f t="shared" si="286"/>
        <v/>
      </c>
      <c r="AC785" s="539" t="str">
        <f t="shared" si="287"/>
        <v/>
      </c>
      <c r="AD785" s="546" t="str">
        <f t="shared" si="288"/>
        <v/>
      </c>
      <c r="AE785" s="539" t="str">
        <f t="shared" si="289"/>
        <v/>
      </c>
      <c r="AF785" s="546" t="str">
        <f t="shared" si="290"/>
        <v/>
      </c>
      <c r="AG785" s="539" t="str">
        <f t="shared" si="291"/>
        <v/>
      </c>
      <c r="AH785" s="32">
        <f t="shared" si="293"/>
        <v>0</v>
      </c>
      <c r="AI785" s="32">
        <f t="shared" si="294"/>
        <v>0</v>
      </c>
      <c r="AJ785" s="32">
        <f t="shared" si="295"/>
        <v>0</v>
      </c>
      <c r="AK785" t="str">
        <f t="shared" si="296"/>
        <v/>
      </c>
      <c r="AL785" t="str">
        <f t="shared" si="297"/>
        <v/>
      </c>
      <c r="AM785" t="str">
        <f t="shared" si="298"/>
        <v/>
      </c>
      <c r="AO785" t="str">
        <f>IFERROR(VLOOKUP(M785,'Fixture Identities'!$B$9:$O$1045,14,FALSE),"")</f>
        <v/>
      </c>
      <c r="AP785" t="str">
        <f t="shared" si="292"/>
        <v/>
      </c>
    </row>
    <row r="786" spans="1:42">
      <c r="A786" s="71">
        <f t="shared" ref="A786:A849" si="300">IF(E786&lt;&gt;J786,1,0)</f>
        <v>0</v>
      </c>
      <c r="B786" s="513">
        <f t="shared" si="299"/>
        <v>774</v>
      </c>
      <c r="C786" s="530" t="str">
        <f>IF(Inventory!E783="","",Inventory!E783)</f>
        <v/>
      </c>
      <c r="D786" s="531">
        <f>IF(Inventory!D783="",0,Inventory!D783)</f>
        <v>0</v>
      </c>
      <c r="E786" s="532" t="str">
        <f>IF(Inventory!I783=0,"",Inventory!I783)</f>
        <v/>
      </c>
      <c r="F786" s="533" t="str">
        <f t="shared" si="279"/>
        <v/>
      </c>
      <c r="G786" s="534" t="str">
        <f>IF(Inventory!G783="","",Inventory!G783)</f>
        <v/>
      </c>
      <c r="H786" s="535" t="str">
        <f t="shared" si="280"/>
        <v/>
      </c>
      <c r="I786" s="536" t="str">
        <f>IF(Inventory!J783="","",Inventory!J783)</f>
        <v/>
      </c>
      <c r="J786" s="537" t="str">
        <f>IFERROR(IF(PRJ_Type="New Construction",IF(Inventory!C783="N",INDEX(xyLPD_BuildingArea,MATCH(Building_Type,Lookups!$F$37:$F$75,0),4),INDEX(xyLPD_SpaceBySpace,MATCH(INDEX(xyNCEx,MATCH(I786,yNCExArea,0),2),ySpace_by_Space_Type,0),2)),VLOOKUP(E786,xyWattage_Table,11,FALSE)),"")</f>
        <v/>
      </c>
      <c r="K786" s="538" t="str">
        <f>IFERROR(IF(AND(NC_Type="Building Area Method",Inventory!C783="N"),IF(ISERROR(INDEX('Usage Groups (&gt;120 MWh only)'!$N$8:$N$12,MATCH(C786,'Usage Groups (&gt;120 MWh only)'!$B$8:$B$12,0),1))=TRUE,SqFt/COUNTIFS(Inventory!$C$10:$C$1009,"N",$Q$13:$Q$1012,"&gt;=0"),INDEX('Usage Groups (&gt;120 MWh only)'!$N$8:$N$12,MATCH(C786,'Usage Groups (&gt;120 MWh only)'!$B$8:$B$12,0),1)/COUNTIF($C$13:$C$1012,C786)),IF(AND(NC_Type="Building Area Method",Inventory!C783="Y"),INDEX(xyNCEx,MATCH(I786,yNCExArea,0),3)/COUNTIF($I$13:$I$1012,I786),VLOOKUP(J786,xyWattage_Table,10,FALSE))),"")</f>
        <v/>
      </c>
      <c r="L786" s="539" t="str">
        <f t="shared" si="281"/>
        <v/>
      </c>
      <c r="M786" s="540">
        <f>IF(Inventory!N783="","",Inventory!N783)</f>
        <v>0</v>
      </c>
      <c r="N786" s="533" t="str">
        <f t="shared" si="282"/>
        <v/>
      </c>
      <c r="O786" s="534"/>
      <c r="P786" s="533" t="str">
        <f t="shared" si="283"/>
        <v/>
      </c>
      <c r="Q786" s="534" t="str">
        <f>IF(Inventory!L783="","",Inventory!L783)</f>
        <v/>
      </c>
      <c r="R786" s="535" t="str">
        <f t="shared" si="284"/>
        <v/>
      </c>
      <c r="S786" s="536" t="str">
        <f>IF(Inventory!O783="","",Inventory!O783)</f>
        <v/>
      </c>
      <c r="T786" s="541" t="str">
        <f>IFERROR(IF(C786="","",IF(INDEX(xyWattage_Table,MATCH(M786,'Fixture Identities'!$B$9:$B$997,0),2)="Exit Sign",8760,IF(VLOOKUP(C786,xySpace_Type_Details,8,FALSE)="TRM",INDEX('General Information'!$AF$17:$AG$28,11,MATCH(N786,'General Information'!$AF$16:$AG$16,0)),HLOOKUP(VLOOKUP(C786,xySpace_Type_Details,8,FALSE),'General Information'!$P$15:$AG$28,13,FALSE)))),"")</f>
        <v/>
      </c>
      <c r="U786" s="542" t="str">
        <f>IFERROR(IF(C786="","",IF(INDEX(xyWattage_Table,MATCH(M786,'Fixture Identities'!$B$9:$B$997,0),2)="Exit Sign",1,IF(VLOOKUP(C786,xySpace_Type_Details,8,FALSE)="TRM",INDEX('General Information'!$AF$17:$AG$28,12,MATCH(N786,'General Information'!$AF$16:$AG$16,0)),HLOOKUP(VLOOKUP(C786,xySpace_Type_Details,8,FALSE),'General Information'!$P$15:$AG$28,14,FALSE)))),"")</f>
        <v/>
      </c>
      <c r="V786" s="542" t="str">
        <f>IFERROR(VLOOKUP(INDEX(xySpace_Type_Details,MATCH($C786,'General Information'!$C$40:$C$60,0),12),Lookups!$L$8:$N$12,2,FALSE),"")</f>
        <v/>
      </c>
      <c r="W786" s="542" t="str">
        <f>IFERROR(VLOOKUP(INDEX(xySpace_Type_Details,MATCH($C786,'General Information'!$C$40:$C$60,0),12),Lookups!$L$8:$N$12,3,FALSE),"")</f>
        <v/>
      </c>
      <c r="Y786" s="542" t="str">
        <f>IFERROR(IF(C786="","",IF(INDEX(xyWattage_Table,MATCH(M786,'Fixture Identities'!$B$9:$B$997,0),2)="Exit Sign",0,IF(PRJ_Type="Retrofit",VLOOKUP(I786,xySVG_Factors,2,FALSE),IF(AND(PRJ_Type="New Construction",Inventory!C783="N"),VLOOKUP(VLOOKUP(Building_Type,xyLPD_BuildingArea,5,FALSE),xySVG_Factors_NC,3,FALSE),0)))),"")</f>
        <v/>
      </c>
      <c r="Z786" s="544" t="str">
        <f>IFERROR(IF(C786="","",IF(INDEX(xyWattage_Table,MATCH(M786,'Fixture Identities'!$B$9:$B$997,0),2)="Exit Sign",0,VLOOKUP(S786,xySVG_Factors,2,FALSE))),"")</f>
        <v/>
      </c>
      <c r="AA786" s="545" t="str">
        <f t="shared" si="285"/>
        <v/>
      </c>
      <c r="AB786" s="542" t="str">
        <f t="shared" si="286"/>
        <v/>
      </c>
      <c r="AC786" s="539" t="str">
        <f t="shared" si="287"/>
        <v/>
      </c>
      <c r="AD786" s="546" t="str">
        <f t="shared" si="288"/>
        <v/>
      </c>
      <c r="AE786" s="539" t="str">
        <f t="shared" si="289"/>
        <v/>
      </c>
      <c r="AF786" s="546" t="str">
        <f t="shared" si="290"/>
        <v/>
      </c>
      <c r="AG786" s="539" t="str">
        <f t="shared" si="291"/>
        <v/>
      </c>
      <c r="AH786" s="32">
        <f t="shared" si="293"/>
        <v>0</v>
      </c>
      <c r="AI786" s="32">
        <f t="shared" si="294"/>
        <v>0</v>
      </c>
      <c r="AJ786" s="32">
        <f t="shared" si="295"/>
        <v>0</v>
      </c>
      <c r="AK786" t="str">
        <f t="shared" si="296"/>
        <v/>
      </c>
      <c r="AL786" t="str">
        <f t="shared" si="297"/>
        <v/>
      </c>
      <c r="AM786" t="str">
        <f t="shared" si="298"/>
        <v/>
      </c>
      <c r="AO786" t="str">
        <f>IFERROR(VLOOKUP(M786,'Fixture Identities'!$B$9:$O$1045,14,FALSE),"")</f>
        <v/>
      </c>
      <c r="AP786" t="str">
        <f t="shared" si="292"/>
        <v/>
      </c>
    </row>
    <row r="787" spans="1:42">
      <c r="A787" s="71">
        <f t="shared" si="300"/>
        <v>0</v>
      </c>
      <c r="B787" s="513">
        <f t="shared" si="299"/>
        <v>775</v>
      </c>
      <c r="C787" s="530" t="str">
        <f>IF(Inventory!E784="","",Inventory!E784)</f>
        <v/>
      </c>
      <c r="D787" s="531">
        <f>IF(Inventory!D784="",0,Inventory!D784)</f>
        <v>0</v>
      </c>
      <c r="E787" s="532" t="str">
        <f>IF(Inventory!I784=0,"",Inventory!I784)</f>
        <v/>
      </c>
      <c r="F787" s="533" t="str">
        <f t="shared" si="279"/>
        <v/>
      </c>
      <c r="G787" s="534" t="str">
        <f>IF(Inventory!G784="","",Inventory!G784)</f>
        <v/>
      </c>
      <c r="H787" s="535" t="str">
        <f t="shared" si="280"/>
        <v/>
      </c>
      <c r="I787" s="536" t="str">
        <f>IF(Inventory!J784="","",Inventory!J784)</f>
        <v/>
      </c>
      <c r="J787" s="537" t="str">
        <f>IFERROR(IF(PRJ_Type="New Construction",IF(Inventory!C784="N",INDEX(xyLPD_BuildingArea,MATCH(Building_Type,Lookups!$F$37:$F$75,0),4),INDEX(xyLPD_SpaceBySpace,MATCH(INDEX(xyNCEx,MATCH(I787,yNCExArea,0),2),ySpace_by_Space_Type,0),2)),VLOOKUP(E787,xyWattage_Table,11,FALSE)),"")</f>
        <v/>
      </c>
      <c r="K787" s="538" t="str">
        <f>IFERROR(IF(AND(NC_Type="Building Area Method",Inventory!C784="N"),IF(ISERROR(INDEX('Usage Groups (&gt;120 MWh only)'!$N$8:$N$12,MATCH(C787,'Usage Groups (&gt;120 MWh only)'!$B$8:$B$12,0),1))=TRUE,SqFt/COUNTIFS(Inventory!$C$10:$C$1009,"N",$Q$13:$Q$1012,"&gt;=0"),INDEX('Usage Groups (&gt;120 MWh only)'!$N$8:$N$12,MATCH(C787,'Usage Groups (&gt;120 MWh only)'!$B$8:$B$12,0),1)/COUNTIF($C$13:$C$1012,C787)),IF(AND(NC_Type="Building Area Method",Inventory!C784="Y"),INDEX(xyNCEx,MATCH(I787,yNCExArea,0),3)/COUNTIF($I$13:$I$1012,I787),VLOOKUP(J787,xyWattage_Table,10,FALSE))),"")</f>
        <v/>
      </c>
      <c r="L787" s="539" t="str">
        <f t="shared" si="281"/>
        <v/>
      </c>
      <c r="M787" s="540">
        <f>IF(Inventory!N784="","",Inventory!N784)</f>
        <v>0</v>
      </c>
      <c r="N787" s="533" t="str">
        <f t="shared" si="282"/>
        <v/>
      </c>
      <c r="O787" s="534"/>
      <c r="P787" s="533" t="str">
        <f t="shared" si="283"/>
        <v/>
      </c>
      <c r="Q787" s="534" t="str">
        <f>IF(Inventory!L784="","",Inventory!L784)</f>
        <v/>
      </c>
      <c r="R787" s="535" t="str">
        <f t="shared" si="284"/>
        <v/>
      </c>
      <c r="S787" s="536" t="str">
        <f>IF(Inventory!O784="","",Inventory!O784)</f>
        <v/>
      </c>
      <c r="T787" s="541" t="str">
        <f>IFERROR(IF(C787="","",IF(INDEX(xyWattage_Table,MATCH(M787,'Fixture Identities'!$B$9:$B$997,0),2)="Exit Sign",8760,IF(VLOOKUP(C787,xySpace_Type_Details,8,FALSE)="TRM",INDEX('General Information'!$AF$17:$AG$28,11,MATCH(N787,'General Information'!$AF$16:$AG$16,0)),HLOOKUP(VLOOKUP(C787,xySpace_Type_Details,8,FALSE),'General Information'!$P$15:$AG$28,13,FALSE)))),"")</f>
        <v/>
      </c>
      <c r="U787" s="542" t="str">
        <f>IFERROR(IF(C787="","",IF(INDEX(xyWattage_Table,MATCH(M787,'Fixture Identities'!$B$9:$B$997,0),2)="Exit Sign",1,IF(VLOOKUP(C787,xySpace_Type_Details,8,FALSE)="TRM",INDEX('General Information'!$AF$17:$AG$28,12,MATCH(N787,'General Information'!$AF$16:$AG$16,0)),HLOOKUP(VLOOKUP(C787,xySpace_Type_Details,8,FALSE),'General Information'!$P$15:$AG$28,14,FALSE)))),"")</f>
        <v/>
      </c>
      <c r="V787" s="542" t="str">
        <f>IFERROR(VLOOKUP(INDEX(xySpace_Type_Details,MATCH($C787,'General Information'!$C$40:$C$60,0),12),Lookups!$L$8:$N$12,2,FALSE),"")</f>
        <v/>
      </c>
      <c r="W787" s="542" t="str">
        <f>IFERROR(VLOOKUP(INDEX(xySpace_Type_Details,MATCH($C787,'General Information'!$C$40:$C$60,0),12),Lookups!$L$8:$N$12,3,FALSE),"")</f>
        <v/>
      </c>
      <c r="Y787" s="542" t="str">
        <f>IFERROR(IF(C787="","",IF(INDEX(xyWattage_Table,MATCH(M787,'Fixture Identities'!$B$9:$B$997,0),2)="Exit Sign",0,IF(PRJ_Type="Retrofit",VLOOKUP(I787,xySVG_Factors,2,FALSE),IF(AND(PRJ_Type="New Construction",Inventory!C784="N"),VLOOKUP(VLOOKUP(Building_Type,xyLPD_BuildingArea,5,FALSE),xySVG_Factors_NC,3,FALSE),0)))),"")</f>
        <v/>
      </c>
      <c r="Z787" s="544" t="str">
        <f>IFERROR(IF(C787="","",IF(INDEX(xyWattage_Table,MATCH(M787,'Fixture Identities'!$B$9:$B$997,0),2)="Exit Sign",0,VLOOKUP(S787,xySVG_Factors,2,FALSE))),"")</f>
        <v/>
      </c>
      <c r="AA787" s="545" t="str">
        <f t="shared" si="285"/>
        <v/>
      </c>
      <c r="AB787" s="542" t="str">
        <f t="shared" si="286"/>
        <v/>
      </c>
      <c r="AC787" s="539" t="str">
        <f t="shared" si="287"/>
        <v/>
      </c>
      <c r="AD787" s="546" t="str">
        <f t="shared" si="288"/>
        <v/>
      </c>
      <c r="AE787" s="539" t="str">
        <f t="shared" si="289"/>
        <v/>
      </c>
      <c r="AF787" s="546" t="str">
        <f t="shared" si="290"/>
        <v/>
      </c>
      <c r="AG787" s="539" t="str">
        <f t="shared" si="291"/>
        <v/>
      </c>
      <c r="AH787" s="32">
        <f t="shared" si="293"/>
        <v>0</v>
      </c>
      <c r="AI787" s="32">
        <f t="shared" si="294"/>
        <v>0</v>
      </c>
      <c r="AJ787" s="32">
        <f t="shared" si="295"/>
        <v>0</v>
      </c>
      <c r="AK787" t="str">
        <f t="shared" si="296"/>
        <v/>
      </c>
      <c r="AL787" t="str">
        <f t="shared" si="297"/>
        <v/>
      </c>
      <c r="AM787" t="str">
        <f t="shared" si="298"/>
        <v/>
      </c>
      <c r="AO787" t="str">
        <f>IFERROR(VLOOKUP(M787,'Fixture Identities'!$B$9:$O$1045,14,FALSE),"")</f>
        <v/>
      </c>
      <c r="AP787" t="str">
        <f t="shared" si="292"/>
        <v/>
      </c>
    </row>
    <row r="788" spans="1:42">
      <c r="A788" s="71">
        <f t="shared" si="300"/>
        <v>0</v>
      </c>
      <c r="B788" s="513">
        <f t="shared" si="299"/>
        <v>776</v>
      </c>
      <c r="C788" s="530" t="str">
        <f>IF(Inventory!E785="","",Inventory!E785)</f>
        <v/>
      </c>
      <c r="D788" s="531">
        <f>IF(Inventory!D785="",0,Inventory!D785)</f>
        <v>0</v>
      </c>
      <c r="E788" s="532" t="str">
        <f>IF(Inventory!I785=0,"",Inventory!I785)</f>
        <v/>
      </c>
      <c r="F788" s="533" t="str">
        <f t="shared" si="279"/>
        <v/>
      </c>
      <c r="G788" s="534" t="str">
        <f>IF(Inventory!G785="","",Inventory!G785)</f>
        <v/>
      </c>
      <c r="H788" s="535" t="str">
        <f t="shared" si="280"/>
        <v/>
      </c>
      <c r="I788" s="536" t="str">
        <f>IF(Inventory!J785="","",Inventory!J785)</f>
        <v/>
      </c>
      <c r="J788" s="537" t="str">
        <f>IFERROR(IF(PRJ_Type="New Construction",IF(Inventory!C785="N",INDEX(xyLPD_BuildingArea,MATCH(Building_Type,Lookups!$F$37:$F$75,0),4),INDEX(xyLPD_SpaceBySpace,MATCH(INDEX(xyNCEx,MATCH(I788,yNCExArea,0),2),ySpace_by_Space_Type,0),2)),VLOOKUP(E788,xyWattage_Table,11,FALSE)),"")</f>
        <v/>
      </c>
      <c r="K788" s="538" t="str">
        <f>IFERROR(IF(AND(NC_Type="Building Area Method",Inventory!C785="N"),IF(ISERROR(INDEX('Usage Groups (&gt;120 MWh only)'!$N$8:$N$12,MATCH(C788,'Usage Groups (&gt;120 MWh only)'!$B$8:$B$12,0),1))=TRUE,SqFt/COUNTIFS(Inventory!$C$10:$C$1009,"N",$Q$13:$Q$1012,"&gt;=0"),INDEX('Usage Groups (&gt;120 MWh only)'!$N$8:$N$12,MATCH(C788,'Usage Groups (&gt;120 MWh only)'!$B$8:$B$12,0),1)/COUNTIF($C$13:$C$1012,C788)),IF(AND(NC_Type="Building Area Method",Inventory!C785="Y"),INDEX(xyNCEx,MATCH(I788,yNCExArea,0),3)/COUNTIF($I$13:$I$1012,I788),VLOOKUP(J788,xyWattage_Table,10,FALSE))),"")</f>
        <v/>
      </c>
      <c r="L788" s="539" t="str">
        <f t="shared" si="281"/>
        <v/>
      </c>
      <c r="M788" s="540">
        <f>IF(Inventory!N785="","",Inventory!N785)</f>
        <v>0</v>
      </c>
      <c r="N788" s="533" t="str">
        <f t="shared" si="282"/>
        <v/>
      </c>
      <c r="O788" s="534"/>
      <c r="P788" s="533" t="str">
        <f t="shared" si="283"/>
        <v/>
      </c>
      <c r="Q788" s="534" t="str">
        <f>IF(Inventory!L785="","",Inventory!L785)</f>
        <v/>
      </c>
      <c r="R788" s="535" t="str">
        <f t="shared" si="284"/>
        <v/>
      </c>
      <c r="S788" s="536" t="str">
        <f>IF(Inventory!O785="","",Inventory!O785)</f>
        <v/>
      </c>
      <c r="T788" s="541" t="str">
        <f>IFERROR(IF(C788="","",IF(INDEX(xyWattage_Table,MATCH(M788,'Fixture Identities'!$B$9:$B$997,0),2)="Exit Sign",8760,IF(VLOOKUP(C788,xySpace_Type_Details,8,FALSE)="TRM",INDEX('General Information'!$AF$17:$AG$28,11,MATCH(N788,'General Information'!$AF$16:$AG$16,0)),HLOOKUP(VLOOKUP(C788,xySpace_Type_Details,8,FALSE),'General Information'!$P$15:$AG$28,13,FALSE)))),"")</f>
        <v/>
      </c>
      <c r="U788" s="542" t="str">
        <f>IFERROR(IF(C788="","",IF(INDEX(xyWattage_Table,MATCH(M788,'Fixture Identities'!$B$9:$B$997,0),2)="Exit Sign",1,IF(VLOOKUP(C788,xySpace_Type_Details,8,FALSE)="TRM",INDEX('General Information'!$AF$17:$AG$28,12,MATCH(N788,'General Information'!$AF$16:$AG$16,0)),HLOOKUP(VLOOKUP(C788,xySpace_Type_Details,8,FALSE),'General Information'!$P$15:$AG$28,14,FALSE)))),"")</f>
        <v/>
      </c>
      <c r="V788" s="542" t="str">
        <f>IFERROR(VLOOKUP(INDEX(xySpace_Type_Details,MATCH($C788,'General Information'!$C$40:$C$60,0),12),Lookups!$L$8:$N$12,2,FALSE),"")</f>
        <v/>
      </c>
      <c r="W788" s="542" t="str">
        <f>IFERROR(VLOOKUP(INDEX(xySpace_Type_Details,MATCH($C788,'General Information'!$C$40:$C$60,0),12),Lookups!$L$8:$N$12,3,FALSE),"")</f>
        <v/>
      </c>
      <c r="Y788" s="542" t="str">
        <f>IFERROR(IF(C788="","",IF(INDEX(xyWattage_Table,MATCH(M788,'Fixture Identities'!$B$9:$B$997,0),2)="Exit Sign",0,IF(PRJ_Type="Retrofit",VLOOKUP(I788,xySVG_Factors,2,FALSE),IF(AND(PRJ_Type="New Construction",Inventory!C785="N"),VLOOKUP(VLOOKUP(Building_Type,xyLPD_BuildingArea,5,FALSE),xySVG_Factors_NC,3,FALSE),0)))),"")</f>
        <v/>
      </c>
      <c r="Z788" s="544" t="str">
        <f>IFERROR(IF(C788="","",IF(INDEX(xyWattage_Table,MATCH(M788,'Fixture Identities'!$B$9:$B$997,0),2)="Exit Sign",0,VLOOKUP(S788,xySVG_Factors,2,FALSE))),"")</f>
        <v/>
      </c>
      <c r="AA788" s="545" t="str">
        <f t="shared" si="285"/>
        <v/>
      </c>
      <c r="AB788" s="542" t="str">
        <f t="shared" si="286"/>
        <v/>
      </c>
      <c r="AC788" s="539" t="str">
        <f t="shared" si="287"/>
        <v/>
      </c>
      <c r="AD788" s="546" t="str">
        <f t="shared" si="288"/>
        <v/>
      </c>
      <c r="AE788" s="539" t="str">
        <f t="shared" si="289"/>
        <v/>
      </c>
      <c r="AF788" s="546" t="str">
        <f t="shared" si="290"/>
        <v/>
      </c>
      <c r="AG788" s="539" t="str">
        <f t="shared" si="291"/>
        <v/>
      </c>
      <c r="AH788" s="32">
        <f t="shared" si="293"/>
        <v>0</v>
      </c>
      <c r="AI788" s="32">
        <f t="shared" si="294"/>
        <v>0</v>
      </c>
      <c r="AJ788" s="32">
        <f t="shared" si="295"/>
        <v>0</v>
      </c>
      <c r="AK788" t="str">
        <f t="shared" si="296"/>
        <v/>
      </c>
      <c r="AL788" t="str">
        <f t="shared" si="297"/>
        <v/>
      </c>
      <c r="AM788" t="str">
        <f t="shared" si="298"/>
        <v/>
      </c>
      <c r="AO788" t="str">
        <f>IFERROR(VLOOKUP(M788,'Fixture Identities'!$B$9:$O$1045,14,FALSE),"")</f>
        <v/>
      </c>
      <c r="AP788" t="str">
        <f t="shared" si="292"/>
        <v/>
      </c>
    </row>
    <row r="789" spans="1:42">
      <c r="A789" s="71">
        <f t="shared" si="300"/>
        <v>0</v>
      </c>
      <c r="B789" s="513">
        <f t="shared" si="299"/>
        <v>777</v>
      </c>
      <c r="C789" s="530" t="str">
        <f>IF(Inventory!E786="","",Inventory!E786)</f>
        <v/>
      </c>
      <c r="D789" s="531">
        <f>IF(Inventory!D786="",0,Inventory!D786)</f>
        <v>0</v>
      </c>
      <c r="E789" s="532" t="str">
        <f>IF(Inventory!I786=0,"",Inventory!I786)</f>
        <v/>
      </c>
      <c r="F789" s="533" t="str">
        <f t="shared" si="279"/>
        <v/>
      </c>
      <c r="G789" s="534" t="str">
        <f>IF(Inventory!G786="","",Inventory!G786)</f>
        <v/>
      </c>
      <c r="H789" s="535" t="str">
        <f t="shared" si="280"/>
        <v/>
      </c>
      <c r="I789" s="536" t="str">
        <f>IF(Inventory!J786="","",Inventory!J786)</f>
        <v/>
      </c>
      <c r="J789" s="537" t="str">
        <f>IFERROR(IF(PRJ_Type="New Construction",IF(Inventory!C786="N",INDEX(xyLPD_BuildingArea,MATCH(Building_Type,Lookups!$F$37:$F$75,0),4),INDEX(xyLPD_SpaceBySpace,MATCH(INDEX(xyNCEx,MATCH(I789,yNCExArea,0),2),ySpace_by_Space_Type,0),2)),VLOOKUP(E789,xyWattage_Table,11,FALSE)),"")</f>
        <v/>
      </c>
      <c r="K789" s="538" t="str">
        <f>IFERROR(IF(AND(NC_Type="Building Area Method",Inventory!C786="N"),IF(ISERROR(INDEX('Usage Groups (&gt;120 MWh only)'!$N$8:$N$12,MATCH(C789,'Usage Groups (&gt;120 MWh only)'!$B$8:$B$12,0),1))=TRUE,SqFt/COUNTIFS(Inventory!$C$10:$C$1009,"N",$Q$13:$Q$1012,"&gt;=0"),INDEX('Usage Groups (&gt;120 MWh only)'!$N$8:$N$12,MATCH(C789,'Usage Groups (&gt;120 MWh only)'!$B$8:$B$12,0),1)/COUNTIF($C$13:$C$1012,C789)),IF(AND(NC_Type="Building Area Method",Inventory!C786="Y"),INDEX(xyNCEx,MATCH(I789,yNCExArea,0),3)/COUNTIF($I$13:$I$1012,I789),VLOOKUP(J789,xyWattage_Table,10,FALSE))),"")</f>
        <v/>
      </c>
      <c r="L789" s="539" t="str">
        <f t="shared" si="281"/>
        <v/>
      </c>
      <c r="M789" s="540">
        <f>IF(Inventory!N786="","",Inventory!N786)</f>
        <v>0</v>
      </c>
      <c r="N789" s="533" t="str">
        <f t="shared" si="282"/>
        <v/>
      </c>
      <c r="O789" s="534"/>
      <c r="P789" s="533" t="str">
        <f t="shared" si="283"/>
        <v/>
      </c>
      <c r="Q789" s="534" t="str">
        <f>IF(Inventory!L786="","",Inventory!L786)</f>
        <v/>
      </c>
      <c r="R789" s="535" t="str">
        <f t="shared" si="284"/>
        <v/>
      </c>
      <c r="S789" s="536" t="str">
        <f>IF(Inventory!O786="","",Inventory!O786)</f>
        <v/>
      </c>
      <c r="T789" s="541" t="str">
        <f>IFERROR(IF(C789="","",IF(INDEX(xyWattage_Table,MATCH(M789,'Fixture Identities'!$B$9:$B$997,0),2)="Exit Sign",8760,IF(VLOOKUP(C789,xySpace_Type_Details,8,FALSE)="TRM",INDEX('General Information'!$AF$17:$AG$28,11,MATCH(N789,'General Information'!$AF$16:$AG$16,0)),HLOOKUP(VLOOKUP(C789,xySpace_Type_Details,8,FALSE),'General Information'!$P$15:$AG$28,13,FALSE)))),"")</f>
        <v/>
      </c>
      <c r="U789" s="542" t="str">
        <f>IFERROR(IF(C789="","",IF(INDEX(xyWattage_Table,MATCH(M789,'Fixture Identities'!$B$9:$B$997,0),2)="Exit Sign",1,IF(VLOOKUP(C789,xySpace_Type_Details,8,FALSE)="TRM",INDEX('General Information'!$AF$17:$AG$28,12,MATCH(N789,'General Information'!$AF$16:$AG$16,0)),HLOOKUP(VLOOKUP(C789,xySpace_Type_Details,8,FALSE),'General Information'!$P$15:$AG$28,14,FALSE)))),"")</f>
        <v/>
      </c>
      <c r="V789" s="542" t="str">
        <f>IFERROR(VLOOKUP(INDEX(xySpace_Type_Details,MATCH($C789,'General Information'!$C$40:$C$60,0),12),Lookups!$L$8:$N$12,2,FALSE),"")</f>
        <v/>
      </c>
      <c r="W789" s="542" t="str">
        <f>IFERROR(VLOOKUP(INDEX(xySpace_Type_Details,MATCH($C789,'General Information'!$C$40:$C$60,0),12),Lookups!$L$8:$N$12,3,FALSE),"")</f>
        <v/>
      </c>
      <c r="Y789" s="542" t="str">
        <f>IFERROR(IF(C789="","",IF(INDEX(xyWattage_Table,MATCH(M789,'Fixture Identities'!$B$9:$B$997,0),2)="Exit Sign",0,IF(PRJ_Type="Retrofit",VLOOKUP(I789,xySVG_Factors,2,FALSE),IF(AND(PRJ_Type="New Construction",Inventory!C786="N"),VLOOKUP(VLOOKUP(Building_Type,xyLPD_BuildingArea,5,FALSE),xySVG_Factors_NC,3,FALSE),0)))),"")</f>
        <v/>
      </c>
      <c r="Z789" s="544" t="str">
        <f>IFERROR(IF(C789="","",IF(INDEX(xyWattage_Table,MATCH(M789,'Fixture Identities'!$B$9:$B$997,0),2)="Exit Sign",0,VLOOKUP(S789,xySVG_Factors,2,FALSE))),"")</f>
        <v/>
      </c>
      <c r="AA789" s="545" t="str">
        <f t="shared" si="285"/>
        <v/>
      </c>
      <c r="AB789" s="542" t="str">
        <f t="shared" si="286"/>
        <v/>
      </c>
      <c r="AC789" s="539" t="str">
        <f t="shared" si="287"/>
        <v/>
      </c>
      <c r="AD789" s="546" t="str">
        <f t="shared" si="288"/>
        <v/>
      </c>
      <c r="AE789" s="539" t="str">
        <f t="shared" si="289"/>
        <v/>
      </c>
      <c r="AF789" s="546" t="str">
        <f t="shared" si="290"/>
        <v/>
      </c>
      <c r="AG789" s="539" t="str">
        <f t="shared" si="291"/>
        <v/>
      </c>
      <c r="AH789" s="32">
        <f t="shared" si="293"/>
        <v>0</v>
      </c>
      <c r="AI789" s="32">
        <f t="shared" si="294"/>
        <v>0</v>
      </c>
      <c r="AJ789" s="32">
        <f t="shared" si="295"/>
        <v>0</v>
      </c>
      <c r="AK789" t="str">
        <f t="shared" si="296"/>
        <v/>
      </c>
      <c r="AL789" t="str">
        <f t="shared" si="297"/>
        <v/>
      </c>
      <c r="AM789" t="str">
        <f t="shared" si="298"/>
        <v/>
      </c>
      <c r="AO789" t="str">
        <f>IFERROR(VLOOKUP(M789,'Fixture Identities'!$B$9:$O$1045,14,FALSE),"")</f>
        <v/>
      </c>
      <c r="AP789" t="str">
        <f t="shared" si="292"/>
        <v/>
      </c>
    </row>
    <row r="790" spans="1:42">
      <c r="A790" s="71">
        <f t="shared" si="300"/>
        <v>0</v>
      </c>
      <c r="B790" s="513">
        <f t="shared" si="299"/>
        <v>778</v>
      </c>
      <c r="C790" s="530" t="str">
        <f>IF(Inventory!E787="","",Inventory!E787)</f>
        <v/>
      </c>
      <c r="D790" s="531">
        <f>IF(Inventory!D787="",0,Inventory!D787)</f>
        <v>0</v>
      </c>
      <c r="E790" s="532" t="str">
        <f>IF(Inventory!I787=0,"",Inventory!I787)</f>
        <v/>
      </c>
      <c r="F790" s="533" t="str">
        <f t="shared" si="279"/>
        <v/>
      </c>
      <c r="G790" s="534" t="str">
        <f>IF(Inventory!G787="","",Inventory!G787)</f>
        <v/>
      </c>
      <c r="H790" s="535" t="str">
        <f t="shared" si="280"/>
        <v/>
      </c>
      <c r="I790" s="536" t="str">
        <f>IF(Inventory!J787="","",Inventory!J787)</f>
        <v/>
      </c>
      <c r="J790" s="537" t="str">
        <f>IFERROR(IF(PRJ_Type="New Construction",IF(Inventory!C787="N",INDEX(xyLPD_BuildingArea,MATCH(Building_Type,Lookups!$F$37:$F$75,0),4),INDEX(xyLPD_SpaceBySpace,MATCH(INDEX(xyNCEx,MATCH(I790,yNCExArea,0),2),ySpace_by_Space_Type,0),2)),VLOOKUP(E790,xyWattage_Table,11,FALSE)),"")</f>
        <v/>
      </c>
      <c r="K790" s="538" t="str">
        <f>IFERROR(IF(AND(NC_Type="Building Area Method",Inventory!C787="N"),IF(ISERROR(INDEX('Usage Groups (&gt;120 MWh only)'!$N$8:$N$12,MATCH(C790,'Usage Groups (&gt;120 MWh only)'!$B$8:$B$12,0),1))=TRUE,SqFt/COUNTIFS(Inventory!$C$10:$C$1009,"N",$Q$13:$Q$1012,"&gt;=0"),INDEX('Usage Groups (&gt;120 MWh only)'!$N$8:$N$12,MATCH(C790,'Usage Groups (&gt;120 MWh only)'!$B$8:$B$12,0),1)/COUNTIF($C$13:$C$1012,C790)),IF(AND(NC_Type="Building Area Method",Inventory!C787="Y"),INDEX(xyNCEx,MATCH(I790,yNCExArea,0),3)/COUNTIF($I$13:$I$1012,I790),VLOOKUP(J790,xyWattage_Table,10,FALSE))),"")</f>
        <v/>
      </c>
      <c r="L790" s="539" t="str">
        <f t="shared" si="281"/>
        <v/>
      </c>
      <c r="M790" s="540">
        <f>IF(Inventory!N787="","",Inventory!N787)</f>
        <v>0</v>
      </c>
      <c r="N790" s="533" t="str">
        <f t="shared" si="282"/>
        <v/>
      </c>
      <c r="O790" s="534"/>
      <c r="P790" s="533" t="str">
        <f t="shared" si="283"/>
        <v/>
      </c>
      <c r="Q790" s="534" t="str">
        <f>IF(Inventory!L787="","",Inventory!L787)</f>
        <v/>
      </c>
      <c r="R790" s="535" t="str">
        <f t="shared" si="284"/>
        <v/>
      </c>
      <c r="S790" s="536" t="str">
        <f>IF(Inventory!O787="","",Inventory!O787)</f>
        <v/>
      </c>
      <c r="T790" s="541" t="str">
        <f>IFERROR(IF(C790="","",IF(INDEX(xyWattage_Table,MATCH(M790,'Fixture Identities'!$B$9:$B$997,0),2)="Exit Sign",8760,IF(VLOOKUP(C790,xySpace_Type_Details,8,FALSE)="TRM",INDEX('General Information'!$AF$17:$AG$28,11,MATCH(N790,'General Information'!$AF$16:$AG$16,0)),HLOOKUP(VLOOKUP(C790,xySpace_Type_Details,8,FALSE),'General Information'!$P$15:$AG$28,13,FALSE)))),"")</f>
        <v/>
      </c>
      <c r="U790" s="542" t="str">
        <f>IFERROR(IF(C790="","",IF(INDEX(xyWattage_Table,MATCH(M790,'Fixture Identities'!$B$9:$B$997,0),2)="Exit Sign",1,IF(VLOOKUP(C790,xySpace_Type_Details,8,FALSE)="TRM",INDEX('General Information'!$AF$17:$AG$28,12,MATCH(N790,'General Information'!$AF$16:$AG$16,0)),HLOOKUP(VLOOKUP(C790,xySpace_Type_Details,8,FALSE),'General Information'!$P$15:$AG$28,14,FALSE)))),"")</f>
        <v/>
      </c>
      <c r="V790" s="542" t="str">
        <f>IFERROR(VLOOKUP(INDEX(xySpace_Type_Details,MATCH($C790,'General Information'!$C$40:$C$60,0),12),Lookups!$L$8:$N$12,2,FALSE),"")</f>
        <v/>
      </c>
      <c r="W790" s="542" t="str">
        <f>IFERROR(VLOOKUP(INDEX(xySpace_Type_Details,MATCH($C790,'General Information'!$C$40:$C$60,0),12),Lookups!$L$8:$N$12,3,FALSE),"")</f>
        <v/>
      </c>
      <c r="Y790" s="542" t="str">
        <f>IFERROR(IF(C790="","",IF(INDEX(xyWattage_Table,MATCH(M790,'Fixture Identities'!$B$9:$B$997,0),2)="Exit Sign",0,IF(PRJ_Type="Retrofit",VLOOKUP(I790,xySVG_Factors,2,FALSE),IF(AND(PRJ_Type="New Construction",Inventory!C787="N"),VLOOKUP(VLOOKUP(Building_Type,xyLPD_BuildingArea,5,FALSE),xySVG_Factors_NC,3,FALSE),0)))),"")</f>
        <v/>
      </c>
      <c r="Z790" s="544" t="str">
        <f>IFERROR(IF(C790="","",IF(INDEX(xyWattage_Table,MATCH(M790,'Fixture Identities'!$B$9:$B$997,0),2)="Exit Sign",0,VLOOKUP(S790,xySVG_Factors,2,FALSE))),"")</f>
        <v/>
      </c>
      <c r="AA790" s="545" t="str">
        <f t="shared" si="285"/>
        <v/>
      </c>
      <c r="AB790" s="542" t="str">
        <f t="shared" si="286"/>
        <v/>
      </c>
      <c r="AC790" s="539" t="str">
        <f t="shared" si="287"/>
        <v/>
      </c>
      <c r="AD790" s="546" t="str">
        <f t="shared" si="288"/>
        <v/>
      </c>
      <c r="AE790" s="539" t="str">
        <f t="shared" si="289"/>
        <v/>
      </c>
      <c r="AF790" s="546" t="str">
        <f t="shared" si="290"/>
        <v/>
      </c>
      <c r="AG790" s="539" t="str">
        <f t="shared" si="291"/>
        <v/>
      </c>
      <c r="AH790" s="32">
        <f t="shared" si="293"/>
        <v>0</v>
      </c>
      <c r="AI790" s="32">
        <f t="shared" si="294"/>
        <v>0</v>
      </c>
      <c r="AJ790" s="32">
        <f t="shared" si="295"/>
        <v>0</v>
      </c>
      <c r="AK790" t="str">
        <f t="shared" si="296"/>
        <v/>
      </c>
      <c r="AL790" t="str">
        <f t="shared" si="297"/>
        <v/>
      </c>
      <c r="AM790" t="str">
        <f t="shared" si="298"/>
        <v/>
      </c>
      <c r="AO790" t="str">
        <f>IFERROR(VLOOKUP(M790,'Fixture Identities'!$B$9:$O$1045,14,FALSE),"")</f>
        <v/>
      </c>
      <c r="AP790" t="str">
        <f t="shared" si="292"/>
        <v/>
      </c>
    </row>
    <row r="791" spans="1:42">
      <c r="A791" s="71">
        <f t="shared" si="300"/>
        <v>0</v>
      </c>
      <c r="B791" s="513">
        <f t="shared" si="299"/>
        <v>779</v>
      </c>
      <c r="C791" s="530" t="str">
        <f>IF(Inventory!E788="","",Inventory!E788)</f>
        <v/>
      </c>
      <c r="D791" s="531">
        <f>IF(Inventory!D788="",0,Inventory!D788)</f>
        <v>0</v>
      </c>
      <c r="E791" s="532" t="str">
        <f>IF(Inventory!I788=0,"",Inventory!I788)</f>
        <v/>
      </c>
      <c r="F791" s="533" t="str">
        <f t="shared" si="279"/>
        <v/>
      </c>
      <c r="G791" s="534" t="str">
        <f>IF(Inventory!G788="","",Inventory!G788)</f>
        <v/>
      </c>
      <c r="H791" s="535" t="str">
        <f t="shared" si="280"/>
        <v/>
      </c>
      <c r="I791" s="536" t="str">
        <f>IF(Inventory!J788="","",Inventory!J788)</f>
        <v/>
      </c>
      <c r="J791" s="537" t="str">
        <f>IFERROR(IF(PRJ_Type="New Construction",IF(Inventory!C788="N",INDEX(xyLPD_BuildingArea,MATCH(Building_Type,Lookups!$F$37:$F$75,0),4),INDEX(xyLPD_SpaceBySpace,MATCH(INDEX(xyNCEx,MATCH(I791,yNCExArea,0),2),ySpace_by_Space_Type,0),2)),VLOOKUP(E791,xyWattage_Table,11,FALSE)),"")</f>
        <v/>
      </c>
      <c r="K791" s="538" t="str">
        <f>IFERROR(IF(AND(NC_Type="Building Area Method",Inventory!C788="N"),IF(ISERROR(INDEX('Usage Groups (&gt;120 MWh only)'!$N$8:$N$12,MATCH(C791,'Usage Groups (&gt;120 MWh only)'!$B$8:$B$12,0),1))=TRUE,SqFt/COUNTIFS(Inventory!$C$10:$C$1009,"N",$Q$13:$Q$1012,"&gt;=0"),INDEX('Usage Groups (&gt;120 MWh only)'!$N$8:$N$12,MATCH(C791,'Usage Groups (&gt;120 MWh only)'!$B$8:$B$12,0),1)/COUNTIF($C$13:$C$1012,C791)),IF(AND(NC_Type="Building Area Method",Inventory!C788="Y"),INDEX(xyNCEx,MATCH(I791,yNCExArea,0),3)/COUNTIF($I$13:$I$1012,I791),VLOOKUP(J791,xyWattage_Table,10,FALSE))),"")</f>
        <v/>
      </c>
      <c r="L791" s="539" t="str">
        <f t="shared" si="281"/>
        <v/>
      </c>
      <c r="M791" s="540">
        <f>IF(Inventory!N788="","",Inventory!N788)</f>
        <v>0</v>
      </c>
      <c r="N791" s="533" t="str">
        <f t="shared" si="282"/>
        <v/>
      </c>
      <c r="O791" s="534"/>
      <c r="P791" s="533" t="str">
        <f t="shared" si="283"/>
        <v/>
      </c>
      <c r="Q791" s="534" t="str">
        <f>IF(Inventory!L788="","",Inventory!L788)</f>
        <v/>
      </c>
      <c r="R791" s="535" t="str">
        <f t="shared" si="284"/>
        <v/>
      </c>
      <c r="S791" s="536" t="str">
        <f>IF(Inventory!O788="","",Inventory!O788)</f>
        <v/>
      </c>
      <c r="T791" s="541" t="str">
        <f>IFERROR(IF(C791="","",IF(INDEX(xyWattage_Table,MATCH(M791,'Fixture Identities'!$B$9:$B$997,0),2)="Exit Sign",8760,IF(VLOOKUP(C791,xySpace_Type_Details,8,FALSE)="TRM",INDEX('General Information'!$AF$17:$AG$28,11,MATCH(N791,'General Information'!$AF$16:$AG$16,0)),HLOOKUP(VLOOKUP(C791,xySpace_Type_Details,8,FALSE),'General Information'!$P$15:$AG$28,13,FALSE)))),"")</f>
        <v/>
      </c>
      <c r="U791" s="542" t="str">
        <f>IFERROR(IF(C791="","",IF(INDEX(xyWattage_Table,MATCH(M791,'Fixture Identities'!$B$9:$B$997,0),2)="Exit Sign",1,IF(VLOOKUP(C791,xySpace_Type_Details,8,FALSE)="TRM",INDEX('General Information'!$AF$17:$AG$28,12,MATCH(N791,'General Information'!$AF$16:$AG$16,0)),HLOOKUP(VLOOKUP(C791,xySpace_Type_Details,8,FALSE),'General Information'!$P$15:$AG$28,14,FALSE)))),"")</f>
        <v/>
      </c>
      <c r="V791" s="542" t="str">
        <f>IFERROR(VLOOKUP(INDEX(xySpace_Type_Details,MATCH($C791,'General Information'!$C$40:$C$60,0),12),Lookups!$L$8:$N$12,2,FALSE),"")</f>
        <v/>
      </c>
      <c r="W791" s="542" t="str">
        <f>IFERROR(VLOOKUP(INDEX(xySpace_Type_Details,MATCH($C791,'General Information'!$C$40:$C$60,0),12),Lookups!$L$8:$N$12,3,FALSE),"")</f>
        <v/>
      </c>
      <c r="Y791" s="542" t="str">
        <f>IFERROR(IF(C791="","",IF(INDEX(xyWattage_Table,MATCH(M791,'Fixture Identities'!$B$9:$B$997,0),2)="Exit Sign",0,IF(PRJ_Type="Retrofit",VLOOKUP(I791,xySVG_Factors,2,FALSE),IF(AND(PRJ_Type="New Construction",Inventory!C788="N"),VLOOKUP(VLOOKUP(Building_Type,xyLPD_BuildingArea,5,FALSE),xySVG_Factors_NC,3,FALSE),0)))),"")</f>
        <v/>
      </c>
      <c r="Z791" s="544" t="str">
        <f>IFERROR(IF(C791="","",IF(INDEX(xyWattage_Table,MATCH(M791,'Fixture Identities'!$B$9:$B$997,0),2)="Exit Sign",0,VLOOKUP(S791,xySVG_Factors,2,FALSE))),"")</f>
        <v/>
      </c>
      <c r="AA791" s="545" t="str">
        <f t="shared" si="285"/>
        <v/>
      </c>
      <c r="AB791" s="542" t="str">
        <f t="shared" si="286"/>
        <v/>
      </c>
      <c r="AC791" s="539" t="str">
        <f t="shared" si="287"/>
        <v/>
      </c>
      <c r="AD791" s="546" t="str">
        <f t="shared" si="288"/>
        <v/>
      </c>
      <c r="AE791" s="539" t="str">
        <f t="shared" si="289"/>
        <v/>
      </c>
      <c r="AF791" s="546" t="str">
        <f t="shared" si="290"/>
        <v/>
      </c>
      <c r="AG791" s="539" t="str">
        <f t="shared" si="291"/>
        <v/>
      </c>
      <c r="AH791" s="32">
        <f t="shared" si="293"/>
        <v>0</v>
      </c>
      <c r="AI791" s="32">
        <f t="shared" si="294"/>
        <v>0</v>
      </c>
      <c r="AJ791" s="32">
        <f t="shared" si="295"/>
        <v>0</v>
      </c>
      <c r="AK791" t="str">
        <f t="shared" si="296"/>
        <v/>
      </c>
      <c r="AL791" t="str">
        <f t="shared" si="297"/>
        <v/>
      </c>
      <c r="AM791" t="str">
        <f t="shared" si="298"/>
        <v/>
      </c>
      <c r="AO791" t="str">
        <f>IFERROR(VLOOKUP(M791,'Fixture Identities'!$B$9:$O$1045,14,FALSE),"")</f>
        <v/>
      </c>
      <c r="AP791" t="str">
        <f t="shared" si="292"/>
        <v/>
      </c>
    </row>
    <row r="792" spans="1:42">
      <c r="A792" s="71">
        <f t="shared" si="300"/>
        <v>0</v>
      </c>
      <c r="B792" s="513">
        <f t="shared" si="299"/>
        <v>780</v>
      </c>
      <c r="C792" s="530" t="str">
        <f>IF(Inventory!E789="","",Inventory!E789)</f>
        <v/>
      </c>
      <c r="D792" s="531">
        <f>IF(Inventory!D789="",0,Inventory!D789)</f>
        <v>0</v>
      </c>
      <c r="E792" s="532" t="str">
        <f>IF(Inventory!I789=0,"",Inventory!I789)</f>
        <v/>
      </c>
      <c r="F792" s="533" t="str">
        <f t="shared" si="279"/>
        <v/>
      </c>
      <c r="G792" s="534" t="str">
        <f>IF(Inventory!G789="","",Inventory!G789)</f>
        <v/>
      </c>
      <c r="H792" s="535" t="str">
        <f t="shared" si="280"/>
        <v/>
      </c>
      <c r="I792" s="536" t="str">
        <f>IF(Inventory!J789="","",Inventory!J789)</f>
        <v/>
      </c>
      <c r="J792" s="537" t="str">
        <f>IFERROR(IF(PRJ_Type="New Construction",IF(Inventory!C789="N",INDEX(xyLPD_BuildingArea,MATCH(Building_Type,Lookups!$F$37:$F$75,0),4),INDEX(xyLPD_SpaceBySpace,MATCH(INDEX(xyNCEx,MATCH(I792,yNCExArea,0),2),ySpace_by_Space_Type,0),2)),VLOOKUP(E792,xyWattage_Table,11,FALSE)),"")</f>
        <v/>
      </c>
      <c r="K792" s="538" t="str">
        <f>IFERROR(IF(AND(NC_Type="Building Area Method",Inventory!C789="N"),IF(ISERROR(INDEX('Usage Groups (&gt;120 MWh only)'!$N$8:$N$12,MATCH(C792,'Usage Groups (&gt;120 MWh only)'!$B$8:$B$12,0),1))=TRUE,SqFt/COUNTIFS(Inventory!$C$10:$C$1009,"N",$Q$13:$Q$1012,"&gt;=0"),INDEX('Usage Groups (&gt;120 MWh only)'!$N$8:$N$12,MATCH(C792,'Usage Groups (&gt;120 MWh only)'!$B$8:$B$12,0),1)/COUNTIF($C$13:$C$1012,C792)),IF(AND(NC_Type="Building Area Method",Inventory!C789="Y"),INDEX(xyNCEx,MATCH(I792,yNCExArea,0),3)/COUNTIF($I$13:$I$1012,I792),VLOOKUP(J792,xyWattage_Table,10,FALSE))),"")</f>
        <v/>
      </c>
      <c r="L792" s="539" t="str">
        <f t="shared" si="281"/>
        <v/>
      </c>
      <c r="M792" s="540">
        <f>IF(Inventory!N789="","",Inventory!N789)</f>
        <v>0</v>
      </c>
      <c r="N792" s="533" t="str">
        <f t="shared" si="282"/>
        <v/>
      </c>
      <c r="O792" s="534"/>
      <c r="P792" s="533" t="str">
        <f t="shared" si="283"/>
        <v/>
      </c>
      <c r="Q792" s="534" t="str">
        <f>IF(Inventory!L789="","",Inventory!L789)</f>
        <v/>
      </c>
      <c r="R792" s="535" t="str">
        <f t="shared" si="284"/>
        <v/>
      </c>
      <c r="S792" s="536" t="str">
        <f>IF(Inventory!O789="","",Inventory!O789)</f>
        <v/>
      </c>
      <c r="T792" s="541" t="str">
        <f>IFERROR(IF(C792="","",IF(INDEX(xyWattage_Table,MATCH(M792,'Fixture Identities'!$B$9:$B$997,0),2)="Exit Sign",8760,IF(VLOOKUP(C792,xySpace_Type_Details,8,FALSE)="TRM",INDEX('General Information'!$AF$17:$AG$28,11,MATCH(N792,'General Information'!$AF$16:$AG$16,0)),HLOOKUP(VLOOKUP(C792,xySpace_Type_Details,8,FALSE),'General Information'!$P$15:$AG$28,13,FALSE)))),"")</f>
        <v/>
      </c>
      <c r="U792" s="542" t="str">
        <f>IFERROR(IF(C792="","",IF(INDEX(xyWattage_Table,MATCH(M792,'Fixture Identities'!$B$9:$B$997,0),2)="Exit Sign",1,IF(VLOOKUP(C792,xySpace_Type_Details,8,FALSE)="TRM",INDEX('General Information'!$AF$17:$AG$28,12,MATCH(N792,'General Information'!$AF$16:$AG$16,0)),HLOOKUP(VLOOKUP(C792,xySpace_Type_Details,8,FALSE),'General Information'!$P$15:$AG$28,14,FALSE)))),"")</f>
        <v/>
      </c>
      <c r="V792" s="542" t="str">
        <f>IFERROR(VLOOKUP(INDEX(xySpace_Type_Details,MATCH($C792,'General Information'!$C$40:$C$60,0),12),Lookups!$L$8:$N$12,2,FALSE),"")</f>
        <v/>
      </c>
      <c r="W792" s="542" t="str">
        <f>IFERROR(VLOOKUP(INDEX(xySpace_Type_Details,MATCH($C792,'General Information'!$C$40:$C$60,0),12),Lookups!$L$8:$N$12,3,FALSE),"")</f>
        <v/>
      </c>
      <c r="Y792" s="542" t="str">
        <f>IFERROR(IF(C792="","",IF(INDEX(xyWattage_Table,MATCH(M792,'Fixture Identities'!$B$9:$B$997,0),2)="Exit Sign",0,IF(PRJ_Type="Retrofit",VLOOKUP(I792,xySVG_Factors,2,FALSE),IF(AND(PRJ_Type="New Construction",Inventory!C789="N"),VLOOKUP(VLOOKUP(Building_Type,xyLPD_BuildingArea,5,FALSE),xySVG_Factors_NC,3,FALSE),0)))),"")</f>
        <v/>
      </c>
      <c r="Z792" s="544" t="str">
        <f>IFERROR(IF(C792="","",IF(INDEX(xyWattage_Table,MATCH(M792,'Fixture Identities'!$B$9:$B$997,0),2)="Exit Sign",0,VLOOKUP(S792,xySVG_Factors,2,FALSE))),"")</f>
        <v/>
      </c>
      <c r="AA792" s="545" t="str">
        <f t="shared" si="285"/>
        <v/>
      </c>
      <c r="AB792" s="542" t="str">
        <f t="shared" si="286"/>
        <v/>
      </c>
      <c r="AC792" s="539" t="str">
        <f t="shared" si="287"/>
        <v/>
      </c>
      <c r="AD792" s="546" t="str">
        <f t="shared" si="288"/>
        <v/>
      </c>
      <c r="AE792" s="539" t="str">
        <f t="shared" si="289"/>
        <v/>
      </c>
      <c r="AF792" s="546" t="str">
        <f t="shared" si="290"/>
        <v/>
      </c>
      <c r="AG792" s="539" t="str">
        <f t="shared" si="291"/>
        <v/>
      </c>
      <c r="AH792" s="32">
        <f t="shared" si="293"/>
        <v>0</v>
      </c>
      <c r="AI792" s="32">
        <f t="shared" si="294"/>
        <v>0</v>
      </c>
      <c r="AJ792" s="32">
        <f t="shared" si="295"/>
        <v>0</v>
      </c>
      <c r="AK792" t="str">
        <f t="shared" si="296"/>
        <v/>
      </c>
      <c r="AL792" t="str">
        <f t="shared" si="297"/>
        <v/>
      </c>
      <c r="AM792" t="str">
        <f t="shared" si="298"/>
        <v/>
      </c>
      <c r="AO792" t="str">
        <f>IFERROR(VLOOKUP(M792,'Fixture Identities'!$B$9:$O$1045,14,FALSE),"")</f>
        <v/>
      </c>
      <c r="AP792" t="str">
        <f t="shared" si="292"/>
        <v/>
      </c>
    </row>
    <row r="793" spans="1:42">
      <c r="A793" s="71">
        <f t="shared" si="300"/>
        <v>0</v>
      </c>
      <c r="B793" s="513">
        <f t="shared" si="299"/>
        <v>781</v>
      </c>
      <c r="C793" s="530" t="str">
        <f>IF(Inventory!E790="","",Inventory!E790)</f>
        <v/>
      </c>
      <c r="D793" s="531">
        <f>IF(Inventory!D790="",0,Inventory!D790)</f>
        <v>0</v>
      </c>
      <c r="E793" s="532" t="str">
        <f>IF(Inventory!I790=0,"",Inventory!I790)</f>
        <v/>
      </c>
      <c r="F793" s="533" t="str">
        <f t="shared" si="279"/>
        <v/>
      </c>
      <c r="G793" s="534" t="str">
        <f>IF(Inventory!G790="","",Inventory!G790)</f>
        <v/>
      </c>
      <c r="H793" s="535" t="str">
        <f t="shared" si="280"/>
        <v/>
      </c>
      <c r="I793" s="536" t="str">
        <f>IF(Inventory!J790="","",Inventory!J790)</f>
        <v/>
      </c>
      <c r="J793" s="537" t="str">
        <f>IFERROR(IF(PRJ_Type="New Construction",IF(Inventory!C790="N",INDEX(xyLPD_BuildingArea,MATCH(Building_Type,Lookups!$F$37:$F$75,0),4),INDEX(xyLPD_SpaceBySpace,MATCH(INDEX(xyNCEx,MATCH(I793,yNCExArea,0),2),ySpace_by_Space_Type,0),2)),VLOOKUP(E793,xyWattage_Table,11,FALSE)),"")</f>
        <v/>
      </c>
      <c r="K793" s="538" t="str">
        <f>IFERROR(IF(AND(NC_Type="Building Area Method",Inventory!C790="N"),IF(ISERROR(INDEX('Usage Groups (&gt;120 MWh only)'!$N$8:$N$12,MATCH(C793,'Usage Groups (&gt;120 MWh only)'!$B$8:$B$12,0),1))=TRUE,SqFt/COUNTIFS(Inventory!$C$10:$C$1009,"N",$Q$13:$Q$1012,"&gt;=0"),INDEX('Usage Groups (&gt;120 MWh only)'!$N$8:$N$12,MATCH(C793,'Usage Groups (&gt;120 MWh only)'!$B$8:$B$12,0),1)/COUNTIF($C$13:$C$1012,C793)),IF(AND(NC_Type="Building Area Method",Inventory!C790="Y"),INDEX(xyNCEx,MATCH(I793,yNCExArea,0),3)/COUNTIF($I$13:$I$1012,I793),VLOOKUP(J793,xyWattage_Table,10,FALSE))),"")</f>
        <v/>
      </c>
      <c r="L793" s="539" t="str">
        <f t="shared" si="281"/>
        <v/>
      </c>
      <c r="M793" s="540">
        <f>IF(Inventory!N790="","",Inventory!N790)</f>
        <v>0</v>
      </c>
      <c r="N793" s="533" t="str">
        <f t="shared" si="282"/>
        <v/>
      </c>
      <c r="O793" s="534"/>
      <c r="P793" s="533" t="str">
        <f t="shared" si="283"/>
        <v/>
      </c>
      <c r="Q793" s="534" t="str">
        <f>IF(Inventory!L790="","",Inventory!L790)</f>
        <v/>
      </c>
      <c r="R793" s="535" t="str">
        <f t="shared" si="284"/>
        <v/>
      </c>
      <c r="S793" s="536" t="str">
        <f>IF(Inventory!O790="","",Inventory!O790)</f>
        <v/>
      </c>
      <c r="T793" s="541" t="str">
        <f>IFERROR(IF(C793="","",IF(INDEX(xyWattage_Table,MATCH(M793,'Fixture Identities'!$B$9:$B$997,0),2)="Exit Sign",8760,IF(VLOOKUP(C793,xySpace_Type_Details,8,FALSE)="TRM",INDEX('General Information'!$AF$17:$AG$28,11,MATCH(N793,'General Information'!$AF$16:$AG$16,0)),HLOOKUP(VLOOKUP(C793,xySpace_Type_Details,8,FALSE),'General Information'!$P$15:$AG$28,13,FALSE)))),"")</f>
        <v/>
      </c>
      <c r="U793" s="542" t="str">
        <f>IFERROR(IF(C793="","",IF(INDEX(xyWattage_Table,MATCH(M793,'Fixture Identities'!$B$9:$B$997,0),2)="Exit Sign",1,IF(VLOOKUP(C793,xySpace_Type_Details,8,FALSE)="TRM",INDEX('General Information'!$AF$17:$AG$28,12,MATCH(N793,'General Information'!$AF$16:$AG$16,0)),HLOOKUP(VLOOKUP(C793,xySpace_Type_Details,8,FALSE),'General Information'!$P$15:$AG$28,14,FALSE)))),"")</f>
        <v/>
      </c>
      <c r="V793" s="542" t="str">
        <f>IFERROR(VLOOKUP(INDEX(xySpace_Type_Details,MATCH($C793,'General Information'!$C$40:$C$60,0),12),Lookups!$L$8:$N$12,2,FALSE),"")</f>
        <v/>
      </c>
      <c r="W793" s="542" t="str">
        <f>IFERROR(VLOOKUP(INDEX(xySpace_Type_Details,MATCH($C793,'General Information'!$C$40:$C$60,0),12),Lookups!$L$8:$N$12,3,FALSE),"")</f>
        <v/>
      </c>
      <c r="Y793" s="542" t="str">
        <f>IFERROR(IF(C793="","",IF(INDEX(xyWattage_Table,MATCH(M793,'Fixture Identities'!$B$9:$B$997,0),2)="Exit Sign",0,IF(PRJ_Type="Retrofit",VLOOKUP(I793,xySVG_Factors,2,FALSE),IF(AND(PRJ_Type="New Construction",Inventory!C790="N"),VLOOKUP(VLOOKUP(Building_Type,xyLPD_BuildingArea,5,FALSE),xySVG_Factors_NC,3,FALSE),0)))),"")</f>
        <v/>
      </c>
      <c r="Z793" s="544" t="str">
        <f>IFERROR(IF(C793="","",IF(INDEX(xyWattage_Table,MATCH(M793,'Fixture Identities'!$B$9:$B$997,0),2)="Exit Sign",0,VLOOKUP(S793,xySVG_Factors,2,FALSE))),"")</f>
        <v/>
      </c>
      <c r="AA793" s="545" t="str">
        <f t="shared" si="285"/>
        <v/>
      </c>
      <c r="AB793" s="542" t="str">
        <f t="shared" si="286"/>
        <v/>
      </c>
      <c r="AC793" s="539" t="str">
        <f t="shared" si="287"/>
        <v/>
      </c>
      <c r="AD793" s="546" t="str">
        <f t="shared" si="288"/>
        <v/>
      </c>
      <c r="AE793" s="539" t="str">
        <f t="shared" si="289"/>
        <v/>
      </c>
      <c r="AF793" s="546" t="str">
        <f t="shared" si="290"/>
        <v/>
      </c>
      <c r="AG793" s="539" t="str">
        <f t="shared" si="291"/>
        <v/>
      </c>
      <c r="AH793" s="32">
        <f t="shared" si="293"/>
        <v>0</v>
      </c>
      <c r="AI793" s="32">
        <f t="shared" si="294"/>
        <v>0</v>
      </c>
      <c r="AJ793" s="32">
        <f t="shared" si="295"/>
        <v>0</v>
      </c>
      <c r="AK793" t="str">
        <f t="shared" si="296"/>
        <v/>
      </c>
      <c r="AL793" t="str">
        <f t="shared" si="297"/>
        <v/>
      </c>
      <c r="AM793" t="str">
        <f t="shared" si="298"/>
        <v/>
      </c>
      <c r="AO793" t="str">
        <f>IFERROR(VLOOKUP(M793,'Fixture Identities'!$B$9:$O$1045,14,FALSE),"")</f>
        <v/>
      </c>
      <c r="AP793" t="str">
        <f t="shared" si="292"/>
        <v/>
      </c>
    </row>
    <row r="794" spans="1:42">
      <c r="A794" s="71">
        <f t="shared" si="300"/>
        <v>0</v>
      </c>
      <c r="B794" s="513">
        <f t="shared" si="299"/>
        <v>782</v>
      </c>
      <c r="C794" s="530" t="str">
        <f>IF(Inventory!E791="","",Inventory!E791)</f>
        <v/>
      </c>
      <c r="D794" s="531">
        <f>IF(Inventory!D791="",0,Inventory!D791)</f>
        <v>0</v>
      </c>
      <c r="E794" s="532" t="str">
        <f>IF(Inventory!I791=0,"",Inventory!I791)</f>
        <v/>
      </c>
      <c r="F794" s="533" t="str">
        <f t="shared" si="279"/>
        <v/>
      </c>
      <c r="G794" s="534" t="str">
        <f>IF(Inventory!G791="","",Inventory!G791)</f>
        <v/>
      </c>
      <c r="H794" s="535" t="str">
        <f t="shared" si="280"/>
        <v/>
      </c>
      <c r="I794" s="536" t="str">
        <f>IF(Inventory!J791="","",Inventory!J791)</f>
        <v/>
      </c>
      <c r="J794" s="537" t="str">
        <f>IFERROR(IF(PRJ_Type="New Construction",IF(Inventory!C791="N",INDEX(xyLPD_BuildingArea,MATCH(Building_Type,Lookups!$F$37:$F$75,0),4),INDEX(xyLPD_SpaceBySpace,MATCH(INDEX(xyNCEx,MATCH(I794,yNCExArea,0),2),ySpace_by_Space_Type,0),2)),VLOOKUP(E794,xyWattage_Table,11,FALSE)),"")</f>
        <v/>
      </c>
      <c r="K794" s="538" t="str">
        <f>IFERROR(IF(AND(NC_Type="Building Area Method",Inventory!C791="N"),IF(ISERROR(INDEX('Usage Groups (&gt;120 MWh only)'!$N$8:$N$12,MATCH(C794,'Usage Groups (&gt;120 MWh only)'!$B$8:$B$12,0),1))=TRUE,SqFt/COUNTIFS(Inventory!$C$10:$C$1009,"N",$Q$13:$Q$1012,"&gt;=0"),INDEX('Usage Groups (&gt;120 MWh only)'!$N$8:$N$12,MATCH(C794,'Usage Groups (&gt;120 MWh only)'!$B$8:$B$12,0),1)/COUNTIF($C$13:$C$1012,C794)),IF(AND(NC_Type="Building Area Method",Inventory!C791="Y"),INDEX(xyNCEx,MATCH(I794,yNCExArea,0),3)/COUNTIF($I$13:$I$1012,I794),VLOOKUP(J794,xyWattage_Table,10,FALSE))),"")</f>
        <v/>
      </c>
      <c r="L794" s="539" t="str">
        <f t="shared" si="281"/>
        <v/>
      </c>
      <c r="M794" s="540">
        <f>IF(Inventory!N791="","",Inventory!N791)</f>
        <v>0</v>
      </c>
      <c r="N794" s="533" t="str">
        <f t="shared" si="282"/>
        <v/>
      </c>
      <c r="O794" s="534"/>
      <c r="P794" s="533" t="str">
        <f t="shared" si="283"/>
        <v/>
      </c>
      <c r="Q794" s="534" t="str">
        <f>IF(Inventory!L791="","",Inventory!L791)</f>
        <v/>
      </c>
      <c r="R794" s="535" t="str">
        <f t="shared" si="284"/>
        <v/>
      </c>
      <c r="S794" s="536" t="str">
        <f>IF(Inventory!O791="","",Inventory!O791)</f>
        <v/>
      </c>
      <c r="T794" s="541" t="str">
        <f>IFERROR(IF(C794="","",IF(INDEX(xyWattage_Table,MATCH(M794,'Fixture Identities'!$B$9:$B$997,0),2)="Exit Sign",8760,IF(VLOOKUP(C794,xySpace_Type_Details,8,FALSE)="TRM",INDEX('General Information'!$AF$17:$AG$28,11,MATCH(N794,'General Information'!$AF$16:$AG$16,0)),HLOOKUP(VLOOKUP(C794,xySpace_Type_Details,8,FALSE),'General Information'!$P$15:$AG$28,13,FALSE)))),"")</f>
        <v/>
      </c>
      <c r="U794" s="542" t="str">
        <f>IFERROR(IF(C794="","",IF(INDEX(xyWattage_Table,MATCH(M794,'Fixture Identities'!$B$9:$B$997,0),2)="Exit Sign",1,IF(VLOOKUP(C794,xySpace_Type_Details,8,FALSE)="TRM",INDEX('General Information'!$AF$17:$AG$28,12,MATCH(N794,'General Information'!$AF$16:$AG$16,0)),HLOOKUP(VLOOKUP(C794,xySpace_Type_Details,8,FALSE),'General Information'!$P$15:$AG$28,14,FALSE)))),"")</f>
        <v/>
      </c>
      <c r="V794" s="542" t="str">
        <f>IFERROR(VLOOKUP(INDEX(xySpace_Type_Details,MATCH($C794,'General Information'!$C$40:$C$60,0),12),Lookups!$L$8:$N$12,2,FALSE),"")</f>
        <v/>
      </c>
      <c r="W794" s="542" t="str">
        <f>IFERROR(VLOOKUP(INDEX(xySpace_Type_Details,MATCH($C794,'General Information'!$C$40:$C$60,0),12),Lookups!$L$8:$N$12,3,FALSE),"")</f>
        <v/>
      </c>
      <c r="Y794" s="542" t="str">
        <f>IFERROR(IF(C794="","",IF(INDEX(xyWattage_Table,MATCH(M794,'Fixture Identities'!$B$9:$B$997,0),2)="Exit Sign",0,IF(PRJ_Type="Retrofit",VLOOKUP(I794,xySVG_Factors,2,FALSE),IF(AND(PRJ_Type="New Construction",Inventory!C791="N"),VLOOKUP(VLOOKUP(Building_Type,xyLPD_BuildingArea,5,FALSE),xySVG_Factors_NC,3,FALSE),0)))),"")</f>
        <v/>
      </c>
      <c r="Z794" s="544" t="str">
        <f>IFERROR(IF(C794="","",IF(INDEX(xyWattage_Table,MATCH(M794,'Fixture Identities'!$B$9:$B$997,0),2)="Exit Sign",0,VLOOKUP(S794,xySVG_Factors,2,FALSE))),"")</f>
        <v/>
      </c>
      <c r="AA794" s="545" t="str">
        <f t="shared" si="285"/>
        <v/>
      </c>
      <c r="AB794" s="542" t="str">
        <f t="shared" si="286"/>
        <v/>
      </c>
      <c r="AC794" s="539" t="str">
        <f t="shared" si="287"/>
        <v/>
      </c>
      <c r="AD794" s="546" t="str">
        <f t="shared" si="288"/>
        <v/>
      </c>
      <c r="AE794" s="539" t="str">
        <f t="shared" si="289"/>
        <v/>
      </c>
      <c r="AF794" s="546" t="str">
        <f t="shared" si="290"/>
        <v/>
      </c>
      <c r="AG794" s="539" t="str">
        <f t="shared" si="291"/>
        <v/>
      </c>
      <c r="AH794" s="32">
        <f t="shared" si="293"/>
        <v>0</v>
      </c>
      <c r="AI794" s="32">
        <f t="shared" si="294"/>
        <v>0</v>
      </c>
      <c r="AJ794" s="32">
        <f t="shared" si="295"/>
        <v>0</v>
      </c>
      <c r="AK794" t="str">
        <f t="shared" si="296"/>
        <v/>
      </c>
      <c r="AL794" t="str">
        <f t="shared" si="297"/>
        <v/>
      </c>
      <c r="AM794" t="str">
        <f t="shared" si="298"/>
        <v/>
      </c>
      <c r="AO794" t="str">
        <f>IFERROR(VLOOKUP(M794,'Fixture Identities'!$B$9:$O$1045,14,FALSE),"")</f>
        <v/>
      </c>
      <c r="AP794" t="str">
        <f t="shared" si="292"/>
        <v/>
      </c>
    </row>
    <row r="795" spans="1:42">
      <c r="A795" s="71">
        <f t="shared" si="300"/>
        <v>0</v>
      </c>
      <c r="B795" s="513">
        <f t="shared" si="299"/>
        <v>783</v>
      </c>
      <c r="C795" s="530" t="str">
        <f>IF(Inventory!E792="","",Inventory!E792)</f>
        <v/>
      </c>
      <c r="D795" s="531">
        <f>IF(Inventory!D792="",0,Inventory!D792)</f>
        <v>0</v>
      </c>
      <c r="E795" s="532" t="str">
        <f>IF(Inventory!I792=0,"",Inventory!I792)</f>
        <v/>
      </c>
      <c r="F795" s="533" t="str">
        <f t="shared" si="279"/>
        <v/>
      </c>
      <c r="G795" s="534" t="str">
        <f>IF(Inventory!G792="","",Inventory!G792)</f>
        <v/>
      </c>
      <c r="H795" s="535" t="str">
        <f t="shared" si="280"/>
        <v/>
      </c>
      <c r="I795" s="536" t="str">
        <f>IF(Inventory!J792="","",Inventory!J792)</f>
        <v/>
      </c>
      <c r="J795" s="537" t="str">
        <f>IFERROR(IF(PRJ_Type="New Construction",IF(Inventory!C792="N",INDEX(xyLPD_BuildingArea,MATCH(Building_Type,Lookups!$F$37:$F$75,0),4),INDEX(xyLPD_SpaceBySpace,MATCH(INDEX(xyNCEx,MATCH(I795,yNCExArea,0),2),ySpace_by_Space_Type,0),2)),VLOOKUP(E795,xyWattage_Table,11,FALSE)),"")</f>
        <v/>
      </c>
      <c r="K795" s="538" t="str">
        <f>IFERROR(IF(AND(NC_Type="Building Area Method",Inventory!C792="N"),IF(ISERROR(INDEX('Usage Groups (&gt;120 MWh only)'!$N$8:$N$12,MATCH(C795,'Usage Groups (&gt;120 MWh only)'!$B$8:$B$12,0),1))=TRUE,SqFt/COUNTIFS(Inventory!$C$10:$C$1009,"N",$Q$13:$Q$1012,"&gt;=0"),INDEX('Usage Groups (&gt;120 MWh only)'!$N$8:$N$12,MATCH(C795,'Usage Groups (&gt;120 MWh only)'!$B$8:$B$12,0),1)/COUNTIF($C$13:$C$1012,C795)),IF(AND(NC_Type="Building Area Method",Inventory!C792="Y"),INDEX(xyNCEx,MATCH(I795,yNCExArea,0),3)/COUNTIF($I$13:$I$1012,I795),VLOOKUP(J795,xyWattage_Table,10,FALSE))),"")</f>
        <v/>
      </c>
      <c r="L795" s="539" t="str">
        <f t="shared" si="281"/>
        <v/>
      </c>
      <c r="M795" s="540">
        <f>IF(Inventory!N792="","",Inventory!N792)</f>
        <v>0</v>
      </c>
      <c r="N795" s="533" t="str">
        <f t="shared" si="282"/>
        <v/>
      </c>
      <c r="O795" s="534"/>
      <c r="P795" s="533" t="str">
        <f t="shared" si="283"/>
        <v/>
      </c>
      <c r="Q795" s="534" t="str">
        <f>IF(Inventory!L792="","",Inventory!L792)</f>
        <v/>
      </c>
      <c r="R795" s="535" t="str">
        <f t="shared" si="284"/>
        <v/>
      </c>
      <c r="S795" s="536" t="str">
        <f>IF(Inventory!O792="","",Inventory!O792)</f>
        <v/>
      </c>
      <c r="T795" s="541" t="str">
        <f>IFERROR(IF(C795="","",IF(INDEX(xyWattage_Table,MATCH(M795,'Fixture Identities'!$B$9:$B$997,0),2)="Exit Sign",8760,IF(VLOOKUP(C795,xySpace_Type_Details,8,FALSE)="TRM",INDEX('General Information'!$AF$17:$AG$28,11,MATCH(N795,'General Information'!$AF$16:$AG$16,0)),HLOOKUP(VLOOKUP(C795,xySpace_Type_Details,8,FALSE),'General Information'!$P$15:$AG$28,13,FALSE)))),"")</f>
        <v/>
      </c>
      <c r="U795" s="542" t="str">
        <f>IFERROR(IF(C795="","",IF(INDEX(xyWattage_Table,MATCH(M795,'Fixture Identities'!$B$9:$B$997,0),2)="Exit Sign",1,IF(VLOOKUP(C795,xySpace_Type_Details,8,FALSE)="TRM",INDEX('General Information'!$AF$17:$AG$28,12,MATCH(N795,'General Information'!$AF$16:$AG$16,0)),HLOOKUP(VLOOKUP(C795,xySpace_Type_Details,8,FALSE),'General Information'!$P$15:$AG$28,14,FALSE)))),"")</f>
        <v/>
      </c>
      <c r="V795" s="542" t="str">
        <f>IFERROR(VLOOKUP(INDEX(xySpace_Type_Details,MATCH($C795,'General Information'!$C$40:$C$60,0),12),Lookups!$L$8:$N$12,2,FALSE),"")</f>
        <v/>
      </c>
      <c r="W795" s="542" t="str">
        <f>IFERROR(VLOOKUP(INDEX(xySpace_Type_Details,MATCH($C795,'General Information'!$C$40:$C$60,0),12),Lookups!$L$8:$N$12,3,FALSE),"")</f>
        <v/>
      </c>
      <c r="Y795" s="542" t="str">
        <f>IFERROR(IF(C795="","",IF(INDEX(xyWattage_Table,MATCH(M795,'Fixture Identities'!$B$9:$B$997,0),2)="Exit Sign",0,IF(PRJ_Type="Retrofit",VLOOKUP(I795,xySVG_Factors,2,FALSE),IF(AND(PRJ_Type="New Construction",Inventory!C792="N"),VLOOKUP(VLOOKUP(Building_Type,xyLPD_BuildingArea,5,FALSE),xySVG_Factors_NC,3,FALSE),0)))),"")</f>
        <v/>
      </c>
      <c r="Z795" s="544" t="str">
        <f>IFERROR(IF(C795="","",IF(INDEX(xyWattage_Table,MATCH(M795,'Fixture Identities'!$B$9:$B$997,0),2)="Exit Sign",0,VLOOKUP(S795,xySVG_Factors,2,FALSE))),"")</f>
        <v/>
      </c>
      <c r="AA795" s="545" t="str">
        <f t="shared" si="285"/>
        <v/>
      </c>
      <c r="AB795" s="542" t="str">
        <f t="shared" si="286"/>
        <v/>
      </c>
      <c r="AC795" s="539" t="str">
        <f t="shared" si="287"/>
        <v/>
      </c>
      <c r="AD795" s="546" t="str">
        <f t="shared" si="288"/>
        <v/>
      </c>
      <c r="AE795" s="539" t="str">
        <f t="shared" si="289"/>
        <v/>
      </c>
      <c r="AF795" s="546" t="str">
        <f t="shared" si="290"/>
        <v/>
      </c>
      <c r="AG795" s="539" t="str">
        <f t="shared" si="291"/>
        <v/>
      </c>
      <c r="AH795" s="32">
        <f t="shared" si="293"/>
        <v>0</v>
      </c>
      <c r="AI795" s="32">
        <f t="shared" si="294"/>
        <v>0</v>
      </c>
      <c r="AJ795" s="32">
        <f t="shared" si="295"/>
        <v>0</v>
      </c>
      <c r="AK795" t="str">
        <f t="shared" si="296"/>
        <v/>
      </c>
      <c r="AL795" t="str">
        <f t="shared" si="297"/>
        <v/>
      </c>
      <c r="AM795" t="str">
        <f t="shared" si="298"/>
        <v/>
      </c>
      <c r="AO795" t="str">
        <f>IFERROR(VLOOKUP(M795,'Fixture Identities'!$B$9:$O$1045,14,FALSE),"")</f>
        <v/>
      </c>
      <c r="AP795" t="str">
        <f t="shared" si="292"/>
        <v/>
      </c>
    </row>
    <row r="796" spans="1:42">
      <c r="A796" s="71">
        <f t="shared" si="300"/>
        <v>0</v>
      </c>
      <c r="B796" s="513">
        <f t="shared" si="299"/>
        <v>784</v>
      </c>
      <c r="C796" s="530" t="str">
        <f>IF(Inventory!E793="","",Inventory!E793)</f>
        <v/>
      </c>
      <c r="D796" s="531">
        <f>IF(Inventory!D793="",0,Inventory!D793)</f>
        <v>0</v>
      </c>
      <c r="E796" s="532" t="str">
        <f>IF(Inventory!I793=0,"",Inventory!I793)</f>
        <v/>
      </c>
      <c r="F796" s="533" t="str">
        <f t="shared" si="279"/>
        <v/>
      </c>
      <c r="G796" s="534" t="str">
        <f>IF(Inventory!G793="","",Inventory!G793)</f>
        <v/>
      </c>
      <c r="H796" s="535" t="str">
        <f t="shared" si="280"/>
        <v/>
      </c>
      <c r="I796" s="536" t="str">
        <f>IF(Inventory!J793="","",Inventory!J793)</f>
        <v/>
      </c>
      <c r="J796" s="537" t="str">
        <f>IFERROR(IF(PRJ_Type="New Construction",IF(Inventory!C793="N",INDEX(xyLPD_BuildingArea,MATCH(Building_Type,Lookups!$F$37:$F$75,0),4),INDEX(xyLPD_SpaceBySpace,MATCH(INDEX(xyNCEx,MATCH(I796,yNCExArea,0),2),ySpace_by_Space_Type,0),2)),VLOOKUP(E796,xyWattage_Table,11,FALSE)),"")</f>
        <v/>
      </c>
      <c r="K796" s="538" t="str">
        <f>IFERROR(IF(AND(NC_Type="Building Area Method",Inventory!C793="N"),IF(ISERROR(INDEX('Usage Groups (&gt;120 MWh only)'!$N$8:$N$12,MATCH(C796,'Usage Groups (&gt;120 MWh only)'!$B$8:$B$12,0),1))=TRUE,SqFt/COUNTIFS(Inventory!$C$10:$C$1009,"N",$Q$13:$Q$1012,"&gt;=0"),INDEX('Usage Groups (&gt;120 MWh only)'!$N$8:$N$12,MATCH(C796,'Usage Groups (&gt;120 MWh only)'!$B$8:$B$12,0),1)/COUNTIF($C$13:$C$1012,C796)),IF(AND(NC_Type="Building Area Method",Inventory!C793="Y"),INDEX(xyNCEx,MATCH(I796,yNCExArea,0),3)/COUNTIF($I$13:$I$1012,I796),VLOOKUP(J796,xyWattage_Table,10,FALSE))),"")</f>
        <v/>
      </c>
      <c r="L796" s="539" t="str">
        <f t="shared" si="281"/>
        <v/>
      </c>
      <c r="M796" s="540">
        <f>IF(Inventory!N793="","",Inventory!N793)</f>
        <v>0</v>
      </c>
      <c r="N796" s="533" t="str">
        <f t="shared" si="282"/>
        <v/>
      </c>
      <c r="O796" s="534"/>
      <c r="P796" s="533" t="str">
        <f t="shared" si="283"/>
        <v/>
      </c>
      <c r="Q796" s="534" t="str">
        <f>IF(Inventory!L793="","",Inventory!L793)</f>
        <v/>
      </c>
      <c r="R796" s="535" t="str">
        <f t="shared" si="284"/>
        <v/>
      </c>
      <c r="S796" s="536" t="str">
        <f>IF(Inventory!O793="","",Inventory!O793)</f>
        <v/>
      </c>
      <c r="T796" s="541" t="str">
        <f>IFERROR(IF(C796="","",IF(INDEX(xyWattage_Table,MATCH(M796,'Fixture Identities'!$B$9:$B$997,0),2)="Exit Sign",8760,IF(VLOOKUP(C796,xySpace_Type_Details,8,FALSE)="TRM",INDEX('General Information'!$AF$17:$AG$28,11,MATCH(N796,'General Information'!$AF$16:$AG$16,0)),HLOOKUP(VLOOKUP(C796,xySpace_Type_Details,8,FALSE),'General Information'!$P$15:$AG$28,13,FALSE)))),"")</f>
        <v/>
      </c>
      <c r="U796" s="542" t="str">
        <f>IFERROR(IF(C796="","",IF(INDEX(xyWattage_Table,MATCH(M796,'Fixture Identities'!$B$9:$B$997,0),2)="Exit Sign",1,IF(VLOOKUP(C796,xySpace_Type_Details,8,FALSE)="TRM",INDEX('General Information'!$AF$17:$AG$28,12,MATCH(N796,'General Information'!$AF$16:$AG$16,0)),HLOOKUP(VLOOKUP(C796,xySpace_Type_Details,8,FALSE),'General Information'!$P$15:$AG$28,14,FALSE)))),"")</f>
        <v/>
      </c>
      <c r="V796" s="542" t="str">
        <f>IFERROR(VLOOKUP(INDEX(xySpace_Type_Details,MATCH($C796,'General Information'!$C$40:$C$60,0),12),Lookups!$L$8:$N$12,2,FALSE),"")</f>
        <v/>
      </c>
      <c r="W796" s="542" t="str">
        <f>IFERROR(VLOOKUP(INDEX(xySpace_Type_Details,MATCH($C796,'General Information'!$C$40:$C$60,0),12),Lookups!$L$8:$N$12,3,FALSE),"")</f>
        <v/>
      </c>
      <c r="Y796" s="542" t="str">
        <f>IFERROR(IF(C796="","",IF(INDEX(xyWattage_Table,MATCH(M796,'Fixture Identities'!$B$9:$B$997,0),2)="Exit Sign",0,IF(PRJ_Type="Retrofit",VLOOKUP(I796,xySVG_Factors,2,FALSE),IF(AND(PRJ_Type="New Construction",Inventory!C793="N"),VLOOKUP(VLOOKUP(Building_Type,xyLPD_BuildingArea,5,FALSE),xySVG_Factors_NC,3,FALSE),0)))),"")</f>
        <v/>
      </c>
      <c r="Z796" s="544" t="str">
        <f>IFERROR(IF(C796="","",IF(INDEX(xyWattage_Table,MATCH(M796,'Fixture Identities'!$B$9:$B$997,0),2)="Exit Sign",0,VLOOKUP(S796,xySVG_Factors,2,FALSE))),"")</f>
        <v/>
      </c>
      <c r="AA796" s="545" t="str">
        <f t="shared" si="285"/>
        <v/>
      </c>
      <c r="AB796" s="542" t="str">
        <f t="shared" si="286"/>
        <v/>
      </c>
      <c r="AC796" s="539" t="str">
        <f t="shared" si="287"/>
        <v/>
      </c>
      <c r="AD796" s="546" t="str">
        <f t="shared" si="288"/>
        <v/>
      </c>
      <c r="AE796" s="539" t="str">
        <f t="shared" si="289"/>
        <v/>
      </c>
      <c r="AF796" s="546" t="str">
        <f t="shared" si="290"/>
        <v/>
      </c>
      <c r="AG796" s="539" t="str">
        <f t="shared" si="291"/>
        <v/>
      </c>
      <c r="AH796" s="32">
        <f t="shared" si="293"/>
        <v>0</v>
      </c>
      <c r="AI796" s="32">
        <f t="shared" si="294"/>
        <v>0</v>
      </c>
      <c r="AJ796" s="32">
        <f t="shared" si="295"/>
        <v>0</v>
      </c>
      <c r="AK796" t="str">
        <f t="shared" si="296"/>
        <v/>
      </c>
      <c r="AL796" t="str">
        <f t="shared" si="297"/>
        <v/>
      </c>
      <c r="AM796" t="str">
        <f t="shared" si="298"/>
        <v/>
      </c>
      <c r="AO796" t="str">
        <f>IFERROR(VLOOKUP(M796,'Fixture Identities'!$B$9:$O$1045,14,FALSE),"")</f>
        <v/>
      </c>
      <c r="AP796" t="str">
        <f t="shared" si="292"/>
        <v/>
      </c>
    </row>
    <row r="797" spans="1:42">
      <c r="A797" s="71">
        <f t="shared" si="300"/>
        <v>0</v>
      </c>
      <c r="B797" s="513">
        <f t="shared" si="299"/>
        <v>785</v>
      </c>
      <c r="C797" s="530" t="str">
        <f>IF(Inventory!E794="","",Inventory!E794)</f>
        <v/>
      </c>
      <c r="D797" s="531">
        <f>IF(Inventory!D794="",0,Inventory!D794)</f>
        <v>0</v>
      </c>
      <c r="E797" s="532" t="str">
        <f>IF(Inventory!I794=0,"",Inventory!I794)</f>
        <v/>
      </c>
      <c r="F797" s="533" t="str">
        <f t="shared" si="279"/>
        <v/>
      </c>
      <c r="G797" s="534" t="str">
        <f>IF(Inventory!G794="","",Inventory!G794)</f>
        <v/>
      </c>
      <c r="H797" s="535" t="str">
        <f t="shared" si="280"/>
        <v/>
      </c>
      <c r="I797" s="536" t="str">
        <f>IF(Inventory!J794="","",Inventory!J794)</f>
        <v/>
      </c>
      <c r="J797" s="537" t="str">
        <f>IFERROR(IF(PRJ_Type="New Construction",IF(Inventory!C794="N",INDEX(xyLPD_BuildingArea,MATCH(Building_Type,Lookups!$F$37:$F$75,0),4),INDEX(xyLPD_SpaceBySpace,MATCH(INDEX(xyNCEx,MATCH(I797,yNCExArea,0),2),ySpace_by_Space_Type,0),2)),VLOOKUP(E797,xyWattage_Table,11,FALSE)),"")</f>
        <v/>
      </c>
      <c r="K797" s="538" t="str">
        <f>IFERROR(IF(AND(NC_Type="Building Area Method",Inventory!C794="N"),IF(ISERROR(INDEX('Usage Groups (&gt;120 MWh only)'!$N$8:$N$12,MATCH(C797,'Usage Groups (&gt;120 MWh only)'!$B$8:$B$12,0),1))=TRUE,SqFt/COUNTIFS(Inventory!$C$10:$C$1009,"N",$Q$13:$Q$1012,"&gt;=0"),INDEX('Usage Groups (&gt;120 MWh only)'!$N$8:$N$12,MATCH(C797,'Usage Groups (&gt;120 MWh only)'!$B$8:$B$12,0),1)/COUNTIF($C$13:$C$1012,C797)),IF(AND(NC_Type="Building Area Method",Inventory!C794="Y"),INDEX(xyNCEx,MATCH(I797,yNCExArea,0),3)/COUNTIF($I$13:$I$1012,I797),VLOOKUP(J797,xyWattage_Table,10,FALSE))),"")</f>
        <v/>
      </c>
      <c r="L797" s="539" t="str">
        <f t="shared" si="281"/>
        <v/>
      </c>
      <c r="M797" s="540">
        <f>IF(Inventory!N794="","",Inventory!N794)</f>
        <v>0</v>
      </c>
      <c r="N797" s="533" t="str">
        <f t="shared" si="282"/>
        <v/>
      </c>
      <c r="O797" s="534"/>
      <c r="P797" s="533" t="str">
        <f t="shared" si="283"/>
        <v/>
      </c>
      <c r="Q797" s="534" t="str">
        <f>IF(Inventory!L794="","",Inventory!L794)</f>
        <v/>
      </c>
      <c r="R797" s="535" t="str">
        <f t="shared" si="284"/>
        <v/>
      </c>
      <c r="S797" s="536" t="str">
        <f>IF(Inventory!O794="","",Inventory!O794)</f>
        <v/>
      </c>
      <c r="T797" s="541" t="str">
        <f>IFERROR(IF(C797="","",IF(INDEX(xyWattage_Table,MATCH(M797,'Fixture Identities'!$B$9:$B$997,0),2)="Exit Sign",8760,IF(VLOOKUP(C797,xySpace_Type_Details,8,FALSE)="TRM",INDEX('General Information'!$AF$17:$AG$28,11,MATCH(N797,'General Information'!$AF$16:$AG$16,0)),HLOOKUP(VLOOKUP(C797,xySpace_Type_Details,8,FALSE),'General Information'!$P$15:$AG$28,13,FALSE)))),"")</f>
        <v/>
      </c>
      <c r="U797" s="542" t="str">
        <f>IFERROR(IF(C797="","",IF(INDEX(xyWattage_Table,MATCH(M797,'Fixture Identities'!$B$9:$B$997,0),2)="Exit Sign",1,IF(VLOOKUP(C797,xySpace_Type_Details,8,FALSE)="TRM",INDEX('General Information'!$AF$17:$AG$28,12,MATCH(N797,'General Information'!$AF$16:$AG$16,0)),HLOOKUP(VLOOKUP(C797,xySpace_Type_Details,8,FALSE),'General Information'!$P$15:$AG$28,14,FALSE)))),"")</f>
        <v/>
      </c>
      <c r="V797" s="542" t="str">
        <f>IFERROR(VLOOKUP(INDEX(xySpace_Type_Details,MATCH($C797,'General Information'!$C$40:$C$60,0),12),Lookups!$L$8:$N$12,2,FALSE),"")</f>
        <v/>
      </c>
      <c r="W797" s="542" t="str">
        <f>IFERROR(VLOOKUP(INDEX(xySpace_Type_Details,MATCH($C797,'General Information'!$C$40:$C$60,0),12),Lookups!$L$8:$N$12,3,FALSE),"")</f>
        <v/>
      </c>
      <c r="Y797" s="542" t="str">
        <f>IFERROR(IF(C797="","",IF(INDEX(xyWattage_Table,MATCH(M797,'Fixture Identities'!$B$9:$B$997,0),2)="Exit Sign",0,IF(PRJ_Type="Retrofit",VLOOKUP(I797,xySVG_Factors,2,FALSE),IF(AND(PRJ_Type="New Construction",Inventory!C794="N"),VLOOKUP(VLOOKUP(Building_Type,xyLPD_BuildingArea,5,FALSE),xySVG_Factors_NC,3,FALSE),0)))),"")</f>
        <v/>
      </c>
      <c r="Z797" s="544" t="str">
        <f>IFERROR(IF(C797="","",IF(INDEX(xyWattage_Table,MATCH(M797,'Fixture Identities'!$B$9:$B$997,0),2)="Exit Sign",0,VLOOKUP(S797,xySVG_Factors,2,FALSE))),"")</f>
        <v/>
      </c>
      <c r="AA797" s="545" t="str">
        <f t="shared" si="285"/>
        <v/>
      </c>
      <c r="AB797" s="542" t="str">
        <f t="shared" si="286"/>
        <v/>
      </c>
      <c r="AC797" s="539" t="str">
        <f t="shared" si="287"/>
        <v/>
      </c>
      <c r="AD797" s="546" t="str">
        <f t="shared" si="288"/>
        <v/>
      </c>
      <c r="AE797" s="539" t="str">
        <f t="shared" si="289"/>
        <v/>
      </c>
      <c r="AF797" s="546" t="str">
        <f t="shared" si="290"/>
        <v/>
      </c>
      <c r="AG797" s="539" t="str">
        <f t="shared" si="291"/>
        <v/>
      </c>
      <c r="AH797" s="32">
        <f t="shared" si="293"/>
        <v>0</v>
      </c>
      <c r="AI797" s="32">
        <f t="shared" si="294"/>
        <v>0</v>
      </c>
      <c r="AJ797" s="32">
        <f t="shared" si="295"/>
        <v>0</v>
      </c>
      <c r="AK797" t="str">
        <f t="shared" si="296"/>
        <v/>
      </c>
      <c r="AL797" t="str">
        <f t="shared" si="297"/>
        <v/>
      </c>
      <c r="AM797" t="str">
        <f t="shared" si="298"/>
        <v/>
      </c>
      <c r="AO797" t="str">
        <f>IFERROR(VLOOKUP(M797,'Fixture Identities'!$B$9:$O$1045,14,FALSE),"")</f>
        <v/>
      </c>
      <c r="AP797" t="str">
        <f t="shared" si="292"/>
        <v/>
      </c>
    </row>
    <row r="798" spans="1:42">
      <c r="A798" s="71">
        <f t="shared" si="300"/>
        <v>0</v>
      </c>
      <c r="B798" s="513">
        <f t="shared" si="299"/>
        <v>786</v>
      </c>
      <c r="C798" s="530" t="str">
        <f>IF(Inventory!E795="","",Inventory!E795)</f>
        <v/>
      </c>
      <c r="D798" s="531">
        <f>IF(Inventory!D795="",0,Inventory!D795)</f>
        <v>0</v>
      </c>
      <c r="E798" s="532" t="str">
        <f>IF(Inventory!I795=0,"",Inventory!I795)</f>
        <v/>
      </c>
      <c r="F798" s="533" t="str">
        <f t="shared" si="279"/>
        <v/>
      </c>
      <c r="G798" s="534" t="str">
        <f>IF(Inventory!G795="","",Inventory!G795)</f>
        <v/>
      </c>
      <c r="H798" s="535" t="str">
        <f t="shared" si="280"/>
        <v/>
      </c>
      <c r="I798" s="536" t="str">
        <f>IF(Inventory!J795="","",Inventory!J795)</f>
        <v/>
      </c>
      <c r="J798" s="537" t="str">
        <f>IFERROR(IF(PRJ_Type="New Construction",IF(Inventory!C795="N",INDEX(xyLPD_BuildingArea,MATCH(Building_Type,Lookups!$F$37:$F$75,0),4),INDEX(xyLPD_SpaceBySpace,MATCH(INDEX(xyNCEx,MATCH(I798,yNCExArea,0),2),ySpace_by_Space_Type,0),2)),VLOOKUP(E798,xyWattage_Table,11,FALSE)),"")</f>
        <v/>
      </c>
      <c r="K798" s="538" t="str">
        <f>IFERROR(IF(AND(NC_Type="Building Area Method",Inventory!C795="N"),IF(ISERROR(INDEX('Usage Groups (&gt;120 MWh only)'!$N$8:$N$12,MATCH(C798,'Usage Groups (&gt;120 MWh only)'!$B$8:$B$12,0),1))=TRUE,SqFt/COUNTIFS(Inventory!$C$10:$C$1009,"N",$Q$13:$Q$1012,"&gt;=0"),INDEX('Usage Groups (&gt;120 MWh only)'!$N$8:$N$12,MATCH(C798,'Usage Groups (&gt;120 MWh only)'!$B$8:$B$12,0),1)/COUNTIF($C$13:$C$1012,C798)),IF(AND(NC_Type="Building Area Method",Inventory!C795="Y"),INDEX(xyNCEx,MATCH(I798,yNCExArea,0),3)/COUNTIF($I$13:$I$1012,I798),VLOOKUP(J798,xyWattage_Table,10,FALSE))),"")</f>
        <v/>
      </c>
      <c r="L798" s="539" t="str">
        <f t="shared" si="281"/>
        <v/>
      </c>
      <c r="M798" s="540">
        <f>IF(Inventory!N795="","",Inventory!N795)</f>
        <v>0</v>
      </c>
      <c r="N798" s="533" t="str">
        <f t="shared" si="282"/>
        <v/>
      </c>
      <c r="O798" s="534"/>
      <c r="P798" s="533" t="str">
        <f t="shared" si="283"/>
        <v/>
      </c>
      <c r="Q798" s="534" t="str">
        <f>IF(Inventory!L795="","",Inventory!L795)</f>
        <v/>
      </c>
      <c r="R798" s="535" t="str">
        <f t="shared" si="284"/>
        <v/>
      </c>
      <c r="S798" s="536" t="str">
        <f>IF(Inventory!O795="","",Inventory!O795)</f>
        <v/>
      </c>
      <c r="T798" s="541" t="str">
        <f>IFERROR(IF(C798="","",IF(INDEX(xyWattage_Table,MATCH(M798,'Fixture Identities'!$B$9:$B$997,0),2)="Exit Sign",8760,IF(VLOOKUP(C798,xySpace_Type_Details,8,FALSE)="TRM",INDEX('General Information'!$AF$17:$AG$28,11,MATCH(N798,'General Information'!$AF$16:$AG$16,0)),HLOOKUP(VLOOKUP(C798,xySpace_Type_Details,8,FALSE),'General Information'!$P$15:$AG$28,13,FALSE)))),"")</f>
        <v/>
      </c>
      <c r="U798" s="542" t="str">
        <f>IFERROR(IF(C798="","",IF(INDEX(xyWattage_Table,MATCH(M798,'Fixture Identities'!$B$9:$B$997,0),2)="Exit Sign",1,IF(VLOOKUP(C798,xySpace_Type_Details,8,FALSE)="TRM",INDEX('General Information'!$AF$17:$AG$28,12,MATCH(N798,'General Information'!$AF$16:$AG$16,0)),HLOOKUP(VLOOKUP(C798,xySpace_Type_Details,8,FALSE),'General Information'!$P$15:$AG$28,14,FALSE)))),"")</f>
        <v/>
      </c>
      <c r="V798" s="542" t="str">
        <f>IFERROR(VLOOKUP(INDEX(xySpace_Type_Details,MATCH($C798,'General Information'!$C$40:$C$60,0),12),Lookups!$L$8:$N$12,2,FALSE),"")</f>
        <v/>
      </c>
      <c r="W798" s="542" t="str">
        <f>IFERROR(VLOOKUP(INDEX(xySpace_Type_Details,MATCH($C798,'General Information'!$C$40:$C$60,0),12),Lookups!$L$8:$N$12,3,FALSE),"")</f>
        <v/>
      </c>
      <c r="Y798" s="542" t="str">
        <f>IFERROR(IF(C798="","",IF(INDEX(xyWattage_Table,MATCH(M798,'Fixture Identities'!$B$9:$B$997,0),2)="Exit Sign",0,IF(PRJ_Type="Retrofit",VLOOKUP(I798,xySVG_Factors,2,FALSE),IF(AND(PRJ_Type="New Construction",Inventory!C795="N"),VLOOKUP(VLOOKUP(Building_Type,xyLPD_BuildingArea,5,FALSE),xySVG_Factors_NC,3,FALSE),0)))),"")</f>
        <v/>
      </c>
      <c r="Z798" s="544" t="str">
        <f>IFERROR(IF(C798="","",IF(INDEX(xyWattage_Table,MATCH(M798,'Fixture Identities'!$B$9:$B$997,0),2)="Exit Sign",0,VLOOKUP(S798,xySVG_Factors,2,FALSE))),"")</f>
        <v/>
      </c>
      <c r="AA798" s="545" t="str">
        <f t="shared" si="285"/>
        <v/>
      </c>
      <c r="AB798" s="542" t="str">
        <f t="shared" si="286"/>
        <v/>
      </c>
      <c r="AC798" s="539" t="str">
        <f t="shared" si="287"/>
        <v/>
      </c>
      <c r="AD798" s="546" t="str">
        <f t="shared" si="288"/>
        <v/>
      </c>
      <c r="AE798" s="539" t="str">
        <f t="shared" si="289"/>
        <v/>
      </c>
      <c r="AF798" s="546" t="str">
        <f t="shared" si="290"/>
        <v/>
      </c>
      <c r="AG798" s="539" t="str">
        <f t="shared" si="291"/>
        <v/>
      </c>
      <c r="AH798" s="32">
        <f t="shared" si="293"/>
        <v>0</v>
      </c>
      <c r="AI798" s="32">
        <f t="shared" si="294"/>
        <v>0</v>
      </c>
      <c r="AJ798" s="32">
        <f t="shared" si="295"/>
        <v>0</v>
      </c>
      <c r="AK798" t="str">
        <f t="shared" si="296"/>
        <v/>
      </c>
      <c r="AL798" t="str">
        <f t="shared" si="297"/>
        <v/>
      </c>
      <c r="AM798" t="str">
        <f t="shared" si="298"/>
        <v/>
      </c>
      <c r="AO798" t="str">
        <f>IFERROR(VLOOKUP(M798,'Fixture Identities'!$B$9:$O$1045,14,FALSE),"")</f>
        <v/>
      </c>
      <c r="AP798" t="str">
        <f t="shared" si="292"/>
        <v/>
      </c>
    </row>
    <row r="799" spans="1:42">
      <c r="A799" s="71">
        <f t="shared" si="300"/>
        <v>0</v>
      </c>
      <c r="B799" s="513">
        <f t="shared" si="299"/>
        <v>787</v>
      </c>
      <c r="C799" s="530" t="str">
        <f>IF(Inventory!E796="","",Inventory!E796)</f>
        <v/>
      </c>
      <c r="D799" s="531">
        <f>IF(Inventory!D796="",0,Inventory!D796)</f>
        <v>0</v>
      </c>
      <c r="E799" s="532" t="str">
        <f>IF(Inventory!I796=0,"",Inventory!I796)</f>
        <v/>
      </c>
      <c r="F799" s="533" t="str">
        <f t="shared" si="279"/>
        <v/>
      </c>
      <c r="G799" s="534" t="str">
        <f>IF(Inventory!G796="","",Inventory!G796)</f>
        <v/>
      </c>
      <c r="H799" s="535" t="str">
        <f t="shared" si="280"/>
        <v/>
      </c>
      <c r="I799" s="536" t="str">
        <f>IF(Inventory!J796="","",Inventory!J796)</f>
        <v/>
      </c>
      <c r="J799" s="537" t="str">
        <f>IFERROR(IF(PRJ_Type="New Construction",IF(Inventory!C796="N",INDEX(xyLPD_BuildingArea,MATCH(Building_Type,Lookups!$F$37:$F$75,0),4),INDEX(xyLPD_SpaceBySpace,MATCH(INDEX(xyNCEx,MATCH(I799,yNCExArea,0),2),ySpace_by_Space_Type,0),2)),VLOOKUP(E799,xyWattage_Table,11,FALSE)),"")</f>
        <v/>
      </c>
      <c r="K799" s="538" t="str">
        <f>IFERROR(IF(AND(NC_Type="Building Area Method",Inventory!C796="N"),IF(ISERROR(INDEX('Usage Groups (&gt;120 MWh only)'!$N$8:$N$12,MATCH(C799,'Usage Groups (&gt;120 MWh only)'!$B$8:$B$12,0),1))=TRUE,SqFt/COUNTIFS(Inventory!$C$10:$C$1009,"N",$Q$13:$Q$1012,"&gt;=0"),INDEX('Usage Groups (&gt;120 MWh only)'!$N$8:$N$12,MATCH(C799,'Usage Groups (&gt;120 MWh only)'!$B$8:$B$12,0),1)/COUNTIF($C$13:$C$1012,C799)),IF(AND(NC_Type="Building Area Method",Inventory!C796="Y"),INDEX(xyNCEx,MATCH(I799,yNCExArea,0),3)/COUNTIF($I$13:$I$1012,I799),VLOOKUP(J799,xyWattage_Table,10,FALSE))),"")</f>
        <v/>
      </c>
      <c r="L799" s="539" t="str">
        <f t="shared" si="281"/>
        <v/>
      </c>
      <c r="M799" s="540">
        <f>IF(Inventory!N796="","",Inventory!N796)</f>
        <v>0</v>
      </c>
      <c r="N799" s="533" t="str">
        <f t="shared" si="282"/>
        <v/>
      </c>
      <c r="O799" s="534"/>
      <c r="P799" s="533" t="str">
        <f t="shared" si="283"/>
        <v/>
      </c>
      <c r="Q799" s="534" t="str">
        <f>IF(Inventory!L796="","",Inventory!L796)</f>
        <v/>
      </c>
      <c r="R799" s="535" t="str">
        <f t="shared" si="284"/>
        <v/>
      </c>
      <c r="S799" s="536" t="str">
        <f>IF(Inventory!O796="","",Inventory!O796)</f>
        <v/>
      </c>
      <c r="T799" s="541" t="str">
        <f>IFERROR(IF(C799="","",IF(INDEX(xyWattage_Table,MATCH(M799,'Fixture Identities'!$B$9:$B$997,0),2)="Exit Sign",8760,IF(VLOOKUP(C799,xySpace_Type_Details,8,FALSE)="TRM",INDEX('General Information'!$AF$17:$AG$28,11,MATCH(N799,'General Information'!$AF$16:$AG$16,0)),HLOOKUP(VLOOKUP(C799,xySpace_Type_Details,8,FALSE),'General Information'!$P$15:$AG$28,13,FALSE)))),"")</f>
        <v/>
      </c>
      <c r="U799" s="542" t="str">
        <f>IFERROR(IF(C799="","",IF(INDEX(xyWattage_Table,MATCH(M799,'Fixture Identities'!$B$9:$B$997,0),2)="Exit Sign",1,IF(VLOOKUP(C799,xySpace_Type_Details,8,FALSE)="TRM",INDEX('General Information'!$AF$17:$AG$28,12,MATCH(N799,'General Information'!$AF$16:$AG$16,0)),HLOOKUP(VLOOKUP(C799,xySpace_Type_Details,8,FALSE),'General Information'!$P$15:$AG$28,14,FALSE)))),"")</f>
        <v/>
      </c>
      <c r="V799" s="542" t="str">
        <f>IFERROR(VLOOKUP(INDEX(xySpace_Type_Details,MATCH($C799,'General Information'!$C$40:$C$60,0),12),Lookups!$L$8:$N$12,2,FALSE),"")</f>
        <v/>
      </c>
      <c r="W799" s="542" t="str">
        <f>IFERROR(VLOOKUP(INDEX(xySpace_Type_Details,MATCH($C799,'General Information'!$C$40:$C$60,0),12),Lookups!$L$8:$N$12,3,FALSE),"")</f>
        <v/>
      </c>
      <c r="Y799" s="542" t="str">
        <f>IFERROR(IF(C799="","",IF(INDEX(xyWattage_Table,MATCH(M799,'Fixture Identities'!$B$9:$B$997,0),2)="Exit Sign",0,IF(PRJ_Type="Retrofit",VLOOKUP(I799,xySVG_Factors,2,FALSE),IF(AND(PRJ_Type="New Construction",Inventory!C796="N"),VLOOKUP(VLOOKUP(Building_Type,xyLPD_BuildingArea,5,FALSE),xySVG_Factors_NC,3,FALSE),0)))),"")</f>
        <v/>
      </c>
      <c r="Z799" s="544" t="str">
        <f>IFERROR(IF(C799="","",IF(INDEX(xyWattage_Table,MATCH(M799,'Fixture Identities'!$B$9:$B$997,0),2)="Exit Sign",0,VLOOKUP(S799,xySVG_Factors,2,FALSE))),"")</f>
        <v/>
      </c>
      <c r="AA799" s="545" t="str">
        <f t="shared" si="285"/>
        <v/>
      </c>
      <c r="AB799" s="542" t="str">
        <f t="shared" si="286"/>
        <v/>
      </c>
      <c r="AC799" s="539" t="str">
        <f t="shared" si="287"/>
        <v/>
      </c>
      <c r="AD799" s="546" t="str">
        <f t="shared" si="288"/>
        <v/>
      </c>
      <c r="AE799" s="539" t="str">
        <f t="shared" si="289"/>
        <v/>
      </c>
      <c r="AF799" s="546" t="str">
        <f t="shared" si="290"/>
        <v/>
      </c>
      <c r="AG799" s="539" t="str">
        <f t="shared" si="291"/>
        <v/>
      </c>
      <c r="AH799" s="32">
        <f t="shared" si="293"/>
        <v>0</v>
      </c>
      <c r="AI799" s="32">
        <f t="shared" si="294"/>
        <v>0</v>
      </c>
      <c r="AJ799" s="32">
        <f t="shared" si="295"/>
        <v>0</v>
      </c>
      <c r="AK799" t="str">
        <f t="shared" si="296"/>
        <v/>
      </c>
      <c r="AL799" t="str">
        <f t="shared" si="297"/>
        <v/>
      </c>
      <c r="AM799" t="str">
        <f t="shared" si="298"/>
        <v/>
      </c>
      <c r="AO799" t="str">
        <f>IFERROR(VLOOKUP(M799,'Fixture Identities'!$B$9:$O$1045,14,FALSE),"")</f>
        <v/>
      </c>
      <c r="AP799" t="str">
        <f t="shared" si="292"/>
        <v/>
      </c>
    </row>
    <row r="800" spans="1:42">
      <c r="A800" s="71">
        <f t="shared" si="300"/>
        <v>0</v>
      </c>
      <c r="B800" s="513">
        <f t="shared" si="299"/>
        <v>788</v>
      </c>
      <c r="C800" s="530" t="str">
        <f>IF(Inventory!E797="","",Inventory!E797)</f>
        <v/>
      </c>
      <c r="D800" s="531">
        <f>IF(Inventory!D797="",0,Inventory!D797)</f>
        <v>0</v>
      </c>
      <c r="E800" s="532" t="str">
        <f>IF(Inventory!I797=0,"",Inventory!I797)</f>
        <v/>
      </c>
      <c r="F800" s="533" t="str">
        <f t="shared" si="279"/>
        <v/>
      </c>
      <c r="G800" s="534" t="str">
        <f>IF(Inventory!G797="","",Inventory!G797)</f>
        <v/>
      </c>
      <c r="H800" s="535" t="str">
        <f t="shared" si="280"/>
        <v/>
      </c>
      <c r="I800" s="536" t="str">
        <f>IF(Inventory!J797="","",Inventory!J797)</f>
        <v/>
      </c>
      <c r="J800" s="537" t="str">
        <f>IFERROR(IF(PRJ_Type="New Construction",IF(Inventory!C797="N",INDEX(xyLPD_BuildingArea,MATCH(Building_Type,Lookups!$F$37:$F$75,0),4),INDEX(xyLPD_SpaceBySpace,MATCH(INDEX(xyNCEx,MATCH(I800,yNCExArea,0),2),ySpace_by_Space_Type,0),2)),VLOOKUP(E800,xyWattage_Table,11,FALSE)),"")</f>
        <v/>
      </c>
      <c r="K800" s="538" t="str">
        <f>IFERROR(IF(AND(NC_Type="Building Area Method",Inventory!C797="N"),IF(ISERROR(INDEX('Usage Groups (&gt;120 MWh only)'!$N$8:$N$12,MATCH(C800,'Usage Groups (&gt;120 MWh only)'!$B$8:$B$12,0),1))=TRUE,SqFt/COUNTIFS(Inventory!$C$10:$C$1009,"N",$Q$13:$Q$1012,"&gt;=0"),INDEX('Usage Groups (&gt;120 MWh only)'!$N$8:$N$12,MATCH(C800,'Usage Groups (&gt;120 MWh only)'!$B$8:$B$12,0),1)/COUNTIF($C$13:$C$1012,C800)),IF(AND(NC_Type="Building Area Method",Inventory!C797="Y"),INDEX(xyNCEx,MATCH(I800,yNCExArea,0),3)/COUNTIF($I$13:$I$1012,I800),VLOOKUP(J800,xyWattage_Table,10,FALSE))),"")</f>
        <v/>
      </c>
      <c r="L800" s="539" t="str">
        <f t="shared" si="281"/>
        <v/>
      </c>
      <c r="M800" s="540">
        <f>IF(Inventory!N797="","",Inventory!N797)</f>
        <v>0</v>
      </c>
      <c r="N800" s="533" t="str">
        <f t="shared" si="282"/>
        <v/>
      </c>
      <c r="O800" s="534"/>
      <c r="P800" s="533" t="str">
        <f t="shared" si="283"/>
        <v/>
      </c>
      <c r="Q800" s="534" t="str">
        <f>IF(Inventory!L797="","",Inventory!L797)</f>
        <v/>
      </c>
      <c r="R800" s="535" t="str">
        <f t="shared" si="284"/>
        <v/>
      </c>
      <c r="S800" s="536" t="str">
        <f>IF(Inventory!O797="","",Inventory!O797)</f>
        <v/>
      </c>
      <c r="T800" s="541" t="str">
        <f>IFERROR(IF(C800="","",IF(INDEX(xyWattage_Table,MATCH(M800,'Fixture Identities'!$B$9:$B$997,0),2)="Exit Sign",8760,IF(VLOOKUP(C800,xySpace_Type_Details,8,FALSE)="TRM",INDEX('General Information'!$AF$17:$AG$28,11,MATCH(N800,'General Information'!$AF$16:$AG$16,0)),HLOOKUP(VLOOKUP(C800,xySpace_Type_Details,8,FALSE),'General Information'!$P$15:$AG$28,13,FALSE)))),"")</f>
        <v/>
      </c>
      <c r="U800" s="542" t="str">
        <f>IFERROR(IF(C800="","",IF(INDEX(xyWattage_Table,MATCH(M800,'Fixture Identities'!$B$9:$B$997,0),2)="Exit Sign",1,IF(VLOOKUP(C800,xySpace_Type_Details,8,FALSE)="TRM",INDEX('General Information'!$AF$17:$AG$28,12,MATCH(N800,'General Information'!$AF$16:$AG$16,0)),HLOOKUP(VLOOKUP(C800,xySpace_Type_Details,8,FALSE),'General Information'!$P$15:$AG$28,14,FALSE)))),"")</f>
        <v/>
      </c>
      <c r="V800" s="542" t="str">
        <f>IFERROR(VLOOKUP(INDEX(xySpace_Type_Details,MATCH($C800,'General Information'!$C$40:$C$60,0),12),Lookups!$L$8:$N$12,2,FALSE),"")</f>
        <v/>
      </c>
      <c r="W800" s="542" t="str">
        <f>IFERROR(VLOOKUP(INDEX(xySpace_Type_Details,MATCH($C800,'General Information'!$C$40:$C$60,0),12),Lookups!$L$8:$N$12,3,FALSE),"")</f>
        <v/>
      </c>
      <c r="Y800" s="542" t="str">
        <f>IFERROR(IF(C800="","",IF(INDEX(xyWattage_Table,MATCH(M800,'Fixture Identities'!$B$9:$B$997,0),2)="Exit Sign",0,IF(PRJ_Type="Retrofit",VLOOKUP(I800,xySVG_Factors,2,FALSE),IF(AND(PRJ_Type="New Construction",Inventory!C797="N"),VLOOKUP(VLOOKUP(Building_Type,xyLPD_BuildingArea,5,FALSE),xySVG_Factors_NC,3,FALSE),0)))),"")</f>
        <v/>
      </c>
      <c r="Z800" s="544" t="str">
        <f>IFERROR(IF(C800="","",IF(INDEX(xyWattage_Table,MATCH(M800,'Fixture Identities'!$B$9:$B$997,0),2)="Exit Sign",0,VLOOKUP(S800,xySVG_Factors,2,FALSE))),"")</f>
        <v/>
      </c>
      <c r="AA800" s="545" t="str">
        <f t="shared" si="285"/>
        <v/>
      </c>
      <c r="AB800" s="542" t="str">
        <f t="shared" si="286"/>
        <v/>
      </c>
      <c r="AC800" s="539" t="str">
        <f t="shared" si="287"/>
        <v/>
      </c>
      <c r="AD800" s="546" t="str">
        <f t="shared" si="288"/>
        <v/>
      </c>
      <c r="AE800" s="539" t="str">
        <f t="shared" si="289"/>
        <v/>
      </c>
      <c r="AF800" s="546" t="str">
        <f t="shared" si="290"/>
        <v/>
      </c>
      <c r="AG800" s="539" t="str">
        <f t="shared" si="291"/>
        <v/>
      </c>
      <c r="AH800" s="32">
        <f t="shared" si="293"/>
        <v>0</v>
      </c>
      <c r="AI800" s="32">
        <f t="shared" si="294"/>
        <v>0</v>
      </c>
      <c r="AJ800" s="32">
        <f t="shared" si="295"/>
        <v>0</v>
      </c>
      <c r="AK800" t="str">
        <f t="shared" si="296"/>
        <v/>
      </c>
      <c r="AL800" t="str">
        <f t="shared" si="297"/>
        <v/>
      </c>
      <c r="AM800" t="str">
        <f t="shared" si="298"/>
        <v/>
      </c>
      <c r="AO800" t="str">
        <f>IFERROR(VLOOKUP(M800,'Fixture Identities'!$B$9:$O$1045,14,FALSE),"")</f>
        <v/>
      </c>
      <c r="AP800" t="str">
        <f t="shared" si="292"/>
        <v/>
      </c>
    </row>
    <row r="801" spans="1:42">
      <c r="A801" s="71">
        <f t="shared" si="300"/>
        <v>0</v>
      </c>
      <c r="B801" s="513">
        <f t="shared" si="299"/>
        <v>789</v>
      </c>
      <c r="C801" s="530" t="str">
        <f>IF(Inventory!E798="","",Inventory!E798)</f>
        <v/>
      </c>
      <c r="D801" s="531">
        <f>IF(Inventory!D798="",0,Inventory!D798)</f>
        <v>0</v>
      </c>
      <c r="E801" s="532" t="str">
        <f>IF(Inventory!I798=0,"",Inventory!I798)</f>
        <v/>
      </c>
      <c r="F801" s="533" t="str">
        <f t="shared" si="279"/>
        <v/>
      </c>
      <c r="G801" s="534" t="str">
        <f>IF(Inventory!G798="","",Inventory!G798)</f>
        <v/>
      </c>
      <c r="H801" s="535" t="str">
        <f t="shared" si="280"/>
        <v/>
      </c>
      <c r="I801" s="536" t="str">
        <f>IF(Inventory!J798="","",Inventory!J798)</f>
        <v/>
      </c>
      <c r="J801" s="537" t="str">
        <f>IFERROR(IF(PRJ_Type="New Construction",IF(Inventory!C798="N",INDEX(xyLPD_BuildingArea,MATCH(Building_Type,Lookups!$F$37:$F$75,0),4),INDEX(xyLPD_SpaceBySpace,MATCH(INDEX(xyNCEx,MATCH(I801,yNCExArea,0),2),ySpace_by_Space_Type,0),2)),VLOOKUP(E801,xyWattage_Table,11,FALSE)),"")</f>
        <v/>
      </c>
      <c r="K801" s="538" t="str">
        <f>IFERROR(IF(AND(NC_Type="Building Area Method",Inventory!C798="N"),IF(ISERROR(INDEX('Usage Groups (&gt;120 MWh only)'!$N$8:$N$12,MATCH(C801,'Usage Groups (&gt;120 MWh only)'!$B$8:$B$12,0),1))=TRUE,SqFt/COUNTIFS(Inventory!$C$10:$C$1009,"N",$Q$13:$Q$1012,"&gt;=0"),INDEX('Usage Groups (&gt;120 MWh only)'!$N$8:$N$12,MATCH(C801,'Usage Groups (&gt;120 MWh only)'!$B$8:$B$12,0),1)/COUNTIF($C$13:$C$1012,C801)),IF(AND(NC_Type="Building Area Method",Inventory!C798="Y"),INDEX(xyNCEx,MATCH(I801,yNCExArea,0),3)/COUNTIF($I$13:$I$1012,I801),VLOOKUP(J801,xyWattage_Table,10,FALSE))),"")</f>
        <v/>
      </c>
      <c r="L801" s="539" t="str">
        <f t="shared" si="281"/>
        <v/>
      </c>
      <c r="M801" s="540">
        <f>IF(Inventory!N798="","",Inventory!N798)</f>
        <v>0</v>
      </c>
      <c r="N801" s="533" t="str">
        <f t="shared" si="282"/>
        <v/>
      </c>
      <c r="O801" s="534"/>
      <c r="P801" s="533" t="str">
        <f t="shared" si="283"/>
        <v/>
      </c>
      <c r="Q801" s="534" t="str">
        <f>IF(Inventory!L798="","",Inventory!L798)</f>
        <v/>
      </c>
      <c r="R801" s="535" t="str">
        <f t="shared" si="284"/>
        <v/>
      </c>
      <c r="S801" s="536" t="str">
        <f>IF(Inventory!O798="","",Inventory!O798)</f>
        <v/>
      </c>
      <c r="T801" s="541" t="str">
        <f>IFERROR(IF(C801="","",IF(INDEX(xyWattage_Table,MATCH(M801,'Fixture Identities'!$B$9:$B$997,0),2)="Exit Sign",8760,IF(VLOOKUP(C801,xySpace_Type_Details,8,FALSE)="TRM",INDEX('General Information'!$AF$17:$AG$28,11,MATCH(N801,'General Information'!$AF$16:$AG$16,0)),HLOOKUP(VLOOKUP(C801,xySpace_Type_Details,8,FALSE),'General Information'!$P$15:$AG$28,13,FALSE)))),"")</f>
        <v/>
      </c>
      <c r="U801" s="542" t="str">
        <f>IFERROR(IF(C801="","",IF(INDEX(xyWattage_Table,MATCH(M801,'Fixture Identities'!$B$9:$B$997,0),2)="Exit Sign",1,IF(VLOOKUP(C801,xySpace_Type_Details,8,FALSE)="TRM",INDEX('General Information'!$AF$17:$AG$28,12,MATCH(N801,'General Information'!$AF$16:$AG$16,0)),HLOOKUP(VLOOKUP(C801,xySpace_Type_Details,8,FALSE),'General Information'!$P$15:$AG$28,14,FALSE)))),"")</f>
        <v/>
      </c>
      <c r="V801" s="542" t="str">
        <f>IFERROR(VLOOKUP(INDEX(xySpace_Type_Details,MATCH($C801,'General Information'!$C$40:$C$60,0),12),Lookups!$L$8:$N$12,2,FALSE),"")</f>
        <v/>
      </c>
      <c r="W801" s="542" t="str">
        <f>IFERROR(VLOOKUP(INDEX(xySpace_Type_Details,MATCH($C801,'General Information'!$C$40:$C$60,0),12),Lookups!$L$8:$N$12,3,FALSE),"")</f>
        <v/>
      </c>
      <c r="Y801" s="542" t="str">
        <f>IFERROR(IF(C801="","",IF(INDEX(xyWattage_Table,MATCH(M801,'Fixture Identities'!$B$9:$B$997,0),2)="Exit Sign",0,IF(PRJ_Type="Retrofit",VLOOKUP(I801,xySVG_Factors,2,FALSE),IF(AND(PRJ_Type="New Construction",Inventory!C798="N"),VLOOKUP(VLOOKUP(Building_Type,xyLPD_BuildingArea,5,FALSE),xySVG_Factors_NC,3,FALSE),0)))),"")</f>
        <v/>
      </c>
      <c r="Z801" s="544" t="str">
        <f>IFERROR(IF(C801="","",IF(INDEX(xyWattage_Table,MATCH(M801,'Fixture Identities'!$B$9:$B$997,0),2)="Exit Sign",0,VLOOKUP(S801,xySVG_Factors,2,FALSE))),"")</f>
        <v/>
      </c>
      <c r="AA801" s="545" t="str">
        <f t="shared" si="285"/>
        <v/>
      </c>
      <c r="AB801" s="542" t="str">
        <f t="shared" si="286"/>
        <v/>
      </c>
      <c r="AC801" s="539" t="str">
        <f t="shared" si="287"/>
        <v/>
      </c>
      <c r="AD801" s="546" t="str">
        <f t="shared" si="288"/>
        <v/>
      </c>
      <c r="AE801" s="539" t="str">
        <f t="shared" si="289"/>
        <v/>
      </c>
      <c r="AF801" s="546" t="str">
        <f t="shared" si="290"/>
        <v/>
      </c>
      <c r="AG801" s="539" t="str">
        <f t="shared" si="291"/>
        <v/>
      </c>
      <c r="AH801" s="32">
        <f t="shared" si="293"/>
        <v>0</v>
      </c>
      <c r="AI801" s="32">
        <f t="shared" si="294"/>
        <v>0</v>
      </c>
      <c r="AJ801" s="32">
        <f t="shared" si="295"/>
        <v>0</v>
      </c>
      <c r="AK801" t="str">
        <f t="shared" si="296"/>
        <v/>
      </c>
      <c r="AL801" t="str">
        <f t="shared" si="297"/>
        <v/>
      </c>
      <c r="AM801" t="str">
        <f t="shared" si="298"/>
        <v/>
      </c>
      <c r="AO801" t="str">
        <f>IFERROR(VLOOKUP(M801,'Fixture Identities'!$B$9:$O$1045,14,FALSE),"")</f>
        <v/>
      </c>
      <c r="AP801" t="str">
        <f t="shared" si="292"/>
        <v/>
      </c>
    </row>
    <row r="802" spans="1:42">
      <c r="A802" s="71">
        <f t="shared" si="300"/>
        <v>0</v>
      </c>
      <c r="B802" s="513">
        <f t="shared" si="299"/>
        <v>790</v>
      </c>
      <c r="C802" s="530" t="str">
        <f>IF(Inventory!E799="","",Inventory!E799)</f>
        <v/>
      </c>
      <c r="D802" s="531">
        <f>IF(Inventory!D799="",0,Inventory!D799)</f>
        <v>0</v>
      </c>
      <c r="E802" s="532" t="str">
        <f>IF(Inventory!I799=0,"",Inventory!I799)</f>
        <v/>
      </c>
      <c r="F802" s="533" t="str">
        <f t="shared" si="279"/>
        <v/>
      </c>
      <c r="G802" s="534" t="str">
        <f>IF(Inventory!G799="","",Inventory!G799)</f>
        <v/>
      </c>
      <c r="H802" s="535" t="str">
        <f t="shared" si="280"/>
        <v/>
      </c>
      <c r="I802" s="536" t="str">
        <f>IF(Inventory!J799="","",Inventory!J799)</f>
        <v/>
      </c>
      <c r="J802" s="537" t="str">
        <f>IFERROR(IF(PRJ_Type="New Construction",IF(Inventory!C799="N",INDEX(xyLPD_BuildingArea,MATCH(Building_Type,Lookups!$F$37:$F$75,0),4),INDEX(xyLPD_SpaceBySpace,MATCH(INDEX(xyNCEx,MATCH(I802,yNCExArea,0),2),ySpace_by_Space_Type,0),2)),VLOOKUP(E802,xyWattage_Table,11,FALSE)),"")</f>
        <v/>
      </c>
      <c r="K802" s="538" t="str">
        <f>IFERROR(IF(AND(NC_Type="Building Area Method",Inventory!C799="N"),IF(ISERROR(INDEX('Usage Groups (&gt;120 MWh only)'!$N$8:$N$12,MATCH(C802,'Usage Groups (&gt;120 MWh only)'!$B$8:$B$12,0),1))=TRUE,SqFt/COUNTIFS(Inventory!$C$10:$C$1009,"N",$Q$13:$Q$1012,"&gt;=0"),INDEX('Usage Groups (&gt;120 MWh only)'!$N$8:$N$12,MATCH(C802,'Usage Groups (&gt;120 MWh only)'!$B$8:$B$12,0),1)/COUNTIF($C$13:$C$1012,C802)),IF(AND(NC_Type="Building Area Method",Inventory!C799="Y"),INDEX(xyNCEx,MATCH(I802,yNCExArea,0),3)/COUNTIF($I$13:$I$1012,I802),VLOOKUP(J802,xyWattage_Table,10,FALSE))),"")</f>
        <v/>
      </c>
      <c r="L802" s="539" t="str">
        <f t="shared" si="281"/>
        <v/>
      </c>
      <c r="M802" s="540">
        <f>IF(Inventory!N799="","",Inventory!N799)</f>
        <v>0</v>
      </c>
      <c r="N802" s="533" t="str">
        <f t="shared" si="282"/>
        <v/>
      </c>
      <c r="O802" s="534"/>
      <c r="P802" s="533" t="str">
        <f t="shared" si="283"/>
        <v/>
      </c>
      <c r="Q802" s="534" t="str">
        <f>IF(Inventory!L799="","",Inventory!L799)</f>
        <v/>
      </c>
      <c r="R802" s="535" t="str">
        <f t="shared" si="284"/>
        <v/>
      </c>
      <c r="S802" s="536" t="str">
        <f>IF(Inventory!O799="","",Inventory!O799)</f>
        <v/>
      </c>
      <c r="T802" s="541" t="str">
        <f>IFERROR(IF(C802="","",IF(INDEX(xyWattage_Table,MATCH(M802,'Fixture Identities'!$B$9:$B$997,0),2)="Exit Sign",8760,IF(VLOOKUP(C802,xySpace_Type_Details,8,FALSE)="TRM",INDEX('General Information'!$AF$17:$AG$28,11,MATCH(N802,'General Information'!$AF$16:$AG$16,0)),HLOOKUP(VLOOKUP(C802,xySpace_Type_Details,8,FALSE),'General Information'!$P$15:$AG$28,13,FALSE)))),"")</f>
        <v/>
      </c>
      <c r="U802" s="542" t="str">
        <f>IFERROR(IF(C802="","",IF(INDEX(xyWattage_Table,MATCH(M802,'Fixture Identities'!$B$9:$B$997,0),2)="Exit Sign",1,IF(VLOOKUP(C802,xySpace_Type_Details,8,FALSE)="TRM",INDEX('General Information'!$AF$17:$AG$28,12,MATCH(N802,'General Information'!$AF$16:$AG$16,0)),HLOOKUP(VLOOKUP(C802,xySpace_Type_Details,8,FALSE),'General Information'!$P$15:$AG$28,14,FALSE)))),"")</f>
        <v/>
      </c>
      <c r="V802" s="542" t="str">
        <f>IFERROR(VLOOKUP(INDEX(xySpace_Type_Details,MATCH($C802,'General Information'!$C$40:$C$60,0),12),Lookups!$L$8:$N$12,2,FALSE),"")</f>
        <v/>
      </c>
      <c r="W802" s="542" t="str">
        <f>IFERROR(VLOOKUP(INDEX(xySpace_Type_Details,MATCH($C802,'General Information'!$C$40:$C$60,0),12),Lookups!$L$8:$N$12,3,FALSE),"")</f>
        <v/>
      </c>
      <c r="Y802" s="542" t="str">
        <f>IFERROR(IF(C802="","",IF(INDEX(xyWattage_Table,MATCH(M802,'Fixture Identities'!$B$9:$B$997,0),2)="Exit Sign",0,IF(PRJ_Type="Retrofit",VLOOKUP(I802,xySVG_Factors,2,FALSE),IF(AND(PRJ_Type="New Construction",Inventory!C799="N"),VLOOKUP(VLOOKUP(Building_Type,xyLPD_BuildingArea,5,FALSE),xySVG_Factors_NC,3,FALSE),0)))),"")</f>
        <v/>
      </c>
      <c r="Z802" s="544" t="str">
        <f>IFERROR(IF(C802="","",IF(INDEX(xyWattage_Table,MATCH(M802,'Fixture Identities'!$B$9:$B$997,0),2)="Exit Sign",0,VLOOKUP(S802,xySVG_Factors,2,FALSE))),"")</f>
        <v/>
      </c>
      <c r="AA802" s="545" t="str">
        <f t="shared" si="285"/>
        <v/>
      </c>
      <c r="AB802" s="542" t="str">
        <f t="shared" si="286"/>
        <v/>
      </c>
      <c r="AC802" s="539" t="str">
        <f t="shared" si="287"/>
        <v/>
      </c>
      <c r="AD802" s="546" t="str">
        <f t="shared" si="288"/>
        <v/>
      </c>
      <c r="AE802" s="539" t="str">
        <f t="shared" si="289"/>
        <v/>
      </c>
      <c r="AF802" s="546" t="str">
        <f t="shared" si="290"/>
        <v/>
      </c>
      <c r="AG802" s="539" t="str">
        <f t="shared" si="291"/>
        <v/>
      </c>
      <c r="AH802" s="32">
        <f t="shared" si="293"/>
        <v>0</v>
      </c>
      <c r="AI802" s="32">
        <f t="shared" si="294"/>
        <v>0</v>
      </c>
      <c r="AJ802" s="32">
        <f t="shared" si="295"/>
        <v>0</v>
      </c>
      <c r="AK802" t="str">
        <f t="shared" si="296"/>
        <v/>
      </c>
      <c r="AL802" t="str">
        <f t="shared" si="297"/>
        <v/>
      </c>
      <c r="AM802" t="str">
        <f t="shared" si="298"/>
        <v/>
      </c>
      <c r="AO802" t="str">
        <f>IFERROR(VLOOKUP(M802,'Fixture Identities'!$B$9:$O$1045,14,FALSE),"")</f>
        <v/>
      </c>
      <c r="AP802" t="str">
        <f t="shared" si="292"/>
        <v/>
      </c>
    </row>
    <row r="803" spans="1:42">
      <c r="A803" s="71">
        <f t="shared" si="300"/>
        <v>0</v>
      </c>
      <c r="B803" s="513">
        <f t="shared" si="299"/>
        <v>791</v>
      </c>
      <c r="C803" s="530" t="str">
        <f>IF(Inventory!E800="","",Inventory!E800)</f>
        <v/>
      </c>
      <c r="D803" s="531">
        <f>IF(Inventory!D800="",0,Inventory!D800)</f>
        <v>0</v>
      </c>
      <c r="E803" s="532" t="str">
        <f>IF(Inventory!I800=0,"",Inventory!I800)</f>
        <v/>
      </c>
      <c r="F803" s="533" t="str">
        <f t="shared" si="279"/>
        <v/>
      </c>
      <c r="G803" s="534" t="str">
        <f>IF(Inventory!G800="","",Inventory!G800)</f>
        <v/>
      </c>
      <c r="H803" s="535" t="str">
        <f t="shared" si="280"/>
        <v/>
      </c>
      <c r="I803" s="536" t="str">
        <f>IF(Inventory!J800="","",Inventory!J800)</f>
        <v/>
      </c>
      <c r="J803" s="537" t="str">
        <f>IFERROR(IF(PRJ_Type="New Construction",IF(Inventory!C800="N",INDEX(xyLPD_BuildingArea,MATCH(Building_Type,Lookups!$F$37:$F$75,0),4),INDEX(xyLPD_SpaceBySpace,MATCH(INDEX(xyNCEx,MATCH(I803,yNCExArea,0),2),ySpace_by_Space_Type,0),2)),VLOOKUP(E803,xyWattage_Table,11,FALSE)),"")</f>
        <v/>
      </c>
      <c r="K803" s="538" t="str">
        <f>IFERROR(IF(AND(NC_Type="Building Area Method",Inventory!C800="N"),IF(ISERROR(INDEX('Usage Groups (&gt;120 MWh only)'!$N$8:$N$12,MATCH(C803,'Usage Groups (&gt;120 MWh only)'!$B$8:$B$12,0),1))=TRUE,SqFt/COUNTIFS(Inventory!$C$10:$C$1009,"N",$Q$13:$Q$1012,"&gt;=0"),INDEX('Usage Groups (&gt;120 MWh only)'!$N$8:$N$12,MATCH(C803,'Usage Groups (&gt;120 MWh only)'!$B$8:$B$12,0),1)/COUNTIF($C$13:$C$1012,C803)),IF(AND(NC_Type="Building Area Method",Inventory!C800="Y"),INDEX(xyNCEx,MATCH(I803,yNCExArea,0),3)/COUNTIF($I$13:$I$1012,I803),VLOOKUP(J803,xyWattage_Table,10,FALSE))),"")</f>
        <v/>
      </c>
      <c r="L803" s="539" t="str">
        <f t="shared" si="281"/>
        <v/>
      </c>
      <c r="M803" s="540">
        <f>IF(Inventory!N800="","",Inventory!N800)</f>
        <v>0</v>
      </c>
      <c r="N803" s="533" t="str">
        <f t="shared" si="282"/>
        <v/>
      </c>
      <c r="O803" s="534"/>
      <c r="P803" s="533" t="str">
        <f t="shared" si="283"/>
        <v/>
      </c>
      <c r="Q803" s="534" t="str">
        <f>IF(Inventory!L800="","",Inventory!L800)</f>
        <v/>
      </c>
      <c r="R803" s="535" t="str">
        <f t="shared" si="284"/>
        <v/>
      </c>
      <c r="S803" s="536" t="str">
        <f>IF(Inventory!O800="","",Inventory!O800)</f>
        <v/>
      </c>
      <c r="T803" s="541" t="str">
        <f>IFERROR(IF(C803="","",IF(INDEX(xyWattage_Table,MATCH(M803,'Fixture Identities'!$B$9:$B$997,0),2)="Exit Sign",8760,IF(VLOOKUP(C803,xySpace_Type_Details,8,FALSE)="TRM",INDEX('General Information'!$AF$17:$AG$28,11,MATCH(N803,'General Information'!$AF$16:$AG$16,0)),HLOOKUP(VLOOKUP(C803,xySpace_Type_Details,8,FALSE),'General Information'!$P$15:$AG$28,13,FALSE)))),"")</f>
        <v/>
      </c>
      <c r="U803" s="542" t="str">
        <f>IFERROR(IF(C803="","",IF(INDEX(xyWattage_Table,MATCH(M803,'Fixture Identities'!$B$9:$B$997,0),2)="Exit Sign",1,IF(VLOOKUP(C803,xySpace_Type_Details,8,FALSE)="TRM",INDEX('General Information'!$AF$17:$AG$28,12,MATCH(N803,'General Information'!$AF$16:$AG$16,0)),HLOOKUP(VLOOKUP(C803,xySpace_Type_Details,8,FALSE),'General Information'!$P$15:$AG$28,14,FALSE)))),"")</f>
        <v/>
      </c>
      <c r="V803" s="542" t="str">
        <f>IFERROR(VLOOKUP(INDEX(xySpace_Type_Details,MATCH($C803,'General Information'!$C$40:$C$60,0),12),Lookups!$L$8:$N$12,2,FALSE),"")</f>
        <v/>
      </c>
      <c r="W803" s="542" t="str">
        <f>IFERROR(VLOOKUP(INDEX(xySpace_Type_Details,MATCH($C803,'General Information'!$C$40:$C$60,0),12),Lookups!$L$8:$N$12,3,FALSE),"")</f>
        <v/>
      </c>
      <c r="Y803" s="542" t="str">
        <f>IFERROR(IF(C803="","",IF(INDEX(xyWattage_Table,MATCH(M803,'Fixture Identities'!$B$9:$B$997,0),2)="Exit Sign",0,IF(PRJ_Type="Retrofit",VLOOKUP(I803,xySVG_Factors,2,FALSE),IF(AND(PRJ_Type="New Construction",Inventory!C800="N"),VLOOKUP(VLOOKUP(Building_Type,xyLPD_BuildingArea,5,FALSE),xySVG_Factors_NC,3,FALSE),0)))),"")</f>
        <v/>
      </c>
      <c r="Z803" s="544" t="str">
        <f>IFERROR(IF(C803="","",IF(INDEX(xyWattage_Table,MATCH(M803,'Fixture Identities'!$B$9:$B$997,0),2)="Exit Sign",0,VLOOKUP(S803,xySVG_Factors,2,FALSE))),"")</f>
        <v/>
      </c>
      <c r="AA803" s="545" t="str">
        <f t="shared" si="285"/>
        <v/>
      </c>
      <c r="AB803" s="542" t="str">
        <f t="shared" si="286"/>
        <v/>
      </c>
      <c r="AC803" s="539" t="str">
        <f t="shared" si="287"/>
        <v/>
      </c>
      <c r="AD803" s="546" t="str">
        <f t="shared" si="288"/>
        <v/>
      </c>
      <c r="AE803" s="539" t="str">
        <f t="shared" si="289"/>
        <v/>
      </c>
      <c r="AF803" s="546" t="str">
        <f t="shared" si="290"/>
        <v/>
      </c>
      <c r="AG803" s="539" t="str">
        <f t="shared" si="291"/>
        <v/>
      </c>
      <c r="AH803" s="32">
        <f t="shared" si="293"/>
        <v>0</v>
      </c>
      <c r="AI803" s="32">
        <f t="shared" si="294"/>
        <v>0</v>
      </c>
      <c r="AJ803" s="32">
        <f t="shared" si="295"/>
        <v>0</v>
      </c>
      <c r="AK803" t="str">
        <f t="shared" si="296"/>
        <v/>
      </c>
      <c r="AL803" t="str">
        <f t="shared" si="297"/>
        <v/>
      </c>
      <c r="AM803" t="str">
        <f t="shared" si="298"/>
        <v/>
      </c>
      <c r="AO803" t="str">
        <f>IFERROR(VLOOKUP(M803,'Fixture Identities'!$B$9:$O$1045,14,FALSE),"")</f>
        <v/>
      </c>
      <c r="AP803" t="str">
        <f t="shared" si="292"/>
        <v/>
      </c>
    </row>
    <row r="804" spans="1:42">
      <c r="A804" s="71">
        <f t="shared" si="300"/>
        <v>0</v>
      </c>
      <c r="B804" s="513">
        <f t="shared" si="299"/>
        <v>792</v>
      </c>
      <c r="C804" s="530" t="str">
        <f>IF(Inventory!E801="","",Inventory!E801)</f>
        <v/>
      </c>
      <c r="D804" s="531">
        <f>IF(Inventory!D801="",0,Inventory!D801)</f>
        <v>0</v>
      </c>
      <c r="E804" s="532" t="str">
        <f>IF(Inventory!I801=0,"",Inventory!I801)</f>
        <v/>
      </c>
      <c r="F804" s="533" t="str">
        <f t="shared" si="279"/>
        <v/>
      </c>
      <c r="G804" s="534" t="str">
        <f>IF(Inventory!G801="","",Inventory!G801)</f>
        <v/>
      </c>
      <c r="H804" s="535" t="str">
        <f t="shared" si="280"/>
        <v/>
      </c>
      <c r="I804" s="536" t="str">
        <f>IF(Inventory!J801="","",Inventory!J801)</f>
        <v/>
      </c>
      <c r="J804" s="537" t="str">
        <f>IFERROR(IF(PRJ_Type="New Construction",IF(Inventory!C801="N",INDEX(xyLPD_BuildingArea,MATCH(Building_Type,Lookups!$F$37:$F$75,0),4),INDEX(xyLPD_SpaceBySpace,MATCH(INDEX(xyNCEx,MATCH(I804,yNCExArea,0),2),ySpace_by_Space_Type,0),2)),VLOOKUP(E804,xyWattage_Table,11,FALSE)),"")</f>
        <v/>
      </c>
      <c r="K804" s="538" t="str">
        <f>IFERROR(IF(AND(NC_Type="Building Area Method",Inventory!C801="N"),IF(ISERROR(INDEX('Usage Groups (&gt;120 MWh only)'!$N$8:$N$12,MATCH(C804,'Usage Groups (&gt;120 MWh only)'!$B$8:$B$12,0),1))=TRUE,SqFt/COUNTIFS(Inventory!$C$10:$C$1009,"N",$Q$13:$Q$1012,"&gt;=0"),INDEX('Usage Groups (&gt;120 MWh only)'!$N$8:$N$12,MATCH(C804,'Usage Groups (&gt;120 MWh only)'!$B$8:$B$12,0),1)/COUNTIF($C$13:$C$1012,C804)),IF(AND(NC_Type="Building Area Method",Inventory!C801="Y"),INDEX(xyNCEx,MATCH(I804,yNCExArea,0),3)/COUNTIF($I$13:$I$1012,I804),VLOOKUP(J804,xyWattage_Table,10,FALSE))),"")</f>
        <v/>
      </c>
      <c r="L804" s="539" t="str">
        <f t="shared" si="281"/>
        <v/>
      </c>
      <c r="M804" s="540">
        <f>IF(Inventory!N801="","",Inventory!N801)</f>
        <v>0</v>
      </c>
      <c r="N804" s="533" t="str">
        <f t="shared" si="282"/>
        <v/>
      </c>
      <c r="O804" s="534"/>
      <c r="P804" s="533" t="str">
        <f t="shared" si="283"/>
        <v/>
      </c>
      <c r="Q804" s="534" t="str">
        <f>IF(Inventory!L801="","",Inventory!L801)</f>
        <v/>
      </c>
      <c r="R804" s="535" t="str">
        <f t="shared" si="284"/>
        <v/>
      </c>
      <c r="S804" s="536" t="str">
        <f>IF(Inventory!O801="","",Inventory!O801)</f>
        <v/>
      </c>
      <c r="T804" s="541" t="str">
        <f>IFERROR(IF(C804="","",IF(INDEX(xyWattage_Table,MATCH(M804,'Fixture Identities'!$B$9:$B$997,0),2)="Exit Sign",8760,IF(VLOOKUP(C804,xySpace_Type_Details,8,FALSE)="TRM",INDEX('General Information'!$AF$17:$AG$28,11,MATCH(N804,'General Information'!$AF$16:$AG$16,0)),HLOOKUP(VLOOKUP(C804,xySpace_Type_Details,8,FALSE),'General Information'!$P$15:$AG$28,13,FALSE)))),"")</f>
        <v/>
      </c>
      <c r="U804" s="542" t="str">
        <f>IFERROR(IF(C804="","",IF(INDEX(xyWattage_Table,MATCH(M804,'Fixture Identities'!$B$9:$B$997,0),2)="Exit Sign",1,IF(VLOOKUP(C804,xySpace_Type_Details,8,FALSE)="TRM",INDEX('General Information'!$AF$17:$AG$28,12,MATCH(N804,'General Information'!$AF$16:$AG$16,0)),HLOOKUP(VLOOKUP(C804,xySpace_Type_Details,8,FALSE),'General Information'!$P$15:$AG$28,14,FALSE)))),"")</f>
        <v/>
      </c>
      <c r="V804" s="542" t="str">
        <f>IFERROR(VLOOKUP(INDEX(xySpace_Type_Details,MATCH($C804,'General Information'!$C$40:$C$60,0),12),Lookups!$L$8:$N$12,2,FALSE),"")</f>
        <v/>
      </c>
      <c r="W804" s="542" t="str">
        <f>IFERROR(VLOOKUP(INDEX(xySpace_Type_Details,MATCH($C804,'General Information'!$C$40:$C$60,0),12),Lookups!$L$8:$N$12,3,FALSE),"")</f>
        <v/>
      </c>
      <c r="Y804" s="542" t="str">
        <f>IFERROR(IF(C804="","",IF(INDEX(xyWattage_Table,MATCH(M804,'Fixture Identities'!$B$9:$B$997,0),2)="Exit Sign",0,IF(PRJ_Type="Retrofit",VLOOKUP(I804,xySVG_Factors,2,FALSE),IF(AND(PRJ_Type="New Construction",Inventory!C801="N"),VLOOKUP(VLOOKUP(Building_Type,xyLPD_BuildingArea,5,FALSE),xySVG_Factors_NC,3,FALSE),0)))),"")</f>
        <v/>
      </c>
      <c r="Z804" s="544" t="str">
        <f>IFERROR(IF(C804="","",IF(INDEX(xyWattage_Table,MATCH(M804,'Fixture Identities'!$B$9:$B$997,0),2)="Exit Sign",0,VLOOKUP(S804,xySVG_Factors,2,FALSE))),"")</f>
        <v/>
      </c>
      <c r="AA804" s="545" t="str">
        <f t="shared" si="285"/>
        <v/>
      </c>
      <c r="AB804" s="542" t="str">
        <f t="shared" si="286"/>
        <v/>
      </c>
      <c r="AC804" s="539" t="str">
        <f t="shared" si="287"/>
        <v/>
      </c>
      <c r="AD804" s="546" t="str">
        <f t="shared" si="288"/>
        <v/>
      </c>
      <c r="AE804" s="539" t="str">
        <f t="shared" si="289"/>
        <v/>
      </c>
      <c r="AF804" s="546" t="str">
        <f t="shared" si="290"/>
        <v/>
      </c>
      <c r="AG804" s="539" t="str">
        <f t="shared" si="291"/>
        <v/>
      </c>
      <c r="AH804" s="32">
        <f t="shared" si="293"/>
        <v>0</v>
      </c>
      <c r="AI804" s="32">
        <f t="shared" si="294"/>
        <v>0</v>
      </c>
      <c r="AJ804" s="32">
        <f t="shared" si="295"/>
        <v>0</v>
      </c>
      <c r="AK804" t="str">
        <f t="shared" si="296"/>
        <v/>
      </c>
      <c r="AL804" t="str">
        <f t="shared" si="297"/>
        <v/>
      </c>
      <c r="AM804" t="str">
        <f t="shared" si="298"/>
        <v/>
      </c>
      <c r="AO804" t="str">
        <f>IFERROR(VLOOKUP(M804,'Fixture Identities'!$B$9:$O$1045,14,FALSE),"")</f>
        <v/>
      </c>
      <c r="AP804" t="str">
        <f t="shared" si="292"/>
        <v/>
      </c>
    </row>
    <row r="805" spans="1:42">
      <c r="A805" s="71">
        <f t="shared" si="300"/>
        <v>0</v>
      </c>
      <c r="B805" s="513">
        <f t="shared" si="299"/>
        <v>793</v>
      </c>
      <c r="C805" s="530" t="str">
        <f>IF(Inventory!E802="","",Inventory!E802)</f>
        <v/>
      </c>
      <c r="D805" s="531">
        <f>IF(Inventory!D802="",0,Inventory!D802)</f>
        <v>0</v>
      </c>
      <c r="E805" s="532" t="str">
        <f>IF(Inventory!I802=0,"",Inventory!I802)</f>
        <v/>
      </c>
      <c r="F805" s="533" t="str">
        <f t="shared" si="279"/>
        <v/>
      </c>
      <c r="G805" s="534" t="str">
        <f>IF(Inventory!G802="","",Inventory!G802)</f>
        <v/>
      </c>
      <c r="H805" s="535" t="str">
        <f t="shared" si="280"/>
        <v/>
      </c>
      <c r="I805" s="536" t="str">
        <f>IF(Inventory!J802="","",Inventory!J802)</f>
        <v/>
      </c>
      <c r="J805" s="537" t="str">
        <f>IFERROR(IF(PRJ_Type="New Construction",IF(Inventory!C802="N",INDEX(xyLPD_BuildingArea,MATCH(Building_Type,Lookups!$F$37:$F$75,0),4),INDEX(xyLPD_SpaceBySpace,MATCH(INDEX(xyNCEx,MATCH(I805,yNCExArea,0),2),ySpace_by_Space_Type,0),2)),VLOOKUP(E805,xyWattage_Table,11,FALSE)),"")</f>
        <v/>
      </c>
      <c r="K805" s="538" t="str">
        <f>IFERROR(IF(AND(NC_Type="Building Area Method",Inventory!C802="N"),IF(ISERROR(INDEX('Usage Groups (&gt;120 MWh only)'!$N$8:$N$12,MATCH(C805,'Usage Groups (&gt;120 MWh only)'!$B$8:$B$12,0),1))=TRUE,SqFt/COUNTIFS(Inventory!$C$10:$C$1009,"N",$Q$13:$Q$1012,"&gt;=0"),INDEX('Usage Groups (&gt;120 MWh only)'!$N$8:$N$12,MATCH(C805,'Usage Groups (&gt;120 MWh only)'!$B$8:$B$12,0),1)/COUNTIF($C$13:$C$1012,C805)),IF(AND(NC_Type="Building Area Method",Inventory!C802="Y"),INDEX(xyNCEx,MATCH(I805,yNCExArea,0),3)/COUNTIF($I$13:$I$1012,I805),VLOOKUP(J805,xyWattage_Table,10,FALSE))),"")</f>
        <v/>
      </c>
      <c r="L805" s="539" t="str">
        <f t="shared" si="281"/>
        <v/>
      </c>
      <c r="M805" s="540">
        <f>IF(Inventory!N802="","",Inventory!N802)</f>
        <v>0</v>
      </c>
      <c r="N805" s="533" t="str">
        <f t="shared" si="282"/>
        <v/>
      </c>
      <c r="O805" s="534"/>
      <c r="P805" s="533" t="str">
        <f t="shared" si="283"/>
        <v/>
      </c>
      <c r="Q805" s="534" t="str">
        <f>IF(Inventory!L802="","",Inventory!L802)</f>
        <v/>
      </c>
      <c r="R805" s="535" t="str">
        <f t="shared" si="284"/>
        <v/>
      </c>
      <c r="S805" s="536" t="str">
        <f>IF(Inventory!O802="","",Inventory!O802)</f>
        <v/>
      </c>
      <c r="T805" s="541" t="str">
        <f>IFERROR(IF(C805="","",IF(INDEX(xyWattage_Table,MATCH(M805,'Fixture Identities'!$B$9:$B$997,0),2)="Exit Sign",8760,IF(VLOOKUP(C805,xySpace_Type_Details,8,FALSE)="TRM",INDEX('General Information'!$AF$17:$AG$28,11,MATCH(N805,'General Information'!$AF$16:$AG$16,0)),HLOOKUP(VLOOKUP(C805,xySpace_Type_Details,8,FALSE),'General Information'!$P$15:$AG$28,13,FALSE)))),"")</f>
        <v/>
      </c>
      <c r="U805" s="542" t="str">
        <f>IFERROR(IF(C805="","",IF(INDEX(xyWattage_Table,MATCH(M805,'Fixture Identities'!$B$9:$B$997,0),2)="Exit Sign",1,IF(VLOOKUP(C805,xySpace_Type_Details,8,FALSE)="TRM",INDEX('General Information'!$AF$17:$AG$28,12,MATCH(N805,'General Information'!$AF$16:$AG$16,0)),HLOOKUP(VLOOKUP(C805,xySpace_Type_Details,8,FALSE),'General Information'!$P$15:$AG$28,14,FALSE)))),"")</f>
        <v/>
      </c>
      <c r="V805" s="542" t="str">
        <f>IFERROR(VLOOKUP(INDEX(xySpace_Type_Details,MATCH($C805,'General Information'!$C$40:$C$60,0),12),Lookups!$L$8:$N$12,2,FALSE),"")</f>
        <v/>
      </c>
      <c r="W805" s="542" t="str">
        <f>IFERROR(VLOOKUP(INDEX(xySpace_Type_Details,MATCH($C805,'General Information'!$C$40:$C$60,0),12),Lookups!$L$8:$N$12,3,FALSE),"")</f>
        <v/>
      </c>
      <c r="Y805" s="542" t="str">
        <f>IFERROR(IF(C805="","",IF(INDEX(xyWattage_Table,MATCH(M805,'Fixture Identities'!$B$9:$B$997,0),2)="Exit Sign",0,IF(PRJ_Type="Retrofit",VLOOKUP(I805,xySVG_Factors,2,FALSE),IF(AND(PRJ_Type="New Construction",Inventory!C802="N"),VLOOKUP(VLOOKUP(Building_Type,xyLPD_BuildingArea,5,FALSE),xySVG_Factors_NC,3,FALSE),0)))),"")</f>
        <v/>
      </c>
      <c r="Z805" s="544" t="str">
        <f>IFERROR(IF(C805="","",IF(INDEX(xyWattage_Table,MATCH(M805,'Fixture Identities'!$B$9:$B$997,0),2)="Exit Sign",0,VLOOKUP(S805,xySVG_Factors,2,FALSE))),"")</f>
        <v/>
      </c>
      <c r="AA805" s="545" t="str">
        <f t="shared" si="285"/>
        <v/>
      </c>
      <c r="AB805" s="542" t="str">
        <f t="shared" si="286"/>
        <v/>
      </c>
      <c r="AC805" s="539" t="str">
        <f t="shared" si="287"/>
        <v/>
      </c>
      <c r="AD805" s="546" t="str">
        <f t="shared" si="288"/>
        <v/>
      </c>
      <c r="AE805" s="539" t="str">
        <f t="shared" si="289"/>
        <v/>
      </c>
      <c r="AF805" s="546" t="str">
        <f t="shared" si="290"/>
        <v/>
      </c>
      <c r="AG805" s="539" t="str">
        <f t="shared" si="291"/>
        <v/>
      </c>
      <c r="AH805" s="32">
        <f t="shared" si="293"/>
        <v>0</v>
      </c>
      <c r="AI805" s="32">
        <f t="shared" si="294"/>
        <v>0</v>
      </c>
      <c r="AJ805" s="32">
        <f t="shared" si="295"/>
        <v>0</v>
      </c>
      <c r="AK805" t="str">
        <f t="shared" si="296"/>
        <v/>
      </c>
      <c r="AL805" t="str">
        <f t="shared" si="297"/>
        <v/>
      </c>
      <c r="AM805" t="str">
        <f t="shared" si="298"/>
        <v/>
      </c>
      <c r="AO805" t="str">
        <f>IFERROR(VLOOKUP(M805,'Fixture Identities'!$B$9:$O$1045,14,FALSE),"")</f>
        <v/>
      </c>
      <c r="AP805" t="str">
        <f t="shared" si="292"/>
        <v/>
      </c>
    </row>
    <row r="806" spans="1:42">
      <c r="A806" s="71">
        <f t="shared" si="300"/>
        <v>0</v>
      </c>
      <c r="B806" s="513">
        <f t="shared" si="299"/>
        <v>794</v>
      </c>
      <c r="C806" s="530" t="str">
        <f>IF(Inventory!E803="","",Inventory!E803)</f>
        <v/>
      </c>
      <c r="D806" s="531">
        <f>IF(Inventory!D803="",0,Inventory!D803)</f>
        <v>0</v>
      </c>
      <c r="E806" s="532" t="str">
        <f>IF(Inventory!I803=0,"",Inventory!I803)</f>
        <v/>
      </c>
      <c r="F806" s="533" t="str">
        <f t="shared" si="279"/>
        <v/>
      </c>
      <c r="G806" s="534" t="str">
        <f>IF(Inventory!G803="","",Inventory!G803)</f>
        <v/>
      </c>
      <c r="H806" s="535" t="str">
        <f t="shared" si="280"/>
        <v/>
      </c>
      <c r="I806" s="536" t="str">
        <f>IF(Inventory!J803="","",Inventory!J803)</f>
        <v/>
      </c>
      <c r="J806" s="537" t="str">
        <f>IFERROR(IF(PRJ_Type="New Construction",IF(Inventory!C803="N",INDEX(xyLPD_BuildingArea,MATCH(Building_Type,Lookups!$F$37:$F$75,0),4),INDEX(xyLPD_SpaceBySpace,MATCH(INDEX(xyNCEx,MATCH(I806,yNCExArea,0),2),ySpace_by_Space_Type,0),2)),VLOOKUP(E806,xyWattage_Table,11,FALSE)),"")</f>
        <v/>
      </c>
      <c r="K806" s="538" t="str">
        <f>IFERROR(IF(AND(NC_Type="Building Area Method",Inventory!C803="N"),IF(ISERROR(INDEX('Usage Groups (&gt;120 MWh only)'!$N$8:$N$12,MATCH(C806,'Usage Groups (&gt;120 MWh only)'!$B$8:$B$12,0),1))=TRUE,SqFt/COUNTIFS(Inventory!$C$10:$C$1009,"N",$Q$13:$Q$1012,"&gt;=0"),INDEX('Usage Groups (&gt;120 MWh only)'!$N$8:$N$12,MATCH(C806,'Usage Groups (&gt;120 MWh only)'!$B$8:$B$12,0),1)/COUNTIF($C$13:$C$1012,C806)),IF(AND(NC_Type="Building Area Method",Inventory!C803="Y"),INDEX(xyNCEx,MATCH(I806,yNCExArea,0),3)/COUNTIF($I$13:$I$1012,I806),VLOOKUP(J806,xyWattage_Table,10,FALSE))),"")</f>
        <v/>
      </c>
      <c r="L806" s="539" t="str">
        <f t="shared" si="281"/>
        <v/>
      </c>
      <c r="M806" s="540">
        <f>IF(Inventory!N803="","",Inventory!N803)</f>
        <v>0</v>
      </c>
      <c r="N806" s="533" t="str">
        <f t="shared" si="282"/>
        <v/>
      </c>
      <c r="O806" s="534"/>
      <c r="P806" s="533" t="str">
        <f t="shared" si="283"/>
        <v/>
      </c>
      <c r="Q806" s="534" t="str">
        <f>IF(Inventory!L803="","",Inventory!L803)</f>
        <v/>
      </c>
      <c r="R806" s="535" t="str">
        <f t="shared" si="284"/>
        <v/>
      </c>
      <c r="S806" s="536" t="str">
        <f>IF(Inventory!O803="","",Inventory!O803)</f>
        <v/>
      </c>
      <c r="T806" s="541" t="str">
        <f>IFERROR(IF(C806="","",IF(INDEX(xyWattage_Table,MATCH(M806,'Fixture Identities'!$B$9:$B$997,0),2)="Exit Sign",8760,IF(VLOOKUP(C806,xySpace_Type_Details,8,FALSE)="TRM",INDEX('General Information'!$AF$17:$AG$28,11,MATCH(N806,'General Information'!$AF$16:$AG$16,0)),HLOOKUP(VLOOKUP(C806,xySpace_Type_Details,8,FALSE),'General Information'!$P$15:$AG$28,13,FALSE)))),"")</f>
        <v/>
      </c>
      <c r="U806" s="542" t="str">
        <f>IFERROR(IF(C806="","",IF(INDEX(xyWattage_Table,MATCH(M806,'Fixture Identities'!$B$9:$B$997,0),2)="Exit Sign",1,IF(VLOOKUP(C806,xySpace_Type_Details,8,FALSE)="TRM",INDEX('General Information'!$AF$17:$AG$28,12,MATCH(N806,'General Information'!$AF$16:$AG$16,0)),HLOOKUP(VLOOKUP(C806,xySpace_Type_Details,8,FALSE),'General Information'!$P$15:$AG$28,14,FALSE)))),"")</f>
        <v/>
      </c>
      <c r="V806" s="542" t="str">
        <f>IFERROR(VLOOKUP(INDEX(xySpace_Type_Details,MATCH($C806,'General Information'!$C$40:$C$60,0),12),Lookups!$L$8:$N$12,2,FALSE),"")</f>
        <v/>
      </c>
      <c r="W806" s="542" t="str">
        <f>IFERROR(VLOOKUP(INDEX(xySpace_Type_Details,MATCH($C806,'General Information'!$C$40:$C$60,0),12),Lookups!$L$8:$N$12,3,FALSE),"")</f>
        <v/>
      </c>
      <c r="Y806" s="542" t="str">
        <f>IFERROR(IF(C806="","",IF(INDEX(xyWattage_Table,MATCH(M806,'Fixture Identities'!$B$9:$B$997,0),2)="Exit Sign",0,IF(PRJ_Type="Retrofit",VLOOKUP(I806,xySVG_Factors,2,FALSE),IF(AND(PRJ_Type="New Construction",Inventory!C803="N"),VLOOKUP(VLOOKUP(Building_Type,xyLPD_BuildingArea,5,FALSE),xySVG_Factors_NC,3,FALSE),0)))),"")</f>
        <v/>
      </c>
      <c r="Z806" s="544" t="str">
        <f>IFERROR(IF(C806="","",IF(INDEX(xyWattage_Table,MATCH(M806,'Fixture Identities'!$B$9:$B$997,0),2)="Exit Sign",0,VLOOKUP(S806,xySVG_Factors,2,FALSE))),"")</f>
        <v/>
      </c>
      <c r="AA806" s="545" t="str">
        <f t="shared" si="285"/>
        <v/>
      </c>
      <c r="AB806" s="542" t="str">
        <f t="shared" si="286"/>
        <v/>
      </c>
      <c r="AC806" s="539" t="str">
        <f t="shared" si="287"/>
        <v/>
      </c>
      <c r="AD806" s="546" t="str">
        <f t="shared" si="288"/>
        <v/>
      </c>
      <c r="AE806" s="539" t="str">
        <f t="shared" si="289"/>
        <v/>
      </c>
      <c r="AF806" s="546" t="str">
        <f t="shared" si="290"/>
        <v/>
      </c>
      <c r="AG806" s="539" t="str">
        <f t="shared" si="291"/>
        <v/>
      </c>
      <c r="AH806" s="32">
        <f t="shared" si="293"/>
        <v>0</v>
      </c>
      <c r="AI806" s="32">
        <f t="shared" si="294"/>
        <v>0</v>
      </c>
      <c r="AJ806" s="32">
        <f t="shared" si="295"/>
        <v>0</v>
      </c>
      <c r="AK806" t="str">
        <f t="shared" si="296"/>
        <v/>
      </c>
      <c r="AL806" t="str">
        <f t="shared" si="297"/>
        <v/>
      </c>
      <c r="AM806" t="str">
        <f t="shared" si="298"/>
        <v/>
      </c>
      <c r="AO806" t="str">
        <f>IFERROR(VLOOKUP(M806,'Fixture Identities'!$B$9:$O$1045,14,FALSE),"")</f>
        <v/>
      </c>
      <c r="AP806" t="str">
        <f t="shared" si="292"/>
        <v/>
      </c>
    </row>
    <row r="807" spans="1:42">
      <c r="A807" s="71">
        <f t="shared" si="300"/>
        <v>0</v>
      </c>
      <c r="B807" s="513">
        <f t="shared" si="299"/>
        <v>795</v>
      </c>
      <c r="C807" s="530" t="str">
        <f>IF(Inventory!E804="","",Inventory!E804)</f>
        <v/>
      </c>
      <c r="D807" s="531">
        <f>IF(Inventory!D804="",0,Inventory!D804)</f>
        <v>0</v>
      </c>
      <c r="E807" s="532" t="str">
        <f>IF(Inventory!I804=0,"",Inventory!I804)</f>
        <v/>
      </c>
      <c r="F807" s="533" t="str">
        <f t="shared" si="279"/>
        <v/>
      </c>
      <c r="G807" s="534" t="str">
        <f>IF(Inventory!G804="","",Inventory!G804)</f>
        <v/>
      </c>
      <c r="H807" s="535" t="str">
        <f t="shared" si="280"/>
        <v/>
      </c>
      <c r="I807" s="536" t="str">
        <f>IF(Inventory!J804="","",Inventory!J804)</f>
        <v/>
      </c>
      <c r="J807" s="537" t="str">
        <f>IFERROR(IF(PRJ_Type="New Construction",IF(Inventory!C804="N",INDEX(xyLPD_BuildingArea,MATCH(Building_Type,Lookups!$F$37:$F$75,0),4),INDEX(xyLPD_SpaceBySpace,MATCH(INDEX(xyNCEx,MATCH(I807,yNCExArea,0),2),ySpace_by_Space_Type,0),2)),VLOOKUP(E807,xyWattage_Table,11,FALSE)),"")</f>
        <v/>
      </c>
      <c r="K807" s="538" t="str">
        <f>IFERROR(IF(AND(NC_Type="Building Area Method",Inventory!C804="N"),IF(ISERROR(INDEX('Usage Groups (&gt;120 MWh only)'!$N$8:$N$12,MATCH(C807,'Usage Groups (&gt;120 MWh only)'!$B$8:$B$12,0),1))=TRUE,SqFt/COUNTIFS(Inventory!$C$10:$C$1009,"N",$Q$13:$Q$1012,"&gt;=0"),INDEX('Usage Groups (&gt;120 MWh only)'!$N$8:$N$12,MATCH(C807,'Usage Groups (&gt;120 MWh only)'!$B$8:$B$12,0),1)/COUNTIF($C$13:$C$1012,C807)),IF(AND(NC_Type="Building Area Method",Inventory!C804="Y"),INDEX(xyNCEx,MATCH(I807,yNCExArea,0),3)/COUNTIF($I$13:$I$1012,I807),VLOOKUP(J807,xyWattage_Table,10,FALSE))),"")</f>
        <v/>
      </c>
      <c r="L807" s="539" t="str">
        <f t="shared" si="281"/>
        <v/>
      </c>
      <c r="M807" s="540">
        <f>IF(Inventory!N804="","",Inventory!N804)</f>
        <v>0</v>
      </c>
      <c r="N807" s="533" t="str">
        <f t="shared" si="282"/>
        <v/>
      </c>
      <c r="O807" s="534"/>
      <c r="P807" s="533" t="str">
        <f t="shared" si="283"/>
        <v/>
      </c>
      <c r="Q807" s="534" t="str">
        <f>IF(Inventory!L804="","",Inventory!L804)</f>
        <v/>
      </c>
      <c r="R807" s="535" t="str">
        <f t="shared" si="284"/>
        <v/>
      </c>
      <c r="S807" s="536" t="str">
        <f>IF(Inventory!O804="","",Inventory!O804)</f>
        <v/>
      </c>
      <c r="T807" s="541" t="str">
        <f>IFERROR(IF(C807="","",IF(INDEX(xyWattage_Table,MATCH(M807,'Fixture Identities'!$B$9:$B$997,0),2)="Exit Sign",8760,IF(VLOOKUP(C807,xySpace_Type_Details,8,FALSE)="TRM",INDEX('General Information'!$AF$17:$AG$28,11,MATCH(N807,'General Information'!$AF$16:$AG$16,0)),HLOOKUP(VLOOKUP(C807,xySpace_Type_Details,8,FALSE),'General Information'!$P$15:$AG$28,13,FALSE)))),"")</f>
        <v/>
      </c>
      <c r="U807" s="542" t="str">
        <f>IFERROR(IF(C807="","",IF(INDEX(xyWattage_Table,MATCH(M807,'Fixture Identities'!$B$9:$B$997,0),2)="Exit Sign",1,IF(VLOOKUP(C807,xySpace_Type_Details,8,FALSE)="TRM",INDEX('General Information'!$AF$17:$AG$28,12,MATCH(N807,'General Information'!$AF$16:$AG$16,0)),HLOOKUP(VLOOKUP(C807,xySpace_Type_Details,8,FALSE),'General Information'!$P$15:$AG$28,14,FALSE)))),"")</f>
        <v/>
      </c>
      <c r="V807" s="542" t="str">
        <f>IFERROR(VLOOKUP(INDEX(xySpace_Type_Details,MATCH($C807,'General Information'!$C$40:$C$60,0),12),Lookups!$L$8:$N$12,2,FALSE),"")</f>
        <v/>
      </c>
      <c r="W807" s="542" t="str">
        <f>IFERROR(VLOOKUP(INDEX(xySpace_Type_Details,MATCH($C807,'General Information'!$C$40:$C$60,0),12),Lookups!$L$8:$N$12,3,FALSE),"")</f>
        <v/>
      </c>
      <c r="Y807" s="542" t="str">
        <f>IFERROR(IF(C807="","",IF(INDEX(xyWattage_Table,MATCH(M807,'Fixture Identities'!$B$9:$B$997,0),2)="Exit Sign",0,IF(PRJ_Type="Retrofit",VLOOKUP(I807,xySVG_Factors,2,FALSE),IF(AND(PRJ_Type="New Construction",Inventory!C804="N"),VLOOKUP(VLOOKUP(Building_Type,xyLPD_BuildingArea,5,FALSE),xySVG_Factors_NC,3,FALSE),0)))),"")</f>
        <v/>
      </c>
      <c r="Z807" s="544" t="str">
        <f>IFERROR(IF(C807="","",IF(INDEX(xyWattage_Table,MATCH(M807,'Fixture Identities'!$B$9:$B$997,0),2)="Exit Sign",0,VLOOKUP(S807,xySVG_Factors,2,FALSE))),"")</f>
        <v/>
      </c>
      <c r="AA807" s="545" t="str">
        <f t="shared" si="285"/>
        <v/>
      </c>
      <c r="AB807" s="542" t="str">
        <f t="shared" si="286"/>
        <v/>
      </c>
      <c r="AC807" s="539" t="str">
        <f t="shared" si="287"/>
        <v/>
      </c>
      <c r="AD807" s="546" t="str">
        <f t="shared" si="288"/>
        <v/>
      </c>
      <c r="AE807" s="539" t="str">
        <f t="shared" si="289"/>
        <v/>
      </c>
      <c r="AF807" s="546" t="str">
        <f t="shared" si="290"/>
        <v/>
      </c>
      <c r="AG807" s="539" t="str">
        <f t="shared" si="291"/>
        <v/>
      </c>
      <c r="AH807" s="32">
        <f t="shared" si="293"/>
        <v>0</v>
      </c>
      <c r="AI807" s="32">
        <f t="shared" si="294"/>
        <v>0</v>
      </c>
      <c r="AJ807" s="32">
        <f t="shared" si="295"/>
        <v>0</v>
      </c>
      <c r="AK807" t="str">
        <f t="shared" si="296"/>
        <v/>
      </c>
      <c r="AL807" t="str">
        <f t="shared" si="297"/>
        <v/>
      </c>
      <c r="AM807" t="str">
        <f t="shared" si="298"/>
        <v/>
      </c>
      <c r="AO807" t="str">
        <f>IFERROR(VLOOKUP(M807,'Fixture Identities'!$B$9:$O$1045,14,FALSE),"")</f>
        <v/>
      </c>
      <c r="AP807" t="str">
        <f t="shared" si="292"/>
        <v/>
      </c>
    </row>
    <row r="808" spans="1:42">
      <c r="A808" s="71">
        <f t="shared" si="300"/>
        <v>0</v>
      </c>
      <c r="B808" s="513">
        <f t="shared" si="299"/>
        <v>796</v>
      </c>
      <c r="C808" s="530" t="str">
        <f>IF(Inventory!E805="","",Inventory!E805)</f>
        <v/>
      </c>
      <c r="D808" s="531">
        <f>IF(Inventory!D805="",0,Inventory!D805)</f>
        <v>0</v>
      </c>
      <c r="E808" s="532" t="str">
        <f>IF(Inventory!I805=0,"",Inventory!I805)</f>
        <v/>
      </c>
      <c r="F808" s="533" t="str">
        <f t="shared" si="279"/>
        <v/>
      </c>
      <c r="G808" s="534" t="str">
        <f>IF(Inventory!G805="","",Inventory!G805)</f>
        <v/>
      </c>
      <c r="H808" s="535" t="str">
        <f t="shared" si="280"/>
        <v/>
      </c>
      <c r="I808" s="536" t="str">
        <f>IF(Inventory!J805="","",Inventory!J805)</f>
        <v/>
      </c>
      <c r="J808" s="537" t="str">
        <f>IFERROR(IF(PRJ_Type="New Construction",IF(Inventory!C805="N",INDEX(xyLPD_BuildingArea,MATCH(Building_Type,Lookups!$F$37:$F$75,0),4),INDEX(xyLPD_SpaceBySpace,MATCH(INDEX(xyNCEx,MATCH(I808,yNCExArea,0),2),ySpace_by_Space_Type,0),2)),VLOOKUP(E808,xyWattage_Table,11,FALSE)),"")</f>
        <v/>
      </c>
      <c r="K808" s="538" t="str">
        <f>IFERROR(IF(AND(NC_Type="Building Area Method",Inventory!C805="N"),IF(ISERROR(INDEX('Usage Groups (&gt;120 MWh only)'!$N$8:$N$12,MATCH(C808,'Usage Groups (&gt;120 MWh only)'!$B$8:$B$12,0),1))=TRUE,SqFt/COUNTIFS(Inventory!$C$10:$C$1009,"N",$Q$13:$Q$1012,"&gt;=0"),INDEX('Usage Groups (&gt;120 MWh only)'!$N$8:$N$12,MATCH(C808,'Usage Groups (&gt;120 MWh only)'!$B$8:$B$12,0),1)/COUNTIF($C$13:$C$1012,C808)),IF(AND(NC_Type="Building Area Method",Inventory!C805="Y"),INDEX(xyNCEx,MATCH(I808,yNCExArea,0),3)/COUNTIF($I$13:$I$1012,I808),VLOOKUP(J808,xyWattage_Table,10,FALSE))),"")</f>
        <v/>
      </c>
      <c r="L808" s="539" t="str">
        <f t="shared" si="281"/>
        <v/>
      </c>
      <c r="M808" s="540">
        <f>IF(Inventory!N805="","",Inventory!N805)</f>
        <v>0</v>
      </c>
      <c r="N808" s="533" t="str">
        <f t="shared" si="282"/>
        <v/>
      </c>
      <c r="O808" s="534"/>
      <c r="P808" s="533" t="str">
        <f t="shared" si="283"/>
        <v/>
      </c>
      <c r="Q808" s="534" t="str">
        <f>IF(Inventory!L805="","",Inventory!L805)</f>
        <v/>
      </c>
      <c r="R808" s="535" t="str">
        <f t="shared" si="284"/>
        <v/>
      </c>
      <c r="S808" s="536" t="str">
        <f>IF(Inventory!O805="","",Inventory!O805)</f>
        <v/>
      </c>
      <c r="T808" s="541" t="str">
        <f>IFERROR(IF(C808="","",IF(INDEX(xyWattage_Table,MATCH(M808,'Fixture Identities'!$B$9:$B$997,0),2)="Exit Sign",8760,IF(VLOOKUP(C808,xySpace_Type_Details,8,FALSE)="TRM",INDEX('General Information'!$AF$17:$AG$28,11,MATCH(N808,'General Information'!$AF$16:$AG$16,0)),HLOOKUP(VLOOKUP(C808,xySpace_Type_Details,8,FALSE),'General Information'!$P$15:$AG$28,13,FALSE)))),"")</f>
        <v/>
      </c>
      <c r="U808" s="542" t="str">
        <f>IFERROR(IF(C808="","",IF(INDEX(xyWattage_Table,MATCH(M808,'Fixture Identities'!$B$9:$B$997,0),2)="Exit Sign",1,IF(VLOOKUP(C808,xySpace_Type_Details,8,FALSE)="TRM",INDEX('General Information'!$AF$17:$AG$28,12,MATCH(N808,'General Information'!$AF$16:$AG$16,0)),HLOOKUP(VLOOKUP(C808,xySpace_Type_Details,8,FALSE),'General Information'!$P$15:$AG$28,14,FALSE)))),"")</f>
        <v/>
      </c>
      <c r="V808" s="542" t="str">
        <f>IFERROR(VLOOKUP(INDEX(xySpace_Type_Details,MATCH($C808,'General Information'!$C$40:$C$60,0),12),Lookups!$L$8:$N$12,2,FALSE),"")</f>
        <v/>
      </c>
      <c r="W808" s="542" t="str">
        <f>IFERROR(VLOOKUP(INDEX(xySpace_Type_Details,MATCH($C808,'General Information'!$C$40:$C$60,0),12),Lookups!$L$8:$N$12,3,FALSE),"")</f>
        <v/>
      </c>
      <c r="Y808" s="542" t="str">
        <f>IFERROR(IF(C808="","",IF(INDEX(xyWattage_Table,MATCH(M808,'Fixture Identities'!$B$9:$B$997,0),2)="Exit Sign",0,IF(PRJ_Type="Retrofit",VLOOKUP(I808,xySVG_Factors,2,FALSE),IF(AND(PRJ_Type="New Construction",Inventory!C805="N"),VLOOKUP(VLOOKUP(Building_Type,xyLPD_BuildingArea,5,FALSE),xySVG_Factors_NC,3,FALSE),0)))),"")</f>
        <v/>
      </c>
      <c r="Z808" s="544" t="str">
        <f>IFERROR(IF(C808="","",IF(INDEX(xyWattage_Table,MATCH(M808,'Fixture Identities'!$B$9:$B$997,0),2)="Exit Sign",0,VLOOKUP(S808,xySVG_Factors,2,FALSE))),"")</f>
        <v/>
      </c>
      <c r="AA808" s="545" t="str">
        <f t="shared" si="285"/>
        <v/>
      </c>
      <c r="AB808" s="542" t="str">
        <f t="shared" si="286"/>
        <v/>
      </c>
      <c r="AC808" s="539" t="str">
        <f t="shared" si="287"/>
        <v/>
      </c>
      <c r="AD808" s="546" t="str">
        <f t="shared" si="288"/>
        <v/>
      </c>
      <c r="AE808" s="539" t="str">
        <f t="shared" si="289"/>
        <v/>
      </c>
      <c r="AF808" s="546" t="str">
        <f t="shared" si="290"/>
        <v/>
      </c>
      <c r="AG808" s="539" t="str">
        <f t="shared" si="291"/>
        <v/>
      </c>
      <c r="AH808" s="32">
        <f t="shared" si="293"/>
        <v>0</v>
      </c>
      <c r="AI808" s="32">
        <f t="shared" si="294"/>
        <v>0</v>
      </c>
      <c r="AJ808" s="32">
        <f t="shared" si="295"/>
        <v>0</v>
      </c>
      <c r="AK808" t="str">
        <f t="shared" si="296"/>
        <v/>
      </c>
      <c r="AL808" t="str">
        <f t="shared" si="297"/>
        <v/>
      </c>
      <c r="AM808" t="str">
        <f t="shared" si="298"/>
        <v/>
      </c>
      <c r="AO808" t="str">
        <f>IFERROR(VLOOKUP(M808,'Fixture Identities'!$B$9:$O$1045,14,FALSE),"")</f>
        <v/>
      </c>
      <c r="AP808" t="str">
        <f t="shared" si="292"/>
        <v/>
      </c>
    </row>
    <row r="809" spans="1:42">
      <c r="A809" s="71">
        <f t="shared" si="300"/>
        <v>0</v>
      </c>
      <c r="B809" s="513">
        <f t="shared" si="299"/>
        <v>797</v>
      </c>
      <c r="C809" s="530" t="str">
        <f>IF(Inventory!E806="","",Inventory!E806)</f>
        <v/>
      </c>
      <c r="D809" s="531">
        <f>IF(Inventory!D806="",0,Inventory!D806)</f>
        <v>0</v>
      </c>
      <c r="E809" s="532" t="str">
        <f>IF(Inventory!I806=0,"",Inventory!I806)</f>
        <v/>
      </c>
      <c r="F809" s="533" t="str">
        <f t="shared" si="279"/>
        <v/>
      </c>
      <c r="G809" s="534" t="str">
        <f>IF(Inventory!G806="","",Inventory!G806)</f>
        <v/>
      </c>
      <c r="H809" s="535" t="str">
        <f t="shared" si="280"/>
        <v/>
      </c>
      <c r="I809" s="536" t="str">
        <f>IF(Inventory!J806="","",Inventory!J806)</f>
        <v/>
      </c>
      <c r="J809" s="537" t="str">
        <f>IFERROR(IF(PRJ_Type="New Construction",IF(Inventory!C806="N",INDEX(xyLPD_BuildingArea,MATCH(Building_Type,Lookups!$F$37:$F$75,0),4),INDEX(xyLPD_SpaceBySpace,MATCH(INDEX(xyNCEx,MATCH(I809,yNCExArea,0),2),ySpace_by_Space_Type,0),2)),VLOOKUP(E809,xyWattage_Table,11,FALSE)),"")</f>
        <v/>
      </c>
      <c r="K809" s="538" t="str">
        <f>IFERROR(IF(AND(NC_Type="Building Area Method",Inventory!C806="N"),IF(ISERROR(INDEX('Usage Groups (&gt;120 MWh only)'!$N$8:$N$12,MATCH(C809,'Usage Groups (&gt;120 MWh only)'!$B$8:$B$12,0),1))=TRUE,SqFt/COUNTIFS(Inventory!$C$10:$C$1009,"N",$Q$13:$Q$1012,"&gt;=0"),INDEX('Usage Groups (&gt;120 MWh only)'!$N$8:$N$12,MATCH(C809,'Usage Groups (&gt;120 MWh only)'!$B$8:$B$12,0),1)/COUNTIF($C$13:$C$1012,C809)),IF(AND(NC_Type="Building Area Method",Inventory!C806="Y"),INDEX(xyNCEx,MATCH(I809,yNCExArea,0),3)/COUNTIF($I$13:$I$1012,I809),VLOOKUP(J809,xyWattage_Table,10,FALSE))),"")</f>
        <v/>
      </c>
      <c r="L809" s="539" t="str">
        <f t="shared" si="281"/>
        <v/>
      </c>
      <c r="M809" s="540">
        <f>IF(Inventory!N806="","",Inventory!N806)</f>
        <v>0</v>
      </c>
      <c r="N809" s="533" t="str">
        <f t="shared" si="282"/>
        <v/>
      </c>
      <c r="O809" s="534"/>
      <c r="P809" s="533" t="str">
        <f t="shared" si="283"/>
        <v/>
      </c>
      <c r="Q809" s="534" t="str">
        <f>IF(Inventory!L806="","",Inventory!L806)</f>
        <v/>
      </c>
      <c r="R809" s="535" t="str">
        <f t="shared" si="284"/>
        <v/>
      </c>
      <c r="S809" s="536" t="str">
        <f>IF(Inventory!O806="","",Inventory!O806)</f>
        <v/>
      </c>
      <c r="T809" s="541" t="str">
        <f>IFERROR(IF(C809="","",IF(INDEX(xyWattage_Table,MATCH(M809,'Fixture Identities'!$B$9:$B$997,0),2)="Exit Sign",8760,IF(VLOOKUP(C809,xySpace_Type_Details,8,FALSE)="TRM",INDEX('General Information'!$AF$17:$AG$28,11,MATCH(N809,'General Information'!$AF$16:$AG$16,0)),HLOOKUP(VLOOKUP(C809,xySpace_Type_Details,8,FALSE),'General Information'!$P$15:$AG$28,13,FALSE)))),"")</f>
        <v/>
      </c>
      <c r="U809" s="542" t="str">
        <f>IFERROR(IF(C809="","",IF(INDEX(xyWattage_Table,MATCH(M809,'Fixture Identities'!$B$9:$B$997,0),2)="Exit Sign",1,IF(VLOOKUP(C809,xySpace_Type_Details,8,FALSE)="TRM",INDEX('General Information'!$AF$17:$AG$28,12,MATCH(N809,'General Information'!$AF$16:$AG$16,0)),HLOOKUP(VLOOKUP(C809,xySpace_Type_Details,8,FALSE),'General Information'!$P$15:$AG$28,14,FALSE)))),"")</f>
        <v/>
      </c>
      <c r="V809" s="542" t="str">
        <f>IFERROR(VLOOKUP(INDEX(xySpace_Type_Details,MATCH($C809,'General Information'!$C$40:$C$60,0),12),Lookups!$L$8:$N$12,2,FALSE),"")</f>
        <v/>
      </c>
      <c r="W809" s="542" t="str">
        <f>IFERROR(VLOOKUP(INDEX(xySpace_Type_Details,MATCH($C809,'General Information'!$C$40:$C$60,0),12),Lookups!$L$8:$N$12,3,FALSE),"")</f>
        <v/>
      </c>
      <c r="Y809" s="542" t="str">
        <f>IFERROR(IF(C809="","",IF(INDEX(xyWattage_Table,MATCH(M809,'Fixture Identities'!$B$9:$B$997,0),2)="Exit Sign",0,IF(PRJ_Type="Retrofit",VLOOKUP(I809,xySVG_Factors,2,FALSE),IF(AND(PRJ_Type="New Construction",Inventory!C806="N"),VLOOKUP(VLOOKUP(Building_Type,xyLPD_BuildingArea,5,FALSE),xySVG_Factors_NC,3,FALSE),0)))),"")</f>
        <v/>
      </c>
      <c r="Z809" s="544" t="str">
        <f>IFERROR(IF(C809="","",IF(INDEX(xyWattage_Table,MATCH(M809,'Fixture Identities'!$B$9:$B$997,0),2)="Exit Sign",0,VLOOKUP(S809,xySVG_Factors,2,FALSE))),"")</f>
        <v/>
      </c>
      <c r="AA809" s="545" t="str">
        <f t="shared" si="285"/>
        <v/>
      </c>
      <c r="AB809" s="542" t="str">
        <f t="shared" si="286"/>
        <v/>
      </c>
      <c r="AC809" s="539" t="str">
        <f t="shared" si="287"/>
        <v/>
      </c>
      <c r="AD809" s="546" t="str">
        <f t="shared" si="288"/>
        <v/>
      </c>
      <c r="AE809" s="539" t="str">
        <f t="shared" si="289"/>
        <v/>
      </c>
      <c r="AF809" s="546" t="str">
        <f t="shared" si="290"/>
        <v/>
      </c>
      <c r="AG809" s="539" t="str">
        <f t="shared" si="291"/>
        <v/>
      </c>
      <c r="AH809" s="32">
        <f t="shared" si="293"/>
        <v>0</v>
      </c>
      <c r="AI809" s="32">
        <f t="shared" si="294"/>
        <v>0</v>
      </c>
      <c r="AJ809" s="32">
        <f t="shared" si="295"/>
        <v>0</v>
      </c>
      <c r="AK809" t="str">
        <f t="shared" si="296"/>
        <v/>
      </c>
      <c r="AL809" t="str">
        <f t="shared" si="297"/>
        <v/>
      </c>
      <c r="AM809" t="str">
        <f t="shared" si="298"/>
        <v/>
      </c>
      <c r="AO809" t="str">
        <f>IFERROR(VLOOKUP(M809,'Fixture Identities'!$B$9:$O$1045,14,FALSE),"")</f>
        <v/>
      </c>
      <c r="AP809" t="str">
        <f t="shared" si="292"/>
        <v/>
      </c>
    </row>
    <row r="810" spans="1:42">
      <c r="A810" s="71">
        <f t="shared" si="300"/>
        <v>0</v>
      </c>
      <c r="B810" s="513">
        <f t="shared" si="299"/>
        <v>798</v>
      </c>
      <c r="C810" s="530" t="str">
        <f>IF(Inventory!E807="","",Inventory!E807)</f>
        <v/>
      </c>
      <c r="D810" s="531">
        <f>IF(Inventory!D807="",0,Inventory!D807)</f>
        <v>0</v>
      </c>
      <c r="E810" s="532" t="str">
        <f>IF(Inventory!I807=0,"",Inventory!I807)</f>
        <v/>
      </c>
      <c r="F810" s="533" t="str">
        <f t="shared" si="279"/>
        <v/>
      </c>
      <c r="G810" s="534" t="str">
        <f>IF(Inventory!G807="","",Inventory!G807)</f>
        <v/>
      </c>
      <c r="H810" s="535" t="str">
        <f t="shared" si="280"/>
        <v/>
      </c>
      <c r="I810" s="536" t="str">
        <f>IF(Inventory!J807="","",Inventory!J807)</f>
        <v/>
      </c>
      <c r="J810" s="537" t="str">
        <f>IFERROR(IF(PRJ_Type="New Construction",IF(Inventory!C807="N",INDEX(xyLPD_BuildingArea,MATCH(Building_Type,Lookups!$F$37:$F$75,0),4),INDEX(xyLPD_SpaceBySpace,MATCH(INDEX(xyNCEx,MATCH(I810,yNCExArea,0),2),ySpace_by_Space_Type,0),2)),VLOOKUP(E810,xyWattage_Table,11,FALSE)),"")</f>
        <v/>
      </c>
      <c r="K810" s="538" t="str">
        <f>IFERROR(IF(AND(NC_Type="Building Area Method",Inventory!C807="N"),IF(ISERROR(INDEX('Usage Groups (&gt;120 MWh only)'!$N$8:$N$12,MATCH(C810,'Usage Groups (&gt;120 MWh only)'!$B$8:$B$12,0),1))=TRUE,SqFt/COUNTIFS(Inventory!$C$10:$C$1009,"N",$Q$13:$Q$1012,"&gt;=0"),INDEX('Usage Groups (&gt;120 MWh only)'!$N$8:$N$12,MATCH(C810,'Usage Groups (&gt;120 MWh only)'!$B$8:$B$12,0),1)/COUNTIF($C$13:$C$1012,C810)),IF(AND(NC_Type="Building Area Method",Inventory!C807="Y"),INDEX(xyNCEx,MATCH(I810,yNCExArea,0),3)/COUNTIF($I$13:$I$1012,I810),VLOOKUP(J810,xyWattage_Table,10,FALSE))),"")</f>
        <v/>
      </c>
      <c r="L810" s="539" t="str">
        <f t="shared" si="281"/>
        <v/>
      </c>
      <c r="M810" s="540">
        <f>IF(Inventory!N807="","",Inventory!N807)</f>
        <v>0</v>
      </c>
      <c r="N810" s="533" t="str">
        <f t="shared" si="282"/>
        <v/>
      </c>
      <c r="O810" s="534"/>
      <c r="P810" s="533" t="str">
        <f t="shared" si="283"/>
        <v/>
      </c>
      <c r="Q810" s="534" t="str">
        <f>IF(Inventory!L807="","",Inventory!L807)</f>
        <v/>
      </c>
      <c r="R810" s="535" t="str">
        <f t="shared" si="284"/>
        <v/>
      </c>
      <c r="S810" s="536" t="str">
        <f>IF(Inventory!O807="","",Inventory!O807)</f>
        <v/>
      </c>
      <c r="T810" s="541" t="str">
        <f>IFERROR(IF(C810="","",IF(INDEX(xyWattage_Table,MATCH(M810,'Fixture Identities'!$B$9:$B$997,0),2)="Exit Sign",8760,IF(VLOOKUP(C810,xySpace_Type_Details,8,FALSE)="TRM",INDEX('General Information'!$AF$17:$AG$28,11,MATCH(N810,'General Information'!$AF$16:$AG$16,0)),HLOOKUP(VLOOKUP(C810,xySpace_Type_Details,8,FALSE),'General Information'!$P$15:$AG$28,13,FALSE)))),"")</f>
        <v/>
      </c>
      <c r="U810" s="542" t="str">
        <f>IFERROR(IF(C810="","",IF(INDEX(xyWattage_Table,MATCH(M810,'Fixture Identities'!$B$9:$B$997,0),2)="Exit Sign",1,IF(VLOOKUP(C810,xySpace_Type_Details,8,FALSE)="TRM",INDEX('General Information'!$AF$17:$AG$28,12,MATCH(N810,'General Information'!$AF$16:$AG$16,0)),HLOOKUP(VLOOKUP(C810,xySpace_Type_Details,8,FALSE),'General Information'!$P$15:$AG$28,14,FALSE)))),"")</f>
        <v/>
      </c>
      <c r="V810" s="542" t="str">
        <f>IFERROR(VLOOKUP(INDEX(xySpace_Type_Details,MATCH($C810,'General Information'!$C$40:$C$60,0),12),Lookups!$L$8:$N$12,2,FALSE),"")</f>
        <v/>
      </c>
      <c r="W810" s="542" t="str">
        <f>IFERROR(VLOOKUP(INDEX(xySpace_Type_Details,MATCH($C810,'General Information'!$C$40:$C$60,0),12),Lookups!$L$8:$N$12,3,FALSE),"")</f>
        <v/>
      </c>
      <c r="Y810" s="542" t="str">
        <f>IFERROR(IF(C810="","",IF(INDEX(xyWattage_Table,MATCH(M810,'Fixture Identities'!$B$9:$B$997,0),2)="Exit Sign",0,IF(PRJ_Type="Retrofit",VLOOKUP(I810,xySVG_Factors,2,FALSE),IF(AND(PRJ_Type="New Construction",Inventory!C807="N"),VLOOKUP(VLOOKUP(Building_Type,xyLPD_BuildingArea,5,FALSE),xySVG_Factors_NC,3,FALSE),0)))),"")</f>
        <v/>
      </c>
      <c r="Z810" s="544" t="str">
        <f>IFERROR(IF(C810="","",IF(INDEX(xyWattage_Table,MATCH(M810,'Fixture Identities'!$B$9:$B$997,0),2)="Exit Sign",0,VLOOKUP(S810,xySVG_Factors,2,FALSE))),"")</f>
        <v/>
      </c>
      <c r="AA810" s="545" t="str">
        <f t="shared" si="285"/>
        <v/>
      </c>
      <c r="AB810" s="542" t="str">
        <f t="shared" si="286"/>
        <v/>
      </c>
      <c r="AC810" s="539" t="str">
        <f t="shared" si="287"/>
        <v/>
      </c>
      <c r="AD810" s="546" t="str">
        <f t="shared" si="288"/>
        <v/>
      </c>
      <c r="AE810" s="539" t="str">
        <f t="shared" si="289"/>
        <v/>
      </c>
      <c r="AF810" s="546" t="str">
        <f t="shared" si="290"/>
        <v/>
      </c>
      <c r="AG810" s="539" t="str">
        <f t="shared" si="291"/>
        <v/>
      </c>
      <c r="AH810" s="32">
        <f t="shared" si="293"/>
        <v>0</v>
      </c>
      <c r="AI810" s="32">
        <f t="shared" si="294"/>
        <v>0</v>
      </c>
      <c r="AJ810" s="32">
        <f t="shared" si="295"/>
        <v>0</v>
      </c>
      <c r="AK810" t="str">
        <f t="shared" si="296"/>
        <v/>
      </c>
      <c r="AL810" t="str">
        <f t="shared" si="297"/>
        <v/>
      </c>
      <c r="AM810" t="str">
        <f t="shared" si="298"/>
        <v/>
      </c>
      <c r="AO810" t="str">
        <f>IFERROR(VLOOKUP(M810,'Fixture Identities'!$B$9:$O$1045,14,FALSE),"")</f>
        <v/>
      </c>
      <c r="AP810" t="str">
        <f t="shared" si="292"/>
        <v/>
      </c>
    </row>
    <row r="811" spans="1:42">
      <c r="A811" s="71">
        <f t="shared" si="300"/>
        <v>0</v>
      </c>
      <c r="B811" s="513">
        <f t="shared" si="299"/>
        <v>799</v>
      </c>
      <c r="C811" s="530" t="str">
        <f>IF(Inventory!E808="","",Inventory!E808)</f>
        <v/>
      </c>
      <c r="D811" s="531">
        <f>IF(Inventory!D808="",0,Inventory!D808)</f>
        <v>0</v>
      </c>
      <c r="E811" s="532" t="str">
        <f>IF(Inventory!I808=0,"",Inventory!I808)</f>
        <v/>
      </c>
      <c r="F811" s="533" t="str">
        <f t="shared" si="279"/>
        <v/>
      </c>
      <c r="G811" s="534" t="str">
        <f>IF(Inventory!G808="","",Inventory!G808)</f>
        <v/>
      </c>
      <c r="H811" s="535" t="str">
        <f t="shared" si="280"/>
        <v/>
      </c>
      <c r="I811" s="536" t="str">
        <f>IF(Inventory!J808="","",Inventory!J808)</f>
        <v/>
      </c>
      <c r="J811" s="537" t="str">
        <f>IFERROR(IF(PRJ_Type="New Construction",IF(Inventory!C808="N",INDEX(xyLPD_BuildingArea,MATCH(Building_Type,Lookups!$F$37:$F$75,0),4),INDEX(xyLPD_SpaceBySpace,MATCH(INDEX(xyNCEx,MATCH(I811,yNCExArea,0),2),ySpace_by_Space_Type,0),2)),VLOOKUP(E811,xyWattage_Table,11,FALSE)),"")</f>
        <v/>
      </c>
      <c r="K811" s="538" t="str">
        <f>IFERROR(IF(AND(NC_Type="Building Area Method",Inventory!C808="N"),IF(ISERROR(INDEX('Usage Groups (&gt;120 MWh only)'!$N$8:$N$12,MATCH(C811,'Usage Groups (&gt;120 MWh only)'!$B$8:$B$12,0),1))=TRUE,SqFt/COUNTIFS(Inventory!$C$10:$C$1009,"N",$Q$13:$Q$1012,"&gt;=0"),INDEX('Usage Groups (&gt;120 MWh only)'!$N$8:$N$12,MATCH(C811,'Usage Groups (&gt;120 MWh only)'!$B$8:$B$12,0),1)/COUNTIF($C$13:$C$1012,C811)),IF(AND(NC_Type="Building Area Method",Inventory!C808="Y"),INDEX(xyNCEx,MATCH(I811,yNCExArea,0),3)/COUNTIF($I$13:$I$1012,I811),VLOOKUP(J811,xyWattage_Table,10,FALSE))),"")</f>
        <v/>
      </c>
      <c r="L811" s="539" t="str">
        <f t="shared" si="281"/>
        <v/>
      </c>
      <c r="M811" s="540">
        <f>IF(Inventory!N808="","",Inventory!N808)</f>
        <v>0</v>
      </c>
      <c r="N811" s="533" t="str">
        <f t="shared" si="282"/>
        <v/>
      </c>
      <c r="O811" s="534"/>
      <c r="P811" s="533" t="str">
        <f t="shared" si="283"/>
        <v/>
      </c>
      <c r="Q811" s="534" t="str">
        <f>IF(Inventory!L808="","",Inventory!L808)</f>
        <v/>
      </c>
      <c r="R811" s="535" t="str">
        <f t="shared" si="284"/>
        <v/>
      </c>
      <c r="S811" s="536" t="str">
        <f>IF(Inventory!O808="","",Inventory!O808)</f>
        <v/>
      </c>
      <c r="T811" s="541" t="str">
        <f>IFERROR(IF(C811="","",IF(INDEX(xyWattage_Table,MATCH(M811,'Fixture Identities'!$B$9:$B$997,0),2)="Exit Sign",8760,IF(VLOOKUP(C811,xySpace_Type_Details,8,FALSE)="TRM",INDEX('General Information'!$AF$17:$AG$28,11,MATCH(N811,'General Information'!$AF$16:$AG$16,0)),HLOOKUP(VLOOKUP(C811,xySpace_Type_Details,8,FALSE),'General Information'!$P$15:$AG$28,13,FALSE)))),"")</f>
        <v/>
      </c>
      <c r="U811" s="542" t="str">
        <f>IFERROR(IF(C811="","",IF(INDEX(xyWattage_Table,MATCH(M811,'Fixture Identities'!$B$9:$B$997,0),2)="Exit Sign",1,IF(VLOOKUP(C811,xySpace_Type_Details,8,FALSE)="TRM",INDEX('General Information'!$AF$17:$AG$28,12,MATCH(N811,'General Information'!$AF$16:$AG$16,0)),HLOOKUP(VLOOKUP(C811,xySpace_Type_Details,8,FALSE),'General Information'!$P$15:$AG$28,14,FALSE)))),"")</f>
        <v/>
      </c>
      <c r="V811" s="542" t="str">
        <f>IFERROR(VLOOKUP(INDEX(xySpace_Type_Details,MATCH($C811,'General Information'!$C$40:$C$60,0),12),Lookups!$L$8:$N$12,2,FALSE),"")</f>
        <v/>
      </c>
      <c r="W811" s="542" t="str">
        <f>IFERROR(VLOOKUP(INDEX(xySpace_Type_Details,MATCH($C811,'General Information'!$C$40:$C$60,0),12),Lookups!$L$8:$N$12,3,FALSE),"")</f>
        <v/>
      </c>
      <c r="Y811" s="542" t="str">
        <f>IFERROR(IF(C811="","",IF(INDEX(xyWattage_Table,MATCH(M811,'Fixture Identities'!$B$9:$B$997,0),2)="Exit Sign",0,IF(PRJ_Type="Retrofit",VLOOKUP(I811,xySVG_Factors,2,FALSE),IF(AND(PRJ_Type="New Construction",Inventory!C808="N"),VLOOKUP(VLOOKUP(Building_Type,xyLPD_BuildingArea,5,FALSE),xySVG_Factors_NC,3,FALSE),0)))),"")</f>
        <v/>
      </c>
      <c r="Z811" s="544" t="str">
        <f>IFERROR(IF(C811="","",IF(INDEX(xyWattage_Table,MATCH(M811,'Fixture Identities'!$B$9:$B$997,0),2)="Exit Sign",0,VLOOKUP(S811,xySVG_Factors,2,FALSE))),"")</f>
        <v/>
      </c>
      <c r="AA811" s="545" t="str">
        <f t="shared" si="285"/>
        <v/>
      </c>
      <c r="AB811" s="542" t="str">
        <f t="shared" si="286"/>
        <v/>
      </c>
      <c r="AC811" s="539" t="str">
        <f t="shared" si="287"/>
        <v/>
      </c>
      <c r="AD811" s="546" t="str">
        <f t="shared" si="288"/>
        <v/>
      </c>
      <c r="AE811" s="539" t="str">
        <f t="shared" si="289"/>
        <v/>
      </c>
      <c r="AF811" s="546" t="str">
        <f t="shared" si="290"/>
        <v/>
      </c>
      <c r="AG811" s="539" t="str">
        <f t="shared" si="291"/>
        <v/>
      </c>
      <c r="AH811" s="32">
        <f t="shared" si="293"/>
        <v>0</v>
      </c>
      <c r="AI811" s="32">
        <f t="shared" si="294"/>
        <v>0</v>
      </c>
      <c r="AJ811" s="32">
        <f t="shared" si="295"/>
        <v>0</v>
      </c>
      <c r="AK811" t="str">
        <f t="shared" si="296"/>
        <v/>
      </c>
      <c r="AL811" t="str">
        <f t="shared" si="297"/>
        <v/>
      </c>
      <c r="AM811" t="str">
        <f t="shared" si="298"/>
        <v/>
      </c>
      <c r="AO811" t="str">
        <f>IFERROR(VLOOKUP(M811,'Fixture Identities'!$B$9:$O$1045,14,FALSE),"")</f>
        <v/>
      </c>
      <c r="AP811" t="str">
        <f t="shared" si="292"/>
        <v/>
      </c>
    </row>
    <row r="812" spans="1:42">
      <c r="A812" s="71">
        <f t="shared" si="300"/>
        <v>0</v>
      </c>
      <c r="B812" s="513">
        <f t="shared" si="299"/>
        <v>800</v>
      </c>
      <c r="C812" s="530" t="str">
        <f>IF(Inventory!E809="","",Inventory!E809)</f>
        <v/>
      </c>
      <c r="D812" s="531">
        <f>IF(Inventory!D809="",0,Inventory!D809)</f>
        <v>0</v>
      </c>
      <c r="E812" s="532" t="str">
        <f>IF(Inventory!I809=0,"",Inventory!I809)</f>
        <v/>
      </c>
      <c r="F812" s="533" t="str">
        <f t="shared" si="279"/>
        <v/>
      </c>
      <c r="G812" s="534" t="str">
        <f>IF(Inventory!G809="","",Inventory!G809)</f>
        <v/>
      </c>
      <c r="H812" s="535" t="str">
        <f t="shared" si="280"/>
        <v/>
      </c>
      <c r="I812" s="536" t="str">
        <f>IF(Inventory!J809="","",Inventory!J809)</f>
        <v/>
      </c>
      <c r="J812" s="537" t="str">
        <f>IFERROR(IF(PRJ_Type="New Construction",IF(Inventory!C809="N",INDEX(xyLPD_BuildingArea,MATCH(Building_Type,Lookups!$F$37:$F$75,0),4),INDEX(xyLPD_SpaceBySpace,MATCH(INDEX(xyNCEx,MATCH(I812,yNCExArea,0),2),ySpace_by_Space_Type,0),2)),VLOOKUP(E812,xyWattage_Table,11,FALSE)),"")</f>
        <v/>
      </c>
      <c r="K812" s="538" t="str">
        <f>IFERROR(IF(AND(NC_Type="Building Area Method",Inventory!C809="N"),IF(ISERROR(INDEX('Usage Groups (&gt;120 MWh only)'!$N$8:$N$12,MATCH(C812,'Usage Groups (&gt;120 MWh only)'!$B$8:$B$12,0),1))=TRUE,SqFt/COUNTIFS(Inventory!$C$10:$C$1009,"N",$Q$13:$Q$1012,"&gt;=0"),INDEX('Usage Groups (&gt;120 MWh only)'!$N$8:$N$12,MATCH(C812,'Usage Groups (&gt;120 MWh only)'!$B$8:$B$12,0),1)/COUNTIF($C$13:$C$1012,C812)),IF(AND(NC_Type="Building Area Method",Inventory!C809="Y"),INDEX(xyNCEx,MATCH(I812,yNCExArea,0),3)/COUNTIF($I$13:$I$1012,I812),VLOOKUP(J812,xyWattage_Table,10,FALSE))),"")</f>
        <v/>
      </c>
      <c r="L812" s="539" t="str">
        <f t="shared" si="281"/>
        <v/>
      </c>
      <c r="M812" s="540">
        <f>IF(Inventory!N809="","",Inventory!N809)</f>
        <v>0</v>
      </c>
      <c r="N812" s="533" t="str">
        <f t="shared" si="282"/>
        <v/>
      </c>
      <c r="O812" s="534"/>
      <c r="P812" s="533" t="str">
        <f t="shared" si="283"/>
        <v/>
      </c>
      <c r="Q812" s="534" t="str">
        <f>IF(Inventory!L809="","",Inventory!L809)</f>
        <v/>
      </c>
      <c r="R812" s="535" t="str">
        <f t="shared" si="284"/>
        <v/>
      </c>
      <c r="S812" s="536" t="str">
        <f>IF(Inventory!O809="","",Inventory!O809)</f>
        <v/>
      </c>
      <c r="T812" s="541" t="str">
        <f>IFERROR(IF(C812="","",IF(INDEX(xyWattage_Table,MATCH(M812,'Fixture Identities'!$B$9:$B$997,0),2)="Exit Sign",8760,IF(VLOOKUP(C812,xySpace_Type_Details,8,FALSE)="TRM",INDEX('General Information'!$AF$17:$AG$28,11,MATCH(N812,'General Information'!$AF$16:$AG$16,0)),HLOOKUP(VLOOKUP(C812,xySpace_Type_Details,8,FALSE),'General Information'!$P$15:$AG$28,13,FALSE)))),"")</f>
        <v/>
      </c>
      <c r="U812" s="542" t="str">
        <f>IFERROR(IF(C812="","",IF(INDEX(xyWattage_Table,MATCH(M812,'Fixture Identities'!$B$9:$B$997,0),2)="Exit Sign",1,IF(VLOOKUP(C812,xySpace_Type_Details,8,FALSE)="TRM",INDEX('General Information'!$AF$17:$AG$28,12,MATCH(N812,'General Information'!$AF$16:$AG$16,0)),HLOOKUP(VLOOKUP(C812,xySpace_Type_Details,8,FALSE),'General Information'!$P$15:$AG$28,14,FALSE)))),"")</f>
        <v/>
      </c>
      <c r="V812" s="542" t="str">
        <f>IFERROR(VLOOKUP(INDEX(xySpace_Type_Details,MATCH($C812,'General Information'!$C$40:$C$60,0),12),Lookups!$L$8:$N$12,2,FALSE),"")</f>
        <v/>
      </c>
      <c r="W812" s="542" t="str">
        <f>IFERROR(VLOOKUP(INDEX(xySpace_Type_Details,MATCH($C812,'General Information'!$C$40:$C$60,0),12),Lookups!$L$8:$N$12,3,FALSE),"")</f>
        <v/>
      </c>
      <c r="Y812" s="542" t="str">
        <f>IFERROR(IF(C812="","",IF(INDEX(xyWattage_Table,MATCH(M812,'Fixture Identities'!$B$9:$B$997,0),2)="Exit Sign",0,IF(PRJ_Type="Retrofit",VLOOKUP(I812,xySVG_Factors,2,FALSE),IF(AND(PRJ_Type="New Construction",Inventory!C809="N"),VLOOKUP(VLOOKUP(Building_Type,xyLPD_BuildingArea,5,FALSE),xySVG_Factors_NC,3,FALSE),0)))),"")</f>
        <v/>
      </c>
      <c r="Z812" s="544" t="str">
        <f>IFERROR(IF(C812="","",IF(INDEX(xyWattage_Table,MATCH(M812,'Fixture Identities'!$B$9:$B$997,0),2)="Exit Sign",0,VLOOKUP(S812,xySVG_Factors,2,FALSE))),"")</f>
        <v/>
      </c>
      <c r="AA812" s="545" t="str">
        <f t="shared" si="285"/>
        <v/>
      </c>
      <c r="AB812" s="542" t="str">
        <f t="shared" si="286"/>
        <v/>
      </c>
      <c r="AC812" s="539" t="str">
        <f t="shared" si="287"/>
        <v/>
      </c>
      <c r="AD812" s="546" t="str">
        <f t="shared" si="288"/>
        <v/>
      </c>
      <c r="AE812" s="539" t="str">
        <f t="shared" si="289"/>
        <v/>
      </c>
      <c r="AF812" s="546" t="str">
        <f t="shared" si="290"/>
        <v/>
      </c>
      <c r="AG812" s="539" t="str">
        <f t="shared" si="291"/>
        <v/>
      </c>
      <c r="AH812" s="32">
        <f t="shared" si="293"/>
        <v>0</v>
      </c>
      <c r="AI812" s="32">
        <f t="shared" si="294"/>
        <v>0</v>
      </c>
      <c r="AJ812" s="32">
        <f t="shared" si="295"/>
        <v>0</v>
      </c>
      <c r="AK812" t="str">
        <f t="shared" si="296"/>
        <v/>
      </c>
      <c r="AL812" t="str">
        <f t="shared" si="297"/>
        <v/>
      </c>
      <c r="AM812" t="str">
        <f t="shared" si="298"/>
        <v/>
      </c>
      <c r="AO812" t="str">
        <f>IFERROR(VLOOKUP(M812,'Fixture Identities'!$B$9:$O$1045,14,FALSE),"")</f>
        <v/>
      </c>
      <c r="AP812" t="str">
        <f t="shared" si="292"/>
        <v/>
      </c>
    </row>
    <row r="813" spans="1:42">
      <c r="A813" s="71">
        <f t="shared" si="300"/>
        <v>0</v>
      </c>
      <c r="B813" s="513">
        <f t="shared" si="299"/>
        <v>801</v>
      </c>
      <c r="C813" s="530" t="str">
        <f>IF(Inventory!E810="","",Inventory!E810)</f>
        <v/>
      </c>
      <c r="D813" s="531">
        <f>IF(Inventory!D810="",0,Inventory!D810)</f>
        <v>0</v>
      </c>
      <c r="E813" s="532" t="str">
        <f>IF(Inventory!I810=0,"",Inventory!I810)</f>
        <v/>
      </c>
      <c r="F813" s="533" t="str">
        <f t="shared" si="279"/>
        <v/>
      </c>
      <c r="G813" s="534" t="str">
        <f>IF(Inventory!G810="","",Inventory!G810)</f>
        <v/>
      </c>
      <c r="H813" s="535" t="str">
        <f t="shared" si="280"/>
        <v/>
      </c>
      <c r="I813" s="536" t="str">
        <f>IF(Inventory!J810="","",Inventory!J810)</f>
        <v/>
      </c>
      <c r="J813" s="537" t="str">
        <f>IFERROR(IF(PRJ_Type="New Construction",IF(Inventory!C810="N",INDEX(xyLPD_BuildingArea,MATCH(Building_Type,Lookups!$F$37:$F$75,0),4),INDEX(xyLPD_SpaceBySpace,MATCH(INDEX(xyNCEx,MATCH(I813,yNCExArea,0),2),ySpace_by_Space_Type,0),2)),VLOOKUP(E813,xyWattage_Table,11,FALSE)),"")</f>
        <v/>
      </c>
      <c r="K813" s="538" t="str">
        <f>IFERROR(IF(AND(NC_Type="Building Area Method",Inventory!C810="N"),IF(ISERROR(INDEX('Usage Groups (&gt;120 MWh only)'!$N$8:$N$12,MATCH(C813,'Usage Groups (&gt;120 MWh only)'!$B$8:$B$12,0),1))=TRUE,SqFt/COUNTIFS(Inventory!$C$10:$C$1009,"N",$Q$13:$Q$1012,"&gt;=0"),INDEX('Usage Groups (&gt;120 MWh only)'!$N$8:$N$12,MATCH(C813,'Usage Groups (&gt;120 MWh only)'!$B$8:$B$12,0),1)/COUNTIF($C$13:$C$1012,C813)),IF(AND(NC_Type="Building Area Method",Inventory!C810="Y"),INDEX(xyNCEx,MATCH(I813,yNCExArea,0),3)/COUNTIF($I$13:$I$1012,I813),VLOOKUP(J813,xyWattage_Table,10,FALSE))),"")</f>
        <v/>
      </c>
      <c r="L813" s="539" t="str">
        <f t="shared" si="281"/>
        <v/>
      </c>
      <c r="M813" s="540">
        <f>IF(Inventory!N810="","",Inventory!N810)</f>
        <v>0</v>
      </c>
      <c r="N813" s="533" t="str">
        <f t="shared" si="282"/>
        <v/>
      </c>
      <c r="O813" s="534"/>
      <c r="P813" s="533" t="str">
        <f t="shared" si="283"/>
        <v/>
      </c>
      <c r="Q813" s="534" t="str">
        <f>IF(Inventory!L810="","",Inventory!L810)</f>
        <v/>
      </c>
      <c r="R813" s="535" t="str">
        <f t="shared" si="284"/>
        <v/>
      </c>
      <c r="S813" s="536" t="str">
        <f>IF(Inventory!O810="","",Inventory!O810)</f>
        <v/>
      </c>
      <c r="T813" s="541" t="str">
        <f>IFERROR(IF(C813="","",IF(INDEX(xyWattage_Table,MATCH(M813,'Fixture Identities'!$B$9:$B$997,0),2)="Exit Sign",8760,IF(VLOOKUP(C813,xySpace_Type_Details,8,FALSE)="TRM",INDEX('General Information'!$AF$17:$AG$28,11,MATCH(N813,'General Information'!$AF$16:$AG$16,0)),HLOOKUP(VLOOKUP(C813,xySpace_Type_Details,8,FALSE),'General Information'!$P$15:$AG$28,13,FALSE)))),"")</f>
        <v/>
      </c>
      <c r="U813" s="542" t="str">
        <f>IFERROR(IF(C813="","",IF(INDEX(xyWattage_Table,MATCH(M813,'Fixture Identities'!$B$9:$B$997,0),2)="Exit Sign",1,IF(VLOOKUP(C813,xySpace_Type_Details,8,FALSE)="TRM",INDEX('General Information'!$AF$17:$AG$28,12,MATCH(N813,'General Information'!$AF$16:$AG$16,0)),HLOOKUP(VLOOKUP(C813,xySpace_Type_Details,8,FALSE),'General Information'!$P$15:$AG$28,14,FALSE)))),"")</f>
        <v/>
      </c>
      <c r="V813" s="542" t="str">
        <f>IFERROR(VLOOKUP(INDEX(xySpace_Type_Details,MATCH($C813,'General Information'!$C$40:$C$60,0),12),Lookups!$L$8:$N$12,2,FALSE),"")</f>
        <v/>
      </c>
      <c r="W813" s="542" t="str">
        <f>IFERROR(VLOOKUP(INDEX(xySpace_Type_Details,MATCH($C813,'General Information'!$C$40:$C$60,0),12),Lookups!$L$8:$N$12,3,FALSE),"")</f>
        <v/>
      </c>
      <c r="Y813" s="542" t="str">
        <f>IFERROR(IF(C813="","",IF(INDEX(xyWattage_Table,MATCH(M813,'Fixture Identities'!$B$9:$B$997,0),2)="Exit Sign",0,IF(PRJ_Type="Retrofit",VLOOKUP(I813,xySVG_Factors,2,FALSE),IF(AND(PRJ_Type="New Construction",Inventory!C810="N"),VLOOKUP(VLOOKUP(Building_Type,xyLPD_BuildingArea,5,FALSE),xySVG_Factors_NC,3,FALSE),0)))),"")</f>
        <v/>
      </c>
      <c r="Z813" s="544" t="str">
        <f>IFERROR(IF(C813="","",IF(INDEX(xyWattage_Table,MATCH(M813,'Fixture Identities'!$B$9:$B$997,0),2)="Exit Sign",0,VLOOKUP(S813,xySVG_Factors,2,FALSE))),"")</f>
        <v/>
      </c>
      <c r="AA813" s="545" t="str">
        <f t="shared" si="285"/>
        <v/>
      </c>
      <c r="AB813" s="542" t="str">
        <f t="shared" si="286"/>
        <v/>
      </c>
      <c r="AC813" s="539" t="str">
        <f t="shared" si="287"/>
        <v/>
      </c>
      <c r="AD813" s="546" t="str">
        <f t="shared" si="288"/>
        <v/>
      </c>
      <c r="AE813" s="539" t="str">
        <f t="shared" si="289"/>
        <v/>
      </c>
      <c r="AF813" s="546" t="str">
        <f t="shared" si="290"/>
        <v/>
      </c>
      <c r="AG813" s="539" t="str">
        <f t="shared" si="291"/>
        <v/>
      </c>
      <c r="AH813" s="32">
        <f t="shared" si="293"/>
        <v>0</v>
      </c>
      <c r="AI813" s="32">
        <f t="shared" si="294"/>
        <v>0</v>
      </c>
      <c r="AJ813" s="32">
        <f t="shared" si="295"/>
        <v>0</v>
      </c>
      <c r="AK813" t="str">
        <f t="shared" si="296"/>
        <v/>
      </c>
      <c r="AL813" t="str">
        <f t="shared" si="297"/>
        <v/>
      </c>
      <c r="AM813" t="str">
        <f t="shared" si="298"/>
        <v/>
      </c>
      <c r="AO813" t="str">
        <f>IFERROR(VLOOKUP(M813,'Fixture Identities'!$B$9:$O$1045,14,FALSE),"")</f>
        <v/>
      </c>
      <c r="AP813" t="str">
        <f t="shared" si="292"/>
        <v/>
      </c>
    </row>
    <row r="814" spans="1:42">
      <c r="A814" s="71">
        <f t="shared" si="300"/>
        <v>0</v>
      </c>
      <c r="B814" s="513">
        <f t="shared" si="299"/>
        <v>802</v>
      </c>
      <c r="C814" s="530" t="str">
        <f>IF(Inventory!E811="","",Inventory!E811)</f>
        <v/>
      </c>
      <c r="D814" s="531">
        <f>IF(Inventory!D811="",0,Inventory!D811)</f>
        <v>0</v>
      </c>
      <c r="E814" s="532" t="str">
        <f>IF(Inventory!I811=0,"",Inventory!I811)</f>
        <v/>
      </c>
      <c r="F814" s="533" t="str">
        <f t="shared" si="279"/>
        <v/>
      </c>
      <c r="G814" s="534" t="str">
        <f>IF(Inventory!G811="","",Inventory!G811)</f>
        <v/>
      </c>
      <c r="H814" s="535" t="str">
        <f t="shared" si="280"/>
        <v/>
      </c>
      <c r="I814" s="536" t="str">
        <f>IF(Inventory!J811="","",Inventory!J811)</f>
        <v/>
      </c>
      <c r="J814" s="537" t="str">
        <f>IFERROR(IF(PRJ_Type="New Construction",IF(Inventory!C811="N",INDEX(xyLPD_BuildingArea,MATCH(Building_Type,Lookups!$F$37:$F$75,0),4),INDEX(xyLPD_SpaceBySpace,MATCH(INDEX(xyNCEx,MATCH(I814,yNCExArea,0),2),ySpace_by_Space_Type,0),2)),VLOOKUP(E814,xyWattage_Table,11,FALSE)),"")</f>
        <v/>
      </c>
      <c r="K814" s="538" t="str">
        <f>IFERROR(IF(AND(NC_Type="Building Area Method",Inventory!C811="N"),IF(ISERROR(INDEX('Usage Groups (&gt;120 MWh only)'!$N$8:$N$12,MATCH(C814,'Usage Groups (&gt;120 MWh only)'!$B$8:$B$12,0),1))=TRUE,SqFt/COUNTIFS(Inventory!$C$10:$C$1009,"N",$Q$13:$Q$1012,"&gt;=0"),INDEX('Usage Groups (&gt;120 MWh only)'!$N$8:$N$12,MATCH(C814,'Usage Groups (&gt;120 MWh only)'!$B$8:$B$12,0),1)/COUNTIF($C$13:$C$1012,C814)),IF(AND(NC_Type="Building Area Method",Inventory!C811="Y"),INDEX(xyNCEx,MATCH(I814,yNCExArea,0),3)/COUNTIF($I$13:$I$1012,I814),VLOOKUP(J814,xyWattage_Table,10,FALSE))),"")</f>
        <v/>
      </c>
      <c r="L814" s="539" t="str">
        <f t="shared" si="281"/>
        <v/>
      </c>
      <c r="M814" s="540">
        <f>IF(Inventory!N811="","",Inventory!N811)</f>
        <v>0</v>
      </c>
      <c r="N814" s="533" t="str">
        <f t="shared" si="282"/>
        <v/>
      </c>
      <c r="O814" s="534"/>
      <c r="P814" s="533" t="str">
        <f t="shared" si="283"/>
        <v/>
      </c>
      <c r="Q814" s="534" t="str">
        <f>IF(Inventory!L811="","",Inventory!L811)</f>
        <v/>
      </c>
      <c r="R814" s="535" t="str">
        <f t="shared" si="284"/>
        <v/>
      </c>
      <c r="S814" s="536" t="str">
        <f>IF(Inventory!O811="","",Inventory!O811)</f>
        <v/>
      </c>
      <c r="T814" s="541" t="str">
        <f>IFERROR(IF(C814="","",IF(INDEX(xyWattage_Table,MATCH(M814,'Fixture Identities'!$B$9:$B$997,0),2)="Exit Sign",8760,IF(VLOOKUP(C814,xySpace_Type_Details,8,FALSE)="TRM",INDEX('General Information'!$AF$17:$AG$28,11,MATCH(N814,'General Information'!$AF$16:$AG$16,0)),HLOOKUP(VLOOKUP(C814,xySpace_Type_Details,8,FALSE),'General Information'!$P$15:$AG$28,13,FALSE)))),"")</f>
        <v/>
      </c>
      <c r="U814" s="542" t="str">
        <f>IFERROR(IF(C814="","",IF(INDEX(xyWattage_Table,MATCH(M814,'Fixture Identities'!$B$9:$B$997,0),2)="Exit Sign",1,IF(VLOOKUP(C814,xySpace_Type_Details,8,FALSE)="TRM",INDEX('General Information'!$AF$17:$AG$28,12,MATCH(N814,'General Information'!$AF$16:$AG$16,0)),HLOOKUP(VLOOKUP(C814,xySpace_Type_Details,8,FALSE),'General Information'!$P$15:$AG$28,14,FALSE)))),"")</f>
        <v/>
      </c>
      <c r="V814" s="542" t="str">
        <f>IFERROR(VLOOKUP(INDEX(xySpace_Type_Details,MATCH($C814,'General Information'!$C$40:$C$60,0),12),Lookups!$L$8:$N$12,2,FALSE),"")</f>
        <v/>
      </c>
      <c r="W814" s="542" t="str">
        <f>IFERROR(VLOOKUP(INDEX(xySpace_Type_Details,MATCH($C814,'General Information'!$C$40:$C$60,0),12),Lookups!$L$8:$N$12,3,FALSE),"")</f>
        <v/>
      </c>
      <c r="Y814" s="542" t="str">
        <f>IFERROR(IF(C814="","",IF(INDEX(xyWattage_Table,MATCH(M814,'Fixture Identities'!$B$9:$B$997,0),2)="Exit Sign",0,IF(PRJ_Type="Retrofit",VLOOKUP(I814,xySVG_Factors,2,FALSE),IF(AND(PRJ_Type="New Construction",Inventory!C811="N"),VLOOKUP(VLOOKUP(Building_Type,xyLPD_BuildingArea,5,FALSE),xySVG_Factors_NC,3,FALSE),0)))),"")</f>
        <v/>
      </c>
      <c r="Z814" s="544" t="str">
        <f>IFERROR(IF(C814="","",IF(INDEX(xyWattage_Table,MATCH(M814,'Fixture Identities'!$B$9:$B$997,0),2)="Exit Sign",0,VLOOKUP(S814,xySVG_Factors,2,FALSE))),"")</f>
        <v/>
      </c>
      <c r="AA814" s="545" t="str">
        <f t="shared" si="285"/>
        <v/>
      </c>
      <c r="AB814" s="542" t="str">
        <f t="shared" si="286"/>
        <v/>
      </c>
      <c r="AC814" s="539" t="str">
        <f t="shared" si="287"/>
        <v/>
      </c>
      <c r="AD814" s="546" t="str">
        <f t="shared" si="288"/>
        <v/>
      </c>
      <c r="AE814" s="539" t="str">
        <f t="shared" si="289"/>
        <v/>
      </c>
      <c r="AF814" s="546" t="str">
        <f t="shared" si="290"/>
        <v/>
      </c>
      <c r="AG814" s="539" t="str">
        <f t="shared" si="291"/>
        <v/>
      </c>
      <c r="AH814" s="32">
        <f t="shared" si="293"/>
        <v>0</v>
      </c>
      <c r="AI814" s="32">
        <f t="shared" si="294"/>
        <v>0</v>
      </c>
      <c r="AJ814" s="32">
        <f t="shared" si="295"/>
        <v>0</v>
      </c>
      <c r="AK814" t="str">
        <f t="shared" si="296"/>
        <v/>
      </c>
      <c r="AL814" t="str">
        <f t="shared" si="297"/>
        <v/>
      </c>
      <c r="AM814" t="str">
        <f t="shared" si="298"/>
        <v/>
      </c>
      <c r="AO814" t="str">
        <f>IFERROR(VLOOKUP(M814,'Fixture Identities'!$B$9:$O$1045,14,FALSE),"")</f>
        <v/>
      </c>
      <c r="AP814" t="str">
        <f t="shared" si="292"/>
        <v/>
      </c>
    </row>
    <row r="815" spans="1:42">
      <c r="A815" s="71">
        <f t="shared" si="300"/>
        <v>0</v>
      </c>
      <c r="B815" s="513">
        <f t="shared" si="299"/>
        <v>803</v>
      </c>
      <c r="C815" s="530" t="str">
        <f>IF(Inventory!E812="","",Inventory!E812)</f>
        <v/>
      </c>
      <c r="D815" s="531">
        <f>IF(Inventory!D812="",0,Inventory!D812)</f>
        <v>0</v>
      </c>
      <c r="E815" s="532" t="str">
        <f>IF(Inventory!I812=0,"",Inventory!I812)</f>
        <v/>
      </c>
      <c r="F815" s="533" t="str">
        <f t="shared" si="279"/>
        <v/>
      </c>
      <c r="G815" s="534" t="str">
        <f>IF(Inventory!G812="","",Inventory!G812)</f>
        <v/>
      </c>
      <c r="H815" s="535" t="str">
        <f t="shared" si="280"/>
        <v/>
      </c>
      <c r="I815" s="536" t="str">
        <f>IF(Inventory!J812="","",Inventory!J812)</f>
        <v/>
      </c>
      <c r="J815" s="537" t="str">
        <f>IFERROR(IF(PRJ_Type="New Construction",IF(Inventory!C812="N",INDEX(xyLPD_BuildingArea,MATCH(Building_Type,Lookups!$F$37:$F$75,0),4),INDEX(xyLPD_SpaceBySpace,MATCH(INDEX(xyNCEx,MATCH(I815,yNCExArea,0),2),ySpace_by_Space_Type,0),2)),VLOOKUP(E815,xyWattage_Table,11,FALSE)),"")</f>
        <v/>
      </c>
      <c r="K815" s="538" t="str">
        <f>IFERROR(IF(AND(NC_Type="Building Area Method",Inventory!C812="N"),IF(ISERROR(INDEX('Usage Groups (&gt;120 MWh only)'!$N$8:$N$12,MATCH(C815,'Usage Groups (&gt;120 MWh only)'!$B$8:$B$12,0),1))=TRUE,SqFt/COUNTIFS(Inventory!$C$10:$C$1009,"N",$Q$13:$Q$1012,"&gt;=0"),INDEX('Usage Groups (&gt;120 MWh only)'!$N$8:$N$12,MATCH(C815,'Usage Groups (&gt;120 MWh only)'!$B$8:$B$12,0),1)/COUNTIF($C$13:$C$1012,C815)),IF(AND(NC_Type="Building Area Method",Inventory!C812="Y"),INDEX(xyNCEx,MATCH(I815,yNCExArea,0),3)/COUNTIF($I$13:$I$1012,I815),VLOOKUP(J815,xyWattage_Table,10,FALSE))),"")</f>
        <v/>
      </c>
      <c r="L815" s="539" t="str">
        <f t="shared" si="281"/>
        <v/>
      </c>
      <c r="M815" s="540">
        <f>IF(Inventory!N812="","",Inventory!N812)</f>
        <v>0</v>
      </c>
      <c r="N815" s="533" t="str">
        <f t="shared" si="282"/>
        <v/>
      </c>
      <c r="O815" s="534"/>
      <c r="P815" s="533" t="str">
        <f t="shared" si="283"/>
        <v/>
      </c>
      <c r="Q815" s="534" t="str">
        <f>IF(Inventory!L812="","",Inventory!L812)</f>
        <v/>
      </c>
      <c r="R815" s="535" t="str">
        <f t="shared" si="284"/>
        <v/>
      </c>
      <c r="S815" s="536" t="str">
        <f>IF(Inventory!O812="","",Inventory!O812)</f>
        <v/>
      </c>
      <c r="T815" s="541" t="str">
        <f>IFERROR(IF(C815="","",IF(INDEX(xyWattage_Table,MATCH(M815,'Fixture Identities'!$B$9:$B$997,0),2)="Exit Sign",8760,IF(VLOOKUP(C815,xySpace_Type_Details,8,FALSE)="TRM",INDEX('General Information'!$AF$17:$AG$28,11,MATCH(N815,'General Information'!$AF$16:$AG$16,0)),HLOOKUP(VLOOKUP(C815,xySpace_Type_Details,8,FALSE),'General Information'!$P$15:$AG$28,13,FALSE)))),"")</f>
        <v/>
      </c>
      <c r="U815" s="542" t="str">
        <f>IFERROR(IF(C815="","",IF(INDEX(xyWattage_Table,MATCH(M815,'Fixture Identities'!$B$9:$B$997,0),2)="Exit Sign",1,IF(VLOOKUP(C815,xySpace_Type_Details,8,FALSE)="TRM",INDEX('General Information'!$AF$17:$AG$28,12,MATCH(N815,'General Information'!$AF$16:$AG$16,0)),HLOOKUP(VLOOKUP(C815,xySpace_Type_Details,8,FALSE),'General Information'!$P$15:$AG$28,14,FALSE)))),"")</f>
        <v/>
      </c>
      <c r="V815" s="542" t="str">
        <f>IFERROR(VLOOKUP(INDEX(xySpace_Type_Details,MATCH($C815,'General Information'!$C$40:$C$60,0),12),Lookups!$L$8:$N$12,2,FALSE),"")</f>
        <v/>
      </c>
      <c r="W815" s="542" t="str">
        <f>IFERROR(VLOOKUP(INDEX(xySpace_Type_Details,MATCH($C815,'General Information'!$C$40:$C$60,0),12),Lookups!$L$8:$N$12,3,FALSE),"")</f>
        <v/>
      </c>
      <c r="Y815" s="542" t="str">
        <f>IFERROR(IF(C815="","",IF(INDEX(xyWattage_Table,MATCH(M815,'Fixture Identities'!$B$9:$B$997,0),2)="Exit Sign",0,IF(PRJ_Type="Retrofit",VLOOKUP(I815,xySVG_Factors,2,FALSE),IF(AND(PRJ_Type="New Construction",Inventory!C812="N"),VLOOKUP(VLOOKUP(Building_Type,xyLPD_BuildingArea,5,FALSE),xySVG_Factors_NC,3,FALSE),0)))),"")</f>
        <v/>
      </c>
      <c r="Z815" s="544" t="str">
        <f>IFERROR(IF(C815="","",IF(INDEX(xyWattage_Table,MATCH(M815,'Fixture Identities'!$B$9:$B$997,0),2)="Exit Sign",0,VLOOKUP(S815,xySVG_Factors,2,FALSE))),"")</f>
        <v/>
      </c>
      <c r="AA815" s="545" t="str">
        <f t="shared" si="285"/>
        <v/>
      </c>
      <c r="AB815" s="542" t="str">
        <f t="shared" si="286"/>
        <v/>
      </c>
      <c r="AC815" s="539" t="str">
        <f t="shared" si="287"/>
        <v/>
      </c>
      <c r="AD815" s="546" t="str">
        <f t="shared" si="288"/>
        <v/>
      </c>
      <c r="AE815" s="539" t="str">
        <f t="shared" si="289"/>
        <v/>
      </c>
      <c r="AF815" s="546" t="str">
        <f t="shared" si="290"/>
        <v/>
      </c>
      <c r="AG815" s="539" t="str">
        <f t="shared" si="291"/>
        <v/>
      </c>
      <c r="AH815" s="32">
        <f t="shared" si="293"/>
        <v>0</v>
      </c>
      <c r="AI815" s="32">
        <f t="shared" si="294"/>
        <v>0</v>
      </c>
      <c r="AJ815" s="32">
        <f t="shared" si="295"/>
        <v>0</v>
      </c>
      <c r="AK815" t="str">
        <f t="shared" si="296"/>
        <v/>
      </c>
      <c r="AL815" t="str">
        <f t="shared" si="297"/>
        <v/>
      </c>
      <c r="AM815" t="str">
        <f t="shared" si="298"/>
        <v/>
      </c>
      <c r="AO815" t="str">
        <f>IFERROR(VLOOKUP(M815,'Fixture Identities'!$B$9:$O$1045,14,FALSE),"")</f>
        <v/>
      </c>
      <c r="AP815" t="str">
        <f t="shared" si="292"/>
        <v/>
      </c>
    </row>
    <row r="816" spans="1:42">
      <c r="A816" s="71">
        <f t="shared" si="300"/>
        <v>0</v>
      </c>
      <c r="B816" s="513">
        <f t="shared" si="299"/>
        <v>804</v>
      </c>
      <c r="C816" s="530" t="str">
        <f>IF(Inventory!E813="","",Inventory!E813)</f>
        <v/>
      </c>
      <c r="D816" s="531">
        <f>IF(Inventory!D813="",0,Inventory!D813)</f>
        <v>0</v>
      </c>
      <c r="E816" s="532" t="str">
        <f>IF(Inventory!I813=0,"",Inventory!I813)</f>
        <v/>
      </c>
      <c r="F816" s="533" t="str">
        <f t="shared" si="279"/>
        <v/>
      </c>
      <c r="G816" s="534" t="str">
        <f>IF(Inventory!G813="","",Inventory!G813)</f>
        <v/>
      </c>
      <c r="H816" s="535" t="str">
        <f t="shared" si="280"/>
        <v/>
      </c>
      <c r="I816" s="536" t="str">
        <f>IF(Inventory!J813="","",Inventory!J813)</f>
        <v/>
      </c>
      <c r="J816" s="537" t="str">
        <f>IFERROR(IF(PRJ_Type="New Construction",IF(Inventory!C813="N",INDEX(xyLPD_BuildingArea,MATCH(Building_Type,Lookups!$F$37:$F$75,0),4),INDEX(xyLPD_SpaceBySpace,MATCH(INDEX(xyNCEx,MATCH(I816,yNCExArea,0),2),ySpace_by_Space_Type,0),2)),VLOOKUP(E816,xyWattage_Table,11,FALSE)),"")</f>
        <v/>
      </c>
      <c r="K816" s="538" t="str">
        <f>IFERROR(IF(AND(NC_Type="Building Area Method",Inventory!C813="N"),IF(ISERROR(INDEX('Usage Groups (&gt;120 MWh only)'!$N$8:$N$12,MATCH(C816,'Usage Groups (&gt;120 MWh only)'!$B$8:$B$12,0),1))=TRUE,SqFt/COUNTIFS(Inventory!$C$10:$C$1009,"N",$Q$13:$Q$1012,"&gt;=0"),INDEX('Usage Groups (&gt;120 MWh only)'!$N$8:$N$12,MATCH(C816,'Usage Groups (&gt;120 MWh only)'!$B$8:$B$12,0),1)/COUNTIF($C$13:$C$1012,C816)),IF(AND(NC_Type="Building Area Method",Inventory!C813="Y"),INDEX(xyNCEx,MATCH(I816,yNCExArea,0),3)/COUNTIF($I$13:$I$1012,I816),VLOOKUP(J816,xyWattage_Table,10,FALSE))),"")</f>
        <v/>
      </c>
      <c r="L816" s="539" t="str">
        <f t="shared" si="281"/>
        <v/>
      </c>
      <c r="M816" s="540">
        <f>IF(Inventory!N813="","",Inventory!N813)</f>
        <v>0</v>
      </c>
      <c r="N816" s="533" t="str">
        <f t="shared" si="282"/>
        <v/>
      </c>
      <c r="O816" s="534"/>
      <c r="P816" s="533" t="str">
        <f t="shared" si="283"/>
        <v/>
      </c>
      <c r="Q816" s="534" t="str">
        <f>IF(Inventory!L813="","",Inventory!L813)</f>
        <v/>
      </c>
      <c r="R816" s="535" t="str">
        <f t="shared" si="284"/>
        <v/>
      </c>
      <c r="S816" s="536" t="str">
        <f>IF(Inventory!O813="","",Inventory!O813)</f>
        <v/>
      </c>
      <c r="T816" s="541" t="str">
        <f>IFERROR(IF(C816="","",IF(INDEX(xyWattage_Table,MATCH(M816,'Fixture Identities'!$B$9:$B$997,0),2)="Exit Sign",8760,IF(VLOOKUP(C816,xySpace_Type_Details,8,FALSE)="TRM",INDEX('General Information'!$AF$17:$AG$28,11,MATCH(N816,'General Information'!$AF$16:$AG$16,0)),HLOOKUP(VLOOKUP(C816,xySpace_Type_Details,8,FALSE),'General Information'!$P$15:$AG$28,13,FALSE)))),"")</f>
        <v/>
      </c>
      <c r="U816" s="542" t="str">
        <f>IFERROR(IF(C816="","",IF(INDEX(xyWattage_Table,MATCH(M816,'Fixture Identities'!$B$9:$B$997,0),2)="Exit Sign",1,IF(VLOOKUP(C816,xySpace_Type_Details,8,FALSE)="TRM",INDEX('General Information'!$AF$17:$AG$28,12,MATCH(N816,'General Information'!$AF$16:$AG$16,0)),HLOOKUP(VLOOKUP(C816,xySpace_Type_Details,8,FALSE),'General Information'!$P$15:$AG$28,14,FALSE)))),"")</f>
        <v/>
      </c>
      <c r="V816" s="542" t="str">
        <f>IFERROR(VLOOKUP(INDEX(xySpace_Type_Details,MATCH($C816,'General Information'!$C$40:$C$60,0),12),Lookups!$L$8:$N$12,2,FALSE),"")</f>
        <v/>
      </c>
      <c r="W816" s="542" t="str">
        <f>IFERROR(VLOOKUP(INDEX(xySpace_Type_Details,MATCH($C816,'General Information'!$C$40:$C$60,0),12),Lookups!$L$8:$N$12,3,FALSE),"")</f>
        <v/>
      </c>
      <c r="Y816" s="542" t="str">
        <f>IFERROR(IF(C816="","",IF(INDEX(xyWattage_Table,MATCH(M816,'Fixture Identities'!$B$9:$B$997,0),2)="Exit Sign",0,IF(PRJ_Type="Retrofit",VLOOKUP(I816,xySVG_Factors,2,FALSE),IF(AND(PRJ_Type="New Construction",Inventory!C813="N"),VLOOKUP(VLOOKUP(Building_Type,xyLPD_BuildingArea,5,FALSE),xySVG_Factors_NC,3,FALSE),0)))),"")</f>
        <v/>
      </c>
      <c r="Z816" s="544" t="str">
        <f>IFERROR(IF(C816="","",IF(INDEX(xyWattage_Table,MATCH(M816,'Fixture Identities'!$B$9:$B$997,0),2)="Exit Sign",0,VLOOKUP(S816,xySVG_Factors,2,FALSE))),"")</f>
        <v/>
      </c>
      <c r="AA816" s="545" t="str">
        <f t="shared" si="285"/>
        <v/>
      </c>
      <c r="AB816" s="542" t="str">
        <f t="shared" si="286"/>
        <v/>
      </c>
      <c r="AC816" s="539" t="str">
        <f t="shared" si="287"/>
        <v/>
      </c>
      <c r="AD816" s="546" t="str">
        <f t="shared" si="288"/>
        <v/>
      </c>
      <c r="AE816" s="539" t="str">
        <f t="shared" si="289"/>
        <v/>
      </c>
      <c r="AF816" s="546" t="str">
        <f t="shared" si="290"/>
        <v/>
      </c>
      <c r="AG816" s="539" t="str">
        <f t="shared" si="291"/>
        <v/>
      </c>
      <c r="AH816" s="32">
        <f t="shared" si="293"/>
        <v>0</v>
      </c>
      <c r="AI816" s="32">
        <f t="shared" si="294"/>
        <v>0</v>
      </c>
      <c r="AJ816" s="32">
        <f t="shared" si="295"/>
        <v>0</v>
      </c>
      <c r="AK816" t="str">
        <f t="shared" si="296"/>
        <v/>
      </c>
      <c r="AL816" t="str">
        <f t="shared" si="297"/>
        <v/>
      </c>
      <c r="AM816" t="str">
        <f t="shared" si="298"/>
        <v/>
      </c>
      <c r="AO816" t="str">
        <f>IFERROR(VLOOKUP(M816,'Fixture Identities'!$B$9:$O$1045,14,FALSE),"")</f>
        <v/>
      </c>
      <c r="AP816" t="str">
        <f t="shared" si="292"/>
        <v/>
      </c>
    </row>
    <row r="817" spans="1:42">
      <c r="A817" s="71">
        <f t="shared" si="300"/>
        <v>0</v>
      </c>
      <c r="B817" s="513">
        <f t="shared" si="299"/>
        <v>805</v>
      </c>
      <c r="C817" s="530" t="str">
        <f>IF(Inventory!E814="","",Inventory!E814)</f>
        <v/>
      </c>
      <c r="D817" s="531">
        <f>IF(Inventory!D814="",0,Inventory!D814)</f>
        <v>0</v>
      </c>
      <c r="E817" s="532" t="str">
        <f>IF(Inventory!I814=0,"",Inventory!I814)</f>
        <v/>
      </c>
      <c r="F817" s="533" t="str">
        <f t="shared" si="279"/>
        <v/>
      </c>
      <c r="G817" s="534" t="str">
        <f>IF(Inventory!G814="","",Inventory!G814)</f>
        <v/>
      </c>
      <c r="H817" s="535" t="str">
        <f t="shared" si="280"/>
        <v/>
      </c>
      <c r="I817" s="536" t="str">
        <f>IF(Inventory!J814="","",Inventory!J814)</f>
        <v/>
      </c>
      <c r="J817" s="537" t="str">
        <f>IFERROR(IF(PRJ_Type="New Construction",IF(Inventory!C814="N",INDEX(xyLPD_BuildingArea,MATCH(Building_Type,Lookups!$F$37:$F$75,0),4),INDEX(xyLPD_SpaceBySpace,MATCH(INDEX(xyNCEx,MATCH(I817,yNCExArea,0),2),ySpace_by_Space_Type,0),2)),VLOOKUP(E817,xyWattage_Table,11,FALSE)),"")</f>
        <v/>
      </c>
      <c r="K817" s="538" t="str">
        <f>IFERROR(IF(AND(NC_Type="Building Area Method",Inventory!C814="N"),IF(ISERROR(INDEX('Usage Groups (&gt;120 MWh only)'!$N$8:$N$12,MATCH(C817,'Usage Groups (&gt;120 MWh only)'!$B$8:$B$12,0),1))=TRUE,SqFt/COUNTIFS(Inventory!$C$10:$C$1009,"N",$Q$13:$Q$1012,"&gt;=0"),INDEX('Usage Groups (&gt;120 MWh only)'!$N$8:$N$12,MATCH(C817,'Usage Groups (&gt;120 MWh only)'!$B$8:$B$12,0),1)/COUNTIF($C$13:$C$1012,C817)),IF(AND(NC_Type="Building Area Method",Inventory!C814="Y"),INDEX(xyNCEx,MATCH(I817,yNCExArea,0),3)/COUNTIF($I$13:$I$1012,I817),VLOOKUP(J817,xyWattage_Table,10,FALSE))),"")</f>
        <v/>
      </c>
      <c r="L817" s="539" t="str">
        <f t="shared" si="281"/>
        <v/>
      </c>
      <c r="M817" s="540">
        <f>IF(Inventory!N814="","",Inventory!N814)</f>
        <v>0</v>
      </c>
      <c r="N817" s="533" t="str">
        <f t="shared" si="282"/>
        <v/>
      </c>
      <c r="O817" s="534"/>
      <c r="P817" s="533" t="str">
        <f t="shared" si="283"/>
        <v/>
      </c>
      <c r="Q817" s="534" t="str">
        <f>IF(Inventory!L814="","",Inventory!L814)</f>
        <v/>
      </c>
      <c r="R817" s="535" t="str">
        <f t="shared" si="284"/>
        <v/>
      </c>
      <c r="S817" s="536" t="str">
        <f>IF(Inventory!O814="","",Inventory!O814)</f>
        <v/>
      </c>
      <c r="T817" s="541" t="str">
        <f>IFERROR(IF(C817="","",IF(INDEX(xyWattage_Table,MATCH(M817,'Fixture Identities'!$B$9:$B$997,0),2)="Exit Sign",8760,IF(VLOOKUP(C817,xySpace_Type_Details,8,FALSE)="TRM",INDEX('General Information'!$AF$17:$AG$28,11,MATCH(N817,'General Information'!$AF$16:$AG$16,0)),HLOOKUP(VLOOKUP(C817,xySpace_Type_Details,8,FALSE),'General Information'!$P$15:$AG$28,13,FALSE)))),"")</f>
        <v/>
      </c>
      <c r="U817" s="542" t="str">
        <f>IFERROR(IF(C817="","",IF(INDEX(xyWattage_Table,MATCH(M817,'Fixture Identities'!$B$9:$B$997,0),2)="Exit Sign",1,IF(VLOOKUP(C817,xySpace_Type_Details,8,FALSE)="TRM",INDEX('General Information'!$AF$17:$AG$28,12,MATCH(N817,'General Information'!$AF$16:$AG$16,0)),HLOOKUP(VLOOKUP(C817,xySpace_Type_Details,8,FALSE),'General Information'!$P$15:$AG$28,14,FALSE)))),"")</f>
        <v/>
      </c>
      <c r="V817" s="542" t="str">
        <f>IFERROR(VLOOKUP(INDEX(xySpace_Type_Details,MATCH($C817,'General Information'!$C$40:$C$60,0),12),Lookups!$L$8:$N$12,2,FALSE),"")</f>
        <v/>
      </c>
      <c r="W817" s="542" t="str">
        <f>IFERROR(VLOOKUP(INDEX(xySpace_Type_Details,MATCH($C817,'General Information'!$C$40:$C$60,0),12),Lookups!$L$8:$N$12,3,FALSE),"")</f>
        <v/>
      </c>
      <c r="Y817" s="542" t="str">
        <f>IFERROR(IF(C817="","",IF(INDEX(xyWattage_Table,MATCH(M817,'Fixture Identities'!$B$9:$B$997,0),2)="Exit Sign",0,IF(PRJ_Type="Retrofit",VLOOKUP(I817,xySVG_Factors,2,FALSE),IF(AND(PRJ_Type="New Construction",Inventory!C814="N"),VLOOKUP(VLOOKUP(Building_Type,xyLPD_BuildingArea,5,FALSE),xySVG_Factors_NC,3,FALSE),0)))),"")</f>
        <v/>
      </c>
      <c r="Z817" s="544" t="str">
        <f>IFERROR(IF(C817="","",IF(INDEX(xyWattage_Table,MATCH(M817,'Fixture Identities'!$B$9:$B$997,0),2)="Exit Sign",0,VLOOKUP(S817,xySVG_Factors,2,FALSE))),"")</f>
        <v/>
      </c>
      <c r="AA817" s="545" t="str">
        <f t="shared" si="285"/>
        <v/>
      </c>
      <c r="AB817" s="542" t="str">
        <f t="shared" si="286"/>
        <v/>
      </c>
      <c r="AC817" s="539" t="str">
        <f t="shared" si="287"/>
        <v/>
      </c>
      <c r="AD817" s="546" t="str">
        <f t="shared" si="288"/>
        <v/>
      </c>
      <c r="AE817" s="539" t="str">
        <f t="shared" si="289"/>
        <v/>
      </c>
      <c r="AF817" s="546" t="str">
        <f t="shared" si="290"/>
        <v/>
      </c>
      <c r="AG817" s="539" t="str">
        <f t="shared" si="291"/>
        <v/>
      </c>
      <c r="AH817" s="32">
        <f t="shared" si="293"/>
        <v>0</v>
      </c>
      <c r="AI817" s="32">
        <f t="shared" si="294"/>
        <v>0</v>
      </c>
      <c r="AJ817" s="32">
        <f t="shared" si="295"/>
        <v>0</v>
      </c>
      <c r="AK817" t="str">
        <f t="shared" si="296"/>
        <v/>
      </c>
      <c r="AL817" t="str">
        <f t="shared" si="297"/>
        <v/>
      </c>
      <c r="AM817" t="str">
        <f t="shared" si="298"/>
        <v/>
      </c>
      <c r="AO817" t="str">
        <f>IFERROR(VLOOKUP(M817,'Fixture Identities'!$B$9:$O$1045,14,FALSE),"")</f>
        <v/>
      </c>
      <c r="AP817" t="str">
        <f t="shared" si="292"/>
        <v/>
      </c>
    </row>
    <row r="818" spans="1:42">
      <c r="A818" s="71">
        <f t="shared" si="300"/>
        <v>0</v>
      </c>
      <c r="B818" s="513">
        <f t="shared" si="299"/>
        <v>806</v>
      </c>
      <c r="C818" s="530" t="str">
        <f>IF(Inventory!E815="","",Inventory!E815)</f>
        <v/>
      </c>
      <c r="D818" s="531">
        <f>IF(Inventory!D815="",0,Inventory!D815)</f>
        <v>0</v>
      </c>
      <c r="E818" s="532" t="str">
        <f>IF(Inventory!I815=0,"",Inventory!I815)</f>
        <v/>
      </c>
      <c r="F818" s="533" t="str">
        <f t="shared" si="279"/>
        <v/>
      </c>
      <c r="G818" s="534" t="str">
        <f>IF(Inventory!G815="","",Inventory!G815)</f>
        <v/>
      </c>
      <c r="H818" s="535" t="str">
        <f t="shared" si="280"/>
        <v/>
      </c>
      <c r="I818" s="536" t="str">
        <f>IF(Inventory!J815="","",Inventory!J815)</f>
        <v/>
      </c>
      <c r="J818" s="537" t="str">
        <f>IFERROR(IF(PRJ_Type="New Construction",IF(Inventory!C815="N",INDEX(xyLPD_BuildingArea,MATCH(Building_Type,Lookups!$F$37:$F$75,0),4),INDEX(xyLPD_SpaceBySpace,MATCH(INDEX(xyNCEx,MATCH(I818,yNCExArea,0),2),ySpace_by_Space_Type,0),2)),VLOOKUP(E818,xyWattage_Table,11,FALSE)),"")</f>
        <v/>
      </c>
      <c r="K818" s="538" t="str">
        <f>IFERROR(IF(AND(NC_Type="Building Area Method",Inventory!C815="N"),IF(ISERROR(INDEX('Usage Groups (&gt;120 MWh only)'!$N$8:$N$12,MATCH(C818,'Usage Groups (&gt;120 MWh only)'!$B$8:$B$12,0),1))=TRUE,SqFt/COUNTIFS(Inventory!$C$10:$C$1009,"N",$Q$13:$Q$1012,"&gt;=0"),INDEX('Usage Groups (&gt;120 MWh only)'!$N$8:$N$12,MATCH(C818,'Usage Groups (&gt;120 MWh only)'!$B$8:$B$12,0),1)/COUNTIF($C$13:$C$1012,C818)),IF(AND(NC_Type="Building Area Method",Inventory!C815="Y"),INDEX(xyNCEx,MATCH(I818,yNCExArea,0),3)/COUNTIF($I$13:$I$1012,I818),VLOOKUP(J818,xyWattage_Table,10,FALSE))),"")</f>
        <v/>
      </c>
      <c r="L818" s="539" t="str">
        <f t="shared" si="281"/>
        <v/>
      </c>
      <c r="M818" s="540">
        <f>IF(Inventory!N815="","",Inventory!N815)</f>
        <v>0</v>
      </c>
      <c r="N818" s="533" t="str">
        <f t="shared" si="282"/>
        <v/>
      </c>
      <c r="O818" s="534"/>
      <c r="P818" s="533" t="str">
        <f t="shared" si="283"/>
        <v/>
      </c>
      <c r="Q818" s="534" t="str">
        <f>IF(Inventory!L815="","",Inventory!L815)</f>
        <v/>
      </c>
      <c r="R818" s="535" t="str">
        <f t="shared" si="284"/>
        <v/>
      </c>
      <c r="S818" s="536" t="str">
        <f>IF(Inventory!O815="","",Inventory!O815)</f>
        <v/>
      </c>
      <c r="T818" s="541" t="str">
        <f>IFERROR(IF(C818="","",IF(INDEX(xyWattage_Table,MATCH(M818,'Fixture Identities'!$B$9:$B$997,0),2)="Exit Sign",8760,IF(VLOOKUP(C818,xySpace_Type_Details,8,FALSE)="TRM",INDEX('General Information'!$AF$17:$AG$28,11,MATCH(N818,'General Information'!$AF$16:$AG$16,0)),HLOOKUP(VLOOKUP(C818,xySpace_Type_Details,8,FALSE),'General Information'!$P$15:$AG$28,13,FALSE)))),"")</f>
        <v/>
      </c>
      <c r="U818" s="542" t="str">
        <f>IFERROR(IF(C818="","",IF(INDEX(xyWattage_Table,MATCH(M818,'Fixture Identities'!$B$9:$B$997,0),2)="Exit Sign",1,IF(VLOOKUP(C818,xySpace_Type_Details,8,FALSE)="TRM",INDEX('General Information'!$AF$17:$AG$28,12,MATCH(N818,'General Information'!$AF$16:$AG$16,0)),HLOOKUP(VLOOKUP(C818,xySpace_Type_Details,8,FALSE),'General Information'!$P$15:$AG$28,14,FALSE)))),"")</f>
        <v/>
      </c>
      <c r="V818" s="542" t="str">
        <f>IFERROR(VLOOKUP(INDEX(xySpace_Type_Details,MATCH($C818,'General Information'!$C$40:$C$60,0),12),Lookups!$L$8:$N$12,2,FALSE),"")</f>
        <v/>
      </c>
      <c r="W818" s="542" t="str">
        <f>IFERROR(VLOOKUP(INDEX(xySpace_Type_Details,MATCH($C818,'General Information'!$C$40:$C$60,0),12),Lookups!$L$8:$N$12,3,FALSE),"")</f>
        <v/>
      </c>
      <c r="Y818" s="542" t="str">
        <f>IFERROR(IF(C818="","",IF(INDEX(xyWattage_Table,MATCH(M818,'Fixture Identities'!$B$9:$B$997,0),2)="Exit Sign",0,IF(PRJ_Type="Retrofit",VLOOKUP(I818,xySVG_Factors,2,FALSE),IF(AND(PRJ_Type="New Construction",Inventory!C815="N"),VLOOKUP(VLOOKUP(Building_Type,xyLPD_BuildingArea,5,FALSE),xySVG_Factors_NC,3,FALSE),0)))),"")</f>
        <v/>
      </c>
      <c r="Z818" s="544" t="str">
        <f>IFERROR(IF(C818="","",IF(INDEX(xyWattage_Table,MATCH(M818,'Fixture Identities'!$B$9:$B$997,0),2)="Exit Sign",0,VLOOKUP(S818,xySVG_Factors,2,FALSE))),"")</f>
        <v/>
      </c>
      <c r="AA818" s="545" t="str">
        <f t="shared" si="285"/>
        <v/>
      </c>
      <c r="AB818" s="542" t="str">
        <f t="shared" si="286"/>
        <v/>
      </c>
      <c r="AC818" s="539" t="str">
        <f t="shared" si="287"/>
        <v/>
      </c>
      <c r="AD818" s="546" t="str">
        <f t="shared" si="288"/>
        <v/>
      </c>
      <c r="AE818" s="539" t="str">
        <f t="shared" si="289"/>
        <v/>
      </c>
      <c r="AF818" s="546" t="str">
        <f t="shared" si="290"/>
        <v/>
      </c>
      <c r="AG818" s="539" t="str">
        <f t="shared" si="291"/>
        <v/>
      </c>
      <c r="AH818" s="32">
        <f t="shared" si="293"/>
        <v>0</v>
      </c>
      <c r="AI818" s="32">
        <f t="shared" si="294"/>
        <v>0</v>
      </c>
      <c r="AJ818" s="32">
        <f t="shared" si="295"/>
        <v>0</v>
      </c>
      <c r="AK818" t="str">
        <f t="shared" si="296"/>
        <v/>
      </c>
      <c r="AL818" t="str">
        <f t="shared" si="297"/>
        <v/>
      </c>
      <c r="AM818" t="str">
        <f t="shared" si="298"/>
        <v/>
      </c>
      <c r="AO818" t="str">
        <f>IFERROR(VLOOKUP(M818,'Fixture Identities'!$B$9:$O$1045,14,FALSE),"")</f>
        <v/>
      </c>
      <c r="AP818" t="str">
        <f t="shared" si="292"/>
        <v/>
      </c>
    </row>
    <row r="819" spans="1:42">
      <c r="A819" s="71">
        <f t="shared" si="300"/>
        <v>0</v>
      </c>
      <c r="B819" s="513">
        <f t="shared" si="299"/>
        <v>807</v>
      </c>
      <c r="C819" s="530" t="str">
        <f>IF(Inventory!E816="","",Inventory!E816)</f>
        <v/>
      </c>
      <c r="D819" s="531">
        <f>IF(Inventory!D816="",0,Inventory!D816)</f>
        <v>0</v>
      </c>
      <c r="E819" s="532" t="str">
        <f>IF(Inventory!I816=0,"",Inventory!I816)</f>
        <v/>
      </c>
      <c r="F819" s="533" t="str">
        <f t="shared" si="279"/>
        <v/>
      </c>
      <c r="G819" s="534" t="str">
        <f>IF(Inventory!G816="","",Inventory!G816)</f>
        <v/>
      </c>
      <c r="H819" s="535" t="str">
        <f t="shared" si="280"/>
        <v/>
      </c>
      <c r="I819" s="536" t="str">
        <f>IF(Inventory!J816="","",Inventory!J816)</f>
        <v/>
      </c>
      <c r="J819" s="537" t="str">
        <f>IFERROR(IF(PRJ_Type="New Construction",IF(Inventory!C816="N",INDEX(xyLPD_BuildingArea,MATCH(Building_Type,Lookups!$F$37:$F$75,0),4),INDEX(xyLPD_SpaceBySpace,MATCH(INDEX(xyNCEx,MATCH(I819,yNCExArea,0),2),ySpace_by_Space_Type,0),2)),VLOOKUP(E819,xyWattage_Table,11,FALSE)),"")</f>
        <v/>
      </c>
      <c r="K819" s="538" t="str">
        <f>IFERROR(IF(AND(NC_Type="Building Area Method",Inventory!C816="N"),IF(ISERROR(INDEX('Usage Groups (&gt;120 MWh only)'!$N$8:$N$12,MATCH(C819,'Usage Groups (&gt;120 MWh only)'!$B$8:$B$12,0),1))=TRUE,SqFt/COUNTIFS(Inventory!$C$10:$C$1009,"N",$Q$13:$Q$1012,"&gt;=0"),INDEX('Usage Groups (&gt;120 MWh only)'!$N$8:$N$12,MATCH(C819,'Usage Groups (&gt;120 MWh only)'!$B$8:$B$12,0),1)/COUNTIF($C$13:$C$1012,C819)),IF(AND(NC_Type="Building Area Method",Inventory!C816="Y"),INDEX(xyNCEx,MATCH(I819,yNCExArea,0),3)/COUNTIF($I$13:$I$1012,I819),VLOOKUP(J819,xyWattage_Table,10,FALSE))),"")</f>
        <v/>
      </c>
      <c r="L819" s="539" t="str">
        <f t="shared" si="281"/>
        <v/>
      </c>
      <c r="M819" s="540">
        <f>IF(Inventory!N816="","",Inventory!N816)</f>
        <v>0</v>
      </c>
      <c r="N819" s="533" t="str">
        <f t="shared" si="282"/>
        <v/>
      </c>
      <c r="O819" s="534"/>
      <c r="P819" s="533" t="str">
        <f t="shared" si="283"/>
        <v/>
      </c>
      <c r="Q819" s="534" t="str">
        <f>IF(Inventory!L816="","",Inventory!L816)</f>
        <v/>
      </c>
      <c r="R819" s="535" t="str">
        <f t="shared" si="284"/>
        <v/>
      </c>
      <c r="S819" s="536" t="str">
        <f>IF(Inventory!O816="","",Inventory!O816)</f>
        <v/>
      </c>
      <c r="T819" s="541" t="str">
        <f>IFERROR(IF(C819="","",IF(INDEX(xyWattage_Table,MATCH(M819,'Fixture Identities'!$B$9:$B$997,0),2)="Exit Sign",8760,IF(VLOOKUP(C819,xySpace_Type_Details,8,FALSE)="TRM",INDEX('General Information'!$AF$17:$AG$28,11,MATCH(N819,'General Information'!$AF$16:$AG$16,0)),HLOOKUP(VLOOKUP(C819,xySpace_Type_Details,8,FALSE),'General Information'!$P$15:$AG$28,13,FALSE)))),"")</f>
        <v/>
      </c>
      <c r="U819" s="542" t="str">
        <f>IFERROR(IF(C819="","",IF(INDEX(xyWattage_Table,MATCH(M819,'Fixture Identities'!$B$9:$B$997,0),2)="Exit Sign",1,IF(VLOOKUP(C819,xySpace_Type_Details,8,FALSE)="TRM",INDEX('General Information'!$AF$17:$AG$28,12,MATCH(N819,'General Information'!$AF$16:$AG$16,0)),HLOOKUP(VLOOKUP(C819,xySpace_Type_Details,8,FALSE),'General Information'!$P$15:$AG$28,14,FALSE)))),"")</f>
        <v/>
      </c>
      <c r="V819" s="542" t="str">
        <f>IFERROR(VLOOKUP(INDEX(xySpace_Type_Details,MATCH($C819,'General Information'!$C$40:$C$60,0),12),Lookups!$L$8:$N$12,2,FALSE),"")</f>
        <v/>
      </c>
      <c r="W819" s="542" t="str">
        <f>IFERROR(VLOOKUP(INDEX(xySpace_Type_Details,MATCH($C819,'General Information'!$C$40:$C$60,0),12),Lookups!$L$8:$N$12,3,FALSE),"")</f>
        <v/>
      </c>
      <c r="Y819" s="542" t="str">
        <f>IFERROR(IF(C819="","",IF(INDEX(xyWattage_Table,MATCH(M819,'Fixture Identities'!$B$9:$B$997,0),2)="Exit Sign",0,IF(PRJ_Type="Retrofit",VLOOKUP(I819,xySVG_Factors,2,FALSE),IF(AND(PRJ_Type="New Construction",Inventory!C816="N"),VLOOKUP(VLOOKUP(Building_Type,xyLPD_BuildingArea,5,FALSE),xySVG_Factors_NC,3,FALSE),0)))),"")</f>
        <v/>
      </c>
      <c r="Z819" s="544" t="str">
        <f>IFERROR(IF(C819="","",IF(INDEX(xyWattage_Table,MATCH(M819,'Fixture Identities'!$B$9:$B$997,0),2)="Exit Sign",0,VLOOKUP(S819,xySVG_Factors,2,FALSE))),"")</f>
        <v/>
      </c>
      <c r="AA819" s="545" t="str">
        <f t="shared" si="285"/>
        <v/>
      </c>
      <c r="AB819" s="542" t="str">
        <f t="shared" si="286"/>
        <v/>
      </c>
      <c r="AC819" s="539" t="str">
        <f t="shared" si="287"/>
        <v/>
      </c>
      <c r="AD819" s="546" t="str">
        <f t="shared" si="288"/>
        <v/>
      </c>
      <c r="AE819" s="539" t="str">
        <f t="shared" si="289"/>
        <v/>
      </c>
      <c r="AF819" s="546" t="str">
        <f t="shared" si="290"/>
        <v/>
      </c>
      <c r="AG819" s="539" t="str">
        <f t="shared" si="291"/>
        <v/>
      </c>
      <c r="AH819" s="32">
        <f t="shared" si="293"/>
        <v>0</v>
      </c>
      <c r="AI819" s="32">
        <f t="shared" si="294"/>
        <v>0</v>
      </c>
      <c r="AJ819" s="32">
        <f t="shared" si="295"/>
        <v>0</v>
      </c>
      <c r="AK819" t="str">
        <f t="shared" si="296"/>
        <v/>
      </c>
      <c r="AL819" t="str">
        <f t="shared" si="297"/>
        <v/>
      </c>
      <c r="AM819" t="str">
        <f t="shared" si="298"/>
        <v/>
      </c>
      <c r="AO819" t="str">
        <f>IFERROR(VLOOKUP(M819,'Fixture Identities'!$B$9:$O$1045,14,FALSE),"")</f>
        <v/>
      </c>
      <c r="AP819" t="str">
        <f t="shared" si="292"/>
        <v/>
      </c>
    </row>
    <row r="820" spans="1:42">
      <c r="A820" s="71">
        <f t="shared" si="300"/>
        <v>0</v>
      </c>
      <c r="B820" s="513">
        <f t="shared" si="299"/>
        <v>808</v>
      </c>
      <c r="C820" s="530" t="str">
        <f>IF(Inventory!E817="","",Inventory!E817)</f>
        <v/>
      </c>
      <c r="D820" s="531">
        <f>IF(Inventory!D817="",0,Inventory!D817)</f>
        <v>0</v>
      </c>
      <c r="E820" s="532" t="str">
        <f>IF(Inventory!I817=0,"",Inventory!I817)</f>
        <v/>
      </c>
      <c r="F820" s="533" t="str">
        <f t="shared" si="279"/>
        <v/>
      </c>
      <c r="G820" s="534" t="str">
        <f>IF(Inventory!G817="","",Inventory!G817)</f>
        <v/>
      </c>
      <c r="H820" s="535" t="str">
        <f t="shared" si="280"/>
        <v/>
      </c>
      <c r="I820" s="536" t="str">
        <f>IF(Inventory!J817="","",Inventory!J817)</f>
        <v/>
      </c>
      <c r="J820" s="537" t="str">
        <f>IFERROR(IF(PRJ_Type="New Construction",IF(Inventory!C817="N",INDEX(xyLPD_BuildingArea,MATCH(Building_Type,Lookups!$F$37:$F$75,0),4),INDEX(xyLPD_SpaceBySpace,MATCH(INDEX(xyNCEx,MATCH(I820,yNCExArea,0),2),ySpace_by_Space_Type,0),2)),VLOOKUP(E820,xyWattage_Table,11,FALSE)),"")</f>
        <v/>
      </c>
      <c r="K820" s="538" t="str">
        <f>IFERROR(IF(AND(NC_Type="Building Area Method",Inventory!C817="N"),IF(ISERROR(INDEX('Usage Groups (&gt;120 MWh only)'!$N$8:$N$12,MATCH(C820,'Usage Groups (&gt;120 MWh only)'!$B$8:$B$12,0),1))=TRUE,SqFt/COUNTIFS(Inventory!$C$10:$C$1009,"N",$Q$13:$Q$1012,"&gt;=0"),INDEX('Usage Groups (&gt;120 MWh only)'!$N$8:$N$12,MATCH(C820,'Usage Groups (&gt;120 MWh only)'!$B$8:$B$12,0),1)/COUNTIF($C$13:$C$1012,C820)),IF(AND(NC_Type="Building Area Method",Inventory!C817="Y"),INDEX(xyNCEx,MATCH(I820,yNCExArea,0),3)/COUNTIF($I$13:$I$1012,I820),VLOOKUP(J820,xyWattage_Table,10,FALSE))),"")</f>
        <v/>
      </c>
      <c r="L820" s="539" t="str">
        <f t="shared" si="281"/>
        <v/>
      </c>
      <c r="M820" s="540">
        <f>IF(Inventory!N817="","",Inventory!N817)</f>
        <v>0</v>
      </c>
      <c r="N820" s="533" t="str">
        <f t="shared" si="282"/>
        <v/>
      </c>
      <c r="O820" s="534"/>
      <c r="P820" s="533" t="str">
        <f t="shared" si="283"/>
        <v/>
      </c>
      <c r="Q820" s="534" t="str">
        <f>IF(Inventory!L817="","",Inventory!L817)</f>
        <v/>
      </c>
      <c r="R820" s="535" t="str">
        <f t="shared" si="284"/>
        <v/>
      </c>
      <c r="S820" s="536" t="str">
        <f>IF(Inventory!O817="","",Inventory!O817)</f>
        <v/>
      </c>
      <c r="T820" s="541" t="str">
        <f>IFERROR(IF(C820="","",IF(INDEX(xyWattage_Table,MATCH(M820,'Fixture Identities'!$B$9:$B$997,0),2)="Exit Sign",8760,IF(VLOOKUP(C820,xySpace_Type_Details,8,FALSE)="TRM",INDEX('General Information'!$AF$17:$AG$28,11,MATCH(N820,'General Information'!$AF$16:$AG$16,0)),HLOOKUP(VLOOKUP(C820,xySpace_Type_Details,8,FALSE),'General Information'!$P$15:$AG$28,13,FALSE)))),"")</f>
        <v/>
      </c>
      <c r="U820" s="542" t="str">
        <f>IFERROR(IF(C820="","",IF(INDEX(xyWattage_Table,MATCH(M820,'Fixture Identities'!$B$9:$B$997,0),2)="Exit Sign",1,IF(VLOOKUP(C820,xySpace_Type_Details,8,FALSE)="TRM",INDEX('General Information'!$AF$17:$AG$28,12,MATCH(N820,'General Information'!$AF$16:$AG$16,0)),HLOOKUP(VLOOKUP(C820,xySpace_Type_Details,8,FALSE),'General Information'!$P$15:$AG$28,14,FALSE)))),"")</f>
        <v/>
      </c>
      <c r="V820" s="542" t="str">
        <f>IFERROR(VLOOKUP(INDEX(xySpace_Type_Details,MATCH($C820,'General Information'!$C$40:$C$60,0),12),Lookups!$L$8:$N$12,2,FALSE),"")</f>
        <v/>
      </c>
      <c r="W820" s="542" t="str">
        <f>IFERROR(VLOOKUP(INDEX(xySpace_Type_Details,MATCH($C820,'General Information'!$C$40:$C$60,0),12),Lookups!$L$8:$N$12,3,FALSE),"")</f>
        <v/>
      </c>
      <c r="Y820" s="542" t="str">
        <f>IFERROR(IF(C820="","",IF(INDEX(xyWattage_Table,MATCH(M820,'Fixture Identities'!$B$9:$B$997,0),2)="Exit Sign",0,IF(PRJ_Type="Retrofit",VLOOKUP(I820,xySVG_Factors,2,FALSE),IF(AND(PRJ_Type="New Construction",Inventory!C817="N"),VLOOKUP(VLOOKUP(Building_Type,xyLPD_BuildingArea,5,FALSE),xySVG_Factors_NC,3,FALSE),0)))),"")</f>
        <v/>
      </c>
      <c r="Z820" s="544" t="str">
        <f>IFERROR(IF(C820="","",IF(INDEX(xyWattage_Table,MATCH(M820,'Fixture Identities'!$B$9:$B$997,0),2)="Exit Sign",0,VLOOKUP(S820,xySVG_Factors,2,FALSE))),"")</f>
        <v/>
      </c>
      <c r="AA820" s="545" t="str">
        <f t="shared" si="285"/>
        <v/>
      </c>
      <c r="AB820" s="542" t="str">
        <f t="shared" si="286"/>
        <v/>
      </c>
      <c r="AC820" s="539" t="str">
        <f t="shared" si="287"/>
        <v/>
      </c>
      <c r="AD820" s="546" t="str">
        <f t="shared" si="288"/>
        <v/>
      </c>
      <c r="AE820" s="539" t="str">
        <f t="shared" si="289"/>
        <v/>
      </c>
      <c r="AF820" s="546" t="str">
        <f t="shared" si="290"/>
        <v/>
      </c>
      <c r="AG820" s="539" t="str">
        <f t="shared" si="291"/>
        <v/>
      </c>
      <c r="AH820" s="32">
        <f t="shared" si="293"/>
        <v>0</v>
      </c>
      <c r="AI820" s="32">
        <f t="shared" si="294"/>
        <v>0</v>
      </c>
      <c r="AJ820" s="32">
        <f t="shared" si="295"/>
        <v>0</v>
      </c>
      <c r="AK820" t="str">
        <f t="shared" si="296"/>
        <v/>
      </c>
      <c r="AL820" t="str">
        <f t="shared" si="297"/>
        <v/>
      </c>
      <c r="AM820" t="str">
        <f t="shared" si="298"/>
        <v/>
      </c>
      <c r="AO820" t="str">
        <f>IFERROR(VLOOKUP(M820,'Fixture Identities'!$B$9:$O$1045,14,FALSE),"")</f>
        <v/>
      </c>
      <c r="AP820" t="str">
        <f t="shared" si="292"/>
        <v/>
      </c>
    </row>
    <row r="821" spans="1:42">
      <c r="A821" s="71">
        <f t="shared" si="300"/>
        <v>0</v>
      </c>
      <c r="B821" s="513">
        <f t="shared" si="299"/>
        <v>809</v>
      </c>
      <c r="C821" s="530" t="str">
        <f>IF(Inventory!E818="","",Inventory!E818)</f>
        <v/>
      </c>
      <c r="D821" s="531">
        <f>IF(Inventory!D818="",0,Inventory!D818)</f>
        <v>0</v>
      </c>
      <c r="E821" s="532" t="str">
        <f>IF(Inventory!I818=0,"",Inventory!I818)</f>
        <v/>
      </c>
      <c r="F821" s="533" t="str">
        <f t="shared" si="279"/>
        <v/>
      </c>
      <c r="G821" s="534" t="str">
        <f>IF(Inventory!G818="","",Inventory!G818)</f>
        <v/>
      </c>
      <c r="H821" s="535" t="str">
        <f t="shared" si="280"/>
        <v/>
      </c>
      <c r="I821" s="536" t="str">
        <f>IF(Inventory!J818="","",Inventory!J818)</f>
        <v/>
      </c>
      <c r="J821" s="537" t="str">
        <f>IFERROR(IF(PRJ_Type="New Construction",IF(Inventory!C818="N",INDEX(xyLPD_BuildingArea,MATCH(Building_Type,Lookups!$F$37:$F$75,0),4),INDEX(xyLPD_SpaceBySpace,MATCH(INDEX(xyNCEx,MATCH(I821,yNCExArea,0),2),ySpace_by_Space_Type,0),2)),VLOOKUP(E821,xyWattage_Table,11,FALSE)),"")</f>
        <v/>
      </c>
      <c r="K821" s="538" t="str">
        <f>IFERROR(IF(AND(NC_Type="Building Area Method",Inventory!C818="N"),IF(ISERROR(INDEX('Usage Groups (&gt;120 MWh only)'!$N$8:$N$12,MATCH(C821,'Usage Groups (&gt;120 MWh only)'!$B$8:$B$12,0),1))=TRUE,SqFt/COUNTIFS(Inventory!$C$10:$C$1009,"N",$Q$13:$Q$1012,"&gt;=0"),INDEX('Usage Groups (&gt;120 MWh only)'!$N$8:$N$12,MATCH(C821,'Usage Groups (&gt;120 MWh only)'!$B$8:$B$12,0),1)/COUNTIF($C$13:$C$1012,C821)),IF(AND(NC_Type="Building Area Method",Inventory!C818="Y"),INDEX(xyNCEx,MATCH(I821,yNCExArea,0),3)/COUNTIF($I$13:$I$1012,I821),VLOOKUP(J821,xyWattage_Table,10,FALSE))),"")</f>
        <v/>
      </c>
      <c r="L821" s="539" t="str">
        <f t="shared" si="281"/>
        <v/>
      </c>
      <c r="M821" s="540">
        <f>IF(Inventory!N818="","",Inventory!N818)</f>
        <v>0</v>
      </c>
      <c r="N821" s="533" t="str">
        <f t="shared" si="282"/>
        <v/>
      </c>
      <c r="O821" s="534"/>
      <c r="P821" s="533" t="str">
        <f t="shared" si="283"/>
        <v/>
      </c>
      <c r="Q821" s="534" t="str">
        <f>IF(Inventory!L818="","",Inventory!L818)</f>
        <v/>
      </c>
      <c r="R821" s="535" t="str">
        <f t="shared" si="284"/>
        <v/>
      </c>
      <c r="S821" s="536" t="str">
        <f>IF(Inventory!O818="","",Inventory!O818)</f>
        <v/>
      </c>
      <c r="T821" s="541" t="str">
        <f>IFERROR(IF(C821="","",IF(INDEX(xyWattage_Table,MATCH(M821,'Fixture Identities'!$B$9:$B$997,0),2)="Exit Sign",8760,IF(VLOOKUP(C821,xySpace_Type_Details,8,FALSE)="TRM",INDEX('General Information'!$AF$17:$AG$28,11,MATCH(N821,'General Information'!$AF$16:$AG$16,0)),HLOOKUP(VLOOKUP(C821,xySpace_Type_Details,8,FALSE),'General Information'!$P$15:$AG$28,13,FALSE)))),"")</f>
        <v/>
      </c>
      <c r="U821" s="542" t="str">
        <f>IFERROR(IF(C821="","",IF(INDEX(xyWattage_Table,MATCH(M821,'Fixture Identities'!$B$9:$B$997,0),2)="Exit Sign",1,IF(VLOOKUP(C821,xySpace_Type_Details,8,FALSE)="TRM",INDEX('General Information'!$AF$17:$AG$28,12,MATCH(N821,'General Information'!$AF$16:$AG$16,0)),HLOOKUP(VLOOKUP(C821,xySpace_Type_Details,8,FALSE),'General Information'!$P$15:$AG$28,14,FALSE)))),"")</f>
        <v/>
      </c>
      <c r="V821" s="542" t="str">
        <f>IFERROR(VLOOKUP(INDEX(xySpace_Type_Details,MATCH($C821,'General Information'!$C$40:$C$60,0),12),Lookups!$L$8:$N$12,2,FALSE),"")</f>
        <v/>
      </c>
      <c r="W821" s="542" t="str">
        <f>IFERROR(VLOOKUP(INDEX(xySpace_Type_Details,MATCH($C821,'General Information'!$C$40:$C$60,0),12),Lookups!$L$8:$N$12,3,FALSE),"")</f>
        <v/>
      </c>
      <c r="Y821" s="542" t="str">
        <f>IFERROR(IF(C821="","",IF(INDEX(xyWattage_Table,MATCH(M821,'Fixture Identities'!$B$9:$B$997,0),2)="Exit Sign",0,IF(PRJ_Type="Retrofit",VLOOKUP(I821,xySVG_Factors,2,FALSE),IF(AND(PRJ_Type="New Construction",Inventory!C818="N"),VLOOKUP(VLOOKUP(Building_Type,xyLPD_BuildingArea,5,FALSE),xySVG_Factors_NC,3,FALSE),0)))),"")</f>
        <v/>
      </c>
      <c r="Z821" s="544" t="str">
        <f>IFERROR(IF(C821="","",IF(INDEX(xyWattage_Table,MATCH(M821,'Fixture Identities'!$B$9:$B$997,0),2)="Exit Sign",0,VLOOKUP(S821,xySVG_Factors,2,FALSE))),"")</f>
        <v/>
      </c>
      <c r="AA821" s="545" t="str">
        <f t="shared" si="285"/>
        <v/>
      </c>
      <c r="AB821" s="542" t="str">
        <f t="shared" si="286"/>
        <v/>
      </c>
      <c r="AC821" s="539" t="str">
        <f t="shared" si="287"/>
        <v/>
      </c>
      <c r="AD821" s="546" t="str">
        <f t="shared" si="288"/>
        <v/>
      </c>
      <c r="AE821" s="539" t="str">
        <f t="shared" si="289"/>
        <v/>
      </c>
      <c r="AF821" s="546" t="str">
        <f t="shared" si="290"/>
        <v/>
      </c>
      <c r="AG821" s="539" t="str">
        <f t="shared" si="291"/>
        <v/>
      </c>
      <c r="AH821" s="32">
        <f t="shared" si="293"/>
        <v>0</v>
      </c>
      <c r="AI821" s="32">
        <f t="shared" si="294"/>
        <v>0</v>
      </c>
      <c r="AJ821" s="32">
        <f t="shared" si="295"/>
        <v>0</v>
      </c>
      <c r="AK821" t="str">
        <f t="shared" si="296"/>
        <v/>
      </c>
      <c r="AL821" t="str">
        <f t="shared" si="297"/>
        <v/>
      </c>
      <c r="AM821" t="str">
        <f t="shared" si="298"/>
        <v/>
      </c>
      <c r="AO821" t="str">
        <f>IFERROR(VLOOKUP(M821,'Fixture Identities'!$B$9:$O$1045,14,FALSE),"")</f>
        <v/>
      </c>
      <c r="AP821" t="str">
        <f t="shared" si="292"/>
        <v/>
      </c>
    </row>
    <row r="822" spans="1:42">
      <c r="A822" s="71">
        <f t="shared" si="300"/>
        <v>0</v>
      </c>
      <c r="B822" s="513">
        <f t="shared" si="299"/>
        <v>810</v>
      </c>
      <c r="C822" s="530" t="str">
        <f>IF(Inventory!E819="","",Inventory!E819)</f>
        <v/>
      </c>
      <c r="D822" s="531">
        <f>IF(Inventory!D819="",0,Inventory!D819)</f>
        <v>0</v>
      </c>
      <c r="E822" s="532" t="str">
        <f>IF(Inventory!I819=0,"",Inventory!I819)</f>
        <v/>
      </c>
      <c r="F822" s="533" t="str">
        <f t="shared" si="279"/>
        <v/>
      </c>
      <c r="G822" s="534" t="str">
        <f>IF(Inventory!G819="","",Inventory!G819)</f>
        <v/>
      </c>
      <c r="H822" s="535" t="str">
        <f t="shared" si="280"/>
        <v/>
      </c>
      <c r="I822" s="536" t="str">
        <f>IF(Inventory!J819="","",Inventory!J819)</f>
        <v/>
      </c>
      <c r="J822" s="537" t="str">
        <f>IFERROR(IF(PRJ_Type="New Construction",IF(Inventory!C819="N",INDEX(xyLPD_BuildingArea,MATCH(Building_Type,Lookups!$F$37:$F$75,0),4),INDEX(xyLPD_SpaceBySpace,MATCH(INDEX(xyNCEx,MATCH(I822,yNCExArea,0),2),ySpace_by_Space_Type,0),2)),VLOOKUP(E822,xyWattage_Table,11,FALSE)),"")</f>
        <v/>
      </c>
      <c r="K822" s="538" t="str">
        <f>IFERROR(IF(AND(NC_Type="Building Area Method",Inventory!C819="N"),IF(ISERROR(INDEX('Usage Groups (&gt;120 MWh only)'!$N$8:$N$12,MATCH(C822,'Usage Groups (&gt;120 MWh only)'!$B$8:$B$12,0),1))=TRUE,SqFt/COUNTIFS(Inventory!$C$10:$C$1009,"N",$Q$13:$Q$1012,"&gt;=0"),INDEX('Usage Groups (&gt;120 MWh only)'!$N$8:$N$12,MATCH(C822,'Usage Groups (&gt;120 MWh only)'!$B$8:$B$12,0),1)/COUNTIF($C$13:$C$1012,C822)),IF(AND(NC_Type="Building Area Method",Inventory!C819="Y"),INDEX(xyNCEx,MATCH(I822,yNCExArea,0),3)/COUNTIF($I$13:$I$1012,I822),VLOOKUP(J822,xyWattage_Table,10,FALSE))),"")</f>
        <v/>
      </c>
      <c r="L822" s="539" t="str">
        <f t="shared" si="281"/>
        <v/>
      </c>
      <c r="M822" s="540">
        <f>IF(Inventory!N819="","",Inventory!N819)</f>
        <v>0</v>
      </c>
      <c r="N822" s="533" t="str">
        <f t="shared" si="282"/>
        <v/>
      </c>
      <c r="O822" s="534"/>
      <c r="P822" s="533" t="str">
        <f t="shared" si="283"/>
        <v/>
      </c>
      <c r="Q822" s="534" t="str">
        <f>IF(Inventory!L819="","",Inventory!L819)</f>
        <v/>
      </c>
      <c r="R822" s="535" t="str">
        <f t="shared" si="284"/>
        <v/>
      </c>
      <c r="S822" s="536" t="str">
        <f>IF(Inventory!O819="","",Inventory!O819)</f>
        <v/>
      </c>
      <c r="T822" s="541" t="str">
        <f>IFERROR(IF(C822="","",IF(INDEX(xyWattage_Table,MATCH(M822,'Fixture Identities'!$B$9:$B$997,0),2)="Exit Sign",8760,IF(VLOOKUP(C822,xySpace_Type_Details,8,FALSE)="TRM",INDEX('General Information'!$AF$17:$AG$28,11,MATCH(N822,'General Information'!$AF$16:$AG$16,0)),HLOOKUP(VLOOKUP(C822,xySpace_Type_Details,8,FALSE),'General Information'!$P$15:$AG$28,13,FALSE)))),"")</f>
        <v/>
      </c>
      <c r="U822" s="542" t="str">
        <f>IFERROR(IF(C822="","",IF(INDEX(xyWattage_Table,MATCH(M822,'Fixture Identities'!$B$9:$B$997,0),2)="Exit Sign",1,IF(VLOOKUP(C822,xySpace_Type_Details,8,FALSE)="TRM",INDEX('General Information'!$AF$17:$AG$28,12,MATCH(N822,'General Information'!$AF$16:$AG$16,0)),HLOOKUP(VLOOKUP(C822,xySpace_Type_Details,8,FALSE),'General Information'!$P$15:$AG$28,14,FALSE)))),"")</f>
        <v/>
      </c>
      <c r="V822" s="542" t="str">
        <f>IFERROR(VLOOKUP(INDEX(xySpace_Type_Details,MATCH($C822,'General Information'!$C$40:$C$60,0),12),Lookups!$L$8:$N$12,2,FALSE),"")</f>
        <v/>
      </c>
      <c r="W822" s="542" t="str">
        <f>IFERROR(VLOOKUP(INDEX(xySpace_Type_Details,MATCH($C822,'General Information'!$C$40:$C$60,0),12),Lookups!$L$8:$N$12,3,FALSE),"")</f>
        <v/>
      </c>
      <c r="Y822" s="542" t="str">
        <f>IFERROR(IF(C822="","",IF(INDEX(xyWattage_Table,MATCH(M822,'Fixture Identities'!$B$9:$B$997,0),2)="Exit Sign",0,IF(PRJ_Type="Retrofit",VLOOKUP(I822,xySVG_Factors,2,FALSE),IF(AND(PRJ_Type="New Construction",Inventory!C819="N"),VLOOKUP(VLOOKUP(Building_Type,xyLPD_BuildingArea,5,FALSE),xySVG_Factors_NC,3,FALSE),0)))),"")</f>
        <v/>
      </c>
      <c r="Z822" s="544" t="str">
        <f>IFERROR(IF(C822="","",IF(INDEX(xyWattage_Table,MATCH(M822,'Fixture Identities'!$B$9:$B$997,0),2)="Exit Sign",0,VLOOKUP(S822,xySVG_Factors,2,FALSE))),"")</f>
        <v/>
      </c>
      <c r="AA822" s="545" t="str">
        <f t="shared" si="285"/>
        <v/>
      </c>
      <c r="AB822" s="542" t="str">
        <f t="shared" si="286"/>
        <v/>
      </c>
      <c r="AC822" s="539" t="str">
        <f t="shared" si="287"/>
        <v/>
      </c>
      <c r="AD822" s="546" t="str">
        <f t="shared" si="288"/>
        <v/>
      </c>
      <c r="AE822" s="539" t="str">
        <f t="shared" si="289"/>
        <v/>
      </c>
      <c r="AF822" s="546" t="str">
        <f t="shared" si="290"/>
        <v/>
      </c>
      <c r="AG822" s="539" t="str">
        <f t="shared" si="291"/>
        <v/>
      </c>
      <c r="AH822" s="32">
        <f t="shared" si="293"/>
        <v>0</v>
      </c>
      <c r="AI822" s="32">
        <f t="shared" si="294"/>
        <v>0</v>
      </c>
      <c r="AJ822" s="32">
        <f t="shared" si="295"/>
        <v>0</v>
      </c>
      <c r="AK822" t="str">
        <f t="shared" si="296"/>
        <v/>
      </c>
      <c r="AL822" t="str">
        <f t="shared" si="297"/>
        <v/>
      </c>
      <c r="AM822" t="str">
        <f t="shared" si="298"/>
        <v/>
      </c>
      <c r="AO822" t="str">
        <f>IFERROR(VLOOKUP(M822,'Fixture Identities'!$B$9:$O$1045,14,FALSE),"")</f>
        <v/>
      </c>
      <c r="AP822" t="str">
        <f t="shared" si="292"/>
        <v/>
      </c>
    </row>
    <row r="823" spans="1:42">
      <c r="A823" s="71">
        <f t="shared" si="300"/>
        <v>0</v>
      </c>
      <c r="B823" s="513">
        <f t="shared" si="299"/>
        <v>811</v>
      </c>
      <c r="C823" s="530" t="str">
        <f>IF(Inventory!E820="","",Inventory!E820)</f>
        <v/>
      </c>
      <c r="D823" s="531">
        <f>IF(Inventory!D820="",0,Inventory!D820)</f>
        <v>0</v>
      </c>
      <c r="E823" s="532" t="str">
        <f>IF(Inventory!I820=0,"",Inventory!I820)</f>
        <v/>
      </c>
      <c r="F823" s="533" t="str">
        <f t="shared" si="279"/>
        <v/>
      </c>
      <c r="G823" s="534" t="str">
        <f>IF(Inventory!G820="","",Inventory!G820)</f>
        <v/>
      </c>
      <c r="H823" s="535" t="str">
        <f t="shared" si="280"/>
        <v/>
      </c>
      <c r="I823" s="536" t="str">
        <f>IF(Inventory!J820="","",Inventory!J820)</f>
        <v/>
      </c>
      <c r="J823" s="537" t="str">
        <f>IFERROR(IF(PRJ_Type="New Construction",IF(Inventory!C820="N",INDEX(xyLPD_BuildingArea,MATCH(Building_Type,Lookups!$F$37:$F$75,0),4),INDEX(xyLPD_SpaceBySpace,MATCH(INDEX(xyNCEx,MATCH(I823,yNCExArea,0),2),ySpace_by_Space_Type,0),2)),VLOOKUP(E823,xyWattage_Table,11,FALSE)),"")</f>
        <v/>
      </c>
      <c r="K823" s="538" t="str">
        <f>IFERROR(IF(AND(NC_Type="Building Area Method",Inventory!C820="N"),IF(ISERROR(INDEX('Usage Groups (&gt;120 MWh only)'!$N$8:$N$12,MATCH(C823,'Usage Groups (&gt;120 MWh only)'!$B$8:$B$12,0),1))=TRUE,SqFt/COUNTIFS(Inventory!$C$10:$C$1009,"N",$Q$13:$Q$1012,"&gt;=0"),INDEX('Usage Groups (&gt;120 MWh only)'!$N$8:$N$12,MATCH(C823,'Usage Groups (&gt;120 MWh only)'!$B$8:$B$12,0),1)/COUNTIF($C$13:$C$1012,C823)),IF(AND(NC_Type="Building Area Method",Inventory!C820="Y"),INDEX(xyNCEx,MATCH(I823,yNCExArea,0),3)/COUNTIF($I$13:$I$1012,I823),VLOOKUP(J823,xyWattage_Table,10,FALSE))),"")</f>
        <v/>
      </c>
      <c r="L823" s="539" t="str">
        <f t="shared" si="281"/>
        <v/>
      </c>
      <c r="M823" s="540">
        <f>IF(Inventory!N820="","",Inventory!N820)</f>
        <v>0</v>
      </c>
      <c r="N823" s="533" t="str">
        <f t="shared" si="282"/>
        <v/>
      </c>
      <c r="O823" s="534"/>
      <c r="P823" s="533" t="str">
        <f t="shared" si="283"/>
        <v/>
      </c>
      <c r="Q823" s="534" t="str">
        <f>IF(Inventory!L820="","",Inventory!L820)</f>
        <v/>
      </c>
      <c r="R823" s="535" t="str">
        <f t="shared" si="284"/>
        <v/>
      </c>
      <c r="S823" s="536" t="str">
        <f>IF(Inventory!O820="","",Inventory!O820)</f>
        <v/>
      </c>
      <c r="T823" s="541" t="str">
        <f>IFERROR(IF(C823="","",IF(INDEX(xyWattage_Table,MATCH(M823,'Fixture Identities'!$B$9:$B$997,0),2)="Exit Sign",8760,IF(VLOOKUP(C823,xySpace_Type_Details,8,FALSE)="TRM",INDEX('General Information'!$AF$17:$AG$28,11,MATCH(N823,'General Information'!$AF$16:$AG$16,0)),HLOOKUP(VLOOKUP(C823,xySpace_Type_Details,8,FALSE),'General Information'!$P$15:$AG$28,13,FALSE)))),"")</f>
        <v/>
      </c>
      <c r="U823" s="542" t="str">
        <f>IFERROR(IF(C823="","",IF(INDEX(xyWattage_Table,MATCH(M823,'Fixture Identities'!$B$9:$B$997,0),2)="Exit Sign",1,IF(VLOOKUP(C823,xySpace_Type_Details,8,FALSE)="TRM",INDEX('General Information'!$AF$17:$AG$28,12,MATCH(N823,'General Information'!$AF$16:$AG$16,0)),HLOOKUP(VLOOKUP(C823,xySpace_Type_Details,8,FALSE),'General Information'!$P$15:$AG$28,14,FALSE)))),"")</f>
        <v/>
      </c>
      <c r="V823" s="542" t="str">
        <f>IFERROR(VLOOKUP(INDEX(xySpace_Type_Details,MATCH($C823,'General Information'!$C$40:$C$60,0),12),Lookups!$L$8:$N$12,2,FALSE),"")</f>
        <v/>
      </c>
      <c r="W823" s="542" t="str">
        <f>IFERROR(VLOOKUP(INDEX(xySpace_Type_Details,MATCH($C823,'General Information'!$C$40:$C$60,0),12),Lookups!$L$8:$N$12,3,FALSE),"")</f>
        <v/>
      </c>
      <c r="Y823" s="542" t="str">
        <f>IFERROR(IF(C823="","",IF(INDEX(xyWattage_Table,MATCH(M823,'Fixture Identities'!$B$9:$B$997,0),2)="Exit Sign",0,IF(PRJ_Type="Retrofit",VLOOKUP(I823,xySVG_Factors,2,FALSE),IF(AND(PRJ_Type="New Construction",Inventory!C820="N"),VLOOKUP(VLOOKUP(Building_Type,xyLPD_BuildingArea,5,FALSE),xySVG_Factors_NC,3,FALSE),0)))),"")</f>
        <v/>
      </c>
      <c r="Z823" s="544" t="str">
        <f>IFERROR(IF(C823="","",IF(INDEX(xyWattage_Table,MATCH(M823,'Fixture Identities'!$B$9:$B$997,0),2)="Exit Sign",0,VLOOKUP(S823,xySVG_Factors,2,FALSE))),"")</f>
        <v/>
      </c>
      <c r="AA823" s="545" t="str">
        <f t="shared" si="285"/>
        <v/>
      </c>
      <c r="AB823" s="542" t="str">
        <f t="shared" si="286"/>
        <v/>
      </c>
      <c r="AC823" s="539" t="str">
        <f t="shared" si="287"/>
        <v/>
      </c>
      <c r="AD823" s="546" t="str">
        <f t="shared" si="288"/>
        <v/>
      </c>
      <c r="AE823" s="539" t="str">
        <f t="shared" si="289"/>
        <v/>
      </c>
      <c r="AF823" s="546" t="str">
        <f t="shared" si="290"/>
        <v/>
      </c>
      <c r="AG823" s="539" t="str">
        <f t="shared" si="291"/>
        <v/>
      </c>
      <c r="AH823" s="32">
        <f t="shared" si="293"/>
        <v>0</v>
      </c>
      <c r="AI823" s="32">
        <f t="shared" si="294"/>
        <v>0</v>
      </c>
      <c r="AJ823" s="32">
        <f t="shared" si="295"/>
        <v>0</v>
      </c>
      <c r="AK823" t="str">
        <f t="shared" si="296"/>
        <v/>
      </c>
      <c r="AL823" t="str">
        <f t="shared" si="297"/>
        <v/>
      </c>
      <c r="AM823" t="str">
        <f t="shared" si="298"/>
        <v/>
      </c>
      <c r="AO823" t="str">
        <f>IFERROR(VLOOKUP(M823,'Fixture Identities'!$B$9:$O$1045,14,FALSE),"")</f>
        <v/>
      </c>
      <c r="AP823" t="str">
        <f t="shared" si="292"/>
        <v/>
      </c>
    </row>
    <row r="824" spans="1:42">
      <c r="A824" s="71">
        <f t="shared" si="300"/>
        <v>0</v>
      </c>
      <c r="B824" s="513">
        <f t="shared" si="299"/>
        <v>812</v>
      </c>
      <c r="C824" s="530" t="str">
        <f>IF(Inventory!E821="","",Inventory!E821)</f>
        <v/>
      </c>
      <c r="D824" s="531">
        <f>IF(Inventory!D821="",0,Inventory!D821)</f>
        <v>0</v>
      </c>
      <c r="E824" s="532" t="str">
        <f>IF(Inventory!I821=0,"",Inventory!I821)</f>
        <v/>
      </c>
      <c r="F824" s="533" t="str">
        <f t="shared" si="279"/>
        <v/>
      </c>
      <c r="G824" s="534" t="str">
        <f>IF(Inventory!G821="","",Inventory!G821)</f>
        <v/>
      </c>
      <c r="H824" s="535" t="str">
        <f t="shared" si="280"/>
        <v/>
      </c>
      <c r="I824" s="536" t="str">
        <f>IF(Inventory!J821="","",Inventory!J821)</f>
        <v/>
      </c>
      <c r="J824" s="537" t="str">
        <f>IFERROR(IF(PRJ_Type="New Construction",IF(Inventory!C821="N",INDEX(xyLPD_BuildingArea,MATCH(Building_Type,Lookups!$F$37:$F$75,0),4),INDEX(xyLPD_SpaceBySpace,MATCH(INDEX(xyNCEx,MATCH(I824,yNCExArea,0),2),ySpace_by_Space_Type,0),2)),VLOOKUP(E824,xyWattage_Table,11,FALSE)),"")</f>
        <v/>
      </c>
      <c r="K824" s="538" t="str">
        <f>IFERROR(IF(AND(NC_Type="Building Area Method",Inventory!C821="N"),IF(ISERROR(INDEX('Usage Groups (&gt;120 MWh only)'!$N$8:$N$12,MATCH(C824,'Usage Groups (&gt;120 MWh only)'!$B$8:$B$12,0),1))=TRUE,SqFt/COUNTIFS(Inventory!$C$10:$C$1009,"N",$Q$13:$Q$1012,"&gt;=0"),INDEX('Usage Groups (&gt;120 MWh only)'!$N$8:$N$12,MATCH(C824,'Usage Groups (&gt;120 MWh only)'!$B$8:$B$12,0),1)/COUNTIF($C$13:$C$1012,C824)),IF(AND(NC_Type="Building Area Method",Inventory!C821="Y"),INDEX(xyNCEx,MATCH(I824,yNCExArea,0),3)/COUNTIF($I$13:$I$1012,I824),VLOOKUP(J824,xyWattage_Table,10,FALSE))),"")</f>
        <v/>
      </c>
      <c r="L824" s="539" t="str">
        <f t="shared" si="281"/>
        <v/>
      </c>
      <c r="M824" s="540">
        <f>IF(Inventory!N821="","",Inventory!N821)</f>
        <v>0</v>
      </c>
      <c r="N824" s="533" t="str">
        <f t="shared" si="282"/>
        <v/>
      </c>
      <c r="O824" s="534"/>
      <c r="P824" s="533" t="str">
        <f t="shared" si="283"/>
        <v/>
      </c>
      <c r="Q824" s="534" t="str">
        <f>IF(Inventory!L821="","",Inventory!L821)</f>
        <v/>
      </c>
      <c r="R824" s="535" t="str">
        <f t="shared" si="284"/>
        <v/>
      </c>
      <c r="S824" s="536" t="str">
        <f>IF(Inventory!O821="","",Inventory!O821)</f>
        <v/>
      </c>
      <c r="T824" s="541" t="str">
        <f>IFERROR(IF(C824="","",IF(INDEX(xyWattage_Table,MATCH(M824,'Fixture Identities'!$B$9:$B$997,0),2)="Exit Sign",8760,IF(VLOOKUP(C824,xySpace_Type_Details,8,FALSE)="TRM",INDEX('General Information'!$AF$17:$AG$28,11,MATCH(N824,'General Information'!$AF$16:$AG$16,0)),HLOOKUP(VLOOKUP(C824,xySpace_Type_Details,8,FALSE),'General Information'!$P$15:$AG$28,13,FALSE)))),"")</f>
        <v/>
      </c>
      <c r="U824" s="542" t="str">
        <f>IFERROR(IF(C824="","",IF(INDEX(xyWattage_Table,MATCH(M824,'Fixture Identities'!$B$9:$B$997,0),2)="Exit Sign",1,IF(VLOOKUP(C824,xySpace_Type_Details,8,FALSE)="TRM",INDEX('General Information'!$AF$17:$AG$28,12,MATCH(N824,'General Information'!$AF$16:$AG$16,0)),HLOOKUP(VLOOKUP(C824,xySpace_Type_Details,8,FALSE),'General Information'!$P$15:$AG$28,14,FALSE)))),"")</f>
        <v/>
      </c>
      <c r="V824" s="542" t="str">
        <f>IFERROR(VLOOKUP(INDEX(xySpace_Type_Details,MATCH($C824,'General Information'!$C$40:$C$60,0),12),Lookups!$L$8:$N$12,2,FALSE),"")</f>
        <v/>
      </c>
      <c r="W824" s="542" t="str">
        <f>IFERROR(VLOOKUP(INDEX(xySpace_Type_Details,MATCH($C824,'General Information'!$C$40:$C$60,0),12),Lookups!$L$8:$N$12,3,FALSE),"")</f>
        <v/>
      </c>
      <c r="Y824" s="542" t="str">
        <f>IFERROR(IF(C824="","",IF(INDEX(xyWattage_Table,MATCH(M824,'Fixture Identities'!$B$9:$B$997,0),2)="Exit Sign",0,IF(PRJ_Type="Retrofit",VLOOKUP(I824,xySVG_Factors,2,FALSE),IF(AND(PRJ_Type="New Construction",Inventory!C821="N"),VLOOKUP(VLOOKUP(Building_Type,xyLPD_BuildingArea,5,FALSE),xySVG_Factors_NC,3,FALSE),0)))),"")</f>
        <v/>
      </c>
      <c r="Z824" s="544" t="str">
        <f>IFERROR(IF(C824="","",IF(INDEX(xyWattage_Table,MATCH(M824,'Fixture Identities'!$B$9:$B$997,0),2)="Exit Sign",0,VLOOKUP(S824,xySVG_Factors,2,FALSE))),"")</f>
        <v/>
      </c>
      <c r="AA824" s="545" t="str">
        <f t="shared" si="285"/>
        <v/>
      </c>
      <c r="AB824" s="542" t="str">
        <f t="shared" si="286"/>
        <v/>
      </c>
      <c r="AC824" s="539" t="str">
        <f t="shared" si="287"/>
        <v/>
      </c>
      <c r="AD824" s="546" t="str">
        <f t="shared" si="288"/>
        <v/>
      </c>
      <c r="AE824" s="539" t="str">
        <f t="shared" si="289"/>
        <v/>
      </c>
      <c r="AF824" s="546" t="str">
        <f t="shared" si="290"/>
        <v/>
      </c>
      <c r="AG824" s="539" t="str">
        <f t="shared" si="291"/>
        <v/>
      </c>
      <c r="AH824" s="32">
        <f t="shared" si="293"/>
        <v>0</v>
      </c>
      <c r="AI824" s="32">
        <f t="shared" si="294"/>
        <v>0</v>
      </c>
      <c r="AJ824" s="32">
        <f t="shared" si="295"/>
        <v>0</v>
      </c>
      <c r="AK824" t="str">
        <f t="shared" si="296"/>
        <v/>
      </c>
      <c r="AL824" t="str">
        <f t="shared" si="297"/>
        <v/>
      </c>
      <c r="AM824" t="str">
        <f t="shared" si="298"/>
        <v/>
      </c>
      <c r="AO824" t="str">
        <f>IFERROR(VLOOKUP(M824,'Fixture Identities'!$B$9:$O$1045,14,FALSE),"")</f>
        <v/>
      </c>
      <c r="AP824" t="str">
        <f t="shared" si="292"/>
        <v/>
      </c>
    </row>
    <row r="825" spans="1:42">
      <c r="A825" s="71">
        <f t="shared" si="300"/>
        <v>0</v>
      </c>
      <c r="B825" s="513">
        <f t="shared" si="299"/>
        <v>813</v>
      </c>
      <c r="C825" s="530" t="str">
        <f>IF(Inventory!E822="","",Inventory!E822)</f>
        <v/>
      </c>
      <c r="D825" s="531">
        <f>IF(Inventory!D822="",0,Inventory!D822)</f>
        <v>0</v>
      </c>
      <c r="E825" s="532" t="str">
        <f>IF(Inventory!I822=0,"",Inventory!I822)</f>
        <v/>
      </c>
      <c r="F825" s="533" t="str">
        <f t="shared" si="279"/>
        <v/>
      </c>
      <c r="G825" s="534" t="str">
        <f>IF(Inventory!G822="","",Inventory!G822)</f>
        <v/>
      </c>
      <c r="H825" s="535" t="str">
        <f t="shared" si="280"/>
        <v/>
      </c>
      <c r="I825" s="536" t="str">
        <f>IF(Inventory!J822="","",Inventory!J822)</f>
        <v/>
      </c>
      <c r="J825" s="537" t="str">
        <f>IFERROR(IF(PRJ_Type="New Construction",IF(Inventory!C822="N",INDEX(xyLPD_BuildingArea,MATCH(Building_Type,Lookups!$F$37:$F$75,0),4),INDEX(xyLPD_SpaceBySpace,MATCH(INDEX(xyNCEx,MATCH(I825,yNCExArea,0),2),ySpace_by_Space_Type,0),2)),VLOOKUP(E825,xyWattage_Table,11,FALSE)),"")</f>
        <v/>
      </c>
      <c r="K825" s="538" t="str">
        <f>IFERROR(IF(AND(NC_Type="Building Area Method",Inventory!C822="N"),IF(ISERROR(INDEX('Usage Groups (&gt;120 MWh only)'!$N$8:$N$12,MATCH(C825,'Usage Groups (&gt;120 MWh only)'!$B$8:$B$12,0),1))=TRUE,SqFt/COUNTIFS(Inventory!$C$10:$C$1009,"N",$Q$13:$Q$1012,"&gt;=0"),INDEX('Usage Groups (&gt;120 MWh only)'!$N$8:$N$12,MATCH(C825,'Usage Groups (&gt;120 MWh only)'!$B$8:$B$12,0),1)/COUNTIF($C$13:$C$1012,C825)),IF(AND(NC_Type="Building Area Method",Inventory!C822="Y"),INDEX(xyNCEx,MATCH(I825,yNCExArea,0),3)/COUNTIF($I$13:$I$1012,I825),VLOOKUP(J825,xyWattage_Table,10,FALSE))),"")</f>
        <v/>
      </c>
      <c r="L825" s="539" t="str">
        <f t="shared" si="281"/>
        <v/>
      </c>
      <c r="M825" s="540">
        <f>IF(Inventory!N822="","",Inventory!N822)</f>
        <v>0</v>
      </c>
      <c r="N825" s="533" t="str">
        <f t="shared" si="282"/>
        <v/>
      </c>
      <c r="O825" s="534"/>
      <c r="P825" s="533" t="str">
        <f t="shared" si="283"/>
        <v/>
      </c>
      <c r="Q825" s="534" t="str">
        <f>IF(Inventory!L822="","",Inventory!L822)</f>
        <v/>
      </c>
      <c r="R825" s="535" t="str">
        <f t="shared" si="284"/>
        <v/>
      </c>
      <c r="S825" s="536" t="str">
        <f>IF(Inventory!O822="","",Inventory!O822)</f>
        <v/>
      </c>
      <c r="T825" s="541" t="str">
        <f>IFERROR(IF(C825="","",IF(INDEX(xyWattage_Table,MATCH(M825,'Fixture Identities'!$B$9:$B$997,0),2)="Exit Sign",8760,IF(VLOOKUP(C825,xySpace_Type_Details,8,FALSE)="TRM",INDEX('General Information'!$AF$17:$AG$28,11,MATCH(N825,'General Information'!$AF$16:$AG$16,0)),HLOOKUP(VLOOKUP(C825,xySpace_Type_Details,8,FALSE),'General Information'!$P$15:$AG$28,13,FALSE)))),"")</f>
        <v/>
      </c>
      <c r="U825" s="542" t="str">
        <f>IFERROR(IF(C825="","",IF(INDEX(xyWattage_Table,MATCH(M825,'Fixture Identities'!$B$9:$B$997,0),2)="Exit Sign",1,IF(VLOOKUP(C825,xySpace_Type_Details,8,FALSE)="TRM",INDEX('General Information'!$AF$17:$AG$28,12,MATCH(N825,'General Information'!$AF$16:$AG$16,0)),HLOOKUP(VLOOKUP(C825,xySpace_Type_Details,8,FALSE),'General Information'!$P$15:$AG$28,14,FALSE)))),"")</f>
        <v/>
      </c>
      <c r="V825" s="542" t="str">
        <f>IFERROR(VLOOKUP(INDEX(xySpace_Type_Details,MATCH($C825,'General Information'!$C$40:$C$60,0),12),Lookups!$L$8:$N$12,2,FALSE),"")</f>
        <v/>
      </c>
      <c r="W825" s="542" t="str">
        <f>IFERROR(VLOOKUP(INDEX(xySpace_Type_Details,MATCH($C825,'General Information'!$C$40:$C$60,0),12),Lookups!$L$8:$N$12,3,FALSE),"")</f>
        <v/>
      </c>
      <c r="Y825" s="542" t="str">
        <f>IFERROR(IF(C825="","",IF(INDEX(xyWattage_Table,MATCH(M825,'Fixture Identities'!$B$9:$B$997,0),2)="Exit Sign",0,IF(PRJ_Type="Retrofit",VLOOKUP(I825,xySVG_Factors,2,FALSE),IF(AND(PRJ_Type="New Construction",Inventory!C822="N"),VLOOKUP(VLOOKUP(Building_Type,xyLPD_BuildingArea,5,FALSE),xySVG_Factors_NC,3,FALSE),0)))),"")</f>
        <v/>
      </c>
      <c r="Z825" s="544" t="str">
        <f>IFERROR(IF(C825="","",IF(INDEX(xyWattage_Table,MATCH(M825,'Fixture Identities'!$B$9:$B$997,0),2)="Exit Sign",0,VLOOKUP(S825,xySVG_Factors,2,FALSE))),"")</f>
        <v/>
      </c>
      <c r="AA825" s="545" t="str">
        <f t="shared" si="285"/>
        <v/>
      </c>
      <c r="AB825" s="542" t="str">
        <f t="shared" si="286"/>
        <v/>
      </c>
      <c r="AC825" s="539" t="str">
        <f t="shared" si="287"/>
        <v/>
      </c>
      <c r="AD825" s="546" t="str">
        <f t="shared" si="288"/>
        <v/>
      </c>
      <c r="AE825" s="539" t="str">
        <f t="shared" si="289"/>
        <v/>
      </c>
      <c r="AF825" s="546" t="str">
        <f t="shared" si="290"/>
        <v/>
      </c>
      <c r="AG825" s="539" t="str">
        <f t="shared" si="291"/>
        <v/>
      </c>
      <c r="AH825" s="32">
        <f t="shared" si="293"/>
        <v>0</v>
      </c>
      <c r="AI825" s="32">
        <f t="shared" si="294"/>
        <v>0</v>
      </c>
      <c r="AJ825" s="32">
        <f t="shared" si="295"/>
        <v>0</v>
      </c>
      <c r="AK825" t="str">
        <f t="shared" si="296"/>
        <v/>
      </c>
      <c r="AL825" t="str">
        <f t="shared" si="297"/>
        <v/>
      </c>
      <c r="AM825" t="str">
        <f t="shared" si="298"/>
        <v/>
      </c>
      <c r="AO825" t="str">
        <f>IFERROR(VLOOKUP(M825,'Fixture Identities'!$B$9:$O$1045,14,FALSE),"")</f>
        <v/>
      </c>
      <c r="AP825" t="str">
        <f t="shared" si="292"/>
        <v/>
      </c>
    </row>
    <row r="826" spans="1:42">
      <c r="A826" s="71">
        <f t="shared" si="300"/>
        <v>0</v>
      </c>
      <c r="B826" s="513">
        <f t="shared" si="299"/>
        <v>814</v>
      </c>
      <c r="C826" s="530" t="str">
        <f>IF(Inventory!E823="","",Inventory!E823)</f>
        <v/>
      </c>
      <c r="D826" s="531">
        <f>IF(Inventory!D823="",0,Inventory!D823)</f>
        <v>0</v>
      </c>
      <c r="E826" s="532" t="str">
        <f>IF(Inventory!I823=0,"",Inventory!I823)</f>
        <v/>
      </c>
      <c r="F826" s="533" t="str">
        <f t="shared" si="279"/>
        <v/>
      </c>
      <c r="G826" s="534" t="str">
        <f>IF(Inventory!G823="","",Inventory!G823)</f>
        <v/>
      </c>
      <c r="H826" s="535" t="str">
        <f t="shared" si="280"/>
        <v/>
      </c>
      <c r="I826" s="536" t="str">
        <f>IF(Inventory!J823="","",Inventory!J823)</f>
        <v/>
      </c>
      <c r="J826" s="537" t="str">
        <f>IFERROR(IF(PRJ_Type="New Construction",IF(Inventory!C823="N",INDEX(xyLPD_BuildingArea,MATCH(Building_Type,Lookups!$F$37:$F$75,0),4),INDEX(xyLPD_SpaceBySpace,MATCH(INDEX(xyNCEx,MATCH(I826,yNCExArea,0),2),ySpace_by_Space_Type,0),2)),VLOOKUP(E826,xyWattage_Table,11,FALSE)),"")</f>
        <v/>
      </c>
      <c r="K826" s="538" t="str">
        <f>IFERROR(IF(AND(NC_Type="Building Area Method",Inventory!C823="N"),IF(ISERROR(INDEX('Usage Groups (&gt;120 MWh only)'!$N$8:$N$12,MATCH(C826,'Usage Groups (&gt;120 MWh only)'!$B$8:$B$12,0),1))=TRUE,SqFt/COUNTIFS(Inventory!$C$10:$C$1009,"N",$Q$13:$Q$1012,"&gt;=0"),INDEX('Usage Groups (&gt;120 MWh only)'!$N$8:$N$12,MATCH(C826,'Usage Groups (&gt;120 MWh only)'!$B$8:$B$12,0),1)/COUNTIF($C$13:$C$1012,C826)),IF(AND(NC_Type="Building Area Method",Inventory!C823="Y"),INDEX(xyNCEx,MATCH(I826,yNCExArea,0),3)/COUNTIF($I$13:$I$1012,I826),VLOOKUP(J826,xyWattage_Table,10,FALSE))),"")</f>
        <v/>
      </c>
      <c r="L826" s="539" t="str">
        <f t="shared" si="281"/>
        <v/>
      </c>
      <c r="M826" s="540">
        <f>IF(Inventory!N823="","",Inventory!N823)</f>
        <v>0</v>
      </c>
      <c r="N826" s="533" t="str">
        <f t="shared" si="282"/>
        <v/>
      </c>
      <c r="O826" s="534"/>
      <c r="P826" s="533" t="str">
        <f t="shared" si="283"/>
        <v/>
      </c>
      <c r="Q826" s="534" t="str">
        <f>IF(Inventory!L823="","",Inventory!L823)</f>
        <v/>
      </c>
      <c r="R826" s="535" t="str">
        <f t="shared" si="284"/>
        <v/>
      </c>
      <c r="S826" s="536" t="str">
        <f>IF(Inventory!O823="","",Inventory!O823)</f>
        <v/>
      </c>
      <c r="T826" s="541" t="str">
        <f>IFERROR(IF(C826="","",IF(INDEX(xyWattage_Table,MATCH(M826,'Fixture Identities'!$B$9:$B$997,0),2)="Exit Sign",8760,IF(VLOOKUP(C826,xySpace_Type_Details,8,FALSE)="TRM",INDEX('General Information'!$AF$17:$AG$28,11,MATCH(N826,'General Information'!$AF$16:$AG$16,0)),HLOOKUP(VLOOKUP(C826,xySpace_Type_Details,8,FALSE),'General Information'!$P$15:$AG$28,13,FALSE)))),"")</f>
        <v/>
      </c>
      <c r="U826" s="542" t="str">
        <f>IFERROR(IF(C826="","",IF(INDEX(xyWattage_Table,MATCH(M826,'Fixture Identities'!$B$9:$B$997,0),2)="Exit Sign",1,IF(VLOOKUP(C826,xySpace_Type_Details,8,FALSE)="TRM",INDEX('General Information'!$AF$17:$AG$28,12,MATCH(N826,'General Information'!$AF$16:$AG$16,0)),HLOOKUP(VLOOKUP(C826,xySpace_Type_Details,8,FALSE),'General Information'!$P$15:$AG$28,14,FALSE)))),"")</f>
        <v/>
      </c>
      <c r="V826" s="542" t="str">
        <f>IFERROR(VLOOKUP(INDEX(xySpace_Type_Details,MATCH($C826,'General Information'!$C$40:$C$60,0),12),Lookups!$L$8:$N$12,2,FALSE),"")</f>
        <v/>
      </c>
      <c r="W826" s="542" t="str">
        <f>IFERROR(VLOOKUP(INDEX(xySpace_Type_Details,MATCH($C826,'General Information'!$C$40:$C$60,0),12),Lookups!$L$8:$N$12,3,FALSE),"")</f>
        <v/>
      </c>
      <c r="Y826" s="542" t="str">
        <f>IFERROR(IF(C826="","",IF(INDEX(xyWattage_Table,MATCH(M826,'Fixture Identities'!$B$9:$B$997,0),2)="Exit Sign",0,IF(PRJ_Type="Retrofit",VLOOKUP(I826,xySVG_Factors,2,FALSE),IF(AND(PRJ_Type="New Construction",Inventory!C823="N"),VLOOKUP(VLOOKUP(Building_Type,xyLPD_BuildingArea,5,FALSE),xySVG_Factors_NC,3,FALSE),0)))),"")</f>
        <v/>
      </c>
      <c r="Z826" s="544" t="str">
        <f>IFERROR(IF(C826="","",IF(INDEX(xyWattage_Table,MATCH(M826,'Fixture Identities'!$B$9:$B$997,0),2)="Exit Sign",0,VLOOKUP(S826,xySVG_Factors,2,FALSE))),"")</f>
        <v/>
      </c>
      <c r="AA826" s="545" t="str">
        <f t="shared" si="285"/>
        <v/>
      </c>
      <c r="AB826" s="542" t="str">
        <f t="shared" si="286"/>
        <v/>
      </c>
      <c r="AC826" s="539" t="str">
        <f t="shared" si="287"/>
        <v/>
      </c>
      <c r="AD826" s="546" t="str">
        <f t="shared" si="288"/>
        <v/>
      </c>
      <c r="AE826" s="539" t="str">
        <f t="shared" si="289"/>
        <v/>
      </c>
      <c r="AF826" s="546" t="str">
        <f t="shared" si="290"/>
        <v/>
      </c>
      <c r="AG826" s="539" t="str">
        <f t="shared" si="291"/>
        <v/>
      </c>
      <c r="AH826" s="32">
        <f t="shared" si="293"/>
        <v>0</v>
      </c>
      <c r="AI826" s="32">
        <f t="shared" si="294"/>
        <v>0</v>
      </c>
      <c r="AJ826" s="32">
        <f t="shared" si="295"/>
        <v>0</v>
      </c>
      <c r="AK826" t="str">
        <f t="shared" si="296"/>
        <v/>
      </c>
      <c r="AL826" t="str">
        <f t="shared" si="297"/>
        <v/>
      </c>
      <c r="AM826" t="str">
        <f t="shared" si="298"/>
        <v/>
      </c>
      <c r="AO826" t="str">
        <f>IFERROR(VLOOKUP(M826,'Fixture Identities'!$B$9:$O$1045,14,FALSE),"")</f>
        <v/>
      </c>
      <c r="AP826" t="str">
        <f t="shared" si="292"/>
        <v/>
      </c>
    </row>
    <row r="827" spans="1:42">
      <c r="A827" s="71">
        <f t="shared" si="300"/>
        <v>0</v>
      </c>
      <c r="B827" s="513">
        <f t="shared" si="299"/>
        <v>815</v>
      </c>
      <c r="C827" s="530" t="str">
        <f>IF(Inventory!E824="","",Inventory!E824)</f>
        <v/>
      </c>
      <c r="D827" s="531">
        <f>IF(Inventory!D824="",0,Inventory!D824)</f>
        <v>0</v>
      </c>
      <c r="E827" s="532" t="str">
        <f>IF(Inventory!I824=0,"",Inventory!I824)</f>
        <v/>
      </c>
      <c r="F827" s="533" t="str">
        <f t="shared" si="279"/>
        <v/>
      </c>
      <c r="G827" s="534" t="str">
        <f>IF(Inventory!G824="","",Inventory!G824)</f>
        <v/>
      </c>
      <c r="H827" s="535" t="str">
        <f t="shared" si="280"/>
        <v/>
      </c>
      <c r="I827" s="536" t="str">
        <f>IF(Inventory!J824="","",Inventory!J824)</f>
        <v/>
      </c>
      <c r="J827" s="537" t="str">
        <f>IFERROR(IF(PRJ_Type="New Construction",IF(Inventory!C824="N",INDEX(xyLPD_BuildingArea,MATCH(Building_Type,Lookups!$F$37:$F$75,0),4),INDEX(xyLPD_SpaceBySpace,MATCH(INDEX(xyNCEx,MATCH(I827,yNCExArea,0),2),ySpace_by_Space_Type,0),2)),VLOOKUP(E827,xyWattage_Table,11,FALSE)),"")</f>
        <v/>
      </c>
      <c r="K827" s="538" t="str">
        <f>IFERROR(IF(AND(NC_Type="Building Area Method",Inventory!C824="N"),IF(ISERROR(INDEX('Usage Groups (&gt;120 MWh only)'!$N$8:$N$12,MATCH(C827,'Usage Groups (&gt;120 MWh only)'!$B$8:$B$12,0),1))=TRUE,SqFt/COUNTIFS(Inventory!$C$10:$C$1009,"N",$Q$13:$Q$1012,"&gt;=0"),INDEX('Usage Groups (&gt;120 MWh only)'!$N$8:$N$12,MATCH(C827,'Usage Groups (&gt;120 MWh only)'!$B$8:$B$12,0),1)/COUNTIF($C$13:$C$1012,C827)),IF(AND(NC_Type="Building Area Method",Inventory!C824="Y"),INDEX(xyNCEx,MATCH(I827,yNCExArea,0),3)/COUNTIF($I$13:$I$1012,I827),VLOOKUP(J827,xyWattage_Table,10,FALSE))),"")</f>
        <v/>
      </c>
      <c r="L827" s="539" t="str">
        <f t="shared" si="281"/>
        <v/>
      </c>
      <c r="M827" s="540">
        <f>IF(Inventory!N824="","",Inventory!N824)</f>
        <v>0</v>
      </c>
      <c r="N827" s="533" t="str">
        <f t="shared" si="282"/>
        <v/>
      </c>
      <c r="O827" s="534"/>
      <c r="P827" s="533" t="str">
        <f t="shared" si="283"/>
        <v/>
      </c>
      <c r="Q827" s="534" t="str">
        <f>IF(Inventory!L824="","",Inventory!L824)</f>
        <v/>
      </c>
      <c r="R827" s="535" t="str">
        <f t="shared" si="284"/>
        <v/>
      </c>
      <c r="S827" s="536" t="str">
        <f>IF(Inventory!O824="","",Inventory!O824)</f>
        <v/>
      </c>
      <c r="T827" s="541" t="str">
        <f>IFERROR(IF(C827="","",IF(INDEX(xyWattage_Table,MATCH(M827,'Fixture Identities'!$B$9:$B$997,0),2)="Exit Sign",8760,IF(VLOOKUP(C827,xySpace_Type_Details,8,FALSE)="TRM",INDEX('General Information'!$AF$17:$AG$28,11,MATCH(N827,'General Information'!$AF$16:$AG$16,0)),HLOOKUP(VLOOKUP(C827,xySpace_Type_Details,8,FALSE),'General Information'!$P$15:$AG$28,13,FALSE)))),"")</f>
        <v/>
      </c>
      <c r="U827" s="542" t="str">
        <f>IFERROR(IF(C827="","",IF(INDEX(xyWattage_Table,MATCH(M827,'Fixture Identities'!$B$9:$B$997,0),2)="Exit Sign",1,IF(VLOOKUP(C827,xySpace_Type_Details,8,FALSE)="TRM",INDEX('General Information'!$AF$17:$AG$28,12,MATCH(N827,'General Information'!$AF$16:$AG$16,0)),HLOOKUP(VLOOKUP(C827,xySpace_Type_Details,8,FALSE),'General Information'!$P$15:$AG$28,14,FALSE)))),"")</f>
        <v/>
      </c>
      <c r="V827" s="542" t="str">
        <f>IFERROR(VLOOKUP(INDEX(xySpace_Type_Details,MATCH($C827,'General Information'!$C$40:$C$60,0),12),Lookups!$L$8:$N$12,2,FALSE),"")</f>
        <v/>
      </c>
      <c r="W827" s="542" t="str">
        <f>IFERROR(VLOOKUP(INDEX(xySpace_Type_Details,MATCH($C827,'General Information'!$C$40:$C$60,0),12),Lookups!$L$8:$N$12,3,FALSE),"")</f>
        <v/>
      </c>
      <c r="Y827" s="542" t="str">
        <f>IFERROR(IF(C827="","",IF(INDEX(xyWattage_Table,MATCH(M827,'Fixture Identities'!$B$9:$B$997,0),2)="Exit Sign",0,IF(PRJ_Type="Retrofit",VLOOKUP(I827,xySVG_Factors,2,FALSE),IF(AND(PRJ_Type="New Construction",Inventory!C824="N"),VLOOKUP(VLOOKUP(Building_Type,xyLPD_BuildingArea,5,FALSE),xySVG_Factors_NC,3,FALSE),0)))),"")</f>
        <v/>
      </c>
      <c r="Z827" s="544" t="str">
        <f>IFERROR(IF(C827="","",IF(INDEX(xyWattage_Table,MATCH(M827,'Fixture Identities'!$B$9:$B$997,0),2)="Exit Sign",0,VLOOKUP(S827,xySVG_Factors,2,FALSE))),"")</f>
        <v/>
      </c>
      <c r="AA827" s="545" t="str">
        <f t="shared" si="285"/>
        <v/>
      </c>
      <c r="AB827" s="542" t="str">
        <f t="shared" si="286"/>
        <v/>
      </c>
      <c r="AC827" s="539" t="str">
        <f t="shared" si="287"/>
        <v/>
      </c>
      <c r="AD827" s="546" t="str">
        <f t="shared" si="288"/>
        <v/>
      </c>
      <c r="AE827" s="539" t="str">
        <f t="shared" si="289"/>
        <v/>
      </c>
      <c r="AF827" s="546" t="str">
        <f t="shared" si="290"/>
        <v/>
      </c>
      <c r="AG827" s="539" t="str">
        <f t="shared" si="291"/>
        <v/>
      </c>
      <c r="AH827" s="32">
        <f t="shared" si="293"/>
        <v>0</v>
      </c>
      <c r="AI827" s="32">
        <f t="shared" si="294"/>
        <v>0</v>
      </c>
      <c r="AJ827" s="32">
        <f t="shared" si="295"/>
        <v>0</v>
      </c>
      <c r="AK827" t="str">
        <f t="shared" si="296"/>
        <v/>
      </c>
      <c r="AL827" t="str">
        <f t="shared" si="297"/>
        <v/>
      </c>
      <c r="AM827" t="str">
        <f t="shared" si="298"/>
        <v/>
      </c>
      <c r="AO827" t="str">
        <f>IFERROR(VLOOKUP(M827,'Fixture Identities'!$B$9:$O$1045,14,FALSE),"")</f>
        <v/>
      </c>
      <c r="AP827" t="str">
        <f t="shared" si="292"/>
        <v/>
      </c>
    </row>
    <row r="828" spans="1:42">
      <c r="A828" s="71">
        <f t="shared" si="300"/>
        <v>0</v>
      </c>
      <c r="B828" s="513">
        <f t="shared" si="299"/>
        <v>816</v>
      </c>
      <c r="C828" s="530" t="str">
        <f>IF(Inventory!E825="","",Inventory!E825)</f>
        <v/>
      </c>
      <c r="D828" s="531">
        <f>IF(Inventory!D825="",0,Inventory!D825)</f>
        <v>0</v>
      </c>
      <c r="E828" s="532" t="str">
        <f>IF(Inventory!I825=0,"",Inventory!I825)</f>
        <v/>
      </c>
      <c r="F828" s="533" t="str">
        <f t="shared" si="279"/>
        <v/>
      </c>
      <c r="G828" s="534" t="str">
        <f>IF(Inventory!G825="","",Inventory!G825)</f>
        <v/>
      </c>
      <c r="H828" s="535" t="str">
        <f t="shared" si="280"/>
        <v/>
      </c>
      <c r="I828" s="536" t="str">
        <f>IF(Inventory!J825="","",Inventory!J825)</f>
        <v/>
      </c>
      <c r="J828" s="537" t="str">
        <f>IFERROR(IF(PRJ_Type="New Construction",IF(Inventory!C825="N",INDEX(xyLPD_BuildingArea,MATCH(Building_Type,Lookups!$F$37:$F$75,0),4),INDEX(xyLPD_SpaceBySpace,MATCH(INDEX(xyNCEx,MATCH(I828,yNCExArea,0),2),ySpace_by_Space_Type,0),2)),VLOOKUP(E828,xyWattage_Table,11,FALSE)),"")</f>
        <v/>
      </c>
      <c r="K828" s="538" t="str">
        <f>IFERROR(IF(AND(NC_Type="Building Area Method",Inventory!C825="N"),IF(ISERROR(INDEX('Usage Groups (&gt;120 MWh only)'!$N$8:$N$12,MATCH(C828,'Usage Groups (&gt;120 MWh only)'!$B$8:$B$12,0),1))=TRUE,SqFt/COUNTIFS(Inventory!$C$10:$C$1009,"N",$Q$13:$Q$1012,"&gt;=0"),INDEX('Usage Groups (&gt;120 MWh only)'!$N$8:$N$12,MATCH(C828,'Usage Groups (&gt;120 MWh only)'!$B$8:$B$12,0),1)/COUNTIF($C$13:$C$1012,C828)),IF(AND(NC_Type="Building Area Method",Inventory!C825="Y"),INDEX(xyNCEx,MATCH(I828,yNCExArea,0),3)/COUNTIF($I$13:$I$1012,I828),VLOOKUP(J828,xyWattage_Table,10,FALSE))),"")</f>
        <v/>
      </c>
      <c r="L828" s="539" t="str">
        <f t="shared" si="281"/>
        <v/>
      </c>
      <c r="M828" s="540">
        <f>IF(Inventory!N825="","",Inventory!N825)</f>
        <v>0</v>
      </c>
      <c r="N828" s="533" t="str">
        <f t="shared" si="282"/>
        <v/>
      </c>
      <c r="O828" s="534"/>
      <c r="P828" s="533" t="str">
        <f t="shared" si="283"/>
        <v/>
      </c>
      <c r="Q828" s="534" t="str">
        <f>IF(Inventory!L825="","",Inventory!L825)</f>
        <v/>
      </c>
      <c r="R828" s="535" t="str">
        <f t="shared" si="284"/>
        <v/>
      </c>
      <c r="S828" s="536" t="str">
        <f>IF(Inventory!O825="","",Inventory!O825)</f>
        <v/>
      </c>
      <c r="T828" s="541" t="str">
        <f>IFERROR(IF(C828="","",IF(INDEX(xyWattage_Table,MATCH(M828,'Fixture Identities'!$B$9:$B$997,0),2)="Exit Sign",8760,IF(VLOOKUP(C828,xySpace_Type_Details,8,FALSE)="TRM",INDEX('General Information'!$AF$17:$AG$28,11,MATCH(N828,'General Information'!$AF$16:$AG$16,0)),HLOOKUP(VLOOKUP(C828,xySpace_Type_Details,8,FALSE),'General Information'!$P$15:$AG$28,13,FALSE)))),"")</f>
        <v/>
      </c>
      <c r="U828" s="542" t="str">
        <f>IFERROR(IF(C828="","",IF(INDEX(xyWattage_Table,MATCH(M828,'Fixture Identities'!$B$9:$B$997,0),2)="Exit Sign",1,IF(VLOOKUP(C828,xySpace_Type_Details,8,FALSE)="TRM",INDEX('General Information'!$AF$17:$AG$28,12,MATCH(N828,'General Information'!$AF$16:$AG$16,0)),HLOOKUP(VLOOKUP(C828,xySpace_Type_Details,8,FALSE),'General Information'!$P$15:$AG$28,14,FALSE)))),"")</f>
        <v/>
      </c>
      <c r="V828" s="542" t="str">
        <f>IFERROR(VLOOKUP(INDEX(xySpace_Type_Details,MATCH($C828,'General Information'!$C$40:$C$60,0),12),Lookups!$L$8:$N$12,2,FALSE),"")</f>
        <v/>
      </c>
      <c r="W828" s="542" t="str">
        <f>IFERROR(VLOOKUP(INDEX(xySpace_Type_Details,MATCH($C828,'General Information'!$C$40:$C$60,0),12),Lookups!$L$8:$N$12,3,FALSE),"")</f>
        <v/>
      </c>
      <c r="Y828" s="542" t="str">
        <f>IFERROR(IF(C828="","",IF(INDEX(xyWattage_Table,MATCH(M828,'Fixture Identities'!$B$9:$B$997,0),2)="Exit Sign",0,IF(PRJ_Type="Retrofit",VLOOKUP(I828,xySVG_Factors,2,FALSE),IF(AND(PRJ_Type="New Construction",Inventory!C825="N"),VLOOKUP(VLOOKUP(Building_Type,xyLPD_BuildingArea,5,FALSE),xySVG_Factors_NC,3,FALSE),0)))),"")</f>
        <v/>
      </c>
      <c r="Z828" s="544" t="str">
        <f>IFERROR(IF(C828="","",IF(INDEX(xyWattage_Table,MATCH(M828,'Fixture Identities'!$B$9:$B$997,0),2)="Exit Sign",0,VLOOKUP(S828,xySVG_Factors,2,FALSE))),"")</f>
        <v/>
      </c>
      <c r="AA828" s="545" t="str">
        <f t="shared" si="285"/>
        <v/>
      </c>
      <c r="AB828" s="542" t="str">
        <f t="shared" si="286"/>
        <v/>
      </c>
      <c r="AC828" s="539" t="str">
        <f t="shared" si="287"/>
        <v/>
      </c>
      <c r="AD828" s="546" t="str">
        <f t="shared" si="288"/>
        <v/>
      </c>
      <c r="AE828" s="539" t="str">
        <f t="shared" si="289"/>
        <v/>
      </c>
      <c r="AF828" s="546" t="str">
        <f t="shared" si="290"/>
        <v/>
      </c>
      <c r="AG828" s="539" t="str">
        <f t="shared" si="291"/>
        <v/>
      </c>
      <c r="AH828" s="32">
        <f t="shared" si="293"/>
        <v>0</v>
      </c>
      <c r="AI828" s="32">
        <f t="shared" si="294"/>
        <v>0</v>
      </c>
      <c r="AJ828" s="32">
        <f t="shared" si="295"/>
        <v>0</v>
      </c>
      <c r="AK828" t="str">
        <f t="shared" si="296"/>
        <v/>
      </c>
      <c r="AL828" t="str">
        <f t="shared" si="297"/>
        <v/>
      </c>
      <c r="AM828" t="str">
        <f t="shared" si="298"/>
        <v/>
      </c>
      <c r="AO828" t="str">
        <f>IFERROR(VLOOKUP(M828,'Fixture Identities'!$B$9:$O$1045,14,FALSE),"")</f>
        <v/>
      </c>
      <c r="AP828" t="str">
        <f t="shared" si="292"/>
        <v/>
      </c>
    </row>
    <row r="829" spans="1:42">
      <c r="A829" s="71">
        <f t="shared" si="300"/>
        <v>0</v>
      </c>
      <c r="B829" s="513">
        <f t="shared" si="299"/>
        <v>817</v>
      </c>
      <c r="C829" s="530" t="str">
        <f>IF(Inventory!E826="","",Inventory!E826)</f>
        <v/>
      </c>
      <c r="D829" s="531">
        <f>IF(Inventory!D826="",0,Inventory!D826)</f>
        <v>0</v>
      </c>
      <c r="E829" s="532" t="str">
        <f>IF(Inventory!I826=0,"",Inventory!I826)</f>
        <v/>
      </c>
      <c r="F829" s="533" t="str">
        <f t="shared" si="279"/>
        <v/>
      </c>
      <c r="G829" s="534" t="str">
        <f>IF(Inventory!G826="","",Inventory!G826)</f>
        <v/>
      </c>
      <c r="H829" s="535" t="str">
        <f t="shared" si="280"/>
        <v/>
      </c>
      <c r="I829" s="536" t="str">
        <f>IF(Inventory!J826="","",Inventory!J826)</f>
        <v/>
      </c>
      <c r="J829" s="537" t="str">
        <f>IFERROR(IF(PRJ_Type="New Construction",IF(Inventory!C826="N",INDEX(xyLPD_BuildingArea,MATCH(Building_Type,Lookups!$F$37:$F$75,0),4),INDEX(xyLPD_SpaceBySpace,MATCH(INDEX(xyNCEx,MATCH(I829,yNCExArea,0),2),ySpace_by_Space_Type,0),2)),VLOOKUP(E829,xyWattage_Table,11,FALSE)),"")</f>
        <v/>
      </c>
      <c r="K829" s="538" t="str">
        <f>IFERROR(IF(AND(NC_Type="Building Area Method",Inventory!C826="N"),IF(ISERROR(INDEX('Usage Groups (&gt;120 MWh only)'!$N$8:$N$12,MATCH(C829,'Usage Groups (&gt;120 MWh only)'!$B$8:$B$12,0),1))=TRUE,SqFt/COUNTIFS(Inventory!$C$10:$C$1009,"N",$Q$13:$Q$1012,"&gt;=0"),INDEX('Usage Groups (&gt;120 MWh only)'!$N$8:$N$12,MATCH(C829,'Usage Groups (&gt;120 MWh only)'!$B$8:$B$12,0),1)/COUNTIF($C$13:$C$1012,C829)),IF(AND(NC_Type="Building Area Method",Inventory!C826="Y"),INDEX(xyNCEx,MATCH(I829,yNCExArea,0),3)/COUNTIF($I$13:$I$1012,I829),VLOOKUP(J829,xyWattage_Table,10,FALSE))),"")</f>
        <v/>
      </c>
      <c r="L829" s="539" t="str">
        <f t="shared" si="281"/>
        <v/>
      </c>
      <c r="M829" s="540">
        <f>IF(Inventory!N826="","",Inventory!N826)</f>
        <v>0</v>
      </c>
      <c r="N829" s="533" t="str">
        <f t="shared" si="282"/>
        <v/>
      </c>
      <c r="O829" s="534"/>
      <c r="P829" s="533" t="str">
        <f t="shared" si="283"/>
        <v/>
      </c>
      <c r="Q829" s="534" t="str">
        <f>IF(Inventory!L826="","",Inventory!L826)</f>
        <v/>
      </c>
      <c r="R829" s="535" t="str">
        <f t="shared" si="284"/>
        <v/>
      </c>
      <c r="S829" s="536" t="str">
        <f>IF(Inventory!O826="","",Inventory!O826)</f>
        <v/>
      </c>
      <c r="T829" s="541" t="str">
        <f>IFERROR(IF(C829="","",IF(INDEX(xyWattage_Table,MATCH(M829,'Fixture Identities'!$B$9:$B$997,0),2)="Exit Sign",8760,IF(VLOOKUP(C829,xySpace_Type_Details,8,FALSE)="TRM",INDEX('General Information'!$AF$17:$AG$28,11,MATCH(N829,'General Information'!$AF$16:$AG$16,0)),HLOOKUP(VLOOKUP(C829,xySpace_Type_Details,8,FALSE),'General Information'!$P$15:$AG$28,13,FALSE)))),"")</f>
        <v/>
      </c>
      <c r="U829" s="542" t="str">
        <f>IFERROR(IF(C829="","",IF(INDEX(xyWattage_Table,MATCH(M829,'Fixture Identities'!$B$9:$B$997,0),2)="Exit Sign",1,IF(VLOOKUP(C829,xySpace_Type_Details,8,FALSE)="TRM",INDEX('General Information'!$AF$17:$AG$28,12,MATCH(N829,'General Information'!$AF$16:$AG$16,0)),HLOOKUP(VLOOKUP(C829,xySpace_Type_Details,8,FALSE),'General Information'!$P$15:$AG$28,14,FALSE)))),"")</f>
        <v/>
      </c>
      <c r="V829" s="542" t="str">
        <f>IFERROR(VLOOKUP(INDEX(xySpace_Type_Details,MATCH($C829,'General Information'!$C$40:$C$60,0),12),Lookups!$L$8:$N$12,2,FALSE),"")</f>
        <v/>
      </c>
      <c r="W829" s="542" t="str">
        <f>IFERROR(VLOOKUP(INDEX(xySpace_Type_Details,MATCH($C829,'General Information'!$C$40:$C$60,0),12),Lookups!$L$8:$N$12,3,FALSE),"")</f>
        <v/>
      </c>
      <c r="Y829" s="542" t="str">
        <f>IFERROR(IF(C829="","",IF(INDEX(xyWattage_Table,MATCH(M829,'Fixture Identities'!$B$9:$B$997,0),2)="Exit Sign",0,IF(PRJ_Type="Retrofit",VLOOKUP(I829,xySVG_Factors,2,FALSE),IF(AND(PRJ_Type="New Construction",Inventory!C826="N"),VLOOKUP(VLOOKUP(Building_Type,xyLPD_BuildingArea,5,FALSE),xySVG_Factors_NC,3,FALSE),0)))),"")</f>
        <v/>
      </c>
      <c r="Z829" s="544" t="str">
        <f>IFERROR(IF(C829="","",IF(INDEX(xyWattage_Table,MATCH(M829,'Fixture Identities'!$B$9:$B$997,0),2)="Exit Sign",0,VLOOKUP(S829,xySVG_Factors,2,FALSE))),"")</f>
        <v/>
      </c>
      <c r="AA829" s="545" t="str">
        <f t="shared" si="285"/>
        <v/>
      </c>
      <c r="AB829" s="542" t="str">
        <f t="shared" si="286"/>
        <v/>
      </c>
      <c r="AC829" s="539" t="str">
        <f t="shared" si="287"/>
        <v/>
      </c>
      <c r="AD829" s="546" t="str">
        <f t="shared" si="288"/>
        <v/>
      </c>
      <c r="AE829" s="539" t="str">
        <f t="shared" si="289"/>
        <v/>
      </c>
      <c r="AF829" s="546" t="str">
        <f t="shared" si="290"/>
        <v/>
      </c>
      <c r="AG829" s="539" t="str">
        <f t="shared" si="291"/>
        <v/>
      </c>
      <c r="AH829" s="32">
        <f t="shared" si="293"/>
        <v>0</v>
      </c>
      <c r="AI829" s="32">
        <f t="shared" si="294"/>
        <v>0</v>
      </c>
      <c r="AJ829" s="32">
        <f t="shared" si="295"/>
        <v>0</v>
      </c>
      <c r="AK829" t="str">
        <f t="shared" si="296"/>
        <v/>
      </c>
      <c r="AL829" t="str">
        <f t="shared" si="297"/>
        <v/>
      </c>
      <c r="AM829" t="str">
        <f t="shared" si="298"/>
        <v/>
      </c>
      <c r="AO829" t="str">
        <f>IFERROR(VLOOKUP(M829,'Fixture Identities'!$B$9:$O$1045,14,FALSE),"")</f>
        <v/>
      </c>
      <c r="AP829" t="str">
        <f t="shared" si="292"/>
        <v/>
      </c>
    </row>
    <row r="830" spans="1:42">
      <c r="A830" s="71">
        <f t="shared" si="300"/>
        <v>0</v>
      </c>
      <c r="B830" s="513">
        <f t="shared" si="299"/>
        <v>818</v>
      </c>
      <c r="C830" s="530" t="str">
        <f>IF(Inventory!E827="","",Inventory!E827)</f>
        <v/>
      </c>
      <c r="D830" s="531">
        <f>IF(Inventory!D827="",0,Inventory!D827)</f>
        <v>0</v>
      </c>
      <c r="E830" s="532" t="str">
        <f>IF(Inventory!I827=0,"",Inventory!I827)</f>
        <v/>
      </c>
      <c r="F830" s="533" t="str">
        <f t="shared" si="279"/>
        <v/>
      </c>
      <c r="G830" s="534" t="str">
        <f>IF(Inventory!G827="","",Inventory!G827)</f>
        <v/>
      </c>
      <c r="H830" s="535" t="str">
        <f t="shared" si="280"/>
        <v/>
      </c>
      <c r="I830" s="536" t="str">
        <f>IF(Inventory!J827="","",Inventory!J827)</f>
        <v/>
      </c>
      <c r="J830" s="537" t="str">
        <f>IFERROR(IF(PRJ_Type="New Construction",IF(Inventory!C827="N",INDEX(xyLPD_BuildingArea,MATCH(Building_Type,Lookups!$F$37:$F$75,0),4),INDEX(xyLPD_SpaceBySpace,MATCH(INDEX(xyNCEx,MATCH(I830,yNCExArea,0),2),ySpace_by_Space_Type,0),2)),VLOOKUP(E830,xyWattage_Table,11,FALSE)),"")</f>
        <v/>
      </c>
      <c r="K830" s="538" t="str">
        <f>IFERROR(IF(AND(NC_Type="Building Area Method",Inventory!C827="N"),IF(ISERROR(INDEX('Usage Groups (&gt;120 MWh only)'!$N$8:$N$12,MATCH(C830,'Usage Groups (&gt;120 MWh only)'!$B$8:$B$12,0),1))=TRUE,SqFt/COUNTIFS(Inventory!$C$10:$C$1009,"N",$Q$13:$Q$1012,"&gt;=0"),INDEX('Usage Groups (&gt;120 MWh only)'!$N$8:$N$12,MATCH(C830,'Usage Groups (&gt;120 MWh only)'!$B$8:$B$12,0),1)/COUNTIF($C$13:$C$1012,C830)),IF(AND(NC_Type="Building Area Method",Inventory!C827="Y"),INDEX(xyNCEx,MATCH(I830,yNCExArea,0),3)/COUNTIF($I$13:$I$1012,I830),VLOOKUP(J830,xyWattage_Table,10,FALSE))),"")</f>
        <v/>
      </c>
      <c r="L830" s="539" t="str">
        <f t="shared" si="281"/>
        <v/>
      </c>
      <c r="M830" s="540">
        <f>IF(Inventory!N827="","",Inventory!N827)</f>
        <v>0</v>
      </c>
      <c r="N830" s="533" t="str">
        <f t="shared" si="282"/>
        <v/>
      </c>
      <c r="O830" s="534"/>
      <c r="P830" s="533" t="str">
        <f t="shared" si="283"/>
        <v/>
      </c>
      <c r="Q830" s="534" t="str">
        <f>IF(Inventory!L827="","",Inventory!L827)</f>
        <v/>
      </c>
      <c r="R830" s="535" t="str">
        <f t="shared" si="284"/>
        <v/>
      </c>
      <c r="S830" s="536" t="str">
        <f>IF(Inventory!O827="","",Inventory!O827)</f>
        <v/>
      </c>
      <c r="T830" s="541" t="str">
        <f>IFERROR(IF(C830="","",IF(INDEX(xyWattage_Table,MATCH(M830,'Fixture Identities'!$B$9:$B$997,0),2)="Exit Sign",8760,IF(VLOOKUP(C830,xySpace_Type_Details,8,FALSE)="TRM",INDEX('General Information'!$AF$17:$AG$28,11,MATCH(N830,'General Information'!$AF$16:$AG$16,0)),HLOOKUP(VLOOKUP(C830,xySpace_Type_Details,8,FALSE),'General Information'!$P$15:$AG$28,13,FALSE)))),"")</f>
        <v/>
      </c>
      <c r="U830" s="542" t="str">
        <f>IFERROR(IF(C830="","",IF(INDEX(xyWattage_Table,MATCH(M830,'Fixture Identities'!$B$9:$B$997,0),2)="Exit Sign",1,IF(VLOOKUP(C830,xySpace_Type_Details,8,FALSE)="TRM",INDEX('General Information'!$AF$17:$AG$28,12,MATCH(N830,'General Information'!$AF$16:$AG$16,0)),HLOOKUP(VLOOKUP(C830,xySpace_Type_Details,8,FALSE),'General Information'!$P$15:$AG$28,14,FALSE)))),"")</f>
        <v/>
      </c>
      <c r="V830" s="542" t="str">
        <f>IFERROR(VLOOKUP(INDEX(xySpace_Type_Details,MATCH($C830,'General Information'!$C$40:$C$60,0),12),Lookups!$L$8:$N$12,2,FALSE),"")</f>
        <v/>
      </c>
      <c r="W830" s="542" t="str">
        <f>IFERROR(VLOOKUP(INDEX(xySpace_Type_Details,MATCH($C830,'General Information'!$C$40:$C$60,0),12),Lookups!$L$8:$N$12,3,FALSE),"")</f>
        <v/>
      </c>
      <c r="Y830" s="542" t="str">
        <f>IFERROR(IF(C830="","",IF(INDEX(xyWattage_Table,MATCH(M830,'Fixture Identities'!$B$9:$B$997,0),2)="Exit Sign",0,IF(PRJ_Type="Retrofit",VLOOKUP(I830,xySVG_Factors,2,FALSE),IF(AND(PRJ_Type="New Construction",Inventory!C827="N"),VLOOKUP(VLOOKUP(Building_Type,xyLPD_BuildingArea,5,FALSE),xySVG_Factors_NC,3,FALSE),0)))),"")</f>
        <v/>
      </c>
      <c r="Z830" s="544" t="str">
        <f>IFERROR(IF(C830="","",IF(INDEX(xyWattage_Table,MATCH(M830,'Fixture Identities'!$B$9:$B$997,0),2)="Exit Sign",0,VLOOKUP(S830,xySVG_Factors,2,FALSE))),"")</f>
        <v/>
      </c>
      <c r="AA830" s="545" t="str">
        <f t="shared" si="285"/>
        <v/>
      </c>
      <c r="AB830" s="542" t="str">
        <f t="shared" si="286"/>
        <v/>
      </c>
      <c r="AC830" s="539" t="str">
        <f t="shared" si="287"/>
        <v/>
      </c>
      <c r="AD830" s="546" t="str">
        <f t="shared" si="288"/>
        <v/>
      </c>
      <c r="AE830" s="539" t="str">
        <f t="shared" si="289"/>
        <v/>
      </c>
      <c r="AF830" s="546" t="str">
        <f t="shared" si="290"/>
        <v/>
      </c>
      <c r="AG830" s="539" t="str">
        <f t="shared" si="291"/>
        <v/>
      </c>
      <c r="AH830" s="32">
        <f t="shared" si="293"/>
        <v>0</v>
      </c>
      <c r="AI830" s="32">
        <f t="shared" si="294"/>
        <v>0</v>
      </c>
      <c r="AJ830" s="32">
        <f t="shared" si="295"/>
        <v>0</v>
      </c>
      <c r="AK830" t="str">
        <f t="shared" si="296"/>
        <v/>
      </c>
      <c r="AL830" t="str">
        <f t="shared" si="297"/>
        <v/>
      </c>
      <c r="AM830" t="str">
        <f t="shared" si="298"/>
        <v/>
      </c>
      <c r="AO830" t="str">
        <f>IFERROR(VLOOKUP(M830,'Fixture Identities'!$B$9:$O$1045,14,FALSE),"")</f>
        <v/>
      </c>
      <c r="AP830" t="str">
        <f t="shared" si="292"/>
        <v/>
      </c>
    </row>
    <row r="831" spans="1:42">
      <c r="A831" s="71">
        <f t="shared" si="300"/>
        <v>0</v>
      </c>
      <c r="B831" s="513">
        <f t="shared" si="299"/>
        <v>819</v>
      </c>
      <c r="C831" s="530" t="str">
        <f>IF(Inventory!E828="","",Inventory!E828)</f>
        <v/>
      </c>
      <c r="D831" s="531">
        <f>IF(Inventory!D828="",0,Inventory!D828)</f>
        <v>0</v>
      </c>
      <c r="E831" s="532" t="str">
        <f>IF(Inventory!I828=0,"",Inventory!I828)</f>
        <v/>
      </c>
      <c r="F831" s="533" t="str">
        <f t="shared" si="279"/>
        <v/>
      </c>
      <c r="G831" s="534" t="str">
        <f>IF(Inventory!G828="","",Inventory!G828)</f>
        <v/>
      </c>
      <c r="H831" s="535" t="str">
        <f t="shared" si="280"/>
        <v/>
      </c>
      <c r="I831" s="536" t="str">
        <f>IF(Inventory!J828="","",Inventory!J828)</f>
        <v/>
      </c>
      <c r="J831" s="537" t="str">
        <f>IFERROR(IF(PRJ_Type="New Construction",IF(Inventory!C828="N",INDEX(xyLPD_BuildingArea,MATCH(Building_Type,Lookups!$F$37:$F$75,0),4),INDEX(xyLPD_SpaceBySpace,MATCH(INDEX(xyNCEx,MATCH(I831,yNCExArea,0),2),ySpace_by_Space_Type,0),2)),VLOOKUP(E831,xyWattage_Table,11,FALSE)),"")</f>
        <v/>
      </c>
      <c r="K831" s="538" t="str">
        <f>IFERROR(IF(AND(NC_Type="Building Area Method",Inventory!C828="N"),IF(ISERROR(INDEX('Usage Groups (&gt;120 MWh only)'!$N$8:$N$12,MATCH(C831,'Usage Groups (&gt;120 MWh only)'!$B$8:$B$12,0),1))=TRUE,SqFt/COUNTIFS(Inventory!$C$10:$C$1009,"N",$Q$13:$Q$1012,"&gt;=0"),INDEX('Usage Groups (&gt;120 MWh only)'!$N$8:$N$12,MATCH(C831,'Usage Groups (&gt;120 MWh only)'!$B$8:$B$12,0),1)/COUNTIF($C$13:$C$1012,C831)),IF(AND(NC_Type="Building Area Method",Inventory!C828="Y"),INDEX(xyNCEx,MATCH(I831,yNCExArea,0),3)/COUNTIF($I$13:$I$1012,I831),VLOOKUP(J831,xyWattage_Table,10,FALSE))),"")</f>
        <v/>
      </c>
      <c r="L831" s="539" t="str">
        <f t="shared" si="281"/>
        <v/>
      </c>
      <c r="M831" s="540">
        <f>IF(Inventory!N828="","",Inventory!N828)</f>
        <v>0</v>
      </c>
      <c r="N831" s="533" t="str">
        <f t="shared" si="282"/>
        <v/>
      </c>
      <c r="O831" s="534"/>
      <c r="P831" s="533" t="str">
        <f t="shared" si="283"/>
        <v/>
      </c>
      <c r="Q831" s="534" t="str">
        <f>IF(Inventory!L828="","",Inventory!L828)</f>
        <v/>
      </c>
      <c r="R831" s="535" t="str">
        <f t="shared" si="284"/>
        <v/>
      </c>
      <c r="S831" s="536" t="str">
        <f>IF(Inventory!O828="","",Inventory!O828)</f>
        <v/>
      </c>
      <c r="T831" s="541" t="str">
        <f>IFERROR(IF(C831="","",IF(INDEX(xyWattage_Table,MATCH(M831,'Fixture Identities'!$B$9:$B$997,0),2)="Exit Sign",8760,IF(VLOOKUP(C831,xySpace_Type_Details,8,FALSE)="TRM",INDEX('General Information'!$AF$17:$AG$28,11,MATCH(N831,'General Information'!$AF$16:$AG$16,0)),HLOOKUP(VLOOKUP(C831,xySpace_Type_Details,8,FALSE),'General Information'!$P$15:$AG$28,13,FALSE)))),"")</f>
        <v/>
      </c>
      <c r="U831" s="542" t="str">
        <f>IFERROR(IF(C831="","",IF(INDEX(xyWattage_Table,MATCH(M831,'Fixture Identities'!$B$9:$B$997,0),2)="Exit Sign",1,IF(VLOOKUP(C831,xySpace_Type_Details,8,FALSE)="TRM",INDEX('General Information'!$AF$17:$AG$28,12,MATCH(N831,'General Information'!$AF$16:$AG$16,0)),HLOOKUP(VLOOKUP(C831,xySpace_Type_Details,8,FALSE),'General Information'!$P$15:$AG$28,14,FALSE)))),"")</f>
        <v/>
      </c>
      <c r="V831" s="542" t="str">
        <f>IFERROR(VLOOKUP(INDEX(xySpace_Type_Details,MATCH($C831,'General Information'!$C$40:$C$60,0),12),Lookups!$L$8:$N$12,2,FALSE),"")</f>
        <v/>
      </c>
      <c r="W831" s="542" t="str">
        <f>IFERROR(VLOOKUP(INDEX(xySpace_Type_Details,MATCH($C831,'General Information'!$C$40:$C$60,0),12),Lookups!$L$8:$N$12,3,FALSE),"")</f>
        <v/>
      </c>
      <c r="Y831" s="542" t="str">
        <f>IFERROR(IF(C831="","",IF(INDEX(xyWattage_Table,MATCH(M831,'Fixture Identities'!$B$9:$B$997,0),2)="Exit Sign",0,IF(PRJ_Type="Retrofit",VLOOKUP(I831,xySVG_Factors,2,FALSE),IF(AND(PRJ_Type="New Construction",Inventory!C828="N"),VLOOKUP(VLOOKUP(Building_Type,xyLPD_BuildingArea,5,FALSE),xySVG_Factors_NC,3,FALSE),0)))),"")</f>
        <v/>
      </c>
      <c r="Z831" s="544" t="str">
        <f>IFERROR(IF(C831="","",IF(INDEX(xyWattage_Table,MATCH(M831,'Fixture Identities'!$B$9:$B$997,0),2)="Exit Sign",0,VLOOKUP(S831,xySVG_Factors,2,FALSE))),"")</f>
        <v/>
      </c>
      <c r="AA831" s="545" t="str">
        <f t="shared" si="285"/>
        <v/>
      </c>
      <c r="AB831" s="542" t="str">
        <f t="shared" si="286"/>
        <v/>
      </c>
      <c r="AC831" s="539" t="str">
        <f t="shared" si="287"/>
        <v/>
      </c>
      <c r="AD831" s="546" t="str">
        <f t="shared" si="288"/>
        <v/>
      </c>
      <c r="AE831" s="539" t="str">
        <f t="shared" si="289"/>
        <v/>
      </c>
      <c r="AF831" s="546" t="str">
        <f t="shared" si="290"/>
        <v/>
      </c>
      <c r="AG831" s="539" t="str">
        <f t="shared" si="291"/>
        <v/>
      </c>
      <c r="AH831" s="32">
        <f t="shared" si="293"/>
        <v>0</v>
      </c>
      <c r="AI831" s="32">
        <f t="shared" si="294"/>
        <v>0</v>
      </c>
      <c r="AJ831" s="32">
        <f t="shared" si="295"/>
        <v>0</v>
      </c>
      <c r="AK831" t="str">
        <f t="shared" si="296"/>
        <v/>
      </c>
      <c r="AL831" t="str">
        <f t="shared" si="297"/>
        <v/>
      </c>
      <c r="AM831" t="str">
        <f t="shared" si="298"/>
        <v/>
      </c>
      <c r="AO831" t="str">
        <f>IFERROR(VLOOKUP(M831,'Fixture Identities'!$B$9:$O$1045,14,FALSE),"")</f>
        <v/>
      </c>
      <c r="AP831" t="str">
        <f t="shared" si="292"/>
        <v/>
      </c>
    </row>
    <row r="832" spans="1:42">
      <c r="A832" s="71">
        <f t="shared" si="300"/>
        <v>0</v>
      </c>
      <c r="B832" s="513">
        <f t="shared" si="299"/>
        <v>820</v>
      </c>
      <c r="C832" s="530" t="str">
        <f>IF(Inventory!E829="","",Inventory!E829)</f>
        <v/>
      </c>
      <c r="D832" s="531">
        <f>IF(Inventory!D829="",0,Inventory!D829)</f>
        <v>0</v>
      </c>
      <c r="E832" s="532" t="str">
        <f>IF(Inventory!I829=0,"",Inventory!I829)</f>
        <v/>
      </c>
      <c r="F832" s="533" t="str">
        <f t="shared" si="279"/>
        <v/>
      </c>
      <c r="G832" s="534" t="str">
        <f>IF(Inventory!G829="","",Inventory!G829)</f>
        <v/>
      </c>
      <c r="H832" s="535" t="str">
        <f t="shared" si="280"/>
        <v/>
      </c>
      <c r="I832" s="536" t="str">
        <f>IF(Inventory!J829="","",Inventory!J829)</f>
        <v/>
      </c>
      <c r="J832" s="537" t="str">
        <f>IFERROR(IF(PRJ_Type="New Construction",IF(Inventory!C829="N",INDEX(xyLPD_BuildingArea,MATCH(Building_Type,Lookups!$F$37:$F$75,0),4),INDEX(xyLPD_SpaceBySpace,MATCH(INDEX(xyNCEx,MATCH(I832,yNCExArea,0),2),ySpace_by_Space_Type,0),2)),VLOOKUP(E832,xyWattage_Table,11,FALSE)),"")</f>
        <v/>
      </c>
      <c r="K832" s="538" t="str">
        <f>IFERROR(IF(AND(NC_Type="Building Area Method",Inventory!C829="N"),IF(ISERROR(INDEX('Usage Groups (&gt;120 MWh only)'!$N$8:$N$12,MATCH(C832,'Usage Groups (&gt;120 MWh only)'!$B$8:$B$12,0),1))=TRUE,SqFt/COUNTIFS(Inventory!$C$10:$C$1009,"N",$Q$13:$Q$1012,"&gt;=0"),INDEX('Usage Groups (&gt;120 MWh only)'!$N$8:$N$12,MATCH(C832,'Usage Groups (&gt;120 MWh only)'!$B$8:$B$12,0),1)/COUNTIF($C$13:$C$1012,C832)),IF(AND(NC_Type="Building Area Method",Inventory!C829="Y"),INDEX(xyNCEx,MATCH(I832,yNCExArea,0),3)/COUNTIF($I$13:$I$1012,I832),VLOOKUP(J832,xyWattage_Table,10,FALSE))),"")</f>
        <v/>
      </c>
      <c r="L832" s="539" t="str">
        <f t="shared" si="281"/>
        <v/>
      </c>
      <c r="M832" s="540">
        <f>IF(Inventory!N829="","",Inventory!N829)</f>
        <v>0</v>
      </c>
      <c r="N832" s="533" t="str">
        <f t="shared" si="282"/>
        <v/>
      </c>
      <c r="O832" s="534"/>
      <c r="P832" s="533" t="str">
        <f t="shared" si="283"/>
        <v/>
      </c>
      <c r="Q832" s="534" t="str">
        <f>IF(Inventory!L829="","",Inventory!L829)</f>
        <v/>
      </c>
      <c r="R832" s="535" t="str">
        <f t="shared" si="284"/>
        <v/>
      </c>
      <c r="S832" s="536" t="str">
        <f>IF(Inventory!O829="","",Inventory!O829)</f>
        <v/>
      </c>
      <c r="T832" s="541" t="str">
        <f>IFERROR(IF(C832="","",IF(INDEX(xyWattage_Table,MATCH(M832,'Fixture Identities'!$B$9:$B$997,0),2)="Exit Sign",8760,IF(VLOOKUP(C832,xySpace_Type_Details,8,FALSE)="TRM",INDEX('General Information'!$AF$17:$AG$28,11,MATCH(N832,'General Information'!$AF$16:$AG$16,0)),HLOOKUP(VLOOKUP(C832,xySpace_Type_Details,8,FALSE),'General Information'!$P$15:$AG$28,13,FALSE)))),"")</f>
        <v/>
      </c>
      <c r="U832" s="542" t="str">
        <f>IFERROR(IF(C832="","",IF(INDEX(xyWattage_Table,MATCH(M832,'Fixture Identities'!$B$9:$B$997,0),2)="Exit Sign",1,IF(VLOOKUP(C832,xySpace_Type_Details,8,FALSE)="TRM",INDEX('General Information'!$AF$17:$AG$28,12,MATCH(N832,'General Information'!$AF$16:$AG$16,0)),HLOOKUP(VLOOKUP(C832,xySpace_Type_Details,8,FALSE),'General Information'!$P$15:$AG$28,14,FALSE)))),"")</f>
        <v/>
      </c>
      <c r="V832" s="542" t="str">
        <f>IFERROR(VLOOKUP(INDEX(xySpace_Type_Details,MATCH($C832,'General Information'!$C$40:$C$60,0),12),Lookups!$L$8:$N$12,2,FALSE),"")</f>
        <v/>
      </c>
      <c r="W832" s="542" t="str">
        <f>IFERROR(VLOOKUP(INDEX(xySpace_Type_Details,MATCH($C832,'General Information'!$C$40:$C$60,0),12),Lookups!$L$8:$N$12,3,FALSE),"")</f>
        <v/>
      </c>
      <c r="Y832" s="542" t="str">
        <f>IFERROR(IF(C832="","",IF(INDEX(xyWattage_Table,MATCH(M832,'Fixture Identities'!$B$9:$B$997,0),2)="Exit Sign",0,IF(PRJ_Type="Retrofit",VLOOKUP(I832,xySVG_Factors,2,FALSE),IF(AND(PRJ_Type="New Construction",Inventory!C829="N"),VLOOKUP(VLOOKUP(Building_Type,xyLPD_BuildingArea,5,FALSE),xySVG_Factors_NC,3,FALSE),0)))),"")</f>
        <v/>
      </c>
      <c r="Z832" s="544" t="str">
        <f>IFERROR(IF(C832="","",IF(INDEX(xyWattage_Table,MATCH(M832,'Fixture Identities'!$B$9:$B$997,0),2)="Exit Sign",0,VLOOKUP(S832,xySVG_Factors,2,FALSE))),"")</f>
        <v/>
      </c>
      <c r="AA832" s="545" t="str">
        <f t="shared" si="285"/>
        <v/>
      </c>
      <c r="AB832" s="542" t="str">
        <f t="shared" si="286"/>
        <v/>
      </c>
      <c r="AC832" s="539" t="str">
        <f t="shared" si="287"/>
        <v/>
      </c>
      <c r="AD832" s="546" t="str">
        <f t="shared" si="288"/>
        <v/>
      </c>
      <c r="AE832" s="539" t="str">
        <f t="shared" si="289"/>
        <v/>
      </c>
      <c r="AF832" s="546" t="str">
        <f t="shared" si="290"/>
        <v/>
      </c>
      <c r="AG832" s="539" t="str">
        <f t="shared" si="291"/>
        <v/>
      </c>
      <c r="AH832" s="32">
        <f t="shared" si="293"/>
        <v>0</v>
      </c>
      <c r="AI832" s="32">
        <f t="shared" si="294"/>
        <v>0</v>
      </c>
      <c r="AJ832" s="32">
        <f t="shared" si="295"/>
        <v>0</v>
      </c>
      <c r="AK832" t="str">
        <f t="shared" si="296"/>
        <v/>
      </c>
      <c r="AL832" t="str">
        <f t="shared" si="297"/>
        <v/>
      </c>
      <c r="AM832" t="str">
        <f t="shared" si="298"/>
        <v/>
      </c>
      <c r="AO832" t="str">
        <f>IFERROR(VLOOKUP(M832,'Fixture Identities'!$B$9:$O$1045,14,FALSE),"")</f>
        <v/>
      </c>
      <c r="AP832" t="str">
        <f t="shared" si="292"/>
        <v/>
      </c>
    </row>
    <row r="833" spans="1:42">
      <c r="A833" s="71">
        <f t="shared" si="300"/>
        <v>0</v>
      </c>
      <c r="B833" s="513">
        <f t="shared" si="299"/>
        <v>821</v>
      </c>
      <c r="C833" s="530" t="str">
        <f>IF(Inventory!E830="","",Inventory!E830)</f>
        <v/>
      </c>
      <c r="D833" s="531">
        <f>IF(Inventory!D830="",0,Inventory!D830)</f>
        <v>0</v>
      </c>
      <c r="E833" s="532" t="str">
        <f>IF(Inventory!I830=0,"",Inventory!I830)</f>
        <v/>
      </c>
      <c r="F833" s="533" t="str">
        <f t="shared" si="279"/>
        <v/>
      </c>
      <c r="G833" s="534" t="str">
        <f>IF(Inventory!G830="","",Inventory!G830)</f>
        <v/>
      </c>
      <c r="H833" s="535" t="str">
        <f t="shared" si="280"/>
        <v/>
      </c>
      <c r="I833" s="536" t="str">
        <f>IF(Inventory!J830="","",Inventory!J830)</f>
        <v/>
      </c>
      <c r="J833" s="537" t="str">
        <f>IFERROR(IF(PRJ_Type="New Construction",IF(Inventory!C830="N",INDEX(xyLPD_BuildingArea,MATCH(Building_Type,Lookups!$F$37:$F$75,0),4),INDEX(xyLPD_SpaceBySpace,MATCH(INDEX(xyNCEx,MATCH(I833,yNCExArea,0),2),ySpace_by_Space_Type,0),2)),VLOOKUP(E833,xyWattage_Table,11,FALSE)),"")</f>
        <v/>
      </c>
      <c r="K833" s="538" t="str">
        <f>IFERROR(IF(AND(NC_Type="Building Area Method",Inventory!C830="N"),IF(ISERROR(INDEX('Usage Groups (&gt;120 MWh only)'!$N$8:$N$12,MATCH(C833,'Usage Groups (&gt;120 MWh only)'!$B$8:$B$12,0),1))=TRUE,SqFt/COUNTIFS(Inventory!$C$10:$C$1009,"N",$Q$13:$Q$1012,"&gt;=0"),INDEX('Usage Groups (&gt;120 MWh only)'!$N$8:$N$12,MATCH(C833,'Usage Groups (&gt;120 MWh only)'!$B$8:$B$12,0),1)/COUNTIF($C$13:$C$1012,C833)),IF(AND(NC_Type="Building Area Method",Inventory!C830="Y"),INDEX(xyNCEx,MATCH(I833,yNCExArea,0),3)/COUNTIF($I$13:$I$1012,I833),VLOOKUP(J833,xyWattage_Table,10,FALSE))),"")</f>
        <v/>
      </c>
      <c r="L833" s="539" t="str">
        <f t="shared" si="281"/>
        <v/>
      </c>
      <c r="M833" s="540">
        <f>IF(Inventory!N830="","",Inventory!N830)</f>
        <v>0</v>
      </c>
      <c r="N833" s="533" t="str">
        <f t="shared" si="282"/>
        <v/>
      </c>
      <c r="O833" s="534"/>
      <c r="P833" s="533" t="str">
        <f t="shared" si="283"/>
        <v/>
      </c>
      <c r="Q833" s="534" t="str">
        <f>IF(Inventory!L830="","",Inventory!L830)</f>
        <v/>
      </c>
      <c r="R833" s="535" t="str">
        <f t="shared" si="284"/>
        <v/>
      </c>
      <c r="S833" s="536" t="str">
        <f>IF(Inventory!O830="","",Inventory!O830)</f>
        <v/>
      </c>
      <c r="T833" s="541" t="str">
        <f>IFERROR(IF(C833="","",IF(INDEX(xyWattage_Table,MATCH(M833,'Fixture Identities'!$B$9:$B$997,0),2)="Exit Sign",8760,IF(VLOOKUP(C833,xySpace_Type_Details,8,FALSE)="TRM",INDEX('General Information'!$AF$17:$AG$28,11,MATCH(N833,'General Information'!$AF$16:$AG$16,0)),HLOOKUP(VLOOKUP(C833,xySpace_Type_Details,8,FALSE),'General Information'!$P$15:$AG$28,13,FALSE)))),"")</f>
        <v/>
      </c>
      <c r="U833" s="542" t="str">
        <f>IFERROR(IF(C833="","",IF(INDEX(xyWattage_Table,MATCH(M833,'Fixture Identities'!$B$9:$B$997,0),2)="Exit Sign",1,IF(VLOOKUP(C833,xySpace_Type_Details,8,FALSE)="TRM",INDEX('General Information'!$AF$17:$AG$28,12,MATCH(N833,'General Information'!$AF$16:$AG$16,0)),HLOOKUP(VLOOKUP(C833,xySpace_Type_Details,8,FALSE),'General Information'!$P$15:$AG$28,14,FALSE)))),"")</f>
        <v/>
      </c>
      <c r="V833" s="542" t="str">
        <f>IFERROR(VLOOKUP(INDEX(xySpace_Type_Details,MATCH($C833,'General Information'!$C$40:$C$60,0),12),Lookups!$L$8:$N$12,2,FALSE),"")</f>
        <v/>
      </c>
      <c r="W833" s="542" t="str">
        <f>IFERROR(VLOOKUP(INDEX(xySpace_Type_Details,MATCH($C833,'General Information'!$C$40:$C$60,0),12),Lookups!$L$8:$N$12,3,FALSE),"")</f>
        <v/>
      </c>
      <c r="Y833" s="542" t="str">
        <f>IFERROR(IF(C833="","",IF(INDEX(xyWattage_Table,MATCH(M833,'Fixture Identities'!$B$9:$B$997,0),2)="Exit Sign",0,IF(PRJ_Type="Retrofit",VLOOKUP(I833,xySVG_Factors,2,FALSE),IF(AND(PRJ_Type="New Construction",Inventory!C830="N"),VLOOKUP(VLOOKUP(Building_Type,xyLPD_BuildingArea,5,FALSE),xySVG_Factors_NC,3,FALSE),0)))),"")</f>
        <v/>
      </c>
      <c r="Z833" s="544" t="str">
        <f>IFERROR(IF(C833="","",IF(INDEX(xyWattage_Table,MATCH(M833,'Fixture Identities'!$B$9:$B$997,0),2)="Exit Sign",0,VLOOKUP(S833,xySVG_Factors,2,FALSE))),"")</f>
        <v/>
      </c>
      <c r="AA833" s="545" t="str">
        <f t="shared" si="285"/>
        <v/>
      </c>
      <c r="AB833" s="542" t="str">
        <f t="shared" si="286"/>
        <v/>
      </c>
      <c r="AC833" s="539" t="str">
        <f t="shared" si="287"/>
        <v/>
      </c>
      <c r="AD833" s="546" t="str">
        <f t="shared" si="288"/>
        <v/>
      </c>
      <c r="AE833" s="539" t="str">
        <f t="shared" si="289"/>
        <v/>
      </c>
      <c r="AF833" s="546" t="str">
        <f t="shared" si="290"/>
        <v/>
      </c>
      <c r="AG833" s="539" t="str">
        <f t="shared" si="291"/>
        <v/>
      </c>
      <c r="AH833" s="32">
        <f t="shared" si="293"/>
        <v>0</v>
      </c>
      <c r="AI833" s="32">
        <f t="shared" si="294"/>
        <v>0</v>
      </c>
      <c r="AJ833" s="32">
        <f t="shared" si="295"/>
        <v>0</v>
      </c>
      <c r="AK833" t="str">
        <f t="shared" si="296"/>
        <v/>
      </c>
      <c r="AL833" t="str">
        <f t="shared" si="297"/>
        <v/>
      </c>
      <c r="AM833" t="str">
        <f t="shared" si="298"/>
        <v/>
      </c>
      <c r="AO833" t="str">
        <f>IFERROR(VLOOKUP(M833,'Fixture Identities'!$B$9:$O$1045,14,FALSE),"")</f>
        <v/>
      </c>
      <c r="AP833" t="str">
        <f t="shared" si="292"/>
        <v/>
      </c>
    </row>
    <row r="834" spans="1:42">
      <c r="A834" s="71">
        <f t="shared" si="300"/>
        <v>0</v>
      </c>
      <c r="B834" s="513">
        <f t="shared" si="299"/>
        <v>822</v>
      </c>
      <c r="C834" s="530" t="str">
        <f>IF(Inventory!E831="","",Inventory!E831)</f>
        <v/>
      </c>
      <c r="D834" s="531">
        <f>IF(Inventory!D831="",0,Inventory!D831)</f>
        <v>0</v>
      </c>
      <c r="E834" s="532" t="str">
        <f>IF(Inventory!I831=0,"",Inventory!I831)</f>
        <v/>
      </c>
      <c r="F834" s="533" t="str">
        <f t="shared" si="279"/>
        <v/>
      </c>
      <c r="G834" s="534" t="str">
        <f>IF(Inventory!G831="","",Inventory!G831)</f>
        <v/>
      </c>
      <c r="H834" s="535" t="str">
        <f t="shared" si="280"/>
        <v/>
      </c>
      <c r="I834" s="536" t="str">
        <f>IF(Inventory!J831="","",Inventory!J831)</f>
        <v/>
      </c>
      <c r="J834" s="537" t="str">
        <f>IFERROR(IF(PRJ_Type="New Construction",IF(Inventory!C831="N",INDEX(xyLPD_BuildingArea,MATCH(Building_Type,Lookups!$F$37:$F$75,0),4),INDEX(xyLPD_SpaceBySpace,MATCH(INDEX(xyNCEx,MATCH(I834,yNCExArea,0),2),ySpace_by_Space_Type,0),2)),VLOOKUP(E834,xyWattage_Table,11,FALSE)),"")</f>
        <v/>
      </c>
      <c r="K834" s="538" t="str">
        <f>IFERROR(IF(AND(NC_Type="Building Area Method",Inventory!C831="N"),IF(ISERROR(INDEX('Usage Groups (&gt;120 MWh only)'!$N$8:$N$12,MATCH(C834,'Usage Groups (&gt;120 MWh only)'!$B$8:$B$12,0),1))=TRUE,SqFt/COUNTIFS(Inventory!$C$10:$C$1009,"N",$Q$13:$Q$1012,"&gt;=0"),INDEX('Usage Groups (&gt;120 MWh only)'!$N$8:$N$12,MATCH(C834,'Usage Groups (&gt;120 MWh only)'!$B$8:$B$12,0),1)/COUNTIF($C$13:$C$1012,C834)),IF(AND(NC_Type="Building Area Method",Inventory!C831="Y"),INDEX(xyNCEx,MATCH(I834,yNCExArea,0),3)/COUNTIF($I$13:$I$1012,I834),VLOOKUP(J834,xyWattage_Table,10,FALSE))),"")</f>
        <v/>
      </c>
      <c r="L834" s="539" t="str">
        <f t="shared" si="281"/>
        <v/>
      </c>
      <c r="M834" s="540">
        <f>IF(Inventory!N831="","",Inventory!N831)</f>
        <v>0</v>
      </c>
      <c r="N834" s="533" t="str">
        <f t="shared" si="282"/>
        <v/>
      </c>
      <c r="O834" s="534"/>
      <c r="P834" s="533" t="str">
        <f t="shared" si="283"/>
        <v/>
      </c>
      <c r="Q834" s="534" t="str">
        <f>IF(Inventory!L831="","",Inventory!L831)</f>
        <v/>
      </c>
      <c r="R834" s="535" t="str">
        <f t="shared" si="284"/>
        <v/>
      </c>
      <c r="S834" s="536" t="str">
        <f>IF(Inventory!O831="","",Inventory!O831)</f>
        <v/>
      </c>
      <c r="T834" s="541" t="str">
        <f>IFERROR(IF(C834="","",IF(INDEX(xyWattage_Table,MATCH(M834,'Fixture Identities'!$B$9:$B$997,0),2)="Exit Sign",8760,IF(VLOOKUP(C834,xySpace_Type_Details,8,FALSE)="TRM",INDEX('General Information'!$AF$17:$AG$28,11,MATCH(N834,'General Information'!$AF$16:$AG$16,0)),HLOOKUP(VLOOKUP(C834,xySpace_Type_Details,8,FALSE),'General Information'!$P$15:$AG$28,13,FALSE)))),"")</f>
        <v/>
      </c>
      <c r="U834" s="542" t="str">
        <f>IFERROR(IF(C834="","",IF(INDEX(xyWattage_Table,MATCH(M834,'Fixture Identities'!$B$9:$B$997,0),2)="Exit Sign",1,IF(VLOOKUP(C834,xySpace_Type_Details,8,FALSE)="TRM",INDEX('General Information'!$AF$17:$AG$28,12,MATCH(N834,'General Information'!$AF$16:$AG$16,0)),HLOOKUP(VLOOKUP(C834,xySpace_Type_Details,8,FALSE),'General Information'!$P$15:$AG$28,14,FALSE)))),"")</f>
        <v/>
      </c>
      <c r="V834" s="542" t="str">
        <f>IFERROR(VLOOKUP(INDEX(xySpace_Type_Details,MATCH($C834,'General Information'!$C$40:$C$60,0),12),Lookups!$L$8:$N$12,2,FALSE),"")</f>
        <v/>
      </c>
      <c r="W834" s="542" t="str">
        <f>IFERROR(VLOOKUP(INDEX(xySpace_Type_Details,MATCH($C834,'General Information'!$C$40:$C$60,0),12),Lookups!$L$8:$N$12,3,FALSE),"")</f>
        <v/>
      </c>
      <c r="Y834" s="542" t="str">
        <f>IFERROR(IF(C834="","",IF(INDEX(xyWattage_Table,MATCH(M834,'Fixture Identities'!$B$9:$B$997,0),2)="Exit Sign",0,IF(PRJ_Type="Retrofit",VLOOKUP(I834,xySVG_Factors,2,FALSE),IF(AND(PRJ_Type="New Construction",Inventory!C831="N"),VLOOKUP(VLOOKUP(Building_Type,xyLPD_BuildingArea,5,FALSE),xySVG_Factors_NC,3,FALSE),0)))),"")</f>
        <v/>
      </c>
      <c r="Z834" s="544" t="str">
        <f>IFERROR(IF(C834="","",IF(INDEX(xyWattage_Table,MATCH(M834,'Fixture Identities'!$B$9:$B$997,0),2)="Exit Sign",0,VLOOKUP(S834,xySVG_Factors,2,FALSE))),"")</f>
        <v/>
      </c>
      <c r="AA834" s="545" t="str">
        <f t="shared" si="285"/>
        <v/>
      </c>
      <c r="AB834" s="542" t="str">
        <f t="shared" si="286"/>
        <v/>
      </c>
      <c r="AC834" s="539" t="str">
        <f t="shared" si="287"/>
        <v/>
      </c>
      <c r="AD834" s="546" t="str">
        <f t="shared" si="288"/>
        <v/>
      </c>
      <c r="AE834" s="539" t="str">
        <f t="shared" si="289"/>
        <v/>
      </c>
      <c r="AF834" s="546" t="str">
        <f t="shared" si="290"/>
        <v/>
      </c>
      <c r="AG834" s="539" t="str">
        <f t="shared" si="291"/>
        <v/>
      </c>
      <c r="AH834" s="32">
        <f t="shared" si="293"/>
        <v>0</v>
      </c>
      <c r="AI834" s="32">
        <f t="shared" si="294"/>
        <v>0</v>
      </c>
      <c r="AJ834" s="32">
        <f t="shared" si="295"/>
        <v>0</v>
      </c>
      <c r="AK834" t="str">
        <f t="shared" si="296"/>
        <v/>
      </c>
      <c r="AL834" t="str">
        <f t="shared" si="297"/>
        <v/>
      </c>
      <c r="AM834" t="str">
        <f t="shared" si="298"/>
        <v/>
      </c>
      <c r="AO834" t="str">
        <f>IFERROR(VLOOKUP(M834,'Fixture Identities'!$B$9:$O$1045,14,FALSE),"")</f>
        <v/>
      </c>
      <c r="AP834" t="str">
        <f t="shared" si="292"/>
        <v/>
      </c>
    </row>
    <row r="835" spans="1:42">
      <c r="A835" s="71">
        <f t="shared" si="300"/>
        <v>0</v>
      </c>
      <c r="B835" s="513">
        <f t="shared" si="299"/>
        <v>823</v>
      </c>
      <c r="C835" s="530" t="str">
        <f>IF(Inventory!E832="","",Inventory!E832)</f>
        <v/>
      </c>
      <c r="D835" s="531">
        <f>IF(Inventory!D832="",0,Inventory!D832)</f>
        <v>0</v>
      </c>
      <c r="E835" s="532" t="str">
        <f>IF(Inventory!I832=0,"",Inventory!I832)</f>
        <v/>
      </c>
      <c r="F835" s="533" t="str">
        <f t="shared" si="279"/>
        <v/>
      </c>
      <c r="G835" s="534" t="str">
        <f>IF(Inventory!G832="","",Inventory!G832)</f>
        <v/>
      </c>
      <c r="H835" s="535" t="str">
        <f t="shared" si="280"/>
        <v/>
      </c>
      <c r="I835" s="536" t="str">
        <f>IF(Inventory!J832="","",Inventory!J832)</f>
        <v/>
      </c>
      <c r="J835" s="537" t="str">
        <f>IFERROR(IF(PRJ_Type="New Construction",IF(Inventory!C832="N",INDEX(xyLPD_BuildingArea,MATCH(Building_Type,Lookups!$F$37:$F$75,0),4),INDEX(xyLPD_SpaceBySpace,MATCH(INDEX(xyNCEx,MATCH(I835,yNCExArea,0),2),ySpace_by_Space_Type,0),2)),VLOOKUP(E835,xyWattage_Table,11,FALSE)),"")</f>
        <v/>
      </c>
      <c r="K835" s="538" t="str">
        <f>IFERROR(IF(AND(NC_Type="Building Area Method",Inventory!C832="N"),IF(ISERROR(INDEX('Usage Groups (&gt;120 MWh only)'!$N$8:$N$12,MATCH(C835,'Usage Groups (&gt;120 MWh only)'!$B$8:$B$12,0),1))=TRUE,SqFt/COUNTIFS(Inventory!$C$10:$C$1009,"N",$Q$13:$Q$1012,"&gt;=0"),INDEX('Usage Groups (&gt;120 MWh only)'!$N$8:$N$12,MATCH(C835,'Usage Groups (&gt;120 MWh only)'!$B$8:$B$12,0),1)/COUNTIF($C$13:$C$1012,C835)),IF(AND(NC_Type="Building Area Method",Inventory!C832="Y"),INDEX(xyNCEx,MATCH(I835,yNCExArea,0),3)/COUNTIF($I$13:$I$1012,I835),VLOOKUP(J835,xyWattage_Table,10,FALSE))),"")</f>
        <v/>
      </c>
      <c r="L835" s="539" t="str">
        <f t="shared" si="281"/>
        <v/>
      </c>
      <c r="M835" s="540">
        <f>IF(Inventory!N832="","",Inventory!N832)</f>
        <v>0</v>
      </c>
      <c r="N835" s="533" t="str">
        <f t="shared" si="282"/>
        <v/>
      </c>
      <c r="O835" s="534"/>
      <c r="P835" s="533" t="str">
        <f t="shared" si="283"/>
        <v/>
      </c>
      <c r="Q835" s="534" t="str">
        <f>IF(Inventory!L832="","",Inventory!L832)</f>
        <v/>
      </c>
      <c r="R835" s="535" t="str">
        <f t="shared" si="284"/>
        <v/>
      </c>
      <c r="S835" s="536" t="str">
        <f>IF(Inventory!O832="","",Inventory!O832)</f>
        <v/>
      </c>
      <c r="T835" s="541" t="str">
        <f>IFERROR(IF(C835="","",IF(INDEX(xyWattage_Table,MATCH(M835,'Fixture Identities'!$B$9:$B$997,0),2)="Exit Sign",8760,IF(VLOOKUP(C835,xySpace_Type_Details,8,FALSE)="TRM",INDEX('General Information'!$AF$17:$AG$28,11,MATCH(N835,'General Information'!$AF$16:$AG$16,0)),HLOOKUP(VLOOKUP(C835,xySpace_Type_Details,8,FALSE),'General Information'!$P$15:$AG$28,13,FALSE)))),"")</f>
        <v/>
      </c>
      <c r="U835" s="542" t="str">
        <f>IFERROR(IF(C835="","",IF(INDEX(xyWattage_Table,MATCH(M835,'Fixture Identities'!$B$9:$B$997,0),2)="Exit Sign",1,IF(VLOOKUP(C835,xySpace_Type_Details,8,FALSE)="TRM",INDEX('General Information'!$AF$17:$AG$28,12,MATCH(N835,'General Information'!$AF$16:$AG$16,0)),HLOOKUP(VLOOKUP(C835,xySpace_Type_Details,8,FALSE),'General Information'!$P$15:$AG$28,14,FALSE)))),"")</f>
        <v/>
      </c>
      <c r="V835" s="542" t="str">
        <f>IFERROR(VLOOKUP(INDEX(xySpace_Type_Details,MATCH($C835,'General Information'!$C$40:$C$60,0),12),Lookups!$L$8:$N$12,2,FALSE),"")</f>
        <v/>
      </c>
      <c r="W835" s="542" t="str">
        <f>IFERROR(VLOOKUP(INDEX(xySpace_Type_Details,MATCH($C835,'General Information'!$C$40:$C$60,0),12),Lookups!$L$8:$N$12,3,FALSE),"")</f>
        <v/>
      </c>
      <c r="Y835" s="542" t="str">
        <f>IFERROR(IF(C835="","",IF(INDEX(xyWattage_Table,MATCH(M835,'Fixture Identities'!$B$9:$B$997,0),2)="Exit Sign",0,IF(PRJ_Type="Retrofit",VLOOKUP(I835,xySVG_Factors,2,FALSE),IF(AND(PRJ_Type="New Construction",Inventory!C832="N"),VLOOKUP(VLOOKUP(Building_Type,xyLPD_BuildingArea,5,FALSE),xySVG_Factors_NC,3,FALSE),0)))),"")</f>
        <v/>
      </c>
      <c r="Z835" s="544" t="str">
        <f>IFERROR(IF(C835="","",IF(INDEX(xyWattage_Table,MATCH(M835,'Fixture Identities'!$B$9:$B$997,0),2)="Exit Sign",0,VLOOKUP(S835,xySVG_Factors,2,FALSE))),"")</f>
        <v/>
      </c>
      <c r="AA835" s="545" t="str">
        <f t="shared" si="285"/>
        <v/>
      </c>
      <c r="AB835" s="542" t="str">
        <f t="shared" si="286"/>
        <v/>
      </c>
      <c r="AC835" s="539" t="str">
        <f t="shared" si="287"/>
        <v/>
      </c>
      <c r="AD835" s="546" t="str">
        <f t="shared" si="288"/>
        <v/>
      </c>
      <c r="AE835" s="539" t="str">
        <f t="shared" si="289"/>
        <v/>
      </c>
      <c r="AF835" s="546" t="str">
        <f t="shared" si="290"/>
        <v/>
      </c>
      <c r="AG835" s="539" t="str">
        <f t="shared" si="291"/>
        <v/>
      </c>
      <c r="AH835" s="32">
        <f t="shared" si="293"/>
        <v>0</v>
      </c>
      <c r="AI835" s="32">
        <f t="shared" si="294"/>
        <v>0</v>
      </c>
      <c r="AJ835" s="32">
        <f t="shared" si="295"/>
        <v>0</v>
      </c>
      <c r="AK835" t="str">
        <f t="shared" si="296"/>
        <v/>
      </c>
      <c r="AL835" t="str">
        <f t="shared" si="297"/>
        <v/>
      </c>
      <c r="AM835" t="str">
        <f t="shared" si="298"/>
        <v/>
      </c>
      <c r="AO835" t="str">
        <f>IFERROR(VLOOKUP(M835,'Fixture Identities'!$B$9:$O$1045,14,FALSE),"")</f>
        <v/>
      </c>
      <c r="AP835" t="str">
        <f t="shared" si="292"/>
        <v/>
      </c>
    </row>
    <row r="836" spans="1:42">
      <c r="A836" s="71">
        <f t="shared" si="300"/>
        <v>0</v>
      </c>
      <c r="B836" s="513">
        <f t="shared" si="299"/>
        <v>824</v>
      </c>
      <c r="C836" s="530" t="str">
        <f>IF(Inventory!E833="","",Inventory!E833)</f>
        <v/>
      </c>
      <c r="D836" s="531">
        <f>IF(Inventory!D833="",0,Inventory!D833)</f>
        <v>0</v>
      </c>
      <c r="E836" s="532" t="str">
        <f>IF(Inventory!I833=0,"",Inventory!I833)</f>
        <v/>
      </c>
      <c r="F836" s="533" t="str">
        <f t="shared" si="279"/>
        <v/>
      </c>
      <c r="G836" s="534" t="str">
        <f>IF(Inventory!G833="","",Inventory!G833)</f>
        <v/>
      </c>
      <c r="H836" s="535" t="str">
        <f t="shared" si="280"/>
        <v/>
      </c>
      <c r="I836" s="536" t="str">
        <f>IF(Inventory!J833="","",Inventory!J833)</f>
        <v/>
      </c>
      <c r="J836" s="537" t="str">
        <f>IFERROR(IF(PRJ_Type="New Construction",IF(Inventory!C833="N",INDEX(xyLPD_BuildingArea,MATCH(Building_Type,Lookups!$F$37:$F$75,0),4),INDEX(xyLPD_SpaceBySpace,MATCH(INDEX(xyNCEx,MATCH(I836,yNCExArea,0),2),ySpace_by_Space_Type,0),2)),VLOOKUP(E836,xyWattage_Table,11,FALSE)),"")</f>
        <v/>
      </c>
      <c r="K836" s="538" t="str">
        <f>IFERROR(IF(AND(NC_Type="Building Area Method",Inventory!C833="N"),IF(ISERROR(INDEX('Usage Groups (&gt;120 MWh only)'!$N$8:$N$12,MATCH(C836,'Usage Groups (&gt;120 MWh only)'!$B$8:$B$12,0),1))=TRUE,SqFt/COUNTIFS(Inventory!$C$10:$C$1009,"N",$Q$13:$Q$1012,"&gt;=0"),INDEX('Usage Groups (&gt;120 MWh only)'!$N$8:$N$12,MATCH(C836,'Usage Groups (&gt;120 MWh only)'!$B$8:$B$12,0),1)/COUNTIF($C$13:$C$1012,C836)),IF(AND(NC_Type="Building Area Method",Inventory!C833="Y"),INDEX(xyNCEx,MATCH(I836,yNCExArea,0),3)/COUNTIF($I$13:$I$1012,I836),VLOOKUP(J836,xyWattage_Table,10,FALSE))),"")</f>
        <v/>
      </c>
      <c r="L836" s="539" t="str">
        <f t="shared" si="281"/>
        <v/>
      </c>
      <c r="M836" s="540">
        <f>IF(Inventory!N833="","",Inventory!N833)</f>
        <v>0</v>
      </c>
      <c r="N836" s="533" t="str">
        <f t="shared" si="282"/>
        <v/>
      </c>
      <c r="O836" s="534"/>
      <c r="P836" s="533" t="str">
        <f t="shared" si="283"/>
        <v/>
      </c>
      <c r="Q836" s="534" t="str">
        <f>IF(Inventory!L833="","",Inventory!L833)</f>
        <v/>
      </c>
      <c r="R836" s="535" t="str">
        <f t="shared" si="284"/>
        <v/>
      </c>
      <c r="S836" s="536" t="str">
        <f>IF(Inventory!O833="","",Inventory!O833)</f>
        <v/>
      </c>
      <c r="T836" s="541" t="str">
        <f>IFERROR(IF(C836="","",IF(INDEX(xyWattage_Table,MATCH(M836,'Fixture Identities'!$B$9:$B$997,0),2)="Exit Sign",8760,IF(VLOOKUP(C836,xySpace_Type_Details,8,FALSE)="TRM",INDEX('General Information'!$AF$17:$AG$28,11,MATCH(N836,'General Information'!$AF$16:$AG$16,0)),HLOOKUP(VLOOKUP(C836,xySpace_Type_Details,8,FALSE),'General Information'!$P$15:$AG$28,13,FALSE)))),"")</f>
        <v/>
      </c>
      <c r="U836" s="542" t="str">
        <f>IFERROR(IF(C836="","",IF(INDEX(xyWattage_Table,MATCH(M836,'Fixture Identities'!$B$9:$B$997,0),2)="Exit Sign",1,IF(VLOOKUP(C836,xySpace_Type_Details,8,FALSE)="TRM",INDEX('General Information'!$AF$17:$AG$28,12,MATCH(N836,'General Information'!$AF$16:$AG$16,0)),HLOOKUP(VLOOKUP(C836,xySpace_Type_Details,8,FALSE),'General Information'!$P$15:$AG$28,14,FALSE)))),"")</f>
        <v/>
      </c>
      <c r="V836" s="542" t="str">
        <f>IFERROR(VLOOKUP(INDEX(xySpace_Type_Details,MATCH($C836,'General Information'!$C$40:$C$60,0),12),Lookups!$L$8:$N$12,2,FALSE),"")</f>
        <v/>
      </c>
      <c r="W836" s="542" t="str">
        <f>IFERROR(VLOOKUP(INDEX(xySpace_Type_Details,MATCH($C836,'General Information'!$C$40:$C$60,0),12),Lookups!$L$8:$N$12,3,FALSE),"")</f>
        <v/>
      </c>
      <c r="Y836" s="542" t="str">
        <f>IFERROR(IF(C836="","",IF(INDEX(xyWattage_Table,MATCH(M836,'Fixture Identities'!$B$9:$B$997,0),2)="Exit Sign",0,IF(PRJ_Type="Retrofit",VLOOKUP(I836,xySVG_Factors,2,FALSE),IF(AND(PRJ_Type="New Construction",Inventory!C833="N"),VLOOKUP(VLOOKUP(Building_Type,xyLPD_BuildingArea,5,FALSE),xySVG_Factors_NC,3,FALSE),0)))),"")</f>
        <v/>
      </c>
      <c r="Z836" s="544" t="str">
        <f>IFERROR(IF(C836="","",IF(INDEX(xyWattage_Table,MATCH(M836,'Fixture Identities'!$B$9:$B$997,0),2)="Exit Sign",0,VLOOKUP(S836,xySVG_Factors,2,FALSE))),"")</f>
        <v/>
      </c>
      <c r="AA836" s="545" t="str">
        <f t="shared" si="285"/>
        <v/>
      </c>
      <c r="AB836" s="542" t="str">
        <f t="shared" si="286"/>
        <v/>
      </c>
      <c r="AC836" s="539" t="str">
        <f t="shared" si="287"/>
        <v/>
      </c>
      <c r="AD836" s="546" t="str">
        <f t="shared" si="288"/>
        <v/>
      </c>
      <c r="AE836" s="539" t="str">
        <f t="shared" si="289"/>
        <v/>
      </c>
      <c r="AF836" s="546" t="str">
        <f t="shared" si="290"/>
        <v/>
      </c>
      <c r="AG836" s="539" t="str">
        <f t="shared" si="291"/>
        <v/>
      </c>
      <c r="AH836" s="32">
        <f t="shared" si="293"/>
        <v>0</v>
      </c>
      <c r="AI836" s="32">
        <f t="shared" si="294"/>
        <v>0</v>
      </c>
      <c r="AJ836" s="32">
        <f t="shared" si="295"/>
        <v>0</v>
      </c>
      <c r="AK836" t="str">
        <f t="shared" si="296"/>
        <v/>
      </c>
      <c r="AL836" t="str">
        <f t="shared" si="297"/>
        <v/>
      </c>
      <c r="AM836" t="str">
        <f t="shared" si="298"/>
        <v/>
      </c>
      <c r="AO836" t="str">
        <f>IFERROR(VLOOKUP(M836,'Fixture Identities'!$B$9:$O$1045,14,FALSE),"")</f>
        <v/>
      </c>
      <c r="AP836" t="str">
        <f t="shared" si="292"/>
        <v/>
      </c>
    </row>
    <row r="837" spans="1:42">
      <c r="A837" s="71">
        <f t="shared" si="300"/>
        <v>0</v>
      </c>
      <c r="B837" s="513">
        <f t="shared" si="299"/>
        <v>825</v>
      </c>
      <c r="C837" s="530" t="str">
        <f>IF(Inventory!E834="","",Inventory!E834)</f>
        <v/>
      </c>
      <c r="D837" s="531">
        <f>IF(Inventory!D834="",0,Inventory!D834)</f>
        <v>0</v>
      </c>
      <c r="E837" s="532" t="str">
        <f>IF(Inventory!I834=0,"",Inventory!I834)</f>
        <v/>
      </c>
      <c r="F837" s="533" t="str">
        <f t="shared" si="279"/>
        <v/>
      </c>
      <c r="G837" s="534" t="str">
        <f>IF(Inventory!G834="","",Inventory!G834)</f>
        <v/>
      </c>
      <c r="H837" s="535" t="str">
        <f t="shared" si="280"/>
        <v/>
      </c>
      <c r="I837" s="536" t="str">
        <f>IF(Inventory!J834="","",Inventory!J834)</f>
        <v/>
      </c>
      <c r="J837" s="537" t="str">
        <f>IFERROR(IF(PRJ_Type="New Construction",IF(Inventory!C834="N",INDEX(xyLPD_BuildingArea,MATCH(Building_Type,Lookups!$F$37:$F$75,0),4),INDEX(xyLPD_SpaceBySpace,MATCH(INDEX(xyNCEx,MATCH(I837,yNCExArea,0),2),ySpace_by_Space_Type,0),2)),VLOOKUP(E837,xyWattage_Table,11,FALSE)),"")</f>
        <v/>
      </c>
      <c r="K837" s="538" t="str">
        <f>IFERROR(IF(AND(NC_Type="Building Area Method",Inventory!C834="N"),IF(ISERROR(INDEX('Usage Groups (&gt;120 MWh only)'!$N$8:$N$12,MATCH(C837,'Usage Groups (&gt;120 MWh only)'!$B$8:$B$12,0),1))=TRUE,SqFt/COUNTIFS(Inventory!$C$10:$C$1009,"N",$Q$13:$Q$1012,"&gt;=0"),INDEX('Usage Groups (&gt;120 MWh only)'!$N$8:$N$12,MATCH(C837,'Usage Groups (&gt;120 MWh only)'!$B$8:$B$12,0),1)/COUNTIF($C$13:$C$1012,C837)),IF(AND(NC_Type="Building Area Method",Inventory!C834="Y"),INDEX(xyNCEx,MATCH(I837,yNCExArea,0),3)/COUNTIF($I$13:$I$1012,I837),VLOOKUP(J837,xyWattage_Table,10,FALSE))),"")</f>
        <v/>
      </c>
      <c r="L837" s="539" t="str">
        <f t="shared" si="281"/>
        <v/>
      </c>
      <c r="M837" s="540">
        <f>IF(Inventory!N834="","",Inventory!N834)</f>
        <v>0</v>
      </c>
      <c r="N837" s="533" t="str">
        <f t="shared" si="282"/>
        <v/>
      </c>
      <c r="O837" s="534"/>
      <c r="P837" s="533" t="str">
        <f t="shared" si="283"/>
        <v/>
      </c>
      <c r="Q837" s="534" t="str">
        <f>IF(Inventory!L834="","",Inventory!L834)</f>
        <v/>
      </c>
      <c r="R837" s="535" t="str">
        <f t="shared" si="284"/>
        <v/>
      </c>
      <c r="S837" s="536" t="str">
        <f>IF(Inventory!O834="","",Inventory!O834)</f>
        <v/>
      </c>
      <c r="T837" s="541" t="str">
        <f>IFERROR(IF(C837="","",IF(INDEX(xyWattage_Table,MATCH(M837,'Fixture Identities'!$B$9:$B$997,0),2)="Exit Sign",8760,IF(VLOOKUP(C837,xySpace_Type_Details,8,FALSE)="TRM",INDEX('General Information'!$AF$17:$AG$28,11,MATCH(N837,'General Information'!$AF$16:$AG$16,0)),HLOOKUP(VLOOKUP(C837,xySpace_Type_Details,8,FALSE),'General Information'!$P$15:$AG$28,13,FALSE)))),"")</f>
        <v/>
      </c>
      <c r="U837" s="542" t="str">
        <f>IFERROR(IF(C837="","",IF(INDEX(xyWattage_Table,MATCH(M837,'Fixture Identities'!$B$9:$B$997,0),2)="Exit Sign",1,IF(VLOOKUP(C837,xySpace_Type_Details,8,FALSE)="TRM",INDEX('General Information'!$AF$17:$AG$28,12,MATCH(N837,'General Information'!$AF$16:$AG$16,0)),HLOOKUP(VLOOKUP(C837,xySpace_Type_Details,8,FALSE),'General Information'!$P$15:$AG$28,14,FALSE)))),"")</f>
        <v/>
      </c>
      <c r="V837" s="542" t="str">
        <f>IFERROR(VLOOKUP(INDEX(xySpace_Type_Details,MATCH($C837,'General Information'!$C$40:$C$60,0),12),Lookups!$L$8:$N$12,2,FALSE),"")</f>
        <v/>
      </c>
      <c r="W837" s="542" t="str">
        <f>IFERROR(VLOOKUP(INDEX(xySpace_Type_Details,MATCH($C837,'General Information'!$C$40:$C$60,0),12),Lookups!$L$8:$N$12,3,FALSE),"")</f>
        <v/>
      </c>
      <c r="Y837" s="542" t="str">
        <f>IFERROR(IF(C837="","",IF(INDEX(xyWattage_Table,MATCH(M837,'Fixture Identities'!$B$9:$B$997,0),2)="Exit Sign",0,IF(PRJ_Type="Retrofit",VLOOKUP(I837,xySVG_Factors,2,FALSE),IF(AND(PRJ_Type="New Construction",Inventory!C834="N"),VLOOKUP(VLOOKUP(Building_Type,xyLPD_BuildingArea,5,FALSE),xySVG_Factors_NC,3,FALSE),0)))),"")</f>
        <v/>
      </c>
      <c r="Z837" s="544" t="str">
        <f>IFERROR(IF(C837="","",IF(INDEX(xyWattage_Table,MATCH(M837,'Fixture Identities'!$B$9:$B$997,0),2)="Exit Sign",0,VLOOKUP(S837,xySVG_Factors,2,FALSE))),"")</f>
        <v/>
      </c>
      <c r="AA837" s="545" t="str">
        <f t="shared" si="285"/>
        <v/>
      </c>
      <c r="AB837" s="542" t="str">
        <f t="shared" si="286"/>
        <v/>
      </c>
      <c r="AC837" s="539" t="str">
        <f t="shared" si="287"/>
        <v/>
      </c>
      <c r="AD837" s="546" t="str">
        <f t="shared" si="288"/>
        <v/>
      </c>
      <c r="AE837" s="539" t="str">
        <f t="shared" si="289"/>
        <v/>
      </c>
      <c r="AF837" s="546" t="str">
        <f t="shared" si="290"/>
        <v/>
      </c>
      <c r="AG837" s="539" t="str">
        <f t="shared" si="291"/>
        <v/>
      </c>
      <c r="AH837" s="32">
        <f t="shared" si="293"/>
        <v>0</v>
      </c>
      <c r="AI837" s="32">
        <f t="shared" si="294"/>
        <v>0</v>
      </c>
      <c r="AJ837" s="32">
        <f t="shared" si="295"/>
        <v>0</v>
      </c>
      <c r="AK837" t="str">
        <f t="shared" si="296"/>
        <v/>
      </c>
      <c r="AL837" t="str">
        <f t="shared" si="297"/>
        <v/>
      </c>
      <c r="AM837" t="str">
        <f t="shared" si="298"/>
        <v/>
      </c>
      <c r="AO837" t="str">
        <f>IFERROR(VLOOKUP(M837,'Fixture Identities'!$B$9:$O$1045,14,FALSE),"")</f>
        <v/>
      </c>
      <c r="AP837" t="str">
        <f t="shared" si="292"/>
        <v/>
      </c>
    </row>
    <row r="838" spans="1:42">
      <c r="A838" s="71">
        <f t="shared" si="300"/>
        <v>0</v>
      </c>
      <c r="B838" s="513">
        <f t="shared" si="299"/>
        <v>826</v>
      </c>
      <c r="C838" s="530" t="str">
        <f>IF(Inventory!E835="","",Inventory!E835)</f>
        <v/>
      </c>
      <c r="D838" s="531">
        <f>IF(Inventory!D835="",0,Inventory!D835)</f>
        <v>0</v>
      </c>
      <c r="E838" s="532" t="str">
        <f>IF(Inventory!I835=0,"",Inventory!I835)</f>
        <v/>
      </c>
      <c r="F838" s="533" t="str">
        <f t="shared" si="279"/>
        <v/>
      </c>
      <c r="G838" s="534" t="str">
        <f>IF(Inventory!G835="","",Inventory!G835)</f>
        <v/>
      </c>
      <c r="H838" s="535" t="str">
        <f t="shared" si="280"/>
        <v/>
      </c>
      <c r="I838" s="536" t="str">
        <f>IF(Inventory!J835="","",Inventory!J835)</f>
        <v/>
      </c>
      <c r="J838" s="537" t="str">
        <f>IFERROR(IF(PRJ_Type="New Construction",IF(Inventory!C835="N",INDEX(xyLPD_BuildingArea,MATCH(Building_Type,Lookups!$F$37:$F$75,0),4),INDEX(xyLPD_SpaceBySpace,MATCH(INDEX(xyNCEx,MATCH(I838,yNCExArea,0),2),ySpace_by_Space_Type,0),2)),VLOOKUP(E838,xyWattage_Table,11,FALSE)),"")</f>
        <v/>
      </c>
      <c r="K838" s="538" t="str">
        <f>IFERROR(IF(AND(NC_Type="Building Area Method",Inventory!C835="N"),IF(ISERROR(INDEX('Usage Groups (&gt;120 MWh only)'!$N$8:$N$12,MATCH(C838,'Usage Groups (&gt;120 MWh only)'!$B$8:$B$12,0),1))=TRUE,SqFt/COUNTIFS(Inventory!$C$10:$C$1009,"N",$Q$13:$Q$1012,"&gt;=0"),INDEX('Usage Groups (&gt;120 MWh only)'!$N$8:$N$12,MATCH(C838,'Usage Groups (&gt;120 MWh only)'!$B$8:$B$12,0),1)/COUNTIF($C$13:$C$1012,C838)),IF(AND(NC_Type="Building Area Method",Inventory!C835="Y"),INDEX(xyNCEx,MATCH(I838,yNCExArea,0),3)/COUNTIF($I$13:$I$1012,I838),VLOOKUP(J838,xyWattage_Table,10,FALSE))),"")</f>
        <v/>
      </c>
      <c r="L838" s="539" t="str">
        <f t="shared" si="281"/>
        <v/>
      </c>
      <c r="M838" s="540">
        <f>IF(Inventory!N835="","",Inventory!N835)</f>
        <v>0</v>
      </c>
      <c r="N838" s="533" t="str">
        <f t="shared" si="282"/>
        <v/>
      </c>
      <c r="O838" s="534"/>
      <c r="P838" s="533" t="str">
        <f t="shared" si="283"/>
        <v/>
      </c>
      <c r="Q838" s="534" t="str">
        <f>IF(Inventory!L835="","",Inventory!L835)</f>
        <v/>
      </c>
      <c r="R838" s="535" t="str">
        <f t="shared" si="284"/>
        <v/>
      </c>
      <c r="S838" s="536" t="str">
        <f>IF(Inventory!O835="","",Inventory!O835)</f>
        <v/>
      </c>
      <c r="T838" s="541" t="str">
        <f>IFERROR(IF(C838="","",IF(INDEX(xyWattage_Table,MATCH(M838,'Fixture Identities'!$B$9:$B$997,0),2)="Exit Sign",8760,IF(VLOOKUP(C838,xySpace_Type_Details,8,FALSE)="TRM",INDEX('General Information'!$AF$17:$AG$28,11,MATCH(N838,'General Information'!$AF$16:$AG$16,0)),HLOOKUP(VLOOKUP(C838,xySpace_Type_Details,8,FALSE),'General Information'!$P$15:$AG$28,13,FALSE)))),"")</f>
        <v/>
      </c>
      <c r="U838" s="542" t="str">
        <f>IFERROR(IF(C838="","",IF(INDEX(xyWattage_Table,MATCH(M838,'Fixture Identities'!$B$9:$B$997,0),2)="Exit Sign",1,IF(VLOOKUP(C838,xySpace_Type_Details,8,FALSE)="TRM",INDEX('General Information'!$AF$17:$AG$28,12,MATCH(N838,'General Information'!$AF$16:$AG$16,0)),HLOOKUP(VLOOKUP(C838,xySpace_Type_Details,8,FALSE),'General Information'!$P$15:$AG$28,14,FALSE)))),"")</f>
        <v/>
      </c>
      <c r="V838" s="542" t="str">
        <f>IFERROR(VLOOKUP(INDEX(xySpace_Type_Details,MATCH($C838,'General Information'!$C$40:$C$60,0),12),Lookups!$L$8:$N$12,2,FALSE),"")</f>
        <v/>
      </c>
      <c r="W838" s="542" t="str">
        <f>IFERROR(VLOOKUP(INDEX(xySpace_Type_Details,MATCH($C838,'General Information'!$C$40:$C$60,0),12),Lookups!$L$8:$N$12,3,FALSE),"")</f>
        <v/>
      </c>
      <c r="Y838" s="542" t="str">
        <f>IFERROR(IF(C838="","",IF(INDEX(xyWattage_Table,MATCH(M838,'Fixture Identities'!$B$9:$B$997,0),2)="Exit Sign",0,IF(PRJ_Type="Retrofit",VLOOKUP(I838,xySVG_Factors,2,FALSE),IF(AND(PRJ_Type="New Construction",Inventory!C835="N"),VLOOKUP(VLOOKUP(Building_Type,xyLPD_BuildingArea,5,FALSE),xySVG_Factors_NC,3,FALSE),0)))),"")</f>
        <v/>
      </c>
      <c r="Z838" s="544" t="str">
        <f>IFERROR(IF(C838="","",IF(INDEX(xyWattage_Table,MATCH(M838,'Fixture Identities'!$B$9:$B$997,0),2)="Exit Sign",0,VLOOKUP(S838,xySVG_Factors,2,FALSE))),"")</f>
        <v/>
      </c>
      <c r="AA838" s="545" t="str">
        <f t="shared" si="285"/>
        <v/>
      </c>
      <c r="AB838" s="542" t="str">
        <f t="shared" si="286"/>
        <v/>
      </c>
      <c r="AC838" s="539" t="str">
        <f t="shared" si="287"/>
        <v/>
      </c>
      <c r="AD838" s="546" t="str">
        <f t="shared" si="288"/>
        <v/>
      </c>
      <c r="AE838" s="539" t="str">
        <f t="shared" si="289"/>
        <v/>
      </c>
      <c r="AF838" s="546" t="str">
        <f t="shared" si="290"/>
        <v/>
      </c>
      <c r="AG838" s="539" t="str">
        <f t="shared" si="291"/>
        <v/>
      </c>
      <c r="AH838" s="32">
        <f t="shared" si="293"/>
        <v>0</v>
      </c>
      <c r="AI838" s="32">
        <f t="shared" si="294"/>
        <v>0</v>
      </c>
      <c r="AJ838" s="32">
        <f t="shared" si="295"/>
        <v>0</v>
      </c>
      <c r="AK838" t="str">
        <f t="shared" si="296"/>
        <v/>
      </c>
      <c r="AL838" t="str">
        <f t="shared" si="297"/>
        <v/>
      </c>
      <c r="AM838" t="str">
        <f t="shared" si="298"/>
        <v/>
      </c>
      <c r="AO838" t="str">
        <f>IFERROR(VLOOKUP(M838,'Fixture Identities'!$B$9:$O$1045,14,FALSE),"")</f>
        <v/>
      </c>
      <c r="AP838" t="str">
        <f t="shared" si="292"/>
        <v/>
      </c>
    </row>
    <row r="839" spans="1:42">
      <c r="A839" s="71">
        <f t="shared" si="300"/>
        <v>0</v>
      </c>
      <c r="B839" s="513">
        <f t="shared" si="299"/>
        <v>827</v>
      </c>
      <c r="C839" s="530" t="str">
        <f>IF(Inventory!E836="","",Inventory!E836)</f>
        <v/>
      </c>
      <c r="D839" s="531">
        <f>IF(Inventory!D836="",0,Inventory!D836)</f>
        <v>0</v>
      </c>
      <c r="E839" s="532" t="str">
        <f>IF(Inventory!I836=0,"",Inventory!I836)</f>
        <v/>
      </c>
      <c r="F839" s="533" t="str">
        <f t="shared" ref="F839:F902" si="301">IFERROR(VLOOKUP(E839,xyWattage_Table,10,FALSE),"")</f>
        <v/>
      </c>
      <c r="G839" s="534" t="str">
        <f>IF(Inventory!G836="","",Inventory!G836)</f>
        <v/>
      </c>
      <c r="H839" s="535" t="str">
        <f t="shared" ref="H839:H902" si="302">IF(G839="","",G839*F839)</f>
        <v/>
      </c>
      <c r="I839" s="536" t="str">
        <f>IF(Inventory!J836="","",Inventory!J836)</f>
        <v/>
      </c>
      <c r="J839" s="537" t="str">
        <f>IFERROR(IF(PRJ_Type="New Construction",IF(Inventory!C836="N",INDEX(xyLPD_BuildingArea,MATCH(Building_Type,Lookups!$F$37:$F$75,0),4),INDEX(xyLPD_SpaceBySpace,MATCH(INDEX(xyNCEx,MATCH(I839,yNCExArea,0),2),ySpace_by_Space_Type,0),2)),VLOOKUP(E839,xyWattage_Table,11,FALSE)),"")</f>
        <v/>
      </c>
      <c r="K839" s="538" t="str">
        <f>IFERROR(IF(AND(NC_Type="Building Area Method",Inventory!C836="N"),IF(ISERROR(INDEX('Usage Groups (&gt;120 MWh only)'!$N$8:$N$12,MATCH(C839,'Usage Groups (&gt;120 MWh only)'!$B$8:$B$12,0),1))=TRUE,SqFt/COUNTIFS(Inventory!$C$10:$C$1009,"N",$Q$13:$Q$1012,"&gt;=0"),INDEX('Usage Groups (&gt;120 MWh only)'!$N$8:$N$12,MATCH(C839,'Usage Groups (&gt;120 MWh only)'!$B$8:$B$12,0),1)/COUNTIF($C$13:$C$1012,C839)),IF(AND(NC_Type="Building Area Method",Inventory!C836="Y"),INDEX(xyNCEx,MATCH(I839,yNCExArea,0),3)/COUNTIF($I$13:$I$1012,I839),VLOOKUP(J839,xyWattage_Table,10,FALSE))),"")</f>
        <v/>
      </c>
      <c r="L839" s="539" t="str">
        <f t="shared" ref="L839:L902" si="303">IFERROR(IF(PRJ_Type="New Construction",J839*K839,IF(G839="","",K839*G839)),"")</f>
        <v/>
      </c>
      <c r="M839" s="540">
        <f>IF(Inventory!N836="","",Inventory!N836)</f>
        <v>0</v>
      </c>
      <c r="N839" s="533" t="str">
        <f t="shared" ref="N839:N902" si="304">IFERROR(VLOOKUP(M839,xyWattage_Table,12,FALSE),"")</f>
        <v/>
      </c>
      <c r="O839" s="534"/>
      <c r="P839" s="533" t="str">
        <f t="shared" ref="P839:P902" si="305">IFERROR(VLOOKUP(M839,xyWattage_Table,10,FALSE),"")</f>
        <v/>
      </c>
      <c r="Q839" s="534" t="str">
        <f>IF(Inventory!L836="","",Inventory!L836)</f>
        <v/>
      </c>
      <c r="R839" s="535" t="str">
        <f t="shared" ref="R839:R902" si="306">IF(P839="","",Q839*P839)</f>
        <v/>
      </c>
      <c r="S839" s="536" t="str">
        <f>IF(Inventory!O836="","",Inventory!O836)</f>
        <v/>
      </c>
      <c r="T839" s="541" t="str">
        <f>IFERROR(IF(C839="","",IF(INDEX(xyWattage_Table,MATCH(M839,'Fixture Identities'!$B$9:$B$997,0),2)="Exit Sign",8760,IF(VLOOKUP(C839,xySpace_Type_Details,8,FALSE)="TRM",INDEX('General Information'!$AF$17:$AG$28,11,MATCH(N839,'General Information'!$AF$16:$AG$16,0)),HLOOKUP(VLOOKUP(C839,xySpace_Type_Details,8,FALSE),'General Information'!$P$15:$AG$28,13,FALSE)))),"")</f>
        <v/>
      </c>
      <c r="U839" s="542" t="str">
        <f>IFERROR(IF(C839="","",IF(INDEX(xyWattage_Table,MATCH(M839,'Fixture Identities'!$B$9:$B$997,0),2)="Exit Sign",1,IF(VLOOKUP(C839,xySpace_Type_Details,8,FALSE)="TRM",INDEX('General Information'!$AF$17:$AG$28,12,MATCH(N839,'General Information'!$AF$16:$AG$16,0)),HLOOKUP(VLOOKUP(C839,xySpace_Type_Details,8,FALSE),'General Information'!$P$15:$AG$28,14,FALSE)))),"")</f>
        <v/>
      </c>
      <c r="V839" s="542" t="str">
        <f>IFERROR(VLOOKUP(INDEX(xySpace_Type_Details,MATCH($C839,'General Information'!$C$40:$C$60,0),12),Lookups!$L$8:$N$12,2,FALSE),"")</f>
        <v/>
      </c>
      <c r="W839" s="542" t="str">
        <f>IFERROR(VLOOKUP(INDEX(xySpace_Type_Details,MATCH($C839,'General Information'!$C$40:$C$60,0),12),Lookups!$L$8:$N$12,3,FALSE),"")</f>
        <v/>
      </c>
      <c r="Y839" s="542" t="str">
        <f>IFERROR(IF(C839="","",IF(INDEX(xyWattage_Table,MATCH(M839,'Fixture Identities'!$B$9:$B$997,0),2)="Exit Sign",0,IF(PRJ_Type="Retrofit",VLOOKUP(I839,xySVG_Factors,2,FALSE),IF(AND(PRJ_Type="New Construction",Inventory!C836="N"),VLOOKUP(VLOOKUP(Building_Type,xyLPD_BuildingArea,5,FALSE),xySVG_Factors_NC,3,FALSE),0)))),"")</f>
        <v/>
      </c>
      <c r="Z839" s="544" t="str">
        <f>IFERROR(IF(C839="","",IF(INDEX(xyWattage_Table,MATCH(M839,'Fixture Identities'!$B$9:$B$997,0),2)="Exit Sign",0,VLOOKUP(S839,xySVG_Factors,2,FALSE))),"")</f>
        <v/>
      </c>
      <c r="AA839" s="545" t="str">
        <f t="shared" ref="AA839:AA902" si="307">IFERROR((L839-R839)/1000,"")</f>
        <v/>
      </c>
      <c r="AB839" s="542" t="str">
        <f t="shared" ref="AB839:AB902" si="308">IFERROR(AA839*U839*(1+W839)*(1-Y839),"")</f>
        <v/>
      </c>
      <c r="AC839" s="539" t="str">
        <f t="shared" ref="AC839:AC902" si="309">IFERROR(AA839*T839*(1+V839)*(1-Y839),"")</f>
        <v/>
      </c>
      <c r="AD839" s="546" t="str">
        <f t="shared" ref="AD839:AD902" si="310">IFERROR(R839/1000*(Z839-Y839)*(1+W839)*U839,"")</f>
        <v/>
      </c>
      <c r="AE839" s="539" t="str">
        <f t="shared" ref="AE839:AE902" si="311">IFERROR(R839/1000*T839*(Z839-Y839)*(1+V839),"")</f>
        <v/>
      </c>
      <c r="AF839" s="546" t="str">
        <f t="shared" ref="AF839:AF902" si="312">IFERROR(AB839+AD839,"")</f>
        <v/>
      </c>
      <c r="AG839" s="539" t="str">
        <f t="shared" ref="AG839:AG902" si="313">IFERROR(AC839+AE839,"")</f>
        <v/>
      </c>
      <c r="AH839" s="32">
        <f t="shared" si="293"/>
        <v>0</v>
      </c>
      <c r="AI839" s="32">
        <f t="shared" si="294"/>
        <v>0</v>
      </c>
      <c r="AJ839" s="32">
        <f t="shared" si="295"/>
        <v>0</v>
      </c>
      <c r="AK839" t="str">
        <f t="shared" si="296"/>
        <v/>
      </c>
      <c r="AL839" t="str">
        <f t="shared" si="297"/>
        <v/>
      </c>
      <c r="AM839" t="str">
        <f t="shared" si="298"/>
        <v/>
      </c>
      <c r="AO839" t="str">
        <f>IFERROR(VLOOKUP(M839,'Fixture Identities'!$B$9:$O$1045,14,FALSE),"")</f>
        <v/>
      </c>
      <c r="AP839" t="str">
        <f t="shared" si="292"/>
        <v/>
      </c>
    </row>
    <row r="840" spans="1:42">
      <c r="A840" s="71">
        <f t="shared" si="300"/>
        <v>0</v>
      </c>
      <c r="B840" s="513">
        <f t="shared" si="299"/>
        <v>828</v>
      </c>
      <c r="C840" s="530" t="str">
        <f>IF(Inventory!E837="","",Inventory!E837)</f>
        <v/>
      </c>
      <c r="D840" s="531">
        <f>IF(Inventory!D837="",0,Inventory!D837)</f>
        <v>0</v>
      </c>
      <c r="E840" s="532" t="str">
        <f>IF(Inventory!I837=0,"",Inventory!I837)</f>
        <v/>
      </c>
      <c r="F840" s="533" t="str">
        <f t="shared" si="301"/>
        <v/>
      </c>
      <c r="G840" s="534" t="str">
        <f>IF(Inventory!G837="","",Inventory!G837)</f>
        <v/>
      </c>
      <c r="H840" s="535" t="str">
        <f t="shared" si="302"/>
        <v/>
      </c>
      <c r="I840" s="536" t="str">
        <f>IF(Inventory!J837="","",Inventory!J837)</f>
        <v/>
      </c>
      <c r="J840" s="537" t="str">
        <f>IFERROR(IF(PRJ_Type="New Construction",IF(Inventory!C837="N",INDEX(xyLPD_BuildingArea,MATCH(Building_Type,Lookups!$F$37:$F$75,0),4),INDEX(xyLPD_SpaceBySpace,MATCH(INDEX(xyNCEx,MATCH(I840,yNCExArea,0),2),ySpace_by_Space_Type,0),2)),VLOOKUP(E840,xyWattage_Table,11,FALSE)),"")</f>
        <v/>
      </c>
      <c r="K840" s="538" t="str">
        <f>IFERROR(IF(AND(NC_Type="Building Area Method",Inventory!C837="N"),IF(ISERROR(INDEX('Usage Groups (&gt;120 MWh only)'!$N$8:$N$12,MATCH(C840,'Usage Groups (&gt;120 MWh only)'!$B$8:$B$12,0),1))=TRUE,SqFt/COUNTIFS(Inventory!$C$10:$C$1009,"N",$Q$13:$Q$1012,"&gt;=0"),INDEX('Usage Groups (&gt;120 MWh only)'!$N$8:$N$12,MATCH(C840,'Usage Groups (&gt;120 MWh only)'!$B$8:$B$12,0),1)/COUNTIF($C$13:$C$1012,C840)),IF(AND(NC_Type="Building Area Method",Inventory!C837="Y"),INDEX(xyNCEx,MATCH(I840,yNCExArea,0),3)/COUNTIF($I$13:$I$1012,I840),VLOOKUP(J840,xyWattage_Table,10,FALSE))),"")</f>
        <v/>
      </c>
      <c r="L840" s="539" t="str">
        <f t="shared" si="303"/>
        <v/>
      </c>
      <c r="M840" s="540">
        <f>IF(Inventory!N837="","",Inventory!N837)</f>
        <v>0</v>
      </c>
      <c r="N840" s="533" t="str">
        <f t="shared" si="304"/>
        <v/>
      </c>
      <c r="O840" s="534"/>
      <c r="P840" s="533" t="str">
        <f t="shared" si="305"/>
        <v/>
      </c>
      <c r="Q840" s="534" t="str">
        <f>IF(Inventory!L837="","",Inventory!L837)</f>
        <v/>
      </c>
      <c r="R840" s="535" t="str">
        <f t="shared" si="306"/>
        <v/>
      </c>
      <c r="S840" s="536" t="str">
        <f>IF(Inventory!O837="","",Inventory!O837)</f>
        <v/>
      </c>
      <c r="T840" s="541" t="str">
        <f>IFERROR(IF(C840="","",IF(INDEX(xyWattage_Table,MATCH(M840,'Fixture Identities'!$B$9:$B$997,0),2)="Exit Sign",8760,IF(VLOOKUP(C840,xySpace_Type_Details,8,FALSE)="TRM",INDEX('General Information'!$AF$17:$AG$28,11,MATCH(N840,'General Information'!$AF$16:$AG$16,0)),HLOOKUP(VLOOKUP(C840,xySpace_Type_Details,8,FALSE),'General Information'!$P$15:$AG$28,13,FALSE)))),"")</f>
        <v/>
      </c>
      <c r="U840" s="542" t="str">
        <f>IFERROR(IF(C840="","",IF(INDEX(xyWattage_Table,MATCH(M840,'Fixture Identities'!$B$9:$B$997,0),2)="Exit Sign",1,IF(VLOOKUP(C840,xySpace_Type_Details,8,FALSE)="TRM",INDEX('General Information'!$AF$17:$AG$28,12,MATCH(N840,'General Information'!$AF$16:$AG$16,0)),HLOOKUP(VLOOKUP(C840,xySpace_Type_Details,8,FALSE),'General Information'!$P$15:$AG$28,14,FALSE)))),"")</f>
        <v/>
      </c>
      <c r="V840" s="542" t="str">
        <f>IFERROR(VLOOKUP(INDEX(xySpace_Type_Details,MATCH($C840,'General Information'!$C$40:$C$60,0),12),Lookups!$L$8:$N$12,2,FALSE),"")</f>
        <v/>
      </c>
      <c r="W840" s="542" t="str">
        <f>IFERROR(VLOOKUP(INDEX(xySpace_Type_Details,MATCH($C840,'General Information'!$C$40:$C$60,0),12),Lookups!$L$8:$N$12,3,FALSE),"")</f>
        <v/>
      </c>
      <c r="Y840" s="542" t="str">
        <f>IFERROR(IF(C840="","",IF(INDEX(xyWattage_Table,MATCH(M840,'Fixture Identities'!$B$9:$B$997,0),2)="Exit Sign",0,IF(PRJ_Type="Retrofit",VLOOKUP(I840,xySVG_Factors,2,FALSE),IF(AND(PRJ_Type="New Construction",Inventory!C837="N"),VLOOKUP(VLOOKUP(Building_Type,xyLPD_BuildingArea,5,FALSE),xySVG_Factors_NC,3,FALSE),0)))),"")</f>
        <v/>
      </c>
      <c r="Z840" s="544" t="str">
        <f>IFERROR(IF(C840="","",IF(INDEX(xyWattage_Table,MATCH(M840,'Fixture Identities'!$B$9:$B$997,0),2)="Exit Sign",0,VLOOKUP(S840,xySVG_Factors,2,FALSE))),"")</f>
        <v/>
      </c>
      <c r="AA840" s="545" t="str">
        <f t="shared" si="307"/>
        <v/>
      </c>
      <c r="AB840" s="542" t="str">
        <f t="shared" si="308"/>
        <v/>
      </c>
      <c r="AC840" s="539" t="str">
        <f t="shared" si="309"/>
        <v/>
      </c>
      <c r="AD840" s="546" t="str">
        <f t="shared" si="310"/>
        <v/>
      </c>
      <c r="AE840" s="539" t="str">
        <f t="shared" si="311"/>
        <v/>
      </c>
      <c r="AF840" s="546" t="str">
        <f t="shared" si="312"/>
        <v/>
      </c>
      <c r="AG840" s="539" t="str">
        <f t="shared" si="313"/>
        <v/>
      </c>
      <c r="AH840" s="32">
        <f t="shared" si="293"/>
        <v>0</v>
      </c>
      <c r="AI840" s="32">
        <f t="shared" si="294"/>
        <v>0</v>
      </c>
      <c r="AJ840" s="32">
        <f t="shared" si="295"/>
        <v>0</v>
      </c>
      <c r="AK840" t="str">
        <f t="shared" si="296"/>
        <v/>
      </c>
      <c r="AL840" t="str">
        <f t="shared" si="297"/>
        <v/>
      </c>
      <c r="AM840" t="str">
        <f t="shared" si="298"/>
        <v/>
      </c>
      <c r="AO840" t="str">
        <f>IFERROR(VLOOKUP(M840,'Fixture Identities'!$B$9:$O$1045,14,FALSE),"")</f>
        <v/>
      </c>
      <c r="AP840" t="str">
        <f t="shared" si="292"/>
        <v/>
      </c>
    </row>
    <row r="841" spans="1:42">
      <c r="A841" s="71">
        <f t="shared" si="300"/>
        <v>0</v>
      </c>
      <c r="B841" s="513">
        <f t="shared" si="299"/>
        <v>829</v>
      </c>
      <c r="C841" s="530" t="str">
        <f>IF(Inventory!E838="","",Inventory!E838)</f>
        <v/>
      </c>
      <c r="D841" s="531">
        <f>IF(Inventory!D838="",0,Inventory!D838)</f>
        <v>0</v>
      </c>
      <c r="E841" s="532" t="str">
        <f>IF(Inventory!I838=0,"",Inventory!I838)</f>
        <v/>
      </c>
      <c r="F841" s="533" t="str">
        <f t="shared" si="301"/>
        <v/>
      </c>
      <c r="G841" s="534" t="str">
        <f>IF(Inventory!G838="","",Inventory!G838)</f>
        <v/>
      </c>
      <c r="H841" s="535" t="str">
        <f t="shared" si="302"/>
        <v/>
      </c>
      <c r="I841" s="536" t="str">
        <f>IF(Inventory!J838="","",Inventory!J838)</f>
        <v/>
      </c>
      <c r="J841" s="537" t="str">
        <f>IFERROR(IF(PRJ_Type="New Construction",IF(Inventory!C838="N",INDEX(xyLPD_BuildingArea,MATCH(Building_Type,Lookups!$F$37:$F$75,0),4),INDEX(xyLPD_SpaceBySpace,MATCH(INDEX(xyNCEx,MATCH(I841,yNCExArea,0),2),ySpace_by_Space_Type,0),2)),VLOOKUP(E841,xyWattage_Table,11,FALSE)),"")</f>
        <v/>
      </c>
      <c r="K841" s="538" t="str">
        <f>IFERROR(IF(AND(NC_Type="Building Area Method",Inventory!C838="N"),IF(ISERROR(INDEX('Usage Groups (&gt;120 MWh only)'!$N$8:$N$12,MATCH(C841,'Usage Groups (&gt;120 MWh only)'!$B$8:$B$12,0),1))=TRUE,SqFt/COUNTIFS(Inventory!$C$10:$C$1009,"N",$Q$13:$Q$1012,"&gt;=0"),INDEX('Usage Groups (&gt;120 MWh only)'!$N$8:$N$12,MATCH(C841,'Usage Groups (&gt;120 MWh only)'!$B$8:$B$12,0),1)/COUNTIF($C$13:$C$1012,C841)),IF(AND(NC_Type="Building Area Method",Inventory!C838="Y"),INDEX(xyNCEx,MATCH(I841,yNCExArea,0),3)/COUNTIF($I$13:$I$1012,I841),VLOOKUP(J841,xyWattage_Table,10,FALSE))),"")</f>
        <v/>
      </c>
      <c r="L841" s="539" t="str">
        <f t="shared" si="303"/>
        <v/>
      </c>
      <c r="M841" s="540">
        <f>IF(Inventory!N838="","",Inventory!N838)</f>
        <v>0</v>
      </c>
      <c r="N841" s="533" t="str">
        <f t="shared" si="304"/>
        <v/>
      </c>
      <c r="O841" s="534"/>
      <c r="P841" s="533" t="str">
        <f t="shared" si="305"/>
        <v/>
      </c>
      <c r="Q841" s="534" t="str">
        <f>IF(Inventory!L838="","",Inventory!L838)</f>
        <v/>
      </c>
      <c r="R841" s="535" t="str">
        <f t="shared" si="306"/>
        <v/>
      </c>
      <c r="S841" s="536" t="str">
        <f>IF(Inventory!O838="","",Inventory!O838)</f>
        <v/>
      </c>
      <c r="T841" s="541" t="str">
        <f>IFERROR(IF(C841="","",IF(INDEX(xyWattage_Table,MATCH(M841,'Fixture Identities'!$B$9:$B$997,0),2)="Exit Sign",8760,IF(VLOOKUP(C841,xySpace_Type_Details,8,FALSE)="TRM",INDEX('General Information'!$AF$17:$AG$28,11,MATCH(N841,'General Information'!$AF$16:$AG$16,0)),HLOOKUP(VLOOKUP(C841,xySpace_Type_Details,8,FALSE),'General Information'!$P$15:$AG$28,13,FALSE)))),"")</f>
        <v/>
      </c>
      <c r="U841" s="542" t="str">
        <f>IFERROR(IF(C841="","",IF(INDEX(xyWattage_Table,MATCH(M841,'Fixture Identities'!$B$9:$B$997,0),2)="Exit Sign",1,IF(VLOOKUP(C841,xySpace_Type_Details,8,FALSE)="TRM",INDEX('General Information'!$AF$17:$AG$28,12,MATCH(N841,'General Information'!$AF$16:$AG$16,0)),HLOOKUP(VLOOKUP(C841,xySpace_Type_Details,8,FALSE),'General Information'!$P$15:$AG$28,14,FALSE)))),"")</f>
        <v/>
      </c>
      <c r="V841" s="542" t="str">
        <f>IFERROR(VLOOKUP(INDEX(xySpace_Type_Details,MATCH($C841,'General Information'!$C$40:$C$60,0),12),Lookups!$L$8:$N$12,2,FALSE),"")</f>
        <v/>
      </c>
      <c r="W841" s="542" t="str">
        <f>IFERROR(VLOOKUP(INDEX(xySpace_Type_Details,MATCH($C841,'General Information'!$C$40:$C$60,0),12),Lookups!$L$8:$N$12,3,FALSE),"")</f>
        <v/>
      </c>
      <c r="Y841" s="542" t="str">
        <f>IFERROR(IF(C841="","",IF(INDEX(xyWattage_Table,MATCH(M841,'Fixture Identities'!$B$9:$B$997,0),2)="Exit Sign",0,IF(PRJ_Type="Retrofit",VLOOKUP(I841,xySVG_Factors,2,FALSE),IF(AND(PRJ_Type="New Construction",Inventory!C838="N"),VLOOKUP(VLOOKUP(Building_Type,xyLPD_BuildingArea,5,FALSE),xySVG_Factors_NC,3,FALSE),0)))),"")</f>
        <v/>
      </c>
      <c r="Z841" s="544" t="str">
        <f>IFERROR(IF(C841="","",IF(INDEX(xyWattage_Table,MATCH(M841,'Fixture Identities'!$B$9:$B$997,0),2)="Exit Sign",0,VLOOKUP(S841,xySVG_Factors,2,FALSE))),"")</f>
        <v/>
      </c>
      <c r="AA841" s="545" t="str">
        <f t="shared" si="307"/>
        <v/>
      </c>
      <c r="AB841" s="542" t="str">
        <f t="shared" si="308"/>
        <v/>
      </c>
      <c r="AC841" s="539" t="str">
        <f t="shared" si="309"/>
        <v/>
      </c>
      <c r="AD841" s="546" t="str">
        <f t="shared" si="310"/>
        <v/>
      </c>
      <c r="AE841" s="539" t="str">
        <f t="shared" si="311"/>
        <v/>
      </c>
      <c r="AF841" s="546" t="str">
        <f t="shared" si="312"/>
        <v/>
      </c>
      <c r="AG841" s="539" t="str">
        <f t="shared" si="313"/>
        <v/>
      </c>
      <c r="AH841" s="32">
        <f t="shared" si="293"/>
        <v>0</v>
      </c>
      <c r="AI841" s="32">
        <f t="shared" si="294"/>
        <v>0</v>
      </c>
      <c r="AJ841" s="32">
        <f t="shared" si="295"/>
        <v>0</v>
      </c>
      <c r="AK841" t="str">
        <f t="shared" si="296"/>
        <v/>
      </c>
      <c r="AL841" t="str">
        <f t="shared" si="297"/>
        <v/>
      </c>
      <c r="AM841" t="str">
        <f t="shared" si="298"/>
        <v/>
      </c>
      <c r="AO841" t="str">
        <f>IFERROR(VLOOKUP(M841,'Fixture Identities'!$B$9:$O$1045,14,FALSE),"")</f>
        <v/>
      </c>
      <c r="AP841" t="str">
        <f t="shared" si="292"/>
        <v/>
      </c>
    </row>
    <row r="842" spans="1:42">
      <c r="A842" s="71">
        <f t="shared" si="300"/>
        <v>0</v>
      </c>
      <c r="B842" s="513">
        <f t="shared" si="299"/>
        <v>830</v>
      </c>
      <c r="C842" s="530" t="str">
        <f>IF(Inventory!E839="","",Inventory!E839)</f>
        <v/>
      </c>
      <c r="D842" s="531">
        <f>IF(Inventory!D839="",0,Inventory!D839)</f>
        <v>0</v>
      </c>
      <c r="E842" s="532" t="str">
        <f>IF(Inventory!I839=0,"",Inventory!I839)</f>
        <v/>
      </c>
      <c r="F842" s="533" t="str">
        <f t="shared" si="301"/>
        <v/>
      </c>
      <c r="G842" s="534" t="str">
        <f>IF(Inventory!G839="","",Inventory!G839)</f>
        <v/>
      </c>
      <c r="H842" s="535" t="str">
        <f t="shared" si="302"/>
        <v/>
      </c>
      <c r="I842" s="536" t="str">
        <f>IF(Inventory!J839="","",Inventory!J839)</f>
        <v/>
      </c>
      <c r="J842" s="537" t="str">
        <f>IFERROR(IF(PRJ_Type="New Construction",IF(Inventory!C839="N",INDEX(xyLPD_BuildingArea,MATCH(Building_Type,Lookups!$F$37:$F$75,0),4),INDEX(xyLPD_SpaceBySpace,MATCH(INDEX(xyNCEx,MATCH(I842,yNCExArea,0),2),ySpace_by_Space_Type,0),2)),VLOOKUP(E842,xyWattage_Table,11,FALSE)),"")</f>
        <v/>
      </c>
      <c r="K842" s="538" t="str">
        <f>IFERROR(IF(AND(NC_Type="Building Area Method",Inventory!C839="N"),IF(ISERROR(INDEX('Usage Groups (&gt;120 MWh only)'!$N$8:$N$12,MATCH(C842,'Usage Groups (&gt;120 MWh only)'!$B$8:$B$12,0),1))=TRUE,SqFt/COUNTIFS(Inventory!$C$10:$C$1009,"N",$Q$13:$Q$1012,"&gt;=0"),INDEX('Usage Groups (&gt;120 MWh only)'!$N$8:$N$12,MATCH(C842,'Usage Groups (&gt;120 MWh only)'!$B$8:$B$12,0),1)/COUNTIF($C$13:$C$1012,C842)),IF(AND(NC_Type="Building Area Method",Inventory!C839="Y"),INDEX(xyNCEx,MATCH(I842,yNCExArea,0),3)/COUNTIF($I$13:$I$1012,I842),VLOOKUP(J842,xyWattage_Table,10,FALSE))),"")</f>
        <v/>
      </c>
      <c r="L842" s="539" t="str">
        <f t="shared" si="303"/>
        <v/>
      </c>
      <c r="M842" s="540">
        <f>IF(Inventory!N839="","",Inventory!N839)</f>
        <v>0</v>
      </c>
      <c r="N842" s="533" t="str">
        <f t="shared" si="304"/>
        <v/>
      </c>
      <c r="O842" s="534"/>
      <c r="P842" s="533" t="str">
        <f t="shared" si="305"/>
        <v/>
      </c>
      <c r="Q842" s="534" t="str">
        <f>IF(Inventory!L839="","",Inventory!L839)</f>
        <v/>
      </c>
      <c r="R842" s="535" t="str">
        <f t="shared" si="306"/>
        <v/>
      </c>
      <c r="S842" s="536" t="str">
        <f>IF(Inventory!O839="","",Inventory!O839)</f>
        <v/>
      </c>
      <c r="T842" s="541" t="str">
        <f>IFERROR(IF(C842="","",IF(INDEX(xyWattage_Table,MATCH(M842,'Fixture Identities'!$B$9:$B$997,0),2)="Exit Sign",8760,IF(VLOOKUP(C842,xySpace_Type_Details,8,FALSE)="TRM",INDEX('General Information'!$AF$17:$AG$28,11,MATCH(N842,'General Information'!$AF$16:$AG$16,0)),HLOOKUP(VLOOKUP(C842,xySpace_Type_Details,8,FALSE),'General Information'!$P$15:$AG$28,13,FALSE)))),"")</f>
        <v/>
      </c>
      <c r="U842" s="542" t="str">
        <f>IFERROR(IF(C842="","",IF(INDEX(xyWattage_Table,MATCH(M842,'Fixture Identities'!$B$9:$B$997,0),2)="Exit Sign",1,IF(VLOOKUP(C842,xySpace_Type_Details,8,FALSE)="TRM",INDEX('General Information'!$AF$17:$AG$28,12,MATCH(N842,'General Information'!$AF$16:$AG$16,0)),HLOOKUP(VLOOKUP(C842,xySpace_Type_Details,8,FALSE),'General Information'!$P$15:$AG$28,14,FALSE)))),"")</f>
        <v/>
      </c>
      <c r="V842" s="542" t="str">
        <f>IFERROR(VLOOKUP(INDEX(xySpace_Type_Details,MATCH($C842,'General Information'!$C$40:$C$60,0),12),Lookups!$L$8:$N$12,2,FALSE),"")</f>
        <v/>
      </c>
      <c r="W842" s="542" t="str">
        <f>IFERROR(VLOOKUP(INDEX(xySpace_Type_Details,MATCH($C842,'General Information'!$C$40:$C$60,0),12),Lookups!$L$8:$N$12,3,FALSE),"")</f>
        <v/>
      </c>
      <c r="Y842" s="542" t="str">
        <f>IFERROR(IF(C842="","",IF(INDEX(xyWattage_Table,MATCH(M842,'Fixture Identities'!$B$9:$B$997,0),2)="Exit Sign",0,IF(PRJ_Type="Retrofit",VLOOKUP(I842,xySVG_Factors,2,FALSE),IF(AND(PRJ_Type="New Construction",Inventory!C839="N"),VLOOKUP(VLOOKUP(Building_Type,xyLPD_BuildingArea,5,FALSE),xySVG_Factors_NC,3,FALSE),0)))),"")</f>
        <v/>
      </c>
      <c r="Z842" s="544" t="str">
        <f>IFERROR(IF(C842="","",IF(INDEX(xyWattage_Table,MATCH(M842,'Fixture Identities'!$B$9:$B$997,0),2)="Exit Sign",0,VLOOKUP(S842,xySVG_Factors,2,FALSE))),"")</f>
        <v/>
      </c>
      <c r="AA842" s="545" t="str">
        <f t="shared" si="307"/>
        <v/>
      </c>
      <c r="AB842" s="542" t="str">
        <f t="shared" si="308"/>
        <v/>
      </c>
      <c r="AC842" s="539" t="str">
        <f t="shared" si="309"/>
        <v/>
      </c>
      <c r="AD842" s="546" t="str">
        <f t="shared" si="310"/>
        <v/>
      </c>
      <c r="AE842" s="539" t="str">
        <f t="shared" si="311"/>
        <v/>
      </c>
      <c r="AF842" s="546" t="str">
        <f t="shared" si="312"/>
        <v/>
      </c>
      <c r="AG842" s="539" t="str">
        <f t="shared" si="313"/>
        <v/>
      </c>
      <c r="AH842" s="32">
        <f t="shared" si="293"/>
        <v>0</v>
      </c>
      <c r="AI842" s="32">
        <f t="shared" si="294"/>
        <v>0</v>
      </c>
      <c r="AJ842" s="32">
        <f t="shared" si="295"/>
        <v>0</v>
      </c>
      <c r="AK842" t="str">
        <f t="shared" si="296"/>
        <v/>
      </c>
      <c r="AL842" t="str">
        <f t="shared" si="297"/>
        <v/>
      </c>
      <c r="AM842" t="str">
        <f t="shared" si="298"/>
        <v/>
      </c>
      <c r="AO842" t="str">
        <f>IFERROR(VLOOKUP(M842,'Fixture Identities'!$B$9:$O$1045,14,FALSE),"")</f>
        <v/>
      </c>
      <c r="AP842" t="str">
        <f t="shared" si="292"/>
        <v/>
      </c>
    </row>
    <row r="843" spans="1:42">
      <c r="A843" s="71">
        <f t="shared" si="300"/>
        <v>0</v>
      </c>
      <c r="B843" s="513">
        <f t="shared" si="299"/>
        <v>831</v>
      </c>
      <c r="C843" s="530" t="str">
        <f>IF(Inventory!E840="","",Inventory!E840)</f>
        <v/>
      </c>
      <c r="D843" s="531">
        <f>IF(Inventory!D840="",0,Inventory!D840)</f>
        <v>0</v>
      </c>
      <c r="E843" s="532" t="str">
        <f>IF(Inventory!I840=0,"",Inventory!I840)</f>
        <v/>
      </c>
      <c r="F843" s="533" t="str">
        <f t="shared" si="301"/>
        <v/>
      </c>
      <c r="G843" s="534" t="str">
        <f>IF(Inventory!G840="","",Inventory!G840)</f>
        <v/>
      </c>
      <c r="H843" s="535" t="str">
        <f t="shared" si="302"/>
        <v/>
      </c>
      <c r="I843" s="536" t="str">
        <f>IF(Inventory!J840="","",Inventory!J840)</f>
        <v/>
      </c>
      <c r="J843" s="537" t="str">
        <f>IFERROR(IF(PRJ_Type="New Construction",IF(Inventory!C840="N",INDEX(xyLPD_BuildingArea,MATCH(Building_Type,Lookups!$F$37:$F$75,0),4),INDEX(xyLPD_SpaceBySpace,MATCH(INDEX(xyNCEx,MATCH(I843,yNCExArea,0),2),ySpace_by_Space_Type,0),2)),VLOOKUP(E843,xyWattage_Table,11,FALSE)),"")</f>
        <v/>
      </c>
      <c r="K843" s="538" t="str">
        <f>IFERROR(IF(AND(NC_Type="Building Area Method",Inventory!C840="N"),IF(ISERROR(INDEX('Usage Groups (&gt;120 MWh only)'!$N$8:$N$12,MATCH(C843,'Usage Groups (&gt;120 MWh only)'!$B$8:$B$12,0),1))=TRUE,SqFt/COUNTIFS(Inventory!$C$10:$C$1009,"N",$Q$13:$Q$1012,"&gt;=0"),INDEX('Usage Groups (&gt;120 MWh only)'!$N$8:$N$12,MATCH(C843,'Usage Groups (&gt;120 MWh only)'!$B$8:$B$12,0),1)/COUNTIF($C$13:$C$1012,C843)),IF(AND(NC_Type="Building Area Method",Inventory!C840="Y"),INDEX(xyNCEx,MATCH(I843,yNCExArea,0),3)/COUNTIF($I$13:$I$1012,I843),VLOOKUP(J843,xyWattage_Table,10,FALSE))),"")</f>
        <v/>
      </c>
      <c r="L843" s="539" t="str">
        <f t="shared" si="303"/>
        <v/>
      </c>
      <c r="M843" s="540">
        <f>IF(Inventory!N840="","",Inventory!N840)</f>
        <v>0</v>
      </c>
      <c r="N843" s="533" t="str">
        <f t="shared" si="304"/>
        <v/>
      </c>
      <c r="O843" s="534"/>
      <c r="P843" s="533" t="str">
        <f t="shared" si="305"/>
        <v/>
      </c>
      <c r="Q843" s="534" t="str">
        <f>IF(Inventory!L840="","",Inventory!L840)</f>
        <v/>
      </c>
      <c r="R843" s="535" t="str">
        <f t="shared" si="306"/>
        <v/>
      </c>
      <c r="S843" s="536" t="str">
        <f>IF(Inventory!O840="","",Inventory!O840)</f>
        <v/>
      </c>
      <c r="T843" s="541" t="str">
        <f>IFERROR(IF(C843="","",IF(INDEX(xyWattage_Table,MATCH(M843,'Fixture Identities'!$B$9:$B$997,0),2)="Exit Sign",8760,IF(VLOOKUP(C843,xySpace_Type_Details,8,FALSE)="TRM",INDEX('General Information'!$AF$17:$AG$28,11,MATCH(N843,'General Information'!$AF$16:$AG$16,0)),HLOOKUP(VLOOKUP(C843,xySpace_Type_Details,8,FALSE),'General Information'!$P$15:$AG$28,13,FALSE)))),"")</f>
        <v/>
      </c>
      <c r="U843" s="542" t="str">
        <f>IFERROR(IF(C843="","",IF(INDEX(xyWattage_Table,MATCH(M843,'Fixture Identities'!$B$9:$B$997,0),2)="Exit Sign",1,IF(VLOOKUP(C843,xySpace_Type_Details,8,FALSE)="TRM",INDEX('General Information'!$AF$17:$AG$28,12,MATCH(N843,'General Information'!$AF$16:$AG$16,0)),HLOOKUP(VLOOKUP(C843,xySpace_Type_Details,8,FALSE),'General Information'!$P$15:$AG$28,14,FALSE)))),"")</f>
        <v/>
      </c>
      <c r="V843" s="542" t="str">
        <f>IFERROR(VLOOKUP(INDEX(xySpace_Type_Details,MATCH($C843,'General Information'!$C$40:$C$60,0),12),Lookups!$L$8:$N$12,2,FALSE),"")</f>
        <v/>
      </c>
      <c r="W843" s="542" t="str">
        <f>IFERROR(VLOOKUP(INDEX(xySpace_Type_Details,MATCH($C843,'General Information'!$C$40:$C$60,0),12),Lookups!$L$8:$N$12,3,FALSE),"")</f>
        <v/>
      </c>
      <c r="Y843" s="542" t="str">
        <f>IFERROR(IF(C843="","",IF(INDEX(xyWattage_Table,MATCH(M843,'Fixture Identities'!$B$9:$B$997,0),2)="Exit Sign",0,IF(PRJ_Type="Retrofit",VLOOKUP(I843,xySVG_Factors,2,FALSE),IF(AND(PRJ_Type="New Construction",Inventory!C840="N"),VLOOKUP(VLOOKUP(Building_Type,xyLPD_BuildingArea,5,FALSE),xySVG_Factors_NC,3,FALSE),0)))),"")</f>
        <v/>
      </c>
      <c r="Z843" s="544" t="str">
        <f>IFERROR(IF(C843="","",IF(INDEX(xyWattage_Table,MATCH(M843,'Fixture Identities'!$B$9:$B$997,0),2)="Exit Sign",0,VLOOKUP(S843,xySVG_Factors,2,FALSE))),"")</f>
        <v/>
      </c>
      <c r="AA843" s="545" t="str">
        <f t="shared" si="307"/>
        <v/>
      </c>
      <c r="AB843" s="542" t="str">
        <f t="shared" si="308"/>
        <v/>
      </c>
      <c r="AC843" s="539" t="str">
        <f t="shared" si="309"/>
        <v/>
      </c>
      <c r="AD843" s="546" t="str">
        <f t="shared" si="310"/>
        <v/>
      </c>
      <c r="AE843" s="539" t="str">
        <f t="shared" si="311"/>
        <v/>
      </c>
      <c r="AF843" s="546" t="str">
        <f t="shared" si="312"/>
        <v/>
      </c>
      <c r="AG843" s="539" t="str">
        <f t="shared" si="313"/>
        <v/>
      </c>
      <c r="AH843" s="32">
        <f t="shared" si="293"/>
        <v>0</v>
      </c>
      <c r="AI843" s="32">
        <f t="shared" si="294"/>
        <v>0</v>
      </c>
      <c r="AJ843" s="32">
        <f t="shared" si="295"/>
        <v>0</v>
      </c>
      <c r="AK843" t="str">
        <f t="shared" si="296"/>
        <v/>
      </c>
      <c r="AL843" t="str">
        <f t="shared" si="297"/>
        <v/>
      </c>
      <c r="AM843" t="str">
        <f t="shared" si="298"/>
        <v/>
      </c>
      <c r="AO843" t="str">
        <f>IFERROR(VLOOKUP(M843,'Fixture Identities'!$B$9:$O$1045,14,FALSE),"")</f>
        <v/>
      </c>
      <c r="AP843" t="str">
        <f t="shared" si="292"/>
        <v/>
      </c>
    </row>
    <row r="844" spans="1:42">
      <c r="A844" s="71">
        <f t="shared" si="300"/>
        <v>0</v>
      </c>
      <c r="B844" s="513">
        <f t="shared" si="299"/>
        <v>832</v>
      </c>
      <c r="C844" s="530" t="str">
        <f>IF(Inventory!E841="","",Inventory!E841)</f>
        <v/>
      </c>
      <c r="D844" s="531">
        <f>IF(Inventory!D841="",0,Inventory!D841)</f>
        <v>0</v>
      </c>
      <c r="E844" s="532" t="str">
        <f>IF(Inventory!I841=0,"",Inventory!I841)</f>
        <v/>
      </c>
      <c r="F844" s="533" t="str">
        <f t="shared" si="301"/>
        <v/>
      </c>
      <c r="G844" s="534" t="str">
        <f>IF(Inventory!G841="","",Inventory!G841)</f>
        <v/>
      </c>
      <c r="H844" s="535" t="str">
        <f t="shared" si="302"/>
        <v/>
      </c>
      <c r="I844" s="536" t="str">
        <f>IF(Inventory!J841="","",Inventory!J841)</f>
        <v/>
      </c>
      <c r="J844" s="537" t="str">
        <f>IFERROR(IF(PRJ_Type="New Construction",IF(Inventory!C841="N",INDEX(xyLPD_BuildingArea,MATCH(Building_Type,Lookups!$F$37:$F$75,0),4),INDEX(xyLPD_SpaceBySpace,MATCH(INDEX(xyNCEx,MATCH(I844,yNCExArea,0),2),ySpace_by_Space_Type,0),2)),VLOOKUP(E844,xyWattage_Table,11,FALSE)),"")</f>
        <v/>
      </c>
      <c r="K844" s="538" t="str">
        <f>IFERROR(IF(AND(NC_Type="Building Area Method",Inventory!C841="N"),IF(ISERROR(INDEX('Usage Groups (&gt;120 MWh only)'!$N$8:$N$12,MATCH(C844,'Usage Groups (&gt;120 MWh only)'!$B$8:$B$12,0),1))=TRUE,SqFt/COUNTIFS(Inventory!$C$10:$C$1009,"N",$Q$13:$Q$1012,"&gt;=0"),INDEX('Usage Groups (&gt;120 MWh only)'!$N$8:$N$12,MATCH(C844,'Usage Groups (&gt;120 MWh only)'!$B$8:$B$12,0),1)/COUNTIF($C$13:$C$1012,C844)),IF(AND(NC_Type="Building Area Method",Inventory!C841="Y"),INDEX(xyNCEx,MATCH(I844,yNCExArea,0),3)/COUNTIF($I$13:$I$1012,I844),VLOOKUP(J844,xyWattage_Table,10,FALSE))),"")</f>
        <v/>
      </c>
      <c r="L844" s="539" t="str">
        <f t="shared" si="303"/>
        <v/>
      </c>
      <c r="M844" s="540">
        <f>IF(Inventory!N841="","",Inventory!N841)</f>
        <v>0</v>
      </c>
      <c r="N844" s="533" t="str">
        <f t="shared" si="304"/>
        <v/>
      </c>
      <c r="O844" s="534"/>
      <c r="P844" s="533" t="str">
        <f t="shared" si="305"/>
        <v/>
      </c>
      <c r="Q844" s="534" t="str">
        <f>IF(Inventory!L841="","",Inventory!L841)</f>
        <v/>
      </c>
      <c r="R844" s="535" t="str">
        <f t="shared" si="306"/>
        <v/>
      </c>
      <c r="S844" s="536" t="str">
        <f>IF(Inventory!O841="","",Inventory!O841)</f>
        <v/>
      </c>
      <c r="T844" s="541" t="str">
        <f>IFERROR(IF(C844="","",IF(INDEX(xyWattage_Table,MATCH(M844,'Fixture Identities'!$B$9:$B$997,0),2)="Exit Sign",8760,IF(VLOOKUP(C844,xySpace_Type_Details,8,FALSE)="TRM",INDEX('General Information'!$AF$17:$AG$28,11,MATCH(N844,'General Information'!$AF$16:$AG$16,0)),HLOOKUP(VLOOKUP(C844,xySpace_Type_Details,8,FALSE),'General Information'!$P$15:$AG$28,13,FALSE)))),"")</f>
        <v/>
      </c>
      <c r="U844" s="542" t="str">
        <f>IFERROR(IF(C844="","",IF(INDEX(xyWattage_Table,MATCH(M844,'Fixture Identities'!$B$9:$B$997,0),2)="Exit Sign",1,IF(VLOOKUP(C844,xySpace_Type_Details,8,FALSE)="TRM",INDEX('General Information'!$AF$17:$AG$28,12,MATCH(N844,'General Information'!$AF$16:$AG$16,0)),HLOOKUP(VLOOKUP(C844,xySpace_Type_Details,8,FALSE),'General Information'!$P$15:$AG$28,14,FALSE)))),"")</f>
        <v/>
      </c>
      <c r="V844" s="542" t="str">
        <f>IFERROR(VLOOKUP(INDEX(xySpace_Type_Details,MATCH($C844,'General Information'!$C$40:$C$60,0),12),Lookups!$L$8:$N$12,2,FALSE),"")</f>
        <v/>
      </c>
      <c r="W844" s="542" t="str">
        <f>IFERROR(VLOOKUP(INDEX(xySpace_Type_Details,MATCH($C844,'General Information'!$C$40:$C$60,0),12),Lookups!$L$8:$N$12,3,FALSE),"")</f>
        <v/>
      </c>
      <c r="Y844" s="542" t="str">
        <f>IFERROR(IF(C844="","",IF(INDEX(xyWattage_Table,MATCH(M844,'Fixture Identities'!$B$9:$B$997,0),2)="Exit Sign",0,IF(PRJ_Type="Retrofit",VLOOKUP(I844,xySVG_Factors,2,FALSE),IF(AND(PRJ_Type="New Construction",Inventory!C841="N"),VLOOKUP(VLOOKUP(Building_Type,xyLPD_BuildingArea,5,FALSE),xySVG_Factors_NC,3,FALSE),0)))),"")</f>
        <v/>
      </c>
      <c r="Z844" s="544" t="str">
        <f>IFERROR(IF(C844="","",IF(INDEX(xyWattage_Table,MATCH(M844,'Fixture Identities'!$B$9:$B$997,0),2)="Exit Sign",0,VLOOKUP(S844,xySVG_Factors,2,FALSE))),"")</f>
        <v/>
      </c>
      <c r="AA844" s="545" t="str">
        <f t="shared" si="307"/>
        <v/>
      </c>
      <c r="AB844" s="542" t="str">
        <f t="shared" si="308"/>
        <v/>
      </c>
      <c r="AC844" s="539" t="str">
        <f t="shared" si="309"/>
        <v/>
      </c>
      <c r="AD844" s="546" t="str">
        <f t="shared" si="310"/>
        <v/>
      </c>
      <c r="AE844" s="539" t="str">
        <f t="shared" si="311"/>
        <v/>
      </c>
      <c r="AF844" s="546" t="str">
        <f t="shared" si="312"/>
        <v/>
      </c>
      <c r="AG844" s="539" t="str">
        <f t="shared" si="313"/>
        <v/>
      </c>
      <c r="AH844" s="32">
        <f t="shared" si="293"/>
        <v>0</v>
      </c>
      <c r="AI844" s="32">
        <f t="shared" si="294"/>
        <v>0</v>
      </c>
      <c r="AJ844" s="32">
        <f t="shared" si="295"/>
        <v>0</v>
      </c>
      <c r="AK844" t="str">
        <f t="shared" si="296"/>
        <v/>
      </c>
      <c r="AL844" t="str">
        <f t="shared" si="297"/>
        <v/>
      </c>
      <c r="AM844" t="str">
        <f t="shared" si="298"/>
        <v/>
      </c>
      <c r="AO844" t="str">
        <f>IFERROR(VLOOKUP(M844,'Fixture Identities'!$B$9:$O$1045,14,FALSE),"")</f>
        <v/>
      </c>
      <c r="AP844" t="str">
        <f t="shared" si="292"/>
        <v/>
      </c>
    </row>
    <row r="845" spans="1:42">
      <c r="A845" s="71">
        <f t="shared" si="300"/>
        <v>0</v>
      </c>
      <c r="B845" s="513">
        <f t="shared" si="299"/>
        <v>833</v>
      </c>
      <c r="C845" s="530" t="str">
        <f>IF(Inventory!E842="","",Inventory!E842)</f>
        <v/>
      </c>
      <c r="D845" s="531">
        <f>IF(Inventory!D842="",0,Inventory!D842)</f>
        <v>0</v>
      </c>
      <c r="E845" s="532" t="str">
        <f>IF(Inventory!I842=0,"",Inventory!I842)</f>
        <v/>
      </c>
      <c r="F845" s="533" t="str">
        <f t="shared" si="301"/>
        <v/>
      </c>
      <c r="G845" s="534" t="str">
        <f>IF(Inventory!G842="","",Inventory!G842)</f>
        <v/>
      </c>
      <c r="H845" s="535" t="str">
        <f t="shared" si="302"/>
        <v/>
      </c>
      <c r="I845" s="536" t="str">
        <f>IF(Inventory!J842="","",Inventory!J842)</f>
        <v/>
      </c>
      <c r="J845" s="537" t="str">
        <f>IFERROR(IF(PRJ_Type="New Construction",IF(Inventory!C842="N",INDEX(xyLPD_BuildingArea,MATCH(Building_Type,Lookups!$F$37:$F$75,0),4),INDEX(xyLPD_SpaceBySpace,MATCH(INDEX(xyNCEx,MATCH(I845,yNCExArea,0),2),ySpace_by_Space_Type,0),2)),VLOOKUP(E845,xyWattage_Table,11,FALSE)),"")</f>
        <v/>
      </c>
      <c r="K845" s="538" t="str">
        <f>IFERROR(IF(AND(NC_Type="Building Area Method",Inventory!C842="N"),IF(ISERROR(INDEX('Usage Groups (&gt;120 MWh only)'!$N$8:$N$12,MATCH(C845,'Usage Groups (&gt;120 MWh only)'!$B$8:$B$12,0),1))=TRUE,SqFt/COUNTIFS(Inventory!$C$10:$C$1009,"N",$Q$13:$Q$1012,"&gt;=0"),INDEX('Usage Groups (&gt;120 MWh only)'!$N$8:$N$12,MATCH(C845,'Usage Groups (&gt;120 MWh only)'!$B$8:$B$12,0),1)/COUNTIF($C$13:$C$1012,C845)),IF(AND(NC_Type="Building Area Method",Inventory!C842="Y"),INDEX(xyNCEx,MATCH(I845,yNCExArea,0),3)/COUNTIF($I$13:$I$1012,I845),VLOOKUP(J845,xyWattage_Table,10,FALSE))),"")</f>
        <v/>
      </c>
      <c r="L845" s="539" t="str">
        <f t="shared" si="303"/>
        <v/>
      </c>
      <c r="M845" s="540">
        <f>IF(Inventory!N842="","",Inventory!N842)</f>
        <v>0</v>
      </c>
      <c r="N845" s="533" t="str">
        <f t="shared" si="304"/>
        <v/>
      </c>
      <c r="O845" s="534"/>
      <c r="P845" s="533" t="str">
        <f t="shared" si="305"/>
        <v/>
      </c>
      <c r="Q845" s="534" t="str">
        <f>IF(Inventory!L842="","",Inventory!L842)</f>
        <v/>
      </c>
      <c r="R845" s="535" t="str">
        <f t="shared" si="306"/>
        <v/>
      </c>
      <c r="S845" s="536" t="str">
        <f>IF(Inventory!O842="","",Inventory!O842)</f>
        <v/>
      </c>
      <c r="T845" s="541" t="str">
        <f>IFERROR(IF(C845="","",IF(INDEX(xyWattage_Table,MATCH(M845,'Fixture Identities'!$B$9:$B$997,0),2)="Exit Sign",8760,IF(VLOOKUP(C845,xySpace_Type_Details,8,FALSE)="TRM",INDEX('General Information'!$AF$17:$AG$28,11,MATCH(N845,'General Information'!$AF$16:$AG$16,0)),HLOOKUP(VLOOKUP(C845,xySpace_Type_Details,8,FALSE),'General Information'!$P$15:$AG$28,13,FALSE)))),"")</f>
        <v/>
      </c>
      <c r="U845" s="542" t="str">
        <f>IFERROR(IF(C845="","",IF(INDEX(xyWattage_Table,MATCH(M845,'Fixture Identities'!$B$9:$B$997,0),2)="Exit Sign",1,IF(VLOOKUP(C845,xySpace_Type_Details,8,FALSE)="TRM",INDEX('General Information'!$AF$17:$AG$28,12,MATCH(N845,'General Information'!$AF$16:$AG$16,0)),HLOOKUP(VLOOKUP(C845,xySpace_Type_Details,8,FALSE),'General Information'!$P$15:$AG$28,14,FALSE)))),"")</f>
        <v/>
      </c>
      <c r="V845" s="542" t="str">
        <f>IFERROR(VLOOKUP(INDEX(xySpace_Type_Details,MATCH($C845,'General Information'!$C$40:$C$60,0),12),Lookups!$L$8:$N$12,2,FALSE),"")</f>
        <v/>
      </c>
      <c r="W845" s="542" t="str">
        <f>IFERROR(VLOOKUP(INDEX(xySpace_Type_Details,MATCH($C845,'General Information'!$C$40:$C$60,0),12),Lookups!$L$8:$N$12,3,FALSE),"")</f>
        <v/>
      </c>
      <c r="Y845" s="542" t="str">
        <f>IFERROR(IF(C845="","",IF(INDEX(xyWattage_Table,MATCH(M845,'Fixture Identities'!$B$9:$B$997,0),2)="Exit Sign",0,IF(PRJ_Type="Retrofit",VLOOKUP(I845,xySVG_Factors,2,FALSE),IF(AND(PRJ_Type="New Construction",Inventory!C842="N"),VLOOKUP(VLOOKUP(Building_Type,xyLPD_BuildingArea,5,FALSE),xySVG_Factors_NC,3,FALSE),0)))),"")</f>
        <v/>
      </c>
      <c r="Z845" s="544" t="str">
        <f>IFERROR(IF(C845="","",IF(INDEX(xyWattage_Table,MATCH(M845,'Fixture Identities'!$B$9:$B$997,0),2)="Exit Sign",0,VLOOKUP(S845,xySVG_Factors,2,FALSE))),"")</f>
        <v/>
      </c>
      <c r="AA845" s="545" t="str">
        <f t="shared" si="307"/>
        <v/>
      </c>
      <c r="AB845" s="542" t="str">
        <f t="shared" si="308"/>
        <v/>
      </c>
      <c r="AC845" s="539" t="str">
        <f t="shared" si="309"/>
        <v/>
      </c>
      <c r="AD845" s="546" t="str">
        <f t="shared" si="310"/>
        <v/>
      </c>
      <c r="AE845" s="539" t="str">
        <f t="shared" si="311"/>
        <v/>
      </c>
      <c r="AF845" s="546" t="str">
        <f t="shared" si="312"/>
        <v/>
      </c>
      <c r="AG845" s="539" t="str">
        <f t="shared" si="313"/>
        <v/>
      </c>
      <c r="AH845" s="32">
        <f t="shared" si="293"/>
        <v>0</v>
      </c>
      <c r="AI845" s="32">
        <f t="shared" si="294"/>
        <v>0</v>
      </c>
      <c r="AJ845" s="32">
        <f t="shared" si="295"/>
        <v>0</v>
      </c>
      <c r="AK845" t="str">
        <f t="shared" si="296"/>
        <v/>
      </c>
      <c r="AL845" t="str">
        <f t="shared" si="297"/>
        <v/>
      </c>
      <c r="AM845" t="str">
        <f t="shared" si="298"/>
        <v/>
      </c>
      <c r="AO845" t="str">
        <f>IFERROR(VLOOKUP(M845,'Fixture Identities'!$B$9:$O$1045,14,FALSE),"")</f>
        <v/>
      </c>
      <c r="AP845" t="str">
        <f t="shared" ref="AP845:AP908" si="314">IF(M846="Signage",G846,"")</f>
        <v/>
      </c>
    </row>
    <row r="846" spans="1:42">
      <c r="A846" s="71">
        <f t="shared" si="300"/>
        <v>0</v>
      </c>
      <c r="B846" s="513">
        <f t="shared" si="299"/>
        <v>834</v>
      </c>
      <c r="C846" s="530" t="str">
        <f>IF(Inventory!E843="","",Inventory!E843)</f>
        <v/>
      </c>
      <c r="D846" s="531">
        <f>IF(Inventory!D843="",0,Inventory!D843)</f>
        <v>0</v>
      </c>
      <c r="E846" s="532" t="str">
        <f>IF(Inventory!I843=0,"",Inventory!I843)</f>
        <v/>
      </c>
      <c r="F846" s="533" t="str">
        <f t="shared" si="301"/>
        <v/>
      </c>
      <c r="G846" s="534" t="str">
        <f>IF(Inventory!G843="","",Inventory!G843)</f>
        <v/>
      </c>
      <c r="H846" s="535" t="str">
        <f t="shared" si="302"/>
        <v/>
      </c>
      <c r="I846" s="536" t="str">
        <f>IF(Inventory!J843="","",Inventory!J843)</f>
        <v/>
      </c>
      <c r="J846" s="537" t="str">
        <f>IFERROR(IF(PRJ_Type="New Construction",IF(Inventory!C843="N",INDEX(xyLPD_BuildingArea,MATCH(Building_Type,Lookups!$F$37:$F$75,0),4),INDEX(xyLPD_SpaceBySpace,MATCH(INDEX(xyNCEx,MATCH(I846,yNCExArea,0),2),ySpace_by_Space_Type,0),2)),VLOOKUP(E846,xyWattage_Table,11,FALSE)),"")</f>
        <v/>
      </c>
      <c r="K846" s="538" t="str">
        <f>IFERROR(IF(AND(NC_Type="Building Area Method",Inventory!C843="N"),IF(ISERROR(INDEX('Usage Groups (&gt;120 MWh only)'!$N$8:$N$12,MATCH(C846,'Usage Groups (&gt;120 MWh only)'!$B$8:$B$12,0),1))=TRUE,SqFt/COUNTIFS(Inventory!$C$10:$C$1009,"N",$Q$13:$Q$1012,"&gt;=0"),INDEX('Usage Groups (&gt;120 MWh only)'!$N$8:$N$12,MATCH(C846,'Usage Groups (&gt;120 MWh only)'!$B$8:$B$12,0),1)/COUNTIF($C$13:$C$1012,C846)),IF(AND(NC_Type="Building Area Method",Inventory!C843="Y"),INDEX(xyNCEx,MATCH(I846,yNCExArea,0),3)/COUNTIF($I$13:$I$1012,I846),VLOOKUP(J846,xyWattage_Table,10,FALSE))),"")</f>
        <v/>
      </c>
      <c r="L846" s="539" t="str">
        <f t="shared" si="303"/>
        <v/>
      </c>
      <c r="M846" s="540">
        <f>IF(Inventory!N843="","",Inventory!N843)</f>
        <v>0</v>
      </c>
      <c r="N846" s="533" t="str">
        <f t="shared" si="304"/>
        <v/>
      </c>
      <c r="O846" s="534"/>
      <c r="P846" s="533" t="str">
        <f t="shared" si="305"/>
        <v/>
      </c>
      <c r="Q846" s="534" t="str">
        <f>IF(Inventory!L843="","",Inventory!L843)</f>
        <v/>
      </c>
      <c r="R846" s="535" t="str">
        <f t="shared" si="306"/>
        <v/>
      </c>
      <c r="S846" s="536" t="str">
        <f>IF(Inventory!O843="","",Inventory!O843)</f>
        <v/>
      </c>
      <c r="T846" s="541" t="str">
        <f>IFERROR(IF(C846="","",IF(INDEX(xyWattage_Table,MATCH(M846,'Fixture Identities'!$B$9:$B$997,0),2)="Exit Sign",8760,IF(VLOOKUP(C846,xySpace_Type_Details,8,FALSE)="TRM",INDEX('General Information'!$AF$17:$AG$28,11,MATCH(N846,'General Information'!$AF$16:$AG$16,0)),HLOOKUP(VLOOKUP(C846,xySpace_Type_Details,8,FALSE),'General Information'!$P$15:$AG$28,13,FALSE)))),"")</f>
        <v/>
      </c>
      <c r="U846" s="542" t="str">
        <f>IFERROR(IF(C846="","",IF(INDEX(xyWattage_Table,MATCH(M846,'Fixture Identities'!$B$9:$B$997,0),2)="Exit Sign",1,IF(VLOOKUP(C846,xySpace_Type_Details,8,FALSE)="TRM",INDEX('General Information'!$AF$17:$AG$28,12,MATCH(N846,'General Information'!$AF$16:$AG$16,0)),HLOOKUP(VLOOKUP(C846,xySpace_Type_Details,8,FALSE),'General Information'!$P$15:$AG$28,14,FALSE)))),"")</f>
        <v/>
      </c>
      <c r="V846" s="542" t="str">
        <f>IFERROR(VLOOKUP(INDEX(xySpace_Type_Details,MATCH($C846,'General Information'!$C$40:$C$60,0),12),Lookups!$L$8:$N$12,2,FALSE),"")</f>
        <v/>
      </c>
      <c r="W846" s="542" t="str">
        <f>IFERROR(VLOOKUP(INDEX(xySpace_Type_Details,MATCH($C846,'General Information'!$C$40:$C$60,0),12),Lookups!$L$8:$N$12,3,FALSE),"")</f>
        <v/>
      </c>
      <c r="Y846" s="542" t="str">
        <f>IFERROR(IF(C846="","",IF(INDEX(xyWattage_Table,MATCH(M846,'Fixture Identities'!$B$9:$B$997,0),2)="Exit Sign",0,IF(PRJ_Type="Retrofit",VLOOKUP(I846,xySVG_Factors,2,FALSE),IF(AND(PRJ_Type="New Construction",Inventory!C843="N"),VLOOKUP(VLOOKUP(Building_Type,xyLPD_BuildingArea,5,FALSE),xySVG_Factors_NC,3,FALSE),0)))),"")</f>
        <v/>
      </c>
      <c r="Z846" s="544" t="str">
        <f>IFERROR(IF(C846="","",IF(INDEX(xyWattage_Table,MATCH(M846,'Fixture Identities'!$B$9:$B$997,0),2)="Exit Sign",0,VLOOKUP(S846,xySVG_Factors,2,FALSE))),"")</f>
        <v/>
      </c>
      <c r="AA846" s="545" t="str">
        <f t="shared" si="307"/>
        <v/>
      </c>
      <c r="AB846" s="542" t="str">
        <f t="shared" si="308"/>
        <v/>
      </c>
      <c r="AC846" s="539" t="str">
        <f t="shared" si="309"/>
        <v/>
      </c>
      <c r="AD846" s="546" t="str">
        <f t="shared" si="310"/>
        <v/>
      </c>
      <c r="AE846" s="539" t="str">
        <f t="shared" si="311"/>
        <v/>
      </c>
      <c r="AF846" s="546" t="str">
        <f t="shared" si="312"/>
        <v/>
      </c>
      <c r="AG846" s="539" t="str">
        <f t="shared" si="313"/>
        <v/>
      </c>
      <c r="AH846" s="32">
        <f t="shared" ref="AH846:AH909" si="315">IF(I846&lt;&gt;S846,R846,0)</f>
        <v>0</v>
      </c>
      <c r="AI846" s="32">
        <f t="shared" ref="AI846:AI909" si="316">IFERROR(VLOOKUP(E846,xyWattage_Table,8,FALSE)*G846,0)</f>
        <v>0</v>
      </c>
      <c r="AJ846" s="32">
        <f t="shared" ref="AJ846:AJ909" si="317">IFERROR(VLOOKUP(M846,xyWattage_Table,8,FALSE)*Q846,0)</f>
        <v>0</v>
      </c>
      <c r="AK846" t="str">
        <f t="shared" ref="AK846:AK909" si="318">IFERROR((L846)/1000,"")</f>
        <v/>
      </c>
      <c r="AL846" t="str">
        <f t="shared" ref="AL846:AL909" si="319">IFERROR(AK846*U846*(1+W846)*(1-Y846),"")</f>
        <v/>
      </c>
      <c r="AM846" t="str">
        <f t="shared" ref="AM846:AM909" si="320">IFERROR(AK846*T846*(1+V846)*(1-Y846),"")</f>
        <v/>
      </c>
      <c r="AO846" t="str">
        <f>IFERROR(VLOOKUP(M846,'Fixture Identities'!$B$9:$O$1045,14,FALSE),"")</f>
        <v/>
      </c>
      <c r="AP846" t="str">
        <f t="shared" si="314"/>
        <v/>
      </c>
    </row>
    <row r="847" spans="1:42">
      <c r="A847" s="71">
        <f t="shared" si="300"/>
        <v>0</v>
      </c>
      <c r="B847" s="513">
        <f t="shared" ref="B847:B910" si="321">B846+1</f>
        <v>835</v>
      </c>
      <c r="C847" s="530" t="str">
        <f>IF(Inventory!E844="","",Inventory!E844)</f>
        <v/>
      </c>
      <c r="D847" s="531">
        <f>IF(Inventory!D844="",0,Inventory!D844)</f>
        <v>0</v>
      </c>
      <c r="E847" s="532" t="str">
        <f>IF(Inventory!I844=0,"",Inventory!I844)</f>
        <v/>
      </c>
      <c r="F847" s="533" t="str">
        <f t="shared" si="301"/>
        <v/>
      </c>
      <c r="G847" s="534" t="str">
        <f>IF(Inventory!G844="","",Inventory!G844)</f>
        <v/>
      </c>
      <c r="H847" s="535" t="str">
        <f t="shared" si="302"/>
        <v/>
      </c>
      <c r="I847" s="536" t="str">
        <f>IF(Inventory!J844="","",Inventory!J844)</f>
        <v/>
      </c>
      <c r="J847" s="537" t="str">
        <f>IFERROR(IF(PRJ_Type="New Construction",IF(Inventory!C844="N",INDEX(xyLPD_BuildingArea,MATCH(Building_Type,Lookups!$F$37:$F$75,0),4),INDEX(xyLPD_SpaceBySpace,MATCH(INDEX(xyNCEx,MATCH(I847,yNCExArea,0),2),ySpace_by_Space_Type,0),2)),VLOOKUP(E847,xyWattage_Table,11,FALSE)),"")</f>
        <v/>
      </c>
      <c r="K847" s="538" t="str">
        <f>IFERROR(IF(AND(NC_Type="Building Area Method",Inventory!C844="N"),IF(ISERROR(INDEX('Usage Groups (&gt;120 MWh only)'!$N$8:$N$12,MATCH(C847,'Usage Groups (&gt;120 MWh only)'!$B$8:$B$12,0),1))=TRUE,SqFt/COUNTIFS(Inventory!$C$10:$C$1009,"N",$Q$13:$Q$1012,"&gt;=0"),INDEX('Usage Groups (&gt;120 MWh only)'!$N$8:$N$12,MATCH(C847,'Usage Groups (&gt;120 MWh only)'!$B$8:$B$12,0),1)/COUNTIF($C$13:$C$1012,C847)),IF(AND(NC_Type="Building Area Method",Inventory!C844="Y"),INDEX(xyNCEx,MATCH(I847,yNCExArea,0),3)/COUNTIF($I$13:$I$1012,I847),VLOOKUP(J847,xyWattage_Table,10,FALSE))),"")</f>
        <v/>
      </c>
      <c r="L847" s="539" t="str">
        <f t="shared" si="303"/>
        <v/>
      </c>
      <c r="M847" s="540">
        <f>IF(Inventory!N844="","",Inventory!N844)</f>
        <v>0</v>
      </c>
      <c r="N847" s="533" t="str">
        <f t="shared" si="304"/>
        <v/>
      </c>
      <c r="O847" s="534"/>
      <c r="P847" s="533" t="str">
        <f t="shared" si="305"/>
        <v/>
      </c>
      <c r="Q847" s="534" t="str">
        <f>IF(Inventory!L844="","",Inventory!L844)</f>
        <v/>
      </c>
      <c r="R847" s="535" t="str">
        <f t="shared" si="306"/>
        <v/>
      </c>
      <c r="S847" s="536" t="str">
        <f>IF(Inventory!O844="","",Inventory!O844)</f>
        <v/>
      </c>
      <c r="T847" s="541" t="str">
        <f>IFERROR(IF(C847="","",IF(INDEX(xyWattage_Table,MATCH(M847,'Fixture Identities'!$B$9:$B$997,0),2)="Exit Sign",8760,IF(VLOOKUP(C847,xySpace_Type_Details,8,FALSE)="TRM",INDEX('General Information'!$AF$17:$AG$28,11,MATCH(N847,'General Information'!$AF$16:$AG$16,0)),HLOOKUP(VLOOKUP(C847,xySpace_Type_Details,8,FALSE),'General Information'!$P$15:$AG$28,13,FALSE)))),"")</f>
        <v/>
      </c>
      <c r="U847" s="542" t="str">
        <f>IFERROR(IF(C847="","",IF(INDEX(xyWattage_Table,MATCH(M847,'Fixture Identities'!$B$9:$B$997,0),2)="Exit Sign",1,IF(VLOOKUP(C847,xySpace_Type_Details,8,FALSE)="TRM",INDEX('General Information'!$AF$17:$AG$28,12,MATCH(N847,'General Information'!$AF$16:$AG$16,0)),HLOOKUP(VLOOKUP(C847,xySpace_Type_Details,8,FALSE),'General Information'!$P$15:$AG$28,14,FALSE)))),"")</f>
        <v/>
      </c>
      <c r="V847" s="542" t="str">
        <f>IFERROR(VLOOKUP(INDEX(xySpace_Type_Details,MATCH($C847,'General Information'!$C$40:$C$60,0),12),Lookups!$L$8:$N$12,2,FALSE),"")</f>
        <v/>
      </c>
      <c r="W847" s="542" t="str">
        <f>IFERROR(VLOOKUP(INDEX(xySpace_Type_Details,MATCH($C847,'General Information'!$C$40:$C$60,0),12),Lookups!$L$8:$N$12,3,FALSE),"")</f>
        <v/>
      </c>
      <c r="Y847" s="542" t="str">
        <f>IFERROR(IF(C847="","",IF(INDEX(xyWattage_Table,MATCH(M847,'Fixture Identities'!$B$9:$B$997,0),2)="Exit Sign",0,IF(PRJ_Type="Retrofit",VLOOKUP(I847,xySVG_Factors,2,FALSE),IF(AND(PRJ_Type="New Construction",Inventory!C844="N"),VLOOKUP(VLOOKUP(Building_Type,xyLPD_BuildingArea,5,FALSE),xySVG_Factors_NC,3,FALSE),0)))),"")</f>
        <v/>
      </c>
      <c r="Z847" s="544" t="str">
        <f>IFERROR(IF(C847="","",IF(INDEX(xyWattage_Table,MATCH(M847,'Fixture Identities'!$B$9:$B$997,0),2)="Exit Sign",0,VLOOKUP(S847,xySVG_Factors,2,FALSE))),"")</f>
        <v/>
      </c>
      <c r="AA847" s="545" t="str">
        <f t="shared" si="307"/>
        <v/>
      </c>
      <c r="AB847" s="542" t="str">
        <f t="shared" si="308"/>
        <v/>
      </c>
      <c r="AC847" s="539" t="str">
        <f t="shared" si="309"/>
        <v/>
      </c>
      <c r="AD847" s="546" t="str">
        <f t="shared" si="310"/>
        <v/>
      </c>
      <c r="AE847" s="539" t="str">
        <f t="shared" si="311"/>
        <v/>
      </c>
      <c r="AF847" s="546" t="str">
        <f t="shared" si="312"/>
        <v/>
      </c>
      <c r="AG847" s="539" t="str">
        <f t="shared" si="313"/>
        <v/>
      </c>
      <c r="AH847" s="32">
        <f t="shared" si="315"/>
        <v>0</v>
      </c>
      <c r="AI847" s="32">
        <f t="shared" si="316"/>
        <v>0</v>
      </c>
      <c r="AJ847" s="32">
        <f t="shared" si="317"/>
        <v>0</v>
      </c>
      <c r="AK847" t="str">
        <f t="shared" si="318"/>
        <v/>
      </c>
      <c r="AL847" t="str">
        <f t="shared" si="319"/>
        <v/>
      </c>
      <c r="AM847" t="str">
        <f t="shared" si="320"/>
        <v/>
      </c>
      <c r="AO847" t="str">
        <f>IFERROR(VLOOKUP(M847,'Fixture Identities'!$B$9:$O$1045,14,FALSE),"")</f>
        <v/>
      </c>
      <c r="AP847" t="str">
        <f t="shared" si="314"/>
        <v/>
      </c>
    </row>
    <row r="848" spans="1:42">
      <c r="A848" s="71">
        <f t="shared" si="300"/>
        <v>0</v>
      </c>
      <c r="B848" s="513">
        <f t="shared" si="321"/>
        <v>836</v>
      </c>
      <c r="C848" s="530" t="str">
        <f>IF(Inventory!E845="","",Inventory!E845)</f>
        <v/>
      </c>
      <c r="D848" s="531">
        <f>IF(Inventory!D845="",0,Inventory!D845)</f>
        <v>0</v>
      </c>
      <c r="E848" s="532" t="str">
        <f>IF(Inventory!I845=0,"",Inventory!I845)</f>
        <v/>
      </c>
      <c r="F848" s="533" t="str">
        <f t="shared" si="301"/>
        <v/>
      </c>
      <c r="G848" s="534" t="str">
        <f>IF(Inventory!G845="","",Inventory!G845)</f>
        <v/>
      </c>
      <c r="H848" s="535" t="str">
        <f t="shared" si="302"/>
        <v/>
      </c>
      <c r="I848" s="536" t="str">
        <f>IF(Inventory!J845="","",Inventory!J845)</f>
        <v/>
      </c>
      <c r="J848" s="537" t="str">
        <f>IFERROR(IF(PRJ_Type="New Construction",IF(Inventory!C845="N",INDEX(xyLPD_BuildingArea,MATCH(Building_Type,Lookups!$F$37:$F$75,0),4),INDEX(xyLPD_SpaceBySpace,MATCH(INDEX(xyNCEx,MATCH(I848,yNCExArea,0),2),ySpace_by_Space_Type,0),2)),VLOOKUP(E848,xyWattage_Table,11,FALSE)),"")</f>
        <v/>
      </c>
      <c r="K848" s="538" t="str">
        <f>IFERROR(IF(AND(NC_Type="Building Area Method",Inventory!C845="N"),IF(ISERROR(INDEX('Usage Groups (&gt;120 MWh only)'!$N$8:$N$12,MATCH(C848,'Usage Groups (&gt;120 MWh only)'!$B$8:$B$12,0),1))=TRUE,SqFt/COUNTIFS(Inventory!$C$10:$C$1009,"N",$Q$13:$Q$1012,"&gt;=0"),INDEX('Usage Groups (&gt;120 MWh only)'!$N$8:$N$12,MATCH(C848,'Usage Groups (&gt;120 MWh only)'!$B$8:$B$12,0),1)/COUNTIF($C$13:$C$1012,C848)),IF(AND(NC_Type="Building Area Method",Inventory!C845="Y"),INDEX(xyNCEx,MATCH(I848,yNCExArea,0),3)/COUNTIF($I$13:$I$1012,I848),VLOOKUP(J848,xyWattage_Table,10,FALSE))),"")</f>
        <v/>
      </c>
      <c r="L848" s="539" t="str">
        <f t="shared" si="303"/>
        <v/>
      </c>
      <c r="M848" s="540">
        <f>IF(Inventory!N845="","",Inventory!N845)</f>
        <v>0</v>
      </c>
      <c r="N848" s="533" t="str">
        <f t="shared" si="304"/>
        <v/>
      </c>
      <c r="O848" s="534"/>
      <c r="P848" s="533" t="str">
        <f t="shared" si="305"/>
        <v/>
      </c>
      <c r="Q848" s="534" t="str">
        <f>IF(Inventory!L845="","",Inventory!L845)</f>
        <v/>
      </c>
      <c r="R848" s="535" t="str">
        <f t="shared" si="306"/>
        <v/>
      </c>
      <c r="S848" s="536" t="str">
        <f>IF(Inventory!O845="","",Inventory!O845)</f>
        <v/>
      </c>
      <c r="T848" s="541" t="str">
        <f>IFERROR(IF(C848="","",IF(INDEX(xyWattage_Table,MATCH(M848,'Fixture Identities'!$B$9:$B$997,0),2)="Exit Sign",8760,IF(VLOOKUP(C848,xySpace_Type_Details,8,FALSE)="TRM",INDEX('General Information'!$AF$17:$AG$28,11,MATCH(N848,'General Information'!$AF$16:$AG$16,0)),HLOOKUP(VLOOKUP(C848,xySpace_Type_Details,8,FALSE),'General Information'!$P$15:$AG$28,13,FALSE)))),"")</f>
        <v/>
      </c>
      <c r="U848" s="542" t="str">
        <f>IFERROR(IF(C848="","",IF(INDEX(xyWattage_Table,MATCH(M848,'Fixture Identities'!$B$9:$B$997,0),2)="Exit Sign",1,IF(VLOOKUP(C848,xySpace_Type_Details,8,FALSE)="TRM",INDEX('General Information'!$AF$17:$AG$28,12,MATCH(N848,'General Information'!$AF$16:$AG$16,0)),HLOOKUP(VLOOKUP(C848,xySpace_Type_Details,8,FALSE),'General Information'!$P$15:$AG$28,14,FALSE)))),"")</f>
        <v/>
      </c>
      <c r="V848" s="542" t="str">
        <f>IFERROR(VLOOKUP(INDEX(xySpace_Type_Details,MATCH($C848,'General Information'!$C$40:$C$60,0),12),Lookups!$L$8:$N$12,2,FALSE),"")</f>
        <v/>
      </c>
      <c r="W848" s="542" t="str">
        <f>IFERROR(VLOOKUP(INDEX(xySpace_Type_Details,MATCH($C848,'General Information'!$C$40:$C$60,0),12),Lookups!$L$8:$N$12,3,FALSE),"")</f>
        <v/>
      </c>
      <c r="Y848" s="542" t="str">
        <f>IFERROR(IF(C848="","",IF(INDEX(xyWattage_Table,MATCH(M848,'Fixture Identities'!$B$9:$B$997,0),2)="Exit Sign",0,IF(PRJ_Type="Retrofit",VLOOKUP(I848,xySVG_Factors,2,FALSE),IF(AND(PRJ_Type="New Construction",Inventory!C845="N"),VLOOKUP(VLOOKUP(Building_Type,xyLPD_BuildingArea,5,FALSE),xySVG_Factors_NC,3,FALSE),0)))),"")</f>
        <v/>
      </c>
      <c r="Z848" s="544" t="str">
        <f>IFERROR(IF(C848="","",IF(INDEX(xyWattage_Table,MATCH(M848,'Fixture Identities'!$B$9:$B$997,0),2)="Exit Sign",0,VLOOKUP(S848,xySVG_Factors,2,FALSE))),"")</f>
        <v/>
      </c>
      <c r="AA848" s="545" t="str">
        <f t="shared" si="307"/>
        <v/>
      </c>
      <c r="AB848" s="542" t="str">
        <f t="shared" si="308"/>
        <v/>
      </c>
      <c r="AC848" s="539" t="str">
        <f t="shared" si="309"/>
        <v/>
      </c>
      <c r="AD848" s="546" t="str">
        <f t="shared" si="310"/>
        <v/>
      </c>
      <c r="AE848" s="539" t="str">
        <f t="shared" si="311"/>
        <v/>
      </c>
      <c r="AF848" s="546" t="str">
        <f t="shared" si="312"/>
        <v/>
      </c>
      <c r="AG848" s="539" t="str">
        <f t="shared" si="313"/>
        <v/>
      </c>
      <c r="AH848" s="32">
        <f t="shared" si="315"/>
        <v>0</v>
      </c>
      <c r="AI848" s="32">
        <f t="shared" si="316"/>
        <v>0</v>
      </c>
      <c r="AJ848" s="32">
        <f t="shared" si="317"/>
        <v>0</v>
      </c>
      <c r="AK848" t="str">
        <f t="shared" si="318"/>
        <v/>
      </c>
      <c r="AL848" t="str">
        <f t="shared" si="319"/>
        <v/>
      </c>
      <c r="AM848" t="str">
        <f t="shared" si="320"/>
        <v/>
      </c>
      <c r="AO848" t="str">
        <f>IFERROR(VLOOKUP(M848,'Fixture Identities'!$B$9:$O$1045,14,FALSE),"")</f>
        <v/>
      </c>
      <c r="AP848" t="str">
        <f t="shared" si="314"/>
        <v/>
      </c>
    </row>
    <row r="849" spans="1:42">
      <c r="A849" s="71">
        <f t="shared" si="300"/>
        <v>0</v>
      </c>
      <c r="B849" s="513">
        <f t="shared" si="321"/>
        <v>837</v>
      </c>
      <c r="C849" s="530" t="str">
        <f>IF(Inventory!E846="","",Inventory!E846)</f>
        <v/>
      </c>
      <c r="D849" s="531">
        <f>IF(Inventory!D846="",0,Inventory!D846)</f>
        <v>0</v>
      </c>
      <c r="E849" s="532" t="str">
        <f>IF(Inventory!I846=0,"",Inventory!I846)</f>
        <v/>
      </c>
      <c r="F849" s="533" t="str">
        <f t="shared" si="301"/>
        <v/>
      </c>
      <c r="G849" s="534" t="str">
        <f>IF(Inventory!G846="","",Inventory!G846)</f>
        <v/>
      </c>
      <c r="H849" s="535" t="str">
        <f t="shared" si="302"/>
        <v/>
      </c>
      <c r="I849" s="536" t="str">
        <f>IF(Inventory!J846="","",Inventory!J846)</f>
        <v/>
      </c>
      <c r="J849" s="537" t="str">
        <f>IFERROR(IF(PRJ_Type="New Construction",IF(Inventory!C846="N",INDEX(xyLPD_BuildingArea,MATCH(Building_Type,Lookups!$F$37:$F$75,0),4),INDEX(xyLPD_SpaceBySpace,MATCH(INDEX(xyNCEx,MATCH(I849,yNCExArea,0),2),ySpace_by_Space_Type,0),2)),VLOOKUP(E849,xyWattage_Table,11,FALSE)),"")</f>
        <v/>
      </c>
      <c r="K849" s="538" t="str">
        <f>IFERROR(IF(AND(NC_Type="Building Area Method",Inventory!C846="N"),IF(ISERROR(INDEX('Usage Groups (&gt;120 MWh only)'!$N$8:$N$12,MATCH(C849,'Usage Groups (&gt;120 MWh only)'!$B$8:$B$12,0),1))=TRUE,SqFt/COUNTIFS(Inventory!$C$10:$C$1009,"N",$Q$13:$Q$1012,"&gt;=0"),INDEX('Usage Groups (&gt;120 MWh only)'!$N$8:$N$12,MATCH(C849,'Usage Groups (&gt;120 MWh only)'!$B$8:$B$12,0),1)/COUNTIF($C$13:$C$1012,C849)),IF(AND(NC_Type="Building Area Method",Inventory!C846="Y"),INDEX(xyNCEx,MATCH(I849,yNCExArea,0),3)/COUNTIF($I$13:$I$1012,I849),VLOOKUP(J849,xyWattage_Table,10,FALSE))),"")</f>
        <v/>
      </c>
      <c r="L849" s="539" t="str">
        <f t="shared" si="303"/>
        <v/>
      </c>
      <c r="M849" s="540">
        <f>IF(Inventory!N846="","",Inventory!N846)</f>
        <v>0</v>
      </c>
      <c r="N849" s="533" t="str">
        <f t="shared" si="304"/>
        <v/>
      </c>
      <c r="O849" s="534"/>
      <c r="P849" s="533" t="str">
        <f t="shared" si="305"/>
        <v/>
      </c>
      <c r="Q849" s="534" t="str">
        <f>IF(Inventory!L846="","",Inventory!L846)</f>
        <v/>
      </c>
      <c r="R849" s="535" t="str">
        <f t="shared" si="306"/>
        <v/>
      </c>
      <c r="S849" s="536" t="str">
        <f>IF(Inventory!O846="","",Inventory!O846)</f>
        <v/>
      </c>
      <c r="T849" s="541" t="str">
        <f>IFERROR(IF(C849="","",IF(INDEX(xyWattage_Table,MATCH(M849,'Fixture Identities'!$B$9:$B$997,0),2)="Exit Sign",8760,IF(VLOOKUP(C849,xySpace_Type_Details,8,FALSE)="TRM",INDEX('General Information'!$AF$17:$AG$28,11,MATCH(N849,'General Information'!$AF$16:$AG$16,0)),HLOOKUP(VLOOKUP(C849,xySpace_Type_Details,8,FALSE),'General Information'!$P$15:$AG$28,13,FALSE)))),"")</f>
        <v/>
      </c>
      <c r="U849" s="542" t="str">
        <f>IFERROR(IF(C849="","",IF(INDEX(xyWattage_Table,MATCH(M849,'Fixture Identities'!$B$9:$B$997,0),2)="Exit Sign",1,IF(VLOOKUP(C849,xySpace_Type_Details,8,FALSE)="TRM",INDEX('General Information'!$AF$17:$AG$28,12,MATCH(N849,'General Information'!$AF$16:$AG$16,0)),HLOOKUP(VLOOKUP(C849,xySpace_Type_Details,8,FALSE),'General Information'!$P$15:$AG$28,14,FALSE)))),"")</f>
        <v/>
      </c>
      <c r="V849" s="542" t="str">
        <f>IFERROR(VLOOKUP(INDEX(xySpace_Type_Details,MATCH($C849,'General Information'!$C$40:$C$60,0),12),Lookups!$L$8:$N$12,2,FALSE),"")</f>
        <v/>
      </c>
      <c r="W849" s="542" t="str">
        <f>IFERROR(VLOOKUP(INDEX(xySpace_Type_Details,MATCH($C849,'General Information'!$C$40:$C$60,0),12),Lookups!$L$8:$N$12,3,FALSE),"")</f>
        <v/>
      </c>
      <c r="Y849" s="542" t="str">
        <f>IFERROR(IF(C849="","",IF(INDEX(xyWattage_Table,MATCH(M849,'Fixture Identities'!$B$9:$B$997,0),2)="Exit Sign",0,IF(PRJ_Type="Retrofit",VLOOKUP(I849,xySVG_Factors,2,FALSE),IF(AND(PRJ_Type="New Construction",Inventory!C846="N"),VLOOKUP(VLOOKUP(Building_Type,xyLPD_BuildingArea,5,FALSE),xySVG_Factors_NC,3,FALSE),0)))),"")</f>
        <v/>
      </c>
      <c r="Z849" s="544" t="str">
        <f>IFERROR(IF(C849="","",IF(INDEX(xyWattage_Table,MATCH(M849,'Fixture Identities'!$B$9:$B$997,0),2)="Exit Sign",0,VLOOKUP(S849,xySVG_Factors,2,FALSE))),"")</f>
        <v/>
      </c>
      <c r="AA849" s="545" t="str">
        <f t="shared" si="307"/>
        <v/>
      </c>
      <c r="AB849" s="542" t="str">
        <f t="shared" si="308"/>
        <v/>
      </c>
      <c r="AC849" s="539" t="str">
        <f t="shared" si="309"/>
        <v/>
      </c>
      <c r="AD849" s="546" t="str">
        <f t="shared" si="310"/>
        <v/>
      </c>
      <c r="AE849" s="539" t="str">
        <f t="shared" si="311"/>
        <v/>
      </c>
      <c r="AF849" s="546" t="str">
        <f t="shared" si="312"/>
        <v/>
      </c>
      <c r="AG849" s="539" t="str">
        <f t="shared" si="313"/>
        <v/>
      </c>
      <c r="AH849" s="32">
        <f t="shared" si="315"/>
        <v>0</v>
      </c>
      <c r="AI849" s="32">
        <f t="shared" si="316"/>
        <v>0</v>
      </c>
      <c r="AJ849" s="32">
        <f t="shared" si="317"/>
        <v>0</v>
      </c>
      <c r="AK849" t="str">
        <f t="shared" si="318"/>
        <v/>
      </c>
      <c r="AL849" t="str">
        <f t="shared" si="319"/>
        <v/>
      </c>
      <c r="AM849" t="str">
        <f t="shared" si="320"/>
        <v/>
      </c>
      <c r="AO849" t="str">
        <f>IFERROR(VLOOKUP(M849,'Fixture Identities'!$B$9:$O$1045,14,FALSE),"")</f>
        <v/>
      </c>
      <c r="AP849" t="str">
        <f t="shared" si="314"/>
        <v/>
      </c>
    </row>
    <row r="850" spans="1:42">
      <c r="A850" s="71">
        <f t="shared" ref="A850:A913" si="322">IF(E850&lt;&gt;J850,1,0)</f>
        <v>0</v>
      </c>
      <c r="B850" s="513">
        <f t="shared" si="321"/>
        <v>838</v>
      </c>
      <c r="C850" s="530" t="str">
        <f>IF(Inventory!E847="","",Inventory!E847)</f>
        <v/>
      </c>
      <c r="D850" s="531">
        <f>IF(Inventory!D847="",0,Inventory!D847)</f>
        <v>0</v>
      </c>
      <c r="E850" s="532" t="str">
        <f>IF(Inventory!I847=0,"",Inventory!I847)</f>
        <v/>
      </c>
      <c r="F850" s="533" t="str">
        <f t="shared" si="301"/>
        <v/>
      </c>
      <c r="G850" s="534" t="str">
        <f>IF(Inventory!G847="","",Inventory!G847)</f>
        <v/>
      </c>
      <c r="H850" s="535" t="str">
        <f t="shared" si="302"/>
        <v/>
      </c>
      <c r="I850" s="536" t="str">
        <f>IF(Inventory!J847="","",Inventory!J847)</f>
        <v/>
      </c>
      <c r="J850" s="537" t="str">
        <f>IFERROR(IF(PRJ_Type="New Construction",IF(Inventory!C847="N",INDEX(xyLPD_BuildingArea,MATCH(Building_Type,Lookups!$F$37:$F$75,0),4),INDEX(xyLPD_SpaceBySpace,MATCH(INDEX(xyNCEx,MATCH(I850,yNCExArea,0),2),ySpace_by_Space_Type,0),2)),VLOOKUP(E850,xyWattage_Table,11,FALSE)),"")</f>
        <v/>
      </c>
      <c r="K850" s="538" t="str">
        <f>IFERROR(IF(AND(NC_Type="Building Area Method",Inventory!C847="N"),IF(ISERROR(INDEX('Usage Groups (&gt;120 MWh only)'!$N$8:$N$12,MATCH(C850,'Usage Groups (&gt;120 MWh only)'!$B$8:$B$12,0),1))=TRUE,SqFt/COUNTIFS(Inventory!$C$10:$C$1009,"N",$Q$13:$Q$1012,"&gt;=0"),INDEX('Usage Groups (&gt;120 MWh only)'!$N$8:$N$12,MATCH(C850,'Usage Groups (&gt;120 MWh only)'!$B$8:$B$12,0),1)/COUNTIF($C$13:$C$1012,C850)),IF(AND(NC_Type="Building Area Method",Inventory!C847="Y"),INDEX(xyNCEx,MATCH(I850,yNCExArea,0),3)/COUNTIF($I$13:$I$1012,I850),VLOOKUP(J850,xyWattage_Table,10,FALSE))),"")</f>
        <v/>
      </c>
      <c r="L850" s="539" t="str">
        <f t="shared" si="303"/>
        <v/>
      </c>
      <c r="M850" s="540">
        <f>IF(Inventory!N847="","",Inventory!N847)</f>
        <v>0</v>
      </c>
      <c r="N850" s="533" t="str">
        <f t="shared" si="304"/>
        <v/>
      </c>
      <c r="O850" s="534"/>
      <c r="P850" s="533" t="str">
        <f t="shared" si="305"/>
        <v/>
      </c>
      <c r="Q850" s="534" t="str">
        <f>IF(Inventory!L847="","",Inventory!L847)</f>
        <v/>
      </c>
      <c r="R850" s="535" t="str">
        <f t="shared" si="306"/>
        <v/>
      </c>
      <c r="S850" s="536" t="str">
        <f>IF(Inventory!O847="","",Inventory!O847)</f>
        <v/>
      </c>
      <c r="T850" s="541" t="str">
        <f>IFERROR(IF(C850="","",IF(INDEX(xyWattage_Table,MATCH(M850,'Fixture Identities'!$B$9:$B$997,0),2)="Exit Sign",8760,IF(VLOOKUP(C850,xySpace_Type_Details,8,FALSE)="TRM",INDEX('General Information'!$AF$17:$AG$28,11,MATCH(N850,'General Information'!$AF$16:$AG$16,0)),HLOOKUP(VLOOKUP(C850,xySpace_Type_Details,8,FALSE),'General Information'!$P$15:$AG$28,13,FALSE)))),"")</f>
        <v/>
      </c>
      <c r="U850" s="542" t="str">
        <f>IFERROR(IF(C850="","",IF(INDEX(xyWattage_Table,MATCH(M850,'Fixture Identities'!$B$9:$B$997,0),2)="Exit Sign",1,IF(VLOOKUP(C850,xySpace_Type_Details,8,FALSE)="TRM",INDEX('General Information'!$AF$17:$AG$28,12,MATCH(N850,'General Information'!$AF$16:$AG$16,0)),HLOOKUP(VLOOKUP(C850,xySpace_Type_Details,8,FALSE),'General Information'!$P$15:$AG$28,14,FALSE)))),"")</f>
        <v/>
      </c>
      <c r="V850" s="542" t="str">
        <f>IFERROR(VLOOKUP(INDEX(xySpace_Type_Details,MATCH($C850,'General Information'!$C$40:$C$60,0),12),Lookups!$L$8:$N$12,2,FALSE),"")</f>
        <v/>
      </c>
      <c r="W850" s="542" t="str">
        <f>IFERROR(VLOOKUP(INDEX(xySpace_Type_Details,MATCH($C850,'General Information'!$C$40:$C$60,0),12),Lookups!$L$8:$N$12,3,FALSE),"")</f>
        <v/>
      </c>
      <c r="Y850" s="542" t="str">
        <f>IFERROR(IF(C850="","",IF(INDEX(xyWattage_Table,MATCH(M850,'Fixture Identities'!$B$9:$B$997,0),2)="Exit Sign",0,IF(PRJ_Type="Retrofit",VLOOKUP(I850,xySVG_Factors,2,FALSE),IF(AND(PRJ_Type="New Construction",Inventory!C847="N"),VLOOKUP(VLOOKUP(Building_Type,xyLPD_BuildingArea,5,FALSE),xySVG_Factors_NC,3,FALSE),0)))),"")</f>
        <v/>
      </c>
      <c r="Z850" s="544" t="str">
        <f>IFERROR(IF(C850="","",IF(INDEX(xyWattage_Table,MATCH(M850,'Fixture Identities'!$B$9:$B$997,0),2)="Exit Sign",0,VLOOKUP(S850,xySVG_Factors,2,FALSE))),"")</f>
        <v/>
      </c>
      <c r="AA850" s="545" t="str">
        <f t="shared" si="307"/>
        <v/>
      </c>
      <c r="AB850" s="542" t="str">
        <f t="shared" si="308"/>
        <v/>
      </c>
      <c r="AC850" s="539" t="str">
        <f t="shared" si="309"/>
        <v/>
      </c>
      <c r="AD850" s="546" t="str">
        <f t="shared" si="310"/>
        <v/>
      </c>
      <c r="AE850" s="539" t="str">
        <f t="shared" si="311"/>
        <v/>
      </c>
      <c r="AF850" s="546" t="str">
        <f t="shared" si="312"/>
        <v/>
      </c>
      <c r="AG850" s="539" t="str">
        <f t="shared" si="313"/>
        <v/>
      </c>
      <c r="AH850" s="32">
        <f t="shared" si="315"/>
        <v>0</v>
      </c>
      <c r="AI850" s="32">
        <f t="shared" si="316"/>
        <v>0</v>
      </c>
      <c r="AJ850" s="32">
        <f t="shared" si="317"/>
        <v>0</v>
      </c>
      <c r="AK850" t="str">
        <f t="shared" si="318"/>
        <v/>
      </c>
      <c r="AL850" t="str">
        <f t="shared" si="319"/>
        <v/>
      </c>
      <c r="AM850" t="str">
        <f t="shared" si="320"/>
        <v/>
      </c>
      <c r="AO850" t="str">
        <f>IFERROR(VLOOKUP(M850,'Fixture Identities'!$B$9:$O$1045,14,FALSE),"")</f>
        <v/>
      </c>
      <c r="AP850" t="str">
        <f t="shared" si="314"/>
        <v/>
      </c>
    </row>
    <row r="851" spans="1:42">
      <c r="A851" s="71">
        <f t="shared" si="322"/>
        <v>0</v>
      </c>
      <c r="B851" s="513">
        <f t="shared" si="321"/>
        <v>839</v>
      </c>
      <c r="C851" s="530" t="str">
        <f>IF(Inventory!E848="","",Inventory!E848)</f>
        <v/>
      </c>
      <c r="D851" s="531">
        <f>IF(Inventory!D848="",0,Inventory!D848)</f>
        <v>0</v>
      </c>
      <c r="E851" s="532" t="str">
        <f>IF(Inventory!I848=0,"",Inventory!I848)</f>
        <v/>
      </c>
      <c r="F851" s="533" t="str">
        <f t="shared" si="301"/>
        <v/>
      </c>
      <c r="G851" s="534" t="str">
        <f>IF(Inventory!G848="","",Inventory!G848)</f>
        <v/>
      </c>
      <c r="H851" s="535" t="str">
        <f t="shared" si="302"/>
        <v/>
      </c>
      <c r="I851" s="536" t="str">
        <f>IF(Inventory!J848="","",Inventory!J848)</f>
        <v/>
      </c>
      <c r="J851" s="537" t="str">
        <f>IFERROR(IF(PRJ_Type="New Construction",IF(Inventory!C848="N",INDEX(xyLPD_BuildingArea,MATCH(Building_Type,Lookups!$F$37:$F$75,0),4),INDEX(xyLPD_SpaceBySpace,MATCH(INDEX(xyNCEx,MATCH(I851,yNCExArea,0),2),ySpace_by_Space_Type,0),2)),VLOOKUP(E851,xyWattage_Table,11,FALSE)),"")</f>
        <v/>
      </c>
      <c r="K851" s="538" t="str">
        <f>IFERROR(IF(AND(NC_Type="Building Area Method",Inventory!C848="N"),IF(ISERROR(INDEX('Usage Groups (&gt;120 MWh only)'!$N$8:$N$12,MATCH(C851,'Usage Groups (&gt;120 MWh only)'!$B$8:$B$12,0),1))=TRUE,SqFt/COUNTIFS(Inventory!$C$10:$C$1009,"N",$Q$13:$Q$1012,"&gt;=0"),INDEX('Usage Groups (&gt;120 MWh only)'!$N$8:$N$12,MATCH(C851,'Usage Groups (&gt;120 MWh only)'!$B$8:$B$12,0),1)/COUNTIF($C$13:$C$1012,C851)),IF(AND(NC_Type="Building Area Method",Inventory!C848="Y"),INDEX(xyNCEx,MATCH(I851,yNCExArea,0),3)/COUNTIF($I$13:$I$1012,I851),VLOOKUP(J851,xyWattage_Table,10,FALSE))),"")</f>
        <v/>
      </c>
      <c r="L851" s="539" t="str">
        <f t="shared" si="303"/>
        <v/>
      </c>
      <c r="M851" s="540">
        <f>IF(Inventory!N848="","",Inventory!N848)</f>
        <v>0</v>
      </c>
      <c r="N851" s="533" t="str">
        <f t="shared" si="304"/>
        <v/>
      </c>
      <c r="O851" s="534"/>
      <c r="P851" s="533" t="str">
        <f t="shared" si="305"/>
        <v/>
      </c>
      <c r="Q851" s="534" t="str">
        <f>IF(Inventory!L848="","",Inventory!L848)</f>
        <v/>
      </c>
      <c r="R851" s="535" t="str">
        <f t="shared" si="306"/>
        <v/>
      </c>
      <c r="S851" s="536" t="str">
        <f>IF(Inventory!O848="","",Inventory!O848)</f>
        <v/>
      </c>
      <c r="T851" s="541" t="str">
        <f>IFERROR(IF(C851="","",IF(INDEX(xyWattage_Table,MATCH(M851,'Fixture Identities'!$B$9:$B$997,0),2)="Exit Sign",8760,IF(VLOOKUP(C851,xySpace_Type_Details,8,FALSE)="TRM",INDEX('General Information'!$AF$17:$AG$28,11,MATCH(N851,'General Information'!$AF$16:$AG$16,0)),HLOOKUP(VLOOKUP(C851,xySpace_Type_Details,8,FALSE),'General Information'!$P$15:$AG$28,13,FALSE)))),"")</f>
        <v/>
      </c>
      <c r="U851" s="542" t="str">
        <f>IFERROR(IF(C851="","",IF(INDEX(xyWattage_Table,MATCH(M851,'Fixture Identities'!$B$9:$B$997,0),2)="Exit Sign",1,IF(VLOOKUP(C851,xySpace_Type_Details,8,FALSE)="TRM",INDEX('General Information'!$AF$17:$AG$28,12,MATCH(N851,'General Information'!$AF$16:$AG$16,0)),HLOOKUP(VLOOKUP(C851,xySpace_Type_Details,8,FALSE),'General Information'!$P$15:$AG$28,14,FALSE)))),"")</f>
        <v/>
      </c>
      <c r="V851" s="542" t="str">
        <f>IFERROR(VLOOKUP(INDEX(xySpace_Type_Details,MATCH($C851,'General Information'!$C$40:$C$60,0),12),Lookups!$L$8:$N$12,2,FALSE),"")</f>
        <v/>
      </c>
      <c r="W851" s="542" t="str">
        <f>IFERROR(VLOOKUP(INDEX(xySpace_Type_Details,MATCH($C851,'General Information'!$C$40:$C$60,0),12),Lookups!$L$8:$N$12,3,FALSE),"")</f>
        <v/>
      </c>
      <c r="Y851" s="542" t="str">
        <f>IFERROR(IF(C851="","",IF(INDEX(xyWattage_Table,MATCH(M851,'Fixture Identities'!$B$9:$B$997,0),2)="Exit Sign",0,IF(PRJ_Type="Retrofit",VLOOKUP(I851,xySVG_Factors,2,FALSE),IF(AND(PRJ_Type="New Construction",Inventory!C848="N"),VLOOKUP(VLOOKUP(Building_Type,xyLPD_BuildingArea,5,FALSE),xySVG_Factors_NC,3,FALSE),0)))),"")</f>
        <v/>
      </c>
      <c r="Z851" s="544" t="str">
        <f>IFERROR(IF(C851="","",IF(INDEX(xyWattage_Table,MATCH(M851,'Fixture Identities'!$B$9:$B$997,0),2)="Exit Sign",0,VLOOKUP(S851,xySVG_Factors,2,FALSE))),"")</f>
        <v/>
      </c>
      <c r="AA851" s="545" t="str">
        <f t="shared" si="307"/>
        <v/>
      </c>
      <c r="AB851" s="542" t="str">
        <f t="shared" si="308"/>
        <v/>
      </c>
      <c r="AC851" s="539" t="str">
        <f t="shared" si="309"/>
        <v/>
      </c>
      <c r="AD851" s="546" t="str">
        <f t="shared" si="310"/>
        <v/>
      </c>
      <c r="AE851" s="539" t="str">
        <f t="shared" si="311"/>
        <v/>
      </c>
      <c r="AF851" s="546" t="str">
        <f t="shared" si="312"/>
        <v/>
      </c>
      <c r="AG851" s="539" t="str">
        <f t="shared" si="313"/>
        <v/>
      </c>
      <c r="AH851" s="32">
        <f t="shared" si="315"/>
        <v>0</v>
      </c>
      <c r="AI851" s="32">
        <f t="shared" si="316"/>
        <v>0</v>
      </c>
      <c r="AJ851" s="32">
        <f t="shared" si="317"/>
        <v>0</v>
      </c>
      <c r="AK851" t="str">
        <f t="shared" si="318"/>
        <v/>
      </c>
      <c r="AL851" t="str">
        <f t="shared" si="319"/>
        <v/>
      </c>
      <c r="AM851" t="str">
        <f t="shared" si="320"/>
        <v/>
      </c>
      <c r="AO851" t="str">
        <f>IFERROR(VLOOKUP(M851,'Fixture Identities'!$B$9:$O$1045,14,FALSE),"")</f>
        <v/>
      </c>
      <c r="AP851" t="str">
        <f t="shared" si="314"/>
        <v/>
      </c>
    </row>
    <row r="852" spans="1:42">
      <c r="A852" s="71">
        <f t="shared" si="322"/>
        <v>0</v>
      </c>
      <c r="B852" s="513">
        <f t="shared" si="321"/>
        <v>840</v>
      </c>
      <c r="C852" s="530" t="str">
        <f>IF(Inventory!E849="","",Inventory!E849)</f>
        <v/>
      </c>
      <c r="D852" s="531">
        <f>IF(Inventory!D849="",0,Inventory!D849)</f>
        <v>0</v>
      </c>
      <c r="E852" s="532" t="str">
        <f>IF(Inventory!I849=0,"",Inventory!I849)</f>
        <v/>
      </c>
      <c r="F852" s="533" t="str">
        <f t="shared" si="301"/>
        <v/>
      </c>
      <c r="G852" s="534" t="str">
        <f>IF(Inventory!G849="","",Inventory!G849)</f>
        <v/>
      </c>
      <c r="H852" s="535" t="str">
        <f t="shared" si="302"/>
        <v/>
      </c>
      <c r="I852" s="536" t="str">
        <f>IF(Inventory!J849="","",Inventory!J849)</f>
        <v/>
      </c>
      <c r="J852" s="537" t="str">
        <f>IFERROR(IF(PRJ_Type="New Construction",IF(Inventory!C849="N",INDEX(xyLPD_BuildingArea,MATCH(Building_Type,Lookups!$F$37:$F$75,0),4),INDEX(xyLPD_SpaceBySpace,MATCH(INDEX(xyNCEx,MATCH(I852,yNCExArea,0),2),ySpace_by_Space_Type,0),2)),VLOOKUP(E852,xyWattage_Table,11,FALSE)),"")</f>
        <v/>
      </c>
      <c r="K852" s="538" t="str">
        <f>IFERROR(IF(AND(NC_Type="Building Area Method",Inventory!C849="N"),IF(ISERROR(INDEX('Usage Groups (&gt;120 MWh only)'!$N$8:$N$12,MATCH(C852,'Usage Groups (&gt;120 MWh only)'!$B$8:$B$12,0),1))=TRUE,SqFt/COUNTIFS(Inventory!$C$10:$C$1009,"N",$Q$13:$Q$1012,"&gt;=0"),INDEX('Usage Groups (&gt;120 MWh only)'!$N$8:$N$12,MATCH(C852,'Usage Groups (&gt;120 MWh only)'!$B$8:$B$12,0),1)/COUNTIF($C$13:$C$1012,C852)),IF(AND(NC_Type="Building Area Method",Inventory!C849="Y"),INDEX(xyNCEx,MATCH(I852,yNCExArea,0),3)/COUNTIF($I$13:$I$1012,I852),VLOOKUP(J852,xyWattage_Table,10,FALSE))),"")</f>
        <v/>
      </c>
      <c r="L852" s="539" t="str">
        <f t="shared" si="303"/>
        <v/>
      </c>
      <c r="M852" s="540">
        <f>IF(Inventory!N849="","",Inventory!N849)</f>
        <v>0</v>
      </c>
      <c r="N852" s="533" t="str">
        <f t="shared" si="304"/>
        <v/>
      </c>
      <c r="O852" s="534"/>
      <c r="P852" s="533" t="str">
        <f t="shared" si="305"/>
        <v/>
      </c>
      <c r="Q852" s="534" t="str">
        <f>IF(Inventory!L849="","",Inventory!L849)</f>
        <v/>
      </c>
      <c r="R852" s="535" t="str">
        <f t="shared" si="306"/>
        <v/>
      </c>
      <c r="S852" s="536" t="str">
        <f>IF(Inventory!O849="","",Inventory!O849)</f>
        <v/>
      </c>
      <c r="T852" s="541" t="str">
        <f>IFERROR(IF(C852="","",IF(INDEX(xyWattage_Table,MATCH(M852,'Fixture Identities'!$B$9:$B$997,0),2)="Exit Sign",8760,IF(VLOOKUP(C852,xySpace_Type_Details,8,FALSE)="TRM",INDEX('General Information'!$AF$17:$AG$28,11,MATCH(N852,'General Information'!$AF$16:$AG$16,0)),HLOOKUP(VLOOKUP(C852,xySpace_Type_Details,8,FALSE),'General Information'!$P$15:$AG$28,13,FALSE)))),"")</f>
        <v/>
      </c>
      <c r="U852" s="542" t="str">
        <f>IFERROR(IF(C852="","",IF(INDEX(xyWattage_Table,MATCH(M852,'Fixture Identities'!$B$9:$B$997,0),2)="Exit Sign",1,IF(VLOOKUP(C852,xySpace_Type_Details,8,FALSE)="TRM",INDEX('General Information'!$AF$17:$AG$28,12,MATCH(N852,'General Information'!$AF$16:$AG$16,0)),HLOOKUP(VLOOKUP(C852,xySpace_Type_Details,8,FALSE),'General Information'!$P$15:$AG$28,14,FALSE)))),"")</f>
        <v/>
      </c>
      <c r="V852" s="542" t="str">
        <f>IFERROR(VLOOKUP(INDEX(xySpace_Type_Details,MATCH($C852,'General Information'!$C$40:$C$60,0),12),Lookups!$L$8:$N$12,2,FALSE),"")</f>
        <v/>
      </c>
      <c r="W852" s="542" t="str">
        <f>IFERROR(VLOOKUP(INDEX(xySpace_Type_Details,MATCH($C852,'General Information'!$C$40:$C$60,0),12),Lookups!$L$8:$N$12,3,FALSE),"")</f>
        <v/>
      </c>
      <c r="Y852" s="542" t="str">
        <f>IFERROR(IF(C852="","",IF(INDEX(xyWattage_Table,MATCH(M852,'Fixture Identities'!$B$9:$B$997,0),2)="Exit Sign",0,IF(PRJ_Type="Retrofit",VLOOKUP(I852,xySVG_Factors,2,FALSE),IF(AND(PRJ_Type="New Construction",Inventory!C849="N"),VLOOKUP(VLOOKUP(Building_Type,xyLPD_BuildingArea,5,FALSE),xySVG_Factors_NC,3,FALSE),0)))),"")</f>
        <v/>
      </c>
      <c r="Z852" s="544" t="str">
        <f>IFERROR(IF(C852="","",IF(INDEX(xyWattage_Table,MATCH(M852,'Fixture Identities'!$B$9:$B$997,0),2)="Exit Sign",0,VLOOKUP(S852,xySVG_Factors,2,FALSE))),"")</f>
        <v/>
      </c>
      <c r="AA852" s="545" t="str">
        <f t="shared" si="307"/>
        <v/>
      </c>
      <c r="AB852" s="542" t="str">
        <f t="shared" si="308"/>
        <v/>
      </c>
      <c r="AC852" s="539" t="str">
        <f t="shared" si="309"/>
        <v/>
      </c>
      <c r="AD852" s="546" t="str">
        <f t="shared" si="310"/>
        <v/>
      </c>
      <c r="AE852" s="539" t="str">
        <f t="shared" si="311"/>
        <v/>
      </c>
      <c r="AF852" s="546" t="str">
        <f t="shared" si="312"/>
        <v/>
      </c>
      <c r="AG852" s="539" t="str">
        <f t="shared" si="313"/>
        <v/>
      </c>
      <c r="AH852" s="32">
        <f t="shared" si="315"/>
        <v>0</v>
      </c>
      <c r="AI852" s="32">
        <f t="shared" si="316"/>
        <v>0</v>
      </c>
      <c r="AJ852" s="32">
        <f t="shared" si="317"/>
        <v>0</v>
      </c>
      <c r="AK852" t="str">
        <f t="shared" si="318"/>
        <v/>
      </c>
      <c r="AL852" t="str">
        <f t="shared" si="319"/>
        <v/>
      </c>
      <c r="AM852" t="str">
        <f t="shared" si="320"/>
        <v/>
      </c>
      <c r="AO852" t="str">
        <f>IFERROR(VLOOKUP(M852,'Fixture Identities'!$B$9:$O$1045,14,FALSE),"")</f>
        <v/>
      </c>
      <c r="AP852" t="str">
        <f t="shared" si="314"/>
        <v/>
      </c>
    </row>
    <row r="853" spans="1:42">
      <c r="A853" s="71">
        <f t="shared" si="322"/>
        <v>0</v>
      </c>
      <c r="B853" s="513">
        <f t="shared" si="321"/>
        <v>841</v>
      </c>
      <c r="C853" s="530" t="str">
        <f>IF(Inventory!E850="","",Inventory!E850)</f>
        <v/>
      </c>
      <c r="D853" s="531">
        <f>IF(Inventory!D850="",0,Inventory!D850)</f>
        <v>0</v>
      </c>
      <c r="E853" s="532" t="str">
        <f>IF(Inventory!I850=0,"",Inventory!I850)</f>
        <v/>
      </c>
      <c r="F853" s="533" t="str">
        <f t="shared" si="301"/>
        <v/>
      </c>
      <c r="G853" s="534" t="str">
        <f>IF(Inventory!G850="","",Inventory!G850)</f>
        <v/>
      </c>
      <c r="H853" s="535" t="str">
        <f t="shared" si="302"/>
        <v/>
      </c>
      <c r="I853" s="536" t="str">
        <f>IF(Inventory!J850="","",Inventory!J850)</f>
        <v/>
      </c>
      <c r="J853" s="537" t="str">
        <f>IFERROR(IF(PRJ_Type="New Construction",IF(Inventory!C850="N",INDEX(xyLPD_BuildingArea,MATCH(Building_Type,Lookups!$F$37:$F$75,0),4),INDEX(xyLPD_SpaceBySpace,MATCH(INDEX(xyNCEx,MATCH(I853,yNCExArea,0),2),ySpace_by_Space_Type,0),2)),VLOOKUP(E853,xyWattage_Table,11,FALSE)),"")</f>
        <v/>
      </c>
      <c r="K853" s="538" t="str">
        <f>IFERROR(IF(AND(NC_Type="Building Area Method",Inventory!C850="N"),IF(ISERROR(INDEX('Usage Groups (&gt;120 MWh only)'!$N$8:$N$12,MATCH(C853,'Usage Groups (&gt;120 MWh only)'!$B$8:$B$12,0),1))=TRUE,SqFt/COUNTIFS(Inventory!$C$10:$C$1009,"N",$Q$13:$Q$1012,"&gt;=0"),INDEX('Usage Groups (&gt;120 MWh only)'!$N$8:$N$12,MATCH(C853,'Usage Groups (&gt;120 MWh only)'!$B$8:$B$12,0),1)/COUNTIF($C$13:$C$1012,C853)),IF(AND(NC_Type="Building Area Method",Inventory!C850="Y"),INDEX(xyNCEx,MATCH(I853,yNCExArea,0),3)/COUNTIF($I$13:$I$1012,I853),VLOOKUP(J853,xyWattage_Table,10,FALSE))),"")</f>
        <v/>
      </c>
      <c r="L853" s="539" t="str">
        <f t="shared" si="303"/>
        <v/>
      </c>
      <c r="M853" s="540">
        <f>IF(Inventory!N850="","",Inventory!N850)</f>
        <v>0</v>
      </c>
      <c r="N853" s="533" t="str">
        <f t="shared" si="304"/>
        <v/>
      </c>
      <c r="O853" s="534"/>
      <c r="P853" s="533" t="str">
        <f t="shared" si="305"/>
        <v/>
      </c>
      <c r="Q853" s="534" t="str">
        <f>IF(Inventory!L850="","",Inventory!L850)</f>
        <v/>
      </c>
      <c r="R853" s="535" t="str">
        <f t="shared" si="306"/>
        <v/>
      </c>
      <c r="S853" s="536" t="str">
        <f>IF(Inventory!O850="","",Inventory!O850)</f>
        <v/>
      </c>
      <c r="T853" s="541" t="str">
        <f>IFERROR(IF(C853="","",IF(INDEX(xyWattage_Table,MATCH(M853,'Fixture Identities'!$B$9:$B$997,0),2)="Exit Sign",8760,IF(VLOOKUP(C853,xySpace_Type_Details,8,FALSE)="TRM",INDEX('General Information'!$AF$17:$AG$28,11,MATCH(N853,'General Information'!$AF$16:$AG$16,0)),HLOOKUP(VLOOKUP(C853,xySpace_Type_Details,8,FALSE),'General Information'!$P$15:$AG$28,13,FALSE)))),"")</f>
        <v/>
      </c>
      <c r="U853" s="542" t="str">
        <f>IFERROR(IF(C853="","",IF(INDEX(xyWattage_Table,MATCH(M853,'Fixture Identities'!$B$9:$B$997,0),2)="Exit Sign",1,IF(VLOOKUP(C853,xySpace_Type_Details,8,FALSE)="TRM",INDEX('General Information'!$AF$17:$AG$28,12,MATCH(N853,'General Information'!$AF$16:$AG$16,0)),HLOOKUP(VLOOKUP(C853,xySpace_Type_Details,8,FALSE),'General Information'!$P$15:$AG$28,14,FALSE)))),"")</f>
        <v/>
      </c>
      <c r="V853" s="542" t="str">
        <f>IFERROR(VLOOKUP(INDEX(xySpace_Type_Details,MATCH($C853,'General Information'!$C$40:$C$60,0),12),Lookups!$L$8:$N$12,2,FALSE),"")</f>
        <v/>
      </c>
      <c r="W853" s="542" t="str">
        <f>IFERROR(VLOOKUP(INDEX(xySpace_Type_Details,MATCH($C853,'General Information'!$C$40:$C$60,0),12),Lookups!$L$8:$N$12,3,FALSE),"")</f>
        <v/>
      </c>
      <c r="Y853" s="542" t="str">
        <f>IFERROR(IF(C853="","",IF(INDEX(xyWattage_Table,MATCH(M853,'Fixture Identities'!$B$9:$B$997,0),2)="Exit Sign",0,IF(PRJ_Type="Retrofit",VLOOKUP(I853,xySVG_Factors,2,FALSE),IF(AND(PRJ_Type="New Construction",Inventory!C850="N"),VLOOKUP(VLOOKUP(Building_Type,xyLPD_BuildingArea,5,FALSE),xySVG_Factors_NC,3,FALSE),0)))),"")</f>
        <v/>
      </c>
      <c r="Z853" s="544" t="str">
        <f>IFERROR(IF(C853="","",IF(INDEX(xyWattage_Table,MATCH(M853,'Fixture Identities'!$B$9:$B$997,0),2)="Exit Sign",0,VLOOKUP(S853,xySVG_Factors,2,FALSE))),"")</f>
        <v/>
      </c>
      <c r="AA853" s="545" t="str">
        <f t="shared" si="307"/>
        <v/>
      </c>
      <c r="AB853" s="542" t="str">
        <f t="shared" si="308"/>
        <v/>
      </c>
      <c r="AC853" s="539" t="str">
        <f t="shared" si="309"/>
        <v/>
      </c>
      <c r="AD853" s="546" t="str">
        <f t="shared" si="310"/>
        <v/>
      </c>
      <c r="AE853" s="539" t="str">
        <f t="shared" si="311"/>
        <v/>
      </c>
      <c r="AF853" s="546" t="str">
        <f t="shared" si="312"/>
        <v/>
      </c>
      <c r="AG853" s="539" t="str">
        <f t="shared" si="313"/>
        <v/>
      </c>
      <c r="AH853" s="32">
        <f t="shared" si="315"/>
        <v>0</v>
      </c>
      <c r="AI853" s="32">
        <f t="shared" si="316"/>
        <v>0</v>
      </c>
      <c r="AJ853" s="32">
        <f t="shared" si="317"/>
        <v>0</v>
      </c>
      <c r="AK853" t="str">
        <f t="shared" si="318"/>
        <v/>
      </c>
      <c r="AL853" t="str">
        <f t="shared" si="319"/>
        <v/>
      </c>
      <c r="AM853" t="str">
        <f t="shared" si="320"/>
        <v/>
      </c>
      <c r="AO853" t="str">
        <f>IFERROR(VLOOKUP(M853,'Fixture Identities'!$B$9:$O$1045,14,FALSE),"")</f>
        <v/>
      </c>
      <c r="AP853" t="str">
        <f t="shared" si="314"/>
        <v/>
      </c>
    </row>
    <row r="854" spans="1:42">
      <c r="A854" s="71">
        <f t="shared" si="322"/>
        <v>0</v>
      </c>
      <c r="B854" s="513">
        <f t="shared" si="321"/>
        <v>842</v>
      </c>
      <c r="C854" s="530" t="str">
        <f>IF(Inventory!E851="","",Inventory!E851)</f>
        <v/>
      </c>
      <c r="D854" s="531">
        <f>IF(Inventory!D851="",0,Inventory!D851)</f>
        <v>0</v>
      </c>
      <c r="E854" s="532" t="str">
        <f>IF(Inventory!I851=0,"",Inventory!I851)</f>
        <v/>
      </c>
      <c r="F854" s="533" t="str">
        <f t="shared" si="301"/>
        <v/>
      </c>
      <c r="G854" s="534" t="str">
        <f>IF(Inventory!G851="","",Inventory!G851)</f>
        <v/>
      </c>
      <c r="H854" s="535" t="str">
        <f t="shared" si="302"/>
        <v/>
      </c>
      <c r="I854" s="536" t="str">
        <f>IF(Inventory!J851="","",Inventory!J851)</f>
        <v/>
      </c>
      <c r="J854" s="537" t="str">
        <f>IFERROR(IF(PRJ_Type="New Construction",IF(Inventory!C851="N",INDEX(xyLPD_BuildingArea,MATCH(Building_Type,Lookups!$F$37:$F$75,0),4),INDEX(xyLPD_SpaceBySpace,MATCH(INDEX(xyNCEx,MATCH(I854,yNCExArea,0),2),ySpace_by_Space_Type,0),2)),VLOOKUP(E854,xyWattage_Table,11,FALSE)),"")</f>
        <v/>
      </c>
      <c r="K854" s="538" t="str">
        <f>IFERROR(IF(AND(NC_Type="Building Area Method",Inventory!C851="N"),IF(ISERROR(INDEX('Usage Groups (&gt;120 MWh only)'!$N$8:$N$12,MATCH(C854,'Usage Groups (&gt;120 MWh only)'!$B$8:$B$12,0),1))=TRUE,SqFt/COUNTIFS(Inventory!$C$10:$C$1009,"N",$Q$13:$Q$1012,"&gt;=0"),INDEX('Usage Groups (&gt;120 MWh only)'!$N$8:$N$12,MATCH(C854,'Usage Groups (&gt;120 MWh only)'!$B$8:$B$12,0),1)/COUNTIF($C$13:$C$1012,C854)),IF(AND(NC_Type="Building Area Method",Inventory!C851="Y"),INDEX(xyNCEx,MATCH(I854,yNCExArea,0),3)/COUNTIF($I$13:$I$1012,I854),VLOOKUP(J854,xyWattage_Table,10,FALSE))),"")</f>
        <v/>
      </c>
      <c r="L854" s="539" t="str">
        <f t="shared" si="303"/>
        <v/>
      </c>
      <c r="M854" s="540">
        <f>IF(Inventory!N851="","",Inventory!N851)</f>
        <v>0</v>
      </c>
      <c r="N854" s="533" t="str">
        <f t="shared" si="304"/>
        <v/>
      </c>
      <c r="O854" s="534"/>
      <c r="P854" s="533" t="str">
        <f t="shared" si="305"/>
        <v/>
      </c>
      <c r="Q854" s="534" t="str">
        <f>IF(Inventory!L851="","",Inventory!L851)</f>
        <v/>
      </c>
      <c r="R854" s="535" t="str">
        <f t="shared" si="306"/>
        <v/>
      </c>
      <c r="S854" s="536" t="str">
        <f>IF(Inventory!O851="","",Inventory!O851)</f>
        <v/>
      </c>
      <c r="T854" s="541" t="str">
        <f>IFERROR(IF(C854="","",IF(INDEX(xyWattage_Table,MATCH(M854,'Fixture Identities'!$B$9:$B$997,0),2)="Exit Sign",8760,IF(VLOOKUP(C854,xySpace_Type_Details,8,FALSE)="TRM",INDEX('General Information'!$AF$17:$AG$28,11,MATCH(N854,'General Information'!$AF$16:$AG$16,0)),HLOOKUP(VLOOKUP(C854,xySpace_Type_Details,8,FALSE),'General Information'!$P$15:$AG$28,13,FALSE)))),"")</f>
        <v/>
      </c>
      <c r="U854" s="542" t="str">
        <f>IFERROR(IF(C854="","",IF(INDEX(xyWattage_Table,MATCH(M854,'Fixture Identities'!$B$9:$B$997,0),2)="Exit Sign",1,IF(VLOOKUP(C854,xySpace_Type_Details,8,FALSE)="TRM",INDEX('General Information'!$AF$17:$AG$28,12,MATCH(N854,'General Information'!$AF$16:$AG$16,0)),HLOOKUP(VLOOKUP(C854,xySpace_Type_Details,8,FALSE),'General Information'!$P$15:$AG$28,14,FALSE)))),"")</f>
        <v/>
      </c>
      <c r="V854" s="542" t="str">
        <f>IFERROR(VLOOKUP(INDEX(xySpace_Type_Details,MATCH($C854,'General Information'!$C$40:$C$60,0),12),Lookups!$L$8:$N$12,2,FALSE),"")</f>
        <v/>
      </c>
      <c r="W854" s="542" t="str">
        <f>IFERROR(VLOOKUP(INDEX(xySpace_Type_Details,MATCH($C854,'General Information'!$C$40:$C$60,0),12),Lookups!$L$8:$N$12,3,FALSE),"")</f>
        <v/>
      </c>
      <c r="Y854" s="542" t="str">
        <f>IFERROR(IF(C854="","",IF(INDEX(xyWattage_Table,MATCH(M854,'Fixture Identities'!$B$9:$B$997,0),2)="Exit Sign",0,IF(PRJ_Type="Retrofit",VLOOKUP(I854,xySVG_Factors,2,FALSE),IF(AND(PRJ_Type="New Construction",Inventory!C851="N"),VLOOKUP(VLOOKUP(Building_Type,xyLPD_BuildingArea,5,FALSE),xySVG_Factors_NC,3,FALSE),0)))),"")</f>
        <v/>
      </c>
      <c r="Z854" s="544" t="str">
        <f>IFERROR(IF(C854="","",IF(INDEX(xyWattage_Table,MATCH(M854,'Fixture Identities'!$B$9:$B$997,0),2)="Exit Sign",0,VLOOKUP(S854,xySVG_Factors,2,FALSE))),"")</f>
        <v/>
      </c>
      <c r="AA854" s="545" t="str">
        <f t="shared" si="307"/>
        <v/>
      </c>
      <c r="AB854" s="542" t="str">
        <f t="shared" si="308"/>
        <v/>
      </c>
      <c r="AC854" s="539" t="str">
        <f t="shared" si="309"/>
        <v/>
      </c>
      <c r="AD854" s="546" t="str">
        <f t="shared" si="310"/>
        <v/>
      </c>
      <c r="AE854" s="539" t="str">
        <f t="shared" si="311"/>
        <v/>
      </c>
      <c r="AF854" s="546" t="str">
        <f t="shared" si="312"/>
        <v/>
      </c>
      <c r="AG854" s="539" t="str">
        <f t="shared" si="313"/>
        <v/>
      </c>
      <c r="AH854" s="32">
        <f t="shared" si="315"/>
        <v>0</v>
      </c>
      <c r="AI854" s="32">
        <f t="shared" si="316"/>
        <v>0</v>
      </c>
      <c r="AJ854" s="32">
        <f t="shared" si="317"/>
        <v>0</v>
      </c>
      <c r="AK854" t="str">
        <f t="shared" si="318"/>
        <v/>
      </c>
      <c r="AL854" t="str">
        <f t="shared" si="319"/>
        <v/>
      </c>
      <c r="AM854" t="str">
        <f t="shared" si="320"/>
        <v/>
      </c>
      <c r="AO854" t="str">
        <f>IFERROR(VLOOKUP(M854,'Fixture Identities'!$B$9:$O$1045,14,FALSE),"")</f>
        <v/>
      </c>
      <c r="AP854" t="str">
        <f t="shared" si="314"/>
        <v/>
      </c>
    </row>
    <row r="855" spans="1:42">
      <c r="A855" s="71">
        <f t="shared" si="322"/>
        <v>0</v>
      </c>
      <c r="B855" s="513">
        <f t="shared" si="321"/>
        <v>843</v>
      </c>
      <c r="C855" s="530" t="str">
        <f>IF(Inventory!E852="","",Inventory!E852)</f>
        <v/>
      </c>
      <c r="D855" s="531">
        <f>IF(Inventory!D852="",0,Inventory!D852)</f>
        <v>0</v>
      </c>
      <c r="E855" s="532" t="str">
        <f>IF(Inventory!I852=0,"",Inventory!I852)</f>
        <v/>
      </c>
      <c r="F855" s="533" t="str">
        <f t="shared" si="301"/>
        <v/>
      </c>
      <c r="G855" s="534" t="str">
        <f>IF(Inventory!G852="","",Inventory!G852)</f>
        <v/>
      </c>
      <c r="H855" s="535" t="str">
        <f t="shared" si="302"/>
        <v/>
      </c>
      <c r="I855" s="536" t="str">
        <f>IF(Inventory!J852="","",Inventory!J852)</f>
        <v/>
      </c>
      <c r="J855" s="537" t="str">
        <f>IFERROR(IF(PRJ_Type="New Construction",IF(Inventory!C852="N",INDEX(xyLPD_BuildingArea,MATCH(Building_Type,Lookups!$F$37:$F$75,0),4),INDEX(xyLPD_SpaceBySpace,MATCH(INDEX(xyNCEx,MATCH(I855,yNCExArea,0),2),ySpace_by_Space_Type,0),2)),VLOOKUP(E855,xyWattage_Table,11,FALSE)),"")</f>
        <v/>
      </c>
      <c r="K855" s="538" t="str">
        <f>IFERROR(IF(AND(NC_Type="Building Area Method",Inventory!C852="N"),IF(ISERROR(INDEX('Usage Groups (&gt;120 MWh only)'!$N$8:$N$12,MATCH(C855,'Usage Groups (&gt;120 MWh only)'!$B$8:$B$12,0),1))=TRUE,SqFt/COUNTIFS(Inventory!$C$10:$C$1009,"N",$Q$13:$Q$1012,"&gt;=0"),INDEX('Usage Groups (&gt;120 MWh only)'!$N$8:$N$12,MATCH(C855,'Usage Groups (&gt;120 MWh only)'!$B$8:$B$12,0),1)/COUNTIF($C$13:$C$1012,C855)),IF(AND(NC_Type="Building Area Method",Inventory!C852="Y"),INDEX(xyNCEx,MATCH(I855,yNCExArea,0),3)/COUNTIF($I$13:$I$1012,I855),VLOOKUP(J855,xyWattage_Table,10,FALSE))),"")</f>
        <v/>
      </c>
      <c r="L855" s="539" t="str">
        <f t="shared" si="303"/>
        <v/>
      </c>
      <c r="M855" s="540">
        <f>IF(Inventory!N852="","",Inventory!N852)</f>
        <v>0</v>
      </c>
      <c r="N855" s="533" t="str">
        <f t="shared" si="304"/>
        <v/>
      </c>
      <c r="O855" s="534"/>
      <c r="P855" s="533" t="str">
        <f t="shared" si="305"/>
        <v/>
      </c>
      <c r="Q855" s="534" t="str">
        <f>IF(Inventory!L852="","",Inventory!L852)</f>
        <v/>
      </c>
      <c r="R855" s="535" t="str">
        <f t="shared" si="306"/>
        <v/>
      </c>
      <c r="S855" s="536" t="str">
        <f>IF(Inventory!O852="","",Inventory!O852)</f>
        <v/>
      </c>
      <c r="T855" s="541" t="str">
        <f>IFERROR(IF(C855="","",IF(INDEX(xyWattage_Table,MATCH(M855,'Fixture Identities'!$B$9:$B$997,0),2)="Exit Sign",8760,IF(VLOOKUP(C855,xySpace_Type_Details,8,FALSE)="TRM",INDEX('General Information'!$AF$17:$AG$28,11,MATCH(N855,'General Information'!$AF$16:$AG$16,0)),HLOOKUP(VLOOKUP(C855,xySpace_Type_Details,8,FALSE),'General Information'!$P$15:$AG$28,13,FALSE)))),"")</f>
        <v/>
      </c>
      <c r="U855" s="542" t="str">
        <f>IFERROR(IF(C855="","",IF(INDEX(xyWattage_Table,MATCH(M855,'Fixture Identities'!$B$9:$B$997,0),2)="Exit Sign",1,IF(VLOOKUP(C855,xySpace_Type_Details,8,FALSE)="TRM",INDEX('General Information'!$AF$17:$AG$28,12,MATCH(N855,'General Information'!$AF$16:$AG$16,0)),HLOOKUP(VLOOKUP(C855,xySpace_Type_Details,8,FALSE),'General Information'!$P$15:$AG$28,14,FALSE)))),"")</f>
        <v/>
      </c>
      <c r="V855" s="542" t="str">
        <f>IFERROR(VLOOKUP(INDEX(xySpace_Type_Details,MATCH($C855,'General Information'!$C$40:$C$60,0),12),Lookups!$L$8:$N$12,2,FALSE),"")</f>
        <v/>
      </c>
      <c r="W855" s="542" t="str">
        <f>IFERROR(VLOOKUP(INDEX(xySpace_Type_Details,MATCH($C855,'General Information'!$C$40:$C$60,0),12),Lookups!$L$8:$N$12,3,FALSE),"")</f>
        <v/>
      </c>
      <c r="Y855" s="542" t="str">
        <f>IFERROR(IF(C855="","",IF(INDEX(xyWattage_Table,MATCH(M855,'Fixture Identities'!$B$9:$B$997,0),2)="Exit Sign",0,IF(PRJ_Type="Retrofit",VLOOKUP(I855,xySVG_Factors,2,FALSE),IF(AND(PRJ_Type="New Construction",Inventory!C852="N"),VLOOKUP(VLOOKUP(Building_Type,xyLPD_BuildingArea,5,FALSE),xySVG_Factors_NC,3,FALSE),0)))),"")</f>
        <v/>
      </c>
      <c r="Z855" s="544" t="str">
        <f>IFERROR(IF(C855="","",IF(INDEX(xyWattage_Table,MATCH(M855,'Fixture Identities'!$B$9:$B$997,0),2)="Exit Sign",0,VLOOKUP(S855,xySVG_Factors,2,FALSE))),"")</f>
        <v/>
      </c>
      <c r="AA855" s="545" t="str">
        <f t="shared" si="307"/>
        <v/>
      </c>
      <c r="AB855" s="542" t="str">
        <f t="shared" si="308"/>
        <v/>
      </c>
      <c r="AC855" s="539" t="str">
        <f t="shared" si="309"/>
        <v/>
      </c>
      <c r="AD855" s="546" t="str">
        <f t="shared" si="310"/>
        <v/>
      </c>
      <c r="AE855" s="539" t="str">
        <f t="shared" si="311"/>
        <v/>
      </c>
      <c r="AF855" s="546" t="str">
        <f t="shared" si="312"/>
        <v/>
      </c>
      <c r="AG855" s="539" t="str">
        <f t="shared" si="313"/>
        <v/>
      </c>
      <c r="AH855" s="32">
        <f t="shared" si="315"/>
        <v>0</v>
      </c>
      <c r="AI855" s="32">
        <f t="shared" si="316"/>
        <v>0</v>
      </c>
      <c r="AJ855" s="32">
        <f t="shared" si="317"/>
        <v>0</v>
      </c>
      <c r="AK855" t="str">
        <f t="shared" si="318"/>
        <v/>
      </c>
      <c r="AL855" t="str">
        <f t="shared" si="319"/>
        <v/>
      </c>
      <c r="AM855" t="str">
        <f t="shared" si="320"/>
        <v/>
      </c>
      <c r="AO855" t="str">
        <f>IFERROR(VLOOKUP(M855,'Fixture Identities'!$B$9:$O$1045,14,FALSE),"")</f>
        <v/>
      </c>
      <c r="AP855" t="str">
        <f t="shared" si="314"/>
        <v/>
      </c>
    </row>
    <row r="856" spans="1:42">
      <c r="A856" s="71">
        <f t="shared" si="322"/>
        <v>0</v>
      </c>
      <c r="B856" s="513">
        <f t="shared" si="321"/>
        <v>844</v>
      </c>
      <c r="C856" s="530" t="str">
        <f>IF(Inventory!E853="","",Inventory!E853)</f>
        <v/>
      </c>
      <c r="D856" s="531">
        <f>IF(Inventory!D853="",0,Inventory!D853)</f>
        <v>0</v>
      </c>
      <c r="E856" s="532" t="str">
        <f>IF(Inventory!I853=0,"",Inventory!I853)</f>
        <v/>
      </c>
      <c r="F856" s="533" t="str">
        <f t="shared" si="301"/>
        <v/>
      </c>
      <c r="G856" s="534" t="str">
        <f>IF(Inventory!G853="","",Inventory!G853)</f>
        <v/>
      </c>
      <c r="H856" s="535" t="str">
        <f t="shared" si="302"/>
        <v/>
      </c>
      <c r="I856" s="536" t="str">
        <f>IF(Inventory!J853="","",Inventory!J853)</f>
        <v/>
      </c>
      <c r="J856" s="537" t="str">
        <f>IFERROR(IF(PRJ_Type="New Construction",IF(Inventory!C853="N",INDEX(xyLPD_BuildingArea,MATCH(Building_Type,Lookups!$F$37:$F$75,0),4),INDEX(xyLPD_SpaceBySpace,MATCH(INDEX(xyNCEx,MATCH(I856,yNCExArea,0),2),ySpace_by_Space_Type,0),2)),VLOOKUP(E856,xyWattage_Table,11,FALSE)),"")</f>
        <v/>
      </c>
      <c r="K856" s="538" t="str">
        <f>IFERROR(IF(AND(NC_Type="Building Area Method",Inventory!C853="N"),IF(ISERROR(INDEX('Usage Groups (&gt;120 MWh only)'!$N$8:$N$12,MATCH(C856,'Usage Groups (&gt;120 MWh only)'!$B$8:$B$12,0),1))=TRUE,SqFt/COUNTIFS(Inventory!$C$10:$C$1009,"N",$Q$13:$Q$1012,"&gt;=0"),INDEX('Usage Groups (&gt;120 MWh only)'!$N$8:$N$12,MATCH(C856,'Usage Groups (&gt;120 MWh only)'!$B$8:$B$12,0),1)/COUNTIF($C$13:$C$1012,C856)),IF(AND(NC_Type="Building Area Method",Inventory!C853="Y"),INDEX(xyNCEx,MATCH(I856,yNCExArea,0),3)/COUNTIF($I$13:$I$1012,I856),VLOOKUP(J856,xyWattage_Table,10,FALSE))),"")</f>
        <v/>
      </c>
      <c r="L856" s="539" t="str">
        <f t="shared" si="303"/>
        <v/>
      </c>
      <c r="M856" s="540">
        <f>IF(Inventory!N853="","",Inventory!N853)</f>
        <v>0</v>
      </c>
      <c r="N856" s="533" t="str">
        <f t="shared" si="304"/>
        <v/>
      </c>
      <c r="O856" s="534"/>
      <c r="P856" s="533" t="str">
        <f t="shared" si="305"/>
        <v/>
      </c>
      <c r="Q856" s="534" t="str">
        <f>IF(Inventory!L853="","",Inventory!L853)</f>
        <v/>
      </c>
      <c r="R856" s="535" t="str">
        <f t="shared" si="306"/>
        <v/>
      </c>
      <c r="S856" s="536" t="str">
        <f>IF(Inventory!O853="","",Inventory!O853)</f>
        <v/>
      </c>
      <c r="T856" s="541" t="str">
        <f>IFERROR(IF(C856="","",IF(INDEX(xyWattage_Table,MATCH(M856,'Fixture Identities'!$B$9:$B$997,0),2)="Exit Sign",8760,IF(VLOOKUP(C856,xySpace_Type_Details,8,FALSE)="TRM",INDEX('General Information'!$AF$17:$AG$28,11,MATCH(N856,'General Information'!$AF$16:$AG$16,0)),HLOOKUP(VLOOKUP(C856,xySpace_Type_Details,8,FALSE),'General Information'!$P$15:$AG$28,13,FALSE)))),"")</f>
        <v/>
      </c>
      <c r="U856" s="542" t="str">
        <f>IFERROR(IF(C856="","",IF(INDEX(xyWattage_Table,MATCH(M856,'Fixture Identities'!$B$9:$B$997,0),2)="Exit Sign",1,IF(VLOOKUP(C856,xySpace_Type_Details,8,FALSE)="TRM",INDEX('General Information'!$AF$17:$AG$28,12,MATCH(N856,'General Information'!$AF$16:$AG$16,0)),HLOOKUP(VLOOKUP(C856,xySpace_Type_Details,8,FALSE),'General Information'!$P$15:$AG$28,14,FALSE)))),"")</f>
        <v/>
      </c>
      <c r="V856" s="542" t="str">
        <f>IFERROR(VLOOKUP(INDEX(xySpace_Type_Details,MATCH($C856,'General Information'!$C$40:$C$60,0),12),Lookups!$L$8:$N$12,2,FALSE),"")</f>
        <v/>
      </c>
      <c r="W856" s="542" t="str">
        <f>IFERROR(VLOOKUP(INDEX(xySpace_Type_Details,MATCH($C856,'General Information'!$C$40:$C$60,0),12),Lookups!$L$8:$N$12,3,FALSE),"")</f>
        <v/>
      </c>
      <c r="Y856" s="542" t="str">
        <f>IFERROR(IF(C856="","",IF(INDEX(xyWattage_Table,MATCH(M856,'Fixture Identities'!$B$9:$B$997,0),2)="Exit Sign",0,IF(PRJ_Type="Retrofit",VLOOKUP(I856,xySVG_Factors,2,FALSE),IF(AND(PRJ_Type="New Construction",Inventory!C853="N"),VLOOKUP(VLOOKUP(Building_Type,xyLPD_BuildingArea,5,FALSE),xySVG_Factors_NC,3,FALSE),0)))),"")</f>
        <v/>
      </c>
      <c r="Z856" s="544" t="str">
        <f>IFERROR(IF(C856="","",IF(INDEX(xyWattage_Table,MATCH(M856,'Fixture Identities'!$B$9:$B$997,0),2)="Exit Sign",0,VLOOKUP(S856,xySVG_Factors,2,FALSE))),"")</f>
        <v/>
      </c>
      <c r="AA856" s="545" t="str">
        <f t="shared" si="307"/>
        <v/>
      </c>
      <c r="AB856" s="542" t="str">
        <f t="shared" si="308"/>
        <v/>
      </c>
      <c r="AC856" s="539" t="str">
        <f t="shared" si="309"/>
        <v/>
      </c>
      <c r="AD856" s="546" t="str">
        <f t="shared" si="310"/>
        <v/>
      </c>
      <c r="AE856" s="539" t="str">
        <f t="shared" si="311"/>
        <v/>
      </c>
      <c r="AF856" s="546" t="str">
        <f t="shared" si="312"/>
        <v/>
      </c>
      <c r="AG856" s="539" t="str">
        <f t="shared" si="313"/>
        <v/>
      </c>
      <c r="AH856" s="32">
        <f t="shared" si="315"/>
        <v>0</v>
      </c>
      <c r="AI856" s="32">
        <f t="shared" si="316"/>
        <v>0</v>
      </c>
      <c r="AJ856" s="32">
        <f t="shared" si="317"/>
        <v>0</v>
      </c>
      <c r="AK856" t="str">
        <f t="shared" si="318"/>
        <v/>
      </c>
      <c r="AL856" t="str">
        <f t="shared" si="319"/>
        <v/>
      </c>
      <c r="AM856" t="str">
        <f t="shared" si="320"/>
        <v/>
      </c>
      <c r="AO856" t="str">
        <f>IFERROR(VLOOKUP(M856,'Fixture Identities'!$B$9:$O$1045,14,FALSE),"")</f>
        <v/>
      </c>
      <c r="AP856" t="str">
        <f t="shared" si="314"/>
        <v/>
      </c>
    </row>
    <row r="857" spans="1:42">
      <c r="A857" s="71">
        <f t="shared" si="322"/>
        <v>0</v>
      </c>
      <c r="B857" s="513">
        <f t="shared" si="321"/>
        <v>845</v>
      </c>
      <c r="C857" s="530" t="str">
        <f>IF(Inventory!E854="","",Inventory!E854)</f>
        <v/>
      </c>
      <c r="D857" s="531">
        <f>IF(Inventory!D854="",0,Inventory!D854)</f>
        <v>0</v>
      </c>
      <c r="E857" s="532" t="str">
        <f>IF(Inventory!I854=0,"",Inventory!I854)</f>
        <v/>
      </c>
      <c r="F857" s="533" t="str">
        <f t="shared" si="301"/>
        <v/>
      </c>
      <c r="G857" s="534" t="str">
        <f>IF(Inventory!G854="","",Inventory!G854)</f>
        <v/>
      </c>
      <c r="H857" s="535" t="str">
        <f t="shared" si="302"/>
        <v/>
      </c>
      <c r="I857" s="536" t="str">
        <f>IF(Inventory!J854="","",Inventory!J854)</f>
        <v/>
      </c>
      <c r="J857" s="537" t="str">
        <f>IFERROR(IF(PRJ_Type="New Construction",IF(Inventory!C854="N",INDEX(xyLPD_BuildingArea,MATCH(Building_Type,Lookups!$F$37:$F$75,0),4),INDEX(xyLPD_SpaceBySpace,MATCH(INDEX(xyNCEx,MATCH(I857,yNCExArea,0),2),ySpace_by_Space_Type,0),2)),VLOOKUP(E857,xyWattage_Table,11,FALSE)),"")</f>
        <v/>
      </c>
      <c r="K857" s="538" t="str">
        <f>IFERROR(IF(AND(NC_Type="Building Area Method",Inventory!C854="N"),IF(ISERROR(INDEX('Usage Groups (&gt;120 MWh only)'!$N$8:$N$12,MATCH(C857,'Usage Groups (&gt;120 MWh only)'!$B$8:$B$12,0),1))=TRUE,SqFt/COUNTIFS(Inventory!$C$10:$C$1009,"N",$Q$13:$Q$1012,"&gt;=0"),INDEX('Usage Groups (&gt;120 MWh only)'!$N$8:$N$12,MATCH(C857,'Usage Groups (&gt;120 MWh only)'!$B$8:$B$12,0),1)/COUNTIF($C$13:$C$1012,C857)),IF(AND(NC_Type="Building Area Method",Inventory!C854="Y"),INDEX(xyNCEx,MATCH(I857,yNCExArea,0),3)/COUNTIF($I$13:$I$1012,I857),VLOOKUP(J857,xyWattage_Table,10,FALSE))),"")</f>
        <v/>
      </c>
      <c r="L857" s="539" t="str">
        <f t="shared" si="303"/>
        <v/>
      </c>
      <c r="M857" s="540">
        <f>IF(Inventory!N854="","",Inventory!N854)</f>
        <v>0</v>
      </c>
      <c r="N857" s="533" t="str">
        <f t="shared" si="304"/>
        <v/>
      </c>
      <c r="O857" s="534"/>
      <c r="P857" s="533" t="str">
        <f t="shared" si="305"/>
        <v/>
      </c>
      <c r="Q857" s="534" t="str">
        <f>IF(Inventory!L854="","",Inventory!L854)</f>
        <v/>
      </c>
      <c r="R857" s="535" t="str">
        <f t="shared" si="306"/>
        <v/>
      </c>
      <c r="S857" s="536" t="str">
        <f>IF(Inventory!O854="","",Inventory!O854)</f>
        <v/>
      </c>
      <c r="T857" s="541" t="str">
        <f>IFERROR(IF(C857="","",IF(INDEX(xyWattage_Table,MATCH(M857,'Fixture Identities'!$B$9:$B$997,0),2)="Exit Sign",8760,IF(VLOOKUP(C857,xySpace_Type_Details,8,FALSE)="TRM",INDEX('General Information'!$AF$17:$AG$28,11,MATCH(N857,'General Information'!$AF$16:$AG$16,0)),HLOOKUP(VLOOKUP(C857,xySpace_Type_Details,8,FALSE),'General Information'!$P$15:$AG$28,13,FALSE)))),"")</f>
        <v/>
      </c>
      <c r="U857" s="542" t="str">
        <f>IFERROR(IF(C857="","",IF(INDEX(xyWattage_Table,MATCH(M857,'Fixture Identities'!$B$9:$B$997,0),2)="Exit Sign",1,IF(VLOOKUP(C857,xySpace_Type_Details,8,FALSE)="TRM",INDEX('General Information'!$AF$17:$AG$28,12,MATCH(N857,'General Information'!$AF$16:$AG$16,0)),HLOOKUP(VLOOKUP(C857,xySpace_Type_Details,8,FALSE),'General Information'!$P$15:$AG$28,14,FALSE)))),"")</f>
        <v/>
      </c>
      <c r="V857" s="542" t="str">
        <f>IFERROR(VLOOKUP(INDEX(xySpace_Type_Details,MATCH($C857,'General Information'!$C$40:$C$60,0),12),Lookups!$L$8:$N$12,2,FALSE),"")</f>
        <v/>
      </c>
      <c r="W857" s="542" t="str">
        <f>IFERROR(VLOOKUP(INDEX(xySpace_Type_Details,MATCH($C857,'General Information'!$C$40:$C$60,0),12),Lookups!$L$8:$N$12,3,FALSE),"")</f>
        <v/>
      </c>
      <c r="Y857" s="542" t="str">
        <f>IFERROR(IF(C857="","",IF(INDEX(xyWattage_Table,MATCH(M857,'Fixture Identities'!$B$9:$B$997,0),2)="Exit Sign",0,IF(PRJ_Type="Retrofit",VLOOKUP(I857,xySVG_Factors,2,FALSE),IF(AND(PRJ_Type="New Construction",Inventory!C854="N"),VLOOKUP(VLOOKUP(Building_Type,xyLPD_BuildingArea,5,FALSE),xySVG_Factors_NC,3,FALSE),0)))),"")</f>
        <v/>
      </c>
      <c r="Z857" s="544" t="str">
        <f>IFERROR(IF(C857="","",IF(INDEX(xyWattage_Table,MATCH(M857,'Fixture Identities'!$B$9:$B$997,0),2)="Exit Sign",0,VLOOKUP(S857,xySVG_Factors,2,FALSE))),"")</f>
        <v/>
      </c>
      <c r="AA857" s="545" t="str">
        <f t="shared" si="307"/>
        <v/>
      </c>
      <c r="AB857" s="542" t="str">
        <f t="shared" si="308"/>
        <v/>
      </c>
      <c r="AC857" s="539" t="str">
        <f t="shared" si="309"/>
        <v/>
      </c>
      <c r="AD857" s="546" t="str">
        <f t="shared" si="310"/>
        <v/>
      </c>
      <c r="AE857" s="539" t="str">
        <f t="shared" si="311"/>
        <v/>
      </c>
      <c r="AF857" s="546" t="str">
        <f t="shared" si="312"/>
        <v/>
      </c>
      <c r="AG857" s="539" t="str">
        <f t="shared" si="313"/>
        <v/>
      </c>
      <c r="AH857" s="32">
        <f t="shared" si="315"/>
        <v>0</v>
      </c>
      <c r="AI857" s="32">
        <f t="shared" si="316"/>
        <v>0</v>
      </c>
      <c r="AJ857" s="32">
        <f t="shared" si="317"/>
        <v>0</v>
      </c>
      <c r="AK857" t="str">
        <f t="shared" si="318"/>
        <v/>
      </c>
      <c r="AL857" t="str">
        <f t="shared" si="319"/>
        <v/>
      </c>
      <c r="AM857" t="str">
        <f t="shared" si="320"/>
        <v/>
      </c>
      <c r="AO857" t="str">
        <f>IFERROR(VLOOKUP(M857,'Fixture Identities'!$B$9:$O$1045,14,FALSE),"")</f>
        <v/>
      </c>
      <c r="AP857" t="str">
        <f t="shared" si="314"/>
        <v/>
      </c>
    </row>
    <row r="858" spans="1:42">
      <c r="A858" s="71">
        <f t="shared" si="322"/>
        <v>0</v>
      </c>
      <c r="B858" s="513">
        <f t="shared" si="321"/>
        <v>846</v>
      </c>
      <c r="C858" s="530" t="str">
        <f>IF(Inventory!E855="","",Inventory!E855)</f>
        <v/>
      </c>
      <c r="D858" s="531">
        <f>IF(Inventory!D855="",0,Inventory!D855)</f>
        <v>0</v>
      </c>
      <c r="E858" s="532" t="str">
        <f>IF(Inventory!I855=0,"",Inventory!I855)</f>
        <v/>
      </c>
      <c r="F858" s="533" t="str">
        <f t="shared" si="301"/>
        <v/>
      </c>
      <c r="G858" s="534" t="str">
        <f>IF(Inventory!G855="","",Inventory!G855)</f>
        <v/>
      </c>
      <c r="H858" s="535" t="str">
        <f t="shared" si="302"/>
        <v/>
      </c>
      <c r="I858" s="536" t="str">
        <f>IF(Inventory!J855="","",Inventory!J855)</f>
        <v/>
      </c>
      <c r="J858" s="537" t="str">
        <f>IFERROR(IF(PRJ_Type="New Construction",IF(Inventory!C855="N",INDEX(xyLPD_BuildingArea,MATCH(Building_Type,Lookups!$F$37:$F$75,0),4),INDEX(xyLPD_SpaceBySpace,MATCH(INDEX(xyNCEx,MATCH(I858,yNCExArea,0),2),ySpace_by_Space_Type,0),2)),VLOOKUP(E858,xyWattage_Table,11,FALSE)),"")</f>
        <v/>
      </c>
      <c r="K858" s="538" t="str">
        <f>IFERROR(IF(AND(NC_Type="Building Area Method",Inventory!C855="N"),IF(ISERROR(INDEX('Usage Groups (&gt;120 MWh only)'!$N$8:$N$12,MATCH(C858,'Usage Groups (&gt;120 MWh only)'!$B$8:$B$12,0),1))=TRUE,SqFt/COUNTIFS(Inventory!$C$10:$C$1009,"N",$Q$13:$Q$1012,"&gt;=0"),INDEX('Usage Groups (&gt;120 MWh only)'!$N$8:$N$12,MATCH(C858,'Usage Groups (&gt;120 MWh only)'!$B$8:$B$12,0),1)/COUNTIF($C$13:$C$1012,C858)),IF(AND(NC_Type="Building Area Method",Inventory!C855="Y"),INDEX(xyNCEx,MATCH(I858,yNCExArea,0),3)/COUNTIF($I$13:$I$1012,I858),VLOOKUP(J858,xyWattage_Table,10,FALSE))),"")</f>
        <v/>
      </c>
      <c r="L858" s="539" t="str">
        <f t="shared" si="303"/>
        <v/>
      </c>
      <c r="M858" s="540">
        <f>IF(Inventory!N855="","",Inventory!N855)</f>
        <v>0</v>
      </c>
      <c r="N858" s="533" t="str">
        <f t="shared" si="304"/>
        <v/>
      </c>
      <c r="O858" s="534"/>
      <c r="P858" s="533" t="str">
        <f t="shared" si="305"/>
        <v/>
      </c>
      <c r="Q858" s="534" t="str">
        <f>IF(Inventory!L855="","",Inventory!L855)</f>
        <v/>
      </c>
      <c r="R858" s="535" t="str">
        <f t="shared" si="306"/>
        <v/>
      </c>
      <c r="S858" s="536" t="str">
        <f>IF(Inventory!O855="","",Inventory!O855)</f>
        <v/>
      </c>
      <c r="T858" s="541" t="str">
        <f>IFERROR(IF(C858="","",IF(INDEX(xyWattage_Table,MATCH(M858,'Fixture Identities'!$B$9:$B$997,0),2)="Exit Sign",8760,IF(VLOOKUP(C858,xySpace_Type_Details,8,FALSE)="TRM",INDEX('General Information'!$AF$17:$AG$28,11,MATCH(N858,'General Information'!$AF$16:$AG$16,0)),HLOOKUP(VLOOKUP(C858,xySpace_Type_Details,8,FALSE),'General Information'!$P$15:$AG$28,13,FALSE)))),"")</f>
        <v/>
      </c>
      <c r="U858" s="542" t="str">
        <f>IFERROR(IF(C858="","",IF(INDEX(xyWattage_Table,MATCH(M858,'Fixture Identities'!$B$9:$B$997,0),2)="Exit Sign",1,IF(VLOOKUP(C858,xySpace_Type_Details,8,FALSE)="TRM",INDEX('General Information'!$AF$17:$AG$28,12,MATCH(N858,'General Information'!$AF$16:$AG$16,0)),HLOOKUP(VLOOKUP(C858,xySpace_Type_Details,8,FALSE),'General Information'!$P$15:$AG$28,14,FALSE)))),"")</f>
        <v/>
      </c>
      <c r="V858" s="542" t="str">
        <f>IFERROR(VLOOKUP(INDEX(xySpace_Type_Details,MATCH($C858,'General Information'!$C$40:$C$60,0),12),Lookups!$L$8:$N$12,2,FALSE),"")</f>
        <v/>
      </c>
      <c r="W858" s="542" t="str">
        <f>IFERROR(VLOOKUP(INDEX(xySpace_Type_Details,MATCH($C858,'General Information'!$C$40:$C$60,0),12),Lookups!$L$8:$N$12,3,FALSE),"")</f>
        <v/>
      </c>
      <c r="Y858" s="542" t="str">
        <f>IFERROR(IF(C858="","",IF(INDEX(xyWattage_Table,MATCH(M858,'Fixture Identities'!$B$9:$B$997,0),2)="Exit Sign",0,IF(PRJ_Type="Retrofit",VLOOKUP(I858,xySVG_Factors,2,FALSE),IF(AND(PRJ_Type="New Construction",Inventory!C855="N"),VLOOKUP(VLOOKUP(Building_Type,xyLPD_BuildingArea,5,FALSE),xySVG_Factors_NC,3,FALSE),0)))),"")</f>
        <v/>
      </c>
      <c r="Z858" s="544" t="str">
        <f>IFERROR(IF(C858="","",IF(INDEX(xyWattage_Table,MATCH(M858,'Fixture Identities'!$B$9:$B$997,0),2)="Exit Sign",0,VLOOKUP(S858,xySVG_Factors,2,FALSE))),"")</f>
        <v/>
      </c>
      <c r="AA858" s="545" t="str">
        <f t="shared" si="307"/>
        <v/>
      </c>
      <c r="AB858" s="542" t="str">
        <f t="shared" si="308"/>
        <v/>
      </c>
      <c r="AC858" s="539" t="str">
        <f t="shared" si="309"/>
        <v/>
      </c>
      <c r="AD858" s="546" t="str">
        <f t="shared" si="310"/>
        <v/>
      </c>
      <c r="AE858" s="539" t="str">
        <f t="shared" si="311"/>
        <v/>
      </c>
      <c r="AF858" s="546" t="str">
        <f t="shared" si="312"/>
        <v/>
      </c>
      <c r="AG858" s="539" t="str">
        <f t="shared" si="313"/>
        <v/>
      </c>
      <c r="AH858" s="32">
        <f t="shared" si="315"/>
        <v>0</v>
      </c>
      <c r="AI858" s="32">
        <f t="shared" si="316"/>
        <v>0</v>
      </c>
      <c r="AJ858" s="32">
        <f t="shared" si="317"/>
        <v>0</v>
      </c>
      <c r="AK858" t="str">
        <f t="shared" si="318"/>
        <v/>
      </c>
      <c r="AL858" t="str">
        <f t="shared" si="319"/>
        <v/>
      </c>
      <c r="AM858" t="str">
        <f t="shared" si="320"/>
        <v/>
      </c>
      <c r="AO858" t="str">
        <f>IFERROR(VLOOKUP(M858,'Fixture Identities'!$B$9:$O$1045,14,FALSE),"")</f>
        <v/>
      </c>
      <c r="AP858" t="str">
        <f t="shared" si="314"/>
        <v/>
      </c>
    </row>
    <row r="859" spans="1:42">
      <c r="A859" s="71">
        <f t="shared" si="322"/>
        <v>0</v>
      </c>
      <c r="B859" s="513">
        <f t="shared" si="321"/>
        <v>847</v>
      </c>
      <c r="C859" s="530" t="str">
        <f>IF(Inventory!E856="","",Inventory!E856)</f>
        <v/>
      </c>
      <c r="D859" s="531">
        <f>IF(Inventory!D856="",0,Inventory!D856)</f>
        <v>0</v>
      </c>
      <c r="E859" s="532" t="str">
        <f>IF(Inventory!I856=0,"",Inventory!I856)</f>
        <v/>
      </c>
      <c r="F859" s="533" t="str">
        <f t="shared" si="301"/>
        <v/>
      </c>
      <c r="G859" s="534" t="str">
        <f>IF(Inventory!G856="","",Inventory!G856)</f>
        <v/>
      </c>
      <c r="H859" s="535" t="str">
        <f t="shared" si="302"/>
        <v/>
      </c>
      <c r="I859" s="536" t="str">
        <f>IF(Inventory!J856="","",Inventory!J856)</f>
        <v/>
      </c>
      <c r="J859" s="537" t="str">
        <f>IFERROR(IF(PRJ_Type="New Construction",IF(Inventory!C856="N",INDEX(xyLPD_BuildingArea,MATCH(Building_Type,Lookups!$F$37:$F$75,0),4),INDEX(xyLPD_SpaceBySpace,MATCH(INDEX(xyNCEx,MATCH(I859,yNCExArea,0),2),ySpace_by_Space_Type,0),2)),VLOOKUP(E859,xyWattage_Table,11,FALSE)),"")</f>
        <v/>
      </c>
      <c r="K859" s="538" t="str">
        <f>IFERROR(IF(AND(NC_Type="Building Area Method",Inventory!C856="N"),IF(ISERROR(INDEX('Usage Groups (&gt;120 MWh only)'!$N$8:$N$12,MATCH(C859,'Usage Groups (&gt;120 MWh only)'!$B$8:$B$12,0),1))=TRUE,SqFt/COUNTIFS(Inventory!$C$10:$C$1009,"N",$Q$13:$Q$1012,"&gt;=0"),INDEX('Usage Groups (&gt;120 MWh only)'!$N$8:$N$12,MATCH(C859,'Usage Groups (&gt;120 MWh only)'!$B$8:$B$12,0),1)/COUNTIF($C$13:$C$1012,C859)),IF(AND(NC_Type="Building Area Method",Inventory!C856="Y"),INDEX(xyNCEx,MATCH(I859,yNCExArea,0),3)/COUNTIF($I$13:$I$1012,I859),VLOOKUP(J859,xyWattage_Table,10,FALSE))),"")</f>
        <v/>
      </c>
      <c r="L859" s="539" t="str">
        <f t="shared" si="303"/>
        <v/>
      </c>
      <c r="M859" s="540">
        <f>IF(Inventory!N856="","",Inventory!N856)</f>
        <v>0</v>
      </c>
      <c r="N859" s="533" t="str">
        <f t="shared" si="304"/>
        <v/>
      </c>
      <c r="O859" s="534"/>
      <c r="P859" s="533" t="str">
        <f t="shared" si="305"/>
        <v/>
      </c>
      <c r="Q859" s="534" t="str">
        <f>IF(Inventory!L856="","",Inventory!L856)</f>
        <v/>
      </c>
      <c r="R859" s="535" t="str">
        <f t="shared" si="306"/>
        <v/>
      </c>
      <c r="S859" s="536" t="str">
        <f>IF(Inventory!O856="","",Inventory!O856)</f>
        <v/>
      </c>
      <c r="T859" s="541" t="str">
        <f>IFERROR(IF(C859="","",IF(INDEX(xyWattage_Table,MATCH(M859,'Fixture Identities'!$B$9:$B$997,0),2)="Exit Sign",8760,IF(VLOOKUP(C859,xySpace_Type_Details,8,FALSE)="TRM",INDEX('General Information'!$AF$17:$AG$28,11,MATCH(N859,'General Information'!$AF$16:$AG$16,0)),HLOOKUP(VLOOKUP(C859,xySpace_Type_Details,8,FALSE),'General Information'!$P$15:$AG$28,13,FALSE)))),"")</f>
        <v/>
      </c>
      <c r="U859" s="542" t="str">
        <f>IFERROR(IF(C859="","",IF(INDEX(xyWattage_Table,MATCH(M859,'Fixture Identities'!$B$9:$B$997,0),2)="Exit Sign",1,IF(VLOOKUP(C859,xySpace_Type_Details,8,FALSE)="TRM",INDEX('General Information'!$AF$17:$AG$28,12,MATCH(N859,'General Information'!$AF$16:$AG$16,0)),HLOOKUP(VLOOKUP(C859,xySpace_Type_Details,8,FALSE),'General Information'!$P$15:$AG$28,14,FALSE)))),"")</f>
        <v/>
      </c>
      <c r="V859" s="542" t="str">
        <f>IFERROR(VLOOKUP(INDEX(xySpace_Type_Details,MATCH($C859,'General Information'!$C$40:$C$60,0),12),Lookups!$L$8:$N$12,2,FALSE),"")</f>
        <v/>
      </c>
      <c r="W859" s="542" t="str">
        <f>IFERROR(VLOOKUP(INDEX(xySpace_Type_Details,MATCH($C859,'General Information'!$C$40:$C$60,0),12),Lookups!$L$8:$N$12,3,FALSE),"")</f>
        <v/>
      </c>
      <c r="Y859" s="542" t="str">
        <f>IFERROR(IF(C859="","",IF(INDEX(xyWattage_Table,MATCH(M859,'Fixture Identities'!$B$9:$B$997,0),2)="Exit Sign",0,IF(PRJ_Type="Retrofit",VLOOKUP(I859,xySVG_Factors,2,FALSE),IF(AND(PRJ_Type="New Construction",Inventory!C856="N"),VLOOKUP(VLOOKUP(Building_Type,xyLPD_BuildingArea,5,FALSE),xySVG_Factors_NC,3,FALSE),0)))),"")</f>
        <v/>
      </c>
      <c r="Z859" s="544" t="str">
        <f>IFERROR(IF(C859="","",IF(INDEX(xyWattage_Table,MATCH(M859,'Fixture Identities'!$B$9:$B$997,0),2)="Exit Sign",0,VLOOKUP(S859,xySVG_Factors,2,FALSE))),"")</f>
        <v/>
      </c>
      <c r="AA859" s="545" t="str">
        <f t="shared" si="307"/>
        <v/>
      </c>
      <c r="AB859" s="542" t="str">
        <f t="shared" si="308"/>
        <v/>
      </c>
      <c r="AC859" s="539" t="str">
        <f t="shared" si="309"/>
        <v/>
      </c>
      <c r="AD859" s="546" t="str">
        <f t="shared" si="310"/>
        <v/>
      </c>
      <c r="AE859" s="539" t="str">
        <f t="shared" si="311"/>
        <v/>
      </c>
      <c r="AF859" s="546" t="str">
        <f t="shared" si="312"/>
        <v/>
      </c>
      <c r="AG859" s="539" t="str">
        <f t="shared" si="313"/>
        <v/>
      </c>
      <c r="AH859" s="32">
        <f t="shared" si="315"/>
        <v>0</v>
      </c>
      <c r="AI859" s="32">
        <f t="shared" si="316"/>
        <v>0</v>
      </c>
      <c r="AJ859" s="32">
        <f t="shared" si="317"/>
        <v>0</v>
      </c>
      <c r="AK859" t="str">
        <f t="shared" si="318"/>
        <v/>
      </c>
      <c r="AL859" t="str">
        <f t="shared" si="319"/>
        <v/>
      </c>
      <c r="AM859" t="str">
        <f t="shared" si="320"/>
        <v/>
      </c>
      <c r="AO859" t="str">
        <f>IFERROR(VLOOKUP(M859,'Fixture Identities'!$B$9:$O$1045,14,FALSE),"")</f>
        <v/>
      </c>
      <c r="AP859" t="str">
        <f t="shared" si="314"/>
        <v/>
      </c>
    </row>
    <row r="860" spans="1:42">
      <c r="A860" s="71">
        <f t="shared" si="322"/>
        <v>0</v>
      </c>
      <c r="B860" s="513">
        <f t="shared" si="321"/>
        <v>848</v>
      </c>
      <c r="C860" s="530" t="str">
        <f>IF(Inventory!E857="","",Inventory!E857)</f>
        <v/>
      </c>
      <c r="D860" s="531">
        <f>IF(Inventory!D857="",0,Inventory!D857)</f>
        <v>0</v>
      </c>
      <c r="E860" s="532" t="str">
        <f>IF(Inventory!I857=0,"",Inventory!I857)</f>
        <v/>
      </c>
      <c r="F860" s="533" t="str">
        <f t="shared" si="301"/>
        <v/>
      </c>
      <c r="G860" s="534" t="str">
        <f>IF(Inventory!G857="","",Inventory!G857)</f>
        <v/>
      </c>
      <c r="H860" s="535" t="str">
        <f t="shared" si="302"/>
        <v/>
      </c>
      <c r="I860" s="536" t="str">
        <f>IF(Inventory!J857="","",Inventory!J857)</f>
        <v/>
      </c>
      <c r="J860" s="537" t="str">
        <f>IFERROR(IF(PRJ_Type="New Construction",IF(Inventory!C857="N",INDEX(xyLPD_BuildingArea,MATCH(Building_Type,Lookups!$F$37:$F$75,0),4),INDEX(xyLPD_SpaceBySpace,MATCH(INDEX(xyNCEx,MATCH(I860,yNCExArea,0),2),ySpace_by_Space_Type,0),2)),VLOOKUP(E860,xyWattage_Table,11,FALSE)),"")</f>
        <v/>
      </c>
      <c r="K860" s="538" t="str">
        <f>IFERROR(IF(AND(NC_Type="Building Area Method",Inventory!C857="N"),IF(ISERROR(INDEX('Usage Groups (&gt;120 MWh only)'!$N$8:$N$12,MATCH(C860,'Usage Groups (&gt;120 MWh only)'!$B$8:$B$12,0),1))=TRUE,SqFt/COUNTIFS(Inventory!$C$10:$C$1009,"N",$Q$13:$Q$1012,"&gt;=0"),INDEX('Usage Groups (&gt;120 MWh only)'!$N$8:$N$12,MATCH(C860,'Usage Groups (&gt;120 MWh only)'!$B$8:$B$12,0),1)/COUNTIF($C$13:$C$1012,C860)),IF(AND(NC_Type="Building Area Method",Inventory!C857="Y"),INDEX(xyNCEx,MATCH(I860,yNCExArea,0),3)/COUNTIF($I$13:$I$1012,I860),VLOOKUP(J860,xyWattage_Table,10,FALSE))),"")</f>
        <v/>
      </c>
      <c r="L860" s="539" t="str">
        <f t="shared" si="303"/>
        <v/>
      </c>
      <c r="M860" s="540">
        <f>IF(Inventory!N857="","",Inventory!N857)</f>
        <v>0</v>
      </c>
      <c r="N860" s="533" t="str">
        <f t="shared" si="304"/>
        <v/>
      </c>
      <c r="O860" s="534"/>
      <c r="P860" s="533" t="str">
        <f t="shared" si="305"/>
        <v/>
      </c>
      <c r="Q860" s="534" t="str">
        <f>IF(Inventory!L857="","",Inventory!L857)</f>
        <v/>
      </c>
      <c r="R860" s="535" t="str">
        <f t="shared" si="306"/>
        <v/>
      </c>
      <c r="S860" s="536" t="str">
        <f>IF(Inventory!O857="","",Inventory!O857)</f>
        <v/>
      </c>
      <c r="T860" s="541" t="str">
        <f>IFERROR(IF(C860="","",IF(INDEX(xyWattage_Table,MATCH(M860,'Fixture Identities'!$B$9:$B$997,0),2)="Exit Sign",8760,IF(VLOOKUP(C860,xySpace_Type_Details,8,FALSE)="TRM",INDEX('General Information'!$AF$17:$AG$28,11,MATCH(N860,'General Information'!$AF$16:$AG$16,0)),HLOOKUP(VLOOKUP(C860,xySpace_Type_Details,8,FALSE),'General Information'!$P$15:$AG$28,13,FALSE)))),"")</f>
        <v/>
      </c>
      <c r="U860" s="542" t="str">
        <f>IFERROR(IF(C860="","",IF(INDEX(xyWattage_Table,MATCH(M860,'Fixture Identities'!$B$9:$B$997,0),2)="Exit Sign",1,IF(VLOOKUP(C860,xySpace_Type_Details,8,FALSE)="TRM",INDEX('General Information'!$AF$17:$AG$28,12,MATCH(N860,'General Information'!$AF$16:$AG$16,0)),HLOOKUP(VLOOKUP(C860,xySpace_Type_Details,8,FALSE),'General Information'!$P$15:$AG$28,14,FALSE)))),"")</f>
        <v/>
      </c>
      <c r="V860" s="542" t="str">
        <f>IFERROR(VLOOKUP(INDEX(xySpace_Type_Details,MATCH($C860,'General Information'!$C$40:$C$60,0),12),Lookups!$L$8:$N$12,2,FALSE),"")</f>
        <v/>
      </c>
      <c r="W860" s="542" t="str">
        <f>IFERROR(VLOOKUP(INDEX(xySpace_Type_Details,MATCH($C860,'General Information'!$C$40:$C$60,0),12),Lookups!$L$8:$N$12,3,FALSE),"")</f>
        <v/>
      </c>
      <c r="Y860" s="542" t="str">
        <f>IFERROR(IF(C860="","",IF(INDEX(xyWattage_Table,MATCH(M860,'Fixture Identities'!$B$9:$B$997,0),2)="Exit Sign",0,IF(PRJ_Type="Retrofit",VLOOKUP(I860,xySVG_Factors,2,FALSE),IF(AND(PRJ_Type="New Construction",Inventory!C857="N"),VLOOKUP(VLOOKUP(Building_Type,xyLPD_BuildingArea,5,FALSE),xySVG_Factors_NC,3,FALSE),0)))),"")</f>
        <v/>
      </c>
      <c r="Z860" s="544" t="str">
        <f>IFERROR(IF(C860="","",IF(INDEX(xyWattage_Table,MATCH(M860,'Fixture Identities'!$B$9:$B$997,0),2)="Exit Sign",0,VLOOKUP(S860,xySVG_Factors,2,FALSE))),"")</f>
        <v/>
      </c>
      <c r="AA860" s="545" t="str">
        <f t="shared" si="307"/>
        <v/>
      </c>
      <c r="AB860" s="542" t="str">
        <f t="shared" si="308"/>
        <v/>
      </c>
      <c r="AC860" s="539" t="str">
        <f t="shared" si="309"/>
        <v/>
      </c>
      <c r="AD860" s="546" t="str">
        <f t="shared" si="310"/>
        <v/>
      </c>
      <c r="AE860" s="539" t="str">
        <f t="shared" si="311"/>
        <v/>
      </c>
      <c r="AF860" s="546" t="str">
        <f t="shared" si="312"/>
        <v/>
      </c>
      <c r="AG860" s="539" t="str">
        <f t="shared" si="313"/>
        <v/>
      </c>
      <c r="AH860" s="32">
        <f t="shared" si="315"/>
        <v>0</v>
      </c>
      <c r="AI860" s="32">
        <f t="shared" si="316"/>
        <v>0</v>
      </c>
      <c r="AJ860" s="32">
        <f t="shared" si="317"/>
        <v>0</v>
      </c>
      <c r="AK860" t="str">
        <f t="shared" si="318"/>
        <v/>
      </c>
      <c r="AL860" t="str">
        <f t="shared" si="319"/>
        <v/>
      </c>
      <c r="AM860" t="str">
        <f t="shared" si="320"/>
        <v/>
      </c>
      <c r="AO860" t="str">
        <f>IFERROR(VLOOKUP(M860,'Fixture Identities'!$B$9:$O$1045,14,FALSE),"")</f>
        <v/>
      </c>
      <c r="AP860" t="str">
        <f t="shared" si="314"/>
        <v/>
      </c>
    </row>
    <row r="861" spans="1:42">
      <c r="A861" s="71">
        <f t="shared" si="322"/>
        <v>0</v>
      </c>
      <c r="B861" s="513">
        <f t="shared" si="321"/>
        <v>849</v>
      </c>
      <c r="C861" s="530" t="str">
        <f>IF(Inventory!E858="","",Inventory!E858)</f>
        <v/>
      </c>
      <c r="D861" s="531">
        <f>IF(Inventory!D858="",0,Inventory!D858)</f>
        <v>0</v>
      </c>
      <c r="E861" s="532" t="str">
        <f>IF(Inventory!I858=0,"",Inventory!I858)</f>
        <v/>
      </c>
      <c r="F861" s="533" t="str">
        <f t="shared" si="301"/>
        <v/>
      </c>
      <c r="G861" s="534" t="str">
        <f>IF(Inventory!G858="","",Inventory!G858)</f>
        <v/>
      </c>
      <c r="H861" s="535" t="str">
        <f t="shared" si="302"/>
        <v/>
      </c>
      <c r="I861" s="536" t="str">
        <f>IF(Inventory!J858="","",Inventory!J858)</f>
        <v/>
      </c>
      <c r="J861" s="537" t="str">
        <f>IFERROR(IF(PRJ_Type="New Construction",IF(Inventory!C858="N",INDEX(xyLPD_BuildingArea,MATCH(Building_Type,Lookups!$F$37:$F$75,0),4),INDEX(xyLPD_SpaceBySpace,MATCH(INDEX(xyNCEx,MATCH(I861,yNCExArea,0),2),ySpace_by_Space_Type,0),2)),VLOOKUP(E861,xyWattage_Table,11,FALSE)),"")</f>
        <v/>
      </c>
      <c r="K861" s="538" t="str">
        <f>IFERROR(IF(AND(NC_Type="Building Area Method",Inventory!C858="N"),IF(ISERROR(INDEX('Usage Groups (&gt;120 MWh only)'!$N$8:$N$12,MATCH(C861,'Usage Groups (&gt;120 MWh only)'!$B$8:$B$12,0),1))=TRUE,SqFt/COUNTIFS(Inventory!$C$10:$C$1009,"N",$Q$13:$Q$1012,"&gt;=0"),INDEX('Usage Groups (&gt;120 MWh only)'!$N$8:$N$12,MATCH(C861,'Usage Groups (&gt;120 MWh only)'!$B$8:$B$12,0),1)/COUNTIF($C$13:$C$1012,C861)),IF(AND(NC_Type="Building Area Method",Inventory!C858="Y"),INDEX(xyNCEx,MATCH(I861,yNCExArea,0),3)/COUNTIF($I$13:$I$1012,I861),VLOOKUP(J861,xyWattage_Table,10,FALSE))),"")</f>
        <v/>
      </c>
      <c r="L861" s="539" t="str">
        <f t="shared" si="303"/>
        <v/>
      </c>
      <c r="M861" s="540">
        <f>IF(Inventory!N858="","",Inventory!N858)</f>
        <v>0</v>
      </c>
      <c r="N861" s="533" t="str">
        <f t="shared" si="304"/>
        <v/>
      </c>
      <c r="O861" s="534"/>
      <c r="P861" s="533" t="str">
        <f t="shared" si="305"/>
        <v/>
      </c>
      <c r="Q861" s="534" t="str">
        <f>IF(Inventory!L858="","",Inventory!L858)</f>
        <v/>
      </c>
      <c r="R861" s="535" t="str">
        <f t="shared" si="306"/>
        <v/>
      </c>
      <c r="S861" s="536" t="str">
        <f>IF(Inventory!O858="","",Inventory!O858)</f>
        <v/>
      </c>
      <c r="T861" s="541" t="str">
        <f>IFERROR(IF(C861="","",IF(INDEX(xyWattage_Table,MATCH(M861,'Fixture Identities'!$B$9:$B$997,0),2)="Exit Sign",8760,IF(VLOOKUP(C861,xySpace_Type_Details,8,FALSE)="TRM",INDEX('General Information'!$AF$17:$AG$28,11,MATCH(N861,'General Information'!$AF$16:$AG$16,0)),HLOOKUP(VLOOKUP(C861,xySpace_Type_Details,8,FALSE),'General Information'!$P$15:$AG$28,13,FALSE)))),"")</f>
        <v/>
      </c>
      <c r="U861" s="542" t="str">
        <f>IFERROR(IF(C861="","",IF(INDEX(xyWattage_Table,MATCH(M861,'Fixture Identities'!$B$9:$B$997,0),2)="Exit Sign",1,IF(VLOOKUP(C861,xySpace_Type_Details,8,FALSE)="TRM",INDEX('General Information'!$AF$17:$AG$28,12,MATCH(N861,'General Information'!$AF$16:$AG$16,0)),HLOOKUP(VLOOKUP(C861,xySpace_Type_Details,8,FALSE),'General Information'!$P$15:$AG$28,14,FALSE)))),"")</f>
        <v/>
      </c>
      <c r="V861" s="542" t="str">
        <f>IFERROR(VLOOKUP(INDEX(xySpace_Type_Details,MATCH($C861,'General Information'!$C$40:$C$60,0),12),Lookups!$L$8:$N$12,2,FALSE),"")</f>
        <v/>
      </c>
      <c r="W861" s="542" t="str">
        <f>IFERROR(VLOOKUP(INDEX(xySpace_Type_Details,MATCH($C861,'General Information'!$C$40:$C$60,0),12),Lookups!$L$8:$N$12,3,FALSE),"")</f>
        <v/>
      </c>
      <c r="Y861" s="542" t="str">
        <f>IFERROR(IF(C861="","",IF(INDEX(xyWattage_Table,MATCH(M861,'Fixture Identities'!$B$9:$B$997,0),2)="Exit Sign",0,IF(PRJ_Type="Retrofit",VLOOKUP(I861,xySVG_Factors,2,FALSE),IF(AND(PRJ_Type="New Construction",Inventory!C858="N"),VLOOKUP(VLOOKUP(Building_Type,xyLPD_BuildingArea,5,FALSE),xySVG_Factors_NC,3,FALSE),0)))),"")</f>
        <v/>
      </c>
      <c r="Z861" s="544" t="str">
        <f>IFERROR(IF(C861="","",IF(INDEX(xyWattage_Table,MATCH(M861,'Fixture Identities'!$B$9:$B$997,0),2)="Exit Sign",0,VLOOKUP(S861,xySVG_Factors,2,FALSE))),"")</f>
        <v/>
      </c>
      <c r="AA861" s="545" t="str">
        <f t="shared" si="307"/>
        <v/>
      </c>
      <c r="AB861" s="542" t="str">
        <f t="shared" si="308"/>
        <v/>
      </c>
      <c r="AC861" s="539" t="str">
        <f t="shared" si="309"/>
        <v/>
      </c>
      <c r="AD861" s="546" t="str">
        <f t="shared" si="310"/>
        <v/>
      </c>
      <c r="AE861" s="539" t="str">
        <f t="shared" si="311"/>
        <v/>
      </c>
      <c r="AF861" s="546" t="str">
        <f t="shared" si="312"/>
        <v/>
      </c>
      <c r="AG861" s="539" t="str">
        <f t="shared" si="313"/>
        <v/>
      </c>
      <c r="AH861" s="32">
        <f t="shared" si="315"/>
        <v>0</v>
      </c>
      <c r="AI861" s="32">
        <f t="shared" si="316"/>
        <v>0</v>
      </c>
      <c r="AJ861" s="32">
        <f t="shared" si="317"/>
        <v>0</v>
      </c>
      <c r="AK861" t="str">
        <f t="shared" si="318"/>
        <v/>
      </c>
      <c r="AL861" t="str">
        <f t="shared" si="319"/>
        <v/>
      </c>
      <c r="AM861" t="str">
        <f t="shared" si="320"/>
        <v/>
      </c>
      <c r="AO861" t="str">
        <f>IFERROR(VLOOKUP(M861,'Fixture Identities'!$B$9:$O$1045,14,FALSE),"")</f>
        <v/>
      </c>
      <c r="AP861" t="str">
        <f t="shared" si="314"/>
        <v/>
      </c>
    </row>
    <row r="862" spans="1:42">
      <c r="A862" s="71">
        <f t="shared" si="322"/>
        <v>0</v>
      </c>
      <c r="B862" s="513">
        <f t="shared" si="321"/>
        <v>850</v>
      </c>
      <c r="C862" s="530" t="str">
        <f>IF(Inventory!E859="","",Inventory!E859)</f>
        <v/>
      </c>
      <c r="D862" s="531">
        <f>IF(Inventory!D859="",0,Inventory!D859)</f>
        <v>0</v>
      </c>
      <c r="E862" s="532" t="str">
        <f>IF(Inventory!I859=0,"",Inventory!I859)</f>
        <v/>
      </c>
      <c r="F862" s="533" t="str">
        <f t="shared" si="301"/>
        <v/>
      </c>
      <c r="G862" s="534" t="str">
        <f>IF(Inventory!G859="","",Inventory!G859)</f>
        <v/>
      </c>
      <c r="H862" s="535" t="str">
        <f t="shared" si="302"/>
        <v/>
      </c>
      <c r="I862" s="536" t="str">
        <f>IF(Inventory!J859="","",Inventory!J859)</f>
        <v/>
      </c>
      <c r="J862" s="537" t="str">
        <f>IFERROR(IF(PRJ_Type="New Construction",IF(Inventory!C859="N",INDEX(xyLPD_BuildingArea,MATCH(Building_Type,Lookups!$F$37:$F$75,0),4),INDEX(xyLPD_SpaceBySpace,MATCH(INDEX(xyNCEx,MATCH(I862,yNCExArea,0),2),ySpace_by_Space_Type,0),2)),VLOOKUP(E862,xyWattage_Table,11,FALSE)),"")</f>
        <v/>
      </c>
      <c r="K862" s="538" t="str">
        <f>IFERROR(IF(AND(NC_Type="Building Area Method",Inventory!C859="N"),IF(ISERROR(INDEX('Usage Groups (&gt;120 MWh only)'!$N$8:$N$12,MATCH(C862,'Usage Groups (&gt;120 MWh only)'!$B$8:$B$12,0),1))=TRUE,SqFt/COUNTIFS(Inventory!$C$10:$C$1009,"N",$Q$13:$Q$1012,"&gt;=0"),INDEX('Usage Groups (&gt;120 MWh only)'!$N$8:$N$12,MATCH(C862,'Usage Groups (&gt;120 MWh only)'!$B$8:$B$12,0),1)/COUNTIF($C$13:$C$1012,C862)),IF(AND(NC_Type="Building Area Method",Inventory!C859="Y"),INDEX(xyNCEx,MATCH(I862,yNCExArea,0),3)/COUNTIF($I$13:$I$1012,I862),VLOOKUP(J862,xyWattage_Table,10,FALSE))),"")</f>
        <v/>
      </c>
      <c r="L862" s="539" t="str">
        <f t="shared" si="303"/>
        <v/>
      </c>
      <c r="M862" s="540">
        <f>IF(Inventory!N859="","",Inventory!N859)</f>
        <v>0</v>
      </c>
      <c r="N862" s="533" t="str">
        <f t="shared" si="304"/>
        <v/>
      </c>
      <c r="O862" s="534"/>
      <c r="P862" s="533" t="str">
        <f t="shared" si="305"/>
        <v/>
      </c>
      <c r="Q862" s="534" t="str">
        <f>IF(Inventory!L859="","",Inventory!L859)</f>
        <v/>
      </c>
      <c r="R862" s="535" t="str">
        <f t="shared" si="306"/>
        <v/>
      </c>
      <c r="S862" s="536" t="str">
        <f>IF(Inventory!O859="","",Inventory!O859)</f>
        <v/>
      </c>
      <c r="T862" s="541" t="str">
        <f>IFERROR(IF(C862="","",IF(INDEX(xyWattage_Table,MATCH(M862,'Fixture Identities'!$B$9:$B$997,0),2)="Exit Sign",8760,IF(VLOOKUP(C862,xySpace_Type_Details,8,FALSE)="TRM",INDEX('General Information'!$AF$17:$AG$28,11,MATCH(N862,'General Information'!$AF$16:$AG$16,0)),HLOOKUP(VLOOKUP(C862,xySpace_Type_Details,8,FALSE),'General Information'!$P$15:$AG$28,13,FALSE)))),"")</f>
        <v/>
      </c>
      <c r="U862" s="542" t="str">
        <f>IFERROR(IF(C862="","",IF(INDEX(xyWattage_Table,MATCH(M862,'Fixture Identities'!$B$9:$B$997,0),2)="Exit Sign",1,IF(VLOOKUP(C862,xySpace_Type_Details,8,FALSE)="TRM",INDEX('General Information'!$AF$17:$AG$28,12,MATCH(N862,'General Information'!$AF$16:$AG$16,0)),HLOOKUP(VLOOKUP(C862,xySpace_Type_Details,8,FALSE),'General Information'!$P$15:$AG$28,14,FALSE)))),"")</f>
        <v/>
      </c>
      <c r="V862" s="542" t="str">
        <f>IFERROR(VLOOKUP(INDEX(xySpace_Type_Details,MATCH($C862,'General Information'!$C$40:$C$60,0),12),Lookups!$L$8:$N$12,2,FALSE),"")</f>
        <v/>
      </c>
      <c r="W862" s="542" t="str">
        <f>IFERROR(VLOOKUP(INDEX(xySpace_Type_Details,MATCH($C862,'General Information'!$C$40:$C$60,0),12),Lookups!$L$8:$N$12,3,FALSE),"")</f>
        <v/>
      </c>
      <c r="Y862" s="542" t="str">
        <f>IFERROR(IF(C862="","",IF(INDEX(xyWattage_Table,MATCH(M862,'Fixture Identities'!$B$9:$B$997,0),2)="Exit Sign",0,IF(PRJ_Type="Retrofit",VLOOKUP(I862,xySVG_Factors,2,FALSE),IF(AND(PRJ_Type="New Construction",Inventory!C859="N"),VLOOKUP(VLOOKUP(Building_Type,xyLPD_BuildingArea,5,FALSE),xySVG_Factors_NC,3,FALSE),0)))),"")</f>
        <v/>
      </c>
      <c r="Z862" s="544" t="str">
        <f>IFERROR(IF(C862="","",IF(INDEX(xyWattage_Table,MATCH(M862,'Fixture Identities'!$B$9:$B$997,0),2)="Exit Sign",0,VLOOKUP(S862,xySVG_Factors,2,FALSE))),"")</f>
        <v/>
      </c>
      <c r="AA862" s="545" t="str">
        <f t="shared" si="307"/>
        <v/>
      </c>
      <c r="AB862" s="542" t="str">
        <f t="shared" si="308"/>
        <v/>
      </c>
      <c r="AC862" s="539" t="str">
        <f t="shared" si="309"/>
        <v/>
      </c>
      <c r="AD862" s="546" t="str">
        <f t="shared" si="310"/>
        <v/>
      </c>
      <c r="AE862" s="539" t="str">
        <f t="shared" si="311"/>
        <v/>
      </c>
      <c r="AF862" s="546" t="str">
        <f t="shared" si="312"/>
        <v/>
      </c>
      <c r="AG862" s="539" t="str">
        <f t="shared" si="313"/>
        <v/>
      </c>
      <c r="AH862" s="32">
        <f t="shared" si="315"/>
        <v>0</v>
      </c>
      <c r="AI862" s="32">
        <f t="shared" si="316"/>
        <v>0</v>
      </c>
      <c r="AJ862" s="32">
        <f t="shared" si="317"/>
        <v>0</v>
      </c>
      <c r="AK862" t="str">
        <f t="shared" si="318"/>
        <v/>
      </c>
      <c r="AL862" t="str">
        <f t="shared" si="319"/>
        <v/>
      </c>
      <c r="AM862" t="str">
        <f t="shared" si="320"/>
        <v/>
      </c>
      <c r="AO862" t="str">
        <f>IFERROR(VLOOKUP(M862,'Fixture Identities'!$B$9:$O$1045,14,FALSE),"")</f>
        <v/>
      </c>
      <c r="AP862" t="str">
        <f t="shared" si="314"/>
        <v/>
      </c>
    </row>
    <row r="863" spans="1:42">
      <c r="A863" s="71">
        <f t="shared" si="322"/>
        <v>0</v>
      </c>
      <c r="B863" s="513">
        <f t="shared" si="321"/>
        <v>851</v>
      </c>
      <c r="C863" s="530" t="str">
        <f>IF(Inventory!E860="","",Inventory!E860)</f>
        <v/>
      </c>
      <c r="D863" s="531">
        <f>IF(Inventory!D860="",0,Inventory!D860)</f>
        <v>0</v>
      </c>
      <c r="E863" s="532" t="str">
        <f>IF(Inventory!I860=0,"",Inventory!I860)</f>
        <v/>
      </c>
      <c r="F863" s="533" t="str">
        <f t="shared" si="301"/>
        <v/>
      </c>
      <c r="G863" s="534" t="str">
        <f>IF(Inventory!G860="","",Inventory!G860)</f>
        <v/>
      </c>
      <c r="H863" s="535" t="str">
        <f t="shared" si="302"/>
        <v/>
      </c>
      <c r="I863" s="536" t="str">
        <f>IF(Inventory!J860="","",Inventory!J860)</f>
        <v/>
      </c>
      <c r="J863" s="537" t="str">
        <f>IFERROR(IF(PRJ_Type="New Construction",IF(Inventory!C860="N",INDEX(xyLPD_BuildingArea,MATCH(Building_Type,Lookups!$F$37:$F$75,0),4),INDEX(xyLPD_SpaceBySpace,MATCH(INDEX(xyNCEx,MATCH(I863,yNCExArea,0),2),ySpace_by_Space_Type,0),2)),VLOOKUP(E863,xyWattage_Table,11,FALSE)),"")</f>
        <v/>
      </c>
      <c r="K863" s="538" t="str">
        <f>IFERROR(IF(AND(NC_Type="Building Area Method",Inventory!C860="N"),IF(ISERROR(INDEX('Usage Groups (&gt;120 MWh only)'!$N$8:$N$12,MATCH(C863,'Usage Groups (&gt;120 MWh only)'!$B$8:$B$12,0),1))=TRUE,SqFt/COUNTIFS(Inventory!$C$10:$C$1009,"N",$Q$13:$Q$1012,"&gt;=0"),INDEX('Usage Groups (&gt;120 MWh only)'!$N$8:$N$12,MATCH(C863,'Usage Groups (&gt;120 MWh only)'!$B$8:$B$12,0),1)/COUNTIF($C$13:$C$1012,C863)),IF(AND(NC_Type="Building Area Method",Inventory!C860="Y"),INDEX(xyNCEx,MATCH(I863,yNCExArea,0),3)/COUNTIF($I$13:$I$1012,I863),VLOOKUP(J863,xyWattage_Table,10,FALSE))),"")</f>
        <v/>
      </c>
      <c r="L863" s="539" t="str">
        <f t="shared" si="303"/>
        <v/>
      </c>
      <c r="M863" s="540">
        <f>IF(Inventory!N860="","",Inventory!N860)</f>
        <v>0</v>
      </c>
      <c r="N863" s="533" t="str">
        <f t="shared" si="304"/>
        <v/>
      </c>
      <c r="O863" s="534"/>
      <c r="P863" s="533" t="str">
        <f t="shared" si="305"/>
        <v/>
      </c>
      <c r="Q863" s="534" t="str">
        <f>IF(Inventory!L860="","",Inventory!L860)</f>
        <v/>
      </c>
      <c r="R863" s="535" t="str">
        <f t="shared" si="306"/>
        <v/>
      </c>
      <c r="S863" s="536" t="str">
        <f>IF(Inventory!O860="","",Inventory!O860)</f>
        <v/>
      </c>
      <c r="T863" s="541" t="str">
        <f>IFERROR(IF(C863="","",IF(INDEX(xyWattage_Table,MATCH(M863,'Fixture Identities'!$B$9:$B$997,0),2)="Exit Sign",8760,IF(VLOOKUP(C863,xySpace_Type_Details,8,FALSE)="TRM",INDEX('General Information'!$AF$17:$AG$28,11,MATCH(N863,'General Information'!$AF$16:$AG$16,0)),HLOOKUP(VLOOKUP(C863,xySpace_Type_Details,8,FALSE),'General Information'!$P$15:$AG$28,13,FALSE)))),"")</f>
        <v/>
      </c>
      <c r="U863" s="542" t="str">
        <f>IFERROR(IF(C863="","",IF(INDEX(xyWattage_Table,MATCH(M863,'Fixture Identities'!$B$9:$B$997,0),2)="Exit Sign",1,IF(VLOOKUP(C863,xySpace_Type_Details,8,FALSE)="TRM",INDEX('General Information'!$AF$17:$AG$28,12,MATCH(N863,'General Information'!$AF$16:$AG$16,0)),HLOOKUP(VLOOKUP(C863,xySpace_Type_Details,8,FALSE),'General Information'!$P$15:$AG$28,14,FALSE)))),"")</f>
        <v/>
      </c>
      <c r="V863" s="542" t="str">
        <f>IFERROR(VLOOKUP(INDEX(xySpace_Type_Details,MATCH($C863,'General Information'!$C$40:$C$60,0),12),Lookups!$L$8:$N$12,2,FALSE),"")</f>
        <v/>
      </c>
      <c r="W863" s="542" t="str">
        <f>IFERROR(VLOOKUP(INDEX(xySpace_Type_Details,MATCH($C863,'General Information'!$C$40:$C$60,0),12),Lookups!$L$8:$N$12,3,FALSE),"")</f>
        <v/>
      </c>
      <c r="Y863" s="542" t="str">
        <f>IFERROR(IF(C863="","",IF(INDEX(xyWattage_Table,MATCH(M863,'Fixture Identities'!$B$9:$B$997,0),2)="Exit Sign",0,IF(PRJ_Type="Retrofit",VLOOKUP(I863,xySVG_Factors,2,FALSE),IF(AND(PRJ_Type="New Construction",Inventory!C860="N"),VLOOKUP(VLOOKUP(Building_Type,xyLPD_BuildingArea,5,FALSE),xySVG_Factors_NC,3,FALSE),0)))),"")</f>
        <v/>
      </c>
      <c r="Z863" s="544" t="str">
        <f>IFERROR(IF(C863="","",IF(INDEX(xyWattage_Table,MATCH(M863,'Fixture Identities'!$B$9:$B$997,0),2)="Exit Sign",0,VLOOKUP(S863,xySVG_Factors,2,FALSE))),"")</f>
        <v/>
      </c>
      <c r="AA863" s="545" t="str">
        <f t="shared" si="307"/>
        <v/>
      </c>
      <c r="AB863" s="542" t="str">
        <f t="shared" si="308"/>
        <v/>
      </c>
      <c r="AC863" s="539" t="str">
        <f t="shared" si="309"/>
        <v/>
      </c>
      <c r="AD863" s="546" t="str">
        <f t="shared" si="310"/>
        <v/>
      </c>
      <c r="AE863" s="539" t="str">
        <f t="shared" si="311"/>
        <v/>
      </c>
      <c r="AF863" s="546" t="str">
        <f t="shared" si="312"/>
        <v/>
      </c>
      <c r="AG863" s="539" t="str">
        <f t="shared" si="313"/>
        <v/>
      </c>
      <c r="AH863" s="32">
        <f t="shared" si="315"/>
        <v>0</v>
      </c>
      <c r="AI863" s="32">
        <f t="shared" si="316"/>
        <v>0</v>
      </c>
      <c r="AJ863" s="32">
        <f t="shared" si="317"/>
        <v>0</v>
      </c>
      <c r="AK863" t="str">
        <f t="shared" si="318"/>
        <v/>
      </c>
      <c r="AL863" t="str">
        <f t="shared" si="319"/>
        <v/>
      </c>
      <c r="AM863" t="str">
        <f t="shared" si="320"/>
        <v/>
      </c>
      <c r="AO863" t="str">
        <f>IFERROR(VLOOKUP(M863,'Fixture Identities'!$B$9:$O$1045,14,FALSE),"")</f>
        <v/>
      </c>
      <c r="AP863" t="str">
        <f t="shared" si="314"/>
        <v/>
      </c>
    </row>
    <row r="864" spans="1:42">
      <c r="A864" s="71">
        <f t="shared" si="322"/>
        <v>0</v>
      </c>
      <c r="B864" s="513">
        <f t="shared" si="321"/>
        <v>852</v>
      </c>
      <c r="C864" s="530" t="str">
        <f>IF(Inventory!E861="","",Inventory!E861)</f>
        <v/>
      </c>
      <c r="D864" s="531">
        <f>IF(Inventory!D861="",0,Inventory!D861)</f>
        <v>0</v>
      </c>
      <c r="E864" s="532" t="str">
        <f>IF(Inventory!I861=0,"",Inventory!I861)</f>
        <v/>
      </c>
      <c r="F864" s="533" t="str">
        <f t="shared" si="301"/>
        <v/>
      </c>
      <c r="G864" s="534" t="str">
        <f>IF(Inventory!G861="","",Inventory!G861)</f>
        <v/>
      </c>
      <c r="H864" s="535" t="str">
        <f t="shared" si="302"/>
        <v/>
      </c>
      <c r="I864" s="536" t="str">
        <f>IF(Inventory!J861="","",Inventory!J861)</f>
        <v/>
      </c>
      <c r="J864" s="537" t="str">
        <f>IFERROR(IF(PRJ_Type="New Construction",IF(Inventory!C861="N",INDEX(xyLPD_BuildingArea,MATCH(Building_Type,Lookups!$F$37:$F$75,0),4),INDEX(xyLPD_SpaceBySpace,MATCH(INDEX(xyNCEx,MATCH(I864,yNCExArea,0),2),ySpace_by_Space_Type,0),2)),VLOOKUP(E864,xyWattage_Table,11,FALSE)),"")</f>
        <v/>
      </c>
      <c r="K864" s="538" t="str">
        <f>IFERROR(IF(AND(NC_Type="Building Area Method",Inventory!C861="N"),IF(ISERROR(INDEX('Usage Groups (&gt;120 MWh only)'!$N$8:$N$12,MATCH(C864,'Usage Groups (&gt;120 MWh only)'!$B$8:$B$12,0),1))=TRUE,SqFt/COUNTIFS(Inventory!$C$10:$C$1009,"N",$Q$13:$Q$1012,"&gt;=0"),INDEX('Usage Groups (&gt;120 MWh only)'!$N$8:$N$12,MATCH(C864,'Usage Groups (&gt;120 MWh only)'!$B$8:$B$12,0),1)/COUNTIF($C$13:$C$1012,C864)),IF(AND(NC_Type="Building Area Method",Inventory!C861="Y"),INDEX(xyNCEx,MATCH(I864,yNCExArea,0),3)/COUNTIF($I$13:$I$1012,I864),VLOOKUP(J864,xyWattage_Table,10,FALSE))),"")</f>
        <v/>
      </c>
      <c r="L864" s="539" t="str">
        <f t="shared" si="303"/>
        <v/>
      </c>
      <c r="M864" s="540">
        <f>IF(Inventory!N861="","",Inventory!N861)</f>
        <v>0</v>
      </c>
      <c r="N864" s="533" t="str">
        <f t="shared" si="304"/>
        <v/>
      </c>
      <c r="O864" s="534"/>
      <c r="P864" s="533" t="str">
        <f t="shared" si="305"/>
        <v/>
      </c>
      <c r="Q864" s="534" t="str">
        <f>IF(Inventory!L861="","",Inventory!L861)</f>
        <v/>
      </c>
      <c r="R864" s="535" t="str">
        <f t="shared" si="306"/>
        <v/>
      </c>
      <c r="S864" s="536" t="str">
        <f>IF(Inventory!O861="","",Inventory!O861)</f>
        <v/>
      </c>
      <c r="T864" s="541" t="str">
        <f>IFERROR(IF(C864="","",IF(INDEX(xyWattage_Table,MATCH(M864,'Fixture Identities'!$B$9:$B$997,0),2)="Exit Sign",8760,IF(VLOOKUP(C864,xySpace_Type_Details,8,FALSE)="TRM",INDEX('General Information'!$AF$17:$AG$28,11,MATCH(N864,'General Information'!$AF$16:$AG$16,0)),HLOOKUP(VLOOKUP(C864,xySpace_Type_Details,8,FALSE),'General Information'!$P$15:$AG$28,13,FALSE)))),"")</f>
        <v/>
      </c>
      <c r="U864" s="542" t="str">
        <f>IFERROR(IF(C864="","",IF(INDEX(xyWattage_Table,MATCH(M864,'Fixture Identities'!$B$9:$B$997,0),2)="Exit Sign",1,IF(VLOOKUP(C864,xySpace_Type_Details,8,FALSE)="TRM",INDEX('General Information'!$AF$17:$AG$28,12,MATCH(N864,'General Information'!$AF$16:$AG$16,0)),HLOOKUP(VLOOKUP(C864,xySpace_Type_Details,8,FALSE),'General Information'!$P$15:$AG$28,14,FALSE)))),"")</f>
        <v/>
      </c>
      <c r="V864" s="542" t="str">
        <f>IFERROR(VLOOKUP(INDEX(xySpace_Type_Details,MATCH($C864,'General Information'!$C$40:$C$60,0),12),Lookups!$L$8:$N$12,2,FALSE),"")</f>
        <v/>
      </c>
      <c r="W864" s="542" t="str">
        <f>IFERROR(VLOOKUP(INDEX(xySpace_Type_Details,MATCH($C864,'General Information'!$C$40:$C$60,0),12),Lookups!$L$8:$N$12,3,FALSE),"")</f>
        <v/>
      </c>
      <c r="Y864" s="542" t="str">
        <f>IFERROR(IF(C864="","",IF(INDEX(xyWattage_Table,MATCH(M864,'Fixture Identities'!$B$9:$B$997,0),2)="Exit Sign",0,IF(PRJ_Type="Retrofit",VLOOKUP(I864,xySVG_Factors,2,FALSE),IF(AND(PRJ_Type="New Construction",Inventory!C861="N"),VLOOKUP(VLOOKUP(Building_Type,xyLPD_BuildingArea,5,FALSE),xySVG_Factors_NC,3,FALSE),0)))),"")</f>
        <v/>
      </c>
      <c r="Z864" s="544" t="str">
        <f>IFERROR(IF(C864="","",IF(INDEX(xyWattage_Table,MATCH(M864,'Fixture Identities'!$B$9:$B$997,0),2)="Exit Sign",0,VLOOKUP(S864,xySVG_Factors,2,FALSE))),"")</f>
        <v/>
      </c>
      <c r="AA864" s="545" t="str">
        <f t="shared" si="307"/>
        <v/>
      </c>
      <c r="AB864" s="542" t="str">
        <f t="shared" si="308"/>
        <v/>
      </c>
      <c r="AC864" s="539" t="str">
        <f t="shared" si="309"/>
        <v/>
      </c>
      <c r="AD864" s="546" t="str">
        <f t="shared" si="310"/>
        <v/>
      </c>
      <c r="AE864" s="539" t="str">
        <f t="shared" si="311"/>
        <v/>
      </c>
      <c r="AF864" s="546" t="str">
        <f t="shared" si="312"/>
        <v/>
      </c>
      <c r="AG864" s="539" t="str">
        <f t="shared" si="313"/>
        <v/>
      </c>
      <c r="AH864" s="32">
        <f t="shared" si="315"/>
        <v>0</v>
      </c>
      <c r="AI864" s="32">
        <f t="shared" si="316"/>
        <v>0</v>
      </c>
      <c r="AJ864" s="32">
        <f t="shared" si="317"/>
        <v>0</v>
      </c>
      <c r="AK864" t="str">
        <f t="shared" si="318"/>
        <v/>
      </c>
      <c r="AL864" t="str">
        <f t="shared" si="319"/>
        <v/>
      </c>
      <c r="AM864" t="str">
        <f t="shared" si="320"/>
        <v/>
      </c>
      <c r="AO864" t="str">
        <f>IFERROR(VLOOKUP(M864,'Fixture Identities'!$B$9:$O$1045,14,FALSE),"")</f>
        <v/>
      </c>
      <c r="AP864" t="str">
        <f t="shared" si="314"/>
        <v/>
      </c>
    </row>
    <row r="865" spans="1:42">
      <c r="A865" s="71">
        <f t="shared" si="322"/>
        <v>0</v>
      </c>
      <c r="B865" s="513">
        <f t="shared" si="321"/>
        <v>853</v>
      </c>
      <c r="C865" s="530" t="str">
        <f>IF(Inventory!E862="","",Inventory!E862)</f>
        <v/>
      </c>
      <c r="D865" s="531">
        <f>IF(Inventory!D862="",0,Inventory!D862)</f>
        <v>0</v>
      </c>
      <c r="E865" s="532" t="str">
        <f>IF(Inventory!I862=0,"",Inventory!I862)</f>
        <v/>
      </c>
      <c r="F865" s="533" t="str">
        <f t="shared" si="301"/>
        <v/>
      </c>
      <c r="G865" s="534" t="str">
        <f>IF(Inventory!G862="","",Inventory!G862)</f>
        <v/>
      </c>
      <c r="H865" s="535" t="str">
        <f t="shared" si="302"/>
        <v/>
      </c>
      <c r="I865" s="536" t="str">
        <f>IF(Inventory!J862="","",Inventory!J862)</f>
        <v/>
      </c>
      <c r="J865" s="537" t="str">
        <f>IFERROR(IF(PRJ_Type="New Construction",IF(Inventory!C862="N",INDEX(xyLPD_BuildingArea,MATCH(Building_Type,Lookups!$F$37:$F$75,0),4),INDEX(xyLPD_SpaceBySpace,MATCH(INDEX(xyNCEx,MATCH(I865,yNCExArea,0),2),ySpace_by_Space_Type,0),2)),VLOOKUP(E865,xyWattage_Table,11,FALSE)),"")</f>
        <v/>
      </c>
      <c r="K865" s="538" t="str">
        <f>IFERROR(IF(AND(NC_Type="Building Area Method",Inventory!C862="N"),IF(ISERROR(INDEX('Usage Groups (&gt;120 MWh only)'!$N$8:$N$12,MATCH(C865,'Usage Groups (&gt;120 MWh only)'!$B$8:$B$12,0),1))=TRUE,SqFt/COUNTIFS(Inventory!$C$10:$C$1009,"N",$Q$13:$Q$1012,"&gt;=0"),INDEX('Usage Groups (&gt;120 MWh only)'!$N$8:$N$12,MATCH(C865,'Usage Groups (&gt;120 MWh only)'!$B$8:$B$12,0),1)/COUNTIF($C$13:$C$1012,C865)),IF(AND(NC_Type="Building Area Method",Inventory!C862="Y"),INDEX(xyNCEx,MATCH(I865,yNCExArea,0),3)/COUNTIF($I$13:$I$1012,I865),VLOOKUP(J865,xyWattage_Table,10,FALSE))),"")</f>
        <v/>
      </c>
      <c r="L865" s="539" t="str">
        <f t="shared" si="303"/>
        <v/>
      </c>
      <c r="M865" s="540">
        <f>IF(Inventory!N862="","",Inventory!N862)</f>
        <v>0</v>
      </c>
      <c r="N865" s="533" t="str">
        <f t="shared" si="304"/>
        <v/>
      </c>
      <c r="O865" s="534"/>
      <c r="P865" s="533" t="str">
        <f t="shared" si="305"/>
        <v/>
      </c>
      <c r="Q865" s="534" t="str">
        <f>IF(Inventory!L862="","",Inventory!L862)</f>
        <v/>
      </c>
      <c r="R865" s="535" t="str">
        <f t="shared" si="306"/>
        <v/>
      </c>
      <c r="S865" s="536" t="str">
        <f>IF(Inventory!O862="","",Inventory!O862)</f>
        <v/>
      </c>
      <c r="T865" s="541" t="str">
        <f>IFERROR(IF(C865="","",IF(INDEX(xyWattage_Table,MATCH(M865,'Fixture Identities'!$B$9:$B$997,0),2)="Exit Sign",8760,IF(VLOOKUP(C865,xySpace_Type_Details,8,FALSE)="TRM",INDEX('General Information'!$AF$17:$AG$28,11,MATCH(N865,'General Information'!$AF$16:$AG$16,0)),HLOOKUP(VLOOKUP(C865,xySpace_Type_Details,8,FALSE),'General Information'!$P$15:$AG$28,13,FALSE)))),"")</f>
        <v/>
      </c>
      <c r="U865" s="542" t="str">
        <f>IFERROR(IF(C865="","",IF(INDEX(xyWattage_Table,MATCH(M865,'Fixture Identities'!$B$9:$B$997,0),2)="Exit Sign",1,IF(VLOOKUP(C865,xySpace_Type_Details,8,FALSE)="TRM",INDEX('General Information'!$AF$17:$AG$28,12,MATCH(N865,'General Information'!$AF$16:$AG$16,0)),HLOOKUP(VLOOKUP(C865,xySpace_Type_Details,8,FALSE),'General Information'!$P$15:$AG$28,14,FALSE)))),"")</f>
        <v/>
      </c>
      <c r="V865" s="542" t="str">
        <f>IFERROR(VLOOKUP(INDEX(xySpace_Type_Details,MATCH($C865,'General Information'!$C$40:$C$60,0),12),Lookups!$L$8:$N$12,2,FALSE),"")</f>
        <v/>
      </c>
      <c r="W865" s="542" t="str">
        <f>IFERROR(VLOOKUP(INDEX(xySpace_Type_Details,MATCH($C865,'General Information'!$C$40:$C$60,0),12),Lookups!$L$8:$N$12,3,FALSE),"")</f>
        <v/>
      </c>
      <c r="Y865" s="542" t="str">
        <f>IFERROR(IF(C865="","",IF(INDEX(xyWattage_Table,MATCH(M865,'Fixture Identities'!$B$9:$B$997,0),2)="Exit Sign",0,IF(PRJ_Type="Retrofit",VLOOKUP(I865,xySVG_Factors,2,FALSE),IF(AND(PRJ_Type="New Construction",Inventory!C862="N"),VLOOKUP(VLOOKUP(Building_Type,xyLPD_BuildingArea,5,FALSE),xySVG_Factors_NC,3,FALSE),0)))),"")</f>
        <v/>
      </c>
      <c r="Z865" s="544" t="str">
        <f>IFERROR(IF(C865="","",IF(INDEX(xyWattage_Table,MATCH(M865,'Fixture Identities'!$B$9:$B$997,0),2)="Exit Sign",0,VLOOKUP(S865,xySVG_Factors,2,FALSE))),"")</f>
        <v/>
      </c>
      <c r="AA865" s="545" t="str">
        <f t="shared" si="307"/>
        <v/>
      </c>
      <c r="AB865" s="542" t="str">
        <f t="shared" si="308"/>
        <v/>
      </c>
      <c r="AC865" s="539" t="str">
        <f t="shared" si="309"/>
        <v/>
      </c>
      <c r="AD865" s="546" t="str">
        <f t="shared" si="310"/>
        <v/>
      </c>
      <c r="AE865" s="539" t="str">
        <f t="shared" si="311"/>
        <v/>
      </c>
      <c r="AF865" s="546" t="str">
        <f t="shared" si="312"/>
        <v/>
      </c>
      <c r="AG865" s="539" t="str">
        <f t="shared" si="313"/>
        <v/>
      </c>
      <c r="AH865" s="32">
        <f t="shared" si="315"/>
        <v>0</v>
      </c>
      <c r="AI865" s="32">
        <f t="shared" si="316"/>
        <v>0</v>
      </c>
      <c r="AJ865" s="32">
        <f t="shared" si="317"/>
        <v>0</v>
      </c>
      <c r="AK865" t="str">
        <f t="shared" si="318"/>
        <v/>
      </c>
      <c r="AL865" t="str">
        <f t="shared" si="319"/>
        <v/>
      </c>
      <c r="AM865" t="str">
        <f t="shared" si="320"/>
        <v/>
      </c>
      <c r="AO865" t="str">
        <f>IFERROR(VLOOKUP(M865,'Fixture Identities'!$B$9:$O$1045,14,FALSE),"")</f>
        <v/>
      </c>
      <c r="AP865" t="str">
        <f t="shared" si="314"/>
        <v/>
      </c>
    </row>
    <row r="866" spans="1:42">
      <c r="A866" s="71">
        <f t="shared" si="322"/>
        <v>0</v>
      </c>
      <c r="B866" s="513">
        <f t="shared" si="321"/>
        <v>854</v>
      </c>
      <c r="C866" s="530" t="str">
        <f>IF(Inventory!E863="","",Inventory!E863)</f>
        <v/>
      </c>
      <c r="D866" s="531">
        <f>IF(Inventory!D863="",0,Inventory!D863)</f>
        <v>0</v>
      </c>
      <c r="E866" s="532" t="str">
        <f>IF(Inventory!I863=0,"",Inventory!I863)</f>
        <v/>
      </c>
      <c r="F866" s="533" t="str">
        <f t="shared" si="301"/>
        <v/>
      </c>
      <c r="G866" s="534" t="str">
        <f>IF(Inventory!G863="","",Inventory!G863)</f>
        <v/>
      </c>
      <c r="H866" s="535" t="str">
        <f t="shared" si="302"/>
        <v/>
      </c>
      <c r="I866" s="536" t="str">
        <f>IF(Inventory!J863="","",Inventory!J863)</f>
        <v/>
      </c>
      <c r="J866" s="537" t="str">
        <f>IFERROR(IF(PRJ_Type="New Construction",IF(Inventory!C863="N",INDEX(xyLPD_BuildingArea,MATCH(Building_Type,Lookups!$F$37:$F$75,0),4),INDEX(xyLPD_SpaceBySpace,MATCH(INDEX(xyNCEx,MATCH(I866,yNCExArea,0),2),ySpace_by_Space_Type,0),2)),VLOOKUP(E866,xyWattage_Table,11,FALSE)),"")</f>
        <v/>
      </c>
      <c r="K866" s="538" t="str">
        <f>IFERROR(IF(AND(NC_Type="Building Area Method",Inventory!C863="N"),IF(ISERROR(INDEX('Usage Groups (&gt;120 MWh only)'!$N$8:$N$12,MATCH(C866,'Usage Groups (&gt;120 MWh only)'!$B$8:$B$12,0),1))=TRUE,SqFt/COUNTIFS(Inventory!$C$10:$C$1009,"N",$Q$13:$Q$1012,"&gt;=0"),INDEX('Usage Groups (&gt;120 MWh only)'!$N$8:$N$12,MATCH(C866,'Usage Groups (&gt;120 MWh only)'!$B$8:$B$12,0),1)/COUNTIF($C$13:$C$1012,C866)),IF(AND(NC_Type="Building Area Method",Inventory!C863="Y"),INDEX(xyNCEx,MATCH(I866,yNCExArea,0),3)/COUNTIF($I$13:$I$1012,I866),VLOOKUP(J866,xyWattage_Table,10,FALSE))),"")</f>
        <v/>
      </c>
      <c r="L866" s="539" t="str">
        <f t="shared" si="303"/>
        <v/>
      </c>
      <c r="M866" s="540">
        <f>IF(Inventory!N863="","",Inventory!N863)</f>
        <v>0</v>
      </c>
      <c r="N866" s="533" t="str">
        <f t="shared" si="304"/>
        <v/>
      </c>
      <c r="O866" s="534"/>
      <c r="P866" s="533" t="str">
        <f t="shared" si="305"/>
        <v/>
      </c>
      <c r="Q866" s="534" t="str">
        <f>IF(Inventory!L863="","",Inventory!L863)</f>
        <v/>
      </c>
      <c r="R866" s="535" t="str">
        <f t="shared" si="306"/>
        <v/>
      </c>
      <c r="S866" s="536" t="str">
        <f>IF(Inventory!O863="","",Inventory!O863)</f>
        <v/>
      </c>
      <c r="T866" s="541" t="str">
        <f>IFERROR(IF(C866="","",IF(INDEX(xyWattage_Table,MATCH(M866,'Fixture Identities'!$B$9:$B$997,0),2)="Exit Sign",8760,IF(VLOOKUP(C866,xySpace_Type_Details,8,FALSE)="TRM",INDEX('General Information'!$AF$17:$AG$28,11,MATCH(N866,'General Information'!$AF$16:$AG$16,0)),HLOOKUP(VLOOKUP(C866,xySpace_Type_Details,8,FALSE),'General Information'!$P$15:$AG$28,13,FALSE)))),"")</f>
        <v/>
      </c>
      <c r="U866" s="542" t="str">
        <f>IFERROR(IF(C866="","",IF(INDEX(xyWattage_Table,MATCH(M866,'Fixture Identities'!$B$9:$B$997,0),2)="Exit Sign",1,IF(VLOOKUP(C866,xySpace_Type_Details,8,FALSE)="TRM",INDEX('General Information'!$AF$17:$AG$28,12,MATCH(N866,'General Information'!$AF$16:$AG$16,0)),HLOOKUP(VLOOKUP(C866,xySpace_Type_Details,8,FALSE),'General Information'!$P$15:$AG$28,14,FALSE)))),"")</f>
        <v/>
      </c>
      <c r="V866" s="542" t="str">
        <f>IFERROR(VLOOKUP(INDEX(xySpace_Type_Details,MATCH($C866,'General Information'!$C$40:$C$60,0),12),Lookups!$L$8:$N$12,2,FALSE),"")</f>
        <v/>
      </c>
      <c r="W866" s="542" t="str">
        <f>IFERROR(VLOOKUP(INDEX(xySpace_Type_Details,MATCH($C866,'General Information'!$C$40:$C$60,0),12),Lookups!$L$8:$N$12,3,FALSE),"")</f>
        <v/>
      </c>
      <c r="Y866" s="542" t="str">
        <f>IFERROR(IF(C866="","",IF(INDEX(xyWattage_Table,MATCH(M866,'Fixture Identities'!$B$9:$B$997,0),2)="Exit Sign",0,IF(PRJ_Type="Retrofit",VLOOKUP(I866,xySVG_Factors,2,FALSE),IF(AND(PRJ_Type="New Construction",Inventory!C863="N"),VLOOKUP(VLOOKUP(Building_Type,xyLPD_BuildingArea,5,FALSE),xySVG_Factors_NC,3,FALSE),0)))),"")</f>
        <v/>
      </c>
      <c r="Z866" s="544" t="str">
        <f>IFERROR(IF(C866="","",IF(INDEX(xyWattage_Table,MATCH(M866,'Fixture Identities'!$B$9:$B$997,0),2)="Exit Sign",0,VLOOKUP(S866,xySVG_Factors,2,FALSE))),"")</f>
        <v/>
      </c>
      <c r="AA866" s="545" t="str">
        <f t="shared" si="307"/>
        <v/>
      </c>
      <c r="AB866" s="542" t="str">
        <f t="shared" si="308"/>
        <v/>
      </c>
      <c r="AC866" s="539" t="str">
        <f t="shared" si="309"/>
        <v/>
      </c>
      <c r="AD866" s="546" t="str">
        <f t="shared" si="310"/>
        <v/>
      </c>
      <c r="AE866" s="539" t="str">
        <f t="shared" si="311"/>
        <v/>
      </c>
      <c r="AF866" s="546" t="str">
        <f t="shared" si="312"/>
        <v/>
      </c>
      <c r="AG866" s="539" t="str">
        <f t="shared" si="313"/>
        <v/>
      </c>
      <c r="AH866" s="32">
        <f t="shared" si="315"/>
        <v>0</v>
      </c>
      <c r="AI866" s="32">
        <f t="shared" si="316"/>
        <v>0</v>
      </c>
      <c r="AJ866" s="32">
        <f t="shared" si="317"/>
        <v>0</v>
      </c>
      <c r="AK866" t="str">
        <f t="shared" si="318"/>
        <v/>
      </c>
      <c r="AL866" t="str">
        <f t="shared" si="319"/>
        <v/>
      </c>
      <c r="AM866" t="str">
        <f t="shared" si="320"/>
        <v/>
      </c>
      <c r="AO866" t="str">
        <f>IFERROR(VLOOKUP(M866,'Fixture Identities'!$B$9:$O$1045,14,FALSE),"")</f>
        <v/>
      </c>
      <c r="AP866" t="str">
        <f t="shared" si="314"/>
        <v/>
      </c>
    </row>
    <row r="867" spans="1:42">
      <c r="A867" s="71">
        <f t="shared" si="322"/>
        <v>0</v>
      </c>
      <c r="B867" s="513">
        <f t="shared" si="321"/>
        <v>855</v>
      </c>
      <c r="C867" s="530" t="str">
        <f>IF(Inventory!E864="","",Inventory!E864)</f>
        <v/>
      </c>
      <c r="D867" s="531">
        <f>IF(Inventory!D864="",0,Inventory!D864)</f>
        <v>0</v>
      </c>
      <c r="E867" s="532" t="str">
        <f>IF(Inventory!I864=0,"",Inventory!I864)</f>
        <v/>
      </c>
      <c r="F867" s="533" t="str">
        <f t="shared" si="301"/>
        <v/>
      </c>
      <c r="G867" s="534" t="str">
        <f>IF(Inventory!G864="","",Inventory!G864)</f>
        <v/>
      </c>
      <c r="H867" s="535" t="str">
        <f t="shared" si="302"/>
        <v/>
      </c>
      <c r="I867" s="536" t="str">
        <f>IF(Inventory!J864="","",Inventory!J864)</f>
        <v/>
      </c>
      <c r="J867" s="537" t="str">
        <f>IFERROR(IF(PRJ_Type="New Construction",IF(Inventory!C864="N",INDEX(xyLPD_BuildingArea,MATCH(Building_Type,Lookups!$F$37:$F$75,0),4),INDEX(xyLPD_SpaceBySpace,MATCH(INDEX(xyNCEx,MATCH(I867,yNCExArea,0),2),ySpace_by_Space_Type,0),2)),VLOOKUP(E867,xyWattage_Table,11,FALSE)),"")</f>
        <v/>
      </c>
      <c r="K867" s="538" t="str">
        <f>IFERROR(IF(AND(NC_Type="Building Area Method",Inventory!C864="N"),IF(ISERROR(INDEX('Usage Groups (&gt;120 MWh only)'!$N$8:$N$12,MATCH(C867,'Usage Groups (&gt;120 MWh only)'!$B$8:$B$12,0),1))=TRUE,SqFt/COUNTIFS(Inventory!$C$10:$C$1009,"N",$Q$13:$Q$1012,"&gt;=0"),INDEX('Usage Groups (&gt;120 MWh only)'!$N$8:$N$12,MATCH(C867,'Usage Groups (&gt;120 MWh only)'!$B$8:$B$12,0),1)/COUNTIF($C$13:$C$1012,C867)),IF(AND(NC_Type="Building Area Method",Inventory!C864="Y"),INDEX(xyNCEx,MATCH(I867,yNCExArea,0),3)/COUNTIF($I$13:$I$1012,I867),VLOOKUP(J867,xyWattage_Table,10,FALSE))),"")</f>
        <v/>
      </c>
      <c r="L867" s="539" t="str">
        <f t="shared" si="303"/>
        <v/>
      </c>
      <c r="M867" s="540">
        <f>IF(Inventory!N864="","",Inventory!N864)</f>
        <v>0</v>
      </c>
      <c r="N867" s="533" t="str">
        <f t="shared" si="304"/>
        <v/>
      </c>
      <c r="O867" s="534"/>
      <c r="P867" s="533" t="str">
        <f t="shared" si="305"/>
        <v/>
      </c>
      <c r="Q867" s="534" t="str">
        <f>IF(Inventory!L864="","",Inventory!L864)</f>
        <v/>
      </c>
      <c r="R867" s="535" t="str">
        <f t="shared" si="306"/>
        <v/>
      </c>
      <c r="S867" s="536" t="str">
        <f>IF(Inventory!O864="","",Inventory!O864)</f>
        <v/>
      </c>
      <c r="T867" s="541" t="str">
        <f>IFERROR(IF(C867="","",IF(INDEX(xyWattage_Table,MATCH(M867,'Fixture Identities'!$B$9:$B$997,0),2)="Exit Sign",8760,IF(VLOOKUP(C867,xySpace_Type_Details,8,FALSE)="TRM",INDEX('General Information'!$AF$17:$AG$28,11,MATCH(N867,'General Information'!$AF$16:$AG$16,0)),HLOOKUP(VLOOKUP(C867,xySpace_Type_Details,8,FALSE),'General Information'!$P$15:$AG$28,13,FALSE)))),"")</f>
        <v/>
      </c>
      <c r="U867" s="542" t="str">
        <f>IFERROR(IF(C867="","",IF(INDEX(xyWattage_Table,MATCH(M867,'Fixture Identities'!$B$9:$B$997,0),2)="Exit Sign",1,IF(VLOOKUP(C867,xySpace_Type_Details,8,FALSE)="TRM",INDEX('General Information'!$AF$17:$AG$28,12,MATCH(N867,'General Information'!$AF$16:$AG$16,0)),HLOOKUP(VLOOKUP(C867,xySpace_Type_Details,8,FALSE),'General Information'!$P$15:$AG$28,14,FALSE)))),"")</f>
        <v/>
      </c>
      <c r="V867" s="542" t="str">
        <f>IFERROR(VLOOKUP(INDEX(xySpace_Type_Details,MATCH($C867,'General Information'!$C$40:$C$60,0),12),Lookups!$L$8:$N$12,2,FALSE),"")</f>
        <v/>
      </c>
      <c r="W867" s="542" t="str">
        <f>IFERROR(VLOOKUP(INDEX(xySpace_Type_Details,MATCH($C867,'General Information'!$C$40:$C$60,0),12),Lookups!$L$8:$N$12,3,FALSE),"")</f>
        <v/>
      </c>
      <c r="Y867" s="542" t="str">
        <f>IFERROR(IF(C867="","",IF(INDEX(xyWattage_Table,MATCH(M867,'Fixture Identities'!$B$9:$B$997,0),2)="Exit Sign",0,IF(PRJ_Type="Retrofit",VLOOKUP(I867,xySVG_Factors,2,FALSE),IF(AND(PRJ_Type="New Construction",Inventory!C864="N"),VLOOKUP(VLOOKUP(Building_Type,xyLPD_BuildingArea,5,FALSE),xySVG_Factors_NC,3,FALSE),0)))),"")</f>
        <v/>
      </c>
      <c r="Z867" s="544" t="str">
        <f>IFERROR(IF(C867="","",IF(INDEX(xyWattage_Table,MATCH(M867,'Fixture Identities'!$B$9:$B$997,0),2)="Exit Sign",0,VLOOKUP(S867,xySVG_Factors,2,FALSE))),"")</f>
        <v/>
      </c>
      <c r="AA867" s="545" t="str">
        <f t="shared" si="307"/>
        <v/>
      </c>
      <c r="AB867" s="542" t="str">
        <f t="shared" si="308"/>
        <v/>
      </c>
      <c r="AC867" s="539" t="str">
        <f t="shared" si="309"/>
        <v/>
      </c>
      <c r="AD867" s="546" t="str">
        <f t="shared" si="310"/>
        <v/>
      </c>
      <c r="AE867" s="539" t="str">
        <f t="shared" si="311"/>
        <v/>
      </c>
      <c r="AF867" s="546" t="str">
        <f t="shared" si="312"/>
        <v/>
      </c>
      <c r="AG867" s="539" t="str">
        <f t="shared" si="313"/>
        <v/>
      </c>
      <c r="AH867" s="32">
        <f t="shared" si="315"/>
        <v>0</v>
      </c>
      <c r="AI867" s="32">
        <f t="shared" si="316"/>
        <v>0</v>
      </c>
      <c r="AJ867" s="32">
        <f t="shared" si="317"/>
        <v>0</v>
      </c>
      <c r="AK867" t="str">
        <f t="shared" si="318"/>
        <v/>
      </c>
      <c r="AL867" t="str">
        <f t="shared" si="319"/>
        <v/>
      </c>
      <c r="AM867" t="str">
        <f t="shared" si="320"/>
        <v/>
      </c>
      <c r="AO867" t="str">
        <f>IFERROR(VLOOKUP(M867,'Fixture Identities'!$B$9:$O$1045,14,FALSE),"")</f>
        <v/>
      </c>
      <c r="AP867" t="str">
        <f t="shared" si="314"/>
        <v/>
      </c>
    </row>
    <row r="868" spans="1:42">
      <c r="A868" s="71">
        <f t="shared" si="322"/>
        <v>0</v>
      </c>
      <c r="B868" s="513">
        <f t="shared" si="321"/>
        <v>856</v>
      </c>
      <c r="C868" s="530" t="str">
        <f>IF(Inventory!E865="","",Inventory!E865)</f>
        <v/>
      </c>
      <c r="D868" s="531">
        <f>IF(Inventory!D865="",0,Inventory!D865)</f>
        <v>0</v>
      </c>
      <c r="E868" s="532" t="str">
        <f>IF(Inventory!I865=0,"",Inventory!I865)</f>
        <v/>
      </c>
      <c r="F868" s="533" t="str">
        <f t="shared" si="301"/>
        <v/>
      </c>
      <c r="G868" s="534" t="str">
        <f>IF(Inventory!G865="","",Inventory!G865)</f>
        <v/>
      </c>
      <c r="H868" s="535" t="str">
        <f t="shared" si="302"/>
        <v/>
      </c>
      <c r="I868" s="536" t="str">
        <f>IF(Inventory!J865="","",Inventory!J865)</f>
        <v/>
      </c>
      <c r="J868" s="537" t="str">
        <f>IFERROR(IF(PRJ_Type="New Construction",IF(Inventory!C865="N",INDEX(xyLPD_BuildingArea,MATCH(Building_Type,Lookups!$F$37:$F$75,0),4),INDEX(xyLPD_SpaceBySpace,MATCH(INDEX(xyNCEx,MATCH(I868,yNCExArea,0),2),ySpace_by_Space_Type,0),2)),VLOOKUP(E868,xyWattage_Table,11,FALSE)),"")</f>
        <v/>
      </c>
      <c r="K868" s="538" t="str">
        <f>IFERROR(IF(AND(NC_Type="Building Area Method",Inventory!C865="N"),IF(ISERROR(INDEX('Usage Groups (&gt;120 MWh only)'!$N$8:$N$12,MATCH(C868,'Usage Groups (&gt;120 MWh only)'!$B$8:$B$12,0),1))=TRUE,SqFt/COUNTIFS(Inventory!$C$10:$C$1009,"N",$Q$13:$Q$1012,"&gt;=0"),INDEX('Usage Groups (&gt;120 MWh only)'!$N$8:$N$12,MATCH(C868,'Usage Groups (&gt;120 MWh only)'!$B$8:$B$12,0),1)/COUNTIF($C$13:$C$1012,C868)),IF(AND(NC_Type="Building Area Method",Inventory!C865="Y"),INDEX(xyNCEx,MATCH(I868,yNCExArea,0),3)/COUNTIF($I$13:$I$1012,I868),VLOOKUP(J868,xyWattage_Table,10,FALSE))),"")</f>
        <v/>
      </c>
      <c r="L868" s="539" t="str">
        <f t="shared" si="303"/>
        <v/>
      </c>
      <c r="M868" s="540">
        <f>IF(Inventory!N865="","",Inventory!N865)</f>
        <v>0</v>
      </c>
      <c r="N868" s="533" t="str">
        <f t="shared" si="304"/>
        <v/>
      </c>
      <c r="O868" s="534"/>
      <c r="P868" s="533" t="str">
        <f t="shared" si="305"/>
        <v/>
      </c>
      <c r="Q868" s="534" t="str">
        <f>IF(Inventory!L865="","",Inventory!L865)</f>
        <v/>
      </c>
      <c r="R868" s="535" t="str">
        <f t="shared" si="306"/>
        <v/>
      </c>
      <c r="S868" s="536" t="str">
        <f>IF(Inventory!O865="","",Inventory!O865)</f>
        <v/>
      </c>
      <c r="T868" s="541" t="str">
        <f>IFERROR(IF(C868="","",IF(INDEX(xyWattage_Table,MATCH(M868,'Fixture Identities'!$B$9:$B$997,0),2)="Exit Sign",8760,IF(VLOOKUP(C868,xySpace_Type_Details,8,FALSE)="TRM",INDEX('General Information'!$AF$17:$AG$28,11,MATCH(N868,'General Information'!$AF$16:$AG$16,0)),HLOOKUP(VLOOKUP(C868,xySpace_Type_Details,8,FALSE),'General Information'!$P$15:$AG$28,13,FALSE)))),"")</f>
        <v/>
      </c>
      <c r="U868" s="542" t="str">
        <f>IFERROR(IF(C868="","",IF(INDEX(xyWattage_Table,MATCH(M868,'Fixture Identities'!$B$9:$B$997,0),2)="Exit Sign",1,IF(VLOOKUP(C868,xySpace_Type_Details,8,FALSE)="TRM",INDEX('General Information'!$AF$17:$AG$28,12,MATCH(N868,'General Information'!$AF$16:$AG$16,0)),HLOOKUP(VLOOKUP(C868,xySpace_Type_Details,8,FALSE),'General Information'!$P$15:$AG$28,14,FALSE)))),"")</f>
        <v/>
      </c>
      <c r="V868" s="542" t="str">
        <f>IFERROR(VLOOKUP(INDEX(xySpace_Type_Details,MATCH($C868,'General Information'!$C$40:$C$60,0),12),Lookups!$L$8:$N$12,2,FALSE),"")</f>
        <v/>
      </c>
      <c r="W868" s="542" t="str">
        <f>IFERROR(VLOOKUP(INDEX(xySpace_Type_Details,MATCH($C868,'General Information'!$C$40:$C$60,0),12),Lookups!$L$8:$N$12,3,FALSE),"")</f>
        <v/>
      </c>
      <c r="Y868" s="542" t="str">
        <f>IFERROR(IF(C868="","",IF(INDEX(xyWattage_Table,MATCH(M868,'Fixture Identities'!$B$9:$B$997,0),2)="Exit Sign",0,IF(PRJ_Type="Retrofit",VLOOKUP(I868,xySVG_Factors,2,FALSE),IF(AND(PRJ_Type="New Construction",Inventory!C865="N"),VLOOKUP(VLOOKUP(Building_Type,xyLPD_BuildingArea,5,FALSE),xySVG_Factors_NC,3,FALSE),0)))),"")</f>
        <v/>
      </c>
      <c r="Z868" s="544" t="str">
        <f>IFERROR(IF(C868="","",IF(INDEX(xyWattage_Table,MATCH(M868,'Fixture Identities'!$B$9:$B$997,0),2)="Exit Sign",0,VLOOKUP(S868,xySVG_Factors,2,FALSE))),"")</f>
        <v/>
      </c>
      <c r="AA868" s="545" t="str">
        <f t="shared" si="307"/>
        <v/>
      </c>
      <c r="AB868" s="542" t="str">
        <f t="shared" si="308"/>
        <v/>
      </c>
      <c r="AC868" s="539" t="str">
        <f t="shared" si="309"/>
        <v/>
      </c>
      <c r="AD868" s="546" t="str">
        <f t="shared" si="310"/>
        <v/>
      </c>
      <c r="AE868" s="539" t="str">
        <f t="shared" si="311"/>
        <v/>
      </c>
      <c r="AF868" s="546" t="str">
        <f t="shared" si="312"/>
        <v/>
      </c>
      <c r="AG868" s="539" t="str">
        <f t="shared" si="313"/>
        <v/>
      </c>
      <c r="AH868" s="32">
        <f t="shared" si="315"/>
        <v>0</v>
      </c>
      <c r="AI868" s="32">
        <f t="shared" si="316"/>
        <v>0</v>
      </c>
      <c r="AJ868" s="32">
        <f t="shared" si="317"/>
        <v>0</v>
      </c>
      <c r="AK868" t="str">
        <f t="shared" si="318"/>
        <v/>
      </c>
      <c r="AL868" t="str">
        <f t="shared" si="319"/>
        <v/>
      </c>
      <c r="AM868" t="str">
        <f t="shared" si="320"/>
        <v/>
      </c>
      <c r="AO868" t="str">
        <f>IFERROR(VLOOKUP(M868,'Fixture Identities'!$B$9:$O$1045,14,FALSE),"")</f>
        <v/>
      </c>
      <c r="AP868" t="str">
        <f t="shared" si="314"/>
        <v/>
      </c>
    </row>
    <row r="869" spans="1:42">
      <c r="A869" s="71">
        <f t="shared" si="322"/>
        <v>0</v>
      </c>
      <c r="B869" s="513">
        <f t="shared" si="321"/>
        <v>857</v>
      </c>
      <c r="C869" s="530" t="str">
        <f>IF(Inventory!E866="","",Inventory!E866)</f>
        <v/>
      </c>
      <c r="D869" s="531">
        <f>IF(Inventory!D866="",0,Inventory!D866)</f>
        <v>0</v>
      </c>
      <c r="E869" s="532" t="str">
        <f>IF(Inventory!I866=0,"",Inventory!I866)</f>
        <v/>
      </c>
      <c r="F869" s="533" t="str">
        <f t="shared" si="301"/>
        <v/>
      </c>
      <c r="G869" s="534" t="str">
        <f>IF(Inventory!G866="","",Inventory!G866)</f>
        <v/>
      </c>
      <c r="H869" s="535" t="str">
        <f t="shared" si="302"/>
        <v/>
      </c>
      <c r="I869" s="536" t="str">
        <f>IF(Inventory!J866="","",Inventory!J866)</f>
        <v/>
      </c>
      <c r="J869" s="537" t="str">
        <f>IFERROR(IF(PRJ_Type="New Construction",IF(Inventory!C866="N",INDEX(xyLPD_BuildingArea,MATCH(Building_Type,Lookups!$F$37:$F$75,0),4),INDEX(xyLPD_SpaceBySpace,MATCH(INDEX(xyNCEx,MATCH(I869,yNCExArea,0),2),ySpace_by_Space_Type,0),2)),VLOOKUP(E869,xyWattage_Table,11,FALSE)),"")</f>
        <v/>
      </c>
      <c r="K869" s="538" t="str">
        <f>IFERROR(IF(AND(NC_Type="Building Area Method",Inventory!C866="N"),IF(ISERROR(INDEX('Usage Groups (&gt;120 MWh only)'!$N$8:$N$12,MATCH(C869,'Usage Groups (&gt;120 MWh only)'!$B$8:$B$12,0),1))=TRUE,SqFt/COUNTIFS(Inventory!$C$10:$C$1009,"N",$Q$13:$Q$1012,"&gt;=0"),INDEX('Usage Groups (&gt;120 MWh only)'!$N$8:$N$12,MATCH(C869,'Usage Groups (&gt;120 MWh only)'!$B$8:$B$12,0),1)/COUNTIF($C$13:$C$1012,C869)),IF(AND(NC_Type="Building Area Method",Inventory!C866="Y"),INDEX(xyNCEx,MATCH(I869,yNCExArea,0),3)/COUNTIF($I$13:$I$1012,I869),VLOOKUP(J869,xyWattage_Table,10,FALSE))),"")</f>
        <v/>
      </c>
      <c r="L869" s="539" t="str">
        <f t="shared" si="303"/>
        <v/>
      </c>
      <c r="M869" s="540">
        <f>IF(Inventory!N866="","",Inventory!N866)</f>
        <v>0</v>
      </c>
      <c r="N869" s="533" t="str">
        <f t="shared" si="304"/>
        <v/>
      </c>
      <c r="O869" s="534"/>
      <c r="P869" s="533" t="str">
        <f t="shared" si="305"/>
        <v/>
      </c>
      <c r="Q869" s="534" t="str">
        <f>IF(Inventory!L866="","",Inventory!L866)</f>
        <v/>
      </c>
      <c r="R869" s="535" t="str">
        <f t="shared" si="306"/>
        <v/>
      </c>
      <c r="S869" s="536" t="str">
        <f>IF(Inventory!O866="","",Inventory!O866)</f>
        <v/>
      </c>
      <c r="T869" s="541" t="str">
        <f>IFERROR(IF(C869="","",IF(INDEX(xyWattage_Table,MATCH(M869,'Fixture Identities'!$B$9:$B$997,0),2)="Exit Sign",8760,IF(VLOOKUP(C869,xySpace_Type_Details,8,FALSE)="TRM",INDEX('General Information'!$AF$17:$AG$28,11,MATCH(N869,'General Information'!$AF$16:$AG$16,0)),HLOOKUP(VLOOKUP(C869,xySpace_Type_Details,8,FALSE),'General Information'!$P$15:$AG$28,13,FALSE)))),"")</f>
        <v/>
      </c>
      <c r="U869" s="542" t="str">
        <f>IFERROR(IF(C869="","",IF(INDEX(xyWattage_Table,MATCH(M869,'Fixture Identities'!$B$9:$B$997,0),2)="Exit Sign",1,IF(VLOOKUP(C869,xySpace_Type_Details,8,FALSE)="TRM",INDEX('General Information'!$AF$17:$AG$28,12,MATCH(N869,'General Information'!$AF$16:$AG$16,0)),HLOOKUP(VLOOKUP(C869,xySpace_Type_Details,8,FALSE),'General Information'!$P$15:$AG$28,14,FALSE)))),"")</f>
        <v/>
      </c>
      <c r="V869" s="542" t="str">
        <f>IFERROR(VLOOKUP(INDEX(xySpace_Type_Details,MATCH($C869,'General Information'!$C$40:$C$60,0),12),Lookups!$L$8:$N$12,2,FALSE),"")</f>
        <v/>
      </c>
      <c r="W869" s="542" t="str">
        <f>IFERROR(VLOOKUP(INDEX(xySpace_Type_Details,MATCH($C869,'General Information'!$C$40:$C$60,0),12),Lookups!$L$8:$N$12,3,FALSE),"")</f>
        <v/>
      </c>
      <c r="Y869" s="542" t="str">
        <f>IFERROR(IF(C869="","",IF(INDEX(xyWattage_Table,MATCH(M869,'Fixture Identities'!$B$9:$B$997,0),2)="Exit Sign",0,IF(PRJ_Type="Retrofit",VLOOKUP(I869,xySVG_Factors,2,FALSE),IF(AND(PRJ_Type="New Construction",Inventory!C866="N"),VLOOKUP(VLOOKUP(Building_Type,xyLPD_BuildingArea,5,FALSE),xySVG_Factors_NC,3,FALSE),0)))),"")</f>
        <v/>
      </c>
      <c r="Z869" s="544" t="str">
        <f>IFERROR(IF(C869="","",IF(INDEX(xyWattage_Table,MATCH(M869,'Fixture Identities'!$B$9:$B$997,0),2)="Exit Sign",0,VLOOKUP(S869,xySVG_Factors,2,FALSE))),"")</f>
        <v/>
      </c>
      <c r="AA869" s="545" t="str">
        <f t="shared" si="307"/>
        <v/>
      </c>
      <c r="AB869" s="542" t="str">
        <f t="shared" si="308"/>
        <v/>
      </c>
      <c r="AC869" s="539" t="str">
        <f t="shared" si="309"/>
        <v/>
      </c>
      <c r="AD869" s="546" t="str">
        <f t="shared" si="310"/>
        <v/>
      </c>
      <c r="AE869" s="539" t="str">
        <f t="shared" si="311"/>
        <v/>
      </c>
      <c r="AF869" s="546" t="str">
        <f t="shared" si="312"/>
        <v/>
      </c>
      <c r="AG869" s="539" t="str">
        <f t="shared" si="313"/>
        <v/>
      </c>
      <c r="AH869" s="32">
        <f t="shared" si="315"/>
        <v>0</v>
      </c>
      <c r="AI869" s="32">
        <f t="shared" si="316"/>
        <v>0</v>
      </c>
      <c r="AJ869" s="32">
        <f t="shared" si="317"/>
        <v>0</v>
      </c>
      <c r="AK869" t="str">
        <f t="shared" si="318"/>
        <v/>
      </c>
      <c r="AL869" t="str">
        <f t="shared" si="319"/>
        <v/>
      </c>
      <c r="AM869" t="str">
        <f t="shared" si="320"/>
        <v/>
      </c>
      <c r="AO869" t="str">
        <f>IFERROR(VLOOKUP(M869,'Fixture Identities'!$B$9:$O$1045,14,FALSE),"")</f>
        <v/>
      </c>
      <c r="AP869" t="str">
        <f t="shared" si="314"/>
        <v/>
      </c>
    </row>
    <row r="870" spans="1:42">
      <c r="A870" s="71">
        <f t="shared" si="322"/>
        <v>0</v>
      </c>
      <c r="B870" s="513">
        <f t="shared" si="321"/>
        <v>858</v>
      </c>
      <c r="C870" s="530" t="str">
        <f>IF(Inventory!E867="","",Inventory!E867)</f>
        <v/>
      </c>
      <c r="D870" s="531">
        <f>IF(Inventory!D867="",0,Inventory!D867)</f>
        <v>0</v>
      </c>
      <c r="E870" s="532" t="str">
        <f>IF(Inventory!I867=0,"",Inventory!I867)</f>
        <v/>
      </c>
      <c r="F870" s="533" t="str">
        <f t="shared" si="301"/>
        <v/>
      </c>
      <c r="G870" s="534" t="str">
        <f>IF(Inventory!G867="","",Inventory!G867)</f>
        <v/>
      </c>
      <c r="H870" s="535" t="str">
        <f t="shared" si="302"/>
        <v/>
      </c>
      <c r="I870" s="536" t="str">
        <f>IF(Inventory!J867="","",Inventory!J867)</f>
        <v/>
      </c>
      <c r="J870" s="537" t="str">
        <f>IFERROR(IF(PRJ_Type="New Construction",IF(Inventory!C867="N",INDEX(xyLPD_BuildingArea,MATCH(Building_Type,Lookups!$F$37:$F$75,0),4),INDEX(xyLPD_SpaceBySpace,MATCH(INDEX(xyNCEx,MATCH(I870,yNCExArea,0),2),ySpace_by_Space_Type,0),2)),VLOOKUP(E870,xyWattage_Table,11,FALSE)),"")</f>
        <v/>
      </c>
      <c r="K870" s="538" t="str">
        <f>IFERROR(IF(AND(NC_Type="Building Area Method",Inventory!C867="N"),IF(ISERROR(INDEX('Usage Groups (&gt;120 MWh only)'!$N$8:$N$12,MATCH(C870,'Usage Groups (&gt;120 MWh only)'!$B$8:$B$12,0),1))=TRUE,SqFt/COUNTIFS(Inventory!$C$10:$C$1009,"N",$Q$13:$Q$1012,"&gt;=0"),INDEX('Usage Groups (&gt;120 MWh only)'!$N$8:$N$12,MATCH(C870,'Usage Groups (&gt;120 MWh only)'!$B$8:$B$12,0),1)/COUNTIF($C$13:$C$1012,C870)),IF(AND(NC_Type="Building Area Method",Inventory!C867="Y"),INDEX(xyNCEx,MATCH(I870,yNCExArea,0),3)/COUNTIF($I$13:$I$1012,I870),VLOOKUP(J870,xyWattage_Table,10,FALSE))),"")</f>
        <v/>
      </c>
      <c r="L870" s="539" t="str">
        <f t="shared" si="303"/>
        <v/>
      </c>
      <c r="M870" s="540">
        <f>IF(Inventory!N867="","",Inventory!N867)</f>
        <v>0</v>
      </c>
      <c r="N870" s="533" t="str">
        <f t="shared" si="304"/>
        <v/>
      </c>
      <c r="O870" s="534"/>
      <c r="P870" s="533" t="str">
        <f t="shared" si="305"/>
        <v/>
      </c>
      <c r="Q870" s="534" t="str">
        <f>IF(Inventory!L867="","",Inventory!L867)</f>
        <v/>
      </c>
      <c r="R870" s="535" t="str">
        <f t="shared" si="306"/>
        <v/>
      </c>
      <c r="S870" s="536" t="str">
        <f>IF(Inventory!O867="","",Inventory!O867)</f>
        <v/>
      </c>
      <c r="T870" s="541" t="str">
        <f>IFERROR(IF(C870="","",IF(INDEX(xyWattage_Table,MATCH(M870,'Fixture Identities'!$B$9:$B$997,0),2)="Exit Sign",8760,IF(VLOOKUP(C870,xySpace_Type_Details,8,FALSE)="TRM",INDEX('General Information'!$AF$17:$AG$28,11,MATCH(N870,'General Information'!$AF$16:$AG$16,0)),HLOOKUP(VLOOKUP(C870,xySpace_Type_Details,8,FALSE),'General Information'!$P$15:$AG$28,13,FALSE)))),"")</f>
        <v/>
      </c>
      <c r="U870" s="542" t="str">
        <f>IFERROR(IF(C870="","",IF(INDEX(xyWattage_Table,MATCH(M870,'Fixture Identities'!$B$9:$B$997,0),2)="Exit Sign",1,IF(VLOOKUP(C870,xySpace_Type_Details,8,FALSE)="TRM",INDEX('General Information'!$AF$17:$AG$28,12,MATCH(N870,'General Information'!$AF$16:$AG$16,0)),HLOOKUP(VLOOKUP(C870,xySpace_Type_Details,8,FALSE),'General Information'!$P$15:$AG$28,14,FALSE)))),"")</f>
        <v/>
      </c>
      <c r="V870" s="542" t="str">
        <f>IFERROR(VLOOKUP(INDEX(xySpace_Type_Details,MATCH($C870,'General Information'!$C$40:$C$60,0),12),Lookups!$L$8:$N$12,2,FALSE),"")</f>
        <v/>
      </c>
      <c r="W870" s="542" t="str">
        <f>IFERROR(VLOOKUP(INDEX(xySpace_Type_Details,MATCH($C870,'General Information'!$C$40:$C$60,0),12),Lookups!$L$8:$N$12,3,FALSE),"")</f>
        <v/>
      </c>
      <c r="Y870" s="542" t="str">
        <f>IFERROR(IF(C870="","",IF(INDEX(xyWattage_Table,MATCH(M870,'Fixture Identities'!$B$9:$B$997,0),2)="Exit Sign",0,IF(PRJ_Type="Retrofit",VLOOKUP(I870,xySVG_Factors,2,FALSE),IF(AND(PRJ_Type="New Construction",Inventory!C867="N"),VLOOKUP(VLOOKUP(Building_Type,xyLPD_BuildingArea,5,FALSE),xySVG_Factors_NC,3,FALSE),0)))),"")</f>
        <v/>
      </c>
      <c r="Z870" s="544" t="str">
        <f>IFERROR(IF(C870="","",IF(INDEX(xyWattage_Table,MATCH(M870,'Fixture Identities'!$B$9:$B$997,0),2)="Exit Sign",0,VLOOKUP(S870,xySVG_Factors,2,FALSE))),"")</f>
        <v/>
      </c>
      <c r="AA870" s="545" t="str">
        <f t="shared" si="307"/>
        <v/>
      </c>
      <c r="AB870" s="542" t="str">
        <f t="shared" si="308"/>
        <v/>
      </c>
      <c r="AC870" s="539" t="str">
        <f t="shared" si="309"/>
        <v/>
      </c>
      <c r="AD870" s="546" t="str">
        <f t="shared" si="310"/>
        <v/>
      </c>
      <c r="AE870" s="539" t="str">
        <f t="shared" si="311"/>
        <v/>
      </c>
      <c r="AF870" s="546" t="str">
        <f t="shared" si="312"/>
        <v/>
      </c>
      <c r="AG870" s="539" t="str">
        <f t="shared" si="313"/>
        <v/>
      </c>
      <c r="AH870" s="32">
        <f t="shared" si="315"/>
        <v>0</v>
      </c>
      <c r="AI870" s="32">
        <f t="shared" si="316"/>
        <v>0</v>
      </c>
      <c r="AJ870" s="32">
        <f t="shared" si="317"/>
        <v>0</v>
      </c>
      <c r="AK870" t="str">
        <f t="shared" si="318"/>
        <v/>
      </c>
      <c r="AL870" t="str">
        <f t="shared" si="319"/>
        <v/>
      </c>
      <c r="AM870" t="str">
        <f t="shared" si="320"/>
        <v/>
      </c>
      <c r="AO870" t="str">
        <f>IFERROR(VLOOKUP(M870,'Fixture Identities'!$B$9:$O$1045,14,FALSE),"")</f>
        <v/>
      </c>
      <c r="AP870" t="str">
        <f t="shared" si="314"/>
        <v/>
      </c>
    </row>
    <row r="871" spans="1:42">
      <c r="A871" s="71">
        <f t="shared" si="322"/>
        <v>0</v>
      </c>
      <c r="B871" s="513">
        <f t="shared" si="321"/>
        <v>859</v>
      </c>
      <c r="C871" s="530" t="str">
        <f>IF(Inventory!E868="","",Inventory!E868)</f>
        <v/>
      </c>
      <c r="D871" s="531">
        <f>IF(Inventory!D868="",0,Inventory!D868)</f>
        <v>0</v>
      </c>
      <c r="E871" s="532" t="str">
        <f>IF(Inventory!I868=0,"",Inventory!I868)</f>
        <v/>
      </c>
      <c r="F871" s="533" t="str">
        <f t="shared" si="301"/>
        <v/>
      </c>
      <c r="G871" s="534" t="str">
        <f>IF(Inventory!G868="","",Inventory!G868)</f>
        <v/>
      </c>
      <c r="H871" s="535" t="str">
        <f t="shared" si="302"/>
        <v/>
      </c>
      <c r="I871" s="536" t="str">
        <f>IF(Inventory!J868="","",Inventory!J868)</f>
        <v/>
      </c>
      <c r="J871" s="537" t="str">
        <f>IFERROR(IF(PRJ_Type="New Construction",IF(Inventory!C868="N",INDEX(xyLPD_BuildingArea,MATCH(Building_Type,Lookups!$F$37:$F$75,0),4),INDEX(xyLPD_SpaceBySpace,MATCH(INDEX(xyNCEx,MATCH(I871,yNCExArea,0),2),ySpace_by_Space_Type,0),2)),VLOOKUP(E871,xyWattage_Table,11,FALSE)),"")</f>
        <v/>
      </c>
      <c r="K871" s="538" t="str">
        <f>IFERROR(IF(AND(NC_Type="Building Area Method",Inventory!C868="N"),IF(ISERROR(INDEX('Usage Groups (&gt;120 MWh only)'!$N$8:$N$12,MATCH(C871,'Usage Groups (&gt;120 MWh only)'!$B$8:$B$12,0),1))=TRUE,SqFt/COUNTIFS(Inventory!$C$10:$C$1009,"N",$Q$13:$Q$1012,"&gt;=0"),INDEX('Usage Groups (&gt;120 MWh only)'!$N$8:$N$12,MATCH(C871,'Usage Groups (&gt;120 MWh only)'!$B$8:$B$12,0),1)/COUNTIF($C$13:$C$1012,C871)),IF(AND(NC_Type="Building Area Method",Inventory!C868="Y"),INDEX(xyNCEx,MATCH(I871,yNCExArea,0),3)/COUNTIF($I$13:$I$1012,I871),VLOOKUP(J871,xyWattage_Table,10,FALSE))),"")</f>
        <v/>
      </c>
      <c r="L871" s="539" t="str">
        <f t="shared" si="303"/>
        <v/>
      </c>
      <c r="M871" s="540">
        <f>IF(Inventory!N868="","",Inventory!N868)</f>
        <v>0</v>
      </c>
      <c r="N871" s="533" t="str">
        <f t="shared" si="304"/>
        <v/>
      </c>
      <c r="O871" s="534"/>
      <c r="P871" s="533" t="str">
        <f t="shared" si="305"/>
        <v/>
      </c>
      <c r="Q871" s="534" t="str">
        <f>IF(Inventory!L868="","",Inventory!L868)</f>
        <v/>
      </c>
      <c r="R871" s="535" t="str">
        <f t="shared" si="306"/>
        <v/>
      </c>
      <c r="S871" s="536" t="str">
        <f>IF(Inventory!O868="","",Inventory!O868)</f>
        <v/>
      </c>
      <c r="T871" s="541" t="str">
        <f>IFERROR(IF(C871="","",IF(INDEX(xyWattage_Table,MATCH(M871,'Fixture Identities'!$B$9:$B$997,0),2)="Exit Sign",8760,IF(VLOOKUP(C871,xySpace_Type_Details,8,FALSE)="TRM",INDEX('General Information'!$AF$17:$AG$28,11,MATCH(N871,'General Information'!$AF$16:$AG$16,0)),HLOOKUP(VLOOKUP(C871,xySpace_Type_Details,8,FALSE),'General Information'!$P$15:$AG$28,13,FALSE)))),"")</f>
        <v/>
      </c>
      <c r="U871" s="542" t="str">
        <f>IFERROR(IF(C871="","",IF(INDEX(xyWattage_Table,MATCH(M871,'Fixture Identities'!$B$9:$B$997,0),2)="Exit Sign",1,IF(VLOOKUP(C871,xySpace_Type_Details,8,FALSE)="TRM",INDEX('General Information'!$AF$17:$AG$28,12,MATCH(N871,'General Information'!$AF$16:$AG$16,0)),HLOOKUP(VLOOKUP(C871,xySpace_Type_Details,8,FALSE),'General Information'!$P$15:$AG$28,14,FALSE)))),"")</f>
        <v/>
      </c>
      <c r="V871" s="542" t="str">
        <f>IFERROR(VLOOKUP(INDEX(xySpace_Type_Details,MATCH($C871,'General Information'!$C$40:$C$60,0),12),Lookups!$L$8:$N$12,2,FALSE),"")</f>
        <v/>
      </c>
      <c r="W871" s="542" t="str">
        <f>IFERROR(VLOOKUP(INDEX(xySpace_Type_Details,MATCH($C871,'General Information'!$C$40:$C$60,0),12),Lookups!$L$8:$N$12,3,FALSE),"")</f>
        <v/>
      </c>
      <c r="Y871" s="542" t="str">
        <f>IFERROR(IF(C871="","",IF(INDEX(xyWattage_Table,MATCH(M871,'Fixture Identities'!$B$9:$B$997,0),2)="Exit Sign",0,IF(PRJ_Type="Retrofit",VLOOKUP(I871,xySVG_Factors,2,FALSE),IF(AND(PRJ_Type="New Construction",Inventory!C868="N"),VLOOKUP(VLOOKUP(Building_Type,xyLPD_BuildingArea,5,FALSE),xySVG_Factors_NC,3,FALSE),0)))),"")</f>
        <v/>
      </c>
      <c r="Z871" s="544" t="str">
        <f>IFERROR(IF(C871="","",IF(INDEX(xyWattage_Table,MATCH(M871,'Fixture Identities'!$B$9:$B$997,0),2)="Exit Sign",0,VLOOKUP(S871,xySVG_Factors,2,FALSE))),"")</f>
        <v/>
      </c>
      <c r="AA871" s="545" t="str">
        <f t="shared" si="307"/>
        <v/>
      </c>
      <c r="AB871" s="542" t="str">
        <f t="shared" si="308"/>
        <v/>
      </c>
      <c r="AC871" s="539" t="str">
        <f t="shared" si="309"/>
        <v/>
      </c>
      <c r="AD871" s="546" t="str">
        <f t="shared" si="310"/>
        <v/>
      </c>
      <c r="AE871" s="539" t="str">
        <f t="shared" si="311"/>
        <v/>
      </c>
      <c r="AF871" s="546" t="str">
        <f t="shared" si="312"/>
        <v/>
      </c>
      <c r="AG871" s="539" t="str">
        <f t="shared" si="313"/>
        <v/>
      </c>
      <c r="AH871" s="32">
        <f t="shared" si="315"/>
        <v>0</v>
      </c>
      <c r="AI871" s="32">
        <f t="shared" si="316"/>
        <v>0</v>
      </c>
      <c r="AJ871" s="32">
        <f t="shared" si="317"/>
        <v>0</v>
      </c>
      <c r="AK871" t="str">
        <f t="shared" si="318"/>
        <v/>
      </c>
      <c r="AL871" t="str">
        <f t="shared" si="319"/>
        <v/>
      </c>
      <c r="AM871" t="str">
        <f t="shared" si="320"/>
        <v/>
      </c>
      <c r="AO871" t="str">
        <f>IFERROR(VLOOKUP(M871,'Fixture Identities'!$B$9:$O$1045,14,FALSE),"")</f>
        <v/>
      </c>
      <c r="AP871" t="str">
        <f t="shared" si="314"/>
        <v/>
      </c>
    </row>
    <row r="872" spans="1:42">
      <c r="A872" s="71">
        <f t="shared" si="322"/>
        <v>0</v>
      </c>
      <c r="B872" s="513">
        <f t="shared" si="321"/>
        <v>860</v>
      </c>
      <c r="C872" s="530" t="str">
        <f>IF(Inventory!E869="","",Inventory!E869)</f>
        <v/>
      </c>
      <c r="D872" s="531">
        <f>IF(Inventory!D869="",0,Inventory!D869)</f>
        <v>0</v>
      </c>
      <c r="E872" s="532" t="str">
        <f>IF(Inventory!I869=0,"",Inventory!I869)</f>
        <v/>
      </c>
      <c r="F872" s="533" t="str">
        <f t="shared" si="301"/>
        <v/>
      </c>
      <c r="G872" s="534" t="str">
        <f>IF(Inventory!G869="","",Inventory!G869)</f>
        <v/>
      </c>
      <c r="H872" s="535" t="str">
        <f t="shared" si="302"/>
        <v/>
      </c>
      <c r="I872" s="536" t="str">
        <f>IF(Inventory!J869="","",Inventory!J869)</f>
        <v/>
      </c>
      <c r="J872" s="537" t="str">
        <f>IFERROR(IF(PRJ_Type="New Construction",IF(Inventory!C869="N",INDEX(xyLPD_BuildingArea,MATCH(Building_Type,Lookups!$F$37:$F$75,0),4),INDEX(xyLPD_SpaceBySpace,MATCH(INDEX(xyNCEx,MATCH(I872,yNCExArea,0),2),ySpace_by_Space_Type,0),2)),VLOOKUP(E872,xyWattage_Table,11,FALSE)),"")</f>
        <v/>
      </c>
      <c r="K872" s="538" t="str">
        <f>IFERROR(IF(AND(NC_Type="Building Area Method",Inventory!C869="N"),IF(ISERROR(INDEX('Usage Groups (&gt;120 MWh only)'!$N$8:$N$12,MATCH(C872,'Usage Groups (&gt;120 MWh only)'!$B$8:$B$12,0),1))=TRUE,SqFt/COUNTIFS(Inventory!$C$10:$C$1009,"N",$Q$13:$Q$1012,"&gt;=0"),INDEX('Usage Groups (&gt;120 MWh only)'!$N$8:$N$12,MATCH(C872,'Usage Groups (&gt;120 MWh only)'!$B$8:$B$12,0),1)/COUNTIF($C$13:$C$1012,C872)),IF(AND(NC_Type="Building Area Method",Inventory!C869="Y"),INDEX(xyNCEx,MATCH(I872,yNCExArea,0),3)/COUNTIF($I$13:$I$1012,I872),VLOOKUP(J872,xyWattage_Table,10,FALSE))),"")</f>
        <v/>
      </c>
      <c r="L872" s="539" t="str">
        <f t="shared" si="303"/>
        <v/>
      </c>
      <c r="M872" s="540">
        <f>IF(Inventory!N869="","",Inventory!N869)</f>
        <v>0</v>
      </c>
      <c r="N872" s="533" t="str">
        <f t="shared" si="304"/>
        <v/>
      </c>
      <c r="O872" s="534"/>
      <c r="P872" s="533" t="str">
        <f t="shared" si="305"/>
        <v/>
      </c>
      <c r="Q872" s="534" t="str">
        <f>IF(Inventory!L869="","",Inventory!L869)</f>
        <v/>
      </c>
      <c r="R872" s="535" t="str">
        <f t="shared" si="306"/>
        <v/>
      </c>
      <c r="S872" s="536" t="str">
        <f>IF(Inventory!O869="","",Inventory!O869)</f>
        <v/>
      </c>
      <c r="T872" s="541" t="str">
        <f>IFERROR(IF(C872="","",IF(INDEX(xyWattage_Table,MATCH(M872,'Fixture Identities'!$B$9:$B$997,0),2)="Exit Sign",8760,IF(VLOOKUP(C872,xySpace_Type_Details,8,FALSE)="TRM",INDEX('General Information'!$AF$17:$AG$28,11,MATCH(N872,'General Information'!$AF$16:$AG$16,0)),HLOOKUP(VLOOKUP(C872,xySpace_Type_Details,8,FALSE),'General Information'!$P$15:$AG$28,13,FALSE)))),"")</f>
        <v/>
      </c>
      <c r="U872" s="542" t="str">
        <f>IFERROR(IF(C872="","",IF(INDEX(xyWattage_Table,MATCH(M872,'Fixture Identities'!$B$9:$B$997,0),2)="Exit Sign",1,IF(VLOOKUP(C872,xySpace_Type_Details,8,FALSE)="TRM",INDEX('General Information'!$AF$17:$AG$28,12,MATCH(N872,'General Information'!$AF$16:$AG$16,0)),HLOOKUP(VLOOKUP(C872,xySpace_Type_Details,8,FALSE),'General Information'!$P$15:$AG$28,14,FALSE)))),"")</f>
        <v/>
      </c>
      <c r="V872" s="542" t="str">
        <f>IFERROR(VLOOKUP(INDEX(xySpace_Type_Details,MATCH($C872,'General Information'!$C$40:$C$60,0),12),Lookups!$L$8:$N$12,2,FALSE),"")</f>
        <v/>
      </c>
      <c r="W872" s="542" t="str">
        <f>IFERROR(VLOOKUP(INDEX(xySpace_Type_Details,MATCH($C872,'General Information'!$C$40:$C$60,0),12),Lookups!$L$8:$N$12,3,FALSE),"")</f>
        <v/>
      </c>
      <c r="Y872" s="542" t="str">
        <f>IFERROR(IF(C872="","",IF(INDEX(xyWattage_Table,MATCH(M872,'Fixture Identities'!$B$9:$B$997,0),2)="Exit Sign",0,IF(PRJ_Type="Retrofit",VLOOKUP(I872,xySVG_Factors,2,FALSE),IF(AND(PRJ_Type="New Construction",Inventory!C869="N"),VLOOKUP(VLOOKUP(Building_Type,xyLPD_BuildingArea,5,FALSE),xySVG_Factors_NC,3,FALSE),0)))),"")</f>
        <v/>
      </c>
      <c r="Z872" s="544" t="str">
        <f>IFERROR(IF(C872="","",IF(INDEX(xyWattage_Table,MATCH(M872,'Fixture Identities'!$B$9:$B$997,0),2)="Exit Sign",0,VLOOKUP(S872,xySVG_Factors,2,FALSE))),"")</f>
        <v/>
      </c>
      <c r="AA872" s="545" t="str">
        <f t="shared" si="307"/>
        <v/>
      </c>
      <c r="AB872" s="542" t="str">
        <f t="shared" si="308"/>
        <v/>
      </c>
      <c r="AC872" s="539" t="str">
        <f t="shared" si="309"/>
        <v/>
      </c>
      <c r="AD872" s="546" t="str">
        <f t="shared" si="310"/>
        <v/>
      </c>
      <c r="AE872" s="539" t="str">
        <f t="shared" si="311"/>
        <v/>
      </c>
      <c r="AF872" s="546" t="str">
        <f t="shared" si="312"/>
        <v/>
      </c>
      <c r="AG872" s="539" t="str">
        <f t="shared" si="313"/>
        <v/>
      </c>
      <c r="AH872" s="32">
        <f t="shared" si="315"/>
        <v>0</v>
      </c>
      <c r="AI872" s="32">
        <f t="shared" si="316"/>
        <v>0</v>
      </c>
      <c r="AJ872" s="32">
        <f t="shared" si="317"/>
        <v>0</v>
      </c>
      <c r="AK872" t="str">
        <f t="shared" si="318"/>
        <v/>
      </c>
      <c r="AL872" t="str">
        <f t="shared" si="319"/>
        <v/>
      </c>
      <c r="AM872" t="str">
        <f t="shared" si="320"/>
        <v/>
      </c>
      <c r="AO872" t="str">
        <f>IFERROR(VLOOKUP(M872,'Fixture Identities'!$B$9:$O$1045,14,FALSE),"")</f>
        <v/>
      </c>
      <c r="AP872" t="str">
        <f t="shared" si="314"/>
        <v/>
      </c>
    </row>
    <row r="873" spans="1:42">
      <c r="A873" s="71">
        <f t="shared" si="322"/>
        <v>0</v>
      </c>
      <c r="B873" s="513">
        <f t="shared" si="321"/>
        <v>861</v>
      </c>
      <c r="C873" s="530" t="str">
        <f>IF(Inventory!E870="","",Inventory!E870)</f>
        <v/>
      </c>
      <c r="D873" s="531">
        <f>IF(Inventory!D870="",0,Inventory!D870)</f>
        <v>0</v>
      </c>
      <c r="E873" s="532" t="str">
        <f>IF(Inventory!I870=0,"",Inventory!I870)</f>
        <v/>
      </c>
      <c r="F873" s="533" t="str">
        <f t="shared" si="301"/>
        <v/>
      </c>
      <c r="G873" s="534" t="str">
        <f>IF(Inventory!G870="","",Inventory!G870)</f>
        <v/>
      </c>
      <c r="H873" s="535" t="str">
        <f t="shared" si="302"/>
        <v/>
      </c>
      <c r="I873" s="536" t="str">
        <f>IF(Inventory!J870="","",Inventory!J870)</f>
        <v/>
      </c>
      <c r="J873" s="537" t="str">
        <f>IFERROR(IF(PRJ_Type="New Construction",IF(Inventory!C870="N",INDEX(xyLPD_BuildingArea,MATCH(Building_Type,Lookups!$F$37:$F$75,0),4),INDEX(xyLPD_SpaceBySpace,MATCH(INDEX(xyNCEx,MATCH(I873,yNCExArea,0),2),ySpace_by_Space_Type,0),2)),VLOOKUP(E873,xyWattage_Table,11,FALSE)),"")</f>
        <v/>
      </c>
      <c r="K873" s="538" t="str">
        <f>IFERROR(IF(AND(NC_Type="Building Area Method",Inventory!C870="N"),IF(ISERROR(INDEX('Usage Groups (&gt;120 MWh only)'!$N$8:$N$12,MATCH(C873,'Usage Groups (&gt;120 MWh only)'!$B$8:$B$12,0),1))=TRUE,SqFt/COUNTIFS(Inventory!$C$10:$C$1009,"N",$Q$13:$Q$1012,"&gt;=0"),INDEX('Usage Groups (&gt;120 MWh only)'!$N$8:$N$12,MATCH(C873,'Usage Groups (&gt;120 MWh only)'!$B$8:$B$12,0),1)/COUNTIF($C$13:$C$1012,C873)),IF(AND(NC_Type="Building Area Method",Inventory!C870="Y"),INDEX(xyNCEx,MATCH(I873,yNCExArea,0),3)/COUNTIF($I$13:$I$1012,I873),VLOOKUP(J873,xyWattage_Table,10,FALSE))),"")</f>
        <v/>
      </c>
      <c r="L873" s="539" t="str">
        <f t="shared" si="303"/>
        <v/>
      </c>
      <c r="M873" s="540">
        <f>IF(Inventory!N870="","",Inventory!N870)</f>
        <v>0</v>
      </c>
      <c r="N873" s="533" t="str">
        <f t="shared" si="304"/>
        <v/>
      </c>
      <c r="O873" s="534"/>
      <c r="P873" s="533" t="str">
        <f t="shared" si="305"/>
        <v/>
      </c>
      <c r="Q873" s="534" t="str">
        <f>IF(Inventory!L870="","",Inventory!L870)</f>
        <v/>
      </c>
      <c r="R873" s="535" t="str">
        <f t="shared" si="306"/>
        <v/>
      </c>
      <c r="S873" s="536" t="str">
        <f>IF(Inventory!O870="","",Inventory!O870)</f>
        <v/>
      </c>
      <c r="T873" s="541" t="str">
        <f>IFERROR(IF(C873="","",IF(INDEX(xyWattage_Table,MATCH(M873,'Fixture Identities'!$B$9:$B$997,0),2)="Exit Sign",8760,IF(VLOOKUP(C873,xySpace_Type_Details,8,FALSE)="TRM",INDEX('General Information'!$AF$17:$AG$28,11,MATCH(N873,'General Information'!$AF$16:$AG$16,0)),HLOOKUP(VLOOKUP(C873,xySpace_Type_Details,8,FALSE),'General Information'!$P$15:$AG$28,13,FALSE)))),"")</f>
        <v/>
      </c>
      <c r="U873" s="542" t="str">
        <f>IFERROR(IF(C873="","",IF(INDEX(xyWattage_Table,MATCH(M873,'Fixture Identities'!$B$9:$B$997,0),2)="Exit Sign",1,IF(VLOOKUP(C873,xySpace_Type_Details,8,FALSE)="TRM",INDEX('General Information'!$AF$17:$AG$28,12,MATCH(N873,'General Information'!$AF$16:$AG$16,0)),HLOOKUP(VLOOKUP(C873,xySpace_Type_Details,8,FALSE),'General Information'!$P$15:$AG$28,14,FALSE)))),"")</f>
        <v/>
      </c>
      <c r="V873" s="542" t="str">
        <f>IFERROR(VLOOKUP(INDEX(xySpace_Type_Details,MATCH($C873,'General Information'!$C$40:$C$60,0),12),Lookups!$L$8:$N$12,2,FALSE),"")</f>
        <v/>
      </c>
      <c r="W873" s="542" t="str">
        <f>IFERROR(VLOOKUP(INDEX(xySpace_Type_Details,MATCH($C873,'General Information'!$C$40:$C$60,0),12),Lookups!$L$8:$N$12,3,FALSE),"")</f>
        <v/>
      </c>
      <c r="Y873" s="542" t="str">
        <f>IFERROR(IF(C873="","",IF(INDEX(xyWattage_Table,MATCH(M873,'Fixture Identities'!$B$9:$B$997,0),2)="Exit Sign",0,IF(PRJ_Type="Retrofit",VLOOKUP(I873,xySVG_Factors,2,FALSE),IF(AND(PRJ_Type="New Construction",Inventory!C870="N"),VLOOKUP(VLOOKUP(Building_Type,xyLPD_BuildingArea,5,FALSE),xySVG_Factors_NC,3,FALSE),0)))),"")</f>
        <v/>
      </c>
      <c r="Z873" s="544" t="str">
        <f>IFERROR(IF(C873="","",IF(INDEX(xyWattage_Table,MATCH(M873,'Fixture Identities'!$B$9:$B$997,0),2)="Exit Sign",0,VLOOKUP(S873,xySVG_Factors,2,FALSE))),"")</f>
        <v/>
      </c>
      <c r="AA873" s="545" t="str">
        <f t="shared" si="307"/>
        <v/>
      </c>
      <c r="AB873" s="542" t="str">
        <f t="shared" si="308"/>
        <v/>
      </c>
      <c r="AC873" s="539" t="str">
        <f t="shared" si="309"/>
        <v/>
      </c>
      <c r="AD873" s="546" t="str">
        <f t="shared" si="310"/>
        <v/>
      </c>
      <c r="AE873" s="539" t="str">
        <f t="shared" si="311"/>
        <v/>
      </c>
      <c r="AF873" s="546" t="str">
        <f t="shared" si="312"/>
        <v/>
      </c>
      <c r="AG873" s="539" t="str">
        <f t="shared" si="313"/>
        <v/>
      </c>
      <c r="AH873" s="32">
        <f t="shared" si="315"/>
        <v>0</v>
      </c>
      <c r="AI873" s="32">
        <f t="shared" si="316"/>
        <v>0</v>
      </c>
      <c r="AJ873" s="32">
        <f t="shared" si="317"/>
        <v>0</v>
      </c>
      <c r="AK873" t="str">
        <f t="shared" si="318"/>
        <v/>
      </c>
      <c r="AL873" t="str">
        <f t="shared" si="319"/>
        <v/>
      </c>
      <c r="AM873" t="str">
        <f t="shared" si="320"/>
        <v/>
      </c>
      <c r="AO873" t="str">
        <f>IFERROR(VLOOKUP(M873,'Fixture Identities'!$B$9:$O$1045,14,FALSE),"")</f>
        <v/>
      </c>
      <c r="AP873" t="str">
        <f t="shared" si="314"/>
        <v/>
      </c>
    </row>
    <row r="874" spans="1:42">
      <c r="A874" s="71">
        <f t="shared" si="322"/>
        <v>0</v>
      </c>
      <c r="B874" s="513">
        <f t="shared" si="321"/>
        <v>862</v>
      </c>
      <c r="C874" s="530" t="str">
        <f>IF(Inventory!E871="","",Inventory!E871)</f>
        <v/>
      </c>
      <c r="D874" s="531">
        <f>IF(Inventory!D871="",0,Inventory!D871)</f>
        <v>0</v>
      </c>
      <c r="E874" s="532" t="str">
        <f>IF(Inventory!I871=0,"",Inventory!I871)</f>
        <v/>
      </c>
      <c r="F874" s="533" t="str">
        <f t="shared" si="301"/>
        <v/>
      </c>
      <c r="G874" s="534" t="str">
        <f>IF(Inventory!G871="","",Inventory!G871)</f>
        <v/>
      </c>
      <c r="H874" s="535" t="str">
        <f t="shared" si="302"/>
        <v/>
      </c>
      <c r="I874" s="536" t="str">
        <f>IF(Inventory!J871="","",Inventory!J871)</f>
        <v/>
      </c>
      <c r="J874" s="537" t="str">
        <f>IFERROR(IF(PRJ_Type="New Construction",IF(Inventory!C871="N",INDEX(xyLPD_BuildingArea,MATCH(Building_Type,Lookups!$F$37:$F$75,0),4),INDEX(xyLPD_SpaceBySpace,MATCH(INDEX(xyNCEx,MATCH(I874,yNCExArea,0),2),ySpace_by_Space_Type,0),2)),VLOOKUP(E874,xyWattage_Table,11,FALSE)),"")</f>
        <v/>
      </c>
      <c r="K874" s="538" t="str">
        <f>IFERROR(IF(AND(NC_Type="Building Area Method",Inventory!C871="N"),IF(ISERROR(INDEX('Usage Groups (&gt;120 MWh only)'!$N$8:$N$12,MATCH(C874,'Usage Groups (&gt;120 MWh only)'!$B$8:$B$12,0),1))=TRUE,SqFt/COUNTIFS(Inventory!$C$10:$C$1009,"N",$Q$13:$Q$1012,"&gt;=0"),INDEX('Usage Groups (&gt;120 MWh only)'!$N$8:$N$12,MATCH(C874,'Usage Groups (&gt;120 MWh only)'!$B$8:$B$12,0),1)/COUNTIF($C$13:$C$1012,C874)),IF(AND(NC_Type="Building Area Method",Inventory!C871="Y"),INDEX(xyNCEx,MATCH(I874,yNCExArea,0),3)/COUNTIF($I$13:$I$1012,I874),VLOOKUP(J874,xyWattage_Table,10,FALSE))),"")</f>
        <v/>
      </c>
      <c r="L874" s="539" t="str">
        <f t="shared" si="303"/>
        <v/>
      </c>
      <c r="M874" s="540">
        <f>IF(Inventory!N871="","",Inventory!N871)</f>
        <v>0</v>
      </c>
      <c r="N874" s="533" t="str">
        <f t="shared" si="304"/>
        <v/>
      </c>
      <c r="O874" s="534"/>
      <c r="P874" s="533" t="str">
        <f t="shared" si="305"/>
        <v/>
      </c>
      <c r="Q874" s="534" t="str">
        <f>IF(Inventory!L871="","",Inventory!L871)</f>
        <v/>
      </c>
      <c r="R874" s="535" t="str">
        <f t="shared" si="306"/>
        <v/>
      </c>
      <c r="S874" s="536" t="str">
        <f>IF(Inventory!O871="","",Inventory!O871)</f>
        <v/>
      </c>
      <c r="T874" s="541" t="str">
        <f>IFERROR(IF(C874="","",IF(INDEX(xyWattage_Table,MATCH(M874,'Fixture Identities'!$B$9:$B$997,0),2)="Exit Sign",8760,IF(VLOOKUP(C874,xySpace_Type_Details,8,FALSE)="TRM",INDEX('General Information'!$AF$17:$AG$28,11,MATCH(N874,'General Information'!$AF$16:$AG$16,0)),HLOOKUP(VLOOKUP(C874,xySpace_Type_Details,8,FALSE),'General Information'!$P$15:$AG$28,13,FALSE)))),"")</f>
        <v/>
      </c>
      <c r="U874" s="542" t="str">
        <f>IFERROR(IF(C874="","",IF(INDEX(xyWattage_Table,MATCH(M874,'Fixture Identities'!$B$9:$B$997,0),2)="Exit Sign",1,IF(VLOOKUP(C874,xySpace_Type_Details,8,FALSE)="TRM",INDEX('General Information'!$AF$17:$AG$28,12,MATCH(N874,'General Information'!$AF$16:$AG$16,0)),HLOOKUP(VLOOKUP(C874,xySpace_Type_Details,8,FALSE),'General Information'!$P$15:$AG$28,14,FALSE)))),"")</f>
        <v/>
      </c>
      <c r="V874" s="542" t="str">
        <f>IFERROR(VLOOKUP(INDEX(xySpace_Type_Details,MATCH($C874,'General Information'!$C$40:$C$60,0),12),Lookups!$L$8:$N$12,2,FALSE),"")</f>
        <v/>
      </c>
      <c r="W874" s="542" t="str">
        <f>IFERROR(VLOOKUP(INDEX(xySpace_Type_Details,MATCH($C874,'General Information'!$C$40:$C$60,0),12),Lookups!$L$8:$N$12,3,FALSE),"")</f>
        <v/>
      </c>
      <c r="Y874" s="542" t="str">
        <f>IFERROR(IF(C874="","",IF(INDEX(xyWattage_Table,MATCH(M874,'Fixture Identities'!$B$9:$B$997,0),2)="Exit Sign",0,IF(PRJ_Type="Retrofit",VLOOKUP(I874,xySVG_Factors,2,FALSE),IF(AND(PRJ_Type="New Construction",Inventory!C871="N"),VLOOKUP(VLOOKUP(Building_Type,xyLPD_BuildingArea,5,FALSE),xySVG_Factors_NC,3,FALSE),0)))),"")</f>
        <v/>
      </c>
      <c r="Z874" s="544" t="str">
        <f>IFERROR(IF(C874="","",IF(INDEX(xyWattage_Table,MATCH(M874,'Fixture Identities'!$B$9:$B$997,0),2)="Exit Sign",0,VLOOKUP(S874,xySVG_Factors,2,FALSE))),"")</f>
        <v/>
      </c>
      <c r="AA874" s="545" t="str">
        <f t="shared" si="307"/>
        <v/>
      </c>
      <c r="AB874" s="542" t="str">
        <f t="shared" si="308"/>
        <v/>
      </c>
      <c r="AC874" s="539" t="str">
        <f t="shared" si="309"/>
        <v/>
      </c>
      <c r="AD874" s="546" t="str">
        <f t="shared" si="310"/>
        <v/>
      </c>
      <c r="AE874" s="539" t="str">
        <f t="shared" si="311"/>
        <v/>
      </c>
      <c r="AF874" s="546" t="str">
        <f t="shared" si="312"/>
        <v/>
      </c>
      <c r="AG874" s="539" t="str">
        <f t="shared" si="313"/>
        <v/>
      </c>
      <c r="AH874" s="32">
        <f t="shared" si="315"/>
        <v>0</v>
      </c>
      <c r="AI874" s="32">
        <f t="shared" si="316"/>
        <v>0</v>
      </c>
      <c r="AJ874" s="32">
        <f t="shared" si="317"/>
        <v>0</v>
      </c>
      <c r="AK874" t="str">
        <f t="shared" si="318"/>
        <v/>
      </c>
      <c r="AL874" t="str">
        <f t="shared" si="319"/>
        <v/>
      </c>
      <c r="AM874" t="str">
        <f t="shared" si="320"/>
        <v/>
      </c>
      <c r="AO874" t="str">
        <f>IFERROR(VLOOKUP(M874,'Fixture Identities'!$B$9:$O$1045,14,FALSE),"")</f>
        <v/>
      </c>
      <c r="AP874" t="str">
        <f t="shared" si="314"/>
        <v/>
      </c>
    </row>
    <row r="875" spans="1:42">
      <c r="A875" s="71">
        <f t="shared" si="322"/>
        <v>0</v>
      </c>
      <c r="B875" s="513">
        <f t="shared" si="321"/>
        <v>863</v>
      </c>
      <c r="C875" s="530" t="str">
        <f>IF(Inventory!E872="","",Inventory!E872)</f>
        <v/>
      </c>
      <c r="D875" s="531">
        <f>IF(Inventory!D872="",0,Inventory!D872)</f>
        <v>0</v>
      </c>
      <c r="E875" s="532" t="str">
        <f>IF(Inventory!I872=0,"",Inventory!I872)</f>
        <v/>
      </c>
      <c r="F875" s="533" t="str">
        <f t="shared" si="301"/>
        <v/>
      </c>
      <c r="G875" s="534" t="str">
        <f>IF(Inventory!G872="","",Inventory!G872)</f>
        <v/>
      </c>
      <c r="H875" s="535" t="str">
        <f t="shared" si="302"/>
        <v/>
      </c>
      <c r="I875" s="536" t="str">
        <f>IF(Inventory!J872="","",Inventory!J872)</f>
        <v/>
      </c>
      <c r="J875" s="537" t="str">
        <f>IFERROR(IF(PRJ_Type="New Construction",IF(Inventory!C872="N",INDEX(xyLPD_BuildingArea,MATCH(Building_Type,Lookups!$F$37:$F$75,0),4),INDEX(xyLPD_SpaceBySpace,MATCH(INDEX(xyNCEx,MATCH(I875,yNCExArea,0),2),ySpace_by_Space_Type,0),2)),VLOOKUP(E875,xyWattage_Table,11,FALSE)),"")</f>
        <v/>
      </c>
      <c r="K875" s="538" t="str">
        <f>IFERROR(IF(AND(NC_Type="Building Area Method",Inventory!C872="N"),IF(ISERROR(INDEX('Usage Groups (&gt;120 MWh only)'!$N$8:$N$12,MATCH(C875,'Usage Groups (&gt;120 MWh only)'!$B$8:$B$12,0),1))=TRUE,SqFt/COUNTIFS(Inventory!$C$10:$C$1009,"N",$Q$13:$Q$1012,"&gt;=0"),INDEX('Usage Groups (&gt;120 MWh only)'!$N$8:$N$12,MATCH(C875,'Usage Groups (&gt;120 MWh only)'!$B$8:$B$12,0),1)/COUNTIF($C$13:$C$1012,C875)),IF(AND(NC_Type="Building Area Method",Inventory!C872="Y"),INDEX(xyNCEx,MATCH(I875,yNCExArea,0),3)/COUNTIF($I$13:$I$1012,I875),VLOOKUP(J875,xyWattage_Table,10,FALSE))),"")</f>
        <v/>
      </c>
      <c r="L875" s="539" t="str">
        <f t="shared" si="303"/>
        <v/>
      </c>
      <c r="M875" s="540">
        <f>IF(Inventory!N872="","",Inventory!N872)</f>
        <v>0</v>
      </c>
      <c r="N875" s="533" t="str">
        <f t="shared" si="304"/>
        <v/>
      </c>
      <c r="O875" s="534"/>
      <c r="P875" s="533" t="str">
        <f t="shared" si="305"/>
        <v/>
      </c>
      <c r="Q875" s="534" t="str">
        <f>IF(Inventory!L872="","",Inventory!L872)</f>
        <v/>
      </c>
      <c r="R875" s="535" t="str">
        <f t="shared" si="306"/>
        <v/>
      </c>
      <c r="S875" s="536" t="str">
        <f>IF(Inventory!O872="","",Inventory!O872)</f>
        <v/>
      </c>
      <c r="T875" s="541" t="str">
        <f>IFERROR(IF(C875="","",IF(INDEX(xyWattage_Table,MATCH(M875,'Fixture Identities'!$B$9:$B$997,0),2)="Exit Sign",8760,IF(VLOOKUP(C875,xySpace_Type_Details,8,FALSE)="TRM",INDEX('General Information'!$AF$17:$AG$28,11,MATCH(N875,'General Information'!$AF$16:$AG$16,0)),HLOOKUP(VLOOKUP(C875,xySpace_Type_Details,8,FALSE),'General Information'!$P$15:$AG$28,13,FALSE)))),"")</f>
        <v/>
      </c>
      <c r="U875" s="542" t="str">
        <f>IFERROR(IF(C875="","",IF(INDEX(xyWattage_Table,MATCH(M875,'Fixture Identities'!$B$9:$B$997,0),2)="Exit Sign",1,IF(VLOOKUP(C875,xySpace_Type_Details,8,FALSE)="TRM",INDEX('General Information'!$AF$17:$AG$28,12,MATCH(N875,'General Information'!$AF$16:$AG$16,0)),HLOOKUP(VLOOKUP(C875,xySpace_Type_Details,8,FALSE),'General Information'!$P$15:$AG$28,14,FALSE)))),"")</f>
        <v/>
      </c>
      <c r="V875" s="542" t="str">
        <f>IFERROR(VLOOKUP(INDEX(xySpace_Type_Details,MATCH($C875,'General Information'!$C$40:$C$60,0),12),Lookups!$L$8:$N$12,2,FALSE),"")</f>
        <v/>
      </c>
      <c r="W875" s="542" t="str">
        <f>IFERROR(VLOOKUP(INDEX(xySpace_Type_Details,MATCH($C875,'General Information'!$C$40:$C$60,0),12),Lookups!$L$8:$N$12,3,FALSE),"")</f>
        <v/>
      </c>
      <c r="Y875" s="542" t="str">
        <f>IFERROR(IF(C875="","",IF(INDEX(xyWattage_Table,MATCH(M875,'Fixture Identities'!$B$9:$B$997,0),2)="Exit Sign",0,IF(PRJ_Type="Retrofit",VLOOKUP(I875,xySVG_Factors,2,FALSE),IF(AND(PRJ_Type="New Construction",Inventory!C872="N"),VLOOKUP(VLOOKUP(Building_Type,xyLPD_BuildingArea,5,FALSE),xySVG_Factors_NC,3,FALSE),0)))),"")</f>
        <v/>
      </c>
      <c r="Z875" s="544" t="str">
        <f>IFERROR(IF(C875="","",IF(INDEX(xyWattage_Table,MATCH(M875,'Fixture Identities'!$B$9:$B$997,0),2)="Exit Sign",0,VLOOKUP(S875,xySVG_Factors,2,FALSE))),"")</f>
        <v/>
      </c>
      <c r="AA875" s="545" t="str">
        <f t="shared" si="307"/>
        <v/>
      </c>
      <c r="AB875" s="542" t="str">
        <f t="shared" si="308"/>
        <v/>
      </c>
      <c r="AC875" s="539" t="str">
        <f t="shared" si="309"/>
        <v/>
      </c>
      <c r="AD875" s="546" t="str">
        <f t="shared" si="310"/>
        <v/>
      </c>
      <c r="AE875" s="539" t="str">
        <f t="shared" si="311"/>
        <v/>
      </c>
      <c r="AF875" s="546" t="str">
        <f t="shared" si="312"/>
        <v/>
      </c>
      <c r="AG875" s="539" t="str">
        <f t="shared" si="313"/>
        <v/>
      </c>
      <c r="AH875" s="32">
        <f t="shared" si="315"/>
        <v>0</v>
      </c>
      <c r="AI875" s="32">
        <f t="shared" si="316"/>
        <v>0</v>
      </c>
      <c r="AJ875" s="32">
        <f t="shared" si="317"/>
        <v>0</v>
      </c>
      <c r="AK875" t="str">
        <f t="shared" si="318"/>
        <v/>
      </c>
      <c r="AL875" t="str">
        <f t="shared" si="319"/>
        <v/>
      </c>
      <c r="AM875" t="str">
        <f t="shared" si="320"/>
        <v/>
      </c>
      <c r="AO875" t="str">
        <f>IFERROR(VLOOKUP(M875,'Fixture Identities'!$B$9:$O$1045,14,FALSE),"")</f>
        <v/>
      </c>
      <c r="AP875" t="str">
        <f t="shared" si="314"/>
        <v/>
      </c>
    </row>
    <row r="876" spans="1:42">
      <c r="A876" s="71">
        <f t="shared" si="322"/>
        <v>0</v>
      </c>
      <c r="B876" s="513">
        <f t="shared" si="321"/>
        <v>864</v>
      </c>
      <c r="C876" s="530" t="str">
        <f>IF(Inventory!E873="","",Inventory!E873)</f>
        <v/>
      </c>
      <c r="D876" s="531">
        <f>IF(Inventory!D873="",0,Inventory!D873)</f>
        <v>0</v>
      </c>
      <c r="E876" s="532" t="str">
        <f>IF(Inventory!I873=0,"",Inventory!I873)</f>
        <v/>
      </c>
      <c r="F876" s="533" t="str">
        <f t="shared" si="301"/>
        <v/>
      </c>
      <c r="G876" s="534" t="str">
        <f>IF(Inventory!G873="","",Inventory!G873)</f>
        <v/>
      </c>
      <c r="H876" s="535" t="str">
        <f t="shared" si="302"/>
        <v/>
      </c>
      <c r="I876" s="536" t="str">
        <f>IF(Inventory!J873="","",Inventory!J873)</f>
        <v/>
      </c>
      <c r="J876" s="537" t="str">
        <f>IFERROR(IF(PRJ_Type="New Construction",IF(Inventory!C873="N",INDEX(xyLPD_BuildingArea,MATCH(Building_Type,Lookups!$F$37:$F$75,0),4),INDEX(xyLPD_SpaceBySpace,MATCH(INDEX(xyNCEx,MATCH(I876,yNCExArea,0),2),ySpace_by_Space_Type,0),2)),VLOOKUP(E876,xyWattage_Table,11,FALSE)),"")</f>
        <v/>
      </c>
      <c r="K876" s="538" t="str">
        <f>IFERROR(IF(AND(NC_Type="Building Area Method",Inventory!C873="N"),IF(ISERROR(INDEX('Usage Groups (&gt;120 MWh only)'!$N$8:$N$12,MATCH(C876,'Usage Groups (&gt;120 MWh only)'!$B$8:$B$12,0),1))=TRUE,SqFt/COUNTIFS(Inventory!$C$10:$C$1009,"N",$Q$13:$Q$1012,"&gt;=0"),INDEX('Usage Groups (&gt;120 MWh only)'!$N$8:$N$12,MATCH(C876,'Usage Groups (&gt;120 MWh only)'!$B$8:$B$12,0),1)/COUNTIF($C$13:$C$1012,C876)),IF(AND(NC_Type="Building Area Method",Inventory!C873="Y"),INDEX(xyNCEx,MATCH(I876,yNCExArea,0),3)/COUNTIF($I$13:$I$1012,I876),VLOOKUP(J876,xyWattage_Table,10,FALSE))),"")</f>
        <v/>
      </c>
      <c r="L876" s="539" t="str">
        <f t="shared" si="303"/>
        <v/>
      </c>
      <c r="M876" s="540">
        <f>IF(Inventory!N873="","",Inventory!N873)</f>
        <v>0</v>
      </c>
      <c r="N876" s="533" t="str">
        <f t="shared" si="304"/>
        <v/>
      </c>
      <c r="O876" s="534"/>
      <c r="P876" s="533" t="str">
        <f t="shared" si="305"/>
        <v/>
      </c>
      <c r="Q876" s="534" t="str">
        <f>IF(Inventory!L873="","",Inventory!L873)</f>
        <v/>
      </c>
      <c r="R876" s="535" t="str">
        <f t="shared" si="306"/>
        <v/>
      </c>
      <c r="S876" s="536" t="str">
        <f>IF(Inventory!O873="","",Inventory!O873)</f>
        <v/>
      </c>
      <c r="T876" s="541" t="str">
        <f>IFERROR(IF(C876="","",IF(INDEX(xyWattage_Table,MATCH(M876,'Fixture Identities'!$B$9:$B$997,0),2)="Exit Sign",8760,IF(VLOOKUP(C876,xySpace_Type_Details,8,FALSE)="TRM",INDEX('General Information'!$AF$17:$AG$28,11,MATCH(N876,'General Information'!$AF$16:$AG$16,0)),HLOOKUP(VLOOKUP(C876,xySpace_Type_Details,8,FALSE),'General Information'!$P$15:$AG$28,13,FALSE)))),"")</f>
        <v/>
      </c>
      <c r="U876" s="542" t="str">
        <f>IFERROR(IF(C876="","",IF(INDEX(xyWattage_Table,MATCH(M876,'Fixture Identities'!$B$9:$B$997,0),2)="Exit Sign",1,IF(VLOOKUP(C876,xySpace_Type_Details,8,FALSE)="TRM",INDEX('General Information'!$AF$17:$AG$28,12,MATCH(N876,'General Information'!$AF$16:$AG$16,0)),HLOOKUP(VLOOKUP(C876,xySpace_Type_Details,8,FALSE),'General Information'!$P$15:$AG$28,14,FALSE)))),"")</f>
        <v/>
      </c>
      <c r="V876" s="542" t="str">
        <f>IFERROR(VLOOKUP(INDEX(xySpace_Type_Details,MATCH($C876,'General Information'!$C$40:$C$60,0),12),Lookups!$L$8:$N$12,2,FALSE),"")</f>
        <v/>
      </c>
      <c r="W876" s="542" t="str">
        <f>IFERROR(VLOOKUP(INDEX(xySpace_Type_Details,MATCH($C876,'General Information'!$C$40:$C$60,0),12),Lookups!$L$8:$N$12,3,FALSE),"")</f>
        <v/>
      </c>
      <c r="Y876" s="542" t="str">
        <f>IFERROR(IF(C876="","",IF(INDEX(xyWattage_Table,MATCH(M876,'Fixture Identities'!$B$9:$B$997,0),2)="Exit Sign",0,IF(PRJ_Type="Retrofit",VLOOKUP(I876,xySVG_Factors,2,FALSE),IF(AND(PRJ_Type="New Construction",Inventory!C873="N"),VLOOKUP(VLOOKUP(Building_Type,xyLPD_BuildingArea,5,FALSE),xySVG_Factors_NC,3,FALSE),0)))),"")</f>
        <v/>
      </c>
      <c r="Z876" s="544" t="str">
        <f>IFERROR(IF(C876="","",IF(INDEX(xyWattage_Table,MATCH(M876,'Fixture Identities'!$B$9:$B$997,0),2)="Exit Sign",0,VLOOKUP(S876,xySVG_Factors,2,FALSE))),"")</f>
        <v/>
      </c>
      <c r="AA876" s="545" t="str">
        <f t="shared" si="307"/>
        <v/>
      </c>
      <c r="AB876" s="542" t="str">
        <f t="shared" si="308"/>
        <v/>
      </c>
      <c r="AC876" s="539" t="str">
        <f t="shared" si="309"/>
        <v/>
      </c>
      <c r="AD876" s="546" t="str">
        <f t="shared" si="310"/>
        <v/>
      </c>
      <c r="AE876" s="539" t="str">
        <f t="shared" si="311"/>
        <v/>
      </c>
      <c r="AF876" s="546" t="str">
        <f t="shared" si="312"/>
        <v/>
      </c>
      <c r="AG876" s="539" t="str">
        <f t="shared" si="313"/>
        <v/>
      </c>
      <c r="AH876" s="32">
        <f t="shared" si="315"/>
        <v>0</v>
      </c>
      <c r="AI876" s="32">
        <f t="shared" si="316"/>
        <v>0</v>
      </c>
      <c r="AJ876" s="32">
        <f t="shared" si="317"/>
        <v>0</v>
      </c>
      <c r="AK876" t="str">
        <f t="shared" si="318"/>
        <v/>
      </c>
      <c r="AL876" t="str">
        <f t="shared" si="319"/>
        <v/>
      </c>
      <c r="AM876" t="str">
        <f t="shared" si="320"/>
        <v/>
      </c>
      <c r="AO876" t="str">
        <f>IFERROR(VLOOKUP(M876,'Fixture Identities'!$B$9:$O$1045,14,FALSE),"")</f>
        <v/>
      </c>
      <c r="AP876" t="str">
        <f t="shared" si="314"/>
        <v/>
      </c>
    </row>
    <row r="877" spans="1:42">
      <c r="A877" s="71">
        <f t="shared" si="322"/>
        <v>0</v>
      </c>
      <c r="B877" s="513">
        <f t="shared" si="321"/>
        <v>865</v>
      </c>
      <c r="C877" s="530" t="str">
        <f>IF(Inventory!E874="","",Inventory!E874)</f>
        <v/>
      </c>
      <c r="D877" s="531">
        <f>IF(Inventory!D874="",0,Inventory!D874)</f>
        <v>0</v>
      </c>
      <c r="E877" s="532" t="str">
        <f>IF(Inventory!I874=0,"",Inventory!I874)</f>
        <v/>
      </c>
      <c r="F877" s="533" t="str">
        <f t="shared" si="301"/>
        <v/>
      </c>
      <c r="G877" s="534" t="str">
        <f>IF(Inventory!G874="","",Inventory!G874)</f>
        <v/>
      </c>
      <c r="H877" s="535" t="str">
        <f t="shared" si="302"/>
        <v/>
      </c>
      <c r="I877" s="536" t="str">
        <f>IF(Inventory!J874="","",Inventory!J874)</f>
        <v/>
      </c>
      <c r="J877" s="537" t="str">
        <f>IFERROR(IF(PRJ_Type="New Construction",IF(Inventory!C874="N",INDEX(xyLPD_BuildingArea,MATCH(Building_Type,Lookups!$F$37:$F$75,0),4),INDEX(xyLPD_SpaceBySpace,MATCH(INDEX(xyNCEx,MATCH(I877,yNCExArea,0),2),ySpace_by_Space_Type,0),2)),VLOOKUP(E877,xyWattage_Table,11,FALSE)),"")</f>
        <v/>
      </c>
      <c r="K877" s="538" t="str">
        <f>IFERROR(IF(AND(NC_Type="Building Area Method",Inventory!C874="N"),IF(ISERROR(INDEX('Usage Groups (&gt;120 MWh only)'!$N$8:$N$12,MATCH(C877,'Usage Groups (&gt;120 MWh only)'!$B$8:$B$12,0),1))=TRUE,SqFt/COUNTIFS(Inventory!$C$10:$C$1009,"N",$Q$13:$Q$1012,"&gt;=0"),INDEX('Usage Groups (&gt;120 MWh only)'!$N$8:$N$12,MATCH(C877,'Usage Groups (&gt;120 MWh only)'!$B$8:$B$12,0),1)/COUNTIF($C$13:$C$1012,C877)),IF(AND(NC_Type="Building Area Method",Inventory!C874="Y"),INDEX(xyNCEx,MATCH(I877,yNCExArea,0),3)/COUNTIF($I$13:$I$1012,I877),VLOOKUP(J877,xyWattage_Table,10,FALSE))),"")</f>
        <v/>
      </c>
      <c r="L877" s="539" t="str">
        <f t="shared" si="303"/>
        <v/>
      </c>
      <c r="M877" s="540">
        <f>IF(Inventory!N874="","",Inventory!N874)</f>
        <v>0</v>
      </c>
      <c r="N877" s="533" t="str">
        <f t="shared" si="304"/>
        <v/>
      </c>
      <c r="O877" s="534"/>
      <c r="P877" s="533" t="str">
        <f t="shared" si="305"/>
        <v/>
      </c>
      <c r="Q877" s="534" t="str">
        <f>IF(Inventory!L874="","",Inventory!L874)</f>
        <v/>
      </c>
      <c r="R877" s="535" t="str">
        <f t="shared" si="306"/>
        <v/>
      </c>
      <c r="S877" s="536" t="str">
        <f>IF(Inventory!O874="","",Inventory!O874)</f>
        <v/>
      </c>
      <c r="T877" s="541" t="str">
        <f>IFERROR(IF(C877="","",IF(INDEX(xyWattage_Table,MATCH(M877,'Fixture Identities'!$B$9:$B$997,0),2)="Exit Sign",8760,IF(VLOOKUP(C877,xySpace_Type_Details,8,FALSE)="TRM",INDEX('General Information'!$AF$17:$AG$28,11,MATCH(N877,'General Information'!$AF$16:$AG$16,0)),HLOOKUP(VLOOKUP(C877,xySpace_Type_Details,8,FALSE),'General Information'!$P$15:$AG$28,13,FALSE)))),"")</f>
        <v/>
      </c>
      <c r="U877" s="542" t="str">
        <f>IFERROR(IF(C877="","",IF(INDEX(xyWattage_Table,MATCH(M877,'Fixture Identities'!$B$9:$B$997,0),2)="Exit Sign",1,IF(VLOOKUP(C877,xySpace_Type_Details,8,FALSE)="TRM",INDEX('General Information'!$AF$17:$AG$28,12,MATCH(N877,'General Information'!$AF$16:$AG$16,0)),HLOOKUP(VLOOKUP(C877,xySpace_Type_Details,8,FALSE),'General Information'!$P$15:$AG$28,14,FALSE)))),"")</f>
        <v/>
      </c>
      <c r="V877" s="542" t="str">
        <f>IFERROR(VLOOKUP(INDEX(xySpace_Type_Details,MATCH($C877,'General Information'!$C$40:$C$60,0),12),Lookups!$L$8:$N$12,2,FALSE),"")</f>
        <v/>
      </c>
      <c r="W877" s="542" t="str">
        <f>IFERROR(VLOOKUP(INDEX(xySpace_Type_Details,MATCH($C877,'General Information'!$C$40:$C$60,0),12),Lookups!$L$8:$N$12,3,FALSE),"")</f>
        <v/>
      </c>
      <c r="Y877" s="542" t="str">
        <f>IFERROR(IF(C877="","",IF(INDEX(xyWattage_Table,MATCH(M877,'Fixture Identities'!$B$9:$B$997,0),2)="Exit Sign",0,IF(PRJ_Type="Retrofit",VLOOKUP(I877,xySVG_Factors,2,FALSE),IF(AND(PRJ_Type="New Construction",Inventory!C874="N"),VLOOKUP(VLOOKUP(Building_Type,xyLPD_BuildingArea,5,FALSE),xySVG_Factors_NC,3,FALSE),0)))),"")</f>
        <v/>
      </c>
      <c r="Z877" s="544" t="str">
        <f>IFERROR(IF(C877="","",IF(INDEX(xyWattage_Table,MATCH(M877,'Fixture Identities'!$B$9:$B$997,0),2)="Exit Sign",0,VLOOKUP(S877,xySVG_Factors,2,FALSE))),"")</f>
        <v/>
      </c>
      <c r="AA877" s="545" t="str">
        <f t="shared" si="307"/>
        <v/>
      </c>
      <c r="AB877" s="542" t="str">
        <f t="shared" si="308"/>
        <v/>
      </c>
      <c r="AC877" s="539" t="str">
        <f t="shared" si="309"/>
        <v/>
      </c>
      <c r="AD877" s="546" t="str">
        <f t="shared" si="310"/>
        <v/>
      </c>
      <c r="AE877" s="539" t="str">
        <f t="shared" si="311"/>
        <v/>
      </c>
      <c r="AF877" s="546" t="str">
        <f t="shared" si="312"/>
        <v/>
      </c>
      <c r="AG877" s="539" t="str">
        <f t="shared" si="313"/>
        <v/>
      </c>
      <c r="AH877" s="32">
        <f t="shared" si="315"/>
        <v>0</v>
      </c>
      <c r="AI877" s="32">
        <f t="shared" si="316"/>
        <v>0</v>
      </c>
      <c r="AJ877" s="32">
        <f t="shared" si="317"/>
        <v>0</v>
      </c>
      <c r="AK877" t="str">
        <f t="shared" si="318"/>
        <v/>
      </c>
      <c r="AL877" t="str">
        <f t="shared" si="319"/>
        <v/>
      </c>
      <c r="AM877" t="str">
        <f t="shared" si="320"/>
        <v/>
      </c>
      <c r="AO877" t="str">
        <f>IFERROR(VLOOKUP(M877,'Fixture Identities'!$B$9:$O$1045,14,FALSE),"")</f>
        <v/>
      </c>
      <c r="AP877" t="str">
        <f t="shared" si="314"/>
        <v/>
      </c>
    </row>
    <row r="878" spans="1:42">
      <c r="A878" s="71">
        <f t="shared" si="322"/>
        <v>0</v>
      </c>
      <c r="B878" s="513">
        <f t="shared" si="321"/>
        <v>866</v>
      </c>
      <c r="C878" s="530" t="str">
        <f>IF(Inventory!E875="","",Inventory!E875)</f>
        <v/>
      </c>
      <c r="D878" s="531">
        <f>IF(Inventory!D875="",0,Inventory!D875)</f>
        <v>0</v>
      </c>
      <c r="E878" s="532" t="str">
        <f>IF(Inventory!I875=0,"",Inventory!I875)</f>
        <v/>
      </c>
      <c r="F878" s="533" t="str">
        <f t="shared" si="301"/>
        <v/>
      </c>
      <c r="G878" s="534" t="str">
        <f>IF(Inventory!G875="","",Inventory!G875)</f>
        <v/>
      </c>
      <c r="H878" s="535" t="str">
        <f t="shared" si="302"/>
        <v/>
      </c>
      <c r="I878" s="536" t="str">
        <f>IF(Inventory!J875="","",Inventory!J875)</f>
        <v/>
      </c>
      <c r="J878" s="537" t="str">
        <f>IFERROR(IF(PRJ_Type="New Construction",IF(Inventory!C875="N",INDEX(xyLPD_BuildingArea,MATCH(Building_Type,Lookups!$F$37:$F$75,0),4),INDEX(xyLPD_SpaceBySpace,MATCH(INDEX(xyNCEx,MATCH(I878,yNCExArea,0),2),ySpace_by_Space_Type,0),2)),VLOOKUP(E878,xyWattage_Table,11,FALSE)),"")</f>
        <v/>
      </c>
      <c r="K878" s="538" t="str">
        <f>IFERROR(IF(AND(NC_Type="Building Area Method",Inventory!C875="N"),IF(ISERROR(INDEX('Usage Groups (&gt;120 MWh only)'!$N$8:$N$12,MATCH(C878,'Usage Groups (&gt;120 MWh only)'!$B$8:$B$12,0),1))=TRUE,SqFt/COUNTIFS(Inventory!$C$10:$C$1009,"N",$Q$13:$Q$1012,"&gt;=0"),INDEX('Usage Groups (&gt;120 MWh only)'!$N$8:$N$12,MATCH(C878,'Usage Groups (&gt;120 MWh only)'!$B$8:$B$12,0),1)/COUNTIF($C$13:$C$1012,C878)),IF(AND(NC_Type="Building Area Method",Inventory!C875="Y"),INDEX(xyNCEx,MATCH(I878,yNCExArea,0),3)/COUNTIF($I$13:$I$1012,I878),VLOOKUP(J878,xyWattage_Table,10,FALSE))),"")</f>
        <v/>
      </c>
      <c r="L878" s="539" t="str">
        <f t="shared" si="303"/>
        <v/>
      </c>
      <c r="M878" s="540">
        <f>IF(Inventory!N875="","",Inventory!N875)</f>
        <v>0</v>
      </c>
      <c r="N878" s="533" t="str">
        <f t="shared" si="304"/>
        <v/>
      </c>
      <c r="O878" s="534"/>
      <c r="P878" s="533" t="str">
        <f t="shared" si="305"/>
        <v/>
      </c>
      <c r="Q878" s="534" t="str">
        <f>IF(Inventory!L875="","",Inventory!L875)</f>
        <v/>
      </c>
      <c r="R878" s="535" t="str">
        <f t="shared" si="306"/>
        <v/>
      </c>
      <c r="S878" s="536" t="str">
        <f>IF(Inventory!O875="","",Inventory!O875)</f>
        <v/>
      </c>
      <c r="T878" s="541" t="str">
        <f>IFERROR(IF(C878="","",IF(INDEX(xyWattage_Table,MATCH(M878,'Fixture Identities'!$B$9:$B$997,0),2)="Exit Sign",8760,IF(VLOOKUP(C878,xySpace_Type_Details,8,FALSE)="TRM",INDEX('General Information'!$AF$17:$AG$28,11,MATCH(N878,'General Information'!$AF$16:$AG$16,0)),HLOOKUP(VLOOKUP(C878,xySpace_Type_Details,8,FALSE),'General Information'!$P$15:$AG$28,13,FALSE)))),"")</f>
        <v/>
      </c>
      <c r="U878" s="542" t="str">
        <f>IFERROR(IF(C878="","",IF(INDEX(xyWattage_Table,MATCH(M878,'Fixture Identities'!$B$9:$B$997,0),2)="Exit Sign",1,IF(VLOOKUP(C878,xySpace_Type_Details,8,FALSE)="TRM",INDEX('General Information'!$AF$17:$AG$28,12,MATCH(N878,'General Information'!$AF$16:$AG$16,0)),HLOOKUP(VLOOKUP(C878,xySpace_Type_Details,8,FALSE),'General Information'!$P$15:$AG$28,14,FALSE)))),"")</f>
        <v/>
      </c>
      <c r="V878" s="542" t="str">
        <f>IFERROR(VLOOKUP(INDEX(xySpace_Type_Details,MATCH($C878,'General Information'!$C$40:$C$60,0),12),Lookups!$L$8:$N$12,2,FALSE),"")</f>
        <v/>
      </c>
      <c r="W878" s="542" t="str">
        <f>IFERROR(VLOOKUP(INDEX(xySpace_Type_Details,MATCH($C878,'General Information'!$C$40:$C$60,0),12),Lookups!$L$8:$N$12,3,FALSE),"")</f>
        <v/>
      </c>
      <c r="Y878" s="542" t="str">
        <f>IFERROR(IF(C878="","",IF(INDEX(xyWattage_Table,MATCH(M878,'Fixture Identities'!$B$9:$B$997,0),2)="Exit Sign",0,IF(PRJ_Type="Retrofit",VLOOKUP(I878,xySVG_Factors,2,FALSE),IF(AND(PRJ_Type="New Construction",Inventory!C875="N"),VLOOKUP(VLOOKUP(Building_Type,xyLPD_BuildingArea,5,FALSE),xySVG_Factors_NC,3,FALSE),0)))),"")</f>
        <v/>
      </c>
      <c r="Z878" s="544" t="str">
        <f>IFERROR(IF(C878="","",IF(INDEX(xyWattage_Table,MATCH(M878,'Fixture Identities'!$B$9:$B$997,0),2)="Exit Sign",0,VLOOKUP(S878,xySVG_Factors,2,FALSE))),"")</f>
        <v/>
      </c>
      <c r="AA878" s="545" t="str">
        <f t="shared" si="307"/>
        <v/>
      </c>
      <c r="AB878" s="542" t="str">
        <f t="shared" si="308"/>
        <v/>
      </c>
      <c r="AC878" s="539" t="str">
        <f t="shared" si="309"/>
        <v/>
      </c>
      <c r="AD878" s="546" t="str">
        <f t="shared" si="310"/>
        <v/>
      </c>
      <c r="AE878" s="539" t="str">
        <f t="shared" si="311"/>
        <v/>
      </c>
      <c r="AF878" s="546" t="str">
        <f t="shared" si="312"/>
        <v/>
      </c>
      <c r="AG878" s="539" t="str">
        <f t="shared" si="313"/>
        <v/>
      </c>
      <c r="AH878" s="32">
        <f t="shared" si="315"/>
        <v>0</v>
      </c>
      <c r="AI878" s="32">
        <f t="shared" si="316"/>
        <v>0</v>
      </c>
      <c r="AJ878" s="32">
        <f t="shared" si="317"/>
        <v>0</v>
      </c>
      <c r="AK878" t="str">
        <f t="shared" si="318"/>
        <v/>
      </c>
      <c r="AL878" t="str">
        <f t="shared" si="319"/>
        <v/>
      </c>
      <c r="AM878" t="str">
        <f t="shared" si="320"/>
        <v/>
      </c>
      <c r="AO878" t="str">
        <f>IFERROR(VLOOKUP(M878,'Fixture Identities'!$B$9:$O$1045,14,FALSE),"")</f>
        <v/>
      </c>
      <c r="AP878" t="str">
        <f t="shared" si="314"/>
        <v/>
      </c>
    </row>
    <row r="879" spans="1:42">
      <c r="A879" s="71">
        <f t="shared" si="322"/>
        <v>0</v>
      </c>
      <c r="B879" s="513">
        <f t="shared" si="321"/>
        <v>867</v>
      </c>
      <c r="C879" s="530" t="str">
        <f>IF(Inventory!E876="","",Inventory!E876)</f>
        <v/>
      </c>
      <c r="D879" s="531">
        <f>IF(Inventory!D876="",0,Inventory!D876)</f>
        <v>0</v>
      </c>
      <c r="E879" s="532" t="str">
        <f>IF(Inventory!I876=0,"",Inventory!I876)</f>
        <v/>
      </c>
      <c r="F879" s="533" t="str">
        <f t="shared" si="301"/>
        <v/>
      </c>
      <c r="G879" s="534" t="str">
        <f>IF(Inventory!G876="","",Inventory!G876)</f>
        <v/>
      </c>
      <c r="H879" s="535" t="str">
        <f t="shared" si="302"/>
        <v/>
      </c>
      <c r="I879" s="536" t="str">
        <f>IF(Inventory!J876="","",Inventory!J876)</f>
        <v/>
      </c>
      <c r="J879" s="537" t="str">
        <f>IFERROR(IF(PRJ_Type="New Construction",IF(Inventory!C876="N",INDEX(xyLPD_BuildingArea,MATCH(Building_Type,Lookups!$F$37:$F$75,0),4),INDEX(xyLPD_SpaceBySpace,MATCH(INDEX(xyNCEx,MATCH(I879,yNCExArea,0),2),ySpace_by_Space_Type,0),2)),VLOOKUP(E879,xyWattage_Table,11,FALSE)),"")</f>
        <v/>
      </c>
      <c r="K879" s="538" t="str">
        <f>IFERROR(IF(AND(NC_Type="Building Area Method",Inventory!C876="N"),IF(ISERROR(INDEX('Usage Groups (&gt;120 MWh only)'!$N$8:$N$12,MATCH(C879,'Usage Groups (&gt;120 MWh only)'!$B$8:$B$12,0),1))=TRUE,SqFt/COUNTIFS(Inventory!$C$10:$C$1009,"N",$Q$13:$Q$1012,"&gt;=0"),INDEX('Usage Groups (&gt;120 MWh only)'!$N$8:$N$12,MATCH(C879,'Usage Groups (&gt;120 MWh only)'!$B$8:$B$12,0),1)/COUNTIF($C$13:$C$1012,C879)),IF(AND(NC_Type="Building Area Method",Inventory!C876="Y"),INDEX(xyNCEx,MATCH(I879,yNCExArea,0),3)/COUNTIF($I$13:$I$1012,I879),VLOOKUP(J879,xyWattage_Table,10,FALSE))),"")</f>
        <v/>
      </c>
      <c r="L879" s="539" t="str">
        <f t="shared" si="303"/>
        <v/>
      </c>
      <c r="M879" s="540">
        <f>IF(Inventory!N876="","",Inventory!N876)</f>
        <v>0</v>
      </c>
      <c r="N879" s="533" t="str">
        <f t="shared" si="304"/>
        <v/>
      </c>
      <c r="O879" s="534"/>
      <c r="P879" s="533" t="str">
        <f t="shared" si="305"/>
        <v/>
      </c>
      <c r="Q879" s="534" t="str">
        <f>IF(Inventory!L876="","",Inventory!L876)</f>
        <v/>
      </c>
      <c r="R879" s="535" t="str">
        <f t="shared" si="306"/>
        <v/>
      </c>
      <c r="S879" s="536" t="str">
        <f>IF(Inventory!O876="","",Inventory!O876)</f>
        <v/>
      </c>
      <c r="T879" s="541" t="str">
        <f>IFERROR(IF(C879="","",IF(INDEX(xyWattage_Table,MATCH(M879,'Fixture Identities'!$B$9:$B$997,0),2)="Exit Sign",8760,IF(VLOOKUP(C879,xySpace_Type_Details,8,FALSE)="TRM",INDEX('General Information'!$AF$17:$AG$28,11,MATCH(N879,'General Information'!$AF$16:$AG$16,0)),HLOOKUP(VLOOKUP(C879,xySpace_Type_Details,8,FALSE),'General Information'!$P$15:$AG$28,13,FALSE)))),"")</f>
        <v/>
      </c>
      <c r="U879" s="542" t="str">
        <f>IFERROR(IF(C879="","",IF(INDEX(xyWattage_Table,MATCH(M879,'Fixture Identities'!$B$9:$B$997,0),2)="Exit Sign",1,IF(VLOOKUP(C879,xySpace_Type_Details,8,FALSE)="TRM",INDEX('General Information'!$AF$17:$AG$28,12,MATCH(N879,'General Information'!$AF$16:$AG$16,0)),HLOOKUP(VLOOKUP(C879,xySpace_Type_Details,8,FALSE),'General Information'!$P$15:$AG$28,14,FALSE)))),"")</f>
        <v/>
      </c>
      <c r="V879" s="542" t="str">
        <f>IFERROR(VLOOKUP(INDEX(xySpace_Type_Details,MATCH($C879,'General Information'!$C$40:$C$60,0),12),Lookups!$L$8:$N$12,2,FALSE),"")</f>
        <v/>
      </c>
      <c r="W879" s="542" t="str">
        <f>IFERROR(VLOOKUP(INDEX(xySpace_Type_Details,MATCH($C879,'General Information'!$C$40:$C$60,0),12),Lookups!$L$8:$N$12,3,FALSE),"")</f>
        <v/>
      </c>
      <c r="Y879" s="542" t="str">
        <f>IFERROR(IF(C879="","",IF(INDEX(xyWattage_Table,MATCH(M879,'Fixture Identities'!$B$9:$B$997,0),2)="Exit Sign",0,IF(PRJ_Type="Retrofit",VLOOKUP(I879,xySVG_Factors,2,FALSE),IF(AND(PRJ_Type="New Construction",Inventory!C876="N"),VLOOKUP(VLOOKUP(Building_Type,xyLPD_BuildingArea,5,FALSE),xySVG_Factors_NC,3,FALSE),0)))),"")</f>
        <v/>
      </c>
      <c r="Z879" s="544" t="str">
        <f>IFERROR(IF(C879="","",IF(INDEX(xyWattage_Table,MATCH(M879,'Fixture Identities'!$B$9:$B$997,0),2)="Exit Sign",0,VLOOKUP(S879,xySVG_Factors,2,FALSE))),"")</f>
        <v/>
      </c>
      <c r="AA879" s="545" t="str">
        <f t="shared" si="307"/>
        <v/>
      </c>
      <c r="AB879" s="542" t="str">
        <f t="shared" si="308"/>
        <v/>
      </c>
      <c r="AC879" s="539" t="str">
        <f t="shared" si="309"/>
        <v/>
      </c>
      <c r="AD879" s="546" t="str">
        <f t="shared" si="310"/>
        <v/>
      </c>
      <c r="AE879" s="539" t="str">
        <f t="shared" si="311"/>
        <v/>
      </c>
      <c r="AF879" s="546" t="str">
        <f t="shared" si="312"/>
        <v/>
      </c>
      <c r="AG879" s="539" t="str">
        <f t="shared" si="313"/>
        <v/>
      </c>
      <c r="AH879" s="32">
        <f t="shared" si="315"/>
        <v>0</v>
      </c>
      <c r="AI879" s="32">
        <f t="shared" si="316"/>
        <v>0</v>
      </c>
      <c r="AJ879" s="32">
        <f t="shared" si="317"/>
        <v>0</v>
      </c>
      <c r="AK879" t="str">
        <f t="shared" si="318"/>
        <v/>
      </c>
      <c r="AL879" t="str">
        <f t="shared" si="319"/>
        <v/>
      </c>
      <c r="AM879" t="str">
        <f t="shared" si="320"/>
        <v/>
      </c>
      <c r="AO879" t="str">
        <f>IFERROR(VLOOKUP(M879,'Fixture Identities'!$B$9:$O$1045,14,FALSE),"")</f>
        <v/>
      </c>
      <c r="AP879" t="str">
        <f t="shared" si="314"/>
        <v/>
      </c>
    </row>
    <row r="880" spans="1:42">
      <c r="A880" s="71">
        <f t="shared" si="322"/>
        <v>0</v>
      </c>
      <c r="B880" s="513">
        <f t="shared" si="321"/>
        <v>868</v>
      </c>
      <c r="C880" s="530" t="str">
        <f>IF(Inventory!E877="","",Inventory!E877)</f>
        <v/>
      </c>
      <c r="D880" s="531">
        <f>IF(Inventory!D877="",0,Inventory!D877)</f>
        <v>0</v>
      </c>
      <c r="E880" s="532" t="str">
        <f>IF(Inventory!I877=0,"",Inventory!I877)</f>
        <v/>
      </c>
      <c r="F880" s="533" t="str">
        <f t="shared" si="301"/>
        <v/>
      </c>
      <c r="G880" s="534" t="str">
        <f>IF(Inventory!G877="","",Inventory!G877)</f>
        <v/>
      </c>
      <c r="H880" s="535" t="str">
        <f t="shared" si="302"/>
        <v/>
      </c>
      <c r="I880" s="536" t="str">
        <f>IF(Inventory!J877="","",Inventory!J877)</f>
        <v/>
      </c>
      <c r="J880" s="537" t="str">
        <f>IFERROR(IF(PRJ_Type="New Construction",IF(Inventory!C877="N",INDEX(xyLPD_BuildingArea,MATCH(Building_Type,Lookups!$F$37:$F$75,0),4),INDEX(xyLPD_SpaceBySpace,MATCH(INDEX(xyNCEx,MATCH(I880,yNCExArea,0),2),ySpace_by_Space_Type,0),2)),VLOOKUP(E880,xyWattage_Table,11,FALSE)),"")</f>
        <v/>
      </c>
      <c r="K880" s="538" t="str">
        <f>IFERROR(IF(AND(NC_Type="Building Area Method",Inventory!C877="N"),IF(ISERROR(INDEX('Usage Groups (&gt;120 MWh only)'!$N$8:$N$12,MATCH(C880,'Usage Groups (&gt;120 MWh only)'!$B$8:$B$12,0),1))=TRUE,SqFt/COUNTIFS(Inventory!$C$10:$C$1009,"N",$Q$13:$Q$1012,"&gt;=0"),INDEX('Usage Groups (&gt;120 MWh only)'!$N$8:$N$12,MATCH(C880,'Usage Groups (&gt;120 MWh only)'!$B$8:$B$12,0),1)/COUNTIF($C$13:$C$1012,C880)),IF(AND(NC_Type="Building Area Method",Inventory!C877="Y"),INDEX(xyNCEx,MATCH(I880,yNCExArea,0),3)/COUNTIF($I$13:$I$1012,I880),VLOOKUP(J880,xyWattage_Table,10,FALSE))),"")</f>
        <v/>
      </c>
      <c r="L880" s="539" t="str">
        <f t="shared" si="303"/>
        <v/>
      </c>
      <c r="M880" s="540">
        <f>IF(Inventory!N877="","",Inventory!N877)</f>
        <v>0</v>
      </c>
      <c r="N880" s="533" t="str">
        <f t="shared" si="304"/>
        <v/>
      </c>
      <c r="O880" s="534"/>
      <c r="P880" s="533" t="str">
        <f t="shared" si="305"/>
        <v/>
      </c>
      <c r="Q880" s="534" t="str">
        <f>IF(Inventory!L877="","",Inventory!L877)</f>
        <v/>
      </c>
      <c r="R880" s="535" t="str">
        <f t="shared" si="306"/>
        <v/>
      </c>
      <c r="S880" s="536" t="str">
        <f>IF(Inventory!O877="","",Inventory!O877)</f>
        <v/>
      </c>
      <c r="T880" s="541" t="str">
        <f>IFERROR(IF(C880="","",IF(INDEX(xyWattage_Table,MATCH(M880,'Fixture Identities'!$B$9:$B$997,0),2)="Exit Sign",8760,IF(VLOOKUP(C880,xySpace_Type_Details,8,FALSE)="TRM",INDEX('General Information'!$AF$17:$AG$28,11,MATCH(N880,'General Information'!$AF$16:$AG$16,0)),HLOOKUP(VLOOKUP(C880,xySpace_Type_Details,8,FALSE),'General Information'!$P$15:$AG$28,13,FALSE)))),"")</f>
        <v/>
      </c>
      <c r="U880" s="542" t="str">
        <f>IFERROR(IF(C880="","",IF(INDEX(xyWattage_Table,MATCH(M880,'Fixture Identities'!$B$9:$B$997,0),2)="Exit Sign",1,IF(VLOOKUP(C880,xySpace_Type_Details,8,FALSE)="TRM",INDEX('General Information'!$AF$17:$AG$28,12,MATCH(N880,'General Information'!$AF$16:$AG$16,0)),HLOOKUP(VLOOKUP(C880,xySpace_Type_Details,8,FALSE),'General Information'!$P$15:$AG$28,14,FALSE)))),"")</f>
        <v/>
      </c>
      <c r="V880" s="542" t="str">
        <f>IFERROR(VLOOKUP(INDEX(xySpace_Type_Details,MATCH($C880,'General Information'!$C$40:$C$60,0),12),Lookups!$L$8:$N$12,2,FALSE),"")</f>
        <v/>
      </c>
      <c r="W880" s="542" t="str">
        <f>IFERROR(VLOOKUP(INDEX(xySpace_Type_Details,MATCH($C880,'General Information'!$C$40:$C$60,0),12),Lookups!$L$8:$N$12,3,FALSE),"")</f>
        <v/>
      </c>
      <c r="Y880" s="542" t="str">
        <f>IFERROR(IF(C880="","",IF(INDEX(xyWattage_Table,MATCH(M880,'Fixture Identities'!$B$9:$B$997,0),2)="Exit Sign",0,IF(PRJ_Type="Retrofit",VLOOKUP(I880,xySVG_Factors,2,FALSE),IF(AND(PRJ_Type="New Construction",Inventory!C877="N"),VLOOKUP(VLOOKUP(Building_Type,xyLPD_BuildingArea,5,FALSE),xySVG_Factors_NC,3,FALSE),0)))),"")</f>
        <v/>
      </c>
      <c r="Z880" s="544" t="str">
        <f>IFERROR(IF(C880="","",IF(INDEX(xyWattage_Table,MATCH(M880,'Fixture Identities'!$B$9:$B$997,0),2)="Exit Sign",0,VLOOKUP(S880,xySVG_Factors,2,FALSE))),"")</f>
        <v/>
      </c>
      <c r="AA880" s="545" t="str">
        <f t="shared" si="307"/>
        <v/>
      </c>
      <c r="AB880" s="542" t="str">
        <f t="shared" si="308"/>
        <v/>
      </c>
      <c r="AC880" s="539" t="str">
        <f t="shared" si="309"/>
        <v/>
      </c>
      <c r="AD880" s="546" t="str">
        <f t="shared" si="310"/>
        <v/>
      </c>
      <c r="AE880" s="539" t="str">
        <f t="shared" si="311"/>
        <v/>
      </c>
      <c r="AF880" s="546" t="str">
        <f t="shared" si="312"/>
        <v/>
      </c>
      <c r="AG880" s="539" t="str">
        <f t="shared" si="313"/>
        <v/>
      </c>
      <c r="AH880" s="32">
        <f t="shared" si="315"/>
        <v>0</v>
      </c>
      <c r="AI880" s="32">
        <f t="shared" si="316"/>
        <v>0</v>
      </c>
      <c r="AJ880" s="32">
        <f t="shared" si="317"/>
        <v>0</v>
      </c>
      <c r="AK880" t="str">
        <f t="shared" si="318"/>
        <v/>
      </c>
      <c r="AL880" t="str">
        <f t="shared" si="319"/>
        <v/>
      </c>
      <c r="AM880" t="str">
        <f t="shared" si="320"/>
        <v/>
      </c>
      <c r="AO880" t="str">
        <f>IFERROR(VLOOKUP(M880,'Fixture Identities'!$B$9:$O$1045,14,FALSE),"")</f>
        <v/>
      </c>
      <c r="AP880" t="str">
        <f t="shared" si="314"/>
        <v/>
      </c>
    </row>
    <row r="881" spans="1:42">
      <c r="A881" s="71">
        <f t="shared" si="322"/>
        <v>0</v>
      </c>
      <c r="B881" s="513">
        <f t="shared" si="321"/>
        <v>869</v>
      </c>
      <c r="C881" s="530" t="str">
        <f>IF(Inventory!E878="","",Inventory!E878)</f>
        <v/>
      </c>
      <c r="D881" s="531">
        <f>IF(Inventory!D878="",0,Inventory!D878)</f>
        <v>0</v>
      </c>
      <c r="E881" s="532" t="str">
        <f>IF(Inventory!I878=0,"",Inventory!I878)</f>
        <v/>
      </c>
      <c r="F881" s="533" t="str">
        <f t="shared" si="301"/>
        <v/>
      </c>
      <c r="G881" s="534" t="str">
        <f>IF(Inventory!G878="","",Inventory!G878)</f>
        <v/>
      </c>
      <c r="H881" s="535" t="str">
        <f t="shared" si="302"/>
        <v/>
      </c>
      <c r="I881" s="536" t="str">
        <f>IF(Inventory!J878="","",Inventory!J878)</f>
        <v/>
      </c>
      <c r="J881" s="537" t="str">
        <f>IFERROR(IF(PRJ_Type="New Construction",IF(Inventory!C878="N",INDEX(xyLPD_BuildingArea,MATCH(Building_Type,Lookups!$F$37:$F$75,0),4),INDEX(xyLPD_SpaceBySpace,MATCH(INDEX(xyNCEx,MATCH(I881,yNCExArea,0),2),ySpace_by_Space_Type,0),2)),VLOOKUP(E881,xyWattage_Table,11,FALSE)),"")</f>
        <v/>
      </c>
      <c r="K881" s="538" t="str">
        <f>IFERROR(IF(AND(NC_Type="Building Area Method",Inventory!C878="N"),IF(ISERROR(INDEX('Usage Groups (&gt;120 MWh only)'!$N$8:$N$12,MATCH(C881,'Usage Groups (&gt;120 MWh only)'!$B$8:$B$12,0),1))=TRUE,SqFt/COUNTIFS(Inventory!$C$10:$C$1009,"N",$Q$13:$Q$1012,"&gt;=0"),INDEX('Usage Groups (&gt;120 MWh only)'!$N$8:$N$12,MATCH(C881,'Usage Groups (&gt;120 MWh only)'!$B$8:$B$12,0),1)/COUNTIF($C$13:$C$1012,C881)),IF(AND(NC_Type="Building Area Method",Inventory!C878="Y"),INDEX(xyNCEx,MATCH(I881,yNCExArea,0),3)/COUNTIF($I$13:$I$1012,I881),VLOOKUP(J881,xyWattage_Table,10,FALSE))),"")</f>
        <v/>
      </c>
      <c r="L881" s="539" t="str">
        <f t="shared" si="303"/>
        <v/>
      </c>
      <c r="M881" s="540">
        <f>IF(Inventory!N878="","",Inventory!N878)</f>
        <v>0</v>
      </c>
      <c r="N881" s="533" t="str">
        <f t="shared" si="304"/>
        <v/>
      </c>
      <c r="O881" s="534"/>
      <c r="P881" s="533" t="str">
        <f t="shared" si="305"/>
        <v/>
      </c>
      <c r="Q881" s="534" t="str">
        <f>IF(Inventory!L878="","",Inventory!L878)</f>
        <v/>
      </c>
      <c r="R881" s="535" t="str">
        <f t="shared" si="306"/>
        <v/>
      </c>
      <c r="S881" s="536" t="str">
        <f>IF(Inventory!O878="","",Inventory!O878)</f>
        <v/>
      </c>
      <c r="T881" s="541" t="str">
        <f>IFERROR(IF(C881="","",IF(INDEX(xyWattage_Table,MATCH(M881,'Fixture Identities'!$B$9:$B$997,0),2)="Exit Sign",8760,IF(VLOOKUP(C881,xySpace_Type_Details,8,FALSE)="TRM",INDEX('General Information'!$AF$17:$AG$28,11,MATCH(N881,'General Information'!$AF$16:$AG$16,0)),HLOOKUP(VLOOKUP(C881,xySpace_Type_Details,8,FALSE),'General Information'!$P$15:$AG$28,13,FALSE)))),"")</f>
        <v/>
      </c>
      <c r="U881" s="542" t="str">
        <f>IFERROR(IF(C881="","",IF(INDEX(xyWattage_Table,MATCH(M881,'Fixture Identities'!$B$9:$B$997,0),2)="Exit Sign",1,IF(VLOOKUP(C881,xySpace_Type_Details,8,FALSE)="TRM",INDEX('General Information'!$AF$17:$AG$28,12,MATCH(N881,'General Information'!$AF$16:$AG$16,0)),HLOOKUP(VLOOKUP(C881,xySpace_Type_Details,8,FALSE),'General Information'!$P$15:$AG$28,14,FALSE)))),"")</f>
        <v/>
      </c>
      <c r="V881" s="542" t="str">
        <f>IFERROR(VLOOKUP(INDEX(xySpace_Type_Details,MATCH($C881,'General Information'!$C$40:$C$60,0),12),Lookups!$L$8:$N$12,2,FALSE),"")</f>
        <v/>
      </c>
      <c r="W881" s="542" t="str">
        <f>IFERROR(VLOOKUP(INDEX(xySpace_Type_Details,MATCH($C881,'General Information'!$C$40:$C$60,0),12),Lookups!$L$8:$N$12,3,FALSE),"")</f>
        <v/>
      </c>
      <c r="Y881" s="542" t="str">
        <f>IFERROR(IF(C881="","",IF(INDEX(xyWattage_Table,MATCH(M881,'Fixture Identities'!$B$9:$B$997,0),2)="Exit Sign",0,IF(PRJ_Type="Retrofit",VLOOKUP(I881,xySVG_Factors,2,FALSE),IF(AND(PRJ_Type="New Construction",Inventory!C878="N"),VLOOKUP(VLOOKUP(Building_Type,xyLPD_BuildingArea,5,FALSE),xySVG_Factors_NC,3,FALSE),0)))),"")</f>
        <v/>
      </c>
      <c r="Z881" s="544" t="str">
        <f>IFERROR(IF(C881="","",IF(INDEX(xyWattage_Table,MATCH(M881,'Fixture Identities'!$B$9:$B$997,0),2)="Exit Sign",0,VLOOKUP(S881,xySVG_Factors,2,FALSE))),"")</f>
        <v/>
      </c>
      <c r="AA881" s="545" t="str">
        <f t="shared" si="307"/>
        <v/>
      </c>
      <c r="AB881" s="542" t="str">
        <f t="shared" si="308"/>
        <v/>
      </c>
      <c r="AC881" s="539" t="str">
        <f t="shared" si="309"/>
        <v/>
      </c>
      <c r="AD881" s="546" t="str">
        <f t="shared" si="310"/>
        <v/>
      </c>
      <c r="AE881" s="539" t="str">
        <f t="shared" si="311"/>
        <v/>
      </c>
      <c r="AF881" s="546" t="str">
        <f t="shared" si="312"/>
        <v/>
      </c>
      <c r="AG881" s="539" t="str">
        <f t="shared" si="313"/>
        <v/>
      </c>
      <c r="AH881" s="32">
        <f t="shared" si="315"/>
        <v>0</v>
      </c>
      <c r="AI881" s="32">
        <f t="shared" si="316"/>
        <v>0</v>
      </c>
      <c r="AJ881" s="32">
        <f t="shared" si="317"/>
        <v>0</v>
      </c>
      <c r="AK881" t="str">
        <f t="shared" si="318"/>
        <v/>
      </c>
      <c r="AL881" t="str">
        <f t="shared" si="319"/>
        <v/>
      </c>
      <c r="AM881" t="str">
        <f t="shared" si="320"/>
        <v/>
      </c>
      <c r="AO881" t="str">
        <f>IFERROR(VLOOKUP(M881,'Fixture Identities'!$B$9:$O$1045,14,FALSE),"")</f>
        <v/>
      </c>
      <c r="AP881" t="str">
        <f t="shared" si="314"/>
        <v/>
      </c>
    </row>
    <row r="882" spans="1:42">
      <c r="A882" s="71">
        <f t="shared" si="322"/>
        <v>0</v>
      </c>
      <c r="B882" s="513">
        <f t="shared" si="321"/>
        <v>870</v>
      </c>
      <c r="C882" s="530" t="str">
        <f>IF(Inventory!E879="","",Inventory!E879)</f>
        <v/>
      </c>
      <c r="D882" s="531">
        <f>IF(Inventory!D879="",0,Inventory!D879)</f>
        <v>0</v>
      </c>
      <c r="E882" s="532" t="str">
        <f>IF(Inventory!I879=0,"",Inventory!I879)</f>
        <v/>
      </c>
      <c r="F882" s="533" t="str">
        <f t="shared" si="301"/>
        <v/>
      </c>
      <c r="G882" s="534" t="str">
        <f>IF(Inventory!G879="","",Inventory!G879)</f>
        <v/>
      </c>
      <c r="H882" s="535" t="str">
        <f t="shared" si="302"/>
        <v/>
      </c>
      <c r="I882" s="536" t="str">
        <f>IF(Inventory!J879="","",Inventory!J879)</f>
        <v/>
      </c>
      <c r="J882" s="537" t="str">
        <f>IFERROR(IF(PRJ_Type="New Construction",IF(Inventory!C879="N",INDEX(xyLPD_BuildingArea,MATCH(Building_Type,Lookups!$F$37:$F$75,0),4),INDEX(xyLPD_SpaceBySpace,MATCH(INDEX(xyNCEx,MATCH(I882,yNCExArea,0),2),ySpace_by_Space_Type,0),2)),VLOOKUP(E882,xyWattage_Table,11,FALSE)),"")</f>
        <v/>
      </c>
      <c r="K882" s="538" t="str">
        <f>IFERROR(IF(AND(NC_Type="Building Area Method",Inventory!C879="N"),IF(ISERROR(INDEX('Usage Groups (&gt;120 MWh only)'!$N$8:$N$12,MATCH(C882,'Usage Groups (&gt;120 MWh only)'!$B$8:$B$12,0),1))=TRUE,SqFt/COUNTIFS(Inventory!$C$10:$C$1009,"N",$Q$13:$Q$1012,"&gt;=0"),INDEX('Usage Groups (&gt;120 MWh only)'!$N$8:$N$12,MATCH(C882,'Usage Groups (&gt;120 MWh only)'!$B$8:$B$12,0),1)/COUNTIF($C$13:$C$1012,C882)),IF(AND(NC_Type="Building Area Method",Inventory!C879="Y"),INDEX(xyNCEx,MATCH(I882,yNCExArea,0),3)/COUNTIF($I$13:$I$1012,I882),VLOOKUP(J882,xyWattage_Table,10,FALSE))),"")</f>
        <v/>
      </c>
      <c r="L882" s="539" t="str">
        <f t="shared" si="303"/>
        <v/>
      </c>
      <c r="M882" s="540">
        <f>IF(Inventory!N879="","",Inventory!N879)</f>
        <v>0</v>
      </c>
      <c r="N882" s="533" t="str">
        <f t="shared" si="304"/>
        <v/>
      </c>
      <c r="O882" s="534"/>
      <c r="P882" s="533" t="str">
        <f t="shared" si="305"/>
        <v/>
      </c>
      <c r="Q882" s="534" t="str">
        <f>IF(Inventory!L879="","",Inventory!L879)</f>
        <v/>
      </c>
      <c r="R882" s="535" t="str">
        <f t="shared" si="306"/>
        <v/>
      </c>
      <c r="S882" s="536" t="str">
        <f>IF(Inventory!O879="","",Inventory!O879)</f>
        <v/>
      </c>
      <c r="T882" s="541" t="str">
        <f>IFERROR(IF(C882="","",IF(INDEX(xyWattage_Table,MATCH(M882,'Fixture Identities'!$B$9:$B$997,0),2)="Exit Sign",8760,IF(VLOOKUP(C882,xySpace_Type_Details,8,FALSE)="TRM",INDEX('General Information'!$AF$17:$AG$28,11,MATCH(N882,'General Information'!$AF$16:$AG$16,0)),HLOOKUP(VLOOKUP(C882,xySpace_Type_Details,8,FALSE),'General Information'!$P$15:$AG$28,13,FALSE)))),"")</f>
        <v/>
      </c>
      <c r="U882" s="542" t="str">
        <f>IFERROR(IF(C882="","",IF(INDEX(xyWattage_Table,MATCH(M882,'Fixture Identities'!$B$9:$B$997,0),2)="Exit Sign",1,IF(VLOOKUP(C882,xySpace_Type_Details,8,FALSE)="TRM",INDEX('General Information'!$AF$17:$AG$28,12,MATCH(N882,'General Information'!$AF$16:$AG$16,0)),HLOOKUP(VLOOKUP(C882,xySpace_Type_Details,8,FALSE),'General Information'!$P$15:$AG$28,14,FALSE)))),"")</f>
        <v/>
      </c>
      <c r="V882" s="542" t="str">
        <f>IFERROR(VLOOKUP(INDEX(xySpace_Type_Details,MATCH($C882,'General Information'!$C$40:$C$60,0),12),Lookups!$L$8:$N$12,2,FALSE),"")</f>
        <v/>
      </c>
      <c r="W882" s="542" t="str">
        <f>IFERROR(VLOOKUP(INDEX(xySpace_Type_Details,MATCH($C882,'General Information'!$C$40:$C$60,0),12),Lookups!$L$8:$N$12,3,FALSE),"")</f>
        <v/>
      </c>
      <c r="Y882" s="542" t="str">
        <f>IFERROR(IF(C882="","",IF(INDEX(xyWattage_Table,MATCH(M882,'Fixture Identities'!$B$9:$B$997,0),2)="Exit Sign",0,IF(PRJ_Type="Retrofit",VLOOKUP(I882,xySVG_Factors,2,FALSE),IF(AND(PRJ_Type="New Construction",Inventory!C879="N"),VLOOKUP(VLOOKUP(Building_Type,xyLPD_BuildingArea,5,FALSE),xySVG_Factors_NC,3,FALSE),0)))),"")</f>
        <v/>
      </c>
      <c r="Z882" s="544" t="str">
        <f>IFERROR(IF(C882="","",IF(INDEX(xyWattage_Table,MATCH(M882,'Fixture Identities'!$B$9:$B$997,0),2)="Exit Sign",0,VLOOKUP(S882,xySVG_Factors,2,FALSE))),"")</f>
        <v/>
      </c>
      <c r="AA882" s="545" t="str">
        <f t="shared" si="307"/>
        <v/>
      </c>
      <c r="AB882" s="542" t="str">
        <f t="shared" si="308"/>
        <v/>
      </c>
      <c r="AC882" s="539" t="str">
        <f t="shared" si="309"/>
        <v/>
      </c>
      <c r="AD882" s="546" t="str">
        <f t="shared" si="310"/>
        <v/>
      </c>
      <c r="AE882" s="539" t="str">
        <f t="shared" si="311"/>
        <v/>
      </c>
      <c r="AF882" s="546" t="str">
        <f t="shared" si="312"/>
        <v/>
      </c>
      <c r="AG882" s="539" t="str">
        <f t="shared" si="313"/>
        <v/>
      </c>
      <c r="AH882" s="32">
        <f t="shared" si="315"/>
        <v>0</v>
      </c>
      <c r="AI882" s="32">
        <f t="shared" si="316"/>
        <v>0</v>
      </c>
      <c r="AJ882" s="32">
        <f t="shared" si="317"/>
        <v>0</v>
      </c>
      <c r="AK882" t="str">
        <f t="shared" si="318"/>
        <v/>
      </c>
      <c r="AL882" t="str">
        <f t="shared" si="319"/>
        <v/>
      </c>
      <c r="AM882" t="str">
        <f t="shared" si="320"/>
        <v/>
      </c>
      <c r="AO882" t="str">
        <f>IFERROR(VLOOKUP(M882,'Fixture Identities'!$B$9:$O$1045,14,FALSE),"")</f>
        <v/>
      </c>
      <c r="AP882" t="str">
        <f t="shared" si="314"/>
        <v/>
      </c>
    </row>
    <row r="883" spans="1:42">
      <c r="A883" s="71">
        <f t="shared" si="322"/>
        <v>0</v>
      </c>
      <c r="B883" s="513">
        <f t="shared" si="321"/>
        <v>871</v>
      </c>
      <c r="C883" s="530" t="str">
        <f>IF(Inventory!E880="","",Inventory!E880)</f>
        <v/>
      </c>
      <c r="D883" s="531">
        <f>IF(Inventory!D880="",0,Inventory!D880)</f>
        <v>0</v>
      </c>
      <c r="E883" s="532" t="str">
        <f>IF(Inventory!I880=0,"",Inventory!I880)</f>
        <v/>
      </c>
      <c r="F883" s="533" t="str">
        <f t="shared" si="301"/>
        <v/>
      </c>
      <c r="G883" s="534" t="str">
        <f>IF(Inventory!G880="","",Inventory!G880)</f>
        <v/>
      </c>
      <c r="H883" s="535" t="str">
        <f t="shared" si="302"/>
        <v/>
      </c>
      <c r="I883" s="536" t="str">
        <f>IF(Inventory!J880="","",Inventory!J880)</f>
        <v/>
      </c>
      <c r="J883" s="537" t="str">
        <f>IFERROR(IF(PRJ_Type="New Construction",IF(Inventory!C880="N",INDEX(xyLPD_BuildingArea,MATCH(Building_Type,Lookups!$F$37:$F$75,0),4),INDEX(xyLPD_SpaceBySpace,MATCH(INDEX(xyNCEx,MATCH(I883,yNCExArea,0),2),ySpace_by_Space_Type,0),2)),VLOOKUP(E883,xyWattage_Table,11,FALSE)),"")</f>
        <v/>
      </c>
      <c r="K883" s="538" t="str">
        <f>IFERROR(IF(AND(NC_Type="Building Area Method",Inventory!C880="N"),IF(ISERROR(INDEX('Usage Groups (&gt;120 MWh only)'!$N$8:$N$12,MATCH(C883,'Usage Groups (&gt;120 MWh only)'!$B$8:$B$12,0),1))=TRUE,SqFt/COUNTIFS(Inventory!$C$10:$C$1009,"N",$Q$13:$Q$1012,"&gt;=0"),INDEX('Usage Groups (&gt;120 MWh only)'!$N$8:$N$12,MATCH(C883,'Usage Groups (&gt;120 MWh only)'!$B$8:$B$12,0),1)/COUNTIF($C$13:$C$1012,C883)),IF(AND(NC_Type="Building Area Method",Inventory!C880="Y"),INDEX(xyNCEx,MATCH(I883,yNCExArea,0),3)/COUNTIF($I$13:$I$1012,I883),VLOOKUP(J883,xyWattage_Table,10,FALSE))),"")</f>
        <v/>
      </c>
      <c r="L883" s="539" t="str">
        <f t="shared" si="303"/>
        <v/>
      </c>
      <c r="M883" s="540">
        <f>IF(Inventory!N880="","",Inventory!N880)</f>
        <v>0</v>
      </c>
      <c r="N883" s="533" t="str">
        <f t="shared" si="304"/>
        <v/>
      </c>
      <c r="O883" s="534"/>
      <c r="P883" s="533" t="str">
        <f t="shared" si="305"/>
        <v/>
      </c>
      <c r="Q883" s="534" t="str">
        <f>IF(Inventory!L880="","",Inventory!L880)</f>
        <v/>
      </c>
      <c r="R883" s="535" t="str">
        <f t="shared" si="306"/>
        <v/>
      </c>
      <c r="S883" s="536" t="str">
        <f>IF(Inventory!O880="","",Inventory!O880)</f>
        <v/>
      </c>
      <c r="T883" s="541" t="str">
        <f>IFERROR(IF(C883="","",IF(INDEX(xyWattage_Table,MATCH(M883,'Fixture Identities'!$B$9:$B$997,0),2)="Exit Sign",8760,IF(VLOOKUP(C883,xySpace_Type_Details,8,FALSE)="TRM",INDEX('General Information'!$AF$17:$AG$28,11,MATCH(N883,'General Information'!$AF$16:$AG$16,0)),HLOOKUP(VLOOKUP(C883,xySpace_Type_Details,8,FALSE),'General Information'!$P$15:$AG$28,13,FALSE)))),"")</f>
        <v/>
      </c>
      <c r="U883" s="542" t="str">
        <f>IFERROR(IF(C883="","",IF(INDEX(xyWattage_Table,MATCH(M883,'Fixture Identities'!$B$9:$B$997,0),2)="Exit Sign",1,IF(VLOOKUP(C883,xySpace_Type_Details,8,FALSE)="TRM",INDEX('General Information'!$AF$17:$AG$28,12,MATCH(N883,'General Information'!$AF$16:$AG$16,0)),HLOOKUP(VLOOKUP(C883,xySpace_Type_Details,8,FALSE),'General Information'!$P$15:$AG$28,14,FALSE)))),"")</f>
        <v/>
      </c>
      <c r="V883" s="542" t="str">
        <f>IFERROR(VLOOKUP(INDEX(xySpace_Type_Details,MATCH($C883,'General Information'!$C$40:$C$60,0),12),Lookups!$L$8:$N$12,2,FALSE),"")</f>
        <v/>
      </c>
      <c r="W883" s="542" t="str">
        <f>IFERROR(VLOOKUP(INDEX(xySpace_Type_Details,MATCH($C883,'General Information'!$C$40:$C$60,0),12),Lookups!$L$8:$N$12,3,FALSE),"")</f>
        <v/>
      </c>
      <c r="Y883" s="542" t="str">
        <f>IFERROR(IF(C883="","",IF(INDEX(xyWattage_Table,MATCH(M883,'Fixture Identities'!$B$9:$B$997,0),2)="Exit Sign",0,IF(PRJ_Type="Retrofit",VLOOKUP(I883,xySVG_Factors,2,FALSE),IF(AND(PRJ_Type="New Construction",Inventory!C880="N"),VLOOKUP(VLOOKUP(Building_Type,xyLPD_BuildingArea,5,FALSE),xySVG_Factors_NC,3,FALSE),0)))),"")</f>
        <v/>
      </c>
      <c r="Z883" s="544" t="str">
        <f>IFERROR(IF(C883="","",IF(INDEX(xyWattage_Table,MATCH(M883,'Fixture Identities'!$B$9:$B$997,0),2)="Exit Sign",0,VLOOKUP(S883,xySVG_Factors,2,FALSE))),"")</f>
        <v/>
      </c>
      <c r="AA883" s="545" t="str">
        <f t="shared" si="307"/>
        <v/>
      </c>
      <c r="AB883" s="542" t="str">
        <f t="shared" si="308"/>
        <v/>
      </c>
      <c r="AC883" s="539" t="str">
        <f t="shared" si="309"/>
        <v/>
      </c>
      <c r="AD883" s="546" t="str">
        <f t="shared" si="310"/>
        <v/>
      </c>
      <c r="AE883" s="539" t="str">
        <f t="shared" si="311"/>
        <v/>
      </c>
      <c r="AF883" s="546" t="str">
        <f t="shared" si="312"/>
        <v/>
      </c>
      <c r="AG883" s="539" t="str">
        <f t="shared" si="313"/>
        <v/>
      </c>
      <c r="AH883" s="32">
        <f t="shared" si="315"/>
        <v>0</v>
      </c>
      <c r="AI883" s="32">
        <f t="shared" si="316"/>
        <v>0</v>
      </c>
      <c r="AJ883" s="32">
        <f t="shared" si="317"/>
        <v>0</v>
      </c>
      <c r="AK883" t="str">
        <f t="shared" si="318"/>
        <v/>
      </c>
      <c r="AL883" t="str">
        <f t="shared" si="319"/>
        <v/>
      </c>
      <c r="AM883" t="str">
        <f t="shared" si="320"/>
        <v/>
      </c>
      <c r="AO883" t="str">
        <f>IFERROR(VLOOKUP(M883,'Fixture Identities'!$B$9:$O$1045,14,FALSE),"")</f>
        <v/>
      </c>
      <c r="AP883" t="str">
        <f t="shared" si="314"/>
        <v/>
      </c>
    </row>
    <row r="884" spans="1:42">
      <c r="A884" s="71">
        <f t="shared" si="322"/>
        <v>0</v>
      </c>
      <c r="B884" s="513">
        <f t="shared" si="321"/>
        <v>872</v>
      </c>
      <c r="C884" s="530" t="str">
        <f>IF(Inventory!E881="","",Inventory!E881)</f>
        <v/>
      </c>
      <c r="D884" s="531">
        <f>IF(Inventory!D881="",0,Inventory!D881)</f>
        <v>0</v>
      </c>
      <c r="E884" s="532" t="str">
        <f>IF(Inventory!I881=0,"",Inventory!I881)</f>
        <v/>
      </c>
      <c r="F884" s="533" t="str">
        <f t="shared" si="301"/>
        <v/>
      </c>
      <c r="G884" s="534" t="str">
        <f>IF(Inventory!G881="","",Inventory!G881)</f>
        <v/>
      </c>
      <c r="H884" s="535" t="str">
        <f t="shared" si="302"/>
        <v/>
      </c>
      <c r="I884" s="536" t="str">
        <f>IF(Inventory!J881="","",Inventory!J881)</f>
        <v/>
      </c>
      <c r="J884" s="537" t="str">
        <f>IFERROR(IF(PRJ_Type="New Construction",IF(Inventory!C881="N",INDEX(xyLPD_BuildingArea,MATCH(Building_Type,Lookups!$F$37:$F$75,0),4),INDEX(xyLPD_SpaceBySpace,MATCH(INDEX(xyNCEx,MATCH(I884,yNCExArea,0),2),ySpace_by_Space_Type,0),2)),VLOOKUP(E884,xyWattage_Table,11,FALSE)),"")</f>
        <v/>
      </c>
      <c r="K884" s="538" t="str">
        <f>IFERROR(IF(AND(NC_Type="Building Area Method",Inventory!C881="N"),IF(ISERROR(INDEX('Usage Groups (&gt;120 MWh only)'!$N$8:$N$12,MATCH(C884,'Usage Groups (&gt;120 MWh only)'!$B$8:$B$12,0),1))=TRUE,SqFt/COUNTIFS(Inventory!$C$10:$C$1009,"N",$Q$13:$Q$1012,"&gt;=0"),INDEX('Usage Groups (&gt;120 MWh only)'!$N$8:$N$12,MATCH(C884,'Usage Groups (&gt;120 MWh only)'!$B$8:$B$12,0),1)/COUNTIF($C$13:$C$1012,C884)),IF(AND(NC_Type="Building Area Method",Inventory!C881="Y"),INDEX(xyNCEx,MATCH(I884,yNCExArea,0),3)/COUNTIF($I$13:$I$1012,I884),VLOOKUP(J884,xyWattage_Table,10,FALSE))),"")</f>
        <v/>
      </c>
      <c r="L884" s="539" t="str">
        <f t="shared" si="303"/>
        <v/>
      </c>
      <c r="M884" s="540">
        <f>IF(Inventory!N881="","",Inventory!N881)</f>
        <v>0</v>
      </c>
      <c r="N884" s="533" t="str">
        <f t="shared" si="304"/>
        <v/>
      </c>
      <c r="O884" s="534"/>
      <c r="P884" s="533" t="str">
        <f t="shared" si="305"/>
        <v/>
      </c>
      <c r="Q884" s="534" t="str">
        <f>IF(Inventory!L881="","",Inventory!L881)</f>
        <v/>
      </c>
      <c r="R884" s="535" t="str">
        <f t="shared" si="306"/>
        <v/>
      </c>
      <c r="S884" s="536" t="str">
        <f>IF(Inventory!O881="","",Inventory!O881)</f>
        <v/>
      </c>
      <c r="T884" s="541" t="str">
        <f>IFERROR(IF(C884="","",IF(INDEX(xyWattage_Table,MATCH(M884,'Fixture Identities'!$B$9:$B$997,0),2)="Exit Sign",8760,IF(VLOOKUP(C884,xySpace_Type_Details,8,FALSE)="TRM",INDEX('General Information'!$AF$17:$AG$28,11,MATCH(N884,'General Information'!$AF$16:$AG$16,0)),HLOOKUP(VLOOKUP(C884,xySpace_Type_Details,8,FALSE),'General Information'!$P$15:$AG$28,13,FALSE)))),"")</f>
        <v/>
      </c>
      <c r="U884" s="542" t="str">
        <f>IFERROR(IF(C884="","",IF(INDEX(xyWattage_Table,MATCH(M884,'Fixture Identities'!$B$9:$B$997,0),2)="Exit Sign",1,IF(VLOOKUP(C884,xySpace_Type_Details,8,FALSE)="TRM",INDEX('General Information'!$AF$17:$AG$28,12,MATCH(N884,'General Information'!$AF$16:$AG$16,0)),HLOOKUP(VLOOKUP(C884,xySpace_Type_Details,8,FALSE),'General Information'!$P$15:$AG$28,14,FALSE)))),"")</f>
        <v/>
      </c>
      <c r="V884" s="542" t="str">
        <f>IFERROR(VLOOKUP(INDEX(xySpace_Type_Details,MATCH($C884,'General Information'!$C$40:$C$60,0),12),Lookups!$L$8:$N$12,2,FALSE),"")</f>
        <v/>
      </c>
      <c r="W884" s="542" t="str">
        <f>IFERROR(VLOOKUP(INDEX(xySpace_Type_Details,MATCH($C884,'General Information'!$C$40:$C$60,0),12),Lookups!$L$8:$N$12,3,FALSE),"")</f>
        <v/>
      </c>
      <c r="Y884" s="542" t="str">
        <f>IFERROR(IF(C884="","",IF(INDEX(xyWattage_Table,MATCH(M884,'Fixture Identities'!$B$9:$B$997,0),2)="Exit Sign",0,IF(PRJ_Type="Retrofit",VLOOKUP(I884,xySVG_Factors,2,FALSE),IF(AND(PRJ_Type="New Construction",Inventory!C881="N"),VLOOKUP(VLOOKUP(Building_Type,xyLPD_BuildingArea,5,FALSE),xySVG_Factors_NC,3,FALSE),0)))),"")</f>
        <v/>
      </c>
      <c r="Z884" s="544" t="str">
        <f>IFERROR(IF(C884="","",IF(INDEX(xyWattage_Table,MATCH(M884,'Fixture Identities'!$B$9:$B$997,0),2)="Exit Sign",0,VLOOKUP(S884,xySVG_Factors,2,FALSE))),"")</f>
        <v/>
      </c>
      <c r="AA884" s="545" t="str">
        <f t="shared" si="307"/>
        <v/>
      </c>
      <c r="AB884" s="542" t="str">
        <f t="shared" si="308"/>
        <v/>
      </c>
      <c r="AC884" s="539" t="str">
        <f t="shared" si="309"/>
        <v/>
      </c>
      <c r="AD884" s="546" t="str">
        <f t="shared" si="310"/>
        <v/>
      </c>
      <c r="AE884" s="539" t="str">
        <f t="shared" si="311"/>
        <v/>
      </c>
      <c r="AF884" s="546" t="str">
        <f t="shared" si="312"/>
        <v/>
      </c>
      <c r="AG884" s="539" t="str">
        <f t="shared" si="313"/>
        <v/>
      </c>
      <c r="AH884" s="32">
        <f t="shared" si="315"/>
        <v>0</v>
      </c>
      <c r="AI884" s="32">
        <f t="shared" si="316"/>
        <v>0</v>
      </c>
      <c r="AJ884" s="32">
        <f t="shared" si="317"/>
        <v>0</v>
      </c>
      <c r="AK884" t="str">
        <f t="shared" si="318"/>
        <v/>
      </c>
      <c r="AL884" t="str">
        <f t="shared" si="319"/>
        <v/>
      </c>
      <c r="AM884" t="str">
        <f t="shared" si="320"/>
        <v/>
      </c>
      <c r="AO884" t="str">
        <f>IFERROR(VLOOKUP(M884,'Fixture Identities'!$B$9:$O$1045,14,FALSE),"")</f>
        <v/>
      </c>
      <c r="AP884" t="str">
        <f t="shared" si="314"/>
        <v/>
      </c>
    </row>
    <row r="885" spans="1:42">
      <c r="A885" s="71">
        <f t="shared" si="322"/>
        <v>0</v>
      </c>
      <c r="B885" s="513">
        <f t="shared" si="321"/>
        <v>873</v>
      </c>
      <c r="C885" s="530" t="str">
        <f>IF(Inventory!E882="","",Inventory!E882)</f>
        <v/>
      </c>
      <c r="D885" s="531">
        <f>IF(Inventory!D882="",0,Inventory!D882)</f>
        <v>0</v>
      </c>
      <c r="E885" s="532" t="str">
        <f>IF(Inventory!I882=0,"",Inventory!I882)</f>
        <v/>
      </c>
      <c r="F885" s="533" t="str">
        <f t="shared" si="301"/>
        <v/>
      </c>
      <c r="G885" s="534" t="str">
        <f>IF(Inventory!G882="","",Inventory!G882)</f>
        <v/>
      </c>
      <c r="H885" s="535" t="str">
        <f t="shared" si="302"/>
        <v/>
      </c>
      <c r="I885" s="536" t="str">
        <f>IF(Inventory!J882="","",Inventory!J882)</f>
        <v/>
      </c>
      <c r="J885" s="537" t="str">
        <f>IFERROR(IF(PRJ_Type="New Construction",IF(Inventory!C882="N",INDEX(xyLPD_BuildingArea,MATCH(Building_Type,Lookups!$F$37:$F$75,0),4),INDEX(xyLPD_SpaceBySpace,MATCH(INDEX(xyNCEx,MATCH(I885,yNCExArea,0),2),ySpace_by_Space_Type,0),2)),VLOOKUP(E885,xyWattage_Table,11,FALSE)),"")</f>
        <v/>
      </c>
      <c r="K885" s="538" t="str">
        <f>IFERROR(IF(AND(NC_Type="Building Area Method",Inventory!C882="N"),IF(ISERROR(INDEX('Usage Groups (&gt;120 MWh only)'!$N$8:$N$12,MATCH(C885,'Usage Groups (&gt;120 MWh only)'!$B$8:$B$12,0),1))=TRUE,SqFt/COUNTIFS(Inventory!$C$10:$C$1009,"N",$Q$13:$Q$1012,"&gt;=0"),INDEX('Usage Groups (&gt;120 MWh only)'!$N$8:$N$12,MATCH(C885,'Usage Groups (&gt;120 MWh only)'!$B$8:$B$12,0),1)/COUNTIF($C$13:$C$1012,C885)),IF(AND(NC_Type="Building Area Method",Inventory!C882="Y"),INDEX(xyNCEx,MATCH(I885,yNCExArea,0),3)/COUNTIF($I$13:$I$1012,I885),VLOOKUP(J885,xyWattage_Table,10,FALSE))),"")</f>
        <v/>
      </c>
      <c r="L885" s="539" t="str">
        <f t="shared" si="303"/>
        <v/>
      </c>
      <c r="M885" s="540">
        <f>IF(Inventory!N882="","",Inventory!N882)</f>
        <v>0</v>
      </c>
      <c r="N885" s="533" t="str">
        <f t="shared" si="304"/>
        <v/>
      </c>
      <c r="O885" s="534"/>
      <c r="P885" s="533" t="str">
        <f t="shared" si="305"/>
        <v/>
      </c>
      <c r="Q885" s="534" t="str">
        <f>IF(Inventory!L882="","",Inventory!L882)</f>
        <v/>
      </c>
      <c r="R885" s="535" t="str">
        <f t="shared" si="306"/>
        <v/>
      </c>
      <c r="S885" s="536" t="str">
        <f>IF(Inventory!O882="","",Inventory!O882)</f>
        <v/>
      </c>
      <c r="T885" s="541" t="str">
        <f>IFERROR(IF(C885="","",IF(INDEX(xyWattage_Table,MATCH(M885,'Fixture Identities'!$B$9:$B$997,0),2)="Exit Sign",8760,IF(VLOOKUP(C885,xySpace_Type_Details,8,FALSE)="TRM",INDEX('General Information'!$AF$17:$AG$28,11,MATCH(N885,'General Information'!$AF$16:$AG$16,0)),HLOOKUP(VLOOKUP(C885,xySpace_Type_Details,8,FALSE),'General Information'!$P$15:$AG$28,13,FALSE)))),"")</f>
        <v/>
      </c>
      <c r="U885" s="542" t="str">
        <f>IFERROR(IF(C885="","",IF(INDEX(xyWattage_Table,MATCH(M885,'Fixture Identities'!$B$9:$B$997,0),2)="Exit Sign",1,IF(VLOOKUP(C885,xySpace_Type_Details,8,FALSE)="TRM",INDEX('General Information'!$AF$17:$AG$28,12,MATCH(N885,'General Information'!$AF$16:$AG$16,0)),HLOOKUP(VLOOKUP(C885,xySpace_Type_Details,8,FALSE),'General Information'!$P$15:$AG$28,14,FALSE)))),"")</f>
        <v/>
      </c>
      <c r="V885" s="542" t="str">
        <f>IFERROR(VLOOKUP(INDEX(xySpace_Type_Details,MATCH($C885,'General Information'!$C$40:$C$60,0),12),Lookups!$L$8:$N$12,2,FALSE),"")</f>
        <v/>
      </c>
      <c r="W885" s="542" t="str">
        <f>IFERROR(VLOOKUP(INDEX(xySpace_Type_Details,MATCH($C885,'General Information'!$C$40:$C$60,0),12),Lookups!$L$8:$N$12,3,FALSE),"")</f>
        <v/>
      </c>
      <c r="Y885" s="542" t="str">
        <f>IFERROR(IF(C885="","",IF(INDEX(xyWattage_Table,MATCH(M885,'Fixture Identities'!$B$9:$B$997,0),2)="Exit Sign",0,IF(PRJ_Type="Retrofit",VLOOKUP(I885,xySVG_Factors,2,FALSE),IF(AND(PRJ_Type="New Construction",Inventory!C882="N"),VLOOKUP(VLOOKUP(Building_Type,xyLPD_BuildingArea,5,FALSE),xySVG_Factors_NC,3,FALSE),0)))),"")</f>
        <v/>
      </c>
      <c r="Z885" s="544" t="str">
        <f>IFERROR(IF(C885="","",IF(INDEX(xyWattage_Table,MATCH(M885,'Fixture Identities'!$B$9:$B$997,0),2)="Exit Sign",0,VLOOKUP(S885,xySVG_Factors,2,FALSE))),"")</f>
        <v/>
      </c>
      <c r="AA885" s="545" t="str">
        <f t="shared" si="307"/>
        <v/>
      </c>
      <c r="AB885" s="542" t="str">
        <f t="shared" si="308"/>
        <v/>
      </c>
      <c r="AC885" s="539" t="str">
        <f t="shared" si="309"/>
        <v/>
      </c>
      <c r="AD885" s="546" t="str">
        <f t="shared" si="310"/>
        <v/>
      </c>
      <c r="AE885" s="539" t="str">
        <f t="shared" si="311"/>
        <v/>
      </c>
      <c r="AF885" s="546" t="str">
        <f t="shared" si="312"/>
        <v/>
      </c>
      <c r="AG885" s="539" t="str">
        <f t="shared" si="313"/>
        <v/>
      </c>
      <c r="AH885" s="32">
        <f t="shared" si="315"/>
        <v>0</v>
      </c>
      <c r="AI885" s="32">
        <f t="shared" si="316"/>
        <v>0</v>
      </c>
      <c r="AJ885" s="32">
        <f t="shared" si="317"/>
        <v>0</v>
      </c>
      <c r="AK885" t="str">
        <f t="shared" si="318"/>
        <v/>
      </c>
      <c r="AL885" t="str">
        <f t="shared" si="319"/>
        <v/>
      </c>
      <c r="AM885" t="str">
        <f t="shared" si="320"/>
        <v/>
      </c>
      <c r="AO885" t="str">
        <f>IFERROR(VLOOKUP(M885,'Fixture Identities'!$B$9:$O$1045,14,FALSE),"")</f>
        <v/>
      </c>
      <c r="AP885" t="str">
        <f t="shared" si="314"/>
        <v/>
      </c>
    </row>
    <row r="886" spans="1:42">
      <c r="A886" s="71">
        <f t="shared" si="322"/>
        <v>0</v>
      </c>
      <c r="B886" s="513">
        <f t="shared" si="321"/>
        <v>874</v>
      </c>
      <c r="C886" s="530" t="str">
        <f>IF(Inventory!E883="","",Inventory!E883)</f>
        <v/>
      </c>
      <c r="D886" s="531">
        <f>IF(Inventory!D883="",0,Inventory!D883)</f>
        <v>0</v>
      </c>
      <c r="E886" s="532" t="str">
        <f>IF(Inventory!I883=0,"",Inventory!I883)</f>
        <v/>
      </c>
      <c r="F886" s="533" t="str">
        <f t="shared" si="301"/>
        <v/>
      </c>
      <c r="G886" s="534" t="str">
        <f>IF(Inventory!G883="","",Inventory!G883)</f>
        <v/>
      </c>
      <c r="H886" s="535" t="str">
        <f t="shared" si="302"/>
        <v/>
      </c>
      <c r="I886" s="536" t="str">
        <f>IF(Inventory!J883="","",Inventory!J883)</f>
        <v/>
      </c>
      <c r="J886" s="537" t="str">
        <f>IFERROR(IF(PRJ_Type="New Construction",IF(Inventory!C883="N",INDEX(xyLPD_BuildingArea,MATCH(Building_Type,Lookups!$F$37:$F$75,0),4),INDEX(xyLPD_SpaceBySpace,MATCH(INDEX(xyNCEx,MATCH(I886,yNCExArea,0),2),ySpace_by_Space_Type,0),2)),VLOOKUP(E886,xyWattage_Table,11,FALSE)),"")</f>
        <v/>
      </c>
      <c r="K886" s="538" t="str">
        <f>IFERROR(IF(AND(NC_Type="Building Area Method",Inventory!C883="N"),IF(ISERROR(INDEX('Usage Groups (&gt;120 MWh only)'!$N$8:$N$12,MATCH(C886,'Usage Groups (&gt;120 MWh only)'!$B$8:$B$12,0),1))=TRUE,SqFt/COUNTIFS(Inventory!$C$10:$C$1009,"N",$Q$13:$Q$1012,"&gt;=0"),INDEX('Usage Groups (&gt;120 MWh only)'!$N$8:$N$12,MATCH(C886,'Usage Groups (&gt;120 MWh only)'!$B$8:$B$12,0),1)/COUNTIF($C$13:$C$1012,C886)),IF(AND(NC_Type="Building Area Method",Inventory!C883="Y"),INDEX(xyNCEx,MATCH(I886,yNCExArea,0),3)/COUNTIF($I$13:$I$1012,I886),VLOOKUP(J886,xyWattage_Table,10,FALSE))),"")</f>
        <v/>
      </c>
      <c r="L886" s="539" t="str">
        <f t="shared" si="303"/>
        <v/>
      </c>
      <c r="M886" s="540">
        <f>IF(Inventory!N883="","",Inventory!N883)</f>
        <v>0</v>
      </c>
      <c r="N886" s="533" t="str">
        <f t="shared" si="304"/>
        <v/>
      </c>
      <c r="O886" s="534"/>
      <c r="P886" s="533" t="str">
        <f t="shared" si="305"/>
        <v/>
      </c>
      <c r="Q886" s="534" t="str">
        <f>IF(Inventory!L883="","",Inventory!L883)</f>
        <v/>
      </c>
      <c r="R886" s="535" t="str">
        <f t="shared" si="306"/>
        <v/>
      </c>
      <c r="S886" s="536" t="str">
        <f>IF(Inventory!O883="","",Inventory!O883)</f>
        <v/>
      </c>
      <c r="T886" s="541" t="str">
        <f>IFERROR(IF(C886="","",IF(INDEX(xyWattage_Table,MATCH(M886,'Fixture Identities'!$B$9:$B$997,0),2)="Exit Sign",8760,IF(VLOOKUP(C886,xySpace_Type_Details,8,FALSE)="TRM",INDEX('General Information'!$AF$17:$AG$28,11,MATCH(N886,'General Information'!$AF$16:$AG$16,0)),HLOOKUP(VLOOKUP(C886,xySpace_Type_Details,8,FALSE),'General Information'!$P$15:$AG$28,13,FALSE)))),"")</f>
        <v/>
      </c>
      <c r="U886" s="542" t="str">
        <f>IFERROR(IF(C886="","",IF(INDEX(xyWattage_Table,MATCH(M886,'Fixture Identities'!$B$9:$B$997,0),2)="Exit Sign",1,IF(VLOOKUP(C886,xySpace_Type_Details,8,FALSE)="TRM",INDEX('General Information'!$AF$17:$AG$28,12,MATCH(N886,'General Information'!$AF$16:$AG$16,0)),HLOOKUP(VLOOKUP(C886,xySpace_Type_Details,8,FALSE),'General Information'!$P$15:$AG$28,14,FALSE)))),"")</f>
        <v/>
      </c>
      <c r="V886" s="542" t="str">
        <f>IFERROR(VLOOKUP(INDEX(xySpace_Type_Details,MATCH($C886,'General Information'!$C$40:$C$60,0),12),Lookups!$L$8:$N$12,2,FALSE),"")</f>
        <v/>
      </c>
      <c r="W886" s="542" t="str">
        <f>IFERROR(VLOOKUP(INDEX(xySpace_Type_Details,MATCH($C886,'General Information'!$C$40:$C$60,0),12),Lookups!$L$8:$N$12,3,FALSE),"")</f>
        <v/>
      </c>
      <c r="Y886" s="542" t="str">
        <f>IFERROR(IF(C886="","",IF(INDEX(xyWattage_Table,MATCH(M886,'Fixture Identities'!$B$9:$B$997,0),2)="Exit Sign",0,IF(PRJ_Type="Retrofit",VLOOKUP(I886,xySVG_Factors,2,FALSE),IF(AND(PRJ_Type="New Construction",Inventory!C883="N"),VLOOKUP(VLOOKUP(Building_Type,xyLPD_BuildingArea,5,FALSE),xySVG_Factors_NC,3,FALSE),0)))),"")</f>
        <v/>
      </c>
      <c r="Z886" s="544" t="str">
        <f>IFERROR(IF(C886="","",IF(INDEX(xyWattage_Table,MATCH(M886,'Fixture Identities'!$B$9:$B$997,0),2)="Exit Sign",0,VLOOKUP(S886,xySVG_Factors,2,FALSE))),"")</f>
        <v/>
      </c>
      <c r="AA886" s="545" t="str">
        <f t="shared" si="307"/>
        <v/>
      </c>
      <c r="AB886" s="542" t="str">
        <f t="shared" si="308"/>
        <v/>
      </c>
      <c r="AC886" s="539" t="str">
        <f t="shared" si="309"/>
        <v/>
      </c>
      <c r="AD886" s="546" t="str">
        <f t="shared" si="310"/>
        <v/>
      </c>
      <c r="AE886" s="539" t="str">
        <f t="shared" si="311"/>
        <v/>
      </c>
      <c r="AF886" s="546" t="str">
        <f t="shared" si="312"/>
        <v/>
      </c>
      <c r="AG886" s="539" t="str">
        <f t="shared" si="313"/>
        <v/>
      </c>
      <c r="AH886" s="32">
        <f t="shared" si="315"/>
        <v>0</v>
      </c>
      <c r="AI886" s="32">
        <f t="shared" si="316"/>
        <v>0</v>
      </c>
      <c r="AJ886" s="32">
        <f t="shared" si="317"/>
        <v>0</v>
      </c>
      <c r="AK886" t="str">
        <f t="shared" si="318"/>
        <v/>
      </c>
      <c r="AL886" t="str">
        <f t="shared" si="319"/>
        <v/>
      </c>
      <c r="AM886" t="str">
        <f t="shared" si="320"/>
        <v/>
      </c>
      <c r="AO886" t="str">
        <f>IFERROR(VLOOKUP(M886,'Fixture Identities'!$B$9:$O$1045,14,FALSE),"")</f>
        <v/>
      </c>
      <c r="AP886" t="str">
        <f t="shared" si="314"/>
        <v/>
      </c>
    </row>
    <row r="887" spans="1:42">
      <c r="A887" s="71">
        <f t="shared" si="322"/>
        <v>0</v>
      </c>
      <c r="B887" s="513">
        <f t="shared" si="321"/>
        <v>875</v>
      </c>
      <c r="C887" s="530" t="str">
        <f>IF(Inventory!E884="","",Inventory!E884)</f>
        <v/>
      </c>
      <c r="D887" s="531">
        <f>IF(Inventory!D884="",0,Inventory!D884)</f>
        <v>0</v>
      </c>
      <c r="E887" s="532" t="str">
        <f>IF(Inventory!I884=0,"",Inventory!I884)</f>
        <v/>
      </c>
      <c r="F887" s="533" t="str">
        <f t="shared" si="301"/>
        <v/>
      </c>
      <c r="G887" s="534" t="str">
        <f>IF(Inventory!G884="","",Inventory!G884)</f>
        <v/>
      </c>
      <c r="H887" s="535" t="str">
        <f t="shared" si="302"/>
        <v/>
      </c>
      <c r="I887" s="536" t="str">
        <f>IF(Inventory!J884="","",Inventory!J884)</f>
        <v/>
      </c>
      <c r="J887" s="537" t="str">
        <f>IFERROR(IF(PRJ_Type="New Construction",IF(Inventory!C884="N",INDEX(xyLPD_BuildingArea,MATCH(Building_Type,Lookups!$F$37:$F$75,0),4),INDEX(xyLPD_SpaceBySpace,MATCH(INDEX(xyNCEx,MATCH(I887,yNCExArea,0),2),ySpace_by_Space_Type,0),2)),VLOOKUP(E887,xyWattage_Table,11,FALSE)),"")</f>
        <v/>
      </c>
      <c r="K887" s="538" t="str">
        <f>IFERROR(IF(AND(NC_Type="Building Area Method",Inventory!C884="N"),IF(ISERROR(INDEX('Usage Groups (&gt;120 MWh only)'!$N$8:$N$12,MATCH(C887,'Usage Groups (&gt;120 MWh only)'!$B$8:$B$12,0),1))=TRUE,SqFt/COUNTIFS(Inventory!$C$10:$C$1009,"N",$Q$13:$Q$1012,"&gt;=0"),INDEX('Usage Groups (&gt;120 MWh only)'!$N$8:$N$12,MATCH(C887,'Usage Groups (&gt;120 MWh only)'!$B$8:$B$12,0),1)/COUNTIF($C$13:$C$1012,C887)),IF(AND(NC_Type="Building Area Method",Inventory!C884="Y"),INDEX(xyNCEx,MATCH(I887,yNCExArea,0),3)/COUNTIF($I$13:$I$1012,I887),VLOOKUP(J887,xyWattage_Table,10,FALSE))),"")</f>
        <v/>
      </c>
      <c r="L887" s="539" t="str">
        <f t="shared" si="303"/>
        <v/>
      </c>
      <c r="M887" s="540">
        <f>IF(Inventory!N884="","",Inventory!N884)</f>
        <v>0</v>
      </c>
      <c r="N887" s="533" t="str">
        <f t="shared" si="304"/>
        <v/>
      </c>
      <c r="O887" s="534"/>
      <c r="P887" s="533" t="str">
        <f t="shared" si="305"/>
        <v/>
      </c>
      <c r="Q887" s="534" t="str">
        <f>IF(Inventory!L884="","",Inventory!L884)</f>
        <v/>
      </c>
      <c r="R887" s="535" t="str">
        <f t="shared" si="306"/>
        <v/>
      </c>
      <c r="S887" s="536" t="str">
        <f>IF(Inventory!O884="","",Inventory!O884)</f>
        <v/>
      </c>
      <c r="T887" s="541" t="str">
        <f>IFERROR(IF(C887="","",IF(INDEX(xyWattage_Table,MATCH(M887,'Fixture Identities'!$B$9:$B$997,0),2)="Exit Sign",8760,IF(VLOOKUP(C887,xySpace_Type_Details,8,FALSE)="TRM",INDEX('General Information'!$AF$17:$AG$28,11,MATCH(N887,'General Information'!$AF$16:$AG$16,0)),HLOOKUP(VLOOKUP(C887,xySpace_Type_Details,8,FALSE),'General Information'!$P$15:$AG$28,13,FALSE)))),"")</f>
        <v/>
      </c>
      <c r="U887" s="542" t="str">
        <f>IFERROR(IF(C887="","",IF(INDEX(xyWattage_Table,MATCH(M887,'Fixture Identities'!$B$9:$B$997,0),2)="Exit Sign",1,IF(VLOOKUP(C887,xySpace_Type_Details,8,FALSE)="TRM",INDEX('General Information'!$AF$17:$AG$28,12,MATCH(N887,'General Information'!$AF$16:$AG$16,0)),HLOOKUP(VLOOKUP(C887,xySpace_Type_Details,8,FALSE),'General Information'!$P$15:$AG$28,14,FALSE)))),"")</f>
        <v/>
      </c>
      <c r="V887" s="542" t="str">
        <f>IFERROR(VLOOKUP(INDEX(xySpace_Type_Details,MATCH($C887,'General Information'!$C$40:$C$60,0),12),Lookups!$L$8:$N$12,2,FALSE),"")</f>
        <v/>
      </c>
      <c r="W887" s="542" t="str">
        <f>IFERROR(VLOOKUP(INDEX(xySpace_Type_Details,MATCH($C887,'General Information'!$C$40:$C$60,0),12),Lookups!$L$8:$N$12,3,FALSE),"")</f>
        <v/>
      </c>
      <c r="Y887" s="542" t="str">
        <f>IFERROR(IF(C887="","",IF(INDEX(xyWattage_Table,MATCH(M887,'Fixture Identities'!$B$9:$B$997,0),2)="Exit Sign",0,IF(PRJ_Type="Retrofit",VLOOKUP(I887,xySVG_Factors,2,FALSE),IF(AND(PRJ_Type="New Construction",Inventory!C884="N"),VLOOKUP(VLOOKUP(Building_Type,xyLPD_BuildingArea,5,FALSE),xySVG_Factors_NC,3,FALSE),0)))),"")</f>
        <v/>
      </c>
      <c r="Z887" s="544" t="str">
        <f>IFERROR(IF(C887="","",IF(INDEX(xyWattage_Table,MATCH(M887,'Fixture Identities'!$B$9:$B$997,0),2)="Exit Sign",0,VLOOKUP(S887,xySVG_Factors,2,FALSE))),"")</f>
        <v/>
      </c>
      <c r="AA887" s="545" t="str">
        <f t="shared" si="307"/>
        <v/>
      </c>
      <c r="AB887" s="542" t="str">
        <f t="shared" si="308"/>
        <v/>
      </c>
      <c r="AC887" s="539" t="str">
        <f t="shared" si="309"/>
        <v/>
      </c>
      <c r="AD887" s="546" t="str">
        <f t="shared" si="310"/>
        <v/>
      </c>
      <c r="AE887" s="539" t="str">
        <f t="shared" si="311"/>
        <v/>
      </c>
      <c r="AF887" s="546" t="str">
        <f t="shared" si="312"/>
        <v/>
      </c>
      <c r="AG887" s="539" t="str">
        <f t="shared" si="313"/>
        <v/>
      </c>
      <c r="AH887" s="32">
        <f t="shared" si="315"/>
        <v>0</v>
      </c>
      <c r="AI887" s="32">
        <f t="shared" si="316"/>
        <v>0</v>
      </c>
      <c r="AJ887" s="32">
        <f t="shared" si="317"/>
        <v>0</v>
      </c>
      <c r="AK887" t="str">
        <f t="shared" si="318"/>
        <v/>
      </c>
      <c r="AL887" t="str">
        <f t="shared" si="319"/>
        <v/>
      </c>
      <c r="AM887" t="str">
        <f t="shared" si="320"/>
        <v/>
      </c>
      <c r="AO887" t="str">
        <f>IFERROR(VLOOKUP(M887,'Fixture Identities'!$B$9:$O$1045,14,FALSE),"")</f>
        <v/>
      </c>
      <c r="AP887" t="str">
        <f t="shared" si="314"/>
        <v/>
      </c>
    </row>
    <row r="888" spans="1:42">
      <c r="A888" s="71">
        <f t="shared" si="322"/>
        <v>0</v>
      </c>
      <c r="B888" s="513">
        <f t="shared" si="321"/>
        <v>876</v>
      </c>
      <c r="C888" s="530" t="str">
        <f>IF(Inventory!E885="","",Inventory!E885)</f>
        <v/>
      </c>
      <c r="D888" s="531">
        <f>IF(Inventory!D885="",0,Inventory!D885)</f>
        <v>0</v>
      </c>
      <c r="E888" s="532" t="str">
        <f>IF(Inventory!I885=0,"",Inventory!I885)</f>
        <v/>
      </c>
      <c r="F888" s="533" t="str">
        <f t="shared" si="301"/>
        <v/>
      </c>
      <c r="G888" s="534" t="str">
        <f>IF(Inventory!G885="","",Inventory!G885)</f>
        <v/>
      </c>
      <c r="H888" s="535" t="str">
        <f t="shared" si="302"/>
        <v/>
      </c>
      <c r="I888" s="536" t="str">
        <f>IF(Inventory!J885="","",Inventory!J885)</f>
        <v/>
      </c>
      <c r="J888" s="537" t="str">
        <f>IFERROR(IF(PRJ_Type="New Construction",IF(Inventory!C885="N",INDEX(xyLPD_BuildingArea,MATCH(Building_Type,Lookups!$F$37:$F$75,0),4),INDEX(xyLPD_SpaceBySpace,MATCH(INDEX(xyNCEx,MATCH(I888,yNCExArea,0),2),ySpace_by_Space_Type,0),2)),VLOOKUP(E888,xyWattage_Table,11,FALSE)),"")</f>
        <v/>
      </c>
      <c r="K888" s="538" t="str">
        <f>IFERROR(IF(AND(NC_Type="Building Area Method",Inventory!C885="N"),IF(ISERROR(INDEX('Usage Groups (&gt;120 MWh only)'!$N$8:$N$12,MATCH(C888,'Usage Groups (&gt;120 MWh only)'!$B$8:$B$12,0),1))=TRUE,SqFt/COUNTIFS(Inventory!$C$10:$C$1009,"N",$Q$13:$Q$1012,"&gt;=0"),INDEX('Usage Groups (&gt;120 MWh only)'!$N$8:$N$12,MATCH(C888,'Usage Groups (&gt;120 MWh only)'!$B$8:$B$12,0),1)/COUNTIF($C$13:$C$1012,C888)),IF(AND(NC_Type="Building Area Method",Inventory!C885="Y"),INDEX(xyNCEx,MATCH(I888,yNCExArea,0),3)/COUNTIF($I$13:$I$1012,I888),VLOOKUP(J888,xyWattage_Table,10,FALSE))),"")</f>
        <v/>
      </c>
      <c r="L888" s="539" t="str">
        <f t="shared" si="303"/>
        <v/>
      </c>
      <c r="M888" s="540">
        <f>IF(Inventory!N885="","",Inventory!N885)</f>
        <v>0</v>
      </c>
      <c r="N888" s="533" t="str">
        <f t="shared" si="304"/>
        <v/>
      </c>
      <c r="O888" s="534"/>
      <c r="P888" s="533" t="str">
        <f t="shared" si="305"/>
        <v/>
      </c>
      <c r="Q888" s="534" t="str">
        <f>IF(Inventory!L885="","",Inventory!L885)</f>
        <v/>
      </c>
      <c r="R888" s="535" t="str">
        <f t="shared" si="306"/>
        <v/>
      </c>
      <c r="S888" s="536" t="str">
        <f>IF(Inventory!O885="","",Inventory!O885)</f>
        <v/>
      </c>
      <c r="T888" s="541" t="str">
        <f>IFERROR(IF(C888="","",IF(INDEX(xyWattage_Table,MATCH(M888,'Fixture Identities'!$B$9:$B$997,0),2)="Exit Sign",8760,IF(VLOOKUP(C888,xySpace_Type_Details,8,FALSE)="TRM",INDEX('General Information'!$AF$17:$AG$28,11,MATCH(N888,'General Information'!$AF$16:$AG$16,0)),HLOOKUP(VLOOKUP(C888,xySpace_Type_Details,8,FALSE),'General Information'!$P$15:$AG$28,13,FALSE)))),"")</f>
        <v/>
      </c>
      <c r="U888" s="542" t="str">
        <f>IFERROR(IF(C888="","",IF(INDEX(xyWattage_Table,MATCH(M888,'Fixture Identities'!$B$9:$B$997,0),2)="Exit Sign",1,IF(VLOOKUP(C888,xySpace_Type_Details,8,FALSE)="TRM",INDEX('General Information'!$AF$17:$AG$28,12,MATCH(N888,'General Information'!$AF$16:$AG$16,0)),HLOOKUP(VLOOKUP(C888,xySpace_Type_Details,8,FALSE),'General Information'!$P$15:$AG$28,14,FALSE)))),"")</f>
        <v/>
      </c>
      <c r="V888" s="542" t="str">
        <f>IFERROR(VLOOKUP(INDEX(xySpace_Type_Details,MATCH($C888,'General Information'!$C$40:$C$60,0),12),Lookups!$L$8:$N$12,2,FALSE),"")</f>
        <v/>
      </c>
      <c r="W888" s="542" t="str">
        <f>IFERROR(VLOOKUP(INDEX(xySpace_Type_Details,MATCH($C888,'General Information'!$C$40:$C$60,0),12),Lookups!$L$8:$N$12,3,FALSE),"")</f>
        <v/>
      </c>
      <c r="Y888" s="542" t="str">
        <f>IFERROR(IF(C888="","",IF(INDEX(xyWattage_Table,MATCH(M888,'Fixture Identities'!$B$9:$B$997,0),2)="Exit Sign",0,IF(PRJ_Type="Retrofit",VLOOKUP(I888,xySVG_Factors,2,FALSE),IF(AND(PRJ_Type="New Construction",Inventory!C885="N"),VLOOKUP(VLOOKUP(Building_Type,xyLPD_BuildingArea,5,FALSE),xySVG_Factors_NC,3,FALSE),0)))),"")</f>
        <v/>
      </c>
      <c r="Z888" s="544" t="str">
        <f>IFERROR(IF(C888="","",IF(INDEX(xyWattage_Table,MATCH(M888,'Fixture Identities'!$B$9:$B$997,0),2)="Exit Sign",0,VLOOKUP(S888,xySVG_Factors,2,FALSE))),"")</f>
        <v/>
      </c>
      <c r="AA888" s="545" t="str">
        <f t="shared" si="307"/>
        <v/>
      </c>
      <c r="AB888" s="542" t="str">
        <f t="shared" si="308"/>
        <v/>
      </c>
      <c r="AC888" s="539" t="str">
        <f t="shared" si="309"/>
        <v/>
      </c>
      <c r="AD888" s="546" t="str">
        <f t="shared" si="310"/>
        <v/>
      </c>
      <c r="AE888" s="539" t="str">
        <f t="shared" si="311"/>
        <v/>
      </c>
      <c r="AF888" s="546" t="str">
        <f t="shared" si="312"/>
        <v/>
      </c>
      <c r="AG888" s="539" t="str">
        <f t="shared" si="313"/>
        <v/>
      </c>
      <c r="AH888" s="32">
        <f t="shared" si="315"/>
        <v>0</v>
      </c>
      <c r="AI888" s="32">
        <f t="shared" si="316"/>
        <v>0</v>
      </c>
      <c r="AJ888" s="32">
        <f t="shared" si="317"/>
        <v>0</v>
      </c>
      <c r="AK888" t="str">
        <f t="shared" si="318"/>
        <v/>
      </c>
      <c r="AL888" t="str">
        <f t="shared" si="319"/>
        <v/>
      </c>
      <c r="AM888" t="str">
        <f t="shared" si="320"/>
        <v/>
      </c>
      <c r="AO888" t="str">
        <f>IFERROR(VLOOKUP(M888,'Fixture Identities'!$B$9:$O$1045,14,FALSE),"")</f>
        <v/>
      </c>
      <c r="AP888" t="str">
        <f t="shared" si="314"/>
        <v/>
      </c>
    </row>
    <row r="889" spans="1:42">
      <c r="A889" s="71">
        <f t="shared" si="322"/>
        <v>0</v>
      </c>
      <c r="B889" s="513">
        <f t="shared" si="321"/>
        <v>877</v>
      </c>
      <c r="C889" s="530" t="str">
        <f>IF(Inventory!E886="","",Inventory!E886)</f>
        <v/>
      </c>
      <c r="D889" s="531">
        <f>IF(Inventory!D886="",0,Inventory!D886)</f>
        <v>0</v>
      </c>
      <c r="E889" s="532" t="str">
        <f>IF(Inventory!I886=0,"",Inventory!I886)</f>
        <v/>
      </c>
      <c r="F889" s="533" t="str">
        <f t="shared" si="301"/>
        <v/>
      </c>
      <c r="G889" s="534" t="str">
        <f>IF(Inventory!G886="","",Inventory!G886)</f>
        <v/>
      </c>
      <c r="H889" s="535" t="str">
        <f t="shared" si="302"/>
        <v/>
      </c>
      <c r="I889" s="536" t="str">
        <f>IF(Inventory!J886="","",Inventory!J886)</f>
        <v/>
      </c>
      <c r="J889" s="537" t="str">
        <f>IFERROR(IF(PRJ_Type="New Construction",IF(Inventory!C886="N",INDEX(xyLPD_BuildingArea,MATCH(Building_Type,Lookups!$F$37:$F$75,0),4),INDEX(xyLPD_SpaceBySpace,MATCH(INDEX(xyNCEx,MATCH(I889,yNCExArea,0),2),ySpace_by_Space_Type,0),2)),VLOOKUP(E889,xyWattage_Table,11,FALSE)),"")</f>
        <v/>
      </c>
      <c r="K889" s="538" t="str">
        <f>IFERROR(IF(AND(NC_Type="Building Area Method",Inventory!C886="N"),IF(ISERROR(INDEX('Usage Groups (&gt;120 MWh only)'!$N$8:$N$12,MATCH(C889,'Usage Groups (&gt;120 MWh only)'!$B$8:$B$12,0),1))=TRUE,SqFt/COUNTIFS(Inventory!$C$10:$C$1009,"N",$Q$13:$Q$1012,"&gt;=0"),INDEX('Usage Groups (&gt;120 MWh only)'!$N$8:$N$12,MATCH(C889,'Usage Groups (&gt;120 MWh only)'!$B$8:$B$12,0),1)/COUNTIF($C$13:$C$1012,C889)),IF(AND(NC_Type="Building Area Method",Inventory!C886="Y"),INDEX(xyNCEx,MATCH(I889,yNCExArea,0),3)/COUNTIF($I$13:$I$1012,I889),VLOOKUP(J889,xyWattage_Table,10,FALSE))),"")</f>
        <v/>
      </c>
      <c r="L889" s="539" t="str">
        <f t="shared" si="303"/>
        <v/>
      </c>
      <c r="M889" s="540">
        <f>IF(Inventory!N886="","",Inventory!N886)</f>
        <v>0</v>
      </c>
      <c r="N889" s="533" t="str">
        <f t="shared" si="304"/>
        <v/>
      </c>
      <c r="O889" s="534"/>
      <c r="P889" s="533" t="str">
        <f t="shared" si="305"/>
        <v/>
      </c>
      <c r="Q889" s="534" t="str">
        <f>IF(Inventory!L886="","",Inventory!L886)</f>
        <v/>
      </c>
      <c r="R889" s="535" t="str">
        <f t="shared" si="306"/>
        <v/>
      </c>
      <c r="S889" s="536" t="str">
        <f>IF(Inventory!O886="","",Inventory!O886)</f>
        <v/>
      </c>
      <c r="T889" s="541" t="str">
        <f>IFERROR(IF(C889="","",IF(INDEX(xyWattage_Table,MATCH(M889,'Fixture Identities'!$B$9:$B$997,0),2)="Exit Sign",8760,IF(VLOOKUP(C889,xySpace_Type_Details,8,FALSE)="TRM",INDEX('General Information'!$AF$17:$AG$28,11,MATCH(N889,'General Information'!$AF$16:$AG$16,0)),HLOOKUP(VLOOKUP(C889,xySpace_Type_Details,8,FALSE),'General Information'!$P$15:$AG$28,13,FALSE)))),"")</f>
        <v/>
      </c>
      <c r="U889" s="542" t="str">
        <f>IFERROR(IF(C889="","",IF(INDEX(xyWattage_Table,MATCH(M889,'Fixture Identities'!$B$9:$B$997,0),2)="Exit Sign",1,IF(VLOOKUP(C889,xySpace_Type_Details,8,FALSE)="TRM",INDEX('General Information'!$AF$17:$AG$28,12,MATCH(N889,'General Information'!$AF$16:$AG$16,0)),HLOOKUP(VLOOKUP(C889,xySpace_Type_Details,8,FALSE),'General Information'!$P$15:$AG$28,14,FALSE)))),"")</f>
        <v/>
      </c>
      <c r="V889" s="542" t="str">
        <f>IFERROR(VLOOKUP(INDEX(xySpace_Type_Details,MATCH($C889,'General Information'!$C$40:$C$60,0),12),Lookups!$L$8:$N$12,2,FALSE),"")</f>
        <v/>
      </c>
      <c r="W889" s="542" t="str">
        <f>IFERROR(VLOOKUP(INDEX(xySpace_Type_Details,MATCH($C889,'General Information'!$C$40:$C$60,0),12),Lookups!$L$8:$N$12,3,FALSE),"")</f>
        <v/>
      </c>
      <c r="Y889" s="542" t="str">
        <f>IFERROR(IF(C889="","",IF(INDEX(xyWattage_Table,MATCH(M889,'Fixture Identities'!$B$9:$B$997,0),2)="Exit Sign",0,IF(PRJ_Type="Retrofit",VLOOKUP(I889,xySVG_Factors,2,FALSE),IF(AND(PRJ_Type="New Construction",Inventory!C886="N"),VLOOKUP(VLOOKUP(Building_Type,xyLPD_BuildingArea,5,FALSE),xySVG_Factors_NC,3,FALSE),0)))),"")</f>
        <v/>
      </c>
      <c r="Z889" s="544" t="str">
        <f>IFERROR(IF(C889="","",IF(INDEX(xyWattage_Table,MATCH(M889,'Fixture Identities'!$B$9:$B$997,0),2)="Exit Sign",0,VLOOKUP(S889,xySVG_Factors,2,FALSE))),"")</f>
        <v/>
      </c>
      <c r="AA889" s="545" t="str">
        <f t="shared" si="307"/>
        <v/>
      </c>
      <c r="AB889" s="542" t="str">
        <f t="shared" si="308"/>
        <v/>
      </c>
      <c r="AC889" s="539" t="str">
        <f t="shared" si="309"/>
        <v/>
      </c>
      <c r="AD889" s="546" t="str">
        <f t="shared" si="310"/>
        <v/>
      </c>
      <c r="AE889" s="539" t="str">
        <f t="shared" si="311"/>
        <v/>
      </c>
      <c r="AF889" s="546" t="str">
        <f t="shared" si="312"/>
        <v/>
      </c>
      <c r="AG889" s="539" t="str">
        <f t="shared" si="313"/>
        <v/>
      </c>
      <c r="AH889" s="32">
        <f t="shared" si="315"/>
        <v>0</v>
      </c>
      <c r="AI889" s="32">
        <f t="shared" si="316"/>
        <v>0</v>
      </c>
      <c r="AJ889" s="32">
        <f t="shared" si="317"/>
        <v>0</v>
      </c>
      <c r="AK889" t="str">
        <f t="shared" si="318"/>
        <v/>
      </c>
      <c r="AL889" t="str">
        <f t="shared" si="319"/>
        <v/>
      </c>
      <c r="AM889" t="str">
        <f t="shared" si="320"/>
        <v/>
      </c>
      <c r="AO889" t="str">
        <f>IFERROR(VLOOKUP(M889,'Fixture Identities'!$B$9:$O$1045,14,FALSE),"")</f>
        <v/>
      </c>
      <c r="AP889" t="str">
        <f t="shared" si="314"/>
        <v/>
      </c>
    </row>
    <row r="890" spans="1:42">
      <c r="A890" s="71">
        <f t="shared" si="322"/>
        <v>0</v>
      </c>
      <c r="B890" s="513">
        <f t="shared" si="321"/>
        <v>878</v>
      </c>
      <c r="C890" s="530" t="str">
        <f>IF(Inventory!E887="","",Inventory!E887)</f>
        <v/>
      </c>
      <c r="D890" s="531">
        <f>IF(Inventory!D887="",0,Inventory!D887)</f>
        <v>0</v>
      </c>
      <c r="E890" s="532" t="str">
        <f>IF(Inventory!I887=0,"",Inventory!I887)</f>
        <v/>
      </c>
      <c r="F890" s="533" t="str">
        <f t="shared" si="301"/>
        <v/>
      </c>
      <c r="G890" s="534" t="str">
        <f>IF(Inventory!G887="","",Inventory!G887)</f>
        <v/>
      </c>
      <c r="H890" s="535" t="str">
        <f t="shared" si="302"/>
        <v/>
      </c>
      <c r="I890" s="536" t="str">
        <f>IF(Inventory!J887="","",Inventory!J887)</f>
        <v/>
      </c>
      <c r="J890" s="537" t="str">
        <f>IFERROR(IF(PRJ_Type="New Construction",IF(Inventory!C887="N",INDEX(xyLPD_BuildingArea,MATCH(Building_Type,Lookups!$F$37:$F$75,0),4),INDEX(xyLPD_SpaceBySpace,MATCH(INDEX(xyNCEx,MATCH(I890,yNCExArea,0),2),ySpace_by_Space_Type,0),2)),VLOOKUP(E890,xyWattage_Table,11,FALSE)),"")</f>
        <v/>
      </c>
      <c r="K890" s="538" t="str">
        <f>IFERROR(IF(AND(NC_Type="Building Area Method",Inventory!C887="N"),IF(ISERROR(INDEX('Usage Groups (&gt;120 MWh only)'!$N$8:$N$12,MATCH(C890,'Usage Groups (&gt;120 MWh only)'!$B$8:$B$12,0),1))=TRUE,SqFt/COUNTIFS(Inventory!$C$10:$C$1009,"N",$Q$13:$Q$1012,"&gt;=0"),INDEX('Usage Groups (&gt;120 MWh only)'!$N$8:$N$12,MATCH(C890,'Usage Groups (&gt;120 MWh only)'!$B$8:$B$12,0),1)/COUNTIF($C$13:$C$1012,C890)),IF(AND(NC_Type="Building Area Method",Inventory!C887="Y"),INDEX(xyNCEx,MATCH(I890,yNCExArea,0),3)/COUNTIF($I$13:$I$1012,I890),VLOOKUP(J890,xyWattage_Table,10,FALSE))),"")</f>
        <v/>
      </c>
      <c r="L890" s="539" t="str">
        <f t="shared" si="303"/>
        <v/>
      </c>
      <c r="M890" s="540">
        <f>IF(Inventory!N887="","",Inventory!N887)</f>
        <v>0</v>
      </c>
      <c r="N890" s="533" t="str">
        <f t="shared" si="304"/>
        <v/>
      </c>
      <c r="O890" s="534"/>
      <c r="P890" s="533" t="str">
        <f t="shared" si="305"/>
        <v/>
      </c>
      <c r="Q890" s="534" t="str">
        <f>IF(Inventory!L887="","",Inventory!L887)</f>
        <v/>
      </c>
      <c r="R890" s="535" t="str">
        <f t="shared" si="306"/>
        <v/>
      </c>
      <c r="S890" s="536" t="str">
        <f>IF(Inventory!O887="","",Inventory!O887)</f>
        <v/>
      </c>
      <c r="T890" s="541" t="str">
        <f>IFERROR(IF(C890="","",IF(INDEX(xyWattage_Table,MATCH(M890,'Fixture Identities'!$B$9:$B$997,0),2)="Exit Sign",8760,IF(VLOOKUP(C890,xySpace_Type_Details,8,FALSE)="TRM",INDEX('General Information'!$AF$17:$AG$28,11,MATCH(N890,'General Information'!$AF$16:$AG$16,0)),HLOOKUP(VLOOKUP(C890,xySpace_Type_Details,8,FALSE),'General Information'!$P$15:$AG$28,13,FALSE)))),"")</f>
        <v/>
      </c>
      <c r="U890" s="542" t="str">
        <f>IFERROR(IF(C890="","",IF(INDEX(xyWattage_Table,MATCH(M890,'Fixture Identities'!$B$9:$B$997,0),2)="Exit Sign",1,IF(VLOOKUP(C890,xySpace_Type_Details,8,FALSE)="TRM",INDEX('General Information'!$AF$17:$AG$28,12,MATCH(N890,'General Information'!$AF$16:$AG$16,0)),HLOOKUP(VLOOKUP(C890,xySpace_Type_Details,8,FALSE),'General Information'!$P$15:$AG$28,14,FALSE)))),"")</f>
        <v/>
      </c>
      <c r="V890" s="542" t="str">
        <f>IFERROR(VLOOKUP(INDEX(xySpace_Type_Details,MATCH($C890,'General Information'!$C$40:$C$60,0),12),Lookups!$L$8:$N$12,2,FALSE),"")</f>
        <v/>
      </c>
      <c r="W890" s="542" t="str">
        <f>IFERROR(VLOOKUP(INDEX(xySpace_Type_Details,MATCH($C890,'General Information'!$C$40:$C$60,0),12),Lookups!$L$8:$N$12,3,FALSE),"")</f>
        <v/>
      </c>
      <c r="Y890" s="542" t="str">
        <f>IFERROR(IF(C890="","",IF(INDEX(xyWattage_Table,MATCH(M890,'Fixture Identities'!$B$9:$B$997,0),2)="Exit Sign",0,IF(PRJ_Type="Retrofit",VLOOKUP(I890,xySVG_Factors,2,FALSE),IF(AND(PRJ_Type="New Construction",Inventory!C887="N"),VLOOKUP(VLOOKUP(Building_Type,xyLPD_BuildingArea,5,FALSE),xySVG_Factors_NC,3,FALSE),0)))),"")</f>
        <v/>
      </c>
      <c r="Z890" s="544" t="str">
        <f>IFERROR(IF(C890="","",IF(INDEX(xyWattage_Table,MATCH(M890,'Fixture Identities'!$B$9:$B$997,0),2)="Exit Sign",0,VLOOKUP(S890,xySVG_Factors,2,FALSE))),"")</f>
        <v/>
      </c>
      <c r="AA890" s="545" t="str">
        <f t="shared" si="307"/>
        <v/>
      </c>
      <c r="AB890" s="542" t="str">
        <f t="shared" si="308"/>
        <v/>
      </c>
      <c r="AC890" s="539" t="str">
        <f t="shared" si="309"/>
        <v/>
      </c>
      <c r="AD890" s="546" t="str">
        <f t="shared" si="310"/>
        <v/>
      </c>
      <c r="AE890" s="539" t="str">
        <f t="shared" si="311"/>
        <v/>
      </c>
      <c r="AF890" s="546" t="str">
        <f t="shared" si="312"/>
        <v/>
      </c>
      <c r="AG890" s="539" t="str">
        <f t="shared" si="313"/>
        <v/>
      </c>
      <c r="AH890" s="32">
        <f t="shared" si="315"/>
        <v>0</v>
      </c>
      <c r="AI890" s="32">
        <f t="shared" si="316"/>
        <v>0</v>
      </c>
      <c r="AJ890" s="32">
        <f t="shared" si="317"/>
        <v>0</v>
      </c>
      <c r="AK890" t="str">
        <f t="shared" si="318"/>
        <v/>
      </c>
      <c r="AL890" t="str">
        <f t="shared" si="319"/>
        <v/>
      </c>
      <c r="AM890" t="str">
        <f t="shared" si="320"/>
        <v/>
      </c>
      <c r="AO890" t="str">
        <f>IFERROR(VLOOKUP(M890,'Fixture Identities'!$B$9:$O$1045,14,FALSE),"")</f>
        <v/>
      </c>
      <c r="AP890" t="str">
        <f t="shared" si="314"/>
        <v/>
      </c>
    </row>
    <row r="891" spans="1:42">
      <c r="A891" s="71">
        <f t="shared" si="322"/>
        <v>0</v>
      </c>
      <c r="B891" s="513">
        <f t="shared" si="321"/>
        <v>879</v>
      </c>
      <c r="C891" s="530" t="str">
        <f>IF(Inventory!E888="","",Inventory!E888)</f>
        <v/>
      </c>
      <c r="D891" s="531">
        <f>IF(Inventory!D888="",0,Inventory!D888)</f>
        <v>0</v>
      </c>
      <c r="E891" s="532" t="str">
        <f>IF(Inventory!I888=0,"",Inventory!I888)</f>
        <v/>
      </c>
      <c r="F891" s="533" t="str">
        <f t="shared" si="301"/>
        <v/>
      </c>
      <c r="G891" s="534" t="str">
        <f>IF(Inventory!G888="","",Inventory!G888)</f>
        <v/>
      </c>
      <c r="H891" s="535" t="str">
        <f t="shared" si="302"/>
        <v/>
      </c>
      <c r="I891" s="536" t="str">
        <f>IF(Inventory!J888="","",Inventory!J888)</f>
        <v/>
      </c>
      <c r="J891" s="537" t="str">
        <f>IFERROR(IF(PRJ_Type="New Construction",IF(Inventory!C888="N",INDEX(xyLPD_BuildingArea,MATCH(Building_Type,Lookups!$F$37:$F$75,0),4),INDEX(xyLPD_SpaceBySpace,MATCH(INDEX(xyNCEx,MATCH(I891,yNCExArea,0),2),ySpace_by_Space_Type,0),2)),VLOOKUP(E891,xyWattage_Table,11,FALSE)),"")</f>
        <v/>
      </c>
      <c r="K891" s="538" t="str">
        <f>IFERROR(IF(AND(NC_Type="Building Area Method",Inventory!C888="N"),IF(ISERROR(INDEX('Usage Groups (&gt;120 MWh only)'!$N$8:$N$12,MATCH(C891,'Usage Groups (&gt;120 MWh only)'!$B$8:$B$12,0),1))=TRUE,SqFt/COUNTIFS(Inventory!$C$10:$C$1009,"N",$Q$13:$Q$1012,"&gt;=0"),INDEX('Usage Groups (&gt;120 MWh only)'!$N$8:$N$12,MATCH(C891,'Usage Groups (&gt;120 MWh only)'!$B$8:$B$12,0),1)/COUNTIF($C$13:$C$1012,C891)),IF(AND(NC_Type="Building Area Method",Inventory!C888="Y"),INDEX(xyNCEx,MATCH(I891,yNCExArea,0),3)/COUNTIF($I$13:$I$1012,I891),VLOOKUP(J891,xyWattage_Table,10,FALSE))),"")</f>
        <v/>
      </c>
      <c r="L891" s="539" t="str">
        <f t="shared" si="303"/>
        <v/>
      </c>
      <c r="M891" s="540">
        <f>IF(Inventory!N888="","",Inventory!N888)</f>
        <v>0</v>
      </c>
      <c r="N891" s="533" t="str">
        <f t="shared" si="304"/>
        <v/>
      </c>
      <c r="O891" s="534"/>
      <c r="P891" s="533" t="str">
        <f t="shared" si="305"/>
        <v/>
      </c>
      <c r="Q891" s="534" t="str">
        <f>IF(Inventory!L888="","",Inventory!L888)</f>
        <v/>
      </c>
      <c r="R891" s="535" t="str">
        <f t="shared" si="306"/>
        <v/>
      </c>
      <c r="S891" s="536" t="str">
        <f>IF(Inventory!O888="","",Inventory!O888)</f>
        <v/>
      </c>
      <c r="T891" s="541" t="str">
        <f>IFERROR(IF(C891="","",IF(INDEX(xyWattage_Table,MATCH(M891,'Fixture Identities'!$B$9:$B$997,0),2)="Exit Sign",8760,IF(VLOOKUP(C891,xySpace_Type_Details,8,FALSE)="TRM",INDEX('General Information'!$AF$17:$AG$28,11,MATCH(N891,'General Information'!$AF$16:$AG$16,0)),HLOOKUP(VLOOKUP(C891,xySpace_Type_Details,8,FALSE),'General Information'!$P$15:$AG$28,13,FALSE)))),"")</f>
        <v/>
      </c>
      <c r="U891" s="542" t="str">
        <f>IFERROR(IF(C891="","",IF(INDEX(xyWattage_Table,MATCH(M891,'Fixture Identities'!$B$9:$B$997,0),2)="Exit Sign",1,IF(VLOOKUP(C891,xySpace_Type_Details,8,FALSE)="TRM",INDEX('General Information'!$AF$17:$AG$28,12,MATCH(N891,'General Information'!$AF$16:$AG$16,0)),HLOOKUP(VLOOKUP(C891,xySpace_Type_Details,8,FALSE),'General Information'!$P$15:$AG$28,14,FALSE)))),"")</f>
        <v/>
      </c>
      <c r="V891" s="542" t="str">
        <f>IFERROR(VLOOKUP(INDEX(xySpace_Type_Details,MATCH($C891,'General Information'!$C$40:$C$60,0),12),Lookups!$L$8:$N$12,2,FALSE),"")</f>
        <v/>
      </c>
      <c r="W891" s="542" t="str">
        <f>IFERROR(VLOOKUP(INDEX(xySpace_Type_Details,MATCH($C891,'General Information'!$C$40:$C$60,0),12),Lookups!$L$8:$N$12,3,FALSE),"")</f>
        <v/>
      </c>
      <c r="Y891" s="542" t="str">
        <f>IFERROR(IF(C891="","",IF(INDEX(xyWattage_Table,MATCH(M891,'Fixture Identities'!$B$9:$B$997,0),2)="Exit Sign",0,IF(PRJ_Type="Retrofit",VLOOKUP(I891,xySVG_Factors,2,FALSE),IF(AND(PRJ_Type="New Construction",Inventory!C888="N"),VLOOKUP(VLOOKUP(Building_Type,xyLPD_BuildingArea,5,FALSE),xySVG_Factors_NC,3,FALSE),0)))),"")</f>
        <v/>
      </c>
      <c r="Z891" s="544" t="str">
        <f>IFERROR(IF(C891="","",IF(INDEX(xyWattage_Table,MATCH(M891,'Fixture Identities'!$B$9:$B$997,0),2)="Exit Sign",0,VLOOKUP(S891,xySVG_Factors,2,FALSE))),"")</f>
        <v/>
      </c>
      <c r="AA891" s="545" t="str">
        <f t="shared" si="307"/>
        <v/>
      </c>
      <c r="AB891" s="542" t="str">
        <f t="shared" si="308"/>
        <v/>
      </c>
      <c r="AC891" s="539" t="str">
        <f t="shared" si="309"/>
        <v/>
      </c>
      <c r="AD891" s="546" t="str">
        <f t="shared" si="310"/>
        <v/>
      </c>
      <c r="AE891" s="539" t="str">
        <f t="shared" si="311"/>
        <v/>
      </c>
      <c r="AF891" s="546" t="str">
        <f t="shared" si="312"/>
        <v/>
      </c>
      <c r="AG891" s="539" t="str">
        <f t="shared" si="313"/>
        <v/>
      </c>
      <c r="AH891" s="32">
        <f t="shared" si="315"/>
        <v>0</v>
      </c>
      <c r="AI891" s="32">
        <f t="shared" si="316"/>
        <v>0</v>
      </c>
      <c r="AJ891" s="32">
        <f t="shared" si="317"/>
        <v>0</v>
      </c>
      <c r="AK891" t="str">
        <f t="shared" si="318"/>
        <v/>
      </c>
      <c r="AL891" t="str">
        <f t="shared" si="319"/>
        <v/>
      </c>
      <c r="AM891" t="str">
        <f t="shared" si="320"/>
        <v/>
      </c>
      <c r="AO891" t="str">
        <f>IFERROR(VLOOKUP(M891,'Fixture Identities'!$B$9:$O$1045,14,FALSE),"")</f>
        <v/>
      </c>
      <c r="AP891" t="str">
        <f t="shared" si="314"/>
        <v/>
      </c>
    </row>
    <row r="892" spans="1:42">
      <c r="A892" s="71">
        <f t="shared" si="322"/>
        <v>0</v>
      </c>
      <c r="B892" s="513">
        <f t="shared" si="321"/>
        <v>880</v>
      </c>
      <c r="C892" s="530" t="str">
        <f>IF(Inventory!E889="","",Inventory!E889)</f>
        <v/>
      </c>
      <c r="D892" s="531">
        <f>IF(Inventory!D889="",0,Inventory!D889)</f>
        <v>0</v>
      </c>
      <c r="E892" s="532" t="str">
        <f>IF(Inventory!I889=0,"",Inventory!I889)</f>
        <v/>
      </c>
      <c r="F892" s="533" t="str">
        <f t="shared" si="301"/>
        <v/>
      </c>
      <c r="G892" s="534" t="str">
        <f>IF(Inventory!G889="","",Inventory!G889)</f>
        <v/>
      </c>
      <c r="H892" s="535" t="str">
        <f t="shared" si="302"/>
        <v/>
      </c>
      <c r="I892" s="536" t="str">
        <f>IF(Inventory!J889="","",Inventory!J889)</f>
        <v/>
      </c>
      <c r="J892" s="537" t="str">
        <f>IFERROR(IF(PRJ_Type="New Construction",IF(Inventory!C889="N",INDEX(xyLPD_BuildingArea,MATCH(Building_Type,Lookups!$F$37:$F$75,0),4),INDEX(xyLPD_SpaceBySpace,MATCH(INDEX(xyNCEx,MATCH(I892,yNCExArea,0),2),ySpace_by_Space_Type,0),2)),VLOOKUP(E892,xyWattage_Table,11,FALSE)),"")</f>
        <v/>
      </c>
      <c r="K892" s="538" t="str">
        <f>IFERROR(IF(AND(NC_Type="Building Area Method",Inventory!C889="N"),IF(ISERROR(INDEX('Usage Groups (&gt;120 MWh only)'!$N$8:$N$12,MATCH(C892,'Usage Groups (&gt;120 MWh only)'!$B$8:$B$12,0),1))=TRUE,SqFt/COUNTIFS(Inventory!$C$10:$C$1009,"N",$Q$13:$Q$1012,"&gt;=0"),INDEX('Usage Groups (&gt;120 MWh only)'!$N$8:$N$12,MATCH(C892,'Usage Groups (&gt;120 MWh only)'!$B$8:$B$12,0),1)/COUNTIF($C$13:$C$1012,C892)),IF(AND(NC_Type="Building Area Method",Inventory!C889="Y"),INDEX(xyNCEx,MATCH(I892,yNCExArea,0),3)/COUNTIF($I$13:$I$1012,I892),VLOOKUP(J892,xyWattage_Table,10,FALSE))),"")</f>
        <v/>
      </c>
      <c r="L892" s="539" t="str">
        <f t="shared" si="303"/>
        <v/>
      </c>
      <c r="M892" s="540">
        <f>IF(Inventory!N889="","",Inventory!N889)</f>
        <v>0</v>
      </c>
      <c r="N892" s="533" t="str">
        <f t="shared" si="304"/>
        <v/>
      </c>
      <c r="O892" s="534"/>
      <c r="P892" s="533" t="str">
        <f t="shared" si="305"/>
        <v/>
      </c>
      <c r="Q892" s="534" t="str">
        <f>IF(Inventory!L889="","",Inventory!L889)</f>
        <v/>
      </c>
      <c r="R892" s="535" t="str">
        <f t="shared" si="306"/>
        <v/>
      </c>
      <c r="S892" s="536" t="str">
        <f>IF(Inventory!O889="","",Inventory!O889)</f>
        <v/>
      </c>
      <c r="T892" s="541" t="str">
        <f>IFERROR(IF(C892="","",IF(INDEX(xyWattage_Table,MATCH(M892,'Fixture Identities'!$B$9:$B$997,0),2)="Exit Sign",8760,IF(VLOOKUP(C892,xySpace_Type_Details,8,FALSE)="TRM",INDEX('General Information'!$AF$17:$AG$28,11,MATCH(N892,'General Information'!$AF$16:$AG$16,0)),HLOOKUP(VLOOKUP(C892,xySpace_Type_Details,8,FALSE),'General Information'!$P$15:$AG$28,13,FALSE)))),"")</f>
        <v/>
      </c>
      <c r="U892" s="542" t="str">
        <f>IFERROR(IF(C892="","",IF(INDEX(xyWattage_Table,MATCH(M892,'Fixture Identities'!$B$9:$B$997,0),2)="Exit Sign",1,IF(VLOOKUP(C892,xySpace_Type_Details,8,FALSE)="TRM",INDEX('General Information'!$AF$17:$AG$28,12,MATCH(N892,'General Information'!$AF$16:$AG$16,0)),HLOOKUP(VLOOKUP(C892,xySpace_Type_Details,8,FALSE),'General Information'!$P$15:$AG$28,14,FALSE)))),"")</f>
        <v/>
      </c>
      <c r="V892" s="542" t="str">
        <f>IFERROR(VLOOKUP(INDEX(xySpace_Type_Details,MATCH($C892,'General Information'!$C$40:$C$60,0),12),Lookups!$L$8:$N$12,2,FALSE),"")</f>
        <v/>
      </c>
      <c r="W892" s="542" t="str">
        <f>IFERROR(VLOOKUP(INDEX(xySpace_Type_Details,MATCH($C892,'General Information'!$C$40:$C$60,0),12),Lookups!$L$8:$N$12,3,FALSE),"")</f>
        <v/>
      </c>
      <c r="Y892" s="542" t="str">
        <f>IFERROR(IF(C892="","",IF(INDEX(xyWattage_Table,MATCH(M892,'Fixture Identities'!$B$9:$B$997,0),2)="Exit Sign",0,IF(PRJ_Type="Retrofit",VLOOKUP(I892,xySVG_Factors,2,FALSE),IF(AND(PRJ_Type="New Construction",Inventory!C889="N"),VLOOKUP(VLOOKUP(Building_Type,xyLPD_BuildingArea,5,FALSE),xySVG_Factors_NC,3,FALSE),0)))),"")</f>
        <v/>
      </c>
      <c r="Z892" s="544" t="str">
        <f>IFERROR(IF(C892="","",IF(INDEX(xyWattage_Table,MATCH(M892,'Fixture Identities'!$B$9:$B$997,0),2)="Exit Sign",0,VLOOKUP(S892,xySVG_Factors,2,FALSE))),"")</f>
        <v/>
      </c>
      <c r="AA892" s="545" t="str">
        <f t="shared" si="307"/>
        <v/>
      </c>
      <c r="AB892" s="542" t="str">
        <f t="shared" si="308"/>
        <v/>
      </c>
      <c r="AC892" s="539" t="str">
        <f t="shared" si="309"/>
        <v/>
      </c>
      <c r="AD892" s="546" t="str">
        <f t="shared" si="310"/>
        <v/>
      </c>
      <c r="AE892" s="539" t="str">
        <f t="shared" si="311"/>
        <v/>
      </c>
      <c r="AF892" s="546" t="str">
        <f t="shared" si="312"/>
        <v/>
      </c>
      <c r="AG892" s="539" t="str">
        <f t="shared" si="313"/>
        <v/>
      </c>
      <c r="AH892" s="32">
        <f t="shared" si="315"/>
        <v>0</v>
      </c>
      <c r="AI892" s="32">
        <f t="shared" si="316"/>
        <v>0</v>
      </c>
      <c r="AJ892" s="32">
        <f t="shared" si="317"/>
        <v>0</v>
      </c>
      <c r="AK892" t="str">
        <f t="shared" si="318"/>
        <v/>
      </c>
      <c r="AL892" t="str">
        <f t="shared" si="319"/>
        <v/>
      </c>
      <c r="AM892" t="str">
        <f t="shared" si="320"/>
        <v/>
      </c>
      <c r="AO892" t="str">
        <f>IFERROR(VLOOKUP(M892,'Fixture Identities'!$B$9:$O$1045,14,FALSE),"")</f>
        <v/>
      </c>
      <c r="AP892" t="str">
        <f t="shared" si="314"/>
        <v/>
      </c>
    </row>
    <row r="893" spans="1:42">
      <c r="A893" s="71">
        <f t="shared" si="322"/>
        <v>0</v>
      </c>
      <c r="B893" s="513">
        <f t="shared" si="321"/>
        <v>881</v>
      </c>
      <c r="C893" s="530" t="str">
        <f>IF(Inventory!E890="","",Inventory!E890)</f>
        <v/>
      </c>
      <c r="D893" s="531">
        <f>IF(Inventory!D890="",0,Inventory!D890)</f>
        <v>0</v>
      </c>
      <c r="E893" s="532" t="str">
        <f>IF(Inventory!I890=0,"",Inventory!I890)</f>
        <v/>
      </c>
      <c r="F893" s="533" t="str">
        <f t="shared" si="301"/>
        <v/>
      </c>
      <c r="G893" s="534" t="str">
        <f>IF(Inventory!G890="","",Inventory!G890)</f>
        <v/>
      </c>
      <c r="H893" s="535" t="str">
        <f t="shared" si="302"/>
        <v/>
      </c>
      <c r="I893" s="536" t="str">
        <f>IF(Inventory!J890="","",Inventory!J890)</f>
        <v/>
      </c>
      <c r="J893" s="537" t="str">
        <f>IFERROR(IF(PRJ_Type="New Construction",IF(Inventory!C890="N",INDEX(xyLPD_BuildingArea,MATCH(Building_Type,Lookups!$F$37:$F$75,0),4),INDEX(xyLPD_SpaceBySpace,MATCH(INDEX(xyNCEx,MATCH(I893,yNCExArea,0),2),ySpace_by_Space_Type,0),2)),VLOOKUP(E893,xyWattage_Table,11,FALSE)),"")</f>
        <v/>
      </c>
      <c r="K893" s="538" t="str">
        <f>IFERROR(IF(AND(NC_Type="Building Area Method",Inventory!C890="N"),IF(ISERROR(INDEX('Usage Groups (&gt;120 MWh only)'!$N$8:$N$12,MATCH(C893,'Usage Groups (&gt;120 MWh only)'!$B$8:$B$12,0),1))=TRUE,SqFt/COUNTIFS(Inventory!$C$10:$C$1009,"N",$Q$13:$Q$1012,"&gt;=0"),INDEX('Usage Groups (&gt;120 MWh only)'!$N$8:$N$12,MATCH(C893,'Usage Groups (&gt;120 MWh only)'!$B$8:$B$12,0),1)/COUNTIF($C$13:$C$1012,C893)),IF(AND(NC_Type="Building Area Method",Inventory!C890="Y"),INDEX(xyNCEx,MATCH(I893,yNCExArea,0),3)/COUNTIF($I$13:$I$1012,I893),VLOOKUP(J893,xyWattage_Table,10,FALSE))),"")</f>
        <v/>
      </c>
      <c r="L893" s="539" t="str">
        <f t="shared" si="303"/>
        <v/>
      </c>
      <c r="M893" s="540">
        <f>IF(Inventory!N890="","",Inventory!N890)</f>
        <v>0</v>
      </c>
      <c r="N893" s="533" t="str">
        <f t="shared" si="304"/>
        <v/>
      </c>
      <c r="O893" s="534"/>
      <c r="P893" s="533" t="str">
        <f t="shared" si="305"/>
        <v/>
      </c>
      <c r="Q893" s="534" t="str">
        <f>IF(Inventory!L890="","",Inventory!L890)</f>
        <v/>
      </c>
      <c r="R893" s="535" t="str">
        <f t="shared" si="306"/>
        <v/>
      </c>
      <c r="S893" s="536" t="str">
        <f>IF(Inventory!O890="","",Inventory!O890)</f>
        <v/>
      </c>
      <c r="T893" s="541" t="str">
        <f>IFERROR(IF(C893="","",IF(INDEX(xyWattage_Table,MATCH(M893,'Fixture Identities'!$B$9:$B$997,0),2)="Exit Sign",8760,IF(VLOOKUP(C893,xySpace_Type_Details,8,FALSE)="TRM",INDEX('General Information'!$AF$17:$AG$28,11,MATCH(N893,'General Information'!$AF$16:$AG$16,0)),HLOOKUP(VLOOKUP(C893,xySpace_Type_Details,8,FALSE),'General Information'!$P$15:$AG$28,13,FALSE)))),"")</f>
        <v/>
      </c>
      <c r="U893" s="542" t="str">
        <f>IFERROR(IF(C893="","",IF(INDEX(xyWattage_Table,MATCH(M893,'Fixture Identities'!$B$9:$B$997,0),2)="Exit Sign",1,IF(VLOOKUP(C893,xySpace_Type_Details,8,FALSE)="TRM",INDEX('General Information'!$AF$17:$AG$28,12,MATCH(N893,'General Information'!$AF$16:$AG$16,0)),HLOOKUP(VLOOKUP(C893,xySpace_Type_Details,8,FALSE),'General Information'!$P$15:$AG$28,14,FALSE)))),"")</f>
        <v/>
      </c>
      <c r="V893" s="542" t="str">
        <f>IFERROR(VLOOKUP(INDEX(xySpace_Type_Details,MATCH($C893,'General Information'!$C$40:$C$60,0),12),Lookups!$L$8:$N$12,2,FALSE),"")</f>
        <v/>
      </c>
      <c r="W893" s="542" t="str">
        <f>IFERROR(VLOOKUP(INDEX(xySpace_Type_Details,MATCH($C893,'General Information'!$C$40:$C$60,0),12),Lookups!$L$8:$N$12,3,FALSE),"")</f>
        <v/>
      </c>
      <c r="Y893" s="542" t="str">
        <f>IFERROR(IF(C893="","",IF(INDEX(xyWattage_Table,MATCH(M893,'Fixture Identities'!$B$9:$B$997,0),2)="Exit Sign",0,IF(PRJ_Type="Retrofit",VLOOKUP(I893,xySVG_Factors,2,FALSE),IF(AND(PRJ_Type="New Construction",Inventory!C890="N"),VLOOKUP(VLOOKUP(Building_Type,xyLPD_BuildingArea,5,FALSE),xySVG_Factors_NC,3,FALSE),0)))),"")</f>
        <v/>
      </c>
      <c r="Z893" s="544" t="str">
        <f>IFERROR(IF(C893="","",IF(INDEX(xyWattage_Table,MATCH(M893,'Fixture Identities'!$B$9:$B$997,0),2)="Exit Sign",0,VLOOKUP(S893,xySVG_Factors,2,FALSE))),"")</f>
        <v/>
      </c>
      <c r="AA893" s="545" t="str">
        <f t="shared" si="307"/>
        <v/>
      </c>
      <c r="AB893" s="542" t="str">
        <f t="shared" si="308"/>
        <v/>
      </c>
      <c r="AC893" s="539" t="str">
        <f t="shared" si="309"/>
        <v/>
      </c>
      <c r="AD893" s="546" t="str">
        <f t="shared" si="310"/>
        <v/>
      </c>
      <c r="AE893" s="539" t="str">
        <f t="shared" si="311"/>
        <v/>
      </c>
      <c r="AF893" s="546" t="str">
        <f t="shared" si="312"/>
        <v/>
      </c>
      <c r="AG893" s="539" t="str">
        <f t="shared" si="313"/>
        <v/>
      </c>
      <c r="AH893" s="32">
        <f t="shared" si="315"/>
        <v>0</v>
      </c>
      <c r="AI893" s="32">
        <f t="shared" si="316"/>
        <v>0</v>
      </c>
      <c r="AJ893" s="32">
        <f t="shared" si="317"/>
        <v>0</v>
      </c>
      <c r="AK893" t="str">
        <f t="shared" si="318"/>
        <v/>
      </c>
      <c r="AL893" t="str">
        <f t="shared" si="319"/>
        <v/>
      </c>
      <c r="AM893" t="str">
        <f t="shared" si="320"/>
        <v/>
      </c>
      <c r="AO893" t="str">
        <f>IFERROR(VLOOKUP(M893,'Fixture Identities'!$B$9:$O$1045,14,FALSE),"")</f>
        <v/>
      </c>
      <c r="AP893" t="str">
        <f t="shared" si="314"/>
        <v/>
      </c>
    </row>
    <row r="894" spans="1:42">
      <c r="A894" s="71">
        <f t="shared" si="322"/>
        <v>0</v>
      </c>
      <c r="B894" s="513">
        <f t="shared" si="321"/>
        <v>882</v>
      </c>
      <c r="C894" s="530" t="str">
        <f>IF(Inventory!E891="","",Inventory!E891)</f>
        <v/>
      </c>
      <c r="D894" s="531">
        <f>IF(Inventory!D891="",0,Inventory!D891)</f>
        <v>0</v>
      </c>
      <c r="E894" s="532" t="str">
        <f>IF(Inventory!I891=0,"",Inventory!I891)</f>
        <v/>
      </c>
      <c r="F894" s="533" t="str">
        <f t="shared" si="301"/>
        <v/>
      </c>
      <c r="G894" s="534" t="str">
        <f>IF(Inventory!G891="","",Inventory!G891)</f>
        <v/>
      </c>
      <c r="H894" s="535" t="str">
        <f t="shared" si="302"/>
        <v/>
      </c>
      <c r="I894" s="536" t="str">
        <f>IF(Inventory!J891="","",Inventory!J891)</f>
        <v/>
      </c>
      <c r="J894" s="537" t="str">
        <f>IFERROR(IF(PRJ_Type="New Construction",IF(Inventory!C891="N",INDEX(xyLPD_BuildingArea,MATCH(Building_Type,Lookups!$F$37:$F$75,0),4),INDEX(xyLPD_SpaceBySpace,MATCH(INDEX(xyNCEx,MATCH(I894,yNCExArea,0),2),ySpace_by_Space_Type,0),2)),VLOOKUP(E894,xyWattage_Table,11,FALSE)),"")</f>
        <v/>
      </c>
      <c r="K894" s="538" t="str">
        <f>IFERROR(IF(AND(NC_Type="Building Area Method",Inventory!C891="N"),IF(ISERROR(INDEX('Usage Groups (&gt;120 MWh only)'!$N$8:$N$12,MATCH(C894,'Usage Groups (&gt;120 MWh only)'!$B$8:$B$12,0),1))=TRUE,SqFt/COUNTIFS(Inventory!$C$10:$C$1009,"N",$Q$13:$Q$1012,"&gt;=0"),INDEX('Usage Groups (&gt;120 MWh only)'!$N$8:$N$12,MATCH(C894,'Usage Groups (&gt;120 MWh only)'!$B$8:$B$12,0),1)/COUNTIF($C$13:$C$1012,C894)),IF(AND(NC_Type="Building Area Method",Inventory!C891="Y"),INDEX(xyNCEx,MATCH(I894,yNCExArea,0),3)/COUNTIF($I$13:$I$1012,I894),VLOOKUP(J894,xyWattage_Table,10,FALSE))),"")</f>
        <v/>
      </c>
      <c r="L894" s="539" t="str">
        <f t="shared" si="303"/>
        <v/>
      </c>
      <c r="M894" s="540">
        <f>IF(Inventory!N891="","",Inventory!N891)</f>
        <v>0</v>
      </c>
      <c r="N894" s="533" t="str">
        <f t="shared" si="304"/>
        <v/>
      </c>
      <c r="O894" s="534"/>
      <c r="P894" s="533" t="str">
        <f t="shared" si="305"/>
        <v/>
      </c>
      <c r="Q894" s="534" t="str">
        <f>IF(Inventory!L891="","",Inventory!L891)</f>
        <v/>
      </c>
      <c r="R894" s="535" t="str">
        <f t="shared" si="306"/>
        <v/>
      </c>
      <c r="S894" s="536" t="str">
        <f>IF(Inventory!O891="","",Inventory!O891)</f>
        <v/>
      </c>
      <c r="T894" s="541" t="str">
        <f>IFERROR(IF(C894="","",IF(INDEX(xyWattage_Table,MATCH(M894,'Fixture Identities'!$B$9:$B$997,0),2)="Exit Sign",8760,IF(VLOOKUP(C894,xySpace_Type_Details,8,FALSE)="TRM",INDEX('General Information'!$AF$17:$AG$28,11,MATCH(N894,'General Information'!$AF$16:$AG$16,0)),HLOOKUP(VLOOKUP(C894,xySpace_Type_Details,8,FALSE),'General Information'!$P$15:$AG$28,13,FALSE)))),"")</f>
        <v/>
      </c>
      <c r="U894" s="542" t="str">
        <f>IFERROR(IF(C894="","",IF(INDEX(xyWattage_Table,MATCH(M894,'Fixture Identities'!$B$9:$B$997,0),2)="Exit Sign",1,IF(VLOOKUP(C894,xySpace_Type_Details,8,FALSE)="TRM",INDEX('General Information'!$AF$17:$AG$28,12,MATCH(N894,'General Information'!$AF$16:$AG$16,0)),HLOOKUP(VLOOKUP(C894,xySpace_Type_Details,8,FALSE),'General Information'!$P$15:$AG$28,14,FALSE)))),"")</f>
        <v/>
      </c>
      <c r="V894" s="542" t="str">
        <f>IFERROR(VLOOKUP(INDEX(xySpace_Type_Details,MATCH($C894,'General Information'!$C$40:$C$60,0),12),Lookups!$L$8:$N$12,2,FALSE),"")</f>
        <v/>
      </c>
      <c r="W894" s="542" t="str">
        <f>IFERROR(VLOOKUP(INDEX(xySpace_Type_Details,MATCH($C894,'General Information'!$C$40:$C$60,0),12),Lookups!$L$8:$N$12,3,FALSE),"")</f>
        <v/>
      </c>
      <c r="Y894" s="542" t="str">
        <f>IFERROR(IF(C894="","",IF(INDEX(xyWattage_Table,MATCH(M894,'Fixture Identities'!$B$9:$B$997,0),2)="Exit Sign",0,IF(PRJ_Type="Retrofit",VLOOKUP(I894,xySVG_Factors,2,FALSE),IF(AND(PRJ_Type="New Construction",Inventory!C891="N"),VLOOKUP(VLOOKUP(Building_Type,xyLPD_BuildingArea,5,FALSE),xySVG_Factors_NC,3,FALSE),0)))),"")</f>
        <v/>
      </c>
      <c r="Z894" s="544" t="str">
        <f>IFERROR(IF(C894="","",IF(INDEX(xyWattage_Table,MATCH(M894,'Fixture Identities'!$B$9:$B$997,0),2)="Exit Sign",0,VLOOKUP(S894,xySVG_Factors,2,FALSE))),"")</f>
        <v/>
      </c>
      <c r="AA894" s="545" t="str">
        <f t="shared" si="307"/>
        <v/>
      </c>
      <c r="AB894" s="542" t="str">
        <f t="shared" si="308"/>
        <v/>
      </c>
      <c r="AC894" s="539" t="str">
        <f t="shared" si="309"/>
        <v/>
      </c>
      <c r="AD894" s="546" t="str">
        <f t="shared" si="310"/>
        <v/>
      </c>
      <c r="AE894" s="539" t="str">
        <f t="shared" si="311"/>
        <v/>
      </c>
      <c r="AF894" s="546" t="str">
        <f t="shared" si="312"/>
        <v/>
      </c>
      <c r="AG894" s="539" t="str">
        <f t="shared" si="313"/>
        <v/>
      </c>
      <c r="AH894" s="32">
        <f t="shared" si="315"/>
        <v>0</v>
      </c>
      <c r="AI894" s="32">
        <f t="shared" si="316"/>
        <v>0</v>
      </c>
      <c r="AJ894" s="32">
        <f t="shared" si="317"/>
        <v>0</v>
      </c>
      <c r="AK894" t="str">
        <f t="shared" si="318"/>
        <v/>
      </c>
      <c r="AL894" t="str">
        <f t="shared" si="319"/>
        <v/>
      </c>
      <c r="AM894" t="str">
        <f t="shared" si="320"/>
        <v/>
      </c>
      <c r="AO894" t="str">
        <f>IFERROR(VLOOKUP(M894,'Fixture Identities'!$B$9:$O$1045,14,FALSE),"")</f>
        <v/>
      </c>
      <c r="AP894" t="str">
        <f t="shared" si="314"/>
        <v/>
      </c>
    </row>
    <row r="895" spans="1:42">
      <c r="A895" s="71">
        <f t="shared" si="322"/>
        <v>0</v>
      </c>
      <c r="B895" s="513">
        <f t="shared" si="321"/>
        <v>883</v>
      </c>
      <c r="C895" s="530" t="str">
        <f>IF(Inventory!E892="","",Inventory!E892)</f>
        <v/>
      </c>
      <c r="D895" s="531">
        <f>IF(Inventory!D892="",0,Inventory!D892)</f>
        <v>0</v>
      </c>
      <c r="E895" s="532" t="str">
        <f>IF(Inventory!I892=0,"",Inventory!I892)</f>
        <v/>
      </c>
      <c r="F895" s="533" t="str">
        <f t="shared" si="301"/>
        <v/>
      </c>
      <c r="G895" s="534" t="str">
        <f>IF(Inventory!G892="","",Inventory!G892)</f>
        <v/>
      </c>
      <c r="H895" s="535" t="str">
        <f t="shared" si="302"/>
        <v/>
      </c>
      <c r="I895" s="536" t="str">
        <f>IF(Inventory!J892="","",Inventory!J892)</f>
        <v/>
      </c>
      <c r="J895" s="537" t="str">
        <f>IFERROR(IF(PRJ_Type="New Construction",IF(Inventory!C892="N",INDEX(xyLPD_BuildingArea,MATCH(Building_Type,Lookups!$F$37:$F$75,0),4),INDEX(xyLPD_SpaceBySpace,MATCH(INDEX(xyNCEx,MATCH(I895,yNCExArea,0),2),ySpace_by_Space_Type,0),2)),VLOOKUP(E895,xyWattage_Table,11,FALSE)),"")</f>
        <v/>
      </c>
      <c r="K895" s="538" t="str">
        <f>IFERROR(IF(AND(NC_Type="Building Area Method",Inventory!C892="N"),IF(ISERROR(INDEX('Usage Groups (&gt;120 MWh only)'!$N$8:$N$12,MATCH(C895,'Usage Groups (&gt;120 MWh only)'!$B$8:$B$12,0),1))=TRUE,SqFt/COUNTIFS(Inventory!$C$10:$C$1009,"N",$Q$13:$Q$1012,"&gt;=0"),INDEX('Usage Groups (&gt;120 MWh only)'!$N$8:$N$12,MATCH(C895,'Usage Groups (&gt;120 MWh only)'!$B$8:$B$12,0),1)/COUNTIF($C$13:$C$1012,C895)),IF(AND(NC_Type="Building Area Method",Inventory!C892="Y"),INDEX(xyNCEx,MATCH(I895,yNCExArea,0),3)/COUNTIF($I$13:$I$1012,I895),VLOOKUP(J895,xyWattage_Table,10,FALSE))),"")</f>
        <v/>
      </c>
      <c r="L895" s="539" t="str">
        <f t="shared" si="303"/>
        <v/>
      </c>
      <c r="M895" s="540">
        <f>IF(Inventory!N892="","",Inventory!N892)</f>
        <v>0</v>
      </c>
      <c r="N895" s="533" t="str">
        <f t="shared" si="304"/>
        <v/>
      </c>
      <c r="O895" s="534"/>
      <c r="P895" s="533" t="str">
        <f t="shared" si="305"/>
        <v/>
      </c>
      <c r="Q895" s="534" t="str">
        <f>IF(Inventory!L892="","",Inventory!L892)</f>
        <v/>
      </c>
      <c r="R895" s="535" t="str">
        <f t="shared" si="306"/>
        <v/>
      </c>
      <c r="S895" s="536" t="str">
        <f>IF(Inventory!O892="","",Inventory!O892)</f>
        <v/>
      </c>
      <c r="T895" s="541" t="str">
        <f>IFERROR(IF(C895="","",IF(INDEX(xyWattage_Table,MATCH(M895,'Fixture Identities'!$B$9:$B$997,0),2)="Exit Sign",8760,IF(VLOOKUP(C895,xySpace_Type_Details,8,FALSE)="TRM",INDEX('General Information'!$AF$17:$AG$28,11,MATCH(N895,'General Information'!$AF$16:$AG$16,0)),HLOOKUP(VLOOKUP(C895,xySpace_Type_Details,8,FALSE),'General Information'!$P$15:$AG$28,13,FALSE)))),"")</f>
        <v/>
      </c>
      <c r="U895" s="542" t="str">
        <f>IFERROR(IF(C895="","",IF(INDEX(xyWattage_Table,MATCH(M895,'Fixture Identities'!$B$9:$B$997,0),2)="Exit Sign",1,IF(VLOOKUP(C895,xySpace_Type_Details,8,FALSE)="TRM",INDEX('General Information'!$AF$17:$AG$28,12,MATCH(N895,'General Information'!$AF$16:$AG$16,0)),HLOOKUP(VLOOKUP(C895,xySpace_Type_Details,8,FALSE),'General Information'!$P$15:$AG$28,14,FALSE)))),"")</f>
        <v/>
      </c>
      <c r="V895" s="542" t="str">
        <f>IFERROR(VLOOKUP(INDEX(xySpace_Type_Details,MATCH($C895,'General Information'!$C$40:$C$60,0),12),Lookups!$L$8:$N$12,2,FALSE),"")</f>
        <v/>
      </c>
      <c r="W895" s="542" t="str">
        <f>IFERROR(VLOOKUP(INDEX(xySpace_Type_Details,MATCH($C895,'General Information'!$C$40:$C$60,0),12),Lookups!$L$8:$N$12,3,FALSE),"")</f>
        <v/>
      </c>
      <c r="Y895" s="542" t="str">
        <f>IFERROR(IF(C895="","",IF(INDEX(xyWattage_Table,MATCH(M895,'Fixture Identities'!$B$9:$B$997,0),2)="Exit Sign",0,IF(PRJ_Type="Retrofit",VLOOKUP(I895,xySVG_Factors,2,FALSE),IF(AND(PRJ_Type="New Construction",Inventory!C892="N"),VLOOKUP(VLOOKUP(Building_Type,xyLPD_BuildingArea,5,FALSE),xySVG_Factors_NC,3,FALSE),0)))),"")</f>
        <v/>
      </c>
      <c r="Z895" s="544" t="str">
        <f>IFERROR(IF(C895="","",IF(INDEX(xyWattage_Table,MATCH(M895,'Fixture Identities'!$B$9:$B$997,0),2)="Exit Sign",0,VLOOKUP(S895,xySVG_Factors,2,FALSE))),"")</f>
        <v/>
      </c>
      <c r="AA895" s="545" t="str">
        <f t="shared" si="307"/>
        <v/>
      </c>
      <c r="AB895" s="542" t="str">
        <f t="shared" si="308"/>
        <v/>
      </c>
      <c r="AC895" s="539" t="str">
        <f t="shared" si="309"/>
        <v/>
      </c>
      <c r="AD895" s="546" t="str">
        <f t="shared" si="310"/>
        <v/>
      </c>
      <c r="AE895" s="539" t="str">
        <f t="shared" si="311"/>
        <v/>
      </c>
      <c r="AF895" s="546" t="str">
        <f t="shared" si="312"/>
        <v/>
      </c>
      <c r="AG895" s="539" t="str">
        <f t="shared" si="313"/>
        <v/>
      </c>
      <c r="AH895" s="32">
        <f t="shared" si="315"/>
        <v>0</v>
      </c>
      <c r="AI895" s="32">
        <f t="shared" si="316"/>
        <v>0</v>
      </c>
      <c r="AJ895" s="32">
        <f t="shared" si="317"/>
        <v>0</v>
      </c>
      <c r="AK895" t="str">
        <f t="shared" si="318"/>
        <v/>
      </c>
      <c r="AL895" t="str">
        <f t="shared" si="319"/>
        <v/>
      </c>
      <c r="AM895" t="str">
        <f t="shared" si="320"/>
        <v/>
      </c>
      <c r="AO895" t="str">
        <f>IFERROR(VLOOKUP(M895,'Fixture Identities'!$B$9:$O$1045,14,FALSE),"")</f>
        <v/>
      </c>
      <c r="AP895" t="str">
        <f t="shared" si="314"/>
        <v/>
      </c>
    </row>
    <row r="896" spans="1:42">
      <c r="A896" s="71">
        <f t="shared" si="322"/>
        <v>0</v>
      </c>
      <c r="B896" s="513">
        <f t="shared" si="321"/>
        <v>884</v>
      </c>
      <c r="C896" s="530" t="str">
        <f>IF(Inventory!E893="","",Inventory!E893)</f>
        <v/>
      </c>
      <c r="D896" s="531">
        <f>IF(Inventory!D893="",0,Inventory!D893)</f>
        <v>0</v>
      </c>
      <c r="E896" s="532" t="str">
        <f>IF(Inventory!I893=0,"",Inventory!I893)</f>
        <v/>
      </c>
      <c r="F896" s="533" t="str">
        <f t="shared" si="301"/>
        <v/>
      </c>
      <c r="G896" s="534" t="str">
        <f>IF(Inventory!G893="","",Inventory!G893)</f>
        <v/>
      </c>
      <c r="H896" s="535" t="str">
        <f t="shared" si="302"/>
        <v/>
      </c>
      <c r="I896" s="536" t="str">
        <f>IF(Inventory!J893="","",Inventory!J893)</f>
        <v/>
      </c>
      <c r="J896" s="537" t="str">
        <f>IFERROR(IF(PRJ_Type="New Construction",IF(Inventory!C893="N",INDEX(xyLPD_BuildingArea,MATCH(Building_Type,Lookups!$F$37:$F$75,0),4),INDEX(xyLPD_SpaceBySpace,MATCH(INDEX(xyNCEx,MATCH(I896,yNCExArea,0),2),ySpace_by_Space_Type,0),2)),VLOOKUP(E896,xyWattage_Table,11,FALSE)),"")</f>
        <v/>
      </c>
      <c r="K896" s="538" t="str">
        <f>IFERROR(IF(AND(NC_Type="Building Area Method",Inventory!C893="N"),IF(ISERROR(INDEX('Usage Groups (&gt;120 MWh only)'!$N$8:$N$12,MATCH(C896,'Usage Groups (&gt;120 MWh only)'!$B$8:$B$12,0),1))=TRUE,SqFt/COUNTIFS(Inventory!$C$10:$C$1009,"N",$Q$13:$Q$1012,"&gt;=0"),INDEX('Usage Groups (&gt;120 MWh only)'!$N$8:$N$12,MATCH(C896,'Usage Groups (&gt;120 MWh only)'!$B$8:$B$12,0),1)/COUNTIF($C$13:$C$1012,C896)),IF(AND(NC_Type="Building Area Method",Inventory!C893="Y"),INDEX(xyNCEx,MATCH(I896,yNCExArea,0),3)/COUNTIF($I$13:$I$1012,I896),VLOOKUP(J896,xyWattage_Table,10,FALSE))),"")</f>
        <v/>
      </c>
      <c r="L896" s="539" t="str">
        <f t="shared" si="303"/>
        <v/>
      </c>
      <c r="M896" s="540">
        <f>IF(Inventory!N893="","",Inventory!N893)</f>
        <v>0</v>
      </c>
      <c r="N896" s="533" t="str">
        <f t="shared" si="304"/>
        <v/>
      </c>
      <c r="O896" s="534"/>
      <c r="P896" s="533" t="str">
        <f t="shared" si="305"/>
        <v/>
      </c>
      <c r="Q896" s="534" t="str">
        <f>IF(Inventory!L893="","",Inventory!L893)</f>
        <v/>
      </c>
      <c r="R896" s="535" t="str">
        <f t="shared" si="306"/>
        <v/>
      </c>
      <c r="S896" s="536" t="str">
        <f>IF(Inventory!O893="","",Inventory!O893)</f>
        <v/>
      </c>
      <c r="T896" s="541" t="str">
        <f>IFERROR(IF(C896="","",IF(INDEX(xyWattage_Table,MATCH(M896,'Fixture Identities'!$B$9:$B$997,0),2)="Exit Sign",8760,IF(VLOOKUP(C896,xySpace_Type_Details,8,FALSE)="TRM",INDEX('General Information'!$AF$17:$AG$28,11,MATCH(N896,'General Information'!$AF$16:$AG$16,0)),HLOOKUP(VLOOKUP(C896,xySpace_Type_Details,8,FALSE),'General Information'!$P$15:$AG$28,13,FALSE)))),"")</f>
        <v/>
      </c>
      <c r="U896" s="542" t="str">
        <f>IFERROR(IF(C896="","",IF(INDEX(xyWattage_Table,MATCH(M896,'Fixture Identities'!$B$9:$B$997,0),2)="Exit Sign",1,IF(VLOOKUP(C896,xySpace_Type_Details,8,FALSE)="TRM",INDEX('General Information'!$AF$17:$AG$28,12,MATCH(N896,'General Information'!$AF$16:$AG$16,0)),HLOOKUP(VLOOKUP(C896,xySpace_Type_Details,8,FALSE),'General Information'!$P$15:$AG$28,14,FALSE)))),"")</f>
        <v/>
      </c>
      <c r="V896" s="542" t="str">
        <f>IFERROR(VLOOKUP(INDEX(xySpace_Type_Details,MATCH($C896,'General Information'!$C$40:$C$60,0),12),Lookups!$L$8:$N$12,2,FALSE),"")</f>
        <v/>
      </c>
      <c r="W896" s="542" t="str">
        <f>IFERROR(VLOOKUP(INDEX(xySpace_Type_Details,MATCH($C896,'General Information'!$C$40:$C$60,0),12),Lookups!$L$8:$N$12,3,FALSE),"")</f>
        <v/>
      </c>
      <c r="Y896" s="542" t="str">
        <f>IFERROR(IF(C896="","",IF(INDEX(xyWattage_Table,MATCH(M896,'Fixture Identities'!$B$9:$B$997,0),2)="Exit Sign",0,IF(PRJ_Type="Retrofit",VLOOKUP(I896,xySVG_Factors,2,FALSE),IF(AND(PRJ_Type="New Construction",Inventory!C893="N"),VLOOKUP(VLOOKUP(Building_Type,xyLPD_BuildingArea,5,FALSE),xySVG_Factors_NC,3,FALSE),0)))),"")</f>
        <v/>
      </c>
      <c r="Z896" s="544" t="str">
        <f>IFERROR(IF(C896="","",IF(INDEX(xyWattage_Table,MATCH(M896,'Fixture Identities'!$B$9:$B$997,0),2)="Exit Sign",0,VLOOKUP(S896,xySVG_Factors,2,FALSE))),"")</f>
        <v/>
      </c>
      <c r="AA896" s="545" t="str">
        <f t="shared" si="307"/>
        <v/>
      </c>
      <c r="AB896" s="542" t="str">
        <f t="shared" si="308"/>
        <v/>
      </c>
      <c r="AC896" s="539" t="str">
        <f t="shared" si="309"/>
        <v/>
      </c>
      <c r="AD896" s="546" t="str">
        <f t="shared" si="310"/>
        <v/>
      </c>
      <c r="AE896" s="539" t="str">
        <f t="shared" si="311"/>
        <v/>
      </c>
      <c r="AF896" s="546" t="str">
        <f t="shared" si="312"/>
        <v/>
      </c>
      <c r="AG896" s="539" t="str">
        <f t="shared" si="313"/>
        <v/>
      </c>
      <c r="AH896" s="32">
        <f t="shared" si="315"/>
        <v>0</v>
      </c>
      <c r="AI896" s="32">
        <f t="shared" si="316"/>
        <v>0</v>
      </c>
      <c r="AJ896" s="32">
        <f t="shared" si="317"/>
        <v>0</v>
      </c>
      <c r="AK896" t="str">
        <f t="shared" si="318"/>
        <v/>
      </c>
      <c r="AL896" t="str">
        <f t="shared" si="319"/>
        <v/>
      </c>
      <c r="AM896" t="str">
        <f t="shared" si="320"/>
        <v/>
      </c>
      <c r="AO896" t="str">
        <f>IFERROR(VLOOKUP(M896,'Fixture Identities'!$B$9:$O$1045,14,FALSE),"")</f>
        <v/>
      </c>
      <c r="AP896" t="str">
        <f t="shared" si="314"/>
        <v/>
      </c>
    </row>
    <row r="897" spans="1:42">
      <c r="A897" s="71">
        <f t="shared" si="322"/>
        <v>0</v>
      </c>
      <c r="B897" s="513">
        <f t="shared" si="321"/>
        <v>885</v>
      </c>
      <c r="C897" s="530" t="str">
        <f>IF(Inventory!E894="","",Inventory!E894)</f>
        <v/>
      </c>
      <c r="D897" s="531">
        <f>IF(Inventory!D894="",0,Inventory!D894)</f>
        <v>0</v>
      </c>
      <c r="E897" s="532" t="str">
        <f>IF(Inventory!I894=0,"",Inventory!I894)</f>
        <v/>
      </c>
      <c r="F897" s="533" t="str">
        <f t="shared" si="301"/>
        <v/>
      </c>
      <c r="G897" s="534" t="str">
        <f>IF(Inventory!G894="","",Inventory!G894)</f>
        <v/>
      </c>
      <c r="H897" s="535" t="str">
        <f t="shared" si="302"/>
        <v/>
      </c>
      <c r="I897" s="536" t="str">
        <f>IF(Inventory!J894="","",Inventory!J894)</f>
        <v/>
      </c>
      <c r="J897" s="537" t="str">
        <f>IFERROR(IF(PRJ_Type="New Construction",IF(Inventory!C894="N",INDEX(xyLPD_BuildingArea,MATCH(Building_Type,Lookups!$F$37:$F$75,0),4),INDEX(xyLPD_SpaceBySpace,MATCH(INDEX(xyNCEx,MATCH(I897,yNCExArea,0),2),ySpace_by_Space_Type,0),2)),VLOOKUP(E897,xyWattage_Table,11,FALSE)),"")</f>
        <v/>
      </c>
      <c r="K897" s="538" t="str">
        <f>IFERROR(IF(AND(NC_Type="Building Area Method",Inventory!C894="N"),IF(ISERROR(INDEX('Usage Groups (&gt;120 MWh only)'!$N$8:$N$12,MATCH(C897,'Usage Groups (&gt;120 MWh only)'!$B$8:$B$12,0),1))=TRUE,SqFt/COUNTIFS(Inventory!$C$10:$C$1009,"N",$Q$13:$Q$1012,"&gt;=0"),INDEX('Usage Groups (&gt;120 MWh only)'!$N$8:$N$12,MATCH(C897,'Usage Groups (&gt;120 MWh only)'!$B$8:$B$12,0),1)/COUNTIF($C$13:$C$1012,C897)),IF(AND(NC_Type="Building Area Method",Inventory!C894="Y"),INDEX(xyNCEx,MATCH(I897,yNCExArea,0),3)/COUNTIF($I$13:$I$1012,I897),VLOOKUP(J897,xyWattage_Table,10,FALSE))),"")</f>
        <v/>
      </c>
      <c r="L897" s="539" t="str">
        <f t="shared" si="303"/>
        <v/>
      </c>
      <c r="M897" s="540">
        <f>IF(Inventory!N894="","",Inventory!N894)</f>
        <v>0</v>
      </c>
      <c r="N897" s="533" t="str">
        <f t="shared" si="304"/>
        <v/>
      </c>
      <c r="O897" s="534"/>
      <c r="P897" s="533" t="str">
        <f t="shared" si="305"/>
        <v/>
      </c>
      <c r="Q897" s="534" t="str">
        <f>IF(Inventory!L894="","",Inventory!L894)</f>
        <v/>
      </c>
      <c r="R897" s="535" t="str">
        <f t="shared" si="306"/>
        <v/>
      </c>
      <c r="S897" s="536" t="str">
        <f>IF(Inventory!O894="","",Inventory!O894)</f>
        <v/>
      </c>
      <c r="T897" s="541" t="str">
        <f>IFERROR(IF(C897="","",IF(INDEX(xyWattage_Table,MATCH(M897,'Fixture Identities'!$B$9:$B$997,0),2)="Exit Sign",8760,IF(VLOOKUP(C897,xySpace_Type_Details,8,FALSE)="TRM",INDEX('General Information'!$AF$17:$AG$28,11,MATCH(N897,'General Information'!$AF$16:$AG$16,0)),HLOOKUP(VLOOKUP(C897,xySpace_Type_Details,8,FALSE),'General Information'!$P$15:$AG$28,13,FALSE)))),"")</f>
        <v/>
      </c>
      <c r="U897" s="542" t="str">
        <f>IFERROR(IF(C897="","",IF(INDEX(xyWattage_Table,MATCH(M897,'Fixture Identities'!$B$9:$B$997,0),2)="Exit Sign",1,IF(VLOOKUP(C897,xySpace_Type_Details,8,FALSE)="TRM",INDEX('General Information'!$AF$17:$AG$28,12,MATCH(N897,'General Information'!$AF$16:$AG$16,0)),HLOOKUP(VLOOKUP(C897,xySpace_Type_Details,8,FALSE),'General Information'!$P$15:$AG$28,14,FALSE)))),"")</f>
        <v/>
      </c>
      <c r="V897" s="542" t="str">
        <f>IFERROR(VLOOKUP(INDEX(xySpace_Type_Details,MATCH($C897,'General Information'!$C$40:$C$60,0),12),Lookups!$L$8:$N$12,2,FALSE),"")</f>
        <v/>
      </c>
      <c r="W897" s="542" t="str">
        <f>IFERROR(VLOOKUP(INDEX(xySpace_Type_Details,MATCH($C897,'General Information'!$C$40:$C$60,0),12),Lookups!$L$8:$N$12,3,FALSE),"")</f>
        <v/>
      </c>
      <c r="Y897" s="542" t="str">
        <f>IFERROR(IF(C897="","",IF(INDEX(xyWattage_Table,MATCH(M897,'Fixture Identities'!$B$9:$B$997,0),2)="Exit Sign",0,IF(PRJ_Type="Retrofit",VLOOKUP(I897,xySVG_Factors,2,FALSE),IF(AND(PRJ_Type="New Construction",Inventory!C894="N"),VLOOKUP(VLOOKUP(Building_Type,xyLPD_BuildingArea,5,FALSE),xySVG_Factors_NC,3,FALSE),0)))),"")</f>
        <v/>
      </c>
      <c r="Z897" s="544" t="str">
        <f>IFERROR(IF(C897="","",IF(INDEX(xyWattage_Table,MATCH(M897,'Fixture Identities'!$B$9:$B$997,0),2)="Exit Sign",0,VLOOKUP(S897,xySVG_Factors,2,FALSE))),"")</f>
        <v/>
      </c>
      <c r="AA897" s="545" t="str">
        <f t="shared" si="307"/>
        <v/>
      </c>
      <c r="AB897" s="542" t="str">
        <f t="shared" si="308"/>
        <v/>
      </c>
      <c r="AC897" s="539" t="str">
        <f t="shared" si="309"/>
        <v/>
      </c>
      <c r="AD897" s="546" t="str">
        <f t="shared" si="310"/>
        <v/>
      </c>
      <c r="AE897" s="539" t="str">
        <f t="shared" si="311"/>
        <v/>
      </c>
      <c r="AF897" s="546" t="str">
        <f t="shared" si="312"/>
        <v/>
      </c>
      <c r="AG897" s="539" t="str">
        <f t="shared" si="313"/>
        <v/>
      </c>
      <c r="AH897" s="32">
        <f t="shared" si="315"/>
        <v>0</v>
      </c>
      <c r="AI897" s="32">
        <f t="shared" si="316"/>
        <v>0</v>
      </c>
      <c r="AJ897" s="32">
        <f t="shared" si="317"/>
        <v>0</v>
      </c>
      <c r="AK897" t="str">
        <f t="shared" si="318"/>
        <v/>
      </c>
      <c r="AL897" t="str">
        <f t="shared" si="319"/>
        <v/>
      </c>
      <c r="AM897" t="str">
        <f t="shared" si="320"/>
        <v/>
      </c>
      <c r="AO897" t="str">
        <f>IFERROR(VLOOKUP(M897,'Fixture Identities'!$B$9:$O$1045,14,FALSE),"")</f>
        <v/>
      </c>
      <c r="AP897" t="str">
        <f t="shared" si="314"/>
        <v/>
      </c>
    </row>
    <row r="898" spans="1:42">
      <c r="A898" s="71">
        <f t="shared" si="322"/>
        <v>0</v>
      </c>
      <c r="B898" s="513">
        <f t="shared" si="321"/>
        <v>886</v>
      </c>
      <c r="C898" s="530" t="str">
        <f>IF(Inventory!E895="","",Inventory!E895)</f>
        <v/>
      </c>
      <c r="D898" s="531">
        <f>IF(Inventory!D895="",0,Inventory!D895)</f>
        <v>0</v>
      </c>
      <c r="E898" s="532" t="str">
        <f>IF(Inventory!I895=0,"",Inventory!I895)</f>
        <v/>
      </c>
      <c r="F898" s="533" t="str">
        <f t="shared" si="301"/>
        <v/>
      </c>
      <c r="G898" s="534" t="str">
        <f>IF(Inventory!G895="","",Inventory!G895)</f>
        <v/>
      </c>
      <c r="H898" s="535" t="str">
        <f t="shared" si="302"/>
        <v/>
      </c>
      <c r="I898" s="536" t="str">
        <f>IF(Inventory!J895="","",Inventory!J895)</f>
        <v/>
      </c>
      <c r="J898" s="537" t="str">
        <f>IFERROR(IF(PRJ_Type="New Construction",IF(Inventory!C895="N",INDEX(xyLPD_BuildingArea,MATCH(Building_Type,Lookups!$F$37:$F$75,0),4),INDEX(xyLPD_SpaceBySpace,MATCH(INDEX(xyNCEx,MATCH(I898,yNCExArea,0),2),ySpace_by_Space_Type,0),2)),VLOOKUP(E898,xyWattage_Table,11,FALSE)),"")</f>
        <v/>
      </c>
      <c r="K898" s="538" t="str">
        <f>IFERROR(IF(AND(NC_Type="Building Area Method",Inventory!C895="N"),IF(ISERROR(INDEX('Usage Groups (&gt;120 MWh only)'!$N$8:$N$12,MATCH(C898,'Usage Groups (&gt;120 MWh only)'!$B$8:$B$12,0),1))=TRUE,SqFt/COUNTIFS(Inventory!$C$10:$C$1009,"N",$Q$13:$Q$1012,"&gt;=0"),INDEX('Usage Groups (&gt;120 MWh only)'!$N$8:$N$12,MATCH(C898,'Usage Groups (&gt;120 MWh only)'!$B$8:$B$12,0),1)/COUNTIF($C$13:$C$1012,C898)),IF(AND(NC_Type="Building Area Method",Inventory!C895="Y"),INDEX(xyNCEx,MATCH(I898,yNCExArea,0),3)/COUNTIF($I$13:$I$1012,I898),VLOOKUP(J898,xyWattage_Table,10,FALSE))),"")</f>
        <v/>
      </c>
      <c r="L898" s="539" t="str">
        <f t="shared" si="303"/>
        <v/>
      </c>
      <c r="M898" s="540">
        <f>IF(Inventory!N895="","",Inventory!N895)</f>
        <v>0</v>
      </c>
      <c r="N898" s="533" t="str">
        <f t="shared" si="304"/>
        <v/>
      </c>
      <c r="O898" s="534"/>
      <c r="P898" s="533" t="str">
        <f t="shared" si="305"/>
        <v/>
      </c>
      <c r="Q898" s="534" t="str">
        <f>IF(Inventory!L895="","",Inventory!L895)</f>
        <v/>
      </c>
      <c r="R898" s="535" t="str">
        <f t="shared" si="306"/>
        <v/>
      </c>
      <c r="S898" s="536" t="str">
        <f>IF(Inventory!O895="","",Inventory!O895)</f>
        <v/>
      </c>
      <c r="T898" s="541" t="str">
        <f>IFERROR(IF(C898="","",IF(INDEX(xyWattage_Table,MATCH(M898,'Fixture Identities'!$B$9:$B$997,0),2)="Exit Sign",8760,IF(VLOOKUP(C898,xySpace_Type_Details,8,FALSE)="TRM",INDEX('General Information'!$AF$17:$AG$28,11,MATCH(N898,'General Information'!$AF$16:$AG$16,0)),HLOOKUP(VLOOKUP(C898,xySpace_Type_Details,8,FALSE),'General Information'!$P$15:$AG$28,13,FALSE)))),"")</f>
        <v/>
      </c>
      <c r="U898" s="542" t="str">
        <f>IFERROR(IF(C898="","",IF(INDEX(xyWattage_Table,MATCH(M898,'Fixture Identities'!$B$9:$B$997,0),2)="Exit Sign",1,IF(VLOOKUP(C898,xySpace_Type_Details,8,FALSE)="TRM",INDEX('General Information'!$AF$17:$AG$28,12,MATCH(N898,'General Information'!$AF$16:$AG$16,0)),HLOOKUP(VLOOKUP(C898,xySpace_Type_Details,8,FALSE),'General Information'!$P$15:$AG$28,14,FALSE)))),"")</f>
        <v/>
      </c>
      <c r="V898" s="542" t="str">
        <f>IFERROR(VLOOKUP(INDEX(xySpace_Type_Details,MATCH($C898,'General Information'!$C$40:$C$60,0),12),Lookups!$L$8:$N$12,2,FALSE),"")</f>
        <v/>
      </c>
      <c r="W898" s="542" t="str">
        <f>IFERROR(VLOOKUP(INDEX(xySpace_Type_Details,MATCH($C898,'General Information'!$C$40:$C$60,0),12),Lookups!$L$8:$N$12,3,FALSE),"")</f>
        <v/>
      </c>
      <c r="Y898" s="542" t="str">
        <f>IFERROR(IF(C898="","",IF(INDEX(xyWattage_Table,MATCH(M898,'Fixture Identities'!$B$9:$B$997,0),2)="Exit Sign",0,IF(PRJ_Type="Retrofit",VLOOKUP(I898,xySVG_Factors,2,FALSE),IF(AND(PRJ_Type="New Construction",Inventory!C895="N"),VLOOKUP(VLOOKUP(Building_Type,xyLPD_BuildingArea,5,FALSE),xySVG_Factors_NC,3,FALSE),0)))),"")</f>
        <v/>
      </c>
      <c r="Z898" s="544" t="str">
        <f>IFERROR(IF(C898="","",IF(INDEX(xyWattage_Table,MATCH(M898,'Fixture Identities'!$B$9:$B$997,0),2)="Exit Sign",0,VLOOKUP(S898,xySVG_Factors,2,FALSE))),"")</f>
        <v/>
      </c>
      <c r="AA898" s="545" t="str">
        <f t="shared" si="307"/>
        <v/>
      </c>
      <c r="AB898" s="542" t="str">
        <f t="shared" si="308"/>
        <v/>
      </c>
      <c r="AC898" s="539" t="str">
        <f t="shared" si="309"/>
        <v/>
      </c>
      <c r="AD898" s="546" t="str">
        <f t="shared" si="310"/>
        <v/>
      </c>
      <c r="AE898" s="539" t="str">
        <f t="shared" si="311"/>
        <v/>
      </c>
      <c r="AF898" s="546" t="str">
        <f t="shared" si="312"/>
        <v/>
      </c>
      <c r="AG898" s="539" t="str">
        <f t="shared" si="313"/>
        <v/>
      </c>
      <c r="AH898" s="32">
        <f t="shared" si="315"/>
        <v>0</v>
      </c>
      <c r="AI898" s="32">
        <f t="shared" si="316"/>
        <v>0</v>
      </c>
      <c r="AJ898" s="32">
        <f t="shared" si="317"/>
        <v>0</v>
      </c>
      <c r="AK898" t="str">
        <f t="shared" si="318"/>
        <v/>
      </c>
      <c r="AL898" t="str">
        <f t="shared" si="319"/>
        <v/>
      </c>
      <c r="AM898" t="str">
        <f t="shared" si="320"/>
        <v/>
      </c>
      <c r="AO898" t="str">
        <f>IFERROR(VLOOKUP(M898,'Fixture Identities'!$B$9:$O$1045,14,FALSE),"")</f>
        <v/>
      </c>
      <c r="AP898" t="str">
        <f t="shared" si="314"/>
        <v/>
      </c>
    </row>
    <row r="899" spans="1:42">
      <c r="A899" s="71">
        <f t="shared" si="322"/>
        <v>0</v>
      </c>
      <c r="B899" s="513">
        <f t="shared" si="321"/>
        <v>887</v>
      </c>
      <c r="C899" s="530" t="str">
        <f>IF(Inventory!E896="","",Inventory!E896)</f>
        <v/>
      </c>
      <c r="D899" s="531">
        <f>IF(Inventory!D896="",0,Inventory!D896)</f>
        <v>0</v>
      </c>
      <c r="E899" s="532" t="str">
        <f>IF(Inventory!I896=0,"",Inventory!I896)</f>
        <v/>
      </c>
      <c r="F899" s="533" t="str">
        <f t="shared" si="301"/>
        <v/>
      </c>
      <c r="G899" s="534" t="str">
        <f>IF(Inventory!G896="","",Inventory!G896)</f>
        <v/>
      </c>
      <c r="H899" s="535" t="str">
        <f t="shared" si="302"/>
        <v/>
      </c>
      <c r="I899" s="536" t="str">
        <f>IF(Inventory!J896="","",Inventory!J896)</f>
        <v/>
      </c>
      <c r="J899" s="537" t="str">
        <f>IFERROR(IF(PRJ_Type="New Construction",IF(Inventory!C896="N",INDEX(xyLPD_BuildingArea,MATCH(Building_Type,Lookups!$F$37:$F$75,0),4),INDEX(xyLPD_SpaceBySpace,MATCH(INDEX(xyNCEx,MATCH(I899,yNCExArea,0),2),ySpace_by_Space_Type,0),2)),VLOOKUP(E899,xyWattage_Table,11,FALSE)),"")</f>
        <v/>
      </c>
      <c r="K899" s="538" t="str">
        <f>IFERROR(IF(AND(NC_Type="Building Area Method",Inventory!C896="N"),IF(ISERROR(INDEX('Usage Groups (&gt;120 MWh only)'!$N$8:$N$12,MATCH(C899,'Usage Groups (&gt;120 MWh only)'!$B$8:$B$12,0),1))=TRUE,SqFt/COUNTIFS(Inventory!$C$10:$C$1009,"N",$Q$13:$Q$1012,"&gt;=0"),INDEX('Usage Groups (&gt;120 MWh only)'!$N$8:$N$12,MATCH(C899,'Usage Groups (&gt;120 MWh only)'!$B$8:$B$12,0),1)/COUNTIF($C$13:$C$1012,C899)),IF(AND(NC_Type="Building Area Method",Inventory!C896="Y"),INDEX(xyNCEx,MATCH(I899,yNCExArea,0),3)/COUNTIF($I$13:$I$1012,I899),VLOOKUP(J899,xyWattage_Table,10,FALSE))),"")</f>
        <v/>
      </c>
      <c r="L899" s="539" t="str">
        <f t="shared" si="303"/>
        <v/>
      </c>
      <c r="M899" s="540">
        <f>IF(Inventory!N896="","",Inventory!N896)</f>
        <v>0</v>
      </c>
      <c r="N899" s="533" t="str">
        <f t="shared" si="304"/>
        <v/>
      </c>
      <c r="O899" s="534"/>
      <c r="P899" s="533" t="str">
        <f t="shared" si="305"/>
        <v/>
      </c>
      <c r="Q899" s="534" t="str">
        <f>IF(Inventory!L896="","",Inventory!L896)</f>
        <v/>
      </c>
      <c r="R899" s="535" t="str">
        <f t="shared" si="306"/>
        <v/>
      </c>
      <c r="S899" s="536" t="str">
        <f>IF(Inventory!O896="","",Inventory!O896)</f>
        <v/>
      </c>
      <c r="T899" s="541" t="str">
        <f>IFERROR(IF(C899="","",IF(INDEX(xyWattage_Table,MATCH(M899,'Fixture Identities'!$B$9:$B$997,0),2)="Exit Sign",8760,IF(VLOOKUP(C899,xySpace_Type_Details,8,FALSE)="TRM",INDEX('General Information'!$AF$17:$AG$28,11,MATCH(N899,'General Information'!$AF$16:$AG$16,0)),HLOOKUP(VLOOKUP(C899,xySpace_Type_Details,8,FALSE),'General Information'!$P$15:$AG$28,13,FALSE)))),"")</f>
        <v/>
      </c>
      <c r="U899" s="542" t="str">
        <f>IFERROR(IF(C899="","",IF(INDEX(xyWattage_Table,MATCH(M899,'Fixture Identities'!$B$9:$B$997,0),2)="Exit Sign",1,IF(VLOOKUP(C899,xySpace_Type_Details,8,FALSE)="TRM",INDEX('General Information'!$AF$17:$AG$28,12,MATCH(N899,'General Information'!$AF$16:$AG$16,0)),HLOOKUP(VLOOKUP(C899,xySpace_Type_Details,8,FALSE),'General Information'!$P$15:$AG$28,14,FALSE)))),"")</f>
        <v/>
      </c>
      <c r="V899" s="542" t="str">
        <f>IFERROR(VLOOKUP(INDEX(xySpace_Type_Details,MATCH($C899,'General Information'!$C$40:$C$60,0),12),Lookups!$L$8:$N$12,2,FALSE),"")</f>
        <v/>
      </c>
      <c r="W899" s="542" t="str">
        <f>IFERROR(VLOOKUP(INDEX(xySpace_Type_Details,MATCH($C899,'General Information'!$C$40:$C$60,0),12),Lookups!$L$8:$N$12,3,FALSE),"")</f>
        <v/>
      </c>
      <c r="Y899" s="542" t="str">
        <f>IFERROR(IF(C899="","",IF(INDEX(xyWattage_Table,MATCH(M899,'Fixture Identities'!$B$9:$B$997,0),2)="Exit Sign",0,IF(PRJ_Type="Retrofit",VLOOKUP(I899,xySVG_Factors,2,FALSE),IF(AND(PRJ_Type="New Construction",Inventory!C896="N"),VLOOKUP(VLOOKUP(Building_Type,xyLPD_BuildingArea,5,FALSE),xySVG_Factors_NC,3,FALSE),0)))),"")</f>
        <v/>
      </c>
      <c r="Z899" s="544" t="str">
        <f>IFERROR(IF(C899="","",IF(INDEX(xyWattage_Table,MATCH(M899,'Fixture Identities'!$B$9:$B$997,0),2)="Exit Sign",0,VLOOKUP(S899,xySVG_Factors,2,FALSE))),"")</f>
        <v/>
      </c>
      <c r="AA899" s="545" t="str">
        <f t="shared" si="307"/>
        <v/>
      </c>
      <c r="AB899" s="542" t="str">
        <f t="shared" si="308"/>
        <v/>
      </c>
      <c r="AC899" s="539" t="str">
        <f t="shared" si="309"/>
        <v/>
      </c>
      <c r="AD899" s="546" t="str">
        <f t="shared" si="310"/>
        <v/>
      </c>
      <c r="AE899" s="539" t="str">
        <f t="shared" si="311"/>
        <v/>
      </c>
      <c r="AF899" s="546" t="str">
        <f t="shared" si="312"/>
        <v/>
      </c>
      <c r="AG899" s="539" t="str">
        <f t="shared" si="313"/>
        <v/>
      </c>
      <c r="AH899" s="32">
        <f t="shared" si="315"/>
        <v>0</v>
      </c>
      <c r="AI899" s="32">
        <f t="shared" si="316"/>
        <v>0</v>
      </c>
      <c r="AJ899" s="32">
        <f t="shared" si="317"/>
        <v>0</v>
      </c>
      <c r="AK899" t="str">
        <f t="shared" si="318"/>
        <v/>
      </c>
      <c r="AL899" t="str">
        <f t="shared" si="319"/>
        <v/>
      </c>
      <c r="AM899" t="str">
        <f t="shared" si="320"/>
        <v/>
      </c>
      <c r="AO899" t="str">
        <f>IFERROR(VLOOKUP(M899,'Fixture Identities'!$B$9:$O$1045,14,FALSE),"")</f>
        <v/>
      </c>
      <c r="AP899" t="str">
        <f t="shared" si="314"/>
        <v/>
      </c>
    </row>
    <row r="900" spans="1:42">
      <c r="A900" s="71">
        <f t="shared" si="322"/>
        <v>0</v>
      </c>
      <c r="B900" s="513">
        <f t="shared" si="321"/>
        <v>888</v>
      </c>
      <c r="C900" s="530" t="str">
        <f>IF(Inventory!E897="","",Inventory!E897)</f>
        <v/>
      </c>
      <c r="D900" s="531">
        <f>IF(Inventory!D897="",0,Inventory!D897)</f>
        <v>0</v>
      </c>
      <c r="E900" s="532" t="str">
        <f>IF(Inventory!I897=0,"",Inventory!I897)</f>
        <v/>
      </c>
      <c r="F900" s="533" t="str">
        <f t="shared" si="301"/>
        <v/>
      </c>
      <c r="G900" s="534" t="str">
        <f>IF(Inventory!G897="","",Inventory!G897)</f>
        <v/>
      </c>
      <c r="H900" s="535" t="str">
        <f t="shared" si="302"/>
        <v/>
      </c>
      <c r="I900" s="536" t="str">
        <f>IF(Inventory!J897="","",Inventory!J897)</f>
        <v/>
      </c>
      <c r="J900" s="537" t="str">
        <f>IFERROR(IF(PRJ_Type="New Construction",IF(Inventory!C897="N",INDEX(xyLPD_BuildingArea,MATCH(Building_Type,Lookups!$F$37:$F$75,0),4),INDEX(xyLPD_SpaceBySpace,MATCH(INDEX(xyNCEx,MATCH(I900,yNCExArea,0),2),ySpace_by_Space_Type,0),2)),VLOOKUP(E900,xyWattage_Table,11,FALSE)),"")</f>
        <v/>
      </c>
      <c r="K900" s="538" t="str">
        <f>IFERROR(IF(AND(NC_Type="Building Area Method",Inventory!C897="N"),IF(ISERROR(INDEX('Usage Groups (&gt;120 MWh only)'!$N$8:$N$12,MATCH(C900,'Usage Groups (&gt;120 MWh only)'!$B$8:$B$12,0),1))=TRUE,SqFt/COUNTIFS(Inventory!$C$10:$C$1009,"N",$Q$13:$Q$1012,"&gt;=0"),INDEX('Usage Groups (&gt;120 MWh only)'!$N$8:$N$12,MATCH(C900,'Usage Groups (&gt;120 MWh only)'!$B$8:$B$12,0),1)/COUNTIF($C$13:$C$1012,C900)),IF(AND(NC_Type="Building Area Method",Inventory!C897="Y"),INDEX(xyNCEx,MATCH(I900,yNCExArea,0),3)/COUNTIF($I$13:$I$1012,I900),VLOOKUP(J900,xyWattage_Table,10,FALSE))),"")</f>
        <v/>
      </c>
      <c r="L900" s="539" t="str">
        <f t="shared" si="303"/>
        <v/>
      </c>
      <c r="M900" s="540">
        <f>IF(Inventory!N897="","",Inventory!N897)</f>
        <v>0</v>
      </c>
      <c r="N900" s="533" t="str">
        <f t="shared" si="304"/>
        <v/>
      </c>
      <c r="O900" s="534"/>
      <c r="P900" s="533" t="str">
        <f t="shared" si="305"/>
        <v/>
      </c>
      <c r="Q900" s="534" t="str">
        <f>IF(Inventory!L897="","",Inventory!L897)</f>
        <v/>
      </c>
      <c r="R900" s="535" t="str">
        <f t="shared" si="306"/>
        <v/>
      </c>
      <c r="S900" s="536" t="str">
        <f>IF(Inventory!O897="","",Inventory!O897)</f>
        <v/>
      </c>
      <c r="T900" s="541" t="str">
        <f>IFERROR(IF(C900="","",IF(INDEX(xyWattage_Table,MATCH(M900,'Fixture Identities'!$B$9:$B$997,0),2)="Exit Sign",8760,IF(VLOOKUP(C900,xySpace_Type_Details,8,FALSE)="TRM",INDEX('General Information'!$AF$17:$AG$28,11,MATCH(N900,'General Information'!$AF$16:$AG$16,0)),HLOOKUP(VLOOKUP(C900,xySpace_Type_Details,8,FALSE),'General Information'!$P$15:$AG$28,13,FALSE)))),"")</f>
        <v/>
      </c>
      <c r="U900" s="542" t="str">
        <f>IFERROR(IF(C900="","",IF(INDEX(xyWattage_Table,MATCH(M900,'Fixture Identities'!$B$9:$B$997,0),2)="Exit Sign",1,IF(VLOOKUP(C900,xySpace_Type_Details,8,FALSE)="TRM",INDEX('General Information'!$AF$17:$AG$28,12,MATCH(N900,'General Information'!$AF$16:$AG$16,0)),HLOOKUP(VLOOKUP(C900,xySpace_Type_Details,8,FALSE),'General Information'!$P$15:$AG$28,14,FALSE)))),"")</f>
        <v/>
      </c>
      <c r="V900" s="542" t="str">
        <f>IFERROR(VLOOKUP(INDEX(xySpace_Type_Details,MATCH($C900,'General Information'!$C$40:$C$60,0),12),Lookups!$L$8:$N$12,2,FALSE),"")</f>
        <v/>
      </c>
      <c r="W900" s="542" t="str">
        <f>IFERROR(VLOOKUP(INDEX(xySpace_Type_Details,MATCH($C900,'General Information'!$C$40:$C$60,0),12),Lookups!$L$8:$N$12,3,FALSE),"")</f>
        <v/>
      </c>
      <c r="Y900" s="542" t="str">
        <f>IFERROR(IF(C900="","",IF(INDEX(xyWattage_Table,MATCH(M900,'Fixture Identities'!$B$9:$B$997,0),2)="Exit Sign",0,IF(PRJ_Type="Retrofit",VLOOKUP(I900,xySVG_Factors,2,FALSE),IF(AND(PRJ_Type="New Construction",Inventory!C897="N"),VLOOKUP(VLOOKUP(Building_Type,xyLPD_BuildingArea,5,FALSE),xySVG_Factors_NC,3,FALSE),0)))),"")</f>
        <v/>
      </c>
      <c r="Z900" s="544" t="str">
        <f>IFERROR(IF(C900="","",IF(INDEX(xyWattage_Table,MATCH(M900,'Fixture Identities'!$B$9:$B$997,0),2)="Exit Sign",0,VLOOKUP(S900,xySVG_Factors,2,FALSE))),"")</f>
        <v/>
      </c>
      <c r="AA900" s="545" t="str">
        <f t="shared" si="307"/>
        <v/>
      </c>
      <c r="AB900" s="542" t="str">
        <f t="shared" si="308"/>
        <v/>
      </c>
      <c r="AC900" s="539" t="str">
        <f t="shared" si="309"/>
        <v/>
      </c>
      <c r="AD900" s="546" t="str">
        <f t="shared" si="310"/>
        <v/>
      </c>
      <c r="AE900" s="539" t="str">
        <f t="shared" si="311"/>
        <v/>
      </c>
      <c r="AF900" s="546" t="str">
        <f t="shared" si="312"/>
        <v/>
      </c>
      <c r="AG900" s="539" t="str">
        <f t="shared" si="313"/>
        <v/>
      </c>
      <c r="AH900" s="32">
        <f t="shared" si="315"/>
        <v>0</v>
      </c>
      <c r="AI900" s="32">
        <f t="shared" si="316"/>
        <v>0</v>
      </c>
      <c r="AJ900" s="32">
        <f t="shared" si="317"/>
        <v>0</v>
      </c>
      <c r="AK900" t="str">
        <f t="shared" si="318"/>
        <v/>
      </c>
      <c r="AL900" t="str">
        <f t="shared" si="319"/>
        <v/>
      </c>
      <c r="AM900" t="str">
        <f t="shared" si="320"/>
        <v/>
      </c>
      <c r="AO900" t="str">
        <f>IFERROR(VLOOKUP(M900,'Fixture Identities'!$B$9:$O$1045,14,FALSE),"")</f>
        <v/>
      </c>
      <c r="AP900" t="str">
        <f t="shared" si="314"/>
        <v/>
      </c>
    </row>
    <row r="901" spans="1:42">
      <c r="A901" s="71">
        <f t="shared" si="322"/>
        <v>0</v>
      </c>
      <c r="B901" s="513">
        <f t="shared" si="321"/>
        <v>889</v>
      </c>
      <c r="C901" s="530" t="str">
        <f>IF(Inventory!E898="","",Inventory!E898)</f>
        <v/>
      </c>
      <c r="D901" s="531">
        <f>IF(Inventory!D898="",0,Inventory!D898)</f>
        <v>0</v>
      </c>
      <c r="E901" s="532" t="str">
        <f>IF(Inventory!I898=0,"",Inventory!I898)</f>
        <v/>
      </c>
      <c r="F901" s="533" t="str">
        <f t="shared" si="301"/>
        <v/>
      </c>
      <c r="G901" s="534" t="str">
        <f>IF(Inventory!G898="","",Inventory!G898)</f>
        <v/>
      </c>
      <c r="H901" s="535" t="str">
        <f t="shared" si="302"/>
        <v/>
      </c>
      <c r="I901" s="536" t="str">
        <f>IF(Inventory!J898="","",Inventory!J898)</f>
        <v/>
      </c>
      <c r="J901" s="537" t="str">
        <f>IFERROR(IF(PRJ_Type="New Construction",IF(Inventory!C898="N",INDEX(xyLPD_BuildingArea,MATCH(Building_Type,Lookups!$F$37:$F$75,0),4),INDEX(xyLPD_SpaceBySpace,MATCH(INDEX(xyNCEx,MATCH(I901,yNCExArea,0),2),ySpace_by_Space_Type,0),2)),VLOOKUP(E901,xyWattage_Table,11,FALSE)),"")</f>
        <v/>
      </c>
      <c r="K901" s="538" t="str">
        <f>IFERROR(IF(AND(NC_Type="Building Area Method",Inventory!C898="N"),IF(ISERROR(INDEX('Usage Groups (&gt;120 MWh only)'!$N$8:$N$12,MATCH(C901,'Usage Groups (&gt;120 MWh only)'!$B$8:$B$12,0),1))=TRUE,SqFt/COUNTIFS(Inventory!$C$10:$C$1009,"N",$Q$13:$Q$1012,"&gt;=0"),INDEX('Usage Groups (&gt;120 MWh only)'!$N$8:$N$12,MATCH(C901,'Usage Groups (&gt;120 MWh only)'!$B$8:$B$12,0),1)/COUNTIF($C$13:$C$1012,C901)),IF(AND(NC_Type="Building Area Method",Inventory!C898="Y"),INDEX(xyNCEx,MATCH(I901,yNCExArea,0),3)/COUNTIF($I$13:$I$1012,I901),VLOOKUP(J901,xyWattage_Table,10,FALSE))),"")</f>
        <v/>
      </c>
      <c r="L901" s="539" t="str">
        <f t="shared" si="303"/>
        <v/>
      </c>
      <c r="M901" s="540">
        <f>IF(Inventory!N898="","",Inventory!N898)</f>
        <v>0</v>
      </c>
      <c r="N901" s="533" t="str">
        <f t="shared" si="304"/>
        <v/>
      </c>
      <c r="O901" s="534"/>
      <c r="P901" s="533" t="str">
        <f t="shared" si="305"/>
        <v/>
      </c>
      <c r="Q901" s="534" t="str">
        <f>IF(Inventory!L898="","",Inventory!L898)</f>
        <v/>
      </c>
      <c r="R901" s="535" t="str">
        <f t="shared" si="306"/>
        <v/>
      </c>
      <c r="S901" s="536" t="str">
        <f>IF(Inventory!O898="","",Inventory!O898)</f>
        <v/>
      </c>
      <c r="T901" s="541" t="str">
        <f>IFERROR(IF(C901="","",IF(INDEX(xyWattage_Table,MATCH(M901,'Fixture Identities'!$B$9:$B$997,0),2)="Exit Sign",8760,IF(VLOOKUP(C901,xySpace_Type_Details,8,FALSE)="TRM",INDEX('General Information'!$AF$17:$AG$28,11,MATCH(N901,'General Information'!$AF$16:$AG$16,0)),HLOOKUP(VLOOKUP(C901,xySpace_Type_Details,8,FALSE),'General Information'!$P$15:$AG$28,13,FALSE)))),"")</f>
        <v/>
      </c>
      <c r="U901" s="542" t="str">
        <f>IFERROR(IF(C901="","",IF(INDEX(xyWattage_Table,MATCH(M901,'Fixture Identities'!$B$9:$B$997,0),2)="Exit Sign",1,IF(VLOOKUP(C901,xySpace_Type_Details,8,FALSE)="TRM",INDEX('General Information'!$AF$17:$AG$28,12,MATCH(N901,'General Information'!$AF$16:$AG$16,0)),HLOOKUP(VLOOKUP(C901,xySpace_Type_Details,8,FALSE),'General Information'!$P$15:$AG$28,14,FALSE)))),"")</f>
        <v/>
      </c>
      <c r="V901" s="542" t="str">
        <f>IFERROR(VLOOKUP(INDEX(xySpace_Type_Details,MATCH($C901,'General Information'!$C$40:$C$60,0),12),Lookups!$L$8:$N$12,2,FALSE),"")</f>
        <v/>
      </c>
      <c r="W901" s="542" t="str">
        <f>IFERROR(VLOOKUP(INDEX(xySpace_Type_Details,MATCH($C901,'General Information'!$C$40:$C$60,0),12),Lookups!$L$8:$N$12,3,FALSE),"")</f>
        <v/>
      </c>
      <c r="Y901" s="542" t="str">
        <f>IFERROR(IF(C901="","",IF(INDEX(xyWattage_Table,MATCH(M901,'Fixture Identities'!$B$9:$B$997,0),2)="Exit Sign",0,IF(PRJ_Type="Retrofit",VLOOKUP(I901,xySVG_Factors,2,FALSE),IF(AND(PRJ_Type="New Construction",Inventory!C898="N"),VLOOKUP(VLOOKUP(Building_Type,xyLPD_BuildingArea,5,FALSE),xySVG_Factors_NC,3,FALSE),0)))),"")</f>
        <v/>
      </c>
      <c r="Z901" s="544" t="str">
        <f>IFERROR(IF(C901="","",IF(INDEX(xyWattage_Table,MATCH(M901,'Fixture Identities'!$B$9:$B$997,0),2)="Exit Sign",0,VLOOKUP(S901,xySVG_Factors,2,FALSE))),"")</f>
        <v/>
      </c>
      <c r="AA901" s="545" t="str">
        <f t="shared" si="307"/>
        <v/>
      </c>
      <c r="AB901" s="542" t="str">
        <f t="shared" si="308"/>
        <v/>
      </c>
      <c r="AC901" s="539" t="str">
        <f t="shared" si="309"/>
        <v/>
      </c>
      <c r="AD901" s="546" t="str">
        <f t="shared" si="310"/>
        <v/>
      </c>
      <c r="AE901" s="539" t="str">
        <f t="shared" si="311"/>
        <v/>
      </c>
      <c r="AF901" s="546" t="str">
        <f t="shared" si="312"/>
        <v/>
      </c>
      <c r="AG901" s="539" t="str">
        <f t="shared" si="313"/>
        <v/>
      </c>
      <c r="AH901" s="32">
        <f t="shared" si="315"/>
        <v>0</v>
      </c>
      <c r="AI901" s="32">
        <f t="shared" si="316"/>
        <v>0</v>
      </c>
      <c r="AJ901" s="32">
        <f t="shared" si="317"/>
        <v>0</v>
      </c>
      <c r="AK901" t="str">
        <f t="shared" si="318"/>
        <v/>
      </c>
      <c r="AL901" t="str">
        <f t="shared" si="319"/>
        <v/>
      </c>
      <c r="AM901" t="str">
        <f t="shared" si="320"/>
        <v/>
      </c>
      <c r="AO901" t="str">
        <f>IFERROR(VLOOKUP(M901,'Fixture Identities'!$B$9:$O$1045,14,FALSE),"")</f>
        <v/>
      </c>
      <c r="AP901" t="str">
        <f t="shared" si="314"/>
        <v/>
      </c>
    </row>
    <row r="902" spans="1:42">
      <c r="A902" s="71">
        <f t="shared" si="322"/>
        <v>0</v>
      </c>
      <c r="B902" s="513">
        <f t="shared" si="321"/>
        <v>890</v>
      </c>
      <c r="C902" s="530" t="str">
        <f>IF(Inventory!E899="","",Inventory!E899)</f>
        <v/>
      </c>
      <c r="D902" s="531">
        <f>IF(Inventory!D899="",0,Inventory!D899)</f>
        <v>0</v>
      </c>
      <c r="E902" s="532" t="str">
        <f>IF(Inventory!I899=0,"",Inventory!I899)</f>
        <v/>
      </c>
      <c r="F902" s="533" t="str">
        <f t="shared" si="301"/>
        <v/>
      </c>
      <c r="G902" s="534" t="str">
        <f>IF(Inventory!G899="","",Inventory!G899)</f>
        <v/>
      </c>
      <c r="H902" s="535" t="str">
        <f t="shared" si="302"/>
        <v/>
      </c>
      <c r="I902" s="536" t="str">
        <f>IF(Inventory!J899="","",Inventory!J899)</f>
        <v/>
      </c>
      <c r="J902" s="537" t="str">
        <f>IFERROR(IF(PRJ_Type="New Construction",IF(Inventory!C899="N",INDEX(xyLPD_BuildingArea,MATCH(Building_Type,Lookups!$F$37:$F$75,0),4),INDEX(xyLPD_SpaceBySpace,MATCH(INDEX(xyNCEx,MATCH(I902,yNCExArea,0),2),ySpace_by_Space_Type,0),2)),VLOOKUP(E902,xyWattage_Table,11,FALSE)),"")</f>
        <v/>
      </c>
      <c r="K902" s="538" t="str">
        <f>IFERROR(IF(AND(NC_Type="Building Area Method",Inventory!C899="N"),IF(ISERROR(INDEX('Usage Groups (&gt;120 MWh only)'!$N$8:$N$12,MATCH(C902,'Usage Groups (&gt;120 MWh only)'!$B$8:$B$12,0),1))=TRUE,SqFt/COUNTIFS(Inventory!$C$10:$C$1009,"N",$Q$13:$Q$1012,"&gt;=0"),INDEX('Usage Groups (&gt;120 MWh only)'!$N$8:$N$12,MATCH(C902,'Usage Groups (&gt;120 MWh only)'!$B$8:$B$12,0),1)/COUNTIF($C$13:$C$1012,C902)),IF(AND(NC_Type="Building Area Method",Inventory!C899="Y"),INDEX(xyNCEx,MATCH(I902,yNCExArea,0),3)/COUNTIF($I$13:$I$1012,I902),VLOOKUP(J902,xyWattage_Table,10,FALSE))),"")</f>
        <v/>
      </c>
      <c r="L902" s="539" t="str">
        <f t="shared" si="303"/>
        <v/>
      </c>
      <c r="M902" s="540">
        <f>IF(Inventory!N899="","",Inventory!N899)</f>
        <v>0</v>
      </c>
      <c r="N902" s="533" t="str">
        <f t="shared" si="304"/>
        <v/>
      </c>
      <c r="O902" s="534"/>
      <c r="P902" s="533" t="str">
        <f t="shared" si="305"/>
        <v/>
      </c>
      <c r="Q902" s="534" t="str">
        <f>IF(Inventory!L899="","",Inventory!L899)</f>
        <v/>
      </c>
      <c r="R902" s="535" t="str">
        <f t="shared" si="306"/>
        <v/>
      </c>
      <c r="S902" s="536" t="str">
        <f>IF(Inventory!O899="","",Inventory!O899)</f>
        <v/>
      </c>
      <c r="T902" s="541" t="str">
        <f>IFERROR(IF(C902="","",IF(INDEX(xyWattage_Table,MATCH(M902,'Fixture Identities'!$B$9:$B$997,0),2)="Exit Sign",8760,IF(VLOOKUP(C902,xySpace_Type_Details,8,FALSE)="TRM",INDEX('General Information'!$AF$17:$AG$28,11,MATCH(N902,'General Information'!$AF$16:$AG$16,0)),HLOOKUP(VLOOKUP(C902,xySpace_Type_Details,8,FALSE),'General Information'!$P$15:$AG$28,13,FALSE)))),"")</f>
        <v/>
      </c>
      <c r="U902" s="542" t="str">
        <f>IFERROR(IF(C902="","",IF(INDEX(xyWattage_Table,MATCH(M902,'Fixture Identities'!$B$9:$B$997,0),2)="Exit Sign",1,IF(VLOOKUP(C902,xySpace_Type_Details,8,FALSE)="TRM",INDEX('General Information'!$AF$17:$AG$28,12,MATCH(N902,'General Information'!$AF$16:$AG$16,0)),HLOOKUP(VLOOKUP(C902,xySpace_Type_Details,8,FALSE),'General Information'!$P$15:$AG$28,14,FALSE)))),"")</f>
        <v/>
      </c>
      <c r="V902" s="542" t="str">
        <f>IFERROR(VLOOKUP(INDEX(xySpace_Type_Details,MATCH($C902,'General Information'!$C$40:$C$60,0),12),Lookups!$L$8:$N$12,2,FALSE),"")</f>
        <v/>
      </c>
      <c r="W902" s="542" t="str">
        <f>IFERROR(VLOOKUP(INDEX(xySpace_Type_Details,MATCH($C902,'General Information'!$C$40:$C$60,0),12),Lookups!$L$8:$N$12,3,FALSE),"")</f>
        <v/>
      </c>
      <c r="Y902" s="542" t="str">
        <f>IFERROR(IF(C902="","",IF(INDEX(xyWattage_Table,MATCH(M902,'Fixture Identities'!$B$9:$B$997,0),2)="Exit Sign",0,IF(PRJ_Type="Retrofit",VLOOKUP(I902,xySVG_Factors,2,FALSE),IF(AND(PRJ_Type="New Construction",Inventory!C899="N"),VLOOKUP(VLOOKUP(Building_Type,xyLPD_BuildingArea,5,FALSE),xySVG_Factors_NC,3,FALSE),0)))),"")</f>
        <v/>
      </c>
      <c r="Z902" s="544" t="str">
        <f>IFERROR(IF(C902="","",IF(INDEX(xyWattage_Table,MATCH(M902,'Fixture Identities'!$B$9:$B$997,0),2)="Exit Sign",0,VLOOKUP(S902,xySVG_Factors,2,FALSE))),"")</f>
        <v/>
      </c>
      <c r="AA902" s="545" t="str">
        <f t="shared" si="307"/>
        <v/>
      </c>
      <c r="AB902" s="542" t="str">
        <f t="shared" si="308"/>
        <v/>
      </c>
      <c r="AC902" s="539" t="str">
        <f t="shared" si="309"/>
        <v/>
      </c>
      <c r="AD902" s="546" t="str">
        <f t="shared" si="310"/>
        <v/>
      </c>
      <c r="AE902" s="539" t="str">
        <f t="shared" si="311"/>
        <v/>
      </c>
      <c r="AF902" s="546" t="str">
        <f t="shared" si="312"/>
        <v/>
      </c>
      <c r="AG902" s="539" t="str">
        <f t="shared" si="313"/>
        <v/>
      </c>
      <c r="AH902" s="32">
        <f t="shared" si="315"/>
        <v>0</v>
      </c>
      <c r="AI902" s="32">
        <f t="shared" si="316"/>
        <v>0</v>
      </c>
      <c r="AJ902" s="32">
        <f t="shared" si="317"/>
        <v>0</v>
      </c>
      <c r="AK902" t="str">
        <f t="shared" si="318"/>
        <v/>
      </c>
      <c r="AL902" t="str">
        <f t="shared" si="319"/>
        <v/>
      </c>
      <c r="AM902" t="str">
        <f t="shared" si="320"/>
        <v/>
      </c>
      <c r="AO902" t="str">
        <f>IFERROR(VLOOKUP(M902,'Fixture Identities'!$B$9:$O$1045,14,FALSE),"")</f>
        <v/>
      </c>
      <c r="AP902" t="str">
        <f t="shared" si="314"/>
        <v/>
      </c>
    </row>
    <row r="903" spans="1:42">
      <c r="A903" s="71">
        <f t="shared" si="322"/>
        <v>0</v>
      </c>
      <c r="B903" s="513">
        <f t="shared" si="321"/>
        <v>891</v>
      </c>
      <c r="C903" s="530" t="str">
        <f>IF(Inventory!E900="","",Inventory!E900)</f>
        <v/>
      </c>
      <c r="D903" s="531">
        <f>IF(Inventory!D900="",0,Inventory!D900)</f>
        <v>0</v>
      </c>
      <c r="E903" s="532" t="str">
        <f>IF(Inventory!I900=0,"",Inventory!I900)</f>
        <v/>
      </c>
      <c r="F903" s="533" t="str">
        <f t="shared" ref="F903:F966" si="323">IFERROR(VLOOKUP(E903,xyWattage_Table,10,FALSE),"")</f>
        <v/>
      </c>
      <c r="G903" s="534" t="str">
        <f>IF(Inventory!G900="","",Inventory!G900)</f>
        <v/>
      </c>
      <c r="H903" s="535" t="str">
        <f t="shared" ref="H903:H966" si="324">IF(G903="","",G903*F903)</f>
        <v/>
      </c>
      <c r="I903" s="536" t="str">
        <f>IF(Inventory!J900="","",Inventory!J900)</f>
        <v/>
      </c>
      <c r="J903" s="537" t="str">
        <f>IFERROR(IF(PRJ_Type="New Construction",IF(Inventory!C900="N",INDEX(xyLPD_BuildingArea,MATCH(Building_Type,Lookups!$F$37:$F$75,0),4),INDEX(xyLPD_SpaceBySpace,MATCH(INDEX(xyNCEx,MATCH(I903,yNCExArea,0),2),ySpace_by_Space_Type,0),2)),VLOOKUP(E903,xyWattage_Table,11,FALSE)),"")</f>
        <v/>
      </c>
      <c r="K903" s="538" t="str">
        <f>IFERROR(IF(AND(NC_Type="Building Area Method",Inventory!C900="N"),IF(ISERROR(INDEX('Usage Groups (&gt;120 MWh only)'!$N$8:$N$12,MATCH(C903,'Usage Groups (&gt;120 MWh only)'!$B$8:$B$12,0),1))=TRUE,SqFt/COUNTIFS(Inventory!$C$10:$C$1009,"N",$Q$13:$Q$1012,"&gt;=0"),INDEX('Usage Groups (&gt;120 MWh only)'!$N$8:$N$12,MATCH(C903,'Usage Groups (&gt;120 MWh only)'!$B$8:$B$12,0),1)/COUNTIF($C$13:$C$1012,C903)),IF(AND(NC_Type="Building Area Method",Inventory!C900="Y"),INDEX(xyNCEx,MATCH(I903,yNCExArea,0),3)/COUNTIF($I$13:$I$1012,I903),VLOOKUP(J903,xyWattage_Table,10,FALSE))),"")</f>
        <v/>
      </c>
      <c r="L903" s="539" t="str">
        <f t="shared" ref="L903:L966" si="325">IFERROR(IF(PRJ_Type="New Construction",J903*K903,IF(G903="","",K903*G903)),"")</f>
        <v/>
      </c>
      <c r="M903" s="540">
        <f>IF(Inventory!N900="","",Inventory!N900)</f>
        <v>0</v>
      </c>
      <c r="N903" s="533" t="str">
        <f t="shared" ref="N903:N966" si="326">IFERROR(VLOOKUP(M903,xyWattage_Table,12,FALSE),"")</f>
        <v/>
      </c>
      <c r="O903" s="534"/>
      <c r="P903" s="533" t="str">
        <f t="shared" ref="P903:P966" si="327">IFERROR(VLOOKUP(M903,xyWattage_Table,10,FALSE),"")</f>
        <v/>
      </c>
      <c r="Q903" s="534" t="str">
        <f>IF(Inventory!L900="","",Inventory!L900)</f>
        <v/>
      </c>
      <c r="R903" s="535" t="str">
        <f t="shared" ref="R903:R966" si="328">IF(P903="","",Q903*P903)</f>
        <v/>
      </c>
      <c r="S903" s="536" t="str">
        <f>IF(Inventory!O900="","",Inventory!O900)</f>
        <v/>
      </c>
      <c r="T903" s="541" t="str">
        <f>IFERROR(IF(C903="","",IF(INDEX(xyWattage_Table,MATCH(M903,'Fixture Identities'!$B$9:$B$997,0),2)="Exit Sign",8760,IF(VLOOKUP(C903,xySpace_Type_Details,8,FALSE)="TRM",INDEX('General Information'!$AF$17:$AG$28,11,MATCH(N903,'General Information'!$AF$16:$AG$16,0)),HLOOKUP(VLOOKUP(C903,xySpace_Type_Details,8,FALSE),'General Information'!$P$15:$AG$28,13,FALSE)))),"")</f>
        <v/>
      </c>
      <c r="U903" s="542" t="str">
        <f>IFERROR(IF(C903="","",IF(INDEX(xyWattage_Table,MATCH(M903,'Fixture Identities'!$B$9:$B$997,0),2)="Exit Sign",1,IF(VLOOKUP(C903,xySpace_Type_Details,8,FALSE)="TRM",INDEX('General Information'!$AF$17:$AG$28,12,MATCH(N903,'General Information'!$AF$16:$AG$16,0)),HLOOKUP(VLOOKUP(C903,xySpace_Type_Details,8,FALSE),'General Information'!$P$15:$AG$28,14,FALSE)))),"")</f>
        <v/>
      </c>
      <c r="V903" s="542" t="str">
        <f>IFERROR(VLOOKUP(INDEX(xySpace_Type_Details,MATCH($C903,'General Information'!$C$40:$C$60,0),12),Lookups!$L$8:$N$12,2,FALSE),"")</f>
        <v/>
      </c>
      <c r="W903" s="542" t="str">
        <f>IFERROR(VLOOKUP(INDEX(xySpace_Type_Details,MATCH($C903,'General Information'!$C$40:$C$60,0),12),Lookups!$L$8:$N$12,3,FALSE),"")</f>
        <v/>
      </c>
      <c r="Y903" s="542" t="str">
        <f>IFERROR(IF(C903="","",IF(INDEX(xyWattage_Table,MATCH(M903,'Fixture Identities'!$B$9:$B$997,0),2)="Exit Sign",0,IF(PRJ_Type="Retrofit",VLOOKUP(I903,xySVG_Factors,2,FALSE),IF(AND(PRJ_Type="New Construction",Inventory!C900="N"),VLOOKUP(VLOOKUP(Building_Type,xyLPD_BuildingArea,5,FALSE),xySVG_Factors_NC,3,FALSE),0)))),"")</f>
        <v/>
      </c>
      <c r="Z903" s="544" t="str">
        <f>IFERROR(IF(C903="","",IF(INDEX(xyWattage_Table,MATCH(M903,'Fixture Identities'!$B$9:$B$997,0),2)="Exit Sign",0,VLOOKUP(S903,xySVG_Factors,2,FALSE))),"")</f>
        <v/>
      </c>
      <c r="AA903" s="545" t="str">
        <f t="shared" ref="AA903:AA966" si="329">IFERROR((L903-R903)/1000,"")</f>
        <v/>
      </c>
      <c r="AB903" s="542" t="str">
        <f t="shared" ref="AB903:AB966" si="330">IFERROR(AA903*U903*(1+W903)*(1-Y903),"")</f>
        <v/>
      </c>
      <c r="AC903" s="539" t="str">
        <f t="shared" ref="AC903:AC966" si="331">IFERROR(AA903*T903*(1+V903)*(1-Y903),"")</f>
        <v/>
      </c>
      <c r="AD903" s="546" t="str">
        <f t="shared" ref="AD903:AD966" si="332">IFERROR(R903/1000*(Z903-Y903)*(1+W903)*U903,"")</f>
        <v/>
      </c>
      <c r="AE903" s="539" t="str">
        <f t="shared" ref="AE903:AE966" si="333">IFERROR(R903/1000*T903*(Z903-Y903)*(1+V903),"")</f>
        <v/>
      </c>
      <c r="AF903" s="546" t="str">
        <f t="shared" ref="AF903:AF966" si="334">IFERROR(AB903+AD903,"")</f>
        <v/>
      </c>
      <c r="AG903" s="539" t="str">
        <f t="shared" ref="AG903:AG966" si="335">IFERROR(AC903+AE903,"")</f>
        <v/>
      </c>
      <c r="AH903" s="32">
        <f t="shared" si="315"/>
        <v>0</v>
      </c>
      <c r="AI903" s="32">
        <f t="shared" si="316"/>
        <v>0</v>
      </c>
      <c r="AJ903" s="32">
        <f t="shared" si="317"/>
        <v>0</v>
      </c>
      <c r="AK903" t="str">
        <f t="shared" si="318"/>
        <v/>
      </c>
      <c r="AL903" t="str">
        <f t="shared" si="319"/>
        <v/>
      </c>
      <c r="AM903" t="str">
        <f t="shared" si="320"/>
        <v/>
      </c>
      <c r="AO903" t="str">
        <f>IFERROR(VLOOKUP(M903,'Fixture Identities'!$B$9:$O$1045,14,FALSE),"")</f>
        <v/>
      </c>
      <c r="AP903" t="str">
        <f t="shared" si="314"/>
        <v/>
      </c>
    </row>
    <row r="904" spans="1:42">
      <c r="A904" s="71">
        <f t="shared" si="322"/>
        <v>0</v>
      </c>
      <c r="B904" s="513">
        <f t="shared" si="321"/>
        <v>892</v>
      </c>
      <c r="C904" s="530" t="str">
        <f>IF(Inventory!E901="","",Inventory!E901)</f>
        <v/>
      </c>
      <c r="D904" s="531">
        <f>IF(Inventory!D901="",0,Inventory!D901)</f>
        <v>0</v>
      </c>
      <c r="E904" s="532" t="str">
        <f>IF(Inventory!I901=0,"",Inventory!I901)</f>
        <v/>
      </c>
      <c r="F904" s="533" t="str">
        <f t="shared" si="323"/>
        <v/>
      </c>
      <c r="G904" s="534" t="str">
        <f>IF(Inventory!G901="","",Inventory!G901)</f>
        <v/>
      </c>
      <c r="H904" s="535" t="str">
        <f t="shared" si="324"/>
        <v/>
      </c>
      <c r="I904" s="536" t="str">
        <f>IF(Inventory!J901="","",Inventory!J901)</f>
        <v/>
      </c>
      <c r="J904" s="537" t="str">
        <f>IFERROR(IF(PRJ_Type="New Construction",IF(Inventory!C901="N",INDEX(xyLPD_BuildingArea,MATCH(Building_Type,Lookups!$F$37:$F$75,0),4),INDEX(xyLPD_SpaceBySpace,MATCH(INDEX(xyNCEx,MATCH(I904,yNCExArea,0),2),ySpace_by_Space_Type,0),2)),VLOOKUP(E904,xyWattage_Table,11,FALSE)),"")</f>
        <v/>
      </c>
      <c r="K904" s="538" t="str">
        <f>IFERROR(IF(AND(NC_Type="Building Area Method",Inventory!C901="N"),IF(ISERROR(INDEX('Usage Groups (&gt;120 MWh only)'!$N$8:$N$12,MATCH(C904,'Usage Groups (&gt;120 MWh only)'!$B$8:$B$12,0),1))=TRUE,SqFt/COUNTIFS(Inventory!$C$10:$C$1009,"N",$Q$13:$Q$1012,"&gt;=0"),INDEX('Usage Groups (&gt;120 MWh only)'!$N$8:$N$12,MATCH(C904,'Usage Groups (&gt;120 MWh only)'!$B$8:$B$12,0),1)/COUNTIF($C$13:$C$1012,C904)),IF(AND(NC_Type="Building Area Method",Inventory!C901="Y"),INDEX(xyNCEx,MATCH(I904,yNCExArea,0),3)/COUNTIF($I$13:$I$1012,I904),VLOOKUP(J904,xyWattage_Table,10,FALSE))),"")</f>
        <v/>
      </c>
      <c r="L904" s="539" t="str">
        <f t="shared" si="325"/>
        <v/>
      </c>
      <c r="M904" s="540">
        <f>IF(Inventory!N901="","",Inventory!N901)</f>
        <v>0</v>
      </c>
      <c r="N904" s="533" t="str">
        <f t="shared" si="326"/>
        <v/>
      </c>
      <c r="O904" s="534"/>
      <c r="P904" s="533" t="str">
        <f t="shared" si="327"/>
        <v/>
      </c>
      <c r="Q904" s="534" t="str">
        <f>IF(Inventory!L901="","",Inventory!L901)</f>
        <v/>
      </c>
      <c r="R904" s="535" t="str">
        <f t="shared" si="328"/>
        <v/>
      </c>
      <c r="S904" s="536" t="str">
        <f>IF(Inventory!O901="","",Inventory!O901)</f>
        <v/>
      </c>
      <c r="T904" s="541" t="str">
        <f>IFERROR(IF(C904="","",IF(INDEX(xyWattage_Table,MATCH(M904,'Fixture Identities'!$B$9:$B$997,0),2)="Exit Sign",8760,IF(VLOOKUP(C904,xySpace_Type_Details,8,FALSE)="TRM",INDEX('General Information'!$AF$17:$AG$28,11,MATCH(N904,'General Information'!$AF$16:$AG$16,0)),HLOOKUP(VLOOKUP(C904,xySpace_Type_Details,8,FALSE),'General Information'!$P$15:$AG$28,13,FALSE)))),"")</f>
        <v/>
      </c>
      <c r="U904" s="542" t="str">
        <f>IFERROR(IF(C904="","",IF(INDEX(xyWattage_Table,MATCH(M904,'Fixture Identities'!$B$9:$B$997,0),2)="Exit Sign",1,IF(VLOOKUP(C904,xySpace_Type_Details,8,FALSE)="TRM",INDEX('General Information'!$AF$17:$AG$28,12,MATCH(N904,'General Information'!$AF$16:$AG$16,0)),HLOOKUP(VLOOKUP(C904,xySpace_Type_Details,8,FALSE),'General Information'!$P$15:$AG$28,14,FALSE)))),"")</f>
        <v/>
      </c>
      <c r="V904" s="542" t="str">
        <f>IFERROR(VLOOKUP(INDEX(xySpace_Type_Details,MATCH($C904,'General Information'!$C$40:$C$60,0),12),Lookups!$L$8:$N$12,2,FALSE),"")</f>
        <v/>
      </c>
      <c r="W904" s="542" t="str">
        <f>IFERROR(VLOOKUP(INDEX(xySpace_Type_Details,MATCH($C904,'General Information'!$C$40:$C$60,0),12),Lookups!$L$8:$N$12,3,FALSE),"")</f>
        <v/>
      </c>
      <c r="Y904" s="542" t="str">
        <f>IFERROR(IF(C904="","",IF(INDEX(xyWattage_Table,MATCH(M904,'Fixture Identities'!$B$9:$B$997,0),2)="Exit Sign",0,IF(PRJ_Type="Retrofit",VLOOKUP(I904,xySVG_Factors,2,FALSE),IF(AND(PRJ_Type="New Construction",Inventory!C901="N"),VLOOKUP(VLOOKUP(Building_Type,xyLPD_BuildingArea,5,FALSE),xySVG_Factors_NC,3,FALSE),0)))),"")</f>
        <v/>
      </c>
      <c r="Z904" s="544" t="str">
        <f>IFERROR(IF(C904="","",IF(INDEX(xyWattage_Table,MATCH(M904,'Fixture Identities'!$B$9:$B$997,0),2)="Exit Sign",0,VLOOKUP(S904,xySVG_Factors,2,FALSE))),"")</f>
        <v/>
      </c>
      <c r="AA904" s="545" t="str">
        <f t="shared" si="329"/>
        <v/>
      </c>
      <c r="AB904" s="542" t="str">
        <f t="shared" si="330"/>
        <v/>
      </c>
      <c r="AC904" s="539" t="str">
        <f t="shared" si="331"/>
        <v/>
      </c>
      <c r="AD904" s="546" t="str">
        <f t="shared" si="332"/>
        <v/>
      </c>
      <c r="AE904" s="539" t="str">
        <f t="shared" si="333"/>
        <v/>
      </c>
      <c r="AF904" s="546" t="str">
        <f t="shared" si="334"/>
        <v/>
      </c>
      <c r="AG904" s="539" t="str">
        <f t="shared" si="335"/>
        <v/>
      </c>
      <c r="AH904" s="32">
        <f t="shared" si="315"/>
        <v>0</v>
      </c>
      <c r="AI904" s="32">
        <f t="shared" si="316"/>
        <v>0</v>
      </c>
      <c r="AJ904" s="32">
        <f t="shared" si="317"/>
        <v>0</v>
      </c>
      <c r="AK904" t="str">
        <f t="shared" si="318"/>
        <v/>
      </c>
      <c r="AL904" t="str">
        <f t="shared" si="319"/>
        <v/>
      </c>
      <c r="AM904" t="str">
        <f t="shared" si="320"/>
        <v/>
      </c>
      <c r="AO904" t="str">
        <f>IFERROR(VLOOKUP(M904,'Fixture Identities'!$B$9:$O$1045,14,FALSE),"")</f>
        <v/>
      </c>
      <c r="AP904" t="str">
        <f t="shared" si="314"/>
        <v/>
      </c>
    </row>
    <row r="905" spans="1:42">
      <c r="A905" s="71">
        <f t="shared" si="322"/>
        <v>0</v>
      </c>
      <c r="B905" s="513">
        <f t="shared" si="321"/>
        <v>893</v>
      </c>
      <c r="C905" s="530" t="str">
        <f>IF(Inventory!E902="","",Inventory!E902)</f>
        <v/>
      </c>
      <c r="D905" s="531">
        <f>IF(Inventory!D902="",0,Inventory!D902)</f>
        <v>0</v>
      </c>
      <c r="E905" s="532" t="str">
        <f>IF(Inventory!I902=0,"",Inventory!I902)</f>
        <v/>
      </c>
      <c r="F905" s="533" t="str">
        <f t="shared" si="323"/>
        <v/>
      </c>
      <c r="G905" s="534" t="str">
        <f>IF(Inventory!G902="","",Inventory!G902)</f>
        <v/>
      </c>
      <c r="H905" s="535" t="str">
        <f t="shared" si="324"/>
        <v/>
      </c>
      <c r="I905" s="536" t="str">
        <f>IF(Inventory!J902="","",Inventory!J902)</f>
        <v/>
      </c>
      <c r="J905" s="537" t="str">
        <f>IFERROR(IF(PRJ_Type="New Construction",IF(Inventory!C902="N",INDEX(xyLPD_BuildingArea,MATCH(Building_Type,Lookups!$F$37:$F$75,0),4),INDEX(xyLPD_SpaceBySpace,MATCH(INDEX(xyNCEx,MATCH(I905,yNCExArea,0),2),ySpace_by_Space_Type,0),2)),VLOOKUP(E905,xyWattage_Table,11,FALSE)),"")</f>
        <v/>
      </c>
      <c r="K905" s="538" t="str">
        <f>IFERROR(IF(AND(NC_Type="Building Area Method",Inventory!C902="N"),IF(ISERROR(INDEX('Usage Groups (&gt;120 MWh only)'!$N$8:$N$12,MATCH(C905,'Usage Groups (&gt;120 MWh only)'!$B$8:$B$12,0),1))=TRUE,SqFt/COUNTIFS(Inventory!$C$10:$C$1009,"N",$Q$13:$Q$1012,"&gt;=0"),INDEX('Usage Groups (&gt;120 MWh only)'!$N$8:$N$12,MATCH(C905,'Usage Groups (&gt;120 MWh only)'!$B$8:$B$12,0),1)/COUNTIF($C$13:$C$1012,C905)),IF(AND(NC_Type="Building Area Method",Inventory!C902="Y"),INDEX(xyNCEx,MATCH(I905,yNCExArea,0),3)/COUNTIF($I$13:$I$1012,I905),VLOOKUP(J905,xyWattage_Table,10,FALSE))),"")</f>
        <v/>
      </c>
      <c r="L905" s="539" t="str">
        <f t="shared" si="325"/>
        <v/>
      </c>
      <c r="M905" s="540">
        <f>IF(Inventory!N902="","",Inventory!N902)</f>
        <v>0</v>
      </c>
      <c r="N905" s="533" t="str">
        <f t="shared" si="326"/>
        <v/>
      </c>
      <c r="O905" s="534"/>
      <c r="P905" s="533" t="str">
        <f t="shared" si="327"/>
        <v/>
      </c>
      <c r="Q905" s="534" t="str">
        <f>IF(Inventory!L902="","",Inventory!L902)</f>
        <v/>
      </c>
      <c r="R905" s="535" t="str">
        <f t="shared" si="328"/>
        <v/>
      </c>
      <c r="S905" s="536" t="str">
        <f>IF(Inventory!O902="","",Inventory!O902)</f>
        <v/>
      </c>
      <c r="T905" s="541" t="str">
        <f>IFERROR(IF(C905="","",IF(INDEX(xyWattage_Table,MATCH(M905,'Fixture Identities'!$B$9:$B$997,0),2)="Exit Sign",8760,IF(VLOOKUP(C905,xySpace_Type_Details,8,FALSE)="TRM",INDEX('General Information'!$AF$17:$AG$28,11,MATCH(N905,'General Information'!$AF$16:$AG$16,0)),HLOOKUP(VLOOKUP(C905,xySpace_Type_Details,8,FALSE),'General Information'!$P$15:$AG$28,13,FALSE)))),"")</f>
        <v/>
      </c>
      <c r="U905" s="542" t="str">
        <f>IFERROR(IF(C905="","",IF(INDEX(xyWattage_Table,MATCH(M905,'Fixture Identities'!$B$9:$B$997,0),2)="Exit Sign",1,IF(VLOOKUP(C905,xySpace_Type_Details,8,FALSE)="TRM",INDEX('General Information'!$AF$17:$AG$28,12,MATCH(N905,'General Information'!$AF$16:$AG$16,0)),HLOOKUP(VLOOKUP(C905,xySpace_Type_Details,8,FALSE),'General Information'!$P$15:$AG$28,14,FALSE)))),"")</f>
        <v/>
      </c>
      <c r="V905" s="542" t="str">
        <f>IFERROR(VLOOKUP(INDEX(xySpace_Type_Details,MATCH($C905,'General Information'!$C$40:$C$60,0),12),Lookups!$L$8:$N$12,2,FALSE),"")</f>
        <v/>
      </c>
      <c r="W905" s="542" t="str">
        <f>IFERROR(VLOOKUP(INDEX(xySpace_Type_Details,MATCH($C905,'General Information'!$C$40:$C$60,0),12),Lookups!$L$8:$N$12,3,FALSE),"")</f>
        <v/>
      </c>
      <c r="Y905" s="542" t="str">
        <f>IFERROR(IF(C905="","",IF(INDEX(xyWattage_Table,MATCH(M905,'Fixture Identities'!$B$9:$B$997,0),2)="Exit Sign",0,IF(PRJ_Type="Retrofit",VLOOKUP(I905,xySVG_Factors,2,FALSE),IF(AND(PRJ_Type="New Construction",Inventory!C902="N"),VLOOKUP(VLOOKUP(Building_Type,xyLPD_BuildingArea,5,FALSE),xySVG_Factors_NC,3,FALSE),0)))),"")</f>
        <v/>
      </c>
      <c r="Z905" s="544" t="str">
        <f>IFERROR(IF(C905="","",IF(INDEX(xyWattage_Table,MATCH(M905,'Fixture Identities'!$B$9:$B$997,0),2)="Exit Sign",0,VLOOKUP(S905,xySVG_Factors,2,FALSE))),"")</f>
        <v/>
      </c>
      <c r="AA905" s="545" t="str">
        <f t="shared" si="329"/>
        <v/>
      </c>
      <c r="AB905" s="542" t="str">
        <f t="shared" si="330"/>
        <v/>
      </c>
      <c r="AC905" s="539" t="str">
        <f t="shared" si="331"/>
        <v/>
      </c>
      <c r="AD905" s="546" t="str">
        <f t="shared" si="332"/>
        <v/>
      </c>
      <c r="AE905" s="539" t="str">
        <f t="shared" si="333"/>
        <v/>
      </c>
      <c r="AF905" s="546" t="str">
        <f t="shared" si="334"/>
        <v/>
      </c>
      <c r="AG905" s="539" t="str">
        <f t="shared" si="335"/>
        <v/>
      </c>
      <c r="AH905" s="32">
        <f t="shared" si="315"/>
        <v>0</v>
      </c>
      <c r="AI905" s="32">
        <f t="shared" si="316"/>
        <v>0</v>
      </c>
      <c r="AJ905" s="32">
        <f t="shared" si="317"/>
        <v>0</v>
      </c>
      <c r="AK905" t="str">
        <f t="shared" si="318"/>
        <v/>
      </c>
      <c r="AL905" t="str">
        <f t="shared" si="319"/>
        <v/>
      </c>
      <c r="AM905" t="str">
        <f t="shared" si="320"/>
        <v/>
      </c>
      <c r="AO905" t="str">
        <f>IFERROR(VLOOKUP(M905,'Fixture Identities'!$B$9:$O$1045,14,FALSE),"")</f>
        <v/>
      </c>
      <c r="AP905" t="str">
        <f t="shared" si="314"/>
        <v/>
      </c>
    </row>
    <row r="906" spans="1:42">
      <c r="A906" s="71">
        <f t="shared" si="322"/>
        <v>0</v>
      </c>
      <c r="B906" s="513">
        <f t="shared" si="321"/>
        <v>894</v>
      </c>
      <c r="C906" s="530" t="str">
        <f>IF(Inventory!E903="","",Inventory!E903)</f>
        <v/>
      </c>
      <c r="D906" s="531">
        <f>IF(Inventory!D903="",0,Inventory!D903)</f>
        <v>0</v>
      </c>
      <c r="E906" s="532" t="str">
        <f>IF(Inventory!I903=0,"",Inventory!I903)</f>
        <v/>
      </c>
      <c r="F906" s="533" t="str">
        <f t="shared" si="323"/>
        <v/>
      </c>
      <c r="G906" s="534" t="str">
        <f>IF(Inventory!G903="","",Inventory!G903)</f>
        <v/>
      </c>
      <c r="H906" s="535" t="str">
        <f t="shared" si="324"/>
        <v/>
      </c>
      <c r="I906" s="536" t="str">
        <f>IF(Inventory!J903="","",Inventory!J903)</f>
        <v/>
      </c>
      <c r="J906" s="537" t="str">
        <f>IFERROR(IF(PRJ_Type="New Construction",IF(Inventory!C903="N",INDEX(xyLPD_BuildingArea,MATCH(Building_Type,Lookups!$F$37:$F$75,0),4),INDEX(xyLPD_SpaceBySpace,MATCH(INDEX(xyNCEx,MATCH(I906,yNCExArea,0),2),ySpace_by_Space_Type,0),2)),VLOOKUP(E906,xyWattage_Table,11,FALSE)),"")</f>
        <v/>
      </c>
      <c r="K906" s="538" t="str">
        <f>IFERROR(IF(AND(NC_Type="Building Area Method",Inventory!C903="N"),IF(ISERROR(INDEX('Usage Groups (&gt;120 MWh only)'!$N$8:$N$12,MATCH(C906,'Usage Groups (&gt;120 MWh only)'!$B$8:$B$12,0),1))=TRUE,SqFt/COUNTIFS(Inventory!$C$10:$C$1009,"N",$Q$13:$Q$1012,"&gt;=0"),INDEX('Usage Groups (&gt;120 MWh only)'!$N$8:$N$12,MATCH(C906,'Usage Groups (&gt;120 MWh only)'!$B$8:$B$12,0),1)/COUNTIF($C$13:$C$1012,C906)),IF(AND(NC_Type="Building Area Method",Inventory!C903="Y"),INDEX(xyNCEx,MATCH(I906,yNCExArea,0),3)/COUNTIF($I$13:$I$1012,I906),VLOOKUP(J906,xyWattage_Table,10,FALSE))),"")</f>
        <v/>
      </c>
      <c r="L906" s="539" t="str">
        <f t="shared" si="325"/>
        <v/>
      </c>
      <c r="M906" s="540">
        <f>IF(Inventory!N903="","",Inventory!N903)</f>
        <v>0</v>
      </c>
      <c r="N906" s="533" t="str">
        <f t="shared" si="326"/>
        <v/>
      </c>
      <c r="O906" s="534"/>
      <c r="P906" s="533" t="str">
        <f t="shared" si="327"/>
        <v/>
      </c>
      <c r="Q906" s="534" t="str">
        <f>IF(Inventory!L903="","",Inventory!L903)</f>
        <v/>
      </c>
      <c r="R906" s="535" t="str">
        <f t="shared" si="328"/>
        <v/>
      </c>
      <c r="S906" s="536" t="str">
        <f>IF(Inventory!O903="","",Inventory!O903)</f>
        <v/>
      </c>
      <c r="T906" s="541" t="str">
        <f>IFERROR(IF(C906="","",IF(INDEX(xyWattage_Table,MATCH(M906,'Fixture Identities'!$B$9:$B$997,0),2)="Exit Sign",8760,IF(VLOOKUP(C906,xySpace_Type_Details,8,FALSE)="TRM",INDEX('General Information'!$AF$17:$AG$28,11,MATCH(N906,'General Information'!$AF$16:$AG$16,0)),HLOOKUP(VLOOKUP(C906,xySpace_Type_Details,8,FALSE),'General Information'!$P$15:$AG$28,13,FALSE)))),"")</f>
        <v/>
      </c>
      <c r="U906" s="542" t="str">
        <f>IFERROR(IF(C906="","",IF(INDEX(xyWattage_Table,MATCH(M906,'Fixture Identities'!$B$9:$B$997,0),2)="Exit Sign",1,IF(VLOOKUP(C906,xySpace_Type_Details,8,FALSE)="TRM",INDEX('General Information'!$AF$17:$AG$28,12,MATCH(N906,'General Information'!$AF$16:$AG$16,0)),HLOOKUP(VLOOKUP(C906,xySpace_Type_Details,8,FALSE),'General Information'!$P$15:$AG$28,14,FALSE)))),"")</f>
        <v/>
      </c>
      <c r="V906" s="542" t="str">
        <f>IFERROR(VLOOKUP(INDEX(xySpace_Type_Details,MATCH($C906,'General Information'!$C$40:$C$60,0),12),Lookups!$L$8:$N$12,2,FALSE),"")</f>
        <v/>
      </c>
      <c r="W906" s="542" t="str">
        <f>IFERROR(VLOOKUP(INDEX(xySpace_Type_Details,MATCH($C906,'General Information'!$C$40:$C$60,0),12),Lookups!$L$8:$N$12,3,FALSE),"")</f>
        <v/>
      </c>
      <c r="Y906" s="542" t="str">
        <f>IFERROR(IF(C906="","",IF(INDEX(xyWattage_Table,MATCH(M906,'Fixture Identities'!$B$9:$B$997,0),2)="Exit Sign",0,IF(PRJ_Type="Retrofit",VLOOKUP(I906,xySVG_Factors,2,FALSE),IF(AND(PRJ_Type="New Construction",Inventory!C903="N"),VLOOKUP(VLOOKUP(Building_Type,xyLPD_BuildingArea,5,FALSE),xySVG_Factors_NC,3,FALSE),0)))),"")</f>
        <v/>
      </c>
      <c r="Z906" s="544" t="str">
        <f>IFERROR(IF(C906="","",IF(INDEX(xyWattage_Table,MATCH(M906,'Fixture Identities'!$B$9:$B$997,0),2)="Exit Sign",0,VLOOKUP(S906,xySVG_Factors,2,FALSE))),"")</f>
        <v/>
      </c>
      <c r="AA906" s="545" t="str">
        <f t="shared" si="329"/>
        <v/>
      </c>
      <c r="AB906" s="542" t="str">
        <f t="shared" si="330"/>
        <v/>
      </c>
      <c r="AC906" s="539" t="str">
        <f t="shared" si="331"/>
        <v/>
      </c>
      <c r="AD906" s="546" t="str">
        <f t="shared" si="332"/>
        <v/>
      </c>
      <c r="AE906" s="539" t="str">
        <f t="shared" si="333"/>
        <v/>
      </c>
      <c r="AF906" s="546" t="str">
        <f t="shared" si="334"/>
        <v/>
      </c>
      <c r="AG906" s="539" t="str">
        <f t="shared" si="335"/>
        <v/>
      </c>
      <c r="AH906" s="32">
        <f t="shared" si="315"/>
        <v>0</v>
      </c>
      <c r="AI906" s="32">
        <f t="shared" si="316"/>
        <v>0</v>
      </c>
      <c r="AJ906" s="32">
        <f t="shared" si="317"/>
        <v>0</v>
      </c>
      <c r="AK906" t="str">
        <f t="shared" si="318"/>
        <v/>
      </c>
      <c r="AL906" t="str">
        <f t="shared" si="319"/>
        <v/>
      </c>
      <c r="AM906" t="str">
        <f t="shared" si="320"/>
        <v/>
      </c>
      <c r="AO906" t="str">
        <f>IFERROR(VLOOKUP(M906,'Fixture Identities'!$B$9:$O$1045,14,FALSE),"")</f>
        <v/>
      </c>
      <c r="AP906" t="str">
        <f t="shared" si="314"/>
        <v/>
      </c>
    </row>
    <row r="907" spans="1:42">
      <c r="A907" s="71">
        <f t="shared" si="322"/>
        <v>0</v>
      </c>
      <c r="B907" s="513">
        <f t="shared" si="321"/>
        <v>895</v>
      </c>
      <c r="C907" s="530" t="str">
        <f>IF(Inventory!E904="","",Inventory!E904)</f>
        <v/>
      </c>
      <c r="D907" s="531">
        <f>IF(Inventory!D904="",0,Inventory!D904)</f>
        <v>0</v>
      </c>
      <c r="E907" s="532" t="str">
        <f>IF(Inventory!I904=0,"",Inventory!I904)</f>
        <v/>
      </c>
      <c r="F907" s="533" t="str">
        <f t="shared" si="323"/>
        <v/>
      </c>
      <c r="G907" s="534" t="str">
        <f>IF(Inventory!G904="","",Inventory!G904)</f>
        <v/>
      </c>
      <c r="H907" s="535" t="str">
        <f t="shared" si="324"/>
        <v/>
      </c>
      <c r="I907" s="536" t="str">
        <f>IF(Inventory!J904="","",Inventory!J904)</f>
        <v/>
      </c>
      <c r="J907" s="537" t="str">
        <f>IFERROR(IF(PRJ_Type="New Construction",IF(Inventory!C904="N",INDEX(xyLPD_BuildingArea,MATCH(Building_Type,Lookups!$F$37:$F$75,0),4),INDEX(xyLPD_SpaceBySpace,MATCH(INDEX(xyNCEx,MATCH(I907,yNCExArea,0),2),ySpace_by_Space_Type,0),2)),VLOOKUP(E907,xyWattage_Table,11,FALSE)),"")</f>
        <v/>
      </c>
      <c r="K907" s="538" t="str">
        <f>IFERROR(IF(AND(NC_Type="Building Area Method",Inventory!C904="N"),IF(ISERROR(INDEX('Usage Groups (&gt;120 MWh only)'!$N$8:$N$12,MATCH(C907,'Usage Groups (&gt;120 MWh only)'!$B$8:$B$12,0),1))=TRUE,SqFt/COUNTIFS(Inventory!$C$10:$C$1009,"N",$Q$13:$Q$1012,"&gt;=0"),INDEX('Usage Groups (&gt;120 MWh only)'!$N$8:$N$12,MATCH(C907,'Usage Groups (&gt;120 MWh only)'!$B$8:$B$12,0),1)/COUNTIF($C$13:$C$1012,C907)),IF(AND(NC_Type="Building Area Method",Inventory!C904="Y"),INDEX(xyNCEx,MATCH(I907,yNCExArea,0),3)/COUNTIF($I$13:$I$1012,I907),VLOOKUP(J907,xyWattage_Table,10,FALSE))),"")</f>
        <v/>
      </c>
      <c r="L907" s="539" t="str">
        <f t="shared" si="325"/>
        <v/>
      </c>
      <c r="M907" s="540">
        <f>IF(Inventory!N904="","",Inventory!N904)</f>
        <v>0</v>
      </c>
      <c r="N907" s="533" t="str">
        <f t="shared" si="326"/>
        <v/>
      </c>
      <c r="O907" s="534"/>
      <c r="P907" s="533" t="str">
        <f t="shared" si="327"/>
        <v/>
      </c>
      <c r="Q907" s="534" t="str">
        <f>IF(Inventory!L904="","",Inventory!L904)</f>
        <v/>
      </c>
      <c r="R907" s="535" t="str">
        <f t="shared" si="328"/>
        <v/>
      </c>
      <c r="S907" s="536" t="str">
        <f>IF(Inventory!O904="","",Inventory!O904)</f>
        <v/>
      </c>
      <c r="T907" s="541" t="str">
        <f>IFERROR(IF(C907="","",IF(INDEX(xyWattage_Table,MATCH(M907,'Fixture Identities'!$B$9:$B$997,0),2)="Exit Sign",8760,IF(VLOOKUP(C907,xySpace_Type_Details,8,FALSE)="TRM",INDEX('General Information'!$AF$17:$AG$28,11,MATCH(N907,'General Information'!$AF$16:$AG$16,0)),HLOOKUP(VLOOKUP(C907,xySpace_Type_Details,8,FALSE),'General Information'!$P$15:$AG$28,13,FALSE)))),"")</f>
        <v/>
      </c>
      <c r="U907" s="542" t="str">
        <f>IFERROR(IF(C907="","",IF(INDEX(xyWattage_Table,MATCH(M907,'Fixture Identities'!$B$9:$B$997,0),2)="Exit Sign",1,IF(VLOOKUP(C907,xySpace_Type_Details,8,FALSE)="TRM",INDEX('General Information'!$AF$17:$AG$28,12,MATCH(N907,'General Information'!$AF$16:$AG$16,0)),HLOOKUP(VLOOKUP(C907,xySpace_Type_Details,8,FALSE),'General Information'!$P$15:$AG$28,14,FALSE)))),"")</f>
        <v/>
      </c>
      <c r="V907" s="542" t="str">
        <f>IFERROR(VLOOKUP(INDEX(xySpace_Type_Details,MATCH($C907,'General Information'!$C$40:$C$60,0),12),Lookups!$L$8:$N$12,2,FALSE),"")</f>
        <v/>
      </c>
      <c r="W907" s="542" t="str">
        <f>IFERROR(VLOOKUP(INDEX(xySpace_Type_Details,MATCH($C907,'General Information'!$C$40:$C$60,0),12),Lookups!$L$8:$N$12,3,FALSE),"")</f>
        <v/>
      </c>
      <c r="Y907" s="542" t="str">
        <f>IFERROR(IF(C907="","",IF(INDEX(xyWattage_Table,MATCH(M907,'Fixture Identities'!$B$9:$B$997,0),2)="Exit Sign",0,IF(PRJ_Type="Retrofit",VLOOKUP(I907,xySVG_Factors,2,FALSE),IF(AND(PRJ_Type="New Construction",Inventory!C904="N"),VLOOKUP(VLOOKUP(Building_Type,xyLPD_BuildingArea,5,FALSE),xySVG_Factors_NC,3,FALSE),0)))),"")</f>
        <v/>
      </c>
      <c r="Z907" s="544" t="str">
        <f>IFERROR(IF(C907="","",IF(INDEX(xyWattage_Table,MATCH(M907,'Fixture Identities'!$B$9:$B$997,0),2)="Exit Sign",0,VLOOKUP(S907,xySVG_Factors,2,FALSE))),"")</f>
        <v/>
      </c>
      <c r="AA907" s="545" t="str">
        <f t="shared" si="329"/>
        <v/>
      </c>
      <c r="AB907" s="542" t="str">
        <f t="shared" si="330"/>
        <v/>
      </c>
      <c r="AC907" s="539" t="str">
        <f t="shared" si="331"/>
        <v/>
      </c>
      <c r="AD907" s="546" t="str">
        <f t="shared" si="332"/>
        <v/>
      </c>
      <c r="AE907" s="539" t="str">
        <f t="shared" si="333"/>
        <v/>
      </c>
      <c r="AF907" s="546" t="str">
        <f t="shared" si="334"/>
        <v/>
      </c>
      <c r="AG907" s="539" t="str">
        <f t="shared" si="335"/>
        <v/>
      </c>
      <c r="AH907" s="32">
        <f t="shared" si="315"/>
        <v>0</v>
      </c>
      <c r="AI907" s="32">
        <f t="shared" si="316"/>
        <v>0</v>
      </c>
      <c r="AJ907" s="32">
        <f t="shared" si="317"/>
        <v>0</v>
      </c>
      <c r="AK907" t="str">
        <f t="shared" si="318"/>
        <v/>
      </c>
      <c r="AL907" t="str">
        <f t="shared" si="319"/>
        <v/>
      </c>
      <c r="AM907" t="str">
        <f t="shared" si="320"/>
        <v/>
      </c>
      <c r="AO907" t="str">
        <f>IFERROR(VLOOKUP(M907,'Fixture Identities'!$B$9:$O$1045,14,FALSE),"")</f>
        <v/>
      </c>
      <c r="AP907" t="str">
        <f t="shared" si="314"/>
        <v/>
      </c>
    </row>
    <row r="908" spans="1:42">
      <c r="A908" s="71">
        <f t="shared" si="322"/>
        <v>0</v>
      </c>
      <c r="B908" s="513">
        <f t="shared" si="321"/>
        <v>896</v>
      </c>
      <c r="C908" s="530" t="str">
        <f>IF(Inventory!E905="","",Inventory!E905)</f>
        <v/>
      </c>
      <c r="D908" s="531">
        <f>IF(Inventory!D905="",0,Inventory!D905)</f>
        <v>0</v>
      </c>
      <c r="E908" s="532" t="str">
        <f>IF(Inventory!I905=0,"",Inventory!I905)</f>
        <v/>
      </c>
      <c r="F908" s="533" t="str">
        <f t="shared" si="323"/>
        <v/>
      </c>
      <c r="G908" s="534" t="str">
        <f>IF(Inventory!G905="","",Inventory!G905)</f>
        <v/>
      </c>
      <c r="H908" s="535" t="str">
        <f t="shared" si="324"/>
        <v/>
      </c>
      <c r="I908" s="536" t="str">
        <f>IF(Inventory!J905="","",Inventory!J905)</f>
        <v/>
      </c>
      <c r="J908" s="537" t="str">
        <f>IFERROR(IF(PRJ_Type="New Construction",IF(Inventory!C905="N",INDEX(xyLPD_BuildingArea,MATCH(Building_Type,Lookups!$F$37:$F$75,0),4),INDEX(xyLPD_SpaceBySpace,MATCH(INDEX(xyNCEx,MATCH(I908,yNCExArea,0),2),ySpace_by_Space_Type,0),2)),VLOOKUP(E908,xyWattage_Table,11,FALSE)),"")</f>
        <v/>
      </c>
      <c r="K908" s="538" t="str">
        <f>IFERROR(IF(AND(NC_Type="Building Area Method",Inventory!C905="N"),IF(ISERROR(INDEX('Usage Groups (&gt;120 MWh only)'!$N$8:$N$12,MATCH(C908,'Usage Groups (&gt;120 MWh only)'!$B$8:$B$12,0),1))=TRUE,SqFt/COUNTIFS(Inventory!$C$10:$C$1009,"N",$Q$13:$Q$1012,"&gt;=0"),INDEX('Usage Groups (&gt;120 MWh only)'!$N$8:$N$12,MATCH(C908,'Usage Groups (&gt;120 MWh only)'!$B$8:$B$12,0),1)/COUNTIF($C$13:$C$1012,C908)),IF(AND(NC_Type="Building Area Method",Inventory!C905="Y"),INDEX(xyNCEx,MATCH(I908,yNCExArea,0),3)/COUNTIF($I$13:$I$1012,I908),VLOOKUP(J908,xyWattage_Table,10,FALSE))),"")</f>
        <v/>
      </c>
      <c r="L908" s="539" t="str">
        <f t="shared" si="325"/>
        <v/>
      </c>
      <c r="M908" s="540">
        <f>IF(Inventory!N905="","",Inventory!N905)</f>
        <v>0</v>
      </c>
      <c r="N908" s="533" t="str">
        <f t="shared" si="326"/>
        <v/>
      </c>
      <c r="O908" s="534"/>
      <c r="P908" s="533" t="str">
        <f t="shared" si="327"/>
        <v/>
      </c>
      <c r="Q908" s="534" t="str">
        <f>IF(Inventory!L905="","",Inventory!L905)</f>
        <v/>
      </c>
      <c r="R908" s="535" t="str">
        <f t="shared" si="328"/>
        <v/>
      </c>
      <c r="S908" s="536" t="str">
        <f>IF(Inventory!O905="","",Inventory!O905)</f>
        <v/>
      </c>
      <c r="T908" s="541" t="str">
        <f>IFERROR(IF(C908="","",IF(INDEX(xyWattage_Table,MATCH(M908,'Fixture Identities'!$B$9:$B$997,0),2)="Exit Sign",8760,IF(VLOOKUP(C908,xySpace_Type_Details,8,FALSE)="TRM",INDEX('General Information'!$AF$17:$AG$28,11,MATCH(N908,'General Information'!$AF$16:$AG$16,0)),HLOOKUP(VLOOKUP(C908,xySpace_Type_Details,8,FALSE),'General Information'!$P$15:$AG$28,13,FALSE)))),"")</f>
        <v/>
      </c>
      <c r="U908" s="542" t="str">
        <f>IFERROR(IF(C908="","",IF(INDEX(xyWattage_Table,MATCH(M908,'Fixture Identities'!$B$9:$B$997,0),2)="Exit Sign",1,IF(VLOOKUP(C908,xySpace_Type_Details,8,FALSE)="TRM",INDEX('General Information'!$AF$17:$AG$28,12,MATCH(N908,'General Information'!$AF$16:$AG$16,0)),HLOOKUP(VLOOKUP(C908,xySpace_Type_Details,8,FALSE),'General Information'!$P$15:$AG$28,14,FALSE)))),"")</f>
        <v/>
      </c>
      <c r="V908" s="542" t="str">
        <f>IFERROR(VLOOKUP(INDEX(xySpace_Type_Details,MATCH($C908,'General Information'!$C$40:$C$60,0),12),Lookups!$L$8:$N$12,2,FALSE),"")</f>
        <v/>
      </c>
      <c r="W908" s="542" t="str">
        <f>IFERROR(VLOOKUP(INDEX(xySpace_Type_Details,MATCH($C908,'General Information'!$C$40:$C$60,0),12),Lookups!$L$8:$N$12,3,FALSE),"")</f>
        <v/>
      </c>
      <c r="Y908" s="542" t="str">
        <f>IFERROR(IF(C908="","",IF(INDEX(xyWattage_Table,MATCH(M908,'Fixture Identities'!$B$9:$B$997,0),2)="Exit Sign",0,IF(PRJ_Type="Retrofit",VLOOKUP(I908,xySVG_Factors,2,FALSE),IF(AND(PRJ_Type="New Construction",Inventory!C905="N"),VLOOKUP(VLOOKUP(Building_Type,xyLPD_BuildingArea,5,FALSE),xySVG_Factors_NC,3,FALSE),0)))),"")</f>
        <v/>
      </c>
      <c r="Z908" s="544" t="str">
        <f>IFERROR(IF(C908="","",IF(INDEX(xyWattage_Table,MATCH(M908,'Fixture Identities'!$B$9:$B$997,0),2)="Exit Sign",0,VLOOKUP(S908,xySVG_Factors,2,FALSE))),"")</f>
        <v/>
      </c>
      <c r="AA908" s="545" t="str">
        <f t="shared" si="329"/>
        <v/>
      </c>
      <c r="AB908" s="542" t="str">
        <f t="shared" si="330"/>
        <v/>
      </c>
      <c r="AC908" s="539" t="str">
        <f t="shared" si="331"/>
        <v/>
      </c>
      <c r="AD908" s="546" t="str">
        <f t="shared" si="332"/>
        <v/>
      </c>
      <c r="AE908" s="539" t="str">
        <f t="shared" si="333"/>
        <v/>
      </c>
      <c r="AF908" s="546" t="str">
        <f t="shared" si="334"/>
        <v/>
      </c>
      <c r="AG908" s="539" t="str">
        <f t="shared" si="335"/>
        <v/>
      </c>
      <c r="AH908" s="32">
        <f t="shared" si="315"/>
        <v>0</v>
      </c>
      <c r="AI908" s="32">
        <f t="shared" si="316"/>
        <v>0</v>
      </c>
      <c r="AJ908" s="32">
        <f t="shared" si="317"/>
        <v>0</v>
      </c>
      <c r="AK908" t="str">
        <f t="shared" si="318"/>
        <v/>
      </c>
      <c r="AL908" t="str">
        <f t="shared" si="319"/>
        <v/>
      </c>
      <c r="AM908" t="str">
        <f t="shared" si="320"/>
        <v/>
      </c>
      <c r="AO908" t="str">
        <f>IFERROR(VLOOKUP(M908,'Fixture Identities'!$B$9:$O$1045,14,FALSE),"")</f>
        <v/>
      </c>
      <c r="AP908" t="str">
        <f t="shared" si="314"/>
        <v/>
      </c>
    </row>
    <row r="909" spans="1:42">
      <c r="A909" s="71">
        <f t="shared" si="322"/>
        <v>0</v>
      </c>
      <c r="B909" s="513">
        <f t="shared" si="321"/>
        <v>897</v>
      </c>
      <c r="C909" s="530" t="str">
        <f>IF(Inventory!E906="","",Inventory!E906)</f>
        <v/>
      </c>
      <c r="D909" s="531">
        <f>IF(Inventory!D906="",0,Inventory!D906)</f>
        <v>0</v>
      </c>
      <c r="E909" s="532" t="str">
        <f>IF(Inventory!I906=0,"",Inventory!I906)</f>
        <v/>
      </c>
      <c r="F909" s="533" t="str">
        <f t="shared" si="323"/>
        <v/>
      </c>
      <c r="G909" s="534" t="str">
        <f>IF(Inventory!G906="","",Inventory!G906)</f>
        <v/>
      </c>
      <c r="H909" s="535" t="str">
        <f t="shared" si="324"/>
        <v/>
      </c>
      <c r="I909" s="536" t="str">
        <f>IF(Inventory!J906="","",Inventory!J906)</f>
        <v/>
      </c>
      <c r="J909" s="537" t="str">
        <f>IFERROR(IF(PRJ_Type="New Construction",IF(Inventory!C906="N",INDEX(xyLPD_BuildingArea,MATCH(Building_Type,Lookups!$F$37:$F$75,0),4),INDEX(xyLPD_SpaceBySpace,MATCH(INDEX(xyNCEx,MATCH(I909,yNCExArea,0),2),ySpace_by_Space_Type,0),2)),VLOOKUP(E909,xyWattage_Table,11,FALSE)),"")</f>
        <v/>
      </c>
      <c r="K909" s="538" t="str">
        <f>IFERROR(IF(AND(NC_Type="Building Area Method",Inventory!C906="N"),IF(ISERROR(INDEX('Usage Groups (&gt;120 MWh only)'!$N$8:$N$12,MATCH(C909,'Usage Groups (&gt;120 MWh only)'!$B$8:$B$12,0),1))=TRUE,SqFt/COUNTIFS(Inventory!$C$10:$C$1009,"N",$Q$13:$Q$1012,"&gt;=0"),INDEX('Usage Groups (&gt;120 MWh only)'!$N$8:$N$12,MATCH(C909,'Usage Groups (&gt;120 MWh only)'!$B$8:$B$12,0),1)/COUNTIF($C$13:$C$1012,C909)),IF(AND(NC_Type="Building Area Method",Inventory!C906="Y"),INDEX(xyNCEx,MATCH(I909,yNCExArea,0),3)/COUNTIF($I$13:$I$1012,I909),VLOOKUP(J909,xyWattage_Table,10,FALSE))),"")</f>
        <v/>
      </c>
      <c r="L909" s="539" t="str">
        <f t="shared" si="325"/>
        <v/>
      </c>
      <c r="M909" s="540">
        <f>IF(Inventory!N906="","",Inventory!N906)</f>
        <v>0</v>
      </c>
      <c r="N909" s="533" t="str">
        <f t="shared" si="326"/>
        <v/>
      </c>
      <c r="O909" s="534"/>
      <c r="P909" s="533" t="str">
        <f t="shared" si="327"/>
        <v/>
      </c>
      <c r="Q909" s="534" t="str">
        <f>IF(Inventory!L906="","",Inventory!L906)</f>
        <v/>
      </c>
      <c r="R909" s="535" t="str">
        <f t="shared" si="328"/>
        <v/>
      </c>
      <c r="S909" s="536" t="str">
        <f>IF(Inventory!O906="","",Inventory!O906)</f>
        <v/>
      </c>
      <c r="T909" s="541" t="str">
        <f>IFERROR(IF(C909="","",IF(INDEX(xyWattage_Table,MATCH(M909,'Fixture Identities'!$B$9:$B$997,0),2)="Exit Sign",8760,IF(VLOOKUP(C909,xySpace_Type_Details,8,FALSE)="TRM",INDEX('General Information'!$AF$17:$AG$28,11,MATCH(N909,'General Information'!$AF$16:$AG$16,0)),HLOOKUP(VLOOKUP(C909,xySpace_Type_Details,8,FALSE),'General Information'!$P$15:$AG$28,13,FALSE)))),"")</f>
        <v/>
      </c>
      <c r="U909" s="542" t="str">
        <f>IFERROR(IF(C909="","",IF(INDEX(xyWattage_Table,MATCH(M909,'Fixture Identities'!$B$9:$B$997,0),2)="Exit Sign",1,IF(VLOOKUP(C909,xySpace_Type_Details,8,FALSE)="TRM",INDEX('General Information'!$AF$17:$AG$28,12,MATCH(N909,'General Information'!$AF$16:$AG$16,0)),HLOOKUP(VLOOKUP(C909,xySpace_Type_Details,8,FALSE),'General Information'!$P$15:$AG$28,14,FALSE)))),"")</f>
        <v/>
      </c>
      <c r="V909" s="542" t="str">
        <f>IFERROR(VLOOKUP(INDEX(xySpace_Type_Details,MATCH($C909,'General Information'!$C$40:$C$60,0),12),Lookups!$L$8:$N$12,2,FALSE),"")</f>
        <v/>
      </c>
      <c r="W909" s="542" t="str">
        <f>IFERROR(VLOOKUP(INDEX(xySpace_Type_Details,MATCH($C909,'General Information'!$C$40:$C$60,0),12),Lookups!$L$8:$N$12,3,FALSE),"")</f>
        <v/>
      </c>
      <c r="Y909" s="542" t="str">
        <f>IFERROR(IF(C909="","",IF(INDEX(xyWattage_Table,MATCH(M909,'Fixture Identities'!$B$9:$B$997,0),2)="Exit Sign",0,IF(PRJ_Type="Retrofit",VLOOKUP(I909,xySVG_Factors,2,FALSE),IF(AND(PRJ_Type="New Construction",Inventory!C906="N"),VLOOKUP(VLOOKUP(Building_Type,xyLPD_BuildingArea,5,FALSE),xySVG_Factors_NC,3,FALSE),0)))),"")</f>
        <v/>
      </c>
      <c r="Z909" s="544" t="str">
        <f>IFERROR(IF(C909="","",IF(INDEX(xyWattage_Table,MATCH(M909,'Fixture Identities'!$B$9:$B$997,0),2)="Exit Sign",0,VLOOKUP(S909,xySVG_Factors,2,FALSE))),"")</f>
        <v/>
      </c>
      <c r="AA909" s="545" t="str">
        <f t="shared" si="329"/>
        <v/>
      </c>
      <c r="AB909" s="542" t="str">
        <f t="shared" si="330"/>
        <v/>
      </c>
      <c r="AC909" s="539" t="str">
        <f t="shared" si="331"/>
        <v/>
      </c>
      <c r="AD909" s="546" t="str">
        <f t="shared" si="332"/>
        <v/>
      </c>
      <c r="AE909" s="539" t="str">
        <f t="shared" si="333"/>
        <v/>
      </c>
      <c r="AF909" s="546" t="str">
        <f t="shared" si="334"/>
        <v/>
      </c>
      <c r="AG909" s="539" t="str">
        <f t="shared" si="335"/>
        <v/>
      </c>
      <c r="AH909" s="32">
        <f t="shared" si="315"/>
        <v>0</v>
      </c>
      <c r="AI909" s="32">
        <f t="shared" si="316"/>
        <v>0</v>
      </c>
      <c r="AJ909" s="32">
        <f t="shared" si="317"/>
        <v>0</v>
      </c>
      <c r="AK909" t="str">
        <f t="shared" si="318"/>
        <v/>
      </c>
      <c r="AL909" t="str">
        <f t="shared" si="319"/>
        <v/>
      </c>
      <c r="AM909" t="str">
        <f t="shared" si="320"/>
        <v/>
      </c>
      <c r="AO909" t="str">
        <f>IFERROR(VLOOKUP(M909,'Fixture Identities'!$B$9:$O$1045,14,FALSE),"")</f>
        <v/>
      </c>
      <c r="AP909" t="str">
        <f t="shared" ref="AP909:AP972" si="336">IF(M910="Signage",G910,"")</f>
        <v/>
      </c>
    </row>
    <row r="910" spans="1:42">
      <c r="A910" s="71">
        <f t="shared" si="322"/>
        <v>0</v>
      </c>
      <c r="B910" s="513">
        <f t="shared" si="321"/>
        <v>898</v>
      </c>
      <c r="C910" s="530" t="str">
        <f>IF(Inventory!E907="","",Inventory!E907)</f>
        <v/>
      </c>
      <c r="D910" s="531">
        <f>IF(Inventory!D907="",0,Inventory!D907)</f>
        <v>0</v>
      </c>
      <c r="E910" s="532" t="str">
        <f>IF(Inventory!I907=0,"",Inventory!I907)</f>
        <v/>
      </c>
      <c r="F910" s="533" t="str">
        <f t="shared" si="323"/>
        <v/>
      </c>
      <c r="G910" s="534" t="str">
        <f>IF(Inventory!G907="","",Inventory!G907)</f>
        <v/>
      </c>
      <c r="H910" s="535" t="str">
        <f t="shared" si="324"/>
        <v/>
      </c>
      <c r="I910" s="536" t="str">
        <f>IF(Inventory!J907="","",Inventory!J907)</f>
        <v/>
      </c>
      <c r="J910" s="537" t="str">
        <f>IFERROR(IF(PRJ_Type="New Construction",IF(Inventory!C907="N",INDEX(xyLPD_BuildingArea,MATCH(Building_Type,Lookups!$F$37:$F$75,0),4),INDEX(xyLPD_SpaceBySpace,MATCH(INDEX(xyNCEx,MATCH(I910,yNCExArea,0),2),ySpace_by_Space_Type,0),2)),VLOOKUP(E910,xyWattage_Table,11,FALSE)),"")</f>
        <v/>
      </c>
      <c r="K910" s="538" t="str">
        <f>IFERROR(IF(AND(NC_Type="Building Area Method",Inventory!C907="N"),IF(ISERROR(INDEX('Usage Groups (&gt;120 MWh only)'!$N$8:$N$12,MATCH(C910,'Usage Groups (&gt;120 MWh only)'!$B$8:$B$12,0),1))=TRUE,SqFt/COUNTIFS(Inventory!$C$10:$C$1009,"N",$Q$13:$Q$1012,"&gt;=0"),INDEX('Usage Groups (&gt;120 MWh only)'!$N$8:$N$12,MATCH(C910,'Usage Groups (&gt;120 MWh only)'!$B$8:$B$12,0),1)/COUNTIF($C$13:$C$1012,C910)),IF(AND(NC_Type="Building Area Method",Inventory!C907="Y"),INDEX(xyNCEx,MATCH(I910,yNCExArea,0),3)/COUNTIF($I$13:$I$1012,I910),VLOOKUP(J910,xyWattage_Table,10,FALSE))),"")</f>
        <v/>
      </c>
      <c r="L910" s="539" t="str">
        <f t="shared" si="325"/>
        <v/>
      </c>
      <c r="M910" s="540">
        <f>IF(Inventory!N907="","",Inventory!N907)</f>
        <v>0</v>
      </c>
      <c r="N910" s="533" t="str">
        <f t="shared" si="326"/>
        <v/>
      </c>
      <c r="O910" s="534"/>
      <c r="P910" s="533" t="str">
        <f t="shared" si="327"/>
        <v/>
      </c>
      <c r="Q910" s="534" t="str">
        <f>IF(Inventory!L907="","",Inventory!L907)</f>
        <v/>
      </c>
      <c r="R910" s="535" t="str">
        <f t="shared" si="328"/>
        <v/>
      </c>
      <c r="S910" s="536" t="str">
        <f>IF(Inventory!O907="","",Inventory!O907)</f>
        <v/>
      </c>
      <c r="T910" s="541" t="str">
        <f>IFERROR(IF(C910="","",IF(INDEX(xyWattage_Table,MATCH(M910,'Fixture Identities'!$B$9:$B$997,0),2)="Exit Sign",8760,IF(VLOOKUP(C910,xySpace_Type_Details,8,FALSE)="TRM",INDEX('General Information'!$AF$17:$AG$28,11,MATCH(N910,'General Information'!$AF$16:$AG$16,0)),HLOOKUP(VLOOKUP(C910,xySpace_Type_Details,8,FALSE),'General Information'!$P$15:$AG$28,13,FALSE)))),"")</f>
        <v/>
      </c>
      <c r="U910" s="542" t="str">
        <f>IFERROR(IF(C910="","",IF(INDEX(xyWattage_Table,MATCH(M910,'Fixture Identities'!$B$9:$B$997,0),2)="Exit Sign",1,IF(VLOOKUP(C910,xySpace_Type_Details,8,FALSE)="TRM",INDEX('General Information'!$AF$17:$AG$28,12,MATCH(N910,'General Information'!$AF$16:$AG$16,0)),HLOOKUP(VLOOKUP(C910,xySpace_Type_Details,8,FALSE),'General Information'!$P$15:$AG$28,14,FALSE)))),"")</f>
        <v/>
      </c>
      <c r="V910" s="542" t="str">
        <f>IFERROR(VLOOKUP(INDEX(xySpace_Type_Details,MATCH($C910,'General Information'!$C$40:$C$60,0),12),Lookups!$L$8:$N$12,2,FALSE),"")</f>
        <v/>
      </c>
      <c r="W910" s="542" t="str">
        <f>IFERROR(VLOOKUP(INDEX(xySpace_Type_Details,MATCH($C910,'General Information'!$C$40:$C$60,0),12),Lookups!$L$8:$N$12,3,FALSE),"")</f>
        <v/>
      </c>
      <c r="Y910" s="542" t="str">
        <f>IFERROR(IF(C910="","",IF(INDEX(xyWattage_Table,MATCH(M910,'Fixture Identities'!$B$9:$B$997,0),2)="Exit Sign",0,IF(PRJ_Type="Retrofit",VLOOKUP(I910,xySVG_Factors,2,FALSE),IF(AND(PRJ_Type="New Construction",Inventory!C907="N"),VLOOKUP(VLOOKUP(Building_Type,xyLPD_BuildingArea,5,FALSE),xySVG_Factors_NC,3,FALSE),0)))),"")</f>
        <v/>
      </c>
      <c r="Z910" s="544" t="str">
        <f>IFERROR(IF(C910="","",IF(INDEX(xyWattage_Table,MATCH(M910,'Fixture Identities'!$B$9:$B$997,0),2)="Exit Sign",0,VLOOKUP(S910,xySVG_Factors,2,FALSE))),"")</f>
        <v/>
      </c>
      <c r="AA910" s="545" t="str">
        <f t="shared" si="329"/>
        <v/>
      </c>
      <c r="AB910" s="542" t="str">
        <f t="shared" si="330"/>
        <v/>
      </c>
      <c r="AC910" s="539" t="str">
        <f t="shared" si="331"/>
        <v/>
      </c>
      <c r="AD910" s="546" t="str">
        <f t="shared" si="332"/>
        <v/>
      </c>
      <c r="AE910" s="539" t="str">
        <f t="shared" si="333"/>
        <v/>
      </c>
      <c r="AF910" s="546" t="str">
        <f t="shared" si="334"/>
        <v/>
      </c>
      <c r="AG910" s="539" t="str">
        <f t="shared" si="335"/>
        <v/>
      </c>
      <c r="AH910" s="32">
        <f t="shared" ref="AH910:AH973" si="337">IF(I910&lt;&gt;S910,R910,0)</f>
        <v>0</v>
      </c>
      <c r="AI910" s="32">
        <f t="shared" ref="AI910:AI973" si="338">IFERROR(VLOOKUP(E910,xyWattage_Table,8,FALSE)*G910,0)</f>
        <v>0</v>
      </c>
      <c r="AJ910" s="32">
        <f t="shared" ref="AJ910:AJ973" si="339">IFERROR(VLOOKUP(M910,xyWattage_Table,8,FALSE)*Q910,0)</f>
        <v>0</v>
      </c>
      <c r="AK910" t="str">
        <f t="shared" ref="AK910:AK973" si="340">IFERROR((L910)/1000,"")</f>
        <v/>
      </c>
      <c r="AL910" t="str">
        <f t="shared" ref="AL910:AL973" si="341">IFERROR(AK910*U910*(1+W910)*(1-Y910),"")</f>
        <v/>
      </c>
      <c r="AM910" t="str">
        <f t="shared" ref="AM910:AM973" si="342">IFERROR(AK910*T910*(1+V910)*(1-Y910),"")</f>
        <v/>
      </c>
      <c r="AO910" t="str">
        <f>IFERROR(VLOOKUP(M910,'Fixture Identities'!$B$9:$O$1045,14,FALSE),"")</f>
        <v/>
      </c>
      <c r="AP910" t="str">
        <f t="shared" si="336"/>
        <v/>
      </c>
    </row>
    <row r="911" spans="1:42">
      <c r="A911" s="71">
        <f t="shared" si="322"/>
        <v>0</v>
      </c>
      <c r="B911" s="513">
        <f t="shared" ref="B911:B974" si="343">B910+1</f>
        <v>899</v>
      </c>
      <c r="C911" s="530" t="str">
        <f>IF(Inventory!E908="","",Inventory!E908)</f>
        <v/>
      </c>
      <c r="D911" s="531">
        <f>IF(Inventory!D908="",0,Inventory!D908)</f>
        <v>0</v>
      </c>
      <c r="E911" s="532" t="str">
        <f>IF(Inventory!I908=0,"",Inventory!I908)</f>
        <v/>
      </c>
      <c r="F911" s="533" t="str">
        <f t="shared" si="323"/>
        <v/>
      </c>
      <c r="G911" s="534" t="str">
        <f>IF(Inventory!G908="","",Inventory!G908)</f>
        <v/>
      </c>
      <c r="H911" s="535" t="str">
        <f t="shared" si="324"/>
        <v/>
      </c>
      <c r="I911" s="536" t="str">
        <f>IF(Inventory!J908="","",Inventory!J908)</f>
        <v/>
      </c>
      <c r="J911" s="537" t="str">
        <f>IFERROR(IF(PRJ_Type="New Construction",IF(Inventory!C908="N",INDEX(xyLPD_BuildingArea,MATCH(Building_Type,Lookups!$F$37:$F$75,0),4),INDEX(xyLPD_SpaceBySpace,MATCH(INDEX(xyNCEx,MATCH(I911,yNCExArea,0),2),ySpace_by_Space_Type,0),2)),VLOOKUP(E911,xyWattage_Table,11,FALSE)),"")</f>
        <v/>
      </c>
      <c r="K911" s="538" t="str">
        <f>IFERROR(IF(AND(NC_Type="Building Area Method",Inventory!C908="N"),IF(ISERROR(INDEX('Usage Groups (&gt;120 MWh only)'!$N$8:$N$12,MATCH(C911,'Usage Groups (&gt;120 MWh only)'!$B$8:$B$12,0),1))=TRUE,SqFt/COUNTIFS(Inventory!$C$10:$C$1009,"N",$Q$13:$Q$1012,"&gt;=0"),INDEX('Usage Groups (&gt;120 MWh only)'!$N$8:$N$12,MATCH(C911,'Usage Groups (&gt;120 MWh only)'!$B$8:$B$12,0),1)/COUNTIF($C$13:$C$1012,C911)),IF(AND(NC_Type="Building Area Method",Inventory!C908="Y"),INDEX(xyNCEx,MATCH(I911,yNCExArea,0),3)/COUNTIF($I$13:$I$1012,I911),VLOOKUP(J911,xyWattage_Table,10,FALSE))),"")</f>
        <v/>
      </c>
      <c r="L911" s="539" t="str">
        <f t="shared" si="325"/>
        <v/>
      </c>
      <c r="M911" s="540">
        <f>IF(Inventory!N908="","",Inventory!N908)</f>
        <v>0</v>
      </c>
      <c r="N911" s="533" t="str">
        <f t="shared" si="326"/>
        <v/>
      </c>
      <c r="O911" s="534"/>
      <c r="P911" s="533" t="str">
        <f t="shared" si="327"/>
        <v/>
      </c>
      <c r="Q911" s="534" t="str">
        <f>IF(Inventory!L908="","",Inventory!L908)</f>
        <v/>
      </c>
      <c r="R911" s="535" t="str">
        <f t="shared" si="328"/>
        <v/>
      </c>
      <c r="S911" s="536" t="str">
        <f>IF(Inventory!O908="","",Inventory!O908)</f>
        <v/>
      </c>
      <c r="T911" s="541" t="str">
        <f>IFERROR(IF(C911="","",IF(INDEX(xyWattage_Table,MATCH(M911,'Fixture Identities'!$B$9:$B$997,0),2)="Exit Sign",8760,IF(VLOOKUP(C911,xySpace_Type_Details,8,FALSE)="TRM",INDEX('General Information'!$AF$17:$AG$28,11,MATCH(N911,'General Information'!$AF$16:$AG$16,0)),HLOOKUP(VLOOKUP(C911,xySpace_Type_Details,8,FALSE),'General Information'!$P$15:$AG$28,13,FALSE)))),"")</f>
        <v/>
      </c>
      <c r="U911" s="542" t="str">
        <f>IFERROR(IF(C911="","",IF(INDEX(xyWattage_Table,MATCH(M911,'Fixture Identities'!$B$9:$B$997,0),2)="Exit Sign",1,IF(VLOOKUP(C911,xySpace_Type_Details,8,FALSE)="TRM",INDEX('General Information'!$AF$17:$AG$28,12,MATCH(N911,'General Information'!$AF$16:$AG$16,0)),HLOOKUP(VLOOKUP(C911,xySpace_Type_Details,8,FALSE),'General Information'!$P$15:$AG$28,14,FALSE)))),"")</f>
        <v/>
      </c>
      <c r="V911" s="542" t="str">
        <f>IFERROR(VLOOKUP(INDEX(xySpace_Type_Details,MATCH($C911,'General Information'!$C$40:$C$60,0),12),Lookups!$L$8:$N$12,2,FALSE),"")</f>
        <v/>
      </c>
      <c r="W911" s="542" t="str">
        <f>IFERROR(VLOOKUP(INDEX(xySpace_Type_Details,MATCH($C911,'General Information'!$C$40:$C$60,0),12),Lookups!$L$8:$N$12,3,FALSE),"")</f>
        <v/>
      </c>
      <c r="Y911" s="542" t="str">
        <f>IFERROR(IF(C911="","",IF(INDEX(xyWattage_Table,MATCH(M911,'Fixture Identities'!$B$9:$B$997,0),2)="Exit Sign",0,IF(PRJ_Type="Retrofit",VLOOKUP(I911,xySVG_Factors,2,FALSE),IF(AND(PRJ_Type="New Construction",Inventory!C908="N"),VLOOKUP(VLOOKUP(Building_Type,xyLPD_BuildingArea,5,FALSE),xySVG_Factors_NC,3,FALSE),0)))),"")</f>
        <v/>
      </c>
      <c r="Z911" s="544" t="str">
        <f>IFERROR(IF(C911="","",IF(INDEX(xyWattage_Table,MATCH(M911,'Fixture Identities'!$B$9:$B$997,0),2)="Exit Sign",0,VLOOKUP(S911,xySVG_Factors,2,FALSE))),"")</f>
        <v/>
      </c>
      <c r="AA911" s="545" t="str">
        <f t="shared" si="329"/>
        <v/>
      </c>
      <c r="AB911" s="542" t="str">
        <f t="shared" si="330"/>
        <v/>
      </c>
      <c r="AC911" s="539" t="str">
        <f t="shared" si="331"/>
        <v/>
      </c>
      <c r="AD911" s="546" t="str">
        <f t="shared" si="332"/>
        <v/>
      </c>
      <c r="AE911" s="539" t="str">
        <f t="shared" si="333"/>
        <v/>
      </c>
      <c r="AF911" s="546" t="str">
        <f t="shared" si="334"/>
        <v/>
      </c>
      <c r="AG911" s="539" t="str">
        <f t="shared" si="335"/>
        <v/>
      </c>
      <c r="AH911" s="32">
        <f t="shared" si="337"/>
        <v>0</v>
      </c>
      <c r="AI911" s="32">
        <f t="shared" si="338"/>
        <v>0</v>
      </c>
      <c r="AJ911" s="32">
        <f t="shared" si="339"/>
        <v>0</v>
      </c>
      <c r="AK911" t="str">
        <f t="shared" si="340"/>
        <v/>
      </c>
      <c r="AL911" t="str">
        <f t="shared" si="341"/>
        <v/>
      </c>
      <c r="AM911" t="str">
        <f t="shared" si="342"/>
        <v/>
      </c>
      <c r="AO911" t="str">
        <f>IFERROR(VLOOKUP(M911,'Fixture Identities'!$B$9:$O$1045,14,FALSE),"")</f>
        <v/>
      </c>
      <c r="AP911" t="str">
        <f t="shared" si="336"/>
        <v/>
      </c>
    </row>
    <row r="912" spans="1:42">
      <c r="A912" s="71">
        <f t="shared" si="322"/>
        <v>0</v>
      </c>
      <c r="B912" s="513">
        <f t="shared" si="343"/>
        <v>900</v>
      </c>
      <c r="C912" s="530" t="str">
        <f>IF(Inventory!E909="","",Inventory!E909)</f>
        <v/>
      </c>
      <c r="D912" s="531">
        <f>IF(Inventory!D909="",0,Inventory!D909)</f>
        <v>0</v>
      </c>
      <c r="E912" s="532" t="str">
        <f>IF(Inventory!I909=0,"",Inventory!I909)</f>
        <v/>
      </c>
      <c r="F912" s="533" t="str">
        <f t="shared" si="323"/>
        <v/>
      </c>
      <c r="G912" s="534" t="str">
        <f>IF(Inventory!G909="","",Inventory!G909)</f>
        <v/>
      </c>
      <c r="H912" s="535" t="str">
        <f t="shared" si="324"/>
        <v/>
      </c>
      <c r="I912" s="536" t="str">
        <f>IF(Inventory!J909="","",Inventory!J909)</f>
        <v/>
      </c>
      <c r="J912" s="537" t="str">
        <f>IFERROR(IF(PRJ_Type="New Construction",IF(Inventory!C909="N",INDEX(xyLPD_BuildingArea,MATCH(Building_Type,Lookups!$F$37:$F$75,0),4),INDEX(xyLPD_SpaceBySpace,MATCH(INDEX(xyNCEx,MATCH(I912,yNCExArea,0),2),ySpace_by_Space_Type,0),2)),VLOOKUP(E912,xyWattage_Table,11,FALSE)),"")</f>
        <v/>
      </c>
      <c r="K912" s="538" t="str">
        <f>IFERROR(IF(AND(NC_Type="Building Area Method",Inventory!C909="N"),IF(ISERROR(INDEX('Usage Groups (&gt;120 MWh only)'!$N$8:$N$12,MATCH(C912,'Usage Groups (&gt;120 MWh only)'!$B$8:$B$12,0),1))=TRUE,SqFt/COUNTIFS(Inventory!$C$10:$C$1009,"N",$Q$13:$Q$1012,"&gt;=0"),INDEX('Usage Groups (&gt;120 MWh only)'!$N$8:$N$12,MATCH(C912,'Usage Groups (&gt;120 MWh only)'!$B$8:$B$12,0),1)/COUNTIF($C$13:$C$1012,C912)),IF(AND(NC_Type="Building Area Method",Inventory!C909="Y"),INDEX(xyNCEx,MATCH(I912,yNCExArea,0),3)/COUNTIF($I$13:$I$1012,I912),VLOOKUP(J912,xyWattage_Table,10,FALSE))),"")</f>
        <v/>
      </c>
      <c r="L912" s="539" t="str">
        <f t="shared" si="325"/>
        <v/>
      </c>
      <c r="M912" s="540">
        <f>IF(Inventory!N909="","",Inventory!N909)</f>
        <v>0</v>
      </c>
      <c r="N912" s="533" t="str">
        <f t="shared" si="326"/>
        <v/>
      </c>
      <c r="O912" s="534"/>
      <c r="P912" s="533" t="str">
        <f t="shared" si="327"/>
        <v/>
      </c>
      <c r="Q912" s="534" t="str">
        <f>IF(Inventory!L909="","",Inventory!L909)</f>
        <v/>
      </c>
      <c r="R912" s="535" t="str">
        <f t="shared" si="328"/>
        <v/>
      </c>
      <c r="S912" s="536" t="str">
        <f>IF(Inventory!O909="","",Inventory!O909)</f>
        <v/>
      </c>
      <c r="T912" s="541" t="str">
        <f>IFERROR(IF(C912="","",IF(INDEX(xyWattage_Table,MATCH(M912,'Fixture Identities'!$B$9:$B$997,0),2)="Exit Sign",8760,IF(VLOOKUP(C912,xySpace_Type_Details,8,FALSE)="TRM",INDEX('General Information'!$AF$17:$AG$28,11,MATCH(N912,'General Information'!$AF$16:$AG$16,0)),HLOOKUP(VLOOKUP(C912,xySpace_Type_Details,8,FALSE),'General Information'!$P$15:$AG$28,13,FALSE)))),"")</f>
        <v/>
      </c>
      <c r="U912" s="542" t="str">
        <f>IFERROR(IF(C912="","",IF(INDEX(xyWattage_Table,MATCH(M912,'Fixture Identities'!$B$9:$B$997,0),2)="Exit Sign",1,IF(VLOOKUP(C912,xySpace_Type_Details,8,FALSE)="TRM",INDEX('General Information'!$AF$17:$AG$28,12,MATCH(N912,'General Information'!$AF$16:$AG$16,0)),HLOOKUP(VLOOKUP(C912,xySpace_Type_Details,8,FALSE),'General Information'!$P$15:$AG$28,14,FALSE)))),"")</f>
        <v/>
      </c>
      <c r="V912" s="542" t="str">
        <f>IFERROR(VLOOKUP(INDEX(xySpace_Type_Details,MATCH($C912,'General Information'!$C$40:$C$60,0),12),Lookups!$L$8:$N$12,2,FALSE),"")</f>
        <v/>
      </c>
      <c r="W912" s="542" t="str">
        <f>IFERROR(VLOOKUP(INDEX(xySpace_Type_Details,MATCH($C912,'General Information'!$C$40:$C$60,0),12),Lookups!$L$8:$N$12,3,FALSE),"")</f>
        <v/>
      </c>
      <c r="Y912" s="542" t="str">
        <f>IFERROR(IF(C912="","",IF(INDEX(xyWattage_Table,MATCH(M912,'Fixture Identities'!$B$9:$B$997,0),2)="Exit Sign",0,IF(PRJ_Type="Retrofit",VLOOKUP(I912,xySVG_Factors,2,FALSE),IF(AND(PRJ_Type="New Construction",Inventory!C909="N"),VLOOKUP(VLOOKUP(Building_Type,xyLPD_BuildingArea,5,FALSE),xySVG_Factors_NC,3,FALSE),0)))),"")</f>
        <v/>
      </c>
      <c r="Z912" s="544" t="str">
        <f>IFERROR(IF(C912="","",IF(INDEX(xyWattage_Table,MATCH(M912,'Fixture Identities'!$B$9:$B$997,0),2)="Exit Sign",0,VLOOKUP(S912,xySVG_Factors,2,FALSE))),"")</f>
        <v/>
      </c>
      <c r="AA912" s="545" t="str">
        <f t="shared" si="329"/>
        <v/>
      </c>
      <c r="AB912" s="542" t="str">
        <f t="shared" si="330"/>
        <v/>
      </c>
      <c r="AC912" s="539" t="str">
        <f t="shared" si="331"/>
        <v/>
      </c>
      <c r="AD912" s="546" t="str">
        <f t="shared" si="332"/>
        <v/>
      </c>
      <c r="AE912" s="539" t="str">
        <f t="shared" si="333"/>
        <v/>
      </c>
      <c r="AF912" s="546" t="str">
        <f t="shared" si="334"/>
        <v/>
      </c>
      <c r="AG912" s="539" t="str">
        <f t="shared" si="335"/>
        <v/>
      </c>
      <c r="AH912" s="32">
        <f t="shared" si="337"/>
        <v>0</v>
      </c>
      <c r="AI912" s="32">
        <f t="shared" si="338"/>
        <v>0</v>
      </c>
      <c r="AJ912" s="32">
        <f t="shared" si="339"/>
        <v>0</v>
      </c>
      <c r="AK912" t="str">
        <f t="shared" si="340"/>
        <v/>
      </c>
      <c r="AL912" t="str">
        <f t="shared" si="341"/>
        <v/>
      </c>
      <c r="AM912" t="str">
        <f t="shared" si="342"/>
        <v/>
      </c>
      <c r="AO912" t="str">
        <f>IFERROR(VLOOKUP(M912,'Fixture Identities'!$B$9:$O$1045,14,FALSE),"")</f>
        <v/>
      </c>
      <c r="AP912" t="str">
        <f t="shared" si="336"/>
        <v/>
      </c>
    </row>
    <row r="913" spans="1:42">
      <c r="A913" s="71">
        <f t="shared" si="322"/>
        <v>0</v>
      </c>
      <c r="B913" s="513">
        <f t="shared" si="343"/>
        <v>901</v>
      </c>
      <c r="C913" s="530" t="str">
        <f>IF(Inventory!E910="","",Inventory!E910)</f>
        <v/>
      </c>
      <c r="D913" s="531">
        <f>IF(Inventory!D910="",0,Inventory!D910)</f>
        <v>0</v>
      </c>
      <c r="E913" s="532" t="str">
        <f>IF(Inventory!I910=0,"",Inventory!I910)</f>
        <v/>
      </c>
      <c r="F913" s="533" t="str">
        <f t="shared" si="323"/>
        <v/>
      </c>
      <c r="G913" s="534" t="str">
        <f>IF(Inventory!G910="","",Inventory!G910)</f>
        <v/>
      </c>
      <c r="H913" s="535" t="str">
        <f t="shared" si="324"/>
        <v/>
      </c>
      <c r="I913" s="536" t="str">
        <f>IF(Inventory!J910="","",Inventory!J910)</f>
        <v/>
      </c>
      <c r="J913" s="537" t="str">
        <f>IFERROR(IF(PRJ_Type="New Construction",IF(Inventory!C910="N",INDEX(xyLPD_BuildingArea,MATCH(Building_Type,Lookups!$F$37:$F$75,0),4),INDEX(xyLPD_SpaceBySpace,MATCH(INDEX(xyNCEx,MATCH(I913,yNCExArea,0),2),ySpace_by_Space_Type,0),2)),VLOOKUP(E913,xyWattage_Table,11,FALSE)),"")</f>
        <v/>
      </c>
      <c r="K913" s="538" t="str">
        <f>IFERROR(IF(AND(NC_Type="Building Area Method",Inventory!C910="N"),IF(ISERROR(INDEX('Usage Groups (&gt;120 MWh only)'!$N$8:$N$12,MATCH(C913,'Usage Groups (&gt;120 MWh only)'!$B$8:$B$12,0),1))=TRUE,SqFt/COUNTIFS(Inventory!$C$10:$C$1009,"N",$Q$13:$Q$1012,"&gt;=0"),INDEX('Usage Groups (&gt;120 MWh only)'!$N$8:$N$12,MATCH(C913,'Usage Groups (&gt;120 MWh only)'!$B$8:$B$12,0),1)/COUNTIF($C$13:$C$1012,C913)),IF(AND(NC_Type="Building Area Method",Inventory!C910="Y"),INDEX(xyNCEx,MATCH(I913,yNCExArea,0),3)/COUNTIF($I$13:$I$1012,I913),VLOOKUP(J913,xyWattage_Table,10,FALSE))),"")</f>
        <v/>
      </c>
      <c r="L913" s="539" t="str">
        <f t="shared" si="325"/>
        <v/>
      </c>
      <c r="M913" s="540">
        <f>IF(Inventory!N910="","",Inventory!N910)</f>
        <v>0</v>
      </c>
      <c r="N913" s="533" t="str">
        <f t="shared" si="326"/>
        <v/>
      </c>
      <c r="O913" s="534"/>
      <c r="P913" s="533" t="str">
        <f t="shared" si="327"/>
        <v/>
      </c>
      <c r="Q913" s="534" t="str">
        <f>IF(Inventory!L910="","",Inventory!L910)</f>
        <v/>
      </c>
      <c r="R913" s="535" t="str">
        <f t="shared" si="328"/>
        <v/>
      </c>
      <c r="S913" s="536" t="str">
        <f>IF(Inventory!O910="","",Inventory!O910)</f>
        <v/>
      </c>
      <c r="T913" s="541" t="str">
        <f>IFERROR(IF(C913="","",IF(INDEX(xyWattage_Table,MATCH(M913,'Fixture Identities'!$B$9:$B$997,0),2)="Exit Sign",8760,IF(VLOOKUP(C913,xySpace_Type_Details,8,FALSE)="TRM",INDEX('General Information'!$AF$17:$AG$28,11,MATCH(N913,'General Information'!$AF$16:$AG$16,0)),HLOOKUP(VLOOKUP(C913,xySpace_Type_Details,8,FALSE),'General Information'!$P$15:$AG$28,13,FALSE)))),"")</f>
        <v/>
      </c>
      <c r="U913" s="542" t="str">
        <f>IFERROR(IF(C913="","",IF(INDEX(xyWattage_Table,MATCH(M913,'Fixture Identities'!$B$9:$B$997,0),2)="Exit Sign",1,IF(VLOOKUP(C913,xySpace_Type_Details,8,FALSE)="TRM",INDEX('General Information'!$AF$17:$AG$28,12,MATCH(N913,'General Information'!$AF$16:$AG$16,0)),HLOOKUP(VLOOKUP(C913,xySpace_Type_Details,8,FALSE),'General Information'!$P$15:$AG$28,14,FALSE)))),"")</f>
        <v/>
      </c>
      <c r="V913" s="542" t="str">
        <f>IFERROR(VLOOKUP(INDEX(xySpace_Type_Details,MATCH($C913,'General Information'!$C$40:$C$60,0),12),Lookups!$L$8:$N$12,2,FALSE),"")</f>
        <v/>
      </c>
      <c r="W913" s="542" t="str">
        <f>IFERROR(VLOOKUP(INDEX(xySpace_Type_Details,MATCH($C913,'General Information'!$C$40:$C$60,0),12),Lookups!$L$8:$N$12,3,FALSE),"")</f>
        <v/>
      </c>
      <c r="Y913" s="542" t="str">
        <f>IFERROR(IF(C913="","",IF(INDEX(xyWattage_Table,MATCH(M913,'Fixture Identities'!$B$9:$B$997,0),2)="Exit Sign",0,IF(PRJ_Type="Retrofit",VLOOKUP(I913,xySVG_Factors,2,FALSE),IF(AND(PRJ_Type="New Construction",Inventory!C910="N"),VLOOKUP(VLOOKUP(Building_Type,xyLPD_BuildingArea,5,FALSE),xySVG_Factors_NC,3,FALSE),0)))),"")</f>
        <v/>
      </c>
      <c r="Z913" s="544" t="str">
        <f>IFERROR(IF(C913="","",IF(INDEX(xyWattage_Table,MATCH(M913,'Fixture Identities'!$B$9:$B$997,0),2)="Exit Sign",0,VLOOKUP(S913,xySVG_Factors,2,FALSE))),"")</f>
        <v/>
      </c>
      <c r="AA913" s="545" t="str">
        <f t="shared" si="329"/>
        <v/>
      </c>
      <c r="AB913" s="542" t="str">
        <f t="shared" si="330"/>
        <v/>
      </c>
      <c r="AC913" s="539" t="str">
        <f t="shared" si="331"/>
        <v/>
      </c>
      <c r="AD913" s="546" t="str">
        <f t="shared" si="332"/>
        <v/>
      </c>
      <c r="AE913" s="539" t="str">
        <f t="shared" si="333"/>
        <v/>
      </c>
      <c r="AF913" s="546" t="str">
        <f t="shared" si="334"/>
        <v/>
      </c>
      <c r="AG913" s="539" t="str">
        <f t="shared" si="335"/>
        <v/>
      </c>
      <c r="AH913" s="32">
        <f t="shared" si="337"/>
        <v>0</v>
      </c>
      <c r="AI913" s="32">
        <f t="shared" si="338"/>
        <v>0</v>
      </c>
      <c r="AJ913" s="32">
        <f t="shared" si="339"/>
        <v>0</v>
      </c>
      <c r="AK913" t="str">
        <f t="shared" si="340"/>
        <v/>
      </c>
      <c r="AL913" t="str">
        <f t="shared" si="341"/>
        <v/>
      </c>
      <c r="AM913" t="str">
        <f t="shared" si="342"/>
        <v/>
      </c>
      <c r="AO913" t="str">
        <f>IFERROR(VLOOKUP(M913,'Fixture Identities'!$B$9:$O$1045,14,FALSE),"")</f>
        <v/>
      </c>
      <c r="AP913" t="str">
        <f t="shared" si="336"/>
        <v/>
      </c>
    </row>
    <row r="914" spans="1:42">
      <c r="A914" s="71">
        <f t="shared" ref="A914:A977" si="344">IF(E914&lt;&gt;J914,1,0)</f>
        <v>0</v>
      </c>
      <c r="B914" s="513">
        <f t="shared" si="343"/>
        <v>902</v>
      </c>
      <c r="C914" s="530" t="str">
        <f>IF(Inventory!E911="","",Inventory!E911)</f>
        <v/>
      </c>
      <c r="D914" s="531">
        <f>IF(Inventory!D911="",0,Inventory!D911)</f>
        <v>0</v>
      </c>
      <c r="E914" s="532" t="str">
        <f>IF(Inventory!I911=0,"",Inventory!I911)</f>
        <v/>
      </c>
      <c r="F914" s="533" t="str">
        <f t="shared" si="323"/>
        <v/>
      </c>
      <c r="G914" s="534" t="str">
        <f>IF(Inventory!G911="","",Inventory!G911)</f>
        <v/>
      </c>
      <c r="H914" s="535" t="str">
        <f t="shared" si="324"/>
        <v/>
      </c>
      <c r="I914" s="536" t="str">
        <f>IF(Inventory!J911="","",Inventory!J911)</f>
        <v/>
      </c>
      <c r="J914" s="537" t="str">
        <f>IFERROR(IF(PRJ_Type="New Construction",IF(Inventory!C911="N",INDEX(xyLPD_BuildingArea,MATCH(Building_Type,Lookups!$F$37:$F$75,0),4),INDEX(xyLPD_SpaceBySpace,MATCH(INDEX(xyNCEx,MATCH(I914,yNCExArea,0),2),ySpace_by_Space_Type,0),2)),VLOOKUP(E914,xyWattage_Table,11,FALSE)),"")</f>
        <v/>
      </c>
      <c r="K914" s="538" t="str">
        <f>IFERROR(IF(AND(NC_Type="Building Area Method",Inventory!C911="N"),IF(ISERROR(INDEX('Usage Groups (&gt;120 MWh only)'!$N$8:$N$12,MATCH(C914,'Usage Groups (&gt;120 MWh only)'!$B$8:$B$12,0),1))=TRUE,SqFt/COUNTIFS(Inventory!$C$10:$C$1009,"N",$Q$13:$Q$1012,"&gt;=0"),INDEX('Usage Groups (&gt;120 MWh only)'!$N$8:$N$12,MATCH(C914,'Usage Groups (&gt;120 MWh only)'!$B$8:$B$12,0),1)/COUNTIF($C$13:$C$1012,C914)),IF(AND(NC_Type="Building Area Method",Inventory!C911="Y"),INDEX(xyNCEx,MATCH(I914,yNCExArea,0),3)/COUNTIF($I$13:$I$1012,I914),VLOOKUP(J914,xyWattage_Table,10,FALSE))),"")</f>
        <v/>
      </c>
      <c r="L914" s="539" t="str">
        <f t="shared" si="325"/>
        <v/>
      </c>
      <c r="M914" s="540">
        <f>IF(Inventory!N911="","",Inventory!N911)</f>
        <v>0</v>
      </c>
      <c r="N914" s="533" t="str">
        <f t="shared" si="326"/>
        <v/>
      </c>
      <c r="O914" s="534"/>
      <c r="P914" s="533" t="str">
        <f t="shared" si="327"/>
        <v/>
      </c>
      <c r="Q914" s="534" t="str">
        <f>IF(Inventory!L911="","",Inventory!L911)</f>
        <v/>
      </c>
      <c r="R914" s="535" t="str">
        <f t="shared" si="328"/>
        <v/>
      </c>
      <c r="S914" s="536" t="str">
        <f>IF(Inventory!O911="","",Inventory!O911)</f>
        <v/>
      </c>
      <c r="T914" s="541" t="str">
        <f>IFERROR(IF(C914="","",IF(INDEX(xyWattage_Table,MATCH(M914,'Fixture Identities'!$B$9:$B$997,0),2)="Exit Sign",8760,IF(VLOOKUP(C914,xySpace_Type_Details,8,FALSE)="TRM",INDEX('General Information'!$AF$17:$AG$28,11,MATCH(N914,'General Information'!$AF$16:$AG$16,0)),HLOOKUP(VLOOKUP(C914,xySpace_Type_Details,8,FALSE),'General Information'!$P$15:$AG$28,13,FALSE)))),"")</f>
        <v/>
      </c>
      <c r="U914" s="542" t="str">
        <f>IFERROR(IF(C914="","",IF(INDEX(xyWattage_Table,MATCH(M914,'Fixture Identities'!$B$9:$B$997,0),2)="Exit Sign",1,IF(VLOOKUP(C914,xySpace_Type_Details,8,FALSE)="TRM",INDEX('General Information'!$AF$17:$AG$28,12,MATCH(N914,'General Information'!$AF$16:$AG$16,0)),HLOOKUP(VLOOKUP(C914,xySpace_Type_Details,8,FALSE),'General Information'!$P$15:$AG$28,14,FALSE)))),"")</f>
        <v/>
      </c>
      <c r="V914" s="542" t="str">
        <f>IFERROR(VLOOKUP(INDEX(xySpace_Type_Details,MATCH($C914,'General Information'!$C$40:$C$60,0),12),Lookups!$L$8:$N$12,2,FALSE),"")</f>
        <v/>
      </c>
      <c r="W914" s="542" t="str">
        <f>IFERROR(VLOOKUP(INDEX(xySpace_Type_Details,MATCH($C914,'General Information'!$C$40:$C$60,0),12),Lookups!$L$8:$N$12,3,FALSE),"")</f>
        <v/>
      </c>
      <c r="Y914" s="542" t="str">
        <f>IFERROR(IF(C914="","",IF(INDEX(xyWattage_Table,MATCH(M914,'Fixture Identities'!$B$9:$B$997,0),2)="Exit Sign",0,IF(PRJ_Type="Retrofit",VLOOKUP(I914,xySVG_Factors,2,FALSE),IF(AND(PRJ_Type="New Construction",Inventory!C911="N"),VLOOKUP(VLOOKUP(Building_Type,xyLPD_BuildingArea,5,FALSE),xySVG_Factors_NC,3,FALSE),0)))),"")</f>
        <v/>
      </c>
      <c r="Z914" s="544" t="str">
        <f>IFERROR(IF(C914="","",IF(INDEX(xyWattage_Table,MATCH(M914,'Fixture Identities'!$B$9:$B$997,0),2)="Exit Sign",0,VLOOKUP(S914,xySVG_Factors,2,FALSE))),"")</f>
        <v/>
      </c>
      <c r="AA914" s="545" t="str">
        <f t="shared" si="329"/>
        <v/>
      </c>
      <c r="AB914" s="542" t="str">
        <f t="shared" si="330"/>
        <v/>
      </c>
      <c r="AC914" s="539" t="str">
        <f t="shared" si="331"/>
        <v/>
      </c>
      <c r="AD914" s="546" t="str">
        <f t="shared" si="332"/>
        <v/>
      </c>
      <c r="AE914" s="539" t="str">
        <f t="shared" si="333"/>
        <v/>
      </c>
      <c r="AF914" s="546" t="str">
        <f t="shared" si="334"/>
        <v/>
      </c>
      <c r="AG914" s="539" t="str">
        <f t="shared" si="335"/>
        <v/>
      </c>
      <c r="AH914" s="32">
        <f t="shared" si="337"/>
        <v>0</v>
      </c>
      <c r="AI914" s="32">
        <f t="shared" si="338"/>
        <v>0</v>
      </c>
      <c r="AJ914" s="32">
        <f t="shared" si="339"/>
        <v>0</v>
      </c>
      <c r="AK914" t="str">
        <f t="shared" si="340"/>
        <v/>
      </c>
      <c r="AL914" t="str">
        <f t="shared" si="341"/>
        <v/>
      </c>
      <c r="AM914" t="str">
        <f t="shared" si="342"/>
        <v/>
      </c>
      <c r="AO914" t="str">
        <f>IFERROR(VLOOKUP(M914,'Fixture Identities'!$B$9:$O$1045,14,FALSE),"")</f>
        <v/>
      </c>
      <c r="AP914" t="str">
        <f t="shared" si="336"/>
        <v/>
      </c>
    </row>
    <row r="915" spans="1:42">
      <c r="A915" s="71">
        <f t="shared" si="344"/>
        <v>0</v>
      </c>
      <c r="B915" s="513">
        <f t="shared" si="343"/>
        <v>903</v>
      </c>
      <c r="C915" s="530" t="str">
        <f>IF(Inventory!E912="","",Inventory!E912)</f>
        <v/>
      </c>
      <c r="D915" s="531">
        <f>IF(Inventory!D912="",0,Inventory!D912)</f>
        <v>0</v>
      </c>
      <c r="E915" s="532" t="str">
        <f>IF(Inventory!I912=0,"",Inventory!I912)</f>
        <v/>
      </c>
      <c r="F915" s="533" t="str">
        <f t="shared" si="323"/>
        <v/>
      </c>
      <c r="G915" s="534" t="str">
        <f>IF(Inventory!G912="","",Inventory!G912)</f>
        <v/>
      </c>
      <c r="H915" s="535" t="str">
        <f t="shared" si="324"/>
        <v/>
      </c>
      <c r="I915" s="536" t="str">
        <f>IF(Inventory!J912="","",Inventory!J912)</f>
        <v/>
      </c>
      <c r="J915" s="537" t="str">
        <f>IFERROR(IF(PRJ_Type="New Construction",IF(Inventory!C912="N",INDEX(xyLPD_BuildingArea,MATCH(Building_Type,Lookups!$F$37:$F$75,0),4),INDEX(xyLPD_SpaceBySpace,MATCH(INDEX(xyNCEx,MATCH(I915,yNCExArea,0),2),ySpace_by_Space_Type,0),2)),VLOOKUP(E915,xyWattage_Table,11,FALSE)),"")</f>
        <v/>
      </c>
      <c r="K915" s="538" t="str">
        <f>IFERROR(IF(AND(NC_Type="Building Area Method",Inventory!C912="N"),IF(ISERROR(INDEX('Usage Groups (&gt;120 MWh only)'!$N$8:$N$12,MATCH(C915,'Usage Groups (&gt;120 MWh only)'!$B$8:$B$12,0),1))=TRUE,SqFt/COUNTIFS(Inventory!$C$10:$C$1009,"N",$Q$13:$Q$1012,"&gt;=0"),INDEX('Usage Groups (&gt;120 MWh only)'!$N$8:$N$12,MATCH(C915,'Usage Groups (&gt;120 MWh only)'!$B$8:$B$12,0),1)/COUNTIF($C$13:$C$1012,C915)),IF(AND(NC_Type="Building Area Method",Inventory!C912="Y"),INDEX(xyNCEx,MATCH(I915,yNCExArea,0),3)/COUNTIF($I$13:$I$1012,I915),VLOOKUP(J915,xyWattage_Table,10,FALSE))),"")</f>
        <v/>
      </c>
      <c r="L915" s="539" t="str">
        <f t="shared" si="325"/>
        <v/>
      </c>
      <c r="M915" s="540">
        <f>IF(Inventory!N912="","",Inventory!N912)</f>
        <v>0</v>
      </c>
      <c r="N915" s="533" t="str">
        <f t="shared" si="326"/>
        <v/>
      </c>
      <c r="O915" s="534"/>
      <c r="P915" s="533" t="str">
        <f t="shared" si="327"/>
        <v/>
      </c>
      <c r="Q915" s="534" t="str">
        <f>IF(Inventory!L912="","",Inventory!L912)</f>
        <v/>
      </c>
      <c r="R915" s="535" t="str">
        <f t="shared" si="328"/>
        <v/>
      </c>
      <c r="S915" s="536" t="str">
        <f>IF(Inventory!O912="","",Inventory!O912)</f>
        <v/>
      </c>
      <c r="T915" s="541" t="str">
        <f>IFERROR(IF(C915="","",IF(INDEX(xyWattage_Table,MATCH(M915,'Fixture Identities'!$B$9:$B$997,0),2)="Exit Sign",8760,IF(VLOOKUP(C915,xySpace_Type_Details,8,FALSE)="TRM",INDEX('General Information'!$AF$17:$AG$28,11,MATCH(N915,'General Information'!$AF$16:$AG$16,0)),HLOOKUP(VLOOKUP(C915,xySpace_Type_Details,8,FALSE),'General Information'!$P$15:$AG$28,13,FALSE)))),"")</f>
        <v/>
      </c>
      <c r="U915" s="542" t="str">
        <f>IFERROR(IF(C915="","",IF(INDEX(xyWattage_Table,MATCH(M915,'Fixture Identities'!$B$9:$B$997,0),2)="Exit Sign",1,IF(VLOOKUP(C915,xySpace_Type_Details,8,FALSE)="TRM",INDEX('General Information'!$AF$17:$AG$28,12,MATCH(N915,'General Information'!$AF$16:$AG$16,0)),HLOOKUP(VLOOKUP(C915,xySpace_Type_Details,8,FALSE),'General Information'!$P$15:$AG$28,14,FALSE)))),"")</f>
        <v/>
      </c>
      <c r="V915" s="542" t="str">
        <f>IFERROR(VLOOKUP(INDEX(xySpace_Type_Details,MATCH($C915,'General Information'!$C$40:$C$60,0),12),Lookups!$L$8:$N$12,2,FALSE),"")</f>
        <v/>
      </c>
      <c r="W915" s="542" t="str">
        <f>IFERROR(VLOOKUP(INDEX(xySpace_Type_Details,MATCH($C915,'General Information'!$C$40:$C$60,0),12),Lookups!$L$8:$N$12,3,FALSE),"")</f>
        <v/>
      </c>
      <c r="Y915" s="542" t="str">
        <f>IFERROR(IF(C915="","",IF(INDEX(xyWattage_Table,MATCH(M915,'Fixture Identities'!$B$9:$B$997,0),2)="Exit Sign",0,IF(PRJ_Type="Retrofit",VLOOKUP(I915,xySVG_Factors,2,FALSE),IF(AND(PRJ_Type="New Construction",Inventory!C912="N"),VLOOKUP(VLOOKUP(Building_Type,xyLPD_BuildingArea,5,FALSE),xySVG_Factors_NC,3,FALSE),0)))),"")</f>
        <v/>
      </c>
      <c r="Z915" s="544" t="str">
        <f>IFERROR(IF(C915="","",IF(INDEX(xyWattage_Table,MATCH(M915,'Fixture Identities'!$B$9:$B$997,0),2)="Exit Sign",0,VLOOKUP(S915,xySVG_Factors,2,FALSE))),"")</f>
        <v/>
      </c>
      <c r="AA915" s="545" t="str">
        <f t="shared" si="329"/>
        <v/>
      </c>
      <c r="AB915" s="542" t="str">
        <f t="shared" si="330"/>
        <v/>
      </c>
      <c r="AC915" s="539" t="str">
        <f t="shared" si="331"/>
        <v/>
      </c>
      <c r="AD915" s="546" t="str">
        <f t="shared" si="332"/>
        <v/>
      </c>
      <c r="AE915" s="539" t="str">
        <f t="shared" si="333"/>
        <v/>
      </c>
      <c r="AF915" s="546" t="str">
        <f t="shared" si="334"/>
        <v/>
      </c>
      <c r="AG915" s="539" t="str">
        <f t="shared" si="335"/>
        <v/>
      </c>
      <c r="AH915" s="32">
        <f t="shared" si="337"/>
        <v>0</v>
      </c>
      <c r="AI915" s="32">
        <f t="shared" si="338"/>
        <v>0</v>
      </c>
      <c r="AJ915" s="32">
        <f t="shared" si="339"/>
        <v>0</v>
      </c>
      <c r="AK915" t="str">
        <f t="shared" si="340"/>
        <v/>
      </c>
      <c r="AL915" t="str">
        <f t="shared" si="341"/>
        <v/>
      </c>
      <c r="AM915" t="str">
        <f t="shared" si="342"/>
        <v/>
      </c>
      <c r="AO915" t="str">
        <f>IFERROR(VLOOKUP(M915,'Fixture Identities'!$B$9:$O$1045,14,FALSE),"")</f>
        <v/>
      </c>
      <c r="AP915" t="str">
        <f t="shared" si="336"/>
        <v/>
      </c>
    </row>
    <row r="916" spans="1:42">
      <c r="A916" s="71">
        <f t="shared" si="344"/>
        <v>0</v>
      </c>
      <c r="B916" s="513">
        <f t="shared" si="343"/>
        <v>904</v>
      </c>
      <c r="C916" s="530" t="str">
        <f>IF(Inventory!E913="","",Inventory!E913)</f>
        <v/>
      </c>
      <c r="D916" s="531">
        <f>IF(Inventory!D913="",0,Inventory!D913)</f>
        <v>0</v>
      </c>
      <c r="E916" s="532" t="str">
        <f>IF(Inventory!I913=0,"",Inventory!I913)</f>
        <v/>
      </c>
      <c r="F916" s="533" t="str">
        <f t="shared" si="323"/>
        <v/>
      </c>
      <c r="G916" s="534" t="str">
        <f>IF(Inventory!G913="","",Inventory!G913)</f>
        <v/>
      </c>
      <c r="H916" s="535" t="str">
        <f t="shared" si="324"/>
        <v/>
      </c>
      <c r="I916" s="536" t="str">
        <f>IF(Inventory!J913="","",Inventory!J913)</f>
        <v/>
      </c>
      <c r="J916" s="537" t="str">
        <f>IFERROR(IF(PRJ_Type="New Construction",IF(Inventory!C913="N",INDEX(xyLPD_BuildingArea,MATCH(Building_Type,Lookups!$F$37:$F$75,0),4),INDEX(xyLPD_SpaceBySpace,MATCH(INDEX(xyNCEx,MATCH(I916,yNCExArea,0),2),ySpace_by_Space_Type,0),2)),VLOOKUP(E916,xyWattage_Table,11,FALSE)),"")</f>
        <v/>
      </c>
      <c r="K916" s="538" t="str">
        <f>IFERROR(IF(AND(NC_Type="Building Area Method",Inventory!C913="N"),IF(ISERROR(INDEX('Usage Groups (&gt;120 MWh only)'!$N$8:$N$12,MATCH(C916,'Usage Groups (&gt;120 MWh only)'!$B$8:$B$12,0),1))=TRUE,SqFt/COUNTIFS(Inventory!$C$10:$C$1009,"N",$Q$13:$Q$1012,"&gt;=0"),INDEX('Usage Groups (&gt;120 MWh only)'!$N$8:$N$12,MATCH(C916,'Usage Groups (&gt;120 MWh only)'!$B$8:$B$12,0),1)/COUNTIF($C$13:$C$1012,C916)),IF(AND(NC_Type="Building Area Method",Inventory!C913="Y"),INDEX(xyNCEx,MATCH(I916,yNCExArea,0),3)/COUNTIF($I$13:$I$1012,I916),VLOOKUP(J916,xyWattage_Table,10,FALSE))),"")</f>
        <v/>
      </c>
      <c r="L916" s="539" t="str">
        <f t="shared" si="325"/>
        <v/>
      </c>
      <c r="M916" s="540">
        <f>IF(Inventory!N913="","",Inventory!N913)</f>
        <v>0</v>
      </c>
      <c r="N916" s="533" t="str">
        <f t="shared" si="326"/>
        <v/>
      </c>
      <c r="O916" s="534"/>
      <c r="P916" s="533" t="str">
        <f t="shared" si="327"/>
        <v/>
      </c>
      <c r="Q916" s="534" t="str">
        <f>IF(Inventory!L913="","",Inventory!L913)</f>
        <v/>
      </c>
      <c r="R916" s="535" t="str">
        <f t="shared" si="328"/>
        <v/>
      </c>
      <c r="S916" s="536" t="str">
        <f>IF(Inventory!O913="","",Inventory!O913)</f>
        <v/>
      </c>
      <c r="T916" s="541" t="str">
        <f>IFERROR(IF(C916="","",IF(INDEX(xyWattage_Table,MATCH(M916,'Fixture Identities'!$B$9:$B$997,0),2)="Exit Sign",8760,IF(VLOOKUP(C916,xySpace_Type_Details,8,FALSE)="TRM",INDEX('General Information'!$AF$17:$AG$28,11,MATCH(N916,'General Information'!$AF$16:$AG$16,0)),HLOOKUP(VLOOKUP(C916,xySpace_Type_Details,8,FALSE),'General Information'!$P$15:$AG$28,13,FALSE)))),"")</f>
        <v/>
      </c>
      <c r="U916" s="542" t="str">
        <f>IFERROR(IF(C916="","",IF(INDEX(xyWattage_Table,MATCH(M916,'Fixture Identities'!$B$9:$B$997,0),2)="Exit Sign",1,IF(VLOOKUP(C916,xySpace_Type_Details,8,FALSE)="TRM",INDEX('General Information'!$AF$17:$AG$28,12,MATCH(N916,'General Information'!$AF$16:$AG$16,0)),HLOOKUP(VLOOKUP(C916,xySpace_Type_Details,8,FALSE),'General Information'!$P$15:$AG$28,14,FALSE)))),"")</f>
        <v/>
      </c>
      <c r="V916" s="542" t="str">
        <f>IFERROR(VLOOKUP(INDEX(xySpace_Type_Details,MATCH($C916,'General Information'!$C$40:$C$60,0),12),Lookups!$L$8:$N$12,2,FALSE),"")</f>
        <v/>
      </c>
      <c r="W916" s="542" t="str">
        <f>IFERROR(VLOOKUP(INDEX(xySpace_Type_Details,MATCH($C916,'General Information'!$C$40:$C$60,0),12),Lookups!$L$8:$N$12,3,FALSE),"")</f>
        <v/>
      </c>
      <c r="Y916" s="542" t="str">
        <f>IFERROR(IF(C916="","",IF(INDEX(xyWattage_Table,MATCH(M916,'Fixture Identities'!$B$9:$B$997,0),2)="Exit Sign",0,IF(PRJ_Type="Retrofit",VLOOKUP(I916,xySVG_Factors,2,FALSE),IF(AND(PRJ_Type="New Construction",Inventory!C913="N"),VLOOKUP(VLOOKUP(Building_Type,xyLPD_BuildingArea,5,FALSE),xySVG_Factors_NC,3,FALSE),0)))),"")</f>
        <v/>
      </c>
      <c r="Z916" s="544" t="str">
        <f>IFERROR(IF(C916="","",IF(INDEX(xyWattage_Table,MATCH(M916,'Fixture Identities'!$B$9:$B$997,0),2)="Exit Sign",0,VLOOKUP(S916,xySVG_Factors,2,FALSE))),"")</f>
        <v/>
      </c>
      <c r="AA916" s="545" t="str">
        <f t="shared" si="329"/>
        <v/>
      </c>
      <c r="AB916" s="542" t="str">
        <f t="shared" si="330"/>
        <v/>
      </c>
      <c r="AC916" s="539" t="str">
        <f t="shared" si="331"/>
        <v/>
      </c>
      <c r="AD916" s="546" t="str">
        <f t="shared" si="332"/>
        <v/>
      </c>
      <c r="AE916" s="539" t="str">
        <f t="shared" si="333"/>
        <v/>
      </c>
      <c r="AF916" s="546" t="str">
        <f t="shared" si="334"/>
        <v/>
      </c>
      <c r="AG916" s="539" t="str">
        <f t="shared" si="335"/>
        <v/>
      </c>
      <c r="AH916" s="32">
        <f t="shared" si="337"/>
        <v>0</v>
      </c>
      <c r="AI916" s="32">
        <f t="shared" si="338"/>
        <v>0</v>
      </c>
      <c r="AJ916" s="32">
        <f t="shared" si="339"/>
        <v>0</v>
      </c>
      <c r="AK916" t="str">
        <f t="shared" si="340"/>
        <v/>
      </c>
      <c r="AL916" t="str">
        <f t="shared" si="341"/>
        <v/>
      </c>
      <c r="AM916" t="str">
        <f t="shared" si="342"/>
        <v/>
      </c>
      <c r="AO916" t="str">
        <f>IFERROR(VLOOKUP(M916,'Fixture Identities'!$B$9:$O$1045,14,FALSE),"")</f>
        <v/>
      </c>
      <c r="AP916" t="str">
        <f t="shared" si="336"/>
        <v/>
      </c>
    </row>
    <row r="917" spans="1:42">
      <c r="A917" s="71">
        <f t="shared" si="344"/>
        <v>0</v>
      </c>
      <c r="B917" s="513">
        <f t="shared" si="343"/>
        <v>905</v>
      </c>
      <c r="C917" s="530" t="str">
        <f>IF(Inventory!E914="","",Inventory!E914)</f>
        <v/>
      </c>
      <c r="D917" s="531">
        <f>IF(Inventory!D914="",0,Inventory!D914)</f>
        <v>0</v>
      </c>
      <c r="E917" s="532" t="str">
        <f>IF(Inventory!I914=0,"",Inventory!I914)</f>
        <v/>
      </c>
      <c r="F917" s="533" t="str">
        <f t="shared" si="323"/>
        <v/>
      </c>
      <c r="G917" s="534" t="str">
        <f>IF(Inventory!G914="","",Inventory!G914)</f>
        <v/>
      </c>
      <c r="H917" s="535" t="str">
        <f t="shared" si="324"/>
        <v/>
      </c>
      <c r="I917" s="536" t="str">
        <f>IF(Inventory!J914="","",Inventory!J914)</f>
        <v/>
      </c>
      <c r="J917" s="537" t="str">
        <f>IFERROR(IF(PRJ_Type="New Construction",IF(Inventory!C914="N",INDEX(xyLPD_BuildingArea,MATCH(Building_Type,Lookups!$F$37:$F$75,0),4),INDEX(xyLPD_SpaceBySpace,MATCH(INDEX(xyNCEx,MATCH(I917,yNCExArea,0),2),ySpace_by_Space_Type,0),2)),VLOOKUP(E917,xyWattage_Table,11,FALSE)),"")</f>
        <v/>
      </c>
      <c r="K917" s="538" t="str">
        <f>IFERROR(IF(AND(NC_Type="Building Area Method",Inventory!C914="N"),IF(ISERROR(INDEX('Usage Groups (&gt;120 MWh only)'!$N$8:$N$12,MATCH(C917,'Usage Groups (&gt;120 MWh only)'!$B$8:$B$12,0),1))=TRUE,SqFt/COUNTIFS(Inventory!$C$10:$C$1009,"N",$Q$13:$Q$1012,"&gt;=0"),INDEX('Usage Groups (&gt;120 MWh only)'!$N$8:$N$12,MATCH(C917,'Usage Groups (&gt;120 MWh only)'!$B$8:$B$12,0),1)/COUNTIF($C$13:$C$1012,C917)),IF(AND(NC_Type="Building Area Method",Inventory!C914="Y"),INDEX(xyNCEx,MATCH(I917,yNCExArea,0),3)/COUNTIF($I$13:$I$1012,I917),VLOOKUP(J917,xyWattage_Table,10,FALSE))),"")</f>
        <v/>
      </c>
      <c r="L917" s="539" t="str">
        <f t="shared" si="325"/>
        <v/>
      </c>
      <c r="M917" s="540">
        <f>IF(Inventory!N914="","",Inventory!N914)</f>
        <v>0</v>
      </c>
      <c r="N917" s="533" t="str">
        <f t="shared" si="326"/>
        <v/>
      </c>
      <c r="O917" s="534"/>
      <c r="P917" s="533" t="str">
        <f t="shared" si="327"/>
        <v/>
      </c>
      <c r="Q917" s="534" t="str">
        <f>IF(Inventory!L914="","",Inventory!L914)</f>
        <v/>
      </c>
      <c r="R917" s="535" t="str">
        <f t="shared" si="328"/>
        <v/>
      </c>
      <c r="S917" s="536" t="str">
        <f>IF(Inventory!O914="","",Inventory!O914)</f>
        <v/>
      </c>
      <c r="T917" s="541" t="str">
        <f>IFERROR(IF(C917="","",IF(INDEX(xyWattage_Table,MATCH(M917,'Fixture Identities'!$B$9:$B$997,0),2)="Exit Sign",8760,IF(VLOOKUP(C917,xySpace_Type_Details,8,FALSE)="TRM",INDEX('General Information'!$AF$17:$AG$28,11,MATCH(N917,'General Information'!$AF$16:$AG$16,0)),HLOOKUP(VLOOKUP(C917,xySpace_Type_Details,8,FALSE),'General Information'!$P$15:$AG$28,13,FALSE)))),"")</f>
        <v/>
      </c>
      <c r="U917" s="542" t="str">
        <f>IFERROR(IF(C917="","",IF(INDEX(xyWattage_Table,MATCH(M917,'Fixture Identities'!$B$9:$B$997,0),2)="Exit Sign",1,IF(VLOOKUP(C917,xySpace_Type_Details,8,FALSE)="TRM",INDEX('General Information'!$AF$17:$AG$28,12,MATCH(N917,'General Information'!$AF$16:$AG$16,0)),HLOOKUP(VLOOKUP(C917,xySpace_Type_Details,8,FALSE),'General Information'!$P$15:$AG$28,14,FALSE)))),"")</f>
        <v/>
      </c>
      <c r="V917" s="542" t="str">
        <f>IFERROR(VLOOKUP(INDEX(xySpace_Type_Details,MATCH($C917,'General Information'!$C$40:$C$60,0),12),Lookups!$L$8:$N$12,2,FALSE),"")</f>
        <v/>
      </c>
      <c r="W917" s="542" t="str">
        <f>IFERROR(VLOOKUP(INDEX(xySpace_Type_Details,MATCH($C917,'General Information'!$C$40:$C$60,0),12),Lookups!$L$8:$N$12,3,FALSE),"")</f>
        <v/>
      </c>
      <c r="Y917" s="542" t="str">
        <f>IFERROR(IF(C917="","",IF(INDEX(xyWattage_Table,MATCH(M917,'Fixture Identities'!$B$9:$B$997,0),2)="Exit Sign",0,IF(PRJ_Type="Retrofit",VLOOKUP(I917,xySVG_Factors,2,FALSE),IF(AND(PRJ_Type="New Construction",Inventory!C914="N"),VLOOKUP(VLOOKUP(Building_Type,xyLPD_BuildingArea,5,FALSE),xySVG_Factors_NC,3,FALSE),0)))),"")</f>
        <v/>
      </c>
      <c r="Z917" s="544" t="str">
        <f>IFERROR(IF(C917="","",IF(INDEX(xyWattage_Table,MATCH(M917,'Fixture Identities'!$B$9:$B$997,0),2)="Exit Sign",0,VLOOKUP(S917,xySVG_Factors,2,FALSE))),"")</f>
        <v/>
      </c>
      <c r="AA917" s="545" t="str">
        <f t="shared" si="329"/>
        <v/>
      </c>
      <c r="AB917" s="542" t="str">
        <f t="shared" si="330"/>
        <v/>
      </c>
      <c r="AC917" s="539" t="str">
        <f t="shared" si="331"/>
        <v/>
      </c>
      <c r="AD917" s="546" t="str">
        <f t="shared" si="332"/>
        <v/>
      </c>
      <c r="AE917" s="539" t="str">
        <f t="shared" si="333"/>
        <v/>
      </c>
      <c r="AF917" s="546" t="str">
        <f t="shared" si="334"/>
        <v/>
      </c>
      <c r="AG917" s="539" t="str">
        <f t="shared" si="335"/>
        <v/>
      </c>
      <c r="AH917" s="32">
        <f t="shared" si="337"/>
        <v>0</v>
      </c>
      <c r="AI917" s="32">
        <f t="shared" si="338"/>
        <v>0</v>
      </c>
      <c r="AJ917" s="32">
        <f t="shared" si="339"/>
        <v>0</v>
      </c>
      <c r="AK917" t="str">
        <f t="shared" si="340"/>
        <v/>
      </c>
      <c r="AL917" t="str">
        <f t="shared" si="341"/>
        <v/>
      </c>
      <c r="AM917" t="str">
        <f t="shared" si="342"/>
        <v/>
      </c>
      <c r="AO917" t="str">
        <f>IFERROR(VLOOKUP(M917,'Fixture Identities'!$B$9:$O$1045,14,FALSE),"")</f>
        <v/>
      </c>
      <c r="AP917" t="str">
        <f t="shared" si="336"/>
        <v/>
      </c>
    </row>
    <row r="918" spans="1:42">
      <c r="A918" s="71">
        <f t="shared" si="344"/>
        <v>0</v>
      </c>
      <c r="B918" s="513">
        <f t="shared" si="343"/>
        <v>906</v>
      </c>
      <c r="C918" s="530" t="str">
        <f>IF(Inventory!E915="","",Inventory!E915)</f>
        <v/>
      </c>
      <c r="D918" s="531">
        <f>IF(Inventory!D915="",0,Inventory!D915)</f>
        <v>0</v>
      </c>
      <c r="E918" s="532" t="str">
        <f>IF(Inventory!I915=0,"",Inventory!I915)</f>
        <v/>
      </c>
      <c r="F918" s="533" t="str">
        <f t="shared" si="323"/>
        <v/>
      </c>
      <c r="G918" s="534" t="str">
        <f>IF(Inventory!G915="","",Inventory!G915)</f>
        <v/>
      </c>
      <c r="H918" s="535" t="str">
        <f t="shared" si="324"/>
        <v/>
      </c>
      <c r="I918" s="536" t="str">
        <f>IF(Inventory!J915="","",Inventory!J915)</f>
        <v/>
      </c>
      <c r="J918" s="537" t="str">
        <f>IFERROR(IF(PRJ_Type="New Construction",IF(Inventory!C915="N",INDEX(xyLPD_BuildingArea,MATCH(Building_Type,Lookups!$F$37:$F$75,0),4),INDEX(xyLPD_SpaceBySpace,MATCH(INDEX(xyNCEx,MATCH(I918,yNCExArea,0),2),ySpace_by_Space_Type,0),2)),VLOOKUP(E918,xyWattage_Table,11,FALSE)),"")</f>
        <v/>
      </c>
      <c r="K918" s="538" t="str">
        <f>IFERROR(IF(AND(NC_Type="Building Area Method",Inventory!C915="N"),IF(ISERROR(INDEX('Usage Groups (&gt;120 MWh only)'!$N$8:$N$12,MATCH(C918,'Usage Groups (&gt;120 MWh only)'!$B$8:$B$12,0),1))=TRUE,SqFt/COUNTIFS(Inventory!$C$10:$C$1009,"N",$Q$13:$Q$1012,"&gt;=0"),INDEX('Usage Groups (&gt;120 MWh only)'!$N$8:$N$12,MATCH(C918,'Usage Groups (&gt;120 MWh only)'!$B$8:$B$12,0),1)/COUNTIF($C$13:$C$1012,C918)),IF(AND(NC_Type="Building Area Method",Inventory!C915="Y"),INDEX(xyNCEx,MATCH(I918,yNCExArea,0),3)/COUNTIF($I$13:$I$1012,I918),VLOOKUP(J918,xyWattage_Table,10,FALSE))),"")</f>
        <v/>
      </c>
      <c r="L918" s="539" t="str">
        <f t="shared" si="325"/>
        <v/>
      </c>
      <c r="M918" s="540">
        <f>IF(Inventory!N915="","",Inventory!N915)</f>
        <v>0</v>
      </c>
      <c r="N918" s="533" t="str">
        <f t="shared" si="326"/>
        <v/>
      </c>
      <c r="O918" s="534"/>
      <c r="P918" s="533" t="str">
        <f t="shared" si="327"/>
        <v/>
      </c>
      <c r="Q918" s="534" t="str">
        <f>IF(Inventory!L915="","",Inventory!L915)</f>
        <v/>
      </c>
      <c r="R918" s="535" t="str">
        <f t="shared" si="328"/>
        <v/>
      </c>
      <c r="S918" s="536" t="str">
        <f>IF(Inventory!O915="","",Inventory!O915)</f>
        <v/>
      </c>
      <c r="T918" s="541" t="str">
        <f>IFERROR(IF(C918="","",IF(INDEX(xyWattage_Table,MATCH(M918,'Fixture Identities'!$B$9:$B$997,0),2)="Exit Sign",8760,IF(VLOOKUP(C918,xySpace_Type_Details,8,FALSE)="TRM",INDEX('General Information'!$AF$17:$AG$28,11,MATCH(N918,'General Information'!$AF$16:$AG$16,0)),HLOOKUP(VLOOKUP(C918,xySpace_Type_Details,8,FALSE),'General Information'!$P$15:$AG$28,13,FALSE)))),"")</f>
        <v/>
      </c>
      <c r="U918" s="542" t="str">
        <f>IFERROR(IF(C918="","",IF(INDEX(xyWattage_Table,MATCH(M918,'Fixture Identities'!$B$9:$B$997,0),2)="Exit Sign",1,IF(VLOOKUP(C918,xySpace_Type_Details,8,FALSE)="TRM",INDEX('General Information'!$AF$17:$AG$28,12,MATCH(N918,'General Information'!$AF$16:$AG$16,0)),HLOOKUP(VLOOKUP(C918,xySpace_Type_Details,8,FALSE),'General Information'!$P$15:$AG$28,14,FALSE)))),"")</f>
        <v/>
      </c>
      <c r="V918" s="542" t="str">
        <f>IFERROR(VLOOKUP(INDEX(xySpace_Type_Details,MATCH($C918,'General Information'!$C$40:$C$60,0),12),Lookups!$L$8:$N$12,2,FALSE),"")</f>
        <v/>
      </c>
      <c r="W918" s="542" t="str">
        <f>IFERROR(VLOOKUP(INDEX(xySpace_Type_Details,MATCH($C918,'General Information'!$C$40:$C$60,0),12),Lookups!$L$8:$N$12,3,FALSE),"")</f>
        <v/>
      </c>
      <c r="Y918" s="542" t="str">
        <f>IFERROR(IF(C918="","",IF(INDEX(xyWattage_Table,MATCH(M918,'Fixture Identities'!$B$9:$B$997,0),2)="Exit Sign",0,IF(PRJ_Type="Retrofit",VLOOKUP(I918,xySVG_Factors,2,FALSE),IF(AND(PRJ_Type="New Construction",Inventory!C915="N"),VLOOKUP(VLOOKUP(Building_Type,xyLPD_BuildingArea,5,FALSE),xySVG_Factors_NC,3,FALSE),0)))),"")</f>
        <v/>
      </c>
      <c r="Z918" s="544" t="str">
        <f>IFERROR(IF(C918="","",IF(INDEX(xyWattage_Table,MATCH(M918,'Fixture Identities'!$B$9:$B$997,0),2)="Exit Sign",0,VLOOKUP(S918,xySVG_Factors,2,FALSE))),"")</f>
        <v/>
      </c>
      <c r="AA918" s="545" t="str">
        <f t="shared" si="329"/>
        <v/>
      </c>
      <c r="AB918" s="542" t="str">
        <f t="shared" si="330"/>
        <v/>
      </c>
      <c r="AC918" s="539" t="str">
        <f t="shared" si="331"/>
        <v/>
      </c>
      <c r="AD918" s="546" t="str">
        <f t="shared" si="332"/>
        <v/>
      </c>
      <c r="AE918" s="539" t="str">
        <f t="shared" si="333"/>
        <v/>
      </c>
      <c r="AF918" s="546" t="str">
        <f t="shared" si="334"/>
        <v/>
      </c>
      <c r="AG918" s="539" t="str">
        <f t="shared" si="335"/>
        <v/>
      </c>
      <c r="AH918" s="32">
        <f t="shared" si="337"/>
        <v>0</v>
      </c>
      <c r="AI918" s="32">
        <f t="shared" si="338"/>
        <v>0</v>
      </c>
      <c r="AJ918" s="32">
        <f t="shared" si="339"/>
        <v>0</v>
      </c>
      <c r="AK918" t="str">
        <f t="shared" si="340"/>
        <v/>
      </c>
      <c r="AL918" t="str">
        <f t="shared" si="341"/>
        <v/>
      </c>
      <c r="AM918" t="str">
        <f t="shared" si="342"/>
        <v/>
      </c>
      <c r="AO918" t="str">
        <f>IFERROR(VLOOKUP(M918,'Fixture Identities'!$B$9:$O$1045,14,FALSE),"")</f>
        <v/>
      </c>
      <c r="AP918" t="str">
        <f t="shared" si="336"/>
        <v/>
      </c>
    </row>
    <row r="919" spans="1:42">
      <c r="A919" s="71">
        <f t="shared" si="344"/>
        <v>0</v>
      </c>
      <c r="B919" s="513">
        <f t="shared" si="343"/>
        <v>907</v>
      </c>
      <c r="C919" s="530" t="str">
        <f>IF(Inventory!E916="","",Inventory!E916)</f>
        <v/>
      </c>
      <c r="D919" s="531">
        <f>IF(Inventory!D916="",0,Inventory!D916)</f>
        <v>0</v>
      </c>
      <c r="E919" s="532" t="str">
        <f>IF(Inventory!I916=0,"",Inventory!I916)</f>
        <v/>
      </c>
      <c r="F919" s="533" t="str">
        <f t="shared" si="323"/>
        <v/>
      </c>
      <c r="G919" s="534" t="str">
        <f>IF(Inventory!G916="","",Inventory!G916)</f>
        <v/>
      </c>
      <c r="H919" s="535" t="str">
        <f t="shared" si="324"/>
        <v/>
      </c>
      <c r="I919" s="536" t="str">
        <f>IF(Inventory!J916="","",Inventory!J916)</f>
        <v/>
      </c>
      <c r="J919" s="537" t="str">
        <f>IFERROR(IF(PRJ_Type="New Construction",IF(Inventory!C916="N",INDEX(xyLPD_BuildingArea,MATCH(Building_Type,Lookups!$F$37:$F$75,0),4),INDEX(xyLPD_SpaceBySpace,MATCH(INDEX(xyNCEx,MATCH(I919,yNCExArea,0),2),ySpace_by_Space_Type,0),2)),VLOOKUP(E919,xyWattage_Table,11,FALSE)),"")</f>
        <v/>
      </c>
      <c r="K919" s="538" t="str">
        <f>IFERROR(IF(AND(NC_Type="Building Area Method",Inventory!C916="N"),IF(ISERROR(INDEX('Usage Groups (&gt;120 MWh only)'!$N$8:$N$12,MATCH(C919,'Usage Groups (&gt;120 MWh only)'!$B$8:$B$12,0),1))=TRUE,SqFt/COUNTIFS(Inventory!$C$10:$C$1009,"N",$Q$13:$Q$1012,"&gt;=0"),INDEX('Usage Groups (&gt;120 MWh only)'!$N$8:$N$12,MATCH(C919,'Usage Groups (&gt;120 MWh only)'!$B$8:$B$12,0),1)/COUNTIF($C$13:$C$1012,C919)),IF(AND(NC_Type="Building Area Method",Inventory!C916="Y"),INDEX(xyNCEx,MATCH(I919,yNCExArea,0),3)/COUNTIF($I$13:$I$1012,I919),VLOOKUP(J919,xyWattage_Table,10,FALSE))),"")</f>
        <v/>
      </c>
      <c r="L919" s="539" t="str">
        <f t="shared" si="325"/>
        <v/>
      </c>
      <c r="M919" s="540">
        <f>IF(Inventory!N916="","",Inventory!N916)</f>
        <v>0</v>
      </c>
      <c r="N919" s="533" t="str">
        <f t="shared" si="326"/>
        <v/>
      </c>
      <c r="O919" s="534"/>
      <c r="P919" s="533" t="str">
        <f t="shared" si="327"/>
        <v/>
      </c>
      <c r="Q919" s="534" t="str">
        <f>IF(Inventory!L916="","",Inventory!L916)</f>
        <v/>
      </c>
      <c r="R919" s="535" t="str">
        <f t="shared" si="328"/>
        <v/>
      </c>
      <c r="S919" s="536" t="str">
        <f>IF(Inventory!O916="","",Inventory!O916)</f>
        <v/>
      </c>
      <c r="T919" s="541" t="str">
        <f>IFERROR(IF(C919="","",IF(INDEX(xyWattage_Table,MATCH(M919,'Fixture Identities'!$B$9:$B$997,0),2)="Exit Sign",8760,IF(VLOOKUP(C919,xySpace_Type_Details,8,FALSE)="TRM",INDEX('General Information'!$AF$17:$AG$28,11,MATCH(N919,'General Information'!$AF$16:$AG$16,0)),HLOOKUP(VLOOKUP(C919,xySpace_Type_Details,8,FALSE),'General Information'!$P$15:$AG$28,13,FALSE)))),"")</f>
        <v/>
      </c>
      <c r="U919" s="542" t="str">
        <f>IFERROR(IF(C919="","",IF(INDEX(xyWattage_Table,MATCH(M919,'Fixture Identities'!$B$9:$B$997,0),2)="Exit Sign",1,IF(VLOOKUP(C919,xySpace_Type_Details,8,FALSE)="TRM",INDEX('General Information'!$AF$17:$AG$28,12,MATCH(N919,'General Information'!$AF$16:$AG$16,0)),HLOOKUP(VLOOKUP(C919,xySpace_Type_Details,8,FALSE),'General Information'!$P$15:$AG$28,14,FALSE)))),"")</f>
        <v/>
      </c>
      <c r="V919" s="542" t="str">
        <f>IFERROR(VLOOKUP(INDEX(xySpace_Type_Details,MATCH($C919,'General Information'!$C$40:$C$60,0),12),Lookups!$L$8:$N$12,2,FALSE),"")</f>
        <v/>
      </c>
      <c r="W919" s="542" t="str">
        <f>IFERROR(VLOOKUP(INDEX(xySpace_Type_Details,MATCH($C919,'General Information'!$C$40:$C$60,0),12),Lookups!$L$8:$N$12,3,FALSE),"")</f>
        <v/>
      </c>
      <c r="Y919" s="542" t="str">
        <f>IFERROR(IF(C919="","",IF(INDEX(xyWattage_Table,MATCH(M919,'Fixture Identities'!$B$9:$B$997,0),2)="Exit Sign",0,IF(PRJ_Type="Retrofit",VLOOKUP(I919,xySVG_Factors,2,FALSE),IF(AND(PRJ_Type="New Construction",Inventory!C916="N"),VLOOKUP(VLOOKUP(Building_Type,xyLPD_BuildingArea,5,FALSE),xySVG_Factors_NC,3,FALSE),0)))),"")</f>
        <v/>
      </c>
      <c r="Z919" s="544" t="str">
        <f>IFERROR(IF(C919="","",IF(INDEX(xyWattage_Table,MATCH(M919,'Fixture Identities'!$B$9:$B$997,0),2)="Exit Sign",0,VLOOKUP(S919,xySVG_Factors,2,FALSE))),"")</f>
        <v/>
      </c>
      <c r="AA919" s="545" t="str">
        <f t="shared" si="329"/>
        <v/>
      </c>
      <c r="AB919" s="542" t="str">
        <f t="shared" si="330"/>
        <v/>
      </c>
      <c r="AC919" s="539" t="str">
        <f t="shared" si="331"/>
        <v/>
      </c>
      <c r="AD919" s="546" t="str">
        <f t="shared" si="332"/>
        <v/>
      </c>
      <c r="AE919" s="539" t="str">
        <f t="shared" si="333"/>
        <v/>
      </c>
      <c r="AF919" s="546" t="str">
        <f t="shared" si="334"/>
        <v/>
      </c>
      <c r="AG919" s="539" t="str">
        <f t="shared" si="335"/>
        <v/>
      </c>
      <c r="AH919" s="32">
        <f t="shared" si="337"/>
        <v>0</v>
      </c>
      <c r="AI919" s="32">
        <f t="shared" si="338"/>
        <v>0</v>
      </c>
      <c r="AJ919" s="32">
        <f t="shared" si="339"/>
        <v>0</v>
      </c>
      <c r="AK919" t="str">
        <f t="shared" si="340"/>
        <v/>
      </c>
      <c r="AL919" t="str">
        <f t="shared" si="341"/>
        <v/>
      </c>
      <c r="AM919" t="str">
        <f t="shared" si="342"/>
        <v/>
      </c>
      <c r="AO919" t="str">
        <f>IFERROR(VLOOKUP(M919,'Fixture Identities'!$B$9:$O$1045,14,FALSE),"")</f>
        <v/>
      </c>
      <c r="AP919" t="str">
        <f t="shared" si="336"/>
        <v/>
      </c>
    </row>
    <row r="920" spans="1:42">
      <c r="A920" s="71">
        <f t="shared" si="344"/>
        <v>0</v>
      </c>
      <c r="B920" s="513">
        <f t="shared" si="343"/>
        <v>908</v>
      </c>
      <c r="C920" s="530" t="str">
        <f>IF(Inventory!E917="","",Inventory!E917)</f>
        <v/>
      </c>
      <c r="D920" s="531">
        <f>IF(Inventory!D917="",0,Inventory!D917)</f>
        <v>0</v>
      </c>
      <c r="E920" s="532" t="str">
        <f>IF(Inventory!I917=0,"",Inventory!I917)</f>
        <v/>
      </c>
      <c r="F920" s="533" t="str">
        <f t="shared" si="323"/>
        <v/>
      </c>
      <c r="G920" s="534" t="str">
        <f>IF(Inventory!G917="","",Inventory!G917)</f>
        <v/>
      </c>
      <c r="H920" s="535" t="str">
        <f t="shared" si="324"/>
        <v/>
      </c>
      <c r="I920" s="536" t="str">
        <f>IF(Inventory!J917="","",Inventory!J917)</f>
        <v/>
      </c>
      <c r="J920" s="537" t="str">
        <f>IFERROR(IF(PRJ_Type="New Construction",IF(Inventory!C917="N",INDEX(xyLPD_BuildingArea,MATCH(Building_Type,Lookups!$F$37:$F$75,0),4),INDEX(xyLPD_SpaceBySpace,MATCH(INDEX(xyNCEx,MATCH(I920,yNCExArea,0),2),ySpace_by_Space_Type,0),2)),VLOOKUP(E920,xyWattage_Table,11,FALSE)),"")</f>
        <v/>
      </c>
      <c r="K920" s="538" t="str">
        <f>IFERROR(IF(AND(NC_Type="Building Area Method",Inventory!C917="N"),IF(ISERROR(INDEX('Usage Groups (&gt;120 MWh only)'!$N$8:$N$12,MATCH(C920,'Usage Groups (&gt;120 MWh only)'!$B$8:$B$12,0),1))=TRUE,SqFt/COUNTIFS(Inventory!$C$10:$C$1009,"N",$Q$13:$Q$1012,"&gt;=0"),INDEX('Usage Groups (&gt;120 MWh only)'!$N$8:$N$12,MATCH(C920,'Usage Groups (&gt;120 MWh only)'!$B$8:$B$12,0),1)/COUNTIF($C$13:$C$1012,C920)),IF(AND(NC_Type="Building Area Method",Inventory!C917="Y"),INDEX(xyNCEx,MATCH(I920,yNCExArea,0),3)/COUNTIF($I$13:$I$1012,I920),VLOOKUP(J920,xyWattage_Table,10,FALSE))),"")</f>
        <v/>
      </c>
      <c r="L920" s="539" t="str">
        <f t="shared" si="325"/>
        <v/>
      </c>
      <c r="M920" s="540">
        <f>IF(Inventory!N917="","",Inventory!N917)</f>
        <v>0</v>
      </c>
      <c r="N920" s="533" t="str">
        <f t="shared" si="326"/>
        <v/>
      </c>
      <c r="O920" s="534"/>
      <c r="P920" s="533" t="str">
        <f t="shared" si="327"/>
        <v/>
      </c>
      <c r="Q920" s="534" t="str">
        <f>IF(Inventory!L917="","",Inventory!L917)</f>
        <v/>
      </c>
      <c r="R920" s="535" t="str">
        <f t="shared" si="328"/>
        <v/>
      </c>
      <c r="S920" s="536" t="str">
        <f>IF(Inventory!O917="","",Inventory!O917)</f>
        <v/>
      </c>
      <c r="T920" s="541" t="str">
        <f>IFERROR(IF(C920="","",IF(INDEX(xyWattage_Table,MATCH(M920,'Fixture Identities'!$B$9:$B$997,0),2)="Exit Sign",8760,IF(VLOOKUP(C920,xySpace_Type_Details,8,FALSE)="TRM",INDEX('General Information'!$AF$17:$AG$28,11,MATCH(N920,'General Information'!$AF$16:$AG$16,0)),HLOOKUP(VLOOKUP(C920,xySpace_Type_Details,8,FALSE),'General Information'!$P$15:$AG$28,13,FALSE)))),"")</f>
        <v/>
      </c>
      <c r="U920" s="542" t="str">
        <f>IFERROR(IF(C920="","",IF(INDEX(xyWattage_Table,MATCH(M920,'Fixture Identities'!$B$9:$B$997,0),2)="Exit Sign",1,IF(VLOOKUP(C920,xySpace_Type_Details,8,FALSE)="TRM",INDEX('General Information'!$AF$17:$AG$28,12,MATCH(N920,'General Information'!$AF$16:$AG$16,0)),HLOOKUP(VLOOKUP(C920,xySpace_Type_Details,8,FALSE),'General Information'!$P$15:$AG$28,14,FALSE)))),"")</f>
        <v/>
      </c>
      <c r="V920" s="542" t="str">
        <f>IFERROR(VLOOKUP(INDEX(xySpace_Type_Details,MATCH($C920,'General Information'!$C$40:$C$60,0),12),Lookups!$L$8:$N$12,2,FALSE),"")</f>
        <v/>
      </c>
      <c r="W920" s="542" t="str">
        <f>IFERROR(VLOOKUP(INDEX(xySpace_Type_Details,MATCH($C920,'General Information'!$C$40:$C$60,0),12),Lookups!$L$8:$N$12,3,FALSE),"")</f>
        <v/>
      </c>
      <c r="Y920" s="542" t="str">
        <f>IFERROR(IF(C920="","",IF(INDEX(xyWattage_Table,MATCH(M920,'Fixture Identities'!$B$9:$B$997,0),2)="Exit Sign",0,IF(PRJ_Type="Retrofit",VLOOKUP(I920,xySVG_Factors,2,FALSE),IF(AND(PRJ_Type="New Construction",Inventory!C917="N"),VLOOKUP(VLOOKUP(Building_Type,xyLPD_BuildingArea,5,FALSE),xySVG_Factors_NC,3,FALSE),0)))),"")</f>
        <v/>
      </c>
      <c r="Z920" s="544" t="str">
        <f>IFERROR(IF(C920="","",IF(INDEX(xyWattage_Table,MATCH(M920,'Fixture Identities'!$B$9:$B$997,0),2)="Exit Sign",0,VLOOKUP(S920,xySVG_Factors,2,FALSE))),"")</f>
        <v/>
      </c>
      <c r="AA920" s="545" t="str">
        <f t="shared" si="329"/>
        <v/>
      </c>
      <c r="AB920" s="542" t="str">
        <f t="shared" si="330"/>
        <v/>
      </c>
      <c r="AC920" s="539" t="str">
        <f t="shared" si="331"/>
        <v/>
      </c>
      <c r="AD920" s="546" t="str">
        <f t="shared" si="332"/>
        <v/>
      </c>
      <c r="AE920" s="539" t="str">
        <f t="shared" si="333"/>
        <v/>
      </c>
      <c r="AF920" s="546" t="str">
        <f t="shared" si="334"/>
        <v/>
      </c>
      <c r="AG920" s="539" t="str">
        <f t="shared" si="335"/>
        <v/>
      </c>
      <c r="AH920" s="32">
        <f t="shared" si="337"/>
        <v>0</v>
      </c>
      <c r="AI920" s="32">
        <f t="shared" si="338"/>
        <v>0</v>
      </c>
      <c r="AJ920" s="32">
        <f t="shared" si="339"/>
        <v>0</v>
      </c>
      <c r="AK920" t="str">
        <f t="shared" si="340"/>
        <v/>
      </c>
      <c r="AL920" t="str">
        <f t="shared" si="341"/>
        <v/>
      </c>
      <c r="AM920" t="str">
        <f t="shared" si="342"/>
        <v/>
      </c>
      <c r="AO920" t="str">
        <f>IFERROR(VLOOKUP(M920,'Fixture Identities'!$B$9:$O$1045,14,FALSE),"")</f>
        <v/>
      </c>
      <c r="AP920" t="str">
        <f t="shared" si="336"/>
        <v/>
      </c>
    </row>
    <row r="921" spans="1:42">
      <c r="A921" s="71">
        <f t="shared" si="344"/>
        <v>0</v>
      </c>
      <c r="B921" s="513">
        <f t="shared" si="343"/>
        <v>909</v>
      </c>
      <c r="C921" s="530" t="str">
        <f>IF(Inventory!E918="","",Inventory!E918)</f>
        <v/>
      </c>
      <c r="D921" s="531">
        <f>IF(Inventory!D918="",0,Inventory!D918)</f>
        <v>0</v>
      </c>
      <c r="E921" s="532" t="str">
        <f>IF(Inventory!I918=0,"",Inventory!I918)</f>
        <v/>
      </c>
      <c r="F921" s="533" t="str">
        <f t="shared" si="323"/>
        <v/>
      </c>
      <c r="G921" s="534" t="str">
        <f>IF(Inventory!G918="","",Inventory!G918)</f>
        <v/>
      </c>
      <c r="H921" s="535" t="str">
        <f t="shared" si="324"/>
        <v/>
      </c>
      <c r="I921" s="536" t="str">
        <f>IF(Inventory!J918="","",Inventory!J918)</f>
        <v/>
      </c>
      <c r="J921" s="537" t="str">
        <f>IFERROR(IF(PRJ_Type="New Construction",IF(Inventory!C918="N",INDEX(xyLPD_BuildingArea,MATCH(Building_Type,Lookups!$F$37:$F$75,0),4),INDEX(xyLPD_SpaceBySpace,MATCH(INDEX(xyNCEx,MATCH(I921,yNCExArea,0),2),ySpace_by_Space_Type,0),2)),VLOOKUP(E921,xyWattage_Table,11,FALSE)),"")</f>
        <v/>
      </c>
      <c r="K921" s="538" t="str">
        <f>IFERROR(IF(AND(NC_Type="Building Area Method",Inventory!C918="N"),IF(ISERROR(INDEX('Usage Groups (&gt;120 MWh only)'!$N$8:$N$12,MATCH(C921,'Usage Groups (&gt;120 MWh only)'!$B$8:$B$12,0),1))=TRUE,SqFt/COUNTIFS(Inventory!$C$10:$C$1009,"N",$Q$13:$Q$1012,"&gt;=0"),INDEX('Usage Groups (&gt;120 MWh only)'!$N$8:$N$12,MATCH(C921,'Usage Groups (&gt;120 MWh only)'!$B$8:$B$12,0),1)/COUNTIF($C$13:$C$1012,C921)),IF(AND(NC_Type="Building Area Method",Inventory!C918="Y"),INDEX(xyNCEx,MATCH(I921,yNCExArea,0),3)/COUNTIF($I$13:$I$1012,I921),VLOOKUP(J921,xyWattage_Table,10,FALSE))),"")</f>
        <v/>
      </c>
      <c r="L921" s="539" t="str">
        <f t="shared" si="325"/>
        <v/>
      </c>
      <c r="M921" s="540">
        <f>IF(Inventory!N918="","",Inventory!N918)</f>
        <v>0</v>
      </c>
      <c r="N921" s="533" t="str">
        <f t="shared" si="326"/>
        <v/>
      </c>
      <c r="O921" s="534"/>
      <c r="P921" s="533" t="str">
        <f t="shared" si="327"/>
        <v/>
      </c>
      <c r="Q921" s="534" t="str">
        <f>IF(Inventory!L918="","",Inventory!L918)</f>
        <v/>
      </c>
      <c r="R921" s="535" t="str">
        <f t="shared" si="328"/>
        <v/>
      </c>
      <c r="S921" s="536" t="str">
        <f>IF(Inventory!O918="","",Inventory!O918)</f>
        <v/>
      </c>
      <c r="T921" s="541" t="str">
        <f>IFERROR(IF(C921="","",IF(INDEX(xyWattage_Table,MATCH(M921,'Fixture Identities'!$B$9:$B$997,0),2)="Exit Sign",8760,IF(VLOOKUP(C921,xySpace_Type_Details,8,FALSE)="TRM",INDEX('General Information'!$AF$17:$AG$28,11,MATCH(N921,'General Information'!$AF$16:$AG$16,0)),HLOOKUP(VLOOKUP(C921,xySpace_Type_Details,8,FALSE),'General Information'!$P$15:$AG$28,13,FALSE)))),"")</f>
        <v/>
      </c>
      <c r="U921" s="542" t="str">
        <f>IFERROR(IF(C921="","",IF(INDEX(xyWattage_Table,MATCH(M921,'Fixture Identities'!$B$9:$B$997,0),2)="Exit Sign",1,IF(VLOOKUP(C921,xySpace_Type_Details,8,FALSE)="TRM",INDEX('General Information'!$AF$17:$AG$28,12,MATCH(N921,'General Information'!$AF$16:$AG$16,0)),HLOOKUP(VLOOKUP(C921,xySpace_Type_Details,8,FALSE),'General Information'!$P$15:$AG$28,14,FALSE)))),"")</f>
        <v/>
      </c>
      <c r="V921" s="542" t="str">
        <f>IFERROR(VLOOKUP(INDEX(xySpace_Type_Details,MATCH($C921,'General Information'!$C$40:$C$60,0),12),Lookups!$L$8:$N$12,2,FALSE),"")</f>
        <v/>
      </c>
      <c r="W921" s="542" t="str">
        <f>IFERROR(VLOOKUP(INDEX(xySpace_Type_Details,MATCH($C921,'General Information'!$C$40:$C$60,0),12),Lookups!$L$8:$N$12,3,FALSE),"")</f>
        <v/>
      </c>
      <c r="Y921" s="542" t="str">
        <f>IFERROR(IF(C921="","",IF(INDEX(xyWattage_Table,MATCH(M921,'Fixture Identities'!$B$9:$B$997,0),2)="Exit Sign",0,IF(PRJ_Type="Retrofit",VLOOKUP(I921,xySVG_Factors,2,FALSE),IF(AND(PRJ_Type="New Construction",Inventory!C918="N"),VLOOKUP(VLOOKUP(Building_Type,xyLPD_BuildingArea,5,FALSE),xySVG_Factors_NC,3,FALSE),0)))),"")</f>
        <v/>
      </c>
      <c r="Z921" s="544" t="str">
        <f>IFERROR(IF(C921="","",IF(INDEX(xyWattage_Table,MATCH(M921,'Fixture Identities'!$B$9:$B$997,0),2)="Exit Sign",0,VLOOKUP(S921,xySVG_Factors,2,FALSE))),"")</f>
        <v/>
      </c>
      <c r="AA921" s="545" t="str">
        <f t="shared" si="329"/>
        <v/>
      </c>
      <c r="AB921" s="542" t="str">
        <f t="shared" si="330"/>
        <v/>
      </c>
      <c r="AC921" s="539" t="str">
        <f t="shared" si="331"/>
        <v/>
      </c>
      <c r="AD921" s="546" t="str">
        <f t="shared" si="332"/>
        <v/>
      </c>
      <c r="AE921" s="539" t="str">
        <f t="shared" si="333"/>
        <v/>
      </c>
      <c r="AF921" s="546" t="str">
        <f t="shared" si="334"/>
        <v/>
      </c>
      <c r="AG921" s="539" t="str">
        <f t="shared" si="335"/>
        <v/>
      </c>
      <c r="AH921" s="32">
        <f t="shared" si="337"/>
        <v>0</v>
      </c>
      <c r="AI921" s="32">
        <f t="shared" si="338"/>
        <v>0</v>
      </c>
      <c r="AJ921" s="32">
        <f t="shared" si="339"/>
        <v>0</v>
      </c>
      <c r="AK921" t="str">
        <f t="shared" si="340"/>
        <v/>
      </c>
      <c r="AL921" t="str">
        <f t="shared" si="341"/>
        <v/>
      </c>
      <c r="AM921" t="str">
        <f t="shared" si="342"/>
        <v/>
      </c>
      <c r="AO921" t="str">
        <f>IFERROR(VLOOKUP(M921,'Fixture Identities'!$B$9:$O$1045,14,FALSE),"")</f>
        <v/>
      </c>
      <c r="AP921" t="str">
        <f t="shared" si="336"/>
        <v/>
      </c>
    </row>
    <row r="922" spans="1:42">
      <c r="A922" s="71">
        <f t="shared" si="344"/>
        <v>0</v>
      </c>
      <c r="B922" s="513">
        <f t="shared" si="343"/>
        <v>910</v>
      </c>
      <c r="C922" s="530" t="str">
        <f>IF(Inventory!E919="","",Inventory!E919)</f>
        <v/>
      </c>
      <c r="D922" s="531">
        <f>IF(Inventory!D919="",0,Inventory!D919)</f>
        <v>0</v>
      </c>
      <c r="E922" s="532" t="str">
        <f>IF(Inventory!I919=0,"",Inventory!I919)</f>
        <v/>
      </c>
      <c r="F922" s="533" t="str">
        <f t="shared" si="323"/>
        <v/>
      </c>
      <c r="G922" s="534" t="str">
        <f>IF(Inventory!G919="","",Inventory!G919)</f>
        <v/>
      </c>
      <c r="H922" s="535" t="str">
        <f t="shared" si="324"/>
        <v/>
      </c>
      <c r="I922" s="536" t="str">
        <f>IF(Inventory!J919="","",Inventory!J919)</f>
        <v/>
      </c>
      <c r="J922" s="537" t="str">
        <f>IFERROR(IF(PRJ_Type="New Construction",IF(Inventory!C919="N",INDEX(xyLPD_BuildingArea,MATCH(Building_Type,Lookups!$F$37:$F$75,0),4),INDEX(xyLPD_SpaceBySpace,MATCH(INDEX(xyNCEx,MATCH(I922,yNCExArea,0),2),ySpace_by_Space_Type,0),2)),VLOOKUP(E922,xyWattage_Table,11,FALSE)),"")</f>
        <v/>
      </c>
      <c r="K922" s="538" t="str">
        <f>IFERROR(IF(AND(NC_Type="Building Area Method",Inventory!C919="N"),IF(ISERROR(INDEX('Usage Groups (&gt;120 MWh only)'!$N$8:$N$12,MATCH(C922,'Usage Groups (&gt;120 MWh only)'!$B$8:$B$12,0),1))=TRUE,SqFt/COUNTIFS(Inventory!$C$10:$C$1009,"N",$Q$13:$Q$1012,"&gt;=0"),INDEX('Usage Groups (&gt;120 MWh only)'!$N$8:$N$12,MATCH(C922,'Usage Groups (&gt;120 MWh only)'!$B$8:$B$12,0),1)/COUNTIF($C$13:$C$1012,C922)),IF(AND(NC_Type="Building Area Method",Inventory!C919="Y"),INDEX(xyNCEx,MATCH(I922,yNCExArea,0),3)/COUNTIF($I$13:$I$1012,I922),VLOOKUP(J922,xyWattage_Table,10,FALSE))),"")</f>
        <v/>
      </c>
      <c r="L922" s="539" t="str">
        <f t="shared" si="325"/>
        <v/>
      </c>
      <c r="M922" s="540">
        <f>IF(Inventory!N919="","",Inventory!N919)</f>
        <v>0</v>
      </c>
      <c r="N922" s="533" t="str">
        <f t="shared" si="326"/>
        <v/>
      </c>
      <c r="O922" s="534"/>
      <c r="P922" s="533" t="str">
        <f t="shared" si="327"/>
        <v/>
      </c>
      <c r="Q922" s="534" t="str">
        <f>IF(Inventory!L919="","",Inventory!L919)</f>
        <v/>
      </c>
      <c r="R922" s="535" t="str">
        <f t="shared" si="328"/>
        <v/>
      </c>
      <c r="S922" s="536" t="str">
        <f>IF(Inventory!O919="","",Inventory!O919)</f>
        <v/>
      </c>
      <c r="T922" s="541" t="str">
        <f>IFERROR(IF(C922="","",IF(INDEX(xyWattage_Table,MATCH(M922,'Fixture Identities'!$B$9:$B$997,0),2)="Exit Sign",8760,IF(VLOOKUP(C922,xySpace_Type_Details,8,FALSE)="TRM",INDEX('General Information'!$AF$17:$AG$28,11,MATCH(N922,'General Information'!$AF$16:$AG$16,0)),HLOOKUP(VLOOKUP(C922,xySpace_Type_Details,8,FALSE),'General Information'!$P$15:$AG$28,13,FALSE)))),"")</f>
        <v/>
      </c>
      <c r="U922" s="542" t="str">
        <f>IFERROR(IF(C922="","",IF(INDEX(xyWattage_Table,MATCH(M922,'Fixture Identities'!$B$9:$B$997,0),2)="Exit Sign",1,IF(VLOOKUP(C922,xySpace_Type_Details,8,FALSE)="TRM",INDEX('General Information'!$AF$17:$AG$28,12,MATCH(N922,'General Information'!$AF$16:$AG$16,0)),HLOOKUP(VLOOKUP(C922,xySpace_Type_Details,8,FALSE),'General Information'!$P$15:$AG$28,14,FALSE)))),"")</f>
        <v/>
      </c>
      <c r="V922" s="542" t="str">
        <f>IFERROR(VLOOKUP(INDEX(xySpace_Type_Details,MATCH($C922,'General Information'!$C$40:$C$60,0),12),Lookups!$L$8:$N$12,2,FALSE),"")</f>
        <v/>
      </c>
      <c r="W922" s="542" t="str">
        <f>IFERROR(VLOOKUP(INDEX(xySpace_Type_Details,MATCH($C922,'General Information'!$C$40:$C$60,0),12),Lookups!$L$8:$N$12,3,FALSE),"")</f>
        <v/>
      </c>
      <c r="Y922" s="542" t="str">
        <f>IFERROR(IF(C922="","",IF(INDEX(xyWattage_Table,MATCH(M922,'Fixture Identities'!$B$9:$B$997,0),2)="Exit Sign",0,IF(PRJ_Type="Retrofit",VLOOKUP(I922,xySVG_Factors,2,FALSE),IF(AND(PRJ_Type="New Construction",Inventory!C919="N"),VLOOKUP(VLOOKUP(Building_Type,xyLPD_BuildingArea,5,FALSE),xySVG_Factors_NC,3,FALSE),0)))),"")</f>
        <v/>
      </c>
      <c r="Z922" s="544" t="str">
        <f>IFERROR(IF(C922="","",IF(INDEX(xyWattage_Table,MATCH(M922,'Fixture Identities'!$B$9:$B$997,0),2)="Exit Sign",0,VLOOKUP(S922,xySVG_Factors,2,FALSE))),"")</f>
        <v/>
      </c>
      <c r="AA922" s="545" t="str">
        <f t="shared" si="329"/>
        <v/>
      </c>
      <c r="AB922" s="542" t="str">
        <f t="shared" si="330"/>
        <v/>
      </c>
      <c r="AC922" s="539" t="str">
        <f t="shared" si="331"/>
        <v/>
      </c>
      <c r="AD922" s="546" t="str">
        <f t="shared" si="332"/>
        <v/>
      </c>
      <c r="AE922" s="539" t="str">
        <f t="shared" si="333"/>
        <v/>
      </c>
      <c r="AF922" s="546" t="str">
        <f t="shared" si="334"/>
        <v/>
      </c>
      <c r="AG922" s="539" t="str">
        <f t="shared" si="335"/>
        <v/>
      </c>
      <c r="AH922" s="32">
        <f t="shared" si="337"/>
        <v>0</v>
      </c>
      <c r="AI922" s="32">
        <f t="shared" si="338"/>
        <v>0</v>
      </c>
      <c r="AJ922" s="32">
        <f t="shared" si="339"/>
        <v>0</v>
      </c>
      <c r="AK922" t="str">
        <f t="shared" si="340"/>
        <v/>
      </c>
      <c r="AL922" t="str">
        <f t="shared" si="341"/>
        <v/>
      </c>
      <c r="AM922" t="str">
        <f t="shared" si="342"/>
        <v/>
      </c>
      <c r="AO922" t="str">
        <f>IFERROR(VLOOKUP(M922,'Fixture Identities'!$B$9:$O$1045,14,FALSE),"")</f>
        <v/>
      </c>
      <c r="AP922" t="str">
        <f t="shared" si="336"/>
        <v/>
      </c>
    </row>
    <row r="923" spans="1:42">
      <c r="A923" s="71">
        <f t="shared" si="344"/>
        <v>0</v>
      </c>
      <c r="B923" s="513">
        <f t="shared" si="343"/>
        <v>911</v>
      </c>
      <c r="C923" s="530" t="str">
        <f>IF(Inventory!E920="","",Inventory!E920)</f>
        <v/>
      </c>
      <c r="D923" s="531">
        <f>IF(Inventory!D920="",0,Inventory!D920)</f>
        <v>0</v>
      </c>
      <c r="E923" s="532" t="str">
        <f>IF(Inventory!I920=0,"",Inventory!I920)</f>
        <v/>
      </c>
      <c r="F923" s="533" t="str">
        <f t="shared" si="323"/>
        <v/>
      </c>
      <c r="G923" s="534" t="str">
        <f>IF(Inventory!G920="","",Inventory!G920)</f>
        <v/>
      </c>
      <c r="H923" s="535" t="str">
        <f t="shared" si="324"/>
        <v/>
      </c>
      <c r="I923" s="536" t="str">
        <f>IF(Inventory!J920="","",Inventory!J920)</f>
        <v/>
      </c>
      <c r="J923" s="537" t="str">
        <f>IFERROR(IF(PRJ_Type="New Construction",IF(Inventory!C920="N",INDEX(xyLPD_BuildingArea,MATCH(Building_Type,Lookups!$F$37:$F$75,0),4),INDEX(xyLPD_SpaceBySpace,MATCH(INDEX(xyNCEx,MATCH(I923,yNCExArea,0),2),ySpace_by_Space_Type,0),2)),VLOOKUP(E923,xyWattage_Table,11,FALSE)),"")</f>
        <v/>
      </c>
      <c r="K923" s="538" t="str">
        <f>IFERROR(IF(AND(NC_Type="Building Area Method",Inventory!C920="N"),IF(ISERROR(INDEX('Usage Groups (&gt;120 MWh only)'!$N$8:$N$12,MATCH(C923,'Usage Groups (&gt;120 MWh only)'!$B$8:$B$12,0),1))=TRUE,SqFt/COUNTIFS(Inventory!$C$10:$C$1009,"N",$Q$13:$Q$1012,"&gt;=0"),INDEX('Usage Groups (&gt;120 MWh only)'!$N$8:$N$12,MATCH(C923,'Usage Groups (&gt;120 MWh only)'!$B$8:$B$12,0),1)/COUNTIF($C$13:$C$1012,C923)),IF(AND(NC_Type="Building Area Method",Inventory!C920="Y"),INDEX(xyNCEx,MATCH(I923,yNCExArea,0),3)/COUNTIF($I$13:$I$1012,I923),VLOOKUP(J923,xyWattage_Table,10,FALSE))),"")</f>
        <v/>
      </c>
      <c r="L923" s="539" t="str">
        <f t="shared" si="325"/>
        <v/>
      </c>
      <c r="M923" s="540">
        <f>IF(Inventory!N920="","",Inventory!N920)</f>
        <v>0</v>
      </c>
      <c r="N923" s="533" t="str">
        <f t="shared" si="326"/>
        <v/>
      </c>
      <c r="O923" s="534"/>
      <c r="P923" s="533" t="str">
        <f t="shared" si="327"/>
        <v/>
      </c>
      <c r="Q923" s="534" t="str">
        <f>IF(Inventory!L920="","",Inventory!L920)</f>
        <v/>
      </c>
      <c r="R923" s="535" t="str">
        <f t="shared" si="328"/>
        <v/>
      </c>
      <c r="S923" s="536" t="str">
        <f>IF(Inventory!O920="","",Inventory!O920)</f>
        <v/>
      </c>
      <c r="T923" s="541" t="str">
        <f>IFERROR(IF(C923="","",IF(INDEX(xyWattage_Table,MATCH(M923,'Fixture Identities'!$B$9:$B$997,0),2)="Exit Sign",8760,IF(VLOOKUP(C923,xySpace_Type_Details,8,FALSE)="TRM",INDEX('General Information'!$AF$17:$AG$28,11,MATCH(N923,'General Information'!$AF$16:$AG$16,0)),HLOOKUP(VLOOKUP(C923,xySpace_Type_Details,8,FALSE),'General Information'!$P$15:$AG$28,13,FALSE)))),"")</f>
        <v/>
      </c>
      <c r="U923" s="542" t="str">
        <f>IFERROR(IF(C923="","",IF(INDEX(xyWattage_Table,MATCH(M923,'Fixture Identities'!$B$9:$B$997,0),2)="Exit Sign",1,IF(VLOOKUP(C923,xySpace_Type_Details,8,FALSE)="TRM",INDEX('General Information'!$AF$17:$AG$28,12,MATCH(N923,'General Information'!$AF$16:$AG$16,0)),HLOOKUP(VLOOKUP(C923,xySpace_Type_Details,8,FALSE),'General Information'!$P$15:$AG$28,14,FALSE)))),"")</f>
        <v/>
      </c>
      <c r="V923" s="542" t="str">
        <f>IFERROR(VLOOKUP(INDEX(xySpace_Type_Details,MATCH($C923,'General Information'!$C$40:$C$60,0),12),Lookups!$L$8:$N$12,2,FALSE),"")</f>
        <v/>
      </c>
      <c r="W923" s="542" t="str">
        <f>IFERROR(VLOOKUP(INDEX(xySpace_Type_Details,MATCH($C923,'General Information'!$C$40:$C$60,0),12),Lookups!$L$8:$N$12,3,FALSE),"")</f>
        <v/>
      </c>
      <c r="Y923" s="542" t="str">
        <f>IFERROR(IF(C923="","",IF(INDEX(xyWattage_Table,MATCH(M923,'Fixture Identities'!$B$9:$B$997,0),2)="Exit Sign",0,IF(PRJ_Type="Retrofit",VLOOKUP(I923,xySVG_Factors,2,FALSE),IF(AND(PRJ_Type="New Construction",Inventory!C920="N"),VLOOKUP(VLOOKUP(Building_Type,xyLPD_BuildingArea,5,FALSE),xySVG_Factors_NC,3,FALSE),0)))),"")</f>
        <v/>
      </c>
      <c r="Z923" s="544" t="str">
        <f>IFERROR(IF(C923="","",IF(INDEX(xyWattage_Table,MATCH(M923,'Fixture Identities'!$B$9:$B$997,0),2)="Exit Sign",0,VLOOKUP(S923,xySVG_Factors,2,FALSE))),"")</f>
        <v/>
      </c>
      <c r="AA923" s="545" t="str">
        <f t="shared" si="329"/>
        <v/>
      </c>
      <c r="AB923" s="542" t="str">
        <f t="shared" si="330"/>
        <v/>
      </c>
      <c r="AC923" s="539" t="str">
        <f t="shared" si="331"/>
        <v/>
      </c>
      <c r="AD923" s="546" t="str">
        <f t="shared" si="332"/>
        <v/>
      </c>
      <c r="AE923" s="539" t="str">
        <f t="shared" si="333"/>
        <v/>
      </c>
      <c r="AF923" s="546" t="str">
        <f t="shared" si="334"/>
        <v/>
      </c>
      <c r="AG923" s="539" t="str">
        <f t="shared" si="335"/>
        <v/>
      </c>
      <c r="AH923" s="32">
        <f t="shared" si="337"/>
        <v>0</v>
      </c>
      <c r="AI923" s="32">
        <f t="shared" si="338"/>
        <v>0</v>
      </c>
      <c r="AJ923" s="32">
        <f t="shared" si="339"/>
        <v>0</v>
      </c>
      <c r="AK923" t="str">
        <f t="shared" si="340"/>
        <v/>
      </c>
      <c r="AL923" t="str">
        <f t="shared" si="341"/>
        <v/>
      </c>
      <c r="AM923" t="str">
        <f t="shared" si="342"/>
        <v/>
      </c>
      <c r="AO923" t="str">
        <f>IFERROR(VLOOKUP(M923,'Fixture Identities'!$B$9:$O$1045,14,FALSE),"")</f>
        <v/>
      </c>
      <c r="AP923" t="str">
        <f t="shared" si="336"/>
        <v/>
      </c>
    </row>
    <row r="924" spans="1:42">
      <c r="A924" s="71">
        <f t="shared" si="344"/>
        <v>0</v>
      </c>
      <c r="B924" s="513">
        <f t="shared" si="343"/>
        <v>912</v>
      </c>
      <c r="C924" s="530" t="str">
        <f>IF(Inventory!E921="","",Inventory!E921)</f>
        <v/>
      </c>
      <c r="D924" s="531">
        <f>IF(Inventory!D921="",0,Inventory!D921)</f>
        <v>0</v>
      </c>
      <c r="E924" s="532" t="str">
        <f>IF(Inventory!I921=0,"",Inventory!I921)</f>
        <v/>
      </c>
      <c r="F924" s="533" t="str">
        <f t="shared" si="323"/>
        <v/>
      </c>
      <c r="G924" s="534" t="str">
        <f>IF(Inventory!G921="","",Inventory!G921)</f>
        <v/>
      </c>
      <c r="H924" s="535" t="str">
        <f t="shared" si="324"/>
        <v/>
      </c>
      <c r="I924" s="536" t="str">
        <f>IF(Inventory!J921="","",Inventory!J921)</f>
        <v/>
      </c>
      <c r="J924" s="537" t="str">
        <f>IFERROR(IF(PRJ_Type="New Construction",IF(Inventory!C921="N",INDEX(xyLPD_BuildingArea,MATCH(Building_Type,Lookups!$F$37:$F$75,0),4),INDEX(xyLPD_SpaceBySpace,MATCH(INDEX(xyNCEx,MATCH(I924,yNCExArea,0),2),ySpace_by_Space_Type,0),2)),VLOOKUP(E924,xyWattage_Table,11,FALSE)),"")</f>
        <v/>
      </c>
      <c r="K924" s="538" t="str">
        <f>IFERROR(IF(AND(NC_Type="Building Area Method",Inventory!C921="N"),IF(ISERROR(INDEX('Usage Groups (&gt;120 MWh only)'!$N$8:$N$12,MATCH(C924,'Usage Groups (&gt;120 MWh only)'!$B$8:$B$12,0),1))=TRUE,SqFt/COUNTIFS(Inventory!$C$10:$C$1009,"N",$Q$13:$Q$1012,"&gt;=0"),INDEX('Usage Groups (&gt;120 MWh only)'!$N$8:$N$12,MATCH(C924,'Usage Groups (&gt;120 MWh only)'!$B$8:$B$12,0),1)/COUNTIF($C$13:$C$1012,C924)),IF(AND(NC_Type="Building Area Method",Inventory!C921="Y"),INDEX(xyNCEx,MATCH(I924,yNCExArea,0),3)/COUNTIF($I$13:$I$1012,I924),VLOOKUP(J924,xyWattage_Table,10,FALSE))),"")</f>
        <v/>
      </c>
      <c r="L924" s="539" t="str">
        <f t="shared" si="325"/>
        <v/>
      </c>
      <c r="M924" s="540">
        <f>IF(Inventory!N921="","",Inventory!N921)</f>
        <v>0</v>
      </c>
      <c r="N924" s="533" t="str">
        <f t="shared" si="326"/>
        <v/>
      </c>
      <c r="O924" s="534"/>
      <c r="P924" s="533" t="str">
        <f t="shared" si="327"/>
        <v/>
      </c>
      <c r="Q924" s="534" t="str">
        <f>IF(Inventory!L921="","",Inventory!L921)</f>
        <v/>
      </c>
      <c r="R924" s="535" t="str">
        <f t="shared" si="328"/>
        <v/>
      </c>
      <c r="S924" s="536" t="str">
        <f>IF(Inventory!O921="","",Inventory!O921)</f>
        <v/>
      </c>
      <c r="T924" s="541" t="str">
        <f>IFERROR(IF(C924="","",IF(INDEX(xyWattage_Table,MATCH(M924,'Fixture Identities'!$B$9:$B$997,0),2)="Exit Sign",8760,IF(VLOOKUP(C924,xySpace_Type_Details,8,FALSE)="TRM",INDEX('General Information'!$AF$17:$AG$28,11,MATCH(N924,'General Information'!$AF$16:$AG$16,0)),HLOOKUP(VLOOKUP(C924,xySpace_Type_Details,8,FALSE),'General Information'!$P$15:$AG$28,13,FALSE)))),"")</f>
        <v/>
      </c>
      <c r="U924" s="542" t="str">
        <f>IFERROR(IF(C924="","",IF(INDEX(xyWattage_Table,MATCH(M924,'Fixture Identities'!$B$9:$B$997,0),2)="Exit Sign",1,IF(VLOOKUP(C924,xySpace_Type_Details,8,FALSE)="TRM",INDEX('General Information'!$AF$17:$AG$28,12,MATCH(N924,'General Information'!$AF$16:$AG$16,0)),HLOOKUP(VLOOKUP(C924,xySpace_Type_Details,8,FALSE),'General Information'!$P$15:$AG$28,14,FALSE)))),"")</f>
        <v/>
      </c>
      <c r="V924" s="542" t="str">
        <f>IFERROR(VLOOKUP(INDEX(xySpace_Type_Details,MATCH($C924,'General Information'!$C$40:$C$60,0),12),Lookups!$L$8:$N$12,2,FALSE),"")</f>
        <v/>
      </c>
      <c r="W924" s="542" t="str">
        <f>IFERROR(VLOOKUP(INDEX(xySpace_Type_Details,MATCH($C924,'General Information'!$C$40:$C$60,0),12),Lookups!$L$8:$N$12,3,FALSE),"")</f>
        <v/>
      </c>
      <c r="Y924" s="542" t="str">
        <f>IFERROR(IF(C924="","",IF(INDEX(xyWattage_Table,MATCH(M924,'Fixture Identities'!$B$9:$B$997,0),2)="Exit Sign",0,IF(PRJ_Type="Retrofit",VLOOKUP(I924,xySVG_Factors,2,FALSE),IF(AND(PRJ_Type="New Construction",Inventory!C921="N"),VLOOKUP(VLOOKUP(Building_Type,xyLPD_BuildingArea,5,FALSE),xySVG_Factors_NC,3,FALSE),0)))),"")</f>
        <v/>
      </c>
      <c r="Z924" s="544" t="str">
        <f>IFERROR(IF(C924="","",IF(INDEX(xyWattage_Table,MATCH(M924,'Fixture Identities'!$B$9:$B$997,0),2)="Exit Sign",0,VLOOKUP(S924,xySVG_Factors,2,FALSE))),"")</f>
        <v/>
      </c>
      <c r="AA924" s="545" t="str">
        <f t="shared" si="329"/>
        <v/>
      </c>
      <c r="AB924" s="542" t="str">
        <f t="shared" si="330"/>
        <v/>
      </c>
      <c r="AC924" s="539" t="str">
        <f t="shared" si="331"/>
        <v/>
      </c>
      <c r="AD924" s="546" t="str">
        <f t="shared" si="332"/>
        <v/>
      </c>
      <c r="AE924" s="539" t="str">
        <f t="shared" si="333"/>
        <v/>
      </c>
      <c r="AF924" s="546" t="str">
        <f t="shared" si="334"/>
        <v/>
      </c>
      <c r="AG924" s="539" t="str">
        <f t="shared" si="335"/>
        <v/>
      </c>
      <c r="AH924" s="32">
        <f t="shared" si="337"/>
        <v>0</v>
      </c>
      <c r="AI924" s="32">
        <f t="shared" si="338"/>
        <v>0</v>
      </c>
      <c r="AJ924" s="32">
        <f t="shared" si="339"/>
        <v>0</v>
      </c>
      <c r="AK924" t="str">
        <f t="shared" si="340"/>
        <v/>
      </c>
      <c r="AL924" t="str">
        <f t="shared" si="341"/>
        <v/>
      </c>
      <c r="AM924" t="str">
        <f t="shared" si="342"/>
        <v/>
      </c>
      <c r="AO924" t="str">
        <f>IFERROR(VLOOKUP(M924,'Fixture Identities'!$B$9:$O$1045,14,FALSE),"")</f>
        <v/>
      </c>
      <c r="AP924" t="str">
        <f t="shared" si="336"/>
        <v/>
      </c>
    </row>
    <row r="925" spans="1:42">
      <c r="A925" s="71">
        <f t="shared" si="344"/>
        <v>0</v>
      </c>
      <c r="B925" s="513">
        <f t="shared" si="343"/>
        <v>913</v>
      </c>
      <c r="C925" s="530" t="str">
        <f>IF(Inventory!E922="","",Inventory!E922)</f>
        <v/>
      </c>
      <c r="D925" s="531">
        <f>IF(Inventory!D922="",0,Inventory!D922)</f>
        <v>0</v>
      </c>
      <c r="E925" s="532" t="str">
        <f>IF(Inventory!I922=0,"",Inventory!I922)</f>
        <v/>
      </c>
      <c r="F925" s="533" t="str">
        <f t="shared" si="323"/>
        <v/>
      </c>
      <c r="G925" s="534" t="str">
        <f>IF(Inventory!G922="","",Inventory!G922)</f>
        <v/>
      </c>
      <c r="H925" s="535" t="str">
        <f t="shared" si="324"/>
        <v/>
      </c>
      <c r="I925" s="536" t="str">
        <f>IF(Inventory!J922="","",Inventory!J922)</f>
        <v/>
      </c>
      <c r="J925" s="537" t="str">
        <f>IFERROR(IF(PRJ_Type="New Construction",IF(Inventory!C922="N",INDEX(xyLPD_BuildingArea,MATCH(Building_Type,Lookups!$F$37:$F$75,0),4),INDEX(xyLPD_SpaceBySpace,MATCH(INDEX(xyNCEx,MATCH(I925,yNCExArea,0),2),ySpace_by_Space_Type,0),2)),VLOOKUP(E925,xyWattage_Table,11,FALSE)),"")</f>
        <v/>
      </c>
      <c r="K925" s="538" t="str">
        <f>IFERROR(IF(AND(NC_Type="Building Area Method",Inventory!C922="N"),IF(ISERROR(INDEX('Usage Groups (&gt;120 MWh only)'!$N$8:$N$12,MATCH(C925,'Usage Groups (&gt;120 MWh only)'!$B$8:$B$12,0),1))=TRUE,SqFt/COUNTIFS(Inventory!$C$10:$C$1009,"N",$Q$13:$Q$1012,"&gt;=0"),INDEX('Usage Groups (&gt;120 MWh only)'!$N$8:$N$12,MATCH(C925,'Usage Groups (&gt;120 MWh only)'!$B$8:$B$12,0),1)/COUNTIF($C$13:$C$1012,C925)),IF(AND(NC_Type="Building Area Method",Inventory!C922="Y"),INDEX(xyNCEx,MATCH(I925,yNCExArea,0),3)/COUNTIF($I$13:$I$1012,I925),VLOOKUP(J925,xyWattage_Table,10,FALSE))),"")</f>
        <v/>
      </c>
      <c r="L925" s="539" t="str">
        <f t="shared" si="325"/>
        <v/>
      </c>
      <c r="M925" s="540">
        <f>IF(Inventory!N922="","",Inventory!N922)</f>
        <v>0</v>
      </c>
      <c r="N925" s="533" t="str">
        <f t="shared" si="326"/>
        <v/>
      </c>
      <c r="O925" s="534"/>
      <c r="P925" s="533" t="str">
        <f t="shared" si="327"/>
        <v/>
      </c>
      <c r="Q925" s="534" t="str">
        <f>IF(Inventory!L922="","",Inventory!L922)</f>
        <v/>
      </c>
      <c r="R925" s="535" t="str">
        <f t="shared" si="328"/>
        <v/>
      </c>
      <c r="S925" s="536" t="str">
        <f>IF(Inventory!O922="","",Inventory!O922)</f>
        <v/>
      </c>
      <c r="T925" s="541" t="str">
        <f>IFERROR(IF(C925="","",IF(INDEX(xyWattage_Table,MATCH(M925,'Fixture Identities'!$B$9:$B$997,0),2)="Exit Sign",8760,IF(VLOOKUP(C925,xySpace_Type_Details,8,FALSE)="TRM",INDEX('General Information'!$AF$17:$AG$28,11,MATCH(N925,'General Information'!$AF$16:$AG$16,0)),HLOOKUP(VLOOKUP(C925,xySpace_Type_Details,8,FALSE),'General Information'!$P$15:$AG$28,13,FALSE)))),"")</f>
        <v/>
      </c>
      <c r="U925" s="542" t="str">
        <f>IFERROR(IF(C925="","",IF(INDEX(xyWattage_Table,MATCH(M925,'Fixture Identities'!$B$9:$B$997,0),2)="Exit Sign",1,IF(VLOOKUP(C925,xySpace_Type_Details,8,FALSE)="TRM",INDEX('General Information'!$AF$17:$AG$28,12,MATCH(N925,'General Information'!$AF$16:$AG$16,0)),HLOOKUP(VLOOKUP(C925,xySpace_Type_Details,8,FALSE),'General Information'!$P$15:$AG$28,14,FALSE)))),"")</f>
        <v/>
      </c>
      <c r="V925" s="542" t="str">
        <f>IFERROR(VLOOKUP(INDEX(xySpace_Type_Details,MATCH($C925,'General Information'!$C$40:$C$60,0),12),Lookups!$L$8:$N$12,2,FALSE),"")</f>
        <v/>
      </c>
      <c r="W925" s="542" t="str">
        <f>IFERROR(VLOOKUP(INDEX(xySpace_Type_Details,MATCH($C925,'General Information'!$C$40:$C$60,0),12),Lookups!$L$8:$N$12,3,FALSE),"")</f>
        <v/>
      </c>
      <c r="Y925" s="542" t="str">
        <f>IFERROR(IF(C925="","",IF(INDEX(xyWattage_Table,MATCH(M925,'Fixture Identities'!$B$9:$B$997,0),2)="Exit Sign",0,IF(PRJ_Type="Retrofit",VLOOKUP(I925,xySVG_Factors,2,FALSE),IF(AND(PRJ_Type="New Construction",Inventory!C922="N"),VLOOKUP(VLOOKUP(Building_Type,xyLPD_BuildingArea,5,FALSE),xySVG_Factors_NC,3,FALSE),0)))),"")</f>
        <v/>
      </c>
      <c r="Z925" s="544" t="str">
        <f>IFERROR(IF(C925="","",IF(INDEX(xyWattage_Table,MATCH(M925,'Fixture Identities'!$B$9:$B$997,0),2)="Exit Sign",0,VLOOKUP(S925,xySVG_Factors,2,FALSE))),"")</f>
        <v/>
      </c>
      <c r="AA925" s="545" t="str">
        <f t="shared" si="329"/>
        <v/>
      </c>
      <c r="AB925" s="542" t="str">
        <f t="shared" si="330"/>
        <v/>
      </c>
      <c r="AC925" s="539" t="str">
        <f t="shared" si="331"/>
        <v/>
      </c>
      <c r="AD925" s="546" t="str">
        <f t="shared" si="332"/>
        <v/>
      </c>
      <c r="AE925" s="539" t="str">
        <f t="shared" si="333"/>
        <v/>
      </c>
      <c r="AF925" s="546" t="str">
        <f t="shared" si="334"/>
        <v/>
      </c>
      <c r="AG925" s="539" t="str">
        <f t="shared" si="335"/>
        <v/>
      </c>
      <c r="AH925" s="32">
        <f t="shared" si="337"/>
        <v>0</v>
      </c>
      <c r="AI925" s="32">
        <f t="shared" si="338"/>
        <v>0</v>
      </c>
      <c r="AJ925" s="32">
        <f t="shared" si="339"/>
        <v>0</v>
      </c>
      <c r="AK925" t="str">
        <f t="shared" si="340"/>
        <v/>
      </c>
      <c r="AL925" t="str">
        <f t="shared" si="341"/>
        <v/>
      </c>
      <c r="AM925" t="str">
        <f t="shared" si="342"/>
        <v/>
      </c>
      <c r="AO925" t="str">
        <f>IFERROR(VLOOKUP(M925,'Fixture Identities'!$B$9:$O$1045,14,FALSE),"")</f>
        <v/>
      </c>
      <c r="AP925" t="str">
        <f t="shared" si="336"/>
        <v/>
      </c>
    </row>
    <row r="926" spans="1:42">
      <c r="A926" s="71">
        <f t="shared" si="344"/>
        <v>0</v>
      </c>
      <c r="B926" s="513">
        <f t="shared" si="343"/>
        <v>914</v>
      </c>
      <c r="C926" s="530" t="str">
        <f>IF(Inventory!E923="","",Inventory!E923)</f>
        <v/>
      </c>
      <c r="D926" s="531">
        <f>IF(Inventory!D923="",0,Inventory!D923)</f>
        <v>0</v>
      </c>
      <c r="E926" s="532" t="str">
        <f>IF(Inventory!I923=0,"",Inventory!I923)</f>
        <v/>
      </c>
      <c r="F926" s="533" t="str">
        <f t="shared" si="323"/>
        <v/>
      </c>
      <c r="G926" s="534" t="str">
        <f>IF(Inventory!G923="","",Inventory!G923)</f>
        <v/>
      </c>
      <c r="H926" s="535" t="str">
        <f t="shared" si="324"/>
        <v/>
      </c>
      <c r="I926" s="536" t="str">
        <f>IF(Inventory!J923="","",Inventory!J923)</f>
        <v/>
      </c>
      <c r="J926" s="537" t="str">
        <f>IFERROR(IF(PRJ_Type="New Construction",IF(Inventory!C923="N",INDEX(xyLPD_BuildingArea,MATCH(Building_Type,Lookups!$F$37:$F$75,0),4),INDEX(xyLPD_SpaceBySpace,MATCH(INDEX(xyNCEx,MATCH(I926,yNCExArea,0),2),ySpace_by_Space_Type,0),2)),VLOOKUP(E926,xyWattage_Table,11,FALSE)),"")</f>
        <v/>
      </c>
      <c r="K926" s="538" t="str">
        <f>IFERROR(IF(AND(NC_Type="Building Area Method",Inventory!C923="N"),IF(ISERROR(INDEX('Usage Groups (&gt;120 MWh only)'!$N$8:$N$12,MATCH(C926,'Usage Groups (&gt;120 MWh only)'!$B$8:$B$12,0),1))=TRUE,SqFt/COUNTIFS(Inventory!$C$10:$C$1009,"N",$Q$13:$Q$1012,"&gt;=0"),INDEX('Usage Groups (&gt;120 MWh only)'!$N$8:$N$12,MATCH(C926,'Usage Groups (&gt;120 MWh only)'!$B$8:$B$12,0),1)/COUNTIF($C$13:$C$1012,C926)),IF(AND(NC_Type="Building Area Method",Inventory!C923="Y"),INDEX(xyNCEx,MATCH(I926,yNCExArea,0),3)/COUNTIF($I$13:$I$1012,I926),VLOOKUP(J926,xyWattage_Table,10,FALSE))),"")</f>
        <v/>
      </c>
      <c r="L926" s="539" t="str">
        <f t="shared" si="325"/>
        <v/>
      </c>
      <c r="M926" s="540">
        <f>IF(Inventory!N923="","",Inventory!N923)</f>
        <v>0</v>
      </c>
      <c r="N926" s="533" t="str">
        <f t="shared" si="326"/>
        <v/>
      </c>
      <c r="O926" s="534"/>
      <c r="P926" s="533" t="str">
        <f t="shared" si="327"/>
        <v/>
      </c>
      <c r="Q926" s="534" t="str">
        <f>IF(Inventory!L923="","",Inventory!L923)</f>
        <v/>
      </c>
      <c r="R926" s="535" t="str">
        <f t="shared" si="328"/>
        <v/>
      </c>
      <c r="S926" s="536" t="str">
        <f>IF(Inventory!O923="","",Inventory!O923)</f>
        <v/>
      </c>
      <c r="T926" s="541" t="str">
        <f>IFERROR(IF(C926="","",IF(INDEX(xyWattage_Table,MATCH(M926,'Fixture Identities'!$B$9:$B$997,0),2)="Exit Sign",8760,IF(VLOOKUP(C926,xySpace_Type_Details,8,FALSE)="TRM",INDEX('General Information'!$AF$17:$AG$28,11,MATCH(N926,'General Information'!$AF$16:$AG$16,0)),HLOOKUP(VLOOKUP(C926,xySpace_Type_Details,8,FALSE),'General Information'!$P$15:$AG$28,13,FALSE)))),"")</f>
        <v/>
      </c>
      <c r="U926" s="542" t="str">
        <f>IFERROR(IF(C926="","",IF(INDEX(xyWattage_Table,MATCH(M926,'Fixture Identities'!$B$9:$B$997,0),2)="Exit Sign",1,IF(VLOOKUP(C926,xySpace_Type_Details,8,FALSE)="TRM",INDEX('General Information'!$AF$17:$AG$28,12,MATCH(N926,'General Information'!$AF$16:$AG$16,0)),HLOOKUP(VLOOKUP(C926,xySpace_Type_Details,8,FALSE),'General Information'!$P$15:$AG$28,14,FALSE)))),"")</f>
        <v/>
      </c>
      <c r="V926" s="542" t="str">
        <f>IFERROR(VLOOKUP(INDEX(xySpace_Type_Details,MATCH($C926,'General Information'!$C$40:$C$60,0),12),Lookups!$L$8:$N$12,2,FALSE),"")</f>
        <v/>
      </c>
      <c r="W926" s="542" t="str">
        <f>IFERROR(VLOOKUP(INDEX(xySpace_Type_Details,MATCH($C926,'General Information'!$C$40:$C$60,0),12),Lookups!$L$8:$N$12,3,FALSE),"")</f>
        <v/>
      </c>
      <c r="Y926" s="542" t="str">
        <f>IFERROR(IF(C926="","",IF(INDEX(xyWattage_Table,MATCH(M926,'Fixture Identities'!$B$9:$B$997,0),2)="Exit Sign",0,IF(PRJ_Type="Retrofit",VLOOKUP(I926,xySVG_Factors,2,FALSE),IF(AND(PRJ_Type="New Construction",Inventory!C923="N"),VLOOKUP(VLOOKUP(Building_Type,xyLPD_BuildingArea,5,FALSE),xySVG_Factors_NC,3,FALSE),0)))),"")</f>
        <v/>
      </c>
      <c r="Z926" s="544" t="str">
        <f>IFERROR(IF(C926="","",IF(INDEX(xyWattage_Table,MATCH(M926,'Fixture Identities'!$B$9:$B$997,0),2)="Exit Sign",0,VLOOKUP(S926,xySVG_Factors,2,FALSE))),"")</f>
        <v/>
      </c>
      <c r="AA926" s="545" t="str">
        <f t="shared" si="329"/>
        <v/>
      </c>
      <c r="AB926" s="542" t="str">
        <f t="shared" si="330"/>
        <v/>
      </c>
      <c r="AC926" s="539" t="str">
        <f t="shared" si="331"/>
        <v/>
      </c>
      <c r="AD926" s="546" t="str">
        <f t="shared" si="332"/>
        <v/>
      </c>
      <c r="AE926" s="539" t="str">
        <f t="shared" si="333"/>
        <v/>
      </c>
      <c r="AF926" s="546" t="str">
        <f t="shared" si="334"/>
        <v/>
      </c>
      <c r="AG926" s="539" t="str">
        <f t="shared" si="335"/>
        <v/>
      </c>
      <c r="AH926" s="32">
        <f t="shared" si="337"/>
        <v>0</v>
      </c>
      <c r="AI926" s="32">
        <f t="shared" si="338"/>
        <v>0</v>
      </c>
      <c r="AJ926" s="32">
        <f t="shared" si="339"/>
        <v>0</v>
      </c>
      <c r="AK926" t="str">
        <f t="shared" si="340"/>
        <v/>
      </c>
      <c r="AL926" t="str">
        <f t="shared" si="341"/>
        <v/>
      </c>
      <c r="AM926" t="str">
        <f t="shared" si="342"/>
        <v/>
      </c>
      <c r="AO926" t="str">
        <f>IFERROR(VLOOKUP(M926,'Fixture Identities'!$B$9:$O$1045,14,FALSE),"")</f>
        <v/>
      </c>
      <c r="AP926" t="str">
        <f t="shared" si="336"/>
        <v/>
      </c>
    </row>
    <row r="927" spans="1:42">
      <c r="A927" s="71">
        <f t="shared" si="344"/>
        <v>0</v>
      </c>
      <c r="B927" s="513">
        <f t="shared" si="343"/>
        <v>915</v>
      </c>
      <c r="C927" s="530" t="str">
        <f>IF(Inventory!E924="","",Inventory!E924)</f>
        <v/>
      </c>
      <c r="D927" s="531">
        <f>IF(Inventory!D924="",0,Inventory!D924)</f>
        <v>0</v>
      </c>
      <c r="E927" s="532" t="str">
        <f>IF(Inventory!I924=0,"",Inventory!I924)</f>
        <v/>
      </c>
      <c r="F927" s="533" t="str">
        <f t="shared" si="323"/>
        <v/>
      </c>
      <c r="G927" s="534" t="str">
        <f>IF(Inventory!G924="","",Inventory!G924)</f>
        <v/>
      </c>
      <c r="H927" s="535" t="str">
        <f t="shared" si="324"/>
        <v/>
      </c>
      <c r="I927" s="536" t="str">
        <f>IF(Inventory!J924="","",Inventory!J924)</f>
        <v/>
      </c>
      <c r="J927" s="537" t="str">
        <f>IFERROR(IF(PRJ_Type="New Construction",IF(Inventory!C924="N",INDEX(xyLPD_BuildingArea,MATCH(Building_Type,Lookups!$F$37:$F$75,0),4),INDEX(xyLPD_SpaceBySpace,MATCH(INDEX(xyNCEx,MATCH(I927,yNCExArea,0),2),ySpace_by_Space_Type,0),2)),VLOOKUP(E927,xyWattage_Table,11,FALSE)),"")</f>
        <v/>
      </c>
      <c r="K927" s="538" t="str">
        <f>IFERROR(IF(AND(NC_Type="Building Area Method",Inventory!C924="N"),IF(ISERROR(INDEX('Usage Groups (&gt;120 MWh only)'!$N$8:$N$12,MATCH(C927,'Usage Groups (&gt;120 MWh only)'!$B$8:$B$12,0),1))=TRUE,SqFt/COUNTIFS(Inventory!$C$10:$C$1009,"N",$Q$13:$Q$1012,"&gt;=0"),INDEX('Usage Groups (&gt;120 MWh only)'!$N$8:$N$12,MATCH(C927,'Usage Groups (&gt;120 MWh only)'!$B$8:$B$12,0),1)/COUNTIF($C$13:$C$1012,C927)),IF(AND(NC_Type="Building Area Method",Inventory!C924="Y"),INDEX(xyNCEx,MATCH(I927,yNCExArea,0),3)/COUNTIF($I$13:$I$1012,I927),VLOOKUP(J927,xyWattage_Table,10,FALSE))),"")</f>
        <v/>
      </c>
      <c r="L927" s="539" t="str">
        <f t="shared" si="325"/>
        <v/>
      </c>
      <c r="M927" s="540">
        <f>IF(Inventory!N924="","",Inventory!N924)</f>
        <v>0</v>
      </c>
      <c r="N927" s="533" t="str">
        <f t="shared" si="326"/>
        <v/>
      </c>
      <c r="O927" s="534"/>
      <c r="P927" s="533" t="str">
        <f t="shared" si="327"/>
        <v/>
      </c>
      <c r="Q927" s="534" t="str">
        <f>IF(Inventory!L924="","",Inventory!L924)</f>
        <v/>
      </c>
      <c r="R927" s="535" t="str">
        <f t="shared" si="328"/>
        <v/>
      </c>
      <c r="S927" s="536" t="str">
        <f>IF(Inventory!O924="","",Inventory!O924)</f>
        <v/>
      </c>
      <c r="T927" s="541" t="str">
        <f>IFERROR(IF(C927="","",IF(INDEX(xyWattage_Table,MATCH(M927,'Fixture Identities'!$B$9:$B$997,0),2)="Exit Sign",8760,IF(VLOOKUP(C927,xySpace_Type_Details,8,FALSE)="TRM",INDEX('General Information'!$AF$17:$AG$28,11,MATCH(N927,'General Information'!$AF$16:$AG$16,0)),HLOOKUP(VLOOKUP(C927,xySpace_Type_Details,8,FALSE),'General Information'!$P$15:$AG$28,13,FALSE)))),"")</f>
        <v/>
      </c>
      <c r="U927" s="542" t="str">
        <f>IFERROR(IF(C927="","",IF(INDEX(xyWattage_Table,MATCH(M927,'Fixture Identities'!$B$9:$B$997,0),2)="Exit Sign",1,IF(VLOOKUP(C927,xySpace_Type_Details,8,FALSE)="TRM",INDEX('General Information'!$AF$17:$AG$28,12,MATCH(N927,'General Information'!$AF$16:$AG$16,0)),HLOOKUP(VLOOKUP(C927,xySpace_Type_Details,8,FALSE),'General Information'!$P$15:$AG$28,14,FALSE)))),"")</f>
        <v/>
      </c>
      <c r="V927" s="542" t="str">
        <f>IFERROR(VLOOKUP(INDEX(xySpace_Type_Details,MATCH($C927,'General Information'!$C$40:$C$60,0),12),Lookups!$L$8:$N$12,2,FALSE),"")</f>
        <v/>
      </c>
      <c r="W927" s="542" t="str">
        <f>IFERROR(VLOOKUP(INDEX(xySpace_Type_Details,MATCH($C927,'General Information'!$C$40:$C$60,0),12),Lookups!$L$8:$N$12,3,FALSE),"")</f>
        <v/>
      </c>
      <c r="Y927" s="542" t="str">
        <f>IFERROR(IF(C927="","",IF(INDEX(xyWattage_Table,MATCH(M927,'Fixture Identities'!$B$9:$B$997,0),2)="Exit Sign",0,IF(PRJ_Type="Retrofit",VLOOKUP(I927,xySVG_Factors,2,FALSE),IF(AND(PRJ_Type="New Construction",Inventory!C924="N"),VLOOKUP(VLOOKUP(Building_Type,xyLPD_BuildingArea,5,FALSE),xySVG_Factors_NC,3,FALSE),0)))),"")</f>
        <v/>
      </c>
      <c r="Z927" s="544" t="str">
        <f>IFERROR(IF(C927="","",IF(INDEX(xyWattage_Table,MATCH(M927,'Fixture Identities'!$B$9:$B$997,0),2)="Exit Sign",0,VLOOKUP(S927,xySVG_Factors,2,FALSE))),"")</f>
        <v/>
      </c>
      <c r="AA927" s="545" t="str">
        <f t="shared" si="329"/>
        <v/>
      </c>
      <c r="AB927" s="542" t="str">
        <f t="shared" si="330"/>
        <v/>
      </c>
      <c r="AC927" s="539" t="str">
        <f t="shared" si="331"/>
        <v/>
      </c>
      <c r="AD927" s="546" t="str">
        <f t="shared" si="332"/>
        <v/>
      </c>
      <c r="AE927" s="539" t="str">
        <f t="shared" si="333"/>
        <v/>
      </c>
      <c r="AF927" s="546" t="str">
        <f t="shared" si="334"/>
        <v/>
      </c>
      <c r="AG927" s="539" t="str">
        <f t="shared" si="335"/>
        <v/>
      </c>
      <c r="AH927" s="32">
        <f t="shared" si="337"/>
        <v>0</v>
      </c>
      <c r="AI927" s="32">
        <f t="shared" si="338"/>
        <v>0</v>
      </c>
      <c r="AJ927" s="32">
        <f t="shared" si="339"/>
        <v>0</v>
      </c>
      <c r="AK927" t="str">
        <f t="shared" si="340"/>
        <v/>
      </c>
      <c r="AL927" t="str">
        <f t="shared" si="341"/>
        <v/>
      </c>
      <c r="AM927" t="str">
        <f t="shared" si="342"/>
        <v/>
      </c>
      <c r="AO927" t="str">
        <f>IFERROR(VLOOKUP(M927,'Fixture Identities'!$B$9:$O$1045,14,FALSE),"")</f>
        <v/>
      </c>
      <c r="AP927" t="str">
        <f t="shared" si="336"/>
        <v/>
      </c>
    </row>
    <row r="928" spans="1:42">
      <c r="A928" s="71">
        <f t="shared" si="344"/>
        <v>0</v>
      </c>
      <c r="B928" s="513">
        <f t="shared" si="343"/>
        <v>916</v>
      </c>
      <c r="C928" s="530" t="str">
        <f>IF(Inventory!E925="","",Inventory!E925)</f>
        <v/>
      </c>
      <c r="D928" s="531">
        <f>IF(Inventory!D925="",0,Inventory!D925)</f>
        <v>0</v>
      </c>
      <c r="E928" s="532" t="str">
        <f>IF(Inventory!I925=0,"",Inventory!I925)</f>
        <v/>
      </c>
      <c r="F928" s="533" t="str">
        <f t="shared" si="323"/>
        <v/>
      </c>
      <c r="G928" s="534" t="str">
        <f>IF(Inventory!G925="","",Inventory!G925)</f>
        <v/>
      </c>
      <c r="H928" s="535" t="str">
        <f t="shared" si="324"/>
        <v/>
      </c>
      <c r="I928" s="536" t="str">
        <f>IF(Inventory!J925="","",Inventory!J925)</f>
        <v/>
      </c>
      <c r="J928" s="537" t="str">
        <f>IFERROR(IF(PRJ_Type="New Construction",IF(Inventory!C925="N",INDEX(xyLPD_BuildingArea,MATCH(Building_Type,Lookups!$F$37:$F$75,0),4),INDEX(xyLPD_SpaceBySpace,MATCH(INDEX(xyNCEx,MATCH(I928,yNCExArea,0),2),ySpace_by_Space_Type,0),2)),VLOOKUP(E928,xyWattage_Table,11,FALSE)),"")</f>
        <v/>
      </c>
      <c r="K928" s="538" t="str">
        <f>IFERROR(IF(AND(NC_Type="Building Area Method",Inventory!C925="N"),IF(ISERROR(INDEX('Usage Groups (&gt;120 MWh only)'!$N$8:$N$12,MATCH(C928,'Usage Groups (&gt;120 MWh only)'!$B$8:$B$12,0),1))=TRUE,SqFt/COUNTIFS(Inventory!$C$10:$C$1009,"N",$Q$13:$Q$1012,"&gt;=0"),INDEX('Usage Groups (&gt;120 MWh only)'!$N$8:$N$12,MATCH(C928,'Usage Groups (&gt;120 MWh only)'!$B$8:$B$12,0),1)/COUNTIF($C$13:$C$1012,C928)),IF(AND(NC_Type="Building Area Method",Inventory!C925="Y"),INDEX(xyNCEx,MATCH(I928,yNCExArea,0),3)/COUNTIF($I$13:$I$1012,I928),VLOOKUP(J928,xyWattage_Table,10,FALSE))),"")</f>
        <v/>
      </c>
      <c r="L928" s="539" t="str">
        <f t="shared" si="325"/>
        <v/>
      </c>
      <c r="M928" s="540">
        <f>IF(Inventory!N925="","",Inventory!N925)</f>
        <v>0</v>
      </c>
      <c r="N928" s="533" t="str">
        <f t="shared" si="326"/>
        <v/>
      </c>
      <c r="O928" s="534"/>
      <c r="P928" s="533" t="str">
        <f t="shared" si="327"/>
        <v/>
      </c>
      <c r="Q928" s="534" t="str">
        <f>IF(Inventory!L925="","",Inventory!L925)</f>
        <v/>
      </c>
      <c r="R928" s="535" t="str">
        <f t="shared" si="328"/>
        <v/>
      </c>
      <c r="S928" s="536" t="str">
        <f>IF(Inventory!O925="","",Inventory!O925)</f>
        <v/>
      </c>
      <c r="T928" s="541" t="str">
        <f>IFERROR(IF(C928="","",IF(INDEX(xyWattage_Table,MATCH(M928,'Fixture Identities'!$B$9:$B$997,0),2)="Exit Sign",8760,IF(VLOOKUP(C928,xySpace_Type_Details,8,FALSE)="TRM",INDEX('General Information'!$AF$17:$AG$28,11,MATCH(N928,'General Information'!$AF$16:$AG$16,0)),HLOOKUP(VLOOKUP(C928,xySpace_Type_Details,8,FALSE),'General Information'!$P$15:$AG$28,13,FALSE)))),"")</f>
        <v/>
      </c>
      <c r="U928" s="542" t="str">
        <f>IFERROR(IF(C928="","",IF(INDEX(xyWattage_Table,MATCH(M928,'Fixture Identities'!$B$9:$B$997,0),2)="Exit Sign",1,IF(VLOOKUP(C928,xySpace_Type_Details,8,FALSE)="TRM",INDEX('General Information'!$AF$17:$AG$28,12,MATCH(N928,'General Information'!$AF$16:$AG$16,0)),HLOOKUP(VLOOKUP(C928,xySpace_Type_Details,8,FALSE),'General Information'!$P$15:$AG$28,14,FALSE)))),"")</f>
        <v/>
      </c>
      <c r="V928" s="542" t="str">
        <f>IFERROR(VLOOKUP(INDEX(xySpace_Type_Details,MATCH($C928,'General Information'!$C$40:$C$60,0),12),Lookups!$L$8:$N$12,2,FALSE),"")</f>
        <v/>
      </c>
      <c r="W928" s="542" t="str">
        <f>IFERROR(VLOOKUP(INDEX(xySpace_Type_Details,MATCH($C928,'General Information'!$C$40:$C$60,0),12),Lookups!$L$8:$N$12,3,FALSE),"")</f>
        <v/>
      </c>
      <c r="Y928" s="542" t="str">
        <f>IFERROR(IF(C928="","",IF(INDEX(xyWattage_Table,MATCH(M928,'Fixture Identities'!$B$9:$B$997,0),2)="Exit Sign",0,IF(PRJ_Type="Retrofit",VLOOKUP(I928,xySVG_Factors,2,FALSE),IF(AND(PRJ_Type="New Construction",Inventory!C925="N"),VLOOKUP(VLOOKUP(Building_Type,xyLPD_BuildingArea,5,FALSE),xySVG_Factors_NC,3,FALSE),0)))),"")</f>
        <v/>
      </c>
      <c r="Z928" s="544" t="str">
        <f>IFERROR(IF(C928="","",IF(INDEX(xyWattage_Table,MATCH(M928,'Fixture Identities'!$B$9:$B$997,0),2)="Exit Sign",0,VLOOKUP(S928,xySVG_Factors,2,FALSE))),"")</f>
        <v/>
      </c>
      <c r="AA928" s="545" t="str">
        <f t="shared" si="329"/>
        <v/>
      </c>
      <c r="AB928" s="542" t="str">
        <f t="shared" si="330"/>
        <v/>
      </c>
      <c r="AC928" s="539" t="str">
        <f t="shared" si="331"/>
        <v/>
      </c>
      <c r="AD928" s="546" t="str">
        <f t="shared" si="332"/>
        <v/>
      </c>
      <c r="AE928" s="539" t="str">
        <f t="shared" si="333"/>
        <v/>
      </c>
      <c r="AF928" s="546" t="str">
        <f t="shared" si="334"/>
        <v/>
      </c>
      <c r="AG928" s="539" t="str">
        <f t="shared" si="335"/>
        <v/>
      </c>
      <c r="AH928" s="32">
        <f t="shared" si="337"/>
        <v>0</v>
      </c>
      <c r="AI928" s="32">
        <f t="shared" si="338"/>
        <v>0</v>
      </c>
      <c r="AJ928" s="32">
        <f t="shared" si="339"/>
        <v>0</v>
      </c>
      <c r="AK928" t="str">
        <f t="shared" si="340"/>
        <v/>
      </c>
      <c r="AL928" t="str">
        <f t="shared" si="341"/>
        <v/>
      </c>
      <c r="AM928" t="str">
        <f t="shared" si="342"/>
        <v/>
      </c>
      <c r="AO928" t="str">
        <f>IFERROR(VLOOKUP(M928,'Fixture Identities'!$B$9:$O$1045,14,FALSE),"")</f>
        <v/>
      </c>
      <c r="AP928" t="str">
        <f t="shared" si="336"/>
        <v/>
      </c>
    </row>
    <row r="929" spans="1:42">
      <c r="A929" s="71">
        <f t="shared" si="344"/>
        <v>0</v>
      </c>
      <c r="B929" s="513">
        <f t="shared" si="343"/>
        <v>917</v>
      </c>
      <c r="C929" s="530" t="str">
        <f>IF(Inventory!E926="","",Inventory!E926)</f>
        <v/>
      </c>
      <c r="D929" s="531">
        <f>IF(Inventory!D926="",0,Inventory!D926)</f>
        <v>0</v>
      </c>
      <c r="E929" s="532" t="str">
        <f>IF(Inventory!I926=0,"",Inventory!I926)</f>
        <v/>
      </c>
      <c r="F929" s="533" t="str">
        <f t="shared" si="323"/>
        <v/>
      </c>
      <c r="G929" s="534" t="str">
        <f>IF(Inventory!G926="","",Inventory!G926)</f>
        <v/>
      </c>
      <c r="H929" s="535" t="str">
        <f t="shared" si="324"/>
        <v/>
      </c>
      <c r="I929" s="536" t="str">
        <f>IF(Inventory!J926="","",Inventory!J926)</f>
        <v/>
      </c>
      <c r="J929" s="537" t="str">
        <f>IFERROR(IF(PRJ_Type="New Construction",IF(Inventory!C926="N",INDEX(xyLPD_BuildingArea,MATCH(Building_Type,Lookups!$F$37:$F$75,0),4),INDEX(xyLPD_SpaceBySpace,MATCH(INDEX(xyNCEx,MATCH(I929,yNCExArea,0),2),ySpace_by_Space_Type,0),2)),VLOOKUP(E929,xyWattage_Table,11,FALSE)),"")</f>
        <v/>
      </c>
      <c r="K929" s="538" t="str">
        <f>IFERROR(IF(AND(NC_Type="Building Area Method",Inventory!C926="N"),IF(ISERROR(INDEX('Usage Groups (&gt;120 MWh only)'!$N$8:$N$12,MATCH(C929,'Usage Groups (&gt;120 MWh only)'!$B$8:$B$12,0),1))=TRUE,SqFt/COUNTIFS(Inventory!$C$10:$C$1009,"N",$Q$13:$Q$1012,"&gt;=0"),INDEX('Usage Groups (&gt;120 MWh only)'!$N$8:$N$12,MATCH(C929,'Usage Groups (&gt;120 MWh only)'!$B$8:$B$12,0),1)/COUNTIF($C$13:$C$1012,C929)),IF(AND(NC_Type="Building Area Method",Inventory!C926="Y"),INDEX(xyNCEx,MATCH(I929,yNCExArea,0),3)/COUNTIF($I$13:$I$1012,I929),VLOOKUP(J929,xyWattage_Table,10,FALSE))),"")</f>
        <v/>
      </c>
      <c r="L929" s="539" t="str">
        <f t="shared" si="325"/>
        <v/>
      </c>
      <c r="M929" s="540">
        <f>IF(Inventory!N926="","",Inventory!N926)</f>
        <v>0</v>
      </c>
      <c r="N929" s="533" t="str">
        <f t="shared" si="326"/>
        <v/>
      </c>
      <c r="O929" s="534"/>
      <c r="P929" s="533" t="str">
        <f t="shared" si="327"/>
        <v/>
      </c>
      <c r="Q929" s="534" t="str">
        <f>IF(Inventory!L926="","",Inventory!L926)</f>
        <v/>
      </c>
      <c r="R929" s="535" t="str">
        <f t="shared" si="328"/>
        <v/>
      </c>
      <c r="S929" s="536" t="str">
        <f>IF(Inventory!O926="","",Inventory!O926)</f>
        <v/>
      </c>
      <c r="T929" s="541" t="str">
        <f>IFERROR(IF(C929="","",IF(INDEX(xyWattage_Table,MATCH(M929,'Fixture Identities'!$B$9:$B$997,0),2)="Exit Sign",8760,IF(VLOOKUP(C929,xySpace_Type_Details,8,FALSE)="TRM",INDEX('General Information'!$AF$17:$AG$28,11,MATCH(N929,'General Information'!$AF$16:$AG$16,0)),HLOOKUP(VLOOKUP(C929,xySpace_Type_Details,8,FALSE),'General Information'!$P$15:$AG$28,13,FALSE)))),"")</f>
        <v/>
      </c>
      <c r="U929" s="542" t="str">
        <f>IFERROR(IF(C929="","",IF(INDEX(xyWattage_Table,MATCH(M929,'Fixture Identities'!$B$9:$B$997,0),2)="Exit Sign",1,IF(VLOOKUP(C929,xySpace_Type_Details,8,FALSE)="TRM",INDEX('General Information'!$AF$17:$AG$28,12,MATCH(N929,'General Information'!$AF$16:$AG$16,0)),HLOOKUP(VLOOKUP(C929,xySpace_Type_Details,8,FALSE),'General Information'!$P$15:$AG$28,14,FALSE)))),"")</f>
        <v/>
      </c>
      <c r="V929" s="542" t="str">
        <f>IFERROR(VLOOKUP(INDEX(xySpace_Type_Details,MATCH($C929,'General Information'!$C$40:$C$60,0),12),Lookups!$L$8:$N$12,2,FALSE),"")</f>
        <v/>
      </c>
      <c r="W929" s="542" t="str">
        <f>IFERROR(VLOOKUP(INDEX(xySpace_Type_Details,MATCH($C929,'General Information'!$C$40:$C$60,0),12),Lookups!$L$8:$N$12,3,FALSE),"")</f>
        <v/>
      </c>
      <c r="Y929" s="542" t="str">
        <f>IFERROR(IF(C929="","",IF(INDEX(xyWattage_Table,MATCH(M929,'Fixture Identities'!$B$9:$B$997,0),2)="Exit Sign",0,IF(PRJ_Type="Retrofit",VLOOKUP(I929,xySVG_Factors,2,FALSE),IF(AND(PRJ_Type="New Construction",Inventory!C926="N"),VLOOKUP(VLOOKUP(Building_Type,xyLPD_BuildingArea,5,FALSE),xySVG_Factors_NC,3,FALSE),0)))),"")</f>
        <v/>
      </c>
      <c r="Z929" s="544" t="str">
        <f>IFERROR(IF(C929="","",IF(INDEX(xyWattage_Table,MATCH(M929,'Fixture Identities'!$B$9:$B$997,0),2)="Exit Sign",0,VLOOKUP(S929,xySVG_Factors,2,FALSE))),"")</f>
        <v/>
      </c>
      <c r="AA929" s="545" t="str">
        <f t="shared" si="329"/>
        <v/>
      </c>
      <c r="AB929" s="542" t="str">
        <f t="shared" si="330"/>
        <v/>
      </c>
      <c r="AC929" s="539" t="str">
        <f t="shared" si="331"/>
        <v/>
      </c>
      <c r="AD929" s="546" t="str">
        <f t="shared" si="332"/>
        <v/>
      </c>
      <c r="AE929" s="539" t="str">
        <f t="shared" si="333"/>
        <v/>
      </c>
      <c r="AF929" s="546" t="str">
        <f t="shared" si="334"/>
        <v/>
      </c>
      <c r="AG929" s="539" t="str">
        <f t="shared" si="335"/>
        <v/>
      </c>
      <c r="AH929" s="32">
        <f t="shared" si="337"/>
        <v>0</v>
      </c>
      <c r="AI929" s="32">
        <f t="shared" si="338"/>
        <v>0</v>
      </c>
      <c r="AJ929" s="32">
        <f t="shared" si="339"/>
        <v>0</v>
      </c>
      <c r="AK929" t="str">
        <f t="shared" si="340"/>
        <v/>
      </c>
      <c r="AL929" t="str">
        <f t="shared" si="341"/>
        <v/>
      </c>
      <c r="AM929" t="str">
        <f t="shared" si="342"/>
        <v/>
      </c>
      <c r="AO929" t="str">
        <f>IFERROR(VLOOKUP(M929,'Fixture Identities'!$B$9:$O$1045,14,FALSE),"")</f>
        <v/>
      </c>
      <c r="AP929" t="str">
        <f t="shared" si="336"/>
        <v/>
      </c>
    </row>
    <row r="930" spans="1:42">
      <c r="A930" s="71">
        <f t="shared" si="344"/>
        <v>0</v>
      </c>
      <c r="B930" s="513">
        <f t="shared" si="343"/>
        <v>918</v>
      </c>
      <c r="C930" s="530" t="str">
        <f>IF(Inventory!E927="","",Inventory!E927)</f>
        <v/>
      </c>
      <c r="D930" s="531">
        <f>IF(Inventory!D927="",0,Inventory!D927)</f>
        <v>0</v>
      </c>
      <c r="E930" s="532" t="str">
        <f>IF(Inventory!I927=0,"",Inventory!I927)</f>
        <v/>
      </c>
      <c r="F930" s="533" t="str">
        <f t="shared" si="323"/>
        <v/>
      </c>
      <c r="G930" s="534" t="str">
        <f>IF(Inventory!G927="","",Inventory!G927)</f>
        <v/>
      </c>
      <c r="H930" s="535" t="str">
        <f t="shared" si="324"/>
        <v/>
      </c>
      <c r="I930" s="536" t="str">
        <f>IF(Inventory!J927="","",Inventory!J927)</f>
        <v/>
      </c>
      <c r="J930" s="537" t="str">
        <f>IFERROR(IF(PRJ_Type="New Construction",IF(Inventory!C927="N",INDEX(xyLPD_BuildingArea,MATCH(Building_Type,Lookups!$F$37:$F$75,0),4),INDEX(xyLPD_SpaceBySpace,MATCH(INDEX(xyNCEx,MATCH(I930,yNCExArea,0),2),ySpace_by_Space_Type,0),2)),VLOOKUP(E930,xyWattage_Table,11,FALSE)),"")</f>
        <v/>
      </c>
      <c r="K930" s="538" t="str">
        <f>IFERROR(IF(AND(NC_Type="Building Area Method",Inventory!C927="N"),IF(ISERROR(INDEX('Usage Groups (&gt;120 MWh only)'!$N$8:$N$12,MATCH(C930,'Usage Groups (&gt;120 MWh only)'!$B$8:$B$12,0),1))=TRUE,SqFt/COUNTIFS(Inventory!$C$10:$C$1009,"N",$Q$13:$Q$1012,"&gt;=0"),INDEX('Usage Groups (&gt;120 MWh only)'!$N$8:$N$12,MATCH(C930,'Usage Groups (&gt;120 MWh only)'!$B$8:$B$12,0),1)/COUNTIF($C$13:$C$1012,C930)),IF(AND(NC_Type="Building Area Method",Inventory!C927="Y"),INDEX(xyNCEx,MATCH(I930,yNCExArea,0),3)/COUNTIF($I$13:$I$1012,I930),VLOOKUP(J930,xyWattage_Table,10,FALSE))),"")</f>
        <v/>
      </c>
      <c r="L930" s="539" t="str">
        <f t="shared" si="325"/>
        <v/>
      </c>
      <c r="M930" s="540">
        <f>IF(Inventory!N927="","",Inventory!N927)</f>
        <v>0</v>
      </c>
      <c r="N930" s="533" t="str">
        <f t="shared" si="326"/>
        <v/>
      </c>
      <c r="O930" s="534"/>
      <c r="P930" s="533" t="str">
        <f t="shared" si="327"/>
        <v/>
      </c>
      <c r="Q930" s="534" t="str">
        <f>IF(Inventory!L927="","",Inventory!L927)</f>
        <v/>
      </c>
      <c r="R930" s="535" t="str">
        <f t="shared" si="328"/>
        <v/>
      </c>
      <c r="S930" s="536" t="str">
        <f>IF(Inventory!O927="","",Inventory!O927)</f>
        <v/>
      </c>
      <c r="T930" s="541" t="str">
        <f>IFERROR(IF(C930="","",IF(INDEX(xyWattage_Table,MATCH(M930,'Fixture Identities'!$B$9:$B$997,0),2)="Exit Sign",8760,IF(VLOOKUP(C930,xySpace_Type_Details,8,FALSE)="TRM",INDEX('General Information'!$AF$17:$AG$28,11,MATCH(N930,'General Information'!$AF$16:$AG$16,0)),HLOOKUP(VLOOKUP(C930,xySpace_Type_Details,8,FALSE),'General Information'!$P$15:$AG$28,13,FALSE)))),"")</f>
        <v/>
      </c>
      <c r="U930" s="542" t="str">
        <f>IFERROR(IF(C930="","",IF(INDEX(xyWattage_Table,MATCH(M930,'Fixture Identities'!$B$9:$B$997,0),2)="Exit Sign",1,IF(VLOOKUP(C930,xySpace_Type_Details,8,FALSE)="TRM",INDEX('General Information'!$AF$17:$AG$28,12,MATCH(N930,'General Information'!$AF$16:$AG$16,0)),HLOOKUP(VLOOKUP(C930,xySpace_Type_Details,8,FALSE),'General Information'!$P$15:$AG$28,14,FALSE)))),"")</f>
        <v/>
      </c>
      <c r="V930" s="542" t="str">
        <f>IFERROR(VLOOKUP(INDEX(xySpace_Type_Details,MATCH($C930,'General Information'!$C$40:$C$60,0),12),Lookups!$L$8:$N$12,2,FALSE),"")</f>
        <v/>
      </c>
      <c r="W930" s="542" t="str">
        <f>IFERROR(VLOOKUP(INDEX(xySpace_Type_Details,MATCH($C930,'General Information'!$C$40:$C$60,0),12),Lookups!$L$8:$N$12,3,FALSE),"")</f>
        <v/>
      </c>
      <c r="Y930" s="542" t="str">
        <f>IFERROR(IF(C930="","",IF(INDEX(xyWattage_Table,MATCH(M930,'Fixture Identities'!$B$9:$B$997,0),2)="Exit Sign",0,IF(PRJ_Type="Retrofit",VLOOKUP(I930,xySVG_Factors,2,FALSE),IF(AND(PRJ_Type="New Construction",Inventory!C927="N"),VLOOKUP(VLOOKUP(Building_Type,xyLPD_BuildingArea,5,FALSE),xySVG_Factors_NC,3,FALSE),0)))),"")</f>
        <v/>
      </c>
      <c r="Z930" s="544" t="str">
        <f>IFERROR(IF(C930="","",IF(INDEX(xyWattage_Table,MATCH(M930,'Fixture Identities'!$B$9:$B$997,0),2)="Exit Sign",0,VLOOKUP(S930,xySVG_Factors,2,FALSE))),"")</f>
        <v/>
      </c>
      <c r="AA930" s="545" t="str">
        <f t="shared" si="329"/>
        <v/>
      </c>
      <c r="AB930" s="542" t="str">
        <f t="shared" si="330"/>
        <v/>
      </c>
      <c r="AC930" s="539" t="str">
        <f t="shared" si="331"/>
        <v/>
      </c>
      <c r="AD930" s="546" t="str">
        <f t="shared" si="332"/>
        <v/>
      </c>
      <c r="AE930" s="539" t="str">
        <f t="shared" si="333"/>
        <v/>
      </c>
      <c r="AF930" s="546" t="str">
        <f t="shared" si="334"/>
        <v/>
      </c>
      <c r="AG930" s="539" t="str">
        <f t="shared" si="335"/>
        <v/>
      </c>
      <c r="AH930" s="32">
        <f t="shared" si="337"/>
        <v>0</v>
      </c>
      <c r="AI930" s="32">
        <f t="shared" si="338"/>
        <v>0</v>
      </c>
      <c r="AJ930" s="32">
        <f t="shared" si="339"/>
        <v>0</v>
      </c>
      <c r="AK930" t="str">
        <f t="shared" si="340"/>
        <v/>
      </c>
      <c r="AL930" t="str">
        <f t="shared" si="341"/>
        <v/>
      </c>
      <c r="AM930" t="str">
        <f t="shared" si="342"/>
        <v/>
      </c>
      <c r="AO930" t="str">
        <f>IFERROR(VLOOKUP(M930,'Fixture Identities'!$B$9:$O$1045,14,FALSE),"")</f>
        <v/>
      </c>
      <c r="AP930" t="str">
        <f t="shared" si="336"/>
        <v/>
      </c>
    </row>
    <row r="931" spans="1:42">
      <c r="A931" s="71">
        <f t="shared" si="344"/>
        <v>0</v>
      </c>
      <c r="B931" s="513">
        <f t="shared" si="343"/>
        <v>919</v>
      </c>
      <c r="C931" s="530" t="str">
        <f>IF(Inventory!E928="","",Inventory!E928)</f>
        <v/>
      </c>
      <c r="D931" s="531">
        <f>IF(Inventory!D928="",0,Inventory!D928)</f>
        <v>0</v>
      </c>
      <c r="E931" s="532" t="str">
        <f>IF(Inventory!I928=0,"",Inventory!I928)</f>
        <v/>
      </c>
      <c r="F931" s="533" t="str">
        <f t="shared" si="323"/>
        <v/>
      </c>
      <c r="G931" s="534" t="str">
        <f>IF(Inventory!G928="","",Inventory!G928)</f>
        <v/>
      </c>
      <c r="H931" s="535" t="str">
        <f t="shared" si="324"/>
        <v/>
      </c>
      <c r="I931" s="536" t="str">
        <f>IF(Inventory!J928="","",Inventory!J928)</f>
        <v/>
      </c>
      <c r="J931" s="537" t="str">
        <f>IFERROR(IF(PRJ_Type="New Construction",IF(Inventory!C928="N",INDEX(xyLPD_BuildingArea,MATCH(Building_Type,Lookups!$F$37:$F$75,0),4),INDEX(xyLPD_SpaceBySpace,MATCH(INDEX(xyNCEx,MATCH(I931,yNCExArea,0),2),ySpace_by_Space_Type,0),2)),VLOOKUP(E931,xyWattage_Table,11,FALSE)),"")</f>
        <v/>
      </c>
      <c r="K931" s="538" t="str">
        <f>IFERROR(IF(AND(NC_Type="Building Area Method",Inventory!C928="N"),IF(ISERROR(INDEX('Usage Groups (&gt;120 MWh only)'!$N$8:$N$12,MATCH(C931,'Usage Groups (&gt;120 MWh only)'!$B$8:$B$12,0),1))=TRUE,SqFt/COUNTIFS(Inventory!$C$10:$C$1009,"N",$Q$13:$Q$1012,"&gt;=0"),INDEX('Usage Groups (&gt;120 MWh only)'!$N$8:$N$12,MATCH(C931,'Usage Groups (&gt;120 MWh only)'!$B$8:$B$12,0),1)/COUNTIF($C$13:$C$1012,C931)),IF(AND(NC_Type="Building Area Method",Inventory!C928="Y"),INDEX(xyNCEx,MATCH(I931,yNCExArea,0),3)/COUNTIF($I$13:$I$1012,I931),VLOOKUP(J931,xyWattage_Table,10,FALSE))),"")</f>
        <v/>
      </c>
      <c r="L931" s="539" t="str">
        <f t="shared" si="325"/>
        <v/>
      </c>
      <c r="M931" s="540">
        <f>IF(Inventory!N928="","",Inventory!N928)</f>
        <v>0</v>
      </c>
      <c r="N931" s="533" t="str">
        <f t="shared" si="326"/>
        <v/>
      </c>
      <c r="O931" s="534"/>
      <c r="P931" s="533" t="str">
        <f t="shared" si="327"/>
        <v/>
      </c>
      <c r="Q931" s="534" t="str">
        <f>IF(Inventory!L928="","",Inventory!L928)</f>
        <v/>
      </c>
      <c r="R931" s="535" t="str">
        <f t="shared" si="328"/>
        <v/>
      </c>
      <c r="S931" s="536" t="str">
        <f>IF(Inventory!O928="","",Inventory!O928)</f>
        <v/>
      </c>
      <c r="T931" s="541" t="str">
        <f>IFERROR(IF(C931="","",IF(INDEX(xyWattage_Table,MATCH(M931,'Fixture Identities'!$B$9:$B$997,0),2)="Exit Sign",8760,IF(VLOOKUP(C931,xySpace_Type_Details,8,FALSE)="TRM",INDEX('General Information'!$AF$17:$AG$28,11,MATCH(N931,'General Information'!$AF$16:$AG$16,0)),HLOOKUP(VLOOKUP(C931,xySpace_Type_Details,8,FALSE),'General Information'!$P$15:$AG$28,13,FALSE)))),"")</f>
        <v/>
      </c>
      <c r="U931" s="542" t="str">
        <f>IFERROR(IF(C931="","",IF(INDEX(xyWattage_Table,MATCH(M931,'Fixture Identities'!$B$9:$B$997,0),2)="Exit Sign",1,IF(VLOOKUP(C931,xySpace_Type_Details,8,FALSE)="TRM",INDEX('General Information'!$AF$17:$AG$28,12,MATCH(N931,'General Information'!$AF$16:$AG$16,0)),HLOOKUP(VLOOKUP(C931,xySpace_Type_Details,8,FALSE),'General Information'!$P$15:$AG$28,14,FALSE)))),"")</f>
        <v/>
      </c>
      <c r="V931" s="542" t="str">
        <f>IFERROR(VLOOKUP(INDEX(xySpace_Type_Details,MATCH($C931,'General Information'!$C$40:$C$60,0),12),Lookups!$L$8:$N$12,2,FALSE),"")</f>
        <v/>
      </c>
      <c r="W931" s="542" t="str">
        <f>IFERROR(VLOOKUP(INDEX(xySpace_Type_Details,MATCH($C931,'General Information'!$C$40:$C$60,0),12),Lookups!$L$8:$N$12,3,FALSE),"")</f>
        <v/>
      </c>
      <c r="Y931" s="542" t="str">
        <f>IFERROR(IF(C931="","",IF(INDEX(xyWattage_Table,MATCH(M931,'Fixture Identities'!$B$9:$B$997,0),2)="Exit Sign",0,IF(PRJ_Type="Retrofit",VLOOKUP(I931,xySVG_Factors,2,FALSE),IF(AND(PRJ_Type="New Construction",Inventory!C928="N"),VLOOKUP(VLOOKUP(Building_Type,xyLPD_BuildingArea,5,FALSE),xySVG_Factors_NC,3,FALSE),0)))),"")</f>
        <v/>
      </c>
      <c r="Z931" s="544" t="str">
        <f>IFERROR(IF(C931="","",IF(INDEX(xyWattage_Table,MATCH(M931,'Fixture Identities'!$B$9:$B$997,0),2)="Exit Sign",0,VLOOKUP(S931,xySVG_Factors,2,FALSE))),"")</f>
        <v/>
      </c>
      <c r="AA931" s="545" t="str">
        <f t="shared" si="329"/>
        <v/>
      </c>
      <c r="AB931" s="542" t="str">
        <f t="shared" si="330"/>
        <v/>
      </c>
      <c r="AC931" s="539" t="str">
        <f t="shared" si="331"/>
        <v/>
      </c>
      <c r="AD931" s="546" t="str">
        <f t="shared" si="332"/>
        <v/>
      </c>
      <c r="AE931" s="539" t="str">
        <f t="shared" si="333"/>
        <v/>
      </c>
      <c r="AF931" s="546" t="str">
        <f t="shared" si="334"/>
        <v/>
      </c>
      <c r="AG931" s="539" t="str">
        <f t="shared" si="335"/>
        <v/>
      </c>
      <c r="AH931" s="32">
        <f t="shared" si="337"/>
        <v>0</v>
      </c>
      <c r="AI931" s="32">
        <f t="shared" si="338"/>
        <v>0</v>
      </c>
      <c r="AJ931" s="32">
        <f t="shared" si="339"/>
        <v>0</v>
      </c>
      <c r="AK931" t="str">
        <f t="shared" si="340"/>
        <v/>
      </c>
      <c r="AL931" t="str">
        <f t="shared" si="341"/>
        <v/>
      </c>
      <c r="AM931" t="str">
        <f t="shared" si="342"/>
        <v/>
      </c>
      <c r="AO931" t="str">
        <f>IFERROR(VLOOKUP(M931,'Fixture Identities'!$B$9:$O$1045,14,FALSE),"")</f>
        <v/>
      </c>
      <c r="AP931" t="str">
        <f t="shared" si="336"/>
        <v/>
      </c>
    </row>
    <row r="932" spans="1:42">
      <c r="A932" s="71">
        <f t="shared" si="344"/>
        <v>0</v>
      </c>
      <c r="B932" s="513">
        <f t="shared" si="343"/>
        <v>920</v>
      </c>
      <c r="C932" s="530" t="str">
        <f>IF(Inventory!E929="","",Inventory!E929)</f>
        <v/>
      </c>
      <c r="D932" s="531">
        <f>IF(Inventory!D929="",0,Inventory!D929)</f>
        <v>0</v>
      </c>
      <c r="E932" s="532" t="str">
        <f>IF(Inventory!I929=0,"",Inventory!I929)</f>
        <v/>
      </c>
      <c r="F932" s="533" t="str">
        <f t="shared" si="323"/>
        <v/>
      </c>
      <c r="G932" s="534" t="str">
        <f>IF(Inventory!G929="","",Inventory!G929)</f>
        <v/>
      </c>
      <c r="H932" s="535" t="str">
        <f t="shared" si="324"/>
        <v/>
      </c>
      <c r="I932" s="536" t="str">
        <f>IF(Inventory!J929="","",Inventory!J929)</f>
        <v/>
      </c>
      <c r="J932" s="537" t="str">
        <f>IFERROR(IF(PRJ_Type="New Construction",IF(Inventory!C929="N",INDEX(xyLPD_BuildingArea,MATCH(Building_Type,Lookups!$F$37:$F$75,0),4),INDEX(xyLPD_SpaceBySpace,MATCH(INDEX(xyNCEx,MATCH(I932,yNCExArea,0),2),ySpace_by_Space_Type,0),2)),VLOOKUP(E932,xyWattage_Table,11,FALSE)),"")</f>
        <v/>
      </c>
      <c r="K932" s="538" t="str">
        <f>IFERROR(IF(AND(NC_Type="Building Area Method",Inventory!C929="N"),IF(ISERROR(INDEX('Usage Groups (&gt;120 MWh only)'!$N$8:$N$12,MATCH(C932,'Usage Groups (&gt;120 MWh only)'!$B$8:$B$12,0),1))=TRUE,SqFt/COUNTIFS(Inventory!$C$10:$C$1009,"N",$Q$13:$Q$1012,"&gt;=0"),INDEX('Usage Groups (&gt;120 MWh only)'!$N$8:$N$12,MATCH(C932,'Usage Groups (&gt;120 MWh only)'!$B$8:$B$12,0),1)/COUNTIF($C$13:$C$1012,C932)),IF(AND(NC_Type="Building Area Method",Inventory!C929="Y"),INDEX(xyNCEx,MATCH(I932,yNCExArea,0),3)/COUNTIF($I$13:$I$1012,I932),VLOOKUP(J932,xyWattage_Table,10,FALSE))),"")</f>
        <v/>
      </c>
      <c r="L932" s="539" t="str">
        <f t="shared" si="325"/>
        <v/>
      </c>
      <c r="M932" s="540">
        <f>IF(Inventory!N929="","",Inventory!N929)</f>
        <v>0</v>
      </c>
      <c r="N932" s="533" t="str">
        <f t="shared" si="326"/>
        <v/>
      </c>
      <c r="O932" s="534"/>
      <c r="P932" s="533" t="str">
        <f t="shared" si="327"/>
        <v/>
      </c>
      <c r="Q932" s="534" t="str">
        <f>IF(Inventory!L929="","",Inventory!L929)</f>
        <v/>
      </c>
      <c r="R932" s="535" t="str">
        <f t="shared" si="328"/>
        <v/>
      </c>
      <c r="S932" s="536" t="str">
        <f>IF(Inventory!O929="","",Inventory!O929)</f>
        <v/>
      </c>
      <c r="T932" s="541" t="str">
        <f>IFERROR(IF(C932="","",IF(INDEX(xyWattage_Table,MATCH(M932,'Fixture Identities'!$B$9:$B$997,0),2)="Exit Sign",8760,IF(VLOOKUP(C932,xySpace_Type_Details,8,FALSE)="TRM",INDEX('General Information'!$AF$17:$AG$28,11,MATCH(N932,'General Information'!$AF$16:$AG$16,0)),HLOOKUP(VLOOKUP(C932,xySpace_Type_Details,8,FALSE),'General Information'!$P$15:$AG$28,13,FALSE)))),"")</f>
        <v/>
      </c>
      <c r="U932" s="542" t="str">
        <f>IFERROR(IF(C932="","",IF(INDEX(xyWattage_Table,MATCH(M932,'Fixture Identities'!$B$9:$B$997,0),2)="Exit Sign",1,IF(VLOOKUP(C932,xySpace_Type_Details,8,FALSE)="TRM",INDEX('General Information'!$AF$17:$AG$28,12,MATCH(N932,'General Information'!$AF$16:$AG$16,0)),HLOOKUP(VLOOKUP(C932,xySpace_Type_Details,8,FALSE),'General Information'!$P$15:$AG$28,14,FALSE)))),"")</f>
        <v/>
      </c>
      <c r="V932" s="542" t="str">
        <f>IFERROR(VLOOKUP(INDEX(xySpace_Type_Details,MATCH($C932,'General Information'!$C$40:$C$60,0),12),Lookups!$L$8:$N$12,2,FALSE),"")</f>
        <v/>
      </c>
      <c r="W932" s="542" t="str">
        <f>IFERROR(VLOOKUP(INDEX(xySpace_Type_Details,MATCH($C932,'General Information'!$C$40:$C$60,0),12),Lookups!$L$8:$N$12,3,FALSE),"")</f>
        <v/>
      </c>
      <c r="Y932" s="542" t="str">
        <f>IFERROR(IF(C932="","",IF(INDEX(xyWattage_Table,MATCH(M932,'Fixture Identities'!$B$9:$B$997,0),2)="Exit Sign",0,IF(PRJ_Type="Retrofit",VLOOKUP(I932,xySVG_Factors,2,FALSE),IF(AND(PRJ_Type="New Construction",Inventory!C929="N"),VLOOKUP(VLOOKUP(Building_Type,xyLPD_BuildingArea,5,FALSE),xySVG_Factors_NC,3,FALSE),0)))),"")</f>
        <v/>
      </c>
      <c r="Z932" s="544" t="str">
        <f>IFERROR(IF(C932="","",IF(INDEX(xyWattage_Table,MATCH(M932,'Fixture Identities'!$B$9:$B$997,0),2)="Exit Sign",0,VLOOKUP(S932,xySVG_Factors,2,FALSE))),"")</f>
        <v/>
      </c>
      <c r="AA932" s="545" t="str">
        <f t="shared" si="329"/>
        <v/>
      </c>
      <c r="AB932" s="542" t="str">
        <f t="shared" si="330"/>
        <v/>
      </c>
      <c r="AC932" s="539" t="str">
        <f t="shared" si="331"/>
        <v/>
      </c>
      <c r="AD932" s="546" t="str">
        <f t="shared" si="332"/>
        <v/>
      </c>
      <c r="AE932" s="539" t="str">
        <f t="shared" si="333"/>
        <v/>
      </c>
      <c r="AF932" s="546" t="str">
        <f t="shared" si="334"/>
        <v/>
      </c>
      <c r="AG932" s="539" t="str">
        <f t="shared" si="335"/>
        <v/>
      </c>
      <c r="AH932" s="32">
        <f t="shared" si="337"/>
        <v>0</v>
      </c>
      <c r="AI932" s="32">
        <f t="shared" si="338"/>
        <v>0</v>
      </c>
      <c r="AJ932" s="32">
        <f t="shared" si="339"/>
        <v>0</v>
      </c>
      <c r="AK932" t="str">
        <f t="shared" si="340"/>
        <v/>
      </c>
      <c r="AL932" t="str">
        <f t="shared" si="341"/>
        <v/>
      </c>
      <c r="AM932" t="str">
        <f t="shared" si="342"/>
        <v/>
      </c>
      <c r="AO932" t="str">
        <f>IFERROR(VLOOKUP(M932,'Fixture Identities'!$B$9:$O$1045,14,FALSE),"")</f>
        <v/>
      </c>
      <c r="AP932" t="str">
        <f t="shared" si="336"/>
        <v/>
      </c>
    </row>
    <row r="933" spans="1:42">
      <c r="A933" s="71">
        <f t="shared" si="344"/>
        <v>0</v>
      </c>
      <c r="B933" s="513">
        <f t="shared" si="343"/>
        <v>921</v>
      </c>
      <c r="C933" s="530" t="str">
        <f>IF(Inventory!E930="","",Inventory!E930)</f>
        <v/>
      </c>
      <c r="D933" s="531">
        <f>IF(Inventory!D930="",0,Inventory!D930)</f>
        <v>0</v>
      </c>
      <c r="E933" s="532" t="str">
        <f>IF(Inventory!I930=0,"",Inventory!I930)</f>
        <v/>
      </c>
      <c r="F933" s="533" t="str">
        <f t="shared" si="323"/>
        <v/>
      </c>
      <c r="G933" s="534" t="str">
        <f>IF(Inventory!G930="","",Inventory!G930)</f>
        <v/>
      </c>
      <c r="H933" s="535" t="str">
        <f t="shared" si="324"/>
        <v/>
      </c>
      <c r="I933" s="536" t="str">
        <f>IF(Inventory!J930="","",Inventory!J930)</f>
        <v/>
      </c>
      <c r="J933" s="537" t="str">
        <f>IFERROR(IF(PRJ_Type="New Construction",IF(Inventory!C930="N",INDEX(xyLPD_BuildingArea,MATCH(Building_Type,Lookups!$F$37:$F$75,0),4),INDEX(xyLPD_SpaceBySpace,MATCH(INDEX(xyNCEx,MATCH(I933,yNCExArea,0),2),ySpace_by_Space_Type,0),2)),VLOOKUP(E933,xyWattage_Table,11,FALSE)),"")</f>
        <v/>
      </c>
      <c r="K933" s="538" t="str">
        <f>IFERROR(IF(AND(NC_Type="Building Area Method",Inventory!C930="N"),IF(ISERROR(INDEX('Usage Groups (&gt;120 MWh only)'!$N$8:$N$12,MATCH(C933,'Usage Groups (&gt;120 MWh only)'!$B$8:$B$12,0),1))=TRUE,SqFt/COUNTIFS(Inventory!$C$10:$C$1009,"N",$Q$13:$Q$1012,"&gt;=0"),INDEX('Usage Groups (&gt;120 MWh only)'!$N$8:$N$12,MATCH(C933,'Usage Groups (&gt;120 MWh only)'!$B$8:$B$12,0),1)/COUNTIF($C$13:$C$1012,C933)),IF(AND(NC_Type="Building Area Method",Inventory!C930="Y"),INDEX(xyNCEx,MATCH(I933,yNCExArea,0),3)/COUNTIF($I$13:$I$1012,I933),VLOOKUP(J933,xyWattage_Table,10,FALSE))),"")</f>
        <v/>
      </c>
      <c r="L933" s="539" t="str">
        <f t="shared" si="325"/>
        <v/>
      </c>
      <c r="M933" s="540">
        <f>IF(Inventory!N930="","",Inventory!N930)</f>
        <v>0</v>
      </c>
      <c r="N933" s="533" t="str">
        <f t="shared" si="326"/>
        <v/>
      </c>
      <c r="O933" s="534"/>
      <c r="P933" s="533" t="str">
        <f t="shared" si="327"/>
        <v/>
      </c>
      <c r="Q933" s="534" t="str">
        <f>IF(Inventory!L930="","",Inventory!L930)</f>
        <v/>
      </c>
      <c r="R933" s="535" t="str">
        <f t="shared" si="328"/>
        <v/>
      </c>
      <c r="S933" s="536" t="str">
        <f>IF(Inventory!O930="","",Inventory!O930)</f>
        <v/>
      </c>
      <c r="T933" s="541" t="str">
        <f>IFERROR(IF(C933="","",IF(INDEX(xyWattage_Table,MATCH(M933,'Fixture Identities'!$B$9:$B$997,0),2)="Exit Sign",8760,IF(VLOOKUP(C933,xySpace_Type_Details,8,FALSE)="TRM",INDEX('General Information'!$AF$17:$AG$28,11,MATCH(N933,'General Information'!$AF$16:$AG$16,0)),HLOOKUP(VLOOKUP(C933,xySpace_Type_Details,8,FALSE),'General Information'!$P$15:$AG$28,13,FALSE)))),"")</f>
        <v/>
      </c>
      <c r="U933" s="542" t="str">
        <f>IFERROR(IF(C933="","",IF(INDEX(xyWattage_Table,MATCH(M933,'Fixture Identities'!$B$9:$B$997,0),2)="Exit Sign",1,IF(VLOOKUP(C933,xySpace_Type_Details,8,FALSE)="TRM",INDEX('General Information'!$AF$17:$AG$28,12,MATCH(N933,'General Information'!$AF$16:$AG$16,0)),HLOOKUP(VLOOKUP(C933,xySpace_Type_Details,8,FALSE),'General Information'!$P$15:$AG$28,14,FALSE)))),"")</f>
        <v/>
      </c>
      <c r="V933" s="542" t="str">
        <f>IFERROR(VLOOKUP(INDEX(xySpace_Type_Details,MATCH($C933,'General Information'!$C$40:$C$60,0),12),Lookups!$L$8:$N$12,2,FALSE),"")</f>
        <v/>
      </c>
      <c r="W933" s="542" t="str">
        <f>IFERROR(VLOOKUP(INDEX(xySpace_Type_Details,MATCH($C933,'General Information'!$C$40:$C$60,0),12),Lookups!$L$8:$N$12,3,FALSE),"")</f>
        <v/>
      </c>
      <c r="Y933" s="542" t="str">
        <f>IFERROR(IF(C933="","",IF(INDEX(xyWattage_Table,MATCH(M933,'Fixture Identities'!$B$9:$B$997,0),2)="Exit Sign",0,IF(PRJ_Type="Retrofit",VLOOKUP(I933,xySVG_Factors,2,FALSE),IF(AND(PRJ_Type="New Construction",Inventory!C930="N"),VLOOKUP(VLOOKUP(Building_Type,xyLPD_BuildingArea,5,FALSE),xySVG_Factors_NC,3,FALSE),0)))),"")</f>
        <v/>
      </c>
      <c r="Z933" s="544" t="str">
        <f>IFERROR(IF(C933="","",IF(INDEX(xyWattage_Table,MATCH(M933,'Fixture Identities'!$B$9:$B$997,0),2)="Exit Sign",0,VLOOKUP(S933,xySVG_Factors,2,FALSE))),"")</f>
        <v/>
      </c>
      <c r="AA933" s="545" t="str">
        <f t="shared" si="329"/>
        <v/>
      </c>
      <c r="AB933" s="542" t="str">
        <f t="shared" si="330"/>
        <v/>
      </c>
      <c r="AC933" s="539" t="str">
        <f t="shared" si="331"/>
        <v/>
      </c>
      <c r="AD933" s="546" t="str">
        <f t="shared" si="332"/>
        <v/>
      </c>
      <c r="AE933" s="539" t="str">
        <f t="shared" si="333"/>
        <v/>
      </c>
      <c r="AF933" s="546" t="str">
        <f t="shared" si="334"/>
        <v/>
      </c>
      <c r="AG933" s="539" t="str">
        <f t="shared" si="335"/>
        <v/>
      </c>
      <c r="AH933" s="32">
        <f t="shared" si="337"/>
        <v>0</v>
      </c>
      <c r="AI933" s="32">
        <f t="shared" si="338"/>
        <v>0</v>
      </c>
      <c r="AJ933" s="32">
        <f t="shared" si="339"/>
        <v>0</v>
      </c>
      <c r="AK933" t="str">
        <f t="shared" si="340"/>
        <v/>
      </c>
      <c r="AL933" t="str">
        <f t="shared" si="341"/>
        <v/>
      </c>
      <c r="AM933" t="str">
        <f t="shared" si="342"/>
        <v/>
      </c>
      <c r="AO933" t="str">
        <f>IFERROR(VLOOKUP(M933,'Fixture Identities'!$B$9:$O$1045,14,FALSE),"")</f>
        <v/>
      </c>
      <c r="AP933" t="str">
        <f t="shared" si="336"/>
        <v/>
      </c>
    </row>
    <row r="934" spans="1:42">
      <c r="A934" s="71">
        <f t="shared" si="344"/>
        <v>0</v>
      </c>
      <c r="B934" s="513">
        <f t="shared" si="343"/>
        <v>922</v>
      </c>
      <c r="C934" s="530" t="str">
        <f>IF(Inventory!E931="","",Inventory!E931)</f>
        <v/>
      </c>
      <c r="D934" s="531">
        <f>IF(Inventory!D931="",0,Inventory!D931)</f>
        <v>0</v>
      </c>
      <c r="E934" s="532" t="str">
        <f>IF(Inventory!I931=0,"",Inventory!I931)</f>
        <v/>
      </c>
      <c r="F934" s="533" t="str">
        <f t="shared" si="323"/>
        <v/>
      </c>
      <c r="G934" s="534" t="str">
        <f>IF(Inventory!G931="","",Inventory!G931)</f>
        <v/>
      </c>
      <c r="H934" s="535" t="str">
        <f t="shared" si="324"/>
        <v/>
      </c>
      <c r="I934" s="536" t="str">
        <f>IF(Inventory!J931="","",Inventory!J931)</f>
        <v/>
      </c>
      <c r="J934" s="537" t="str">
        <f>IFERROR(IF(PRJ_Type="New Construction",IF(Inventory!C931="N",INDEX(xyLPD_BuildingArea,MATCH(Building_Type,Lookups!$F$37:$F$75,0),4),INDEX(xyLPD_SpaceBySpace,MATCH(INDEX(xyNCEx,MATCH(I934,yNCExArea,0),2),ySpace_by_Space_Type,0),2)),VLOOKUP(E934,xyWattage_Table,11,FALSE)),"")</f>
        <v/>
      </c>
      <c r="K934" s="538" t="str">
        <f>IFERROR(IF(AND(NC_Type="Building Area Method",Inventory!C931="N"),IF(ISERROR(INDEX('Usage Groups (&gt;120 MWh only)'!$N$8:$N$12,MATCH(C934,'Usage Groups (&gt;120 MWh only)'!$B$8:$B$12,0),1))=TRUE,SqFt/COUNTIFS(Inventory!$C$10:$C$1009,"N",$Q$13:$Q$1012,"&gt;=0"),INDEX('Usage Groups (&gt;120 MWh only)'!$N$8:$N$12,MATCH(C934,'Usage Groups (&gt;120 MWh only)'!$B$8:$B$12,0),1)/COUNTIF($C$13:$C$1012,C934)),IF(AND(NC_Type="Building Area Method",Inventory!C931="Y"),INDEX(xyNCEx,MATCH(I934,yNCExArea,0),3)/COUNTIF($I$13:$I$1012,I934),VLOOKUP(J934,xyWattage_Table,10,FALSE))),"")</f>
        <v/>
      </c>
      <c r="L934" s="539" t="str">
        <f t="shared" si="325"/>
        <v/>
      </c>
      <c r="M934" s="540">
        <f>IF(Inventory!N931="","",Inventory!N931)</f>
        <v>0</v>
      </c>
      <c r="N934" s="533" t="str">
        <f t="shared" si="326"/>
        <v/>
      </c>
      <c r="O934" s="534"/>
      <c r="P934" s="533" t="str">
        <f t="shared" si="327"/>
        <v/>
      </c>
      <c r="Q934" s="534" t="str">
        <f>IF(Inventory!L931="","",Inventory!L931)</f>
        <v/>
      </c>
      <c r="R934" s="535" t="str">
        <f t="shared" si="328"/>
        <v/>
      </c>
      <c r="S934" s="536" t="str">
        <f>IF(Inventory!O931="","",Inventory!O931)</f>
        <v/>
      </c>
      <c r="T934" s="541" t="str">
        <f>IFERROR(IF(C934="","",IF(INDEX(xyWattage_Table,MATCH(M934,'Fixture Identities'!$B$9:$B$997,0),2)="Exit Sign",8760,IF(VLOOKUP(C934,xySpace_Type_Details,8,FALSE)="TRM",INDEX('General Information'!$AF$17:$AG$28,11,MATCH(N934,'General Information'!$AF$16:$AG$16,0)),HLOOKUP(VLOOKUP(C934,xySpace_Type_Details,8,FALSE),'General Information'!$P$15:$AG$28,13,FALSE)))),"")</f>
        <v/>
      </c>
      <c r="U934" s="542" t="str">
        <f>IFERROR(IF(C934="","",IF(INDEX(xyWattage_Table,MATCH(M934,'Fixture Identities'!$B$9:$B$997,0),2)="Exit Sign",1,IF(VLOOKUP(C934,xySpace_Type_Details,8,FALSE)="TRM",INDEX('General Information'!$AF$17:$AG$28,12,MATCH(N934,'General Information'!$AF$16:$AG$16,0)),HLOOKUP(VLOOKUP(C934,xySpace_Type_Details,8,FALSE),'General Information'!$P$15:$AG$28,14,FALSE)))),"")</f>
        <v/>
      </c>
      <c r="V934" s="542" t="str">
        <f>IFERROR(VLOOKUP(INDEX(xySpace_Type_Details,MATCH($C934,'General Information'!$C$40:$C$60,0),12),Lookups!$L$8:$N$12,2,FALSE),"")</f>
        <v/>
      </c>
      <c r="W934" s="542" t="str">
        <f>IFERROR(VLOOKUP(INDEX(xySpace_Type_Details,MATCH($C934,'General Information'!$C$40:$C$60,0),12),Lookups!$L$8:$N$12,3,FALSE),"")</f>
        <v/>
      </c>
      <c r="Y934" s="542" t="str">
        <f>IFERROR(IF(C934="","",IF(INDEX(xyWattage_Table,MATCH(M934,'Fixture Identities'!$B$9:$B$997,0),2)="Exit Sign",0,IF(PRJ_Type="Retrofit",VLOOKUP(I934,xySVG_Factors,2,FALSE),IF(AND(PRJ_Type="New Construction",Inventory!C931="N"),VLOOKUP(VLOOKUP(Building_Type,xyLPD_BuildingArea,5,FALSE),xySVG_Factors_NC,3,FALSE),0)))),"")</f>
        <v/>
      </c>
      <c r="Z934" s="544" t="str">
        <f>IFERROR(IF(C934="","",IF(INDEX(xyWattage_Table,MATCH(M934,'Fixture Identities'!$B$9:$B$997,0),2)="Exit Sign",0,VLOOKUP(S934,xySVG_Factors,2,FALSE))),"")</f>
        <v/>
      </c>
      <c r="AA934" s="545" t="str">
        <f t="shared" si="329"/>
        <v/>
      </c>
      <c r="AB934" s="542" t="str">
        <f t="shared" si="330"/>
        <v/>
      </c>
      <c r="AC934" s="539" t="str">
        <f t="shared" si="331"/>
        <v/>
      </c>
      <c r="AD934" s="546" t="str">
        <f t="shared" si="332"/>
        <v/>
      </c>
      <c r="AE934" s="539" t="str">
        <f t="shared" si="333"/>
        <v/>
      </c>
      <c r="AF934" s="546" t="str">
        <f t="shared" si="334"/>
        <v/>
      </c>
      <c r="AG934" s="539" t="str">
        <f t="shared" si="335"/>
        <v/>
      </c>
      <c r="AH934" s="32">
        <f t="shared" si="337"/>
        <v>0</v>
      </c>
      <c r="AI934" s="32">
        <f t="shared" si="338"/>
        <v>0</v>
      </c>
      <c r="AJ934" s="32">
        <f t="shared" si="339"/>
        <v>0</v>
      </c>
      <c r="AK934" t="str">
        <f t="shared" si="340"/>
        <v/>
      </c>
      <c r="AL934" t="str">
        <f t="shared" si="341"/>
        <v/>
      </c>
      <c r="AM934" t="str">
        <f t="shared" si="342"/>
        <v/>
      </c>
      <c r="AO934" t="str">
        <f>IFERROR(VLOOKUP(M934,'Fixture Identities'!$B$9:$O$1045,14,FALSE),"")</f>
        <v/>
      </c>
      <c r="AP934" t="str">
        <f t="shared" si="336"/>
        <v/>
      </c>
    </row>
    <row r="935" spans="1:42">
      <c r="A935" s="71">
        <f t="shared" si="344"/>
        <v>0</v>
      </c>
      <c r="B935" s="513">
        <f t="shared" si="343"/>
        <v>923</v>
      </c>
      <c r="C935" s="530" t="str">
        <f>IF(Inventory!E932="","",Inventory!E932)</f>
        <v/>
      </c>
      <c r="D935" s="531">
        <f>IF(Inventory!D932="",0,Inventory!D932)</f>
        <v>0</v>
      </c>
      <c r="E935" s="532" t="str">
        <f>IF(Inventory!I932=0,"",Inventory!I932)</f>
        <v/>
      </c>
      <c r="F935" s="533" t="str">
        <f t="shared" si="323"/>
        <v/>
      </c>
      <c r="G935" s="534" t="str">
        <f>IF(Inventory!G932="","",Inventory!G932)</f>
        <v/>
      </c>
      <c r="H935" s="535" t="str">
        <f t="shared" si="324"/>
        <v/>
      </c>
      <c r="I935" s="536" t="str">
        <f>IF(Inventory!J932="","",Inventory!J932)</f>
        <v/>
      </c>
      <c r="J935" s="537" t="str">
        <f>IFERROR(IF(PRJ_Type="New Construction",IF(Inventory!C932="N",INDEX(xyLPD_BuildingArea,MATCH(Building_Type,Lookups!$F$37:$F$75,0),4),INDEX(xyLPD_SpaceBySpace,MATCH(INDEX(xyNCEx,MATCH(I935,yNCExArea,0),2),ySpace_by_Space_Type,0),2)),VLOOKUP(E935,xyWattage_Table,11,FALSE)),"")</f>
        <v/>
      </c>
      <c r="K935" s="538" t="str">
        <f>IFERROR(IF(AND(NC_Type="Building Area Method",Inventory!C932="N"),IF(ISERROR(INDEX('Usage Groups (&gt;120 MWh only)'!$N$8:$N$12,MATCH(C935,'Usage Groups (&gt;120 MWh only)'!$B$8:$B$12,0),1))=TRUE,SqFt/COUNTIFS(Inventory!$C$10:$C$1009,"N",$Q$13:$Q$1012,"&gt;=0"),INDEX('Usage Groups (&gt;120 MWh only)'!$N$8:$N$12,MATCH(C935,'Usage Groups (&gt;120 MWh only)'!$B$8:$B$12,0),1)/COUNTIF($C$13:$C$1012,C935)),IF(AND(NC_Type="Building Area Method",Inventory!C932="Y"),INDEX(xyNCEx,MATCH(I935,yNCExArea,0),3)/COUNTIF($I$13:$I$1012,I935),VLOOKUP(J935,xyWattage_Table,10,FALSE))),"")</f>
        <v/>
      </c>
      <c r="L935" s="539" t="str">
        <f t="shared" si="325"/>
        <v/>
      </c>
      <c r="M935" s="540">
        <f>IF(Inventory!N932="","",Inventory!N932)</f>
        <v>0</v>
      </c>
      <c r="N935" s="533" t="str">
        <f t="shared" si="326"/>
        <v/>
      </c>
      <c r="O935" s="534"/>
      <c r="P935" s="533" t="str">
        <f t="shared" si="327"/>
        <v/>
      </c>
      <c r="Q935" s="534" t="str">
        <f>IF(Inventory!L932="","",Inventory!L932)</f>
        <v/>
      </c>
      <c r="R935" s="535" t="str">
        <f t="shared" si="328"/>
        <v/>
      </c>
      <c r="S935" s="536" t="str">
        <f>IF(Inventory!O932="","",Inventory!O932)</f>
        <v/>
      </c>
      <c r="T935" s="541" t="str">
        <f>IFERROR(IF(C935="","",IF(INDEX(xyWattage_Table,MATCH(M935,'Fixture Identities'!$B$9:$B$997,0),2)="Exit Sign",8760,IF(VLOOKUP(C935,xySpace_Type_Details,8,FALSE)="TRM",INDEX('General Information'!$AF$17:$AG$28,11,MATCH(N935,'General Information'!$AF$16:$AG$16,0)),HLOOKUP(VLOOKUP(C935,xySpace_Type_Details,8,FALSE),'General Information'!$P$15:$AG$28,13,FALSE)))),"")</f>
        <v/>
      </c>
      <c r="U935" s="542" t="str">
        <f>IFERROR(IF(C935="","",IF(INDEX(xyWattage_Table,MATCH(M935,'Fixture Identities'!$B$9:$B$997,0),2)="Exit Sign",1,IF(VLOOKUP(C935,xySpace_Type_Details,8,FALSE)="TRM",INDEX('General Information'!$AF$17:$AG$28,12,MATCH(N935,'General Information'!$AF$16:$AG$16,0)),HLOOKUP(VLOOKUP(C935,xySpace_Type_Details,8,FALSE),'General Information'!$P$15:$AG$28,14,FALSE)))),"")</f>
        <v/>
      </c>
      <c r="V935" s="542" t="str">
        <f>IFERROR(VLOOKUP(INDEX(xySpace_Type_Details,MATCH($C935,'General Information'!$C$40:$C$60,0),12),Lookups!$L$8:$N$12,2,FALSE),"")</f>
        <v/>
      </c>
      <c r="W935" s="542" t="str">
        <f>IFERROR(VLOOKUP(INDEX(xySpace_Type_Details,MATCH($C935,'General Information'!$C$40:$C$60,0),12),Lookups!$L$8:$N$12,3,FALSE),"")</f>
        <v/>
      </c>
      <c r="Y935" s="542" t="str">
        <f>IFERROR(IF(C935="","",IF(INDEX(xyWattage_Table,MATCH(M935,'Fixture Identities'!$B$9:$B$997,0),2)="Exit Sign",0,IF(PRJ_Type="Retrofit",VLOOKUP(I935,xySVG_Factors,2,FALSE),IF(AND(PRJ_Type="New Construction",Inventory!C932="N"),VLOOKUP(VLOOKUP(Building_Type,xyLPD_BuildingArea,5,FALSE),xySVG_Factors_NC,3,FALSE),0)))),"")</f>
        <v/>
      </c>
      <c r="Z935" s="544" t="str">
        <f>IFERROR(IF(C935="","",IF(INDEX(xyWattage_Table,MATCH(M935,'Fixture Identities'!$B$9:$B$997,0),2)="Exit Sign",0,VLOOKUP(S935,xySVG_Factors,2,FALSE))),"")</f>
        <v/>
      </c>
      <c r="AA935" s="545" t="str">
        <f t="shared" si="329"/>
        <v/>
      </c>
      <c r="AB935" s="542" t="str">
        <f t="shared" si="330"/>
        <v/>
      </c>
      <c r="AC935" s="539" t="str">
        <f t="shared" si="331"/>
        <v/>
      </c>
      <c r="AD935" s="546" t="str">
        <f t="shared" si="332"/>
        <v/>
      </c>
      <c r="AE935" s="539" t="str">
        <f t="shared" si="333"/>
        <v/>
      </c>
      <c r="AF935" s="546" t="str">
        <f t="shared" si="334"/>
        <v/>
      </c>
      <c r="AG935" s="539" t="str">
        <f t="shared" si="335"/>
        <v/>
      </c>
      <c r="AH935" s="32">
        <f t="shared" si="337"/>
        <v>0</v>
      </c>
      <c r="AI935" s="32">
        <f t="shared" si="338"/>
        <v>0</v>
      </c>
      <c r="AJ935" s="32">
        <f t="shared" si="339"/>
        <v>0</v>
      </c>
      <c r="AK935" t="str">
        <f t="shared" si="340"/>
        <v/>
      </c>
      <c r="AL935" t="str">
        <f t="shared" si="341"/>
        <v/>
      </c>
      <c r="AM935" t="str">
        <f t="shared" si="342"/>
        <v/>
      </c>
      <c r="AO935" t="str">
        <f>IFERROR(VLOOKUP(M935,'Fixture Identities'!$B$9:$O$1045,14,FALSE),"")</f>
        <v/>
      </c>
      <c r="AP935" t="str">
        <f t="shared" si="336"/>
        <v/>
      </c>
    </row>
    <row r="936" spans="1:42">
      <c r="A936" s="71">
        <f t="shared" si="344"/>
        <v>0</v>
      </c>
      <c r="B936" s="513">
        <f t="shared" si="343"/>
        <v>924</v>
      </c>
      <c r="C936" s="530" t="str">
        <f>IF(Inventory!E933="","",Inventory!E933)</f>
        <v/>
      </c>
      <c r="D936" s="531">
        <f>IF(Inventory!D933="",0,Inventory!D933)</f>
        <v>0</v>
      </c>
      <c r="E936" s="532" t="str">
        <f>IF(Inventory!I933=0,"",Inventory!I933)</f>
        <v/>
      </c>
      <c r="F936" s="533" t="str">
        <f t="shared" si="323"/>
        <v/>
      </c>
      <c r="G936" s="534" t="str">
        <f>IF(Inventory!G933="","",Inventory!G933)</f>
        <v/>
      </c>
      <c r="H936" s="535" t="str">
        <f t="shared" si="324"/>
        <v/>
      </c>
      <c r="I936" s="536" t="str">
        <f>IF(Inventory!J933="","",Inventory!J933)</f>
        <v/>
      </c>
      <c r="J936" s="537" t="str">
        <f>IFERROR(IF(PRJ_Type="New Construction",IF(Inventory!C933="N",INDEX(xyLPD_BuildingArea,MATCH(Building_Type,Lookups!$F$37:$F$75,0),4),INDEX(xyLPD_SpaceBySpace,MATCH(INDEX(xyNCEx,MATCH(I936,yNCExArea,0),2),ySpace_by_Space_Type,0),2)),VLOOKUP(E936,xyWattage_Table,11,FALSE)),"")</f>
        <v/>
      </c>
      <c r="K936" s="538" t="str">
        <f>IFERROR(IF(AND(NC_Type="Building Area Method",Inventory!C933="N"),IF(ISERROR(INDEX('Usage Groups (&gt;120 MWh only)'!$N$8:$N$12,MATCH(C936,'Usage Groups (&gt;120 MWh only)'!$B$8:$B$12,0),1))=TRUE,SqFt/COUNTIFS(Inventory!$C$10:$C$1009,"N",$Q$13:$Q$1012,"&gt;=0"),INDEX('Usage Groups (&gt;120 MWh only)'!$N$8:$N$12,MATCH(C936,'Usage Groups (&gt;120 MWh only)'!$B$8:$B$12,0),1)/COUNTIF($C$13:$C$1012,C936)),IF(AND(NC_Type="Building Area Method",Inventory!C933="Y"),INDEX(xyNCEx,MATCH(I936,yNCExArea,0),3)/COUNTIF($I$13:$I$1012,I936),VLOOKUP(J936,xyWattage_Table,10,FALSE))),"")</f>
        <v/>
      </c>
      <c r="L936" s="539" t="str">
        <f t="shared" si="325"/>
        <v/>
      </c>
      <c r="M936" s="540">
        <f>IF(Inventory!N933="","",Inventory!N933)</f>
        <v>0</v>
      </c>
      <c r="N936" s="533" t="str">
        <f t="shared" si="326"/>
        <v/>
      </c>
      <c r="O936" s="534"/>
      <c r="P936" s="533" t="str">
        <f t="shared" si="327"/>
        <v/>
      </c>
      <c r="Q936" s="534" t="str">
        <f>IF(Inventory!L933="","",Inventory!L933)</f>
        <v/>
      </c>
      <c r="R936" s="535" t="str">
        <f t="shared" si="328"/>
        <v/>
      </c>
      <c r="S936" s="536" t="str">
        <f>IF(Inventory!O933="","",Inventory!O933)</f>
        <v/>
      </c>
      <c r="T936" s="541" t="str">
        <f>IFERROR(IF(C936="","",IF(INDEX(xyWattage_Table,MATCH(M936,'Fixture Identities'!$B$9:$B$997,0),2)="Exit Sign",8760,IF(VLOOKUP(C936,xySpace_Type_Details,8,FALSE)="TRM",INDEX('General Information'!$AF$17:$AG$28,11,MATCH(N936,'General Information'!$AF$16:$AG$16,0)),HLOOKUP(VLOOKUP(C936,xySpace_Type_Details,8,FALSE),'General Information'!$P$15:$AG$28,13,FALSE)))),"")</f>
        <v/>
      </c>
      <c r="U936" s="542" t="str">
        <f>IFERROR(IF(C936="","",IF(INDEX(xyWattage_Table,MATCH(M936,'Fixture Identities'!$B$9:$B$997,0),2)="Exit Sign",1,IF(VLOOKUP(C936,xySpace_Type_Details,8,FALSE)="TRM",INDEX('General Information'!$AF$17:$AG$28,12,MATCH(N936,'General Information'!$AF$16:$AG$16,0)),HLOOKUP(VLOOKUP(C936,xySpace_Type_Details,8,FALSE),'General Information'!$P$15:$AG$28,14,FALSE)))),"")</f>
        <v/>
      </c>
      <c r="V936" s="542" t="str">
        <f>IFERROR(VLOOKUP(INDEX(xySpace_Type_Details,MATCH($C936,'General Information'!$C$40:$C$60,0),12),Lookups!$L$8:$N$12,2,FALSE),"")</f>
        <v/>
      </c>
      <c r="W936" s="542" t="str">
        <f>IFERROR(VLOOKUP(INDEX(xySpace_Type_Details,MATCH($C936,'General Information'!$C$40:$C$60,0),12),Lookups!$L$8:$N$12,3,FALSE),"")</f>
        <v/>
      </c>
      <c r="Y936" s="542" t="str">
        <f>IFERROR(IF(C936="","",IF(INDEX(xyWattage_Table,MATCH(M936,'Fixture Identities'!$B$9:$B$997,0),2)="Exit Sign",0,IF(PRJ_Type="Retrofit",VLOOKUP(I936,xySVG_Factors,2,FALSE),IF(AND(PRJ_Type="New Construction",Inventory!C933="N"),VLOOKUP(VLOOKUP(Building_Type,xyLPD_BuildingArea,5,FALSE),xySVG_Factors_NC,3,FALSE),0)))),"")</f>
        <v/>
      </c>
      <c r="Z936" s="544" t="str">
        <f>IFERROR(IF(C936="","",IF(INDEX(xyWattage_Table,MATCH(M936,'Fixture Identities'!$B$9:$B$997,0),2)="Exit Sign",0,VLOOKUP(S936,xySVG_Factors,2,FALSE))),"")</f>
        <v/>
      </c>
      <c r="AA936" s="545" t="str">
        <f t="shared" si="329"/>
        <v/>
      </c>
      <c r="AB936" s="542" t="str">
        <f t="shared" si="330"/>
        <v/>
      </c>
      <c r="AC936" s="539" t="str">
        <f t="shared" si="331"/>
        <v/>
      </c>
      <c r="AD936" s="546" t="str">
        <f t="shared" si="332"/>
        <v/>
      </c>
      <c r="AE936" s="539" t="str">
        <f t="shared" si="333"/>
        <v/>
      </c>
      <c r="AF936" s="546" t="str">
        <f t="shared" si="334"/>
        <v/>
      </c>
      <c r="AG936" s="539" t="str">
        <f t="shared" si="335"/>
        <v/>
      </c>
      <c r="AH936" s="32">
        <f t="shared" si="337"/>
        <v>0</v>
      </c>
      <c r="AI936" s="32">
        <f t="shared" si="338"/>
        <v>0</v>
      </c>
      <c r="AJ936" s="32">
        <f t="shared" si="339"/>
        <v>0</v>
      </c>
      <c r="AK936" t="str">
        <f t="shared" si="340"/>
        <v/>
      </c>
      <c r="AL936" t="str">
        <f t="shared" si="341"/>
        <v/>
      </c>
      <c r="AM936" t="str">
        <f t="shared" si="342"/>
        <v/>
      </c>
      <c r="AO936" t="str">
        <f>IFERROR(VLOOKUP(M936,'Fixture Identities'!$B$9:$O$1045,14,FALSE),"")</f>
        <v/>
      </c>
      <c r="AP936" t="str">
        <f t="shared" si="336"/>
        <v/>
      </c>
    </row>
    <row r="937" spans="1:42">
      <c r="A937" s="71">
        <f t="shared" si="344"/>
        <v>0</v>
      </c>
      <c r="B937" s="513">
        <f t="shared" si="343"/>
        <v>925</v>
      </c>
      <c r="C937" s="530" t="str">
        <f>IF(Inventory!E934="","",Inventory!E934)</f>
        <v/>
      </c>
      <c r="D937" s="531">
        <f>IF(Inventory!D934="",0,Inventory!D934)</f>
        <v>0</v>
      </c>
      <c r="E937" s="532" t="str">
        <f>IF(Inventory!I934=0,"",Inventory!I934)</f>
        <v/>
      </c>
      <c r="F937" s="533" t="str">
        <f t="shared" si="323"/>
        <v/>
      </c>
      <c r="G937" s="534" t="str">
        <f>IF(Inventory!G934="","",Inventory!G934)</f>
        <v/>
      </c>
      <c r="H937" s="535" t="str">
        <f t="shared" si="324"/>
        <v/>
      </c>
      <c r="I937" s="536" t="str">
        <f>IF(Inventory!J934="","",Inventory!J934)</f>
        <v/>
      </c>
      <c r="J937" s="537" t="str">
        <f>IFERROR(IF(PRJ_Type="New Construction",IF(Inventory!C934="N",INDEX(xyLPD_BuildingArea,MATCH(Building_Type,Lookups!$F$37:$F$75,0),4),INDEX(xyLPD_SpaceBySpace,MATCH(INDEX(xyNCEx,MATCH(I937,yNCExArea,0),2),ySpace_by_Space_Type,0),2)),VLOOKUP(E937,xyWattage_Table,11,FALSE)),"")</f>
        <v/>
      </c>
      <c r="K937" s="538" t="str">
        <f>IFERROR(IF(AND(NC_Type="Building Area Method",Inventory!C934="N"),IF(ISERROR(INDEX('Usage Groups (&gt;120 MWh only)'!$N$8:$N$12,MATCH(C937,'Usage Groups (&gt;120 MWh only)'!$B$8:$B$12,0),1))=TRUE,SqFt/COUNTIFS(Inventory!$C$10:$C$1009,"N",$Q$13:$Q$1012,"&gt;=0"),INDEX('Usage Groups (&gt;120 MWh only)'!$N$8:$N$12,MATCH(C937,'Usage Groups (&gt;120 MWh only)'!$B$8:$B$12,0),1)/COUNTIF($C$13:$C$1012,C937)),IF(AND(NC_Type="Building Area Method",Inventory!C934="Y"),INDEX(xyNCEx,MATCH(I937,yNCExArea,0),3)/COUNTIF($I$13:$I$1012,I937),VLOOKUP(J937,xyWattage_Table,10,FALSE))),"")</f>
        <v/>
      </c>
      <c r="L937" s="539" t="str">
        <f t="shared" si="325"/>
        <v/>
      </c>
      <c r="M937" s="540">
        <f>IF(Inventory!N934="","",Inventory!N934)</f>
        <v>0</v>
      </c>
      <c r="N937" s="533" t="str">
        <f t="shared" si="326"/>
        <v/>
      </c>
      <c r="O937" s="534"/>
      <c r="P937" s="533" t="str">
        <f t="shared" si="327"/>
        <v/>
      </c>
      <c r="Q937" s="534" t="str">
        <f>IF(Inventory!L934="","",Inventory!L934)</f>
        <v/>
      </c>
      <c r="R937" s="535" t="str">
        <f t="shared" si="328"/>
        <v/>
      </c>
      <c r="S937" s="536" t="str">
        <f>IF(Inventory!O934="","",Inventory!O934)</f>
        <v/>
      </c>
      <c r="T937" s="541" t="str">
        <f>IFERROR(IF(C937="","",IF(INDEX(xyWattage_Table,MATCH(M937,'Fixture Identities'!$B$9:$B$997,0),2)="Exit Sign",8760,IF(VLOOKUP(C937,xySpace_Type_Details,8,FALSE)="TRM",INDEX('General Information'!$AF$17:$AG$28,11,MATCH(N937,'General Information'!$AF$16:$AG$16,0)),HLOOKUP(VLOOKUP(C937,xySpace_Type_Details,8,FALSE),'General Information'!$P$15:$AG$28,13,FALSE)))),"")</f>
        <v/>
      </c>
      <c r="U937" s="542" t="str">
        <f>IFERROR(IF(C937="","",IF(INDEX(xyWattage_Table,MATCH(M937,'Fixture Identities'!$B$9:$B$997,0),2)="Exit Sign",1,IF(VLOOKUP(C937,xySpace_Type_Details,8,FALSE)="TRM",INDEX('General Information'!$AF$17:$AG$28,12,MATCH(N937,'General Information'!$AF$16:$AG$16,0)),HLOOKUP(VLOOKUP(C937,xySpace_Type_Details,8,FALSE),'General Information'!$P$15:$AG$28,14,FALSE)))),"")</f>
        <v/>
      </c>
      <c r="V937" s="542" t="str">
        <f>IFERROR(VLOOKUP(INDEX(xySpace_Type_Details,MATCH($C937,'General Information'!$C$40:$C$60,0),12),Lookups!$L$8:$N$12,2,FALSE),"")</f>
        <v/>
      </c>
      <c r="W937" s="542" t="str">
        <f>IFERROR(VLOOKUP(INDEX(xySpace_Type_Details,MATCH($C937,'General Information'!$C$40:$C$60,0),12),Lookups!$L$8:$N$12,3,FALSE),"")</f>
        <v/>
      </c>
      <c r="Y937" s="542" t="str">
        <f>IFERROR(IF(C937="","",IF(INDEX(xyWattage_Table,MATCH(M937,'Fixture Identities'!$B$9:$B$997,0),2)="Exit Sign",0,IF(PRJ_Type="Retrofit",VLOOKUP(I937,xySVG_Factors,2,FALSE),IF(AND(PRJ_Type="New Construction",Inventory!C934="N"),VLOOKUP(VLOOKUP(Building_Type,xyLPD_BuildingArea,5,FALSE),xySVG_Factors_NC,3,FALSE),0)))),"")</f>
        <v/>
      </c>
      <c r="Z937" s="544" t="str">
        <f>IFERROR(IF(C937="","",IF(INDEX(xyWattage_Table,MATCH(M937,'Fixture Identities'!$B$9:$B$997,0),2)="Exit Sign",0,VLOOKUP(S937,xySVG_Factors,2,FALSE))),"")</f>
        <v/>
      </c>
      <c r="AA937" s="545" t="str">
        <f t="shared" si="329"/>
        <v/>
      </c>
      <c r="AB937" s="542" t="str">
        <f t="shared" si="330"/>
        <v/>
      </c>
      <c r="AC937" s="539" t="str">
        <f t="shared" si="331"/>
        <v/>
      </c>
      <c r="AD937" s="546" t="str">
        <f t="shared" si="332"/>
        <v/>
      </c>
      <c r="AE937" s="539" t="str">
        <f t="shared" si="333"/>
        <v/>
      </c>
      <c r="AF937" s="546" t="str">
        <f t="shared" si="334"/>
        <v/>
      </c>
      <c r="AG937" s="539" t="str">
        <f t="shared" si="335"/>
        <v/>
      </c>
      <c r="AH937" s="32">
        <f t="shared" si="337"/>
        <v>0</v>
      </c>
      <c r="AI937" s="32">
        <f t="shared" si="338"/>
        <v>0</v>
      </c>
      <c r="AJ937" s="32">
        <f t="shared" si="339"/>
        <v>0</v>
      </c>
      <c r="AK937" t="str">
        <f t="shared" si="340"/>
        <v/>
      </c>
      <c r="AL937" t="str">
        <f t="shared" si="341"/>
        <v/>
      </c>
      <c r="AM937" t="str">
        <f t="shared" si="342"/>
        <v/>
      </c>
      <c r="AO937" t="str">
        <f>IFERROR(VLOOKUP(M937,'Fixture Identities'!$B$9:$O$1045,14,FALSE),"")</f>
        <v/>
      </c>
      <c r="AP937" t="str">
        <f t="shared" si="336"/>
        <v/>
      </c>
    </row>
    <row r="938" spans="1:42">
      <c r="A938" s="71">
        <f t="shared" si="344"/>
        <v>0</v>
      </c>
      <c r="B938" s="513">
        <f t="shared" si="343"/>
        <v>926</v>
      </c>
      <c r="C938" s="530" t="str">
        <f>IF(Inventory!E935="","",Inventory!E935)</f>
        <v/>
      </c>
      <c r="D938" s="531">
        <f>IF(Inventory!D935="",0,Inventory!D935)</f>
        <v>0</v>
      </c>
      <c r="E938" s="532" t="str">
        <f>IF(Inventory!I935=0,"",Inventory!I935)</f>
        <v/>
      </c>
      <c r="F938" s="533" t="str">
        <f t="shared" si="323"/>
        <v/>
      </c>
      <c r="G938" s="534" t="str">
        <f>IF(Inventory!G935="","",Inventory!G935)</f>
        <v/>
      </c>
      <c r="H938" s="535" t="str">
        <f t="shared" si="324"/>
        <v/>
      </c>
      <c r="I938" s="536" t="str">
        <f>IF(Inventory!J935="","",Inventory!J935)</f>
        <v/>
      </c>
      <c r="J938" s="537" t="str">
        <f>IFERROR(IF(PRJ_Type="New Construction",IF(Inventory!C935="N",INDEX(xyLPD_BuildingArea,MATCH(Building_Type,Lookups!$F$37:$F$75,0),4),INDEX(xyLPD_SpaceBySpace,MATCH(INDEX(xyNCEx,MATCH(I938,yNCExArea,0),2),ySpace_by_Space_Type,0),2)),VLOOKUP(E938,xyWattage_Table,11,FALSE)),"")</f>
        <v/>
      </c>
      <c r="K938" s="538" t="str">
        <f>IFERROR(IF(AND(NC_Type="Building Area Method",Inventory!C935="N"),IF(ISERROR(INDEX('Usage Groups (&gt;120 MWh only)'!$N$8:$N$12,MATCH(C938,'Usage Groups (&gt;120 MWh only)'!$B$8:$B$12,0),1))=TRUE,SqFt/COUNTIFS(Inventory!$C$10:$C$1009,"N",$Q$13:$Q$1012,"&gt;=0"),INDEX('Usage Groups (&gt;120 MWh only)'!$N$8:$N$12,MATCH(C938,'Usage Groups (&gt;120 MWh only)'!$B$8:$B$12,0),1)/COUNTIF($C$13:$C$1012,C938)),IF(AND(NC_Type="Building Area Method",Inventory!C935="Y"),INDEX(xyNCEx,MATCH(I938,yNCExArea,0),3)/COUNTIF($I$13:$I$1012,I938),VLOOKUP(J938,xyWattage_Table,10,FALSE))),"")</f>
        <v/>
      </c>
      <c r="L938" s="539" t="str">
        <f t="shared" si="325"/>
        <v/>
      </c>
      <c r="M938" s="540">
        <f>IF(Inventory!N935="","",Inventory!N935)</f>
        <v>0</v>
      </c>
      <c r="N938" s="533" t="str">
        <f t="shared" si="326"/>
        <v/>
      </c>
      <c r="O938" s="534"/>
      <c r="P938" s="533" t="str">
        <f t="shared" si="327"/>
        <v/>
      </c>
      <c r="Q938" s="534" t="str">
        <f>IF(Inventory!L935="","",Inventory!L935)</f>
        <v/>
      </c>
      <c r="R938" s="535" t="str">
        <f t="shared" si="328"/>
        <v/>
      </c>
      <c r="S938" s="536" t="str">
        <f>IF(Inventory!O935="","",Inventory!O935)</f>
        <v/>
      </c>
      <c r="T938" s="541" t="str">
        <f>IFERROR(IF(C938="","",IF(INDEX(xyWattage_Table,MATCH(M938,'Fixture Identities'!$B$9:$B$997,0),2)="Exit Sign",8760,IF(VLOOKUP(C938,xySpace_Type_Details,8,FALSE)="TRM",INDEX('General Information'!$AF$17:$AG$28,11,MATCH(N938,'General Information'!$AF$16:$AG$16,0)),HLOOKUP(VLOOKUP(C938,xySpace_Type_Details,8,FALSE),'General Information'!$P$15:$AG$28,13,FALSE)))),"")</f>
        <v/>
      </c>
      <c r="U938" s="542" t="str">
        <f>IFERROR(IF(C938="","",IF(INDEX(xyWattage_Table,MATCH(M938,'Fixture Identities'!$B$9:$B$997,0),2)="Exit Sign",1,IF(VLOOKUP(C938,xySpace_Type_Details,8,FALSE)="TRM",INDEX('General Information'!$AF$17:$AG$28,12,MATCH(N938,'General Information'!$AF$16:$AG$16,0)),HLOOKUP(VLOOKUP(C938,xySpace_Type_Details,8,FALSE),'General Information'!$P$15:$AG$28,14,FALSE)))),"")</f>
        <v/>
      </c>
      <c r="V938" s="542" t="str">
        <f>IFERROR(VLOOKUP(INDEX(xySpace_Type_Details,MATCH($C938,'General Information'!$C$40:$C$60,0),12),Lookups!$L$8:$N$12,2,FALSE),"")</f>
        <v/>
      </c>
      <c r="W938" s="542" t="str">
        <f>IFERROR(VLOOKUP(INDEX(xySpace_Type_Details,MATCH($C938,'General Information'!$C$40:$C$60,0),12),Lookups!$L$8:$N$12,3,FALSE),"")</f>
        <v/>
      </c>
      <c r="Y938" s="542" t="str">
        <f>IFERROR(IF(C938="","",IF(INDEX(xyWattage_Table,MATCH(M938,'Fixture Identities'!$B$9:$B$997,0),2)="Exit Sign",0,IF(PRJ_Type="Retrofit",VLOOKUP(I938,xySVG_Factors,2,FALSE),IF(AND(PRJ_Type="New Construction",Inventory!C935="N"),VLOOKUP(VLOOKUP(Building_Type,xyLPD_BuildingArea,5,FALSE),xySVG_Factors_NC,3,FALSE),0)))),"")</f>
        <v/>
      </c>
      <c r="Z938" s="544" t="str">
        <f>IFERROR(IF(C938="","",IF(INDEX(xyWattage_Table,MATCH(M938,'Fixture Identities'!$B$9:$B$997,0),2)="Exit Sign",0,VLOOKUP(S938,xySVG_Factors,2,FALSE))),"")</f>
        <v/>
      </c>
      <c r="AA938" s="545" t="str">
        <f t="shared" si="329"/>
        <v/>
      </c>
      <c r="AB938" s="542" t="str">
        <f t="shared" si="330"/>
        <v/>
      </c>
      <c r="AC938" s="539" t="str">
        <f t="shared" si="331"/>
        <v/>
      </c>
      <c r="AD938" s="546" t="str">
        <f t="shared" si="332"/>
        <v/>
      </c>
      <c r="AE938" s="539" t="str">
        <f t="shared" si="333"/>
        <v/>
      </c>
      <c r="AF938" s="546" t="str">
        <f t="shared" si="334"/>
        <v/>
      </c>
      <c r="AG938" s="539" t="str">
        <f t="shared" si="335"/>
        <v/>
      </c>
      <c r="AH938" s="32">
        <f t="shared" si="337"/>
        <v>0</v>
      </c>
      <c r="AI938" s="32">
        <f t="shared" si="338"/>
        <v>0</v>
      </c>
      <c r="AJ938" s="32">
        <f t="shared" si="339"/>
        <v>0</v>
      </c>
      <c r="AK938" t="str">
        <f t="shared" si="340"/>
        <v/>
      </c>
      <c r="AL938" t="str">
        <f t="shared" si="341"/>
        <v/>
      </c>
      <c r="AM938" t="str">
        <f t="shared" si="342"/>
        <v/>
      </c>
      <c r="AO938" t="str">
        <f>IFERROR(VLOOKUP(M938,'Fixture Identities'!$B$9:$O$1045,14,FALSE),"")</f>
        <v/>
      </c>
      <c r="AP938" t="str">
        <f t="shared" si="336"/>
        <v/>
      </c>
    </row>
    <row r="939" spans="1:42">
      <c r="A939" s="71">
        <f t="shared" si="344"/>
        <v>0</v>
      </c>
      <c r="B939" s="513">
        <f t="shared" si="343"/>
        <v>927</v>
      </c>
      <c r="C939" s="530" t="str">
        <f>IF(Inventory!E936="","",Inventory!E936)</f>
        <v/>
      </c>
      <c r="D939" s="531">
        <f>IF(Inventory!D936="",0,Inventory!D936)</f>
        <v>0</v>
      </c>
      <c r="E939" s="532" t="str">
        <f>IF(Inventory!I936=0,"",Inventory!I936)</f>
        <v/>
      </c>
      <c r="F939" s="533" t="str">
        <f t="shared" si="323"/>
        <v/>
      </c>
      <c r="G939" s="534" t="str">
        <f>IF(Inventory!G936="","",Inventory!G936)</f>
        <v/>
      </c>
      <c r="H939" s="535" t="str">
        <f t="shared" si="324"/>
        <v/>
      </c>
      <c r="I939" s="536" t="str">
        <f>IF(Inventory!J936="","",Inventory!J936)</f>
        <v/>
      </c>
      <c r="J939" s="537" t="str">
        <f>IFERROR(IF(PRJ_Type="New Construction",IF(Inventory!C936="N",INDEX(xyLPD_BuildingArea,MATCH(Building_Type,Lookups!$F$37:$F$75,0),4),INDEX(xyLPD_SpaceBySpace,MATCH(INDEX(xyNCEx,MATCH(I939,yNCExArea,0),2),ySpace_by_Space_Type,0),2)),VLOOKUP(E939,xyWattage_Table,11,FALSE)),"")</f>
        <v/>
      </c>
      <c r="K939" s="538" t="str">
        <f>IFERROR(IF(AND(NC_Type="Building Area Method",Inventory!C936="N"),IF(ISERROR(INDEX('Usage Groups (&gt;120 MWh only)'!$N$8:$N$12,MATCH(C939,'Usage Groups (&gt;120 MWh only)'!$B$8:$B$12,0),1))=TRUE,SqFt/COUNTIFS(Inventory!$C$10:$C$1009,"N",$Q$13:$Q$1012,"&gt;=0"),INDEX('Usage Groups (&gt;120 MWh only)'!$N$8:$N$12,MATCH(C939,'Usage Groups (&gt;120 MWh only)'!$B$8:$B$12,0),1)/COUNTIF($C$13:$C$1012,C939)),IF(AND(NC_Type="Building Area Method",Inventory!C936="Y"),INDEX(xyNCEx,MATCH(I939,yNCExArea,0),3)/COUNTIF($I$13:$I$1012,I939),VLOOKUP(J939,xyWattage_Table,10,FALSE))),"")</f>
        <v/>
      </c>
      <c r="L939" s="539" t="str">
        <f t="shared" si="325"/>
        <v/>
      </c>
      <c r="M939" s="540">
        <f>IF(Inventory!N936="","",Inventory!N936)</f>
        <v>0</v>
      </c>
      <c r="N939" s="533" t="str">
        <f t="shared" si="326"/>
        <v/>
      </c>
      <c r="O939" s="534"/>
      <c r="P939" s="533" t="str">
        <f t="shared" si="327"/>
        <v/>
      </c>
      <c r="Q939" s="534" t="str">
        <f>IF(Inventory!L936="","",Inventory!L936)</f>
        <v/>
      </c>
      <c r="R939" s="535" t="str">
        <f t="shared" si="328"/>
        <v/>
      </c>
      <c r="S939" s="536" t="str">
        <f>IF(Inventory!O936="","",Inventory!O936)</f>
        <v/>
      </c>
      <c r="T939" s="541" t="str">
        <f>IFERROR(IF(C939="","",IF(INDEX(xyWattage_Table,MATCH(M939,'Fixture Identities'!$B$9:$B$997,0),2)="Exit Sign",8760,IF(VLOOKUP(C939,xySpace_Type_Details,8,FALSE)="TRM",INDEX('General Information'!$AF$17:$AG$28,11,MATCH(N939,'General Information'!$AF$16:$AG$16,0)),HLOOKUP(VLOOKUP(C939,xySpace_Type_Details,8,FALSE),'General Information'!$P$15:$AG$28,13,FALSE)))),"")</f>
        <v/>
      </c>
      <c r="U939" s="542" t="str">
        <f>IFERROR(IF(C939="","",IF(INDEX(xyWattage_Table,MATCH(M939,'Fixture Identities'!$B$9:$B$997,0),2)="Exit Sign",1,IF(VLOOKUP(C939,xySpace_Type_Details,8,FALSE)="TRM",INDEX('General Information'!$AF$17:$AG$28,12,MATCH(N939,'General Information'!$AF$16:$AG$16,0)),HLOOKUP(VLOOKUP(C939,xySpace_Type_Details,8,FALSE),'General Information'!$P$15:$AG$28,14,FALSE)))),"")</f>
        <v/>
      </c>
      <c r="V939" s="542" t="str">
        <f>IFERROR(VLOOKUP(INDEX(xySpace_Type_Details,MATCH($C939,'General Information'!$C$40:$C$60,0),12),Lookups!$L$8:$N$12,2,FALSE),"")</f>
        <v/>
      </c>
      <c r="W939" s="542" t="str">
        <f>IFERROR(VLOOKUP(INDEX(xySpace_Type_Details,MATCH($C939,'General Information'!$C$40:$C$60,0),12),Lookups!$L$8:$N$12,3,FALSE),"")</f>
        <v/>
      </c>
      <c r="Y939" s="542" t="str">
        <f>IFERROR(IF(C939="","",IF(INDEX(xyWattage_Table,MATCH(M939,'Fixture Identities'!$B$9:$B$997,0),2)="Exit Sign",0,IF(PRJ_Type="Retrofit",VLOOKUP(I939,xySVG_Factors,2,FALSE),IF(AND(PRJ_Type="New Construction",Inventory!C936="N"),VLOOKUP(VLOOKUP(Building_Type,xyLPD_BuildingArea,5,FALSE),xySVG_Factors_NC,3,FALSE),0)))),"")</f>
        <v/>
      </c>
      <c r="Z939" s="544" t="str">
        <f>IFERROR(IF(C939="","",IF(INDEX(xyWattage_Table,MATCH(M939,'Fixture Identities'!$B$9:$B$997,0),2)="Exit Sign",0,VLOOKUP(S939,xySVG_Factors,2,FALSE))),"")</f>
        <v/>
      </c>
      <c r="AA939" s="545" t="str">
        <f t="shared" si="329"/>
        <v/>
      </c>
      <c r="AB939" s="542" t="str">
        <f t="shared" si="330"/>
        <v/>
      </c>
      <c r="AC939" s="539" t="str">
        <f t="shared" si="331"/>
        <v/>
      </c>
      <c r="AD939" s="546" t="str">
        <f t="shared" si="332"/>
        <v/>
      </c>
      <c r="AE939" s="539" t="str">
        <f t="shared" si="333"/>
        <v/>
      </c>
      <c r="AF939" s="546" t="str">
        <f t="shared" si="334"/>
        <v/>
      </c>
      <c r="AG939" s="539" t="str">
        <f t="shared" si="335"/>
        <v/>
      </c>
      <c r="AH939" s="32">
        <f t="shared" si="337"/>
        <v>0</v>
      </c>
      <c r="AI939" s="32">
        <f t="shared" si="338"/>
        <v>0</v>
      </c>
      <c r="AJ939" s="32">
        <f t="shared" si="339"/>
        <v>0</v>
      </c>
      <c r="AK939" t="str">
        <f t="shared" si="340"/>
        <v/>
      </c>
      <c r="AL939" t="str">
        <f t="shared" si="341"/>
        <v/>
      </c>
      <c r="AM939" t="str">
        <f t="shared" si="342"/>
        <v/>
      </c>
      <c r="AO939" t="str">
        <f>IFERROR(VLOOKUP(M939,'Fixture Identities'!$B$9:$O$1045,14,FALSE),"")</f>
        <v/>
      </c>
      <c r="AP939" t="str">
        <f t="shared" si="336"/>
        <v/>
      </c>
    </row>
    <row r="940" spans="1:42">
      <c r="A940" s="71">
        <f t="shared" si="344"/>
        <v>0</v>
      </c>
      <c r="B940" s="513">
        <f t="shared" si="343"/>
        <v>928</v>
      </c>
      <c r="C940" s="530" t="str">
        <f>IF(Inventory!E937="","",Inventory!E937)</f>
        <v/>
      </c>
      <c r="D940" s="531">
        <f>IF(Inventory!D937="",0,Inventory!D937)</f>
        <v>0</v>
      </c>
      <c r="E940" s="532" t="str">
        <f>IF(Inventory!I937=0,"",Inventory!I937)</f>
        <v/>
      </c>
      <c r="F940" s="533" t="str">
        <f t="shared" si="323"/>
        <v/>
      </c>
      <c r="G940" s="534" t="str">
        <f>IF(Inventory!G937="","",Inventory!G937)</f>
        <v/>
      </c>
      <c r="H940" s="535" t="str">
        <f t="shared" si="324"/>
        <v/>
      </c>
      <c r="I940" s="536" t="str">
        <f>IF(Inventory!J937="","",Inventory!J937)</f>
        <v/>
      </c>
      <c r="J940" s="537" t="str">
        <f>IFERROR(IF(PRJ_Type="New Construction",IF(Inventory!C937="N",INDEX(xyLPD_BuildingArea,MATCH(Building_Type,Lookups!$F$37:$F$75,0),4),INDEX(xyLPD_SpaceBySpace,MATCH(INDEX(xyNCEx,MATCH(I940,yNCExArea,0),2),ySpace_by_Space_Type,0),2)),VLOOKUP(E940,xyWattage_Table,11,FALSE)),"")</f>
        <v/>
      </c>
      <c r="K940" s="538" t="str">
        <f>IFERROR(IF(AND(NC_Type="Building Area Method",Inventory!C937="N"),IF(ISERROR(INDEX('Usage Groups (&gt;120 MWh only)'!$N$8:$N$12,MATCH(C940,'Usage Groups (&gt;120 MWh only)'!$B$8:$B$12,0),1))=TRUE,SqFt/COUNTIFS(Inventory!$C$10:$C$1009,"N",$Q$13:$Q$1012,"&gt;=0"),INDEX('Usage Groups (&gt;120 MWh only)'!$N$8:$N$12,MATCH(C940,'Usage Groups (&gt;120 MWh only)'!$B$8:$B$12,0),1)/COUNTIF($C$13:$C$1012,C940)),IF(AND(NC_Type="Building Area Method",Inventory!C937="Y"),INDEX(xyNCEx,MATCH(I940,yNCExArea,0),3)/COUNTIF($I$13:$I$1012,I940),VLOOKUP(J940,xyWattage_Table,10,FALSE))),"")</f>
        <v/>
      </c>
      <c r="L940" s="539" t="str">
        <f t="shared" si="325"/>
        <v/>
      </c>
      <c r="M940" s="540">
        <f>IF(Inventory!N937="","",Inventory!N937)</f>
        <v>0</v>
      </c>
      <c r="N940" s="533" t="str">
        <f t="shared" si="326"/>
        <v/>
      </c>
      <c r="O940" s="534"/>
      <c r="P940" s="533" t="str">
        <f t="shared" si="327"/>
        <v/>
      </c>
      <c r="Q940" s="534" t="str">
        <f>IF(Inventory!L937="","",Inventory!L937)</f>
        <v/>
      </c>
      <c r="R940" s="535" t="str">
        <f t="shared" si="328"/>
        <v/>
      </c>
      <c r="S940" s="536" t="str">
        <f>IF(Inventory!O937="","",Inventory!O937)</f>
        <v/>
      </c>
      <c r="T940" s="541" t="str">
        <f>IFERROR(IF(C940="","",IF(INDEX(xyWattage_Table,MATCH(M940,'Fixture Identities'!$B$9:$B$997,0),2)="Exit Sign",8760,IF(VLOOKUP(C940,xySpace_Type_Details,8,FALSE)="TRM",INDEX('General Information'!$AF$17:$AG$28,11,MATCH(N940,'General Information'!$AF$16:$AG$16,0)),HLOOKUP(VLOOKUP(C940,xySpace_Type_Details,8,FALSE),'General Information'!$P$15:$AG$28,13,FALSE)))),"")</f>
        <v/>
      </c>
      <c r="U940" s="542" t="str">
        <f>IFERROR(IF(C940="","",IF(INDEX(xyWattage_Table,MATCH(M940,'Fixture Identities'!$B$9:$B$997,0),2)="Exit Sign",1,IF(VLOOKUP(C940,xySpace_Type_Details,8,FALSE)="TRM",INDEX('General Information'!$AF$17:$AG$28,12,MATCH(N940,'General Information'!$AF$16:$AG$16,0)),HLOOKUP(VLOOKUP(C940,xySpace_Type_Details,8,FALSE),'General Information'!$P$15:$AG$28,14,FALSE)))),"")</f>
        <v/>
      </c>
      <c r="V940" s="542" t="str">
        <f>IFERROR(VLOOKUP(INDEX(xySpace_Type_Details,MATCH($C940,'General Information'!$C$40:$C$60,0),12),Lookups!$L$8:$N$12,2,FALSE),"")</f>
        <v/>
      </c>
      <c r="W940" s="542" t="str">
        <f>IFERROR(VLOOKUP(INDEX(xySpace_Type_Details,MATCH($C940,'General Information'!$C$40:$C$60,0),12),Lookups!$L$8:$N$12,3,FALSE),"")</f>
        <v/>
      </c>
      <c r="Y940" s="542" t="str">
        <f>IFERROR(IF(C940="","",IF(INDEX(xyWattage_Table,MATCH(M940,'Fixture Identities'!$B$9:$B$997,0),2)="Exit Sign",0,IF(PRJ_Type="Retrofit",VLOOKUP(I940,xySVG_Factors,2,FALSE),IF(AND(PRJ_Type="New Construction",Inventory!C937="N"),VLOOKUP(VLOOKUP(Building_Type,xyLPD_BuildingArea,5,FALSE),xySVG_Factors_NC,3,FALSE),0)))),"")</f>
        <v/>
      </c>
      <c r="Z940" s="544" t="str">
        <f>IFERROR(IF(C940="","",IF(INDEX(xyWattage_Table,MATCH(M940,'Fixture Identities'!$B$9:$B$997,0),2)="Exit Sign",0,VLOOKUP(S940,xySVG_Factors,2,FALSE))),"")</f>
        <v/>
      </c>
      <c r="AA940" s="545" t="str">
        <f t="shared" si="329"/>
        <v/>
      </c>
      <c r="AB940" s="542" t="str">
        <f t="shared" si="330"/>
        <v/>
      </c>
      <c r="AC940" s="539" t="str">
        <f t="shared" si="331"/>
        <v/>
      </c>
      <c r="AD940" s="546" t="str">
        <f t="shared" si="332"/>
        <v/>
      </c>
      <c r="AE940" s="539" t="str">
        <f t="shared" si="333"/>
        <v/>
      </c>
      <c r="AF940" s="546" t="str">
        <f t="shared" si="334"/>
        <v/>
      </c>
      <c r="AG940" s="539" t="str">
        <f t="shared" si="335"/>
        <v/>
      </c>
      <c r="AH940" s="32">
        <f t="shared" si="337"/>
        <v>0</v>
      </c>
      <c r="AI940" s="32">
        <f t="shared" si="338"/>
        <v>0</v>
      </c>
      <c r="AJ940" s="32">
        <f t="shared" si="339"/>
        <v>0</v>
      </c>
      <c r="AK940" t="str">
        <f t="shared" si="340"/>
        <v/>
      </c>
      <c r="AL940" t="str">
        <f t="shared" si="341"/>
        <v/>
      </c>
      <c r="AM940" t="str">
        <f t="shared" si="342"/>
        <v/>
      </c>
      <c r="AO940" t="str">
        <f>IFERROR(VLOOKUP(M940,'Fixture Identities'!$B$9:$O$1045,14,FALSE),"")</f>
        <v/>
      </c>
      <c r="AP940" t="str">
        <f t="shared" si="336"/>
        <v/>
      </c>
    </row>
    <row r="941" spans="1:42">
      <c r="A941" s="71">
        <f t="shared" si="344"/>
        <v>0</v>
      </c>
      <c r="B941" s="513">
        <f t="shared" si="343"/>
        <v>929</v>
      </c>
      <c r="C941" s="530" t="str">
        <f>IF(Inventory!E938="","",Inventory!E938)</f>
        <v/>
      </c>
      <c r="D941" s="531">
        <f>IF(Inventory!D938="",0,Inventory!D938)</f>
        <v>0</v>
      </c>
      <c r="E941" s="532" t="str">
        <f>IF(Inventory!I938=0,"",Inventory!I938)</f>
        <v/>
      </c>
      <c r="F941" s="533" t="str">
        <f t="shared" si="323"/>
        <v/>
      </c>
      <c r="G941" s="534" t="str">
        <f>IF(Inventory!G938="","",Inventory!G938)</f>
        <v/>
      </c>
      <c r="H941" s="535" t="str">
        <f t="shared" si="324"/>
        <v/>
      </c>
      <c r="I941" s="536" t="str">
        <f>IF(Inventory!J938="","",Inventory!J938)</f>
        <v/>
      </c>
      <c r="J941" s="537" t="str">
        <f>IFERROR(IF(PRJ_Type="New Construction",IF(Inventory!C938="N",INDEX(xyLPD_BuildingArea,MATCH(Building_Type,Lookups!$F$37:$F$75,0),4),INDEX(xyLPD_SpaceBySpace,MATCH(INDEX(xyNCEx,MATCH(I941,yNCExArea,0),2),ySpace_by_Space_Type,0),2)),VLOOKUP(E941,xyWattage_Table,11,FALSE)),"")</f>
        <v/>
      </c>
      <c r="K941" s="538" t="str">
        <f>IFERROR(IF(AND(NC_Type="Building Area Method",Inventory!C938="N"),IF(ISERROR(INDEX('Usage Groups (&gt;120 MWh only)'!$N$8:$N$12,MATCH(C941,'Usage Groups (&gt;120 MWh only)'!$B$8:$B$12,0),1))=TRUE,SqFt/COUNTIFS(Inventory!$C$10:$C$1009,"N",$Q$13:$Q$1012,"&gt;=0"),INDEX('Usage Groups (&gt;120 MWh only)'!$N$8:$N$12,MATCH(C941,'Usage Groups (&gt;120 MWh only)'!$B$8:$B$12,0),1)/COUNTIF($C$13:$C$1012,C941)),IF(AND(NC_Type="Building Area Method",Inventory!C938="Y"),INDEX(xyNCEx,MATCH(I941,yNCExArea,0),3)/COUNTIF($I$13:$I$1012,I941),VLOOKUP(J941,xyWattage_Table,10,FALSE))),"")</f>
        <v/>
      </c>
      <c r="L941" s="539" t="str">
        <f t="shared" si="325"/>
        <v/>
      </c>
      <c r="M941" s="540">
        <f>IF(Inventory!N938="","",Inventory!N938)</f>
        <v>0</v>
      </c>
      <c r="N941" s="533" t="str">
        <f t="shared" si="326"/>
        <v/>
      </c>
      <c r="O941" s="534"/>
      <c r="P941" s="533" t="str">
        <f t="shared" si="327"/>
        <v/>
      </c>
      <c r="Q941" s="534" t="str">
        <f>IF(Inventory!L938="","",Inventory!L938)</f>
        <v/>
      </c>
      <c r="R941" s="535" t="str">
        <f t="shared" si="328"/>
        <v/>
      </c>
      <c r="S941" s="536" t="str">
        <f>IF(Inventory!O938="","",Inventory!O938)</f>
        <v/>
      </c>
      <c r="T941" s="541" t="str">
        <f>IFERROR(IF(C941="","",IF(INDEX(xyWattage_Table,MATCH(M941,'Fixture Identities'!$B$9:$B$997,0),2)="Exit Sign",8760,IF(VLOOKUP(C941,xySpace_Type_Details,8,FALSE)="TRM",INDEX('General Information'!$AF$17:$AG$28,11,MATCH(N941,'General Information'!$AF$16:$AG$16,0)),HLOOKUP(VLOOKUP(C941,xySpace_Type_Details,8,FALSE),'General Information'!$P$15:$AG$28,13,FALSE)))),"")</f>
        <v/>
      </c>
      <c r="U941" s="542" t="str">
        <f>IFERROR(IF(C941="","",IF(INDEX(xyWattage_Table,MATCH(M941,'Fixture Identities'!$B$9:$B$997,0),2)="Exit Sign",1,IF(VLOOKUP(C941,xySpace_Type_Details,8,FALSE)="TRM",INDEX('General Information'!$AF$17:$AG$28,12,MATCH(N941,'General Information'!$AF$16:$AG$16,0)),HLOOKUP(VLOOKUP(C941,xySpace_Type_Details,8,FALSE),'General Information'!$P$15:$AG$28,14,FALSE)))),"")</f>
        <v/>
      </c>
      <c r="V941" s="542" t="str">
        <f>IFERROR(VLOOKUP(INDEX(xySpace_Type_Details,MATCH($C941,'General Information'!$C$40:$C$60,0),12),Lookups!$L$8:$N$12,2,FALSE),"")</f>
        <v/>
      </c>
      <c r="W941" s="542" t="str">
        <f>IFERROR(VLOOKUP(INDEX(xySpace_Type_Details,MATCH($C941,'General Information'!$C$40:$C$60,0),12),Lookups!$L$8:$N$12,3,FALSE),"")</f>
        <v/>
      </c>
      <c r="Y941" s="542" t="str">
        <f>IFERROR(IF(C941="","",IF(INDEX(xyWattage_Table,MATCH(M941,'Fixture Identities'!$B$9:$B$997,0),2)="Exit Sign",0,IF(PRJ_Type="Retrofit",VLOOKUP(I941,xySVG_Factors,2,FALSE),IF(AND(PRJ_Type="New Construction",Inventory!C938="N"),VLOOKUP(VLOOKUP(Building_Type,xyLPD_BuildingArea,5,FALSE),xySVG_Factors_NC,3,FALSE),0)))),"")</f>
        <v/>
      </c>
      <c r="Z941" s="544" t="str">
        <f>IFERROR(IF(C941="","",IF(INDEX(xyWattage_Table,MATCH(M941,'Fixture Identities'!$B$9:$B$997,0),2)="Exit Sign",0,VLOOKUP(S941,xySVG_Factors,2,FALSE))),"")</f>
        <v/>
      </c>
      <c r="AA941" s="545" t="str">
        <f t="shared" si="329"/>
        <v/>
      </c>
      <c r="AB941" s="542" t="str">
        <f t="shared" si="330"/>
        <v/>
      </c>
      <c r="AC941" s="539" t="str">
        <f t="shared" si="331"/>
        <v/>
      </c>
      <c r="AD941" s="546" t="str">
        <f t="shared" si="332"/>
        <v/>
      </c>
      <c r="AE941" s="539" t="str">
        <f t="shared" si="333"/>
        <v/>
      </c>
      <c r="AF941" s="546" t="str">
        <f t="shared" si="334"/>
        <v/>
      </c>
      <c r="AG941" s="539" t="str">
        <f t="shared" si="335"/>
        <v/>
      </c>
      <c r="AH941" s="32">
        <f t="shared" si="337"/>
        <v>0</v>
      </c>
      <c r="AI941" s="32">
        <f t="shared" si="338"/>
        <v>0</v>
      </c>
      <c r="AJ941" s="32">
        <f t="shared" si="339"/>
        <v>0</v>
      </c>
      <c r="AK941" t="str">
        <f t="shared" si="340"/>
        <v/>
      </c>
      <c r="AL941" t="str">
        <f t="shared" si="341"/>
        <v/>
      </c>
      <c r="AM941" t="str">
        <f t="shared" si="342"/>
        <v/>
      </c>
      <c r="AO941" t="str">
        <f>IFERROR(VLOOKUP(M941,'Fixture Identities'!$B$9:$O$1045,14,FALSE),"")</f>
        <v/>
      </c>
      <c r="AP941" t="str">
        <f t="shared" si="336"/>
        <v/>
      </c>
    </row>
    <row r="942" spans="1:42">
      <c r="A942" s="71">
        <f t="shared" si="344"/>
        <v>0</v>
      </c>
      <c r="B942" s="513">
        <f t="shared" si="343"/>
        <v>930</v>
      </c>
      <c r="C942" s="530" t="str">
        <f>IF(Inventory!E939="","",Inventory!E939)</f>
        <v/>
      </c>
      <c r="D942" s="531">
        <f>IF(Inventory!D939="",0,Inventory!D939)</f>
        <v>0</v>
      </c>
      <c r="E942" s="532" t="str">
        <f>IF(Inventory!I939=0,"",Inventory!I939)</f>
        <v/>
      </c>
      <c r="F942" s="533" t="str">
        <f t="shared" si="323"/>
        <v/>
      </c>
      <c r="G942" s="534" t="str">
        <f>IF(Inventory!G939="","",Inventory!G939)</f>
        <v/>
      </c>
      <c r="H942" s="535" t="str">
        <f t="shared" si="324"/>
        <v/>
      </c>
      <c r="I942" s="536" t="str">
        <f>IF(Inventory!J939="","",Inventory!J939)</f>
        <v/>
      </c>
      <c r="J942" s="537" t="str">
        <f>IFERROR(IF(PRJ_Type="New Construction",IF(Inventory!C939="N",INDEX(xyLPD_BuildingArea,MATCH(Building_Type,Lookups!$F$37:$F$75,0),4),INDEX(xyLPD_SpaceBySpace,MATCH(INDEX(xyNCEx,MATCH(I942,yNCExArea,0),2),ySpace_by_Space_Type,0),2)),VLOOKUP(E942,xyWattage_Table,11,FALSE)),"")</f>
        <v/>
      </c>
      <c r="K942" s="538" t="str">
        <f>IFERROR(IF(AND(NC_Type="Building Area Method",Inventory!C939="N"),IF(ISERROR(INDEX('Usage Groups (&gt;120 MWh only)'!$N$8:$N$12,MATCH(C942,'Usage Groups (&gt;120 MWh only)'!$B$8:$B$12,0),1))=TRUE,SqFt/COUNTIFS(Inventory!$C$10:$C$1009,"N",$Q$13:$Q$1012,"&gt;=0"),INDEX('Usage Groups (&gt;120 MWh only)'!$N$8:$N$12,MATCH(C942,'Usage Groups (&gt;120 MWh only)'!$B$8:$B$12,0),1)/COUNTIF($C$13:$C$1012,C942)),IF(AND(NC_Type="Building Area Method",Inventory!C939="Y"),INDEX(xyNCEx,MATCH(I942,yNCExArea,0),3)/COUNTIF($I$13:$I$1012,I942),VLOOKUP(J942,xyWattage_Table,10,FALSE))),"")</f>
        <v/>
      </c>
      <c r="L942" s="539" t="str">
        <f t="shared" si="325"/>
        <v/>
      </c>
      <c r="M942" s="540">
        <f>IF(Inventory!N939="","",Inventory!N939)</f>
        <v>0</v>
      </c>
      <c r="N942" s="533" t="str">
        <f t="shared" si="326"/>
        <v/>
      </c>
      <c r="O942" s="534"/>
      <c r="P942" s="533" t="str">
        <f t="shared" si="327"/>
        <v/>
      </c>
      <c r="Q942" s="534" t="str">
        <f>IF(Inventory!L939="","",Inventory!L939)</f>
        <v/>
      </c>
      <c r="R942" s="535" t="str">
        <f t="shared" si="328"/>
        <v/>
      </c>
      <c r="S942" s="536" t="str">
        <f>IF(Inventory!O939="","",Inventory!O939)</f>
        <v/>
      </c>
      <c r="T942" s="541" t="str">
        <f>IFERROR(IF(C942="","",IF(INDEX(xyWattage_Table,MATCH(M942,'Fixture Identities'!$B$9:$B$997,0),2)="Exit Sign",8760,IF(VLOOKUP(C942,xySpace_Type_Details,8,FALSE)="TRM",INDEX('General Information'!$AF$17:$AG$28,11,MATCH(N942,'General Information'!$AF$16:$AG$16,0)),HLOOKUP(VLOOKUP(C942,xySpace_Type_Details,8,FALSE),'General Information'!$P$15:$AG$28,13,FALSE)))),"")</f>
        <v/>
      </c>
      <c r="U942" s="542" t="str">
        <f>IFERROR(IF(C942="","",IF(INDEX(xyWattage_Table,MATCH(M942,'Fixture Identities'!$B$9:$B$997,0),2)="Exit Sign",1,IF(VLOOKUP(C942,xySpace_Type_Details,8,FALSE)="TRM",INDEX('General Information'!$AF$17:$AG$28,12,MATCH(N942,'General Information'!$AF$16:$AG$16,0)),HLOOKUP(VLOOKUP(C942,xySpace_Type_Details,8,FALSE),'General Information'!$P$15:$AG$28,14,FALSE)))),"")</f>
        <v/>
      </c>
      <c r="V942" s="542" t="str">
        <f>IFERROR(VLOOKUP(INDEX(xySpace_Type_Details,MATCH($C942,'General Information'!$C$40:$C$60,0),12),Lookups!$L$8:$N$12,2,FALSE),"")</f>
        <v/>
      </c>
      <c r="W942" s="542" t="str">
        <f>IFERROR(VLOOKUP(INDEX(xySpace_Type_Details,MATCH($C942,'General Information'!$C$40:$C$60,0),12),Lookups!$L$8:$N$12,3,FALSE),"")</f>
        <v/>
      </c>
      <c r="Y942" s="542" t="str">
        <f>IFERROR(IF(C942="","",IF(INDEX(xyWattage_Table,MATCH(M942,'Fixture Identities'!$B$9:$B$997,0),2)="Exit Sign",0,IF(PRJ_Type="Retrofit",VLOOKUP(I942,xySVG_Factors,2,FALSE),IF(AND(PRJ_Type="New Construction",Inventory!C939="N"),VLOOKUP(VLOOKUP(Building_Type,xyLPD_BuildingArea,5,FALSE),xySVG_Factors_NC,3,FALSE),0)))),"")</f>
        <v/>
      </c>
      <c r="Z942" s="544" t="str">
        <f>IFERROR(IF(C942="","",IF(INDEX(xyWattage_Table,MATCH(M942,'Fixture Identities'!$B$9:$B$997,0),2)="Exit Sign",0,VLOOKUP(S942,xySVG_Factors,2,FALSE))),"")</f>
        <v/>
      </c>
      <c r="AA942" s="545" t="str">
        <f t="shared" si="329"/>
        <v/>
      </c>
      <c r="AB942" s="542" t="str">
        <f t="shared" si="330"/>
        <v/>
      </c>
      <c r="AC942" s="539" t="str">
        <f t="shared" si="331"/>
        <v/>
      </c>
      <c r="AD942" s="546" t="str">
        <f t="shared" si="332"/>
        <v/>
      </c>
      <c r="AE942" s="539" t="str">
        <f t="shared" si="333"/>
        <v/>
      </c>
      <c r="AF942" s="546" t="str">
        <f t="shared" si="334"/>
        <v/>
      </c>
      <c r="AG942" s="539" t="str">
        <f t="shared" si="335"/>
        <v/>
      </c>
      <c r="AH942" s="32">
        <f t="shared" si="337"/>
        <v>0</v>
      </c>
      <c r="AI942" s="32">
        <f t="shared" si="338"/>
        <v>0</v>
      </c>
      <c r="AJ942" s="32">
        <f t="shared" si="339"/>
        <v>0</v>
      </c>
      <c r="AK942" t="str">
        <f t="shared" si="340"/>
        <v/>
      </c>
      <c r="AL942" t="str">
        <f t="shared" si="341"/>
        <v/>
      </c>
      <c r="AM942" t="str">
        <f t="shared" si="342"/>
        <v/>
      </c>
      <c r="AO942" t="str">
        <f>IFERROR(VLOOKUP(M942,'Fixture Identities'!$B$9:$O$1045,14,FALSE),"")</f>
        <v/>
      </c>
      <c r="AP942" t="str">
        <f t="shared" si="336"/>
        <v/>
      </c>
    </row>
    <row r="943" spans="1:42">
      <c r="A943" s="71">
        <f t="shared" si="344"/>
        <v>0</v>
      </c>
      <c r="B943" s="513">
        <f t="shared" si="343"/>
        <v>931</v>
      </c>
      <c r="C943" s="530" t="str">
        <f>IF(Inventory!E940="","",Inventory!E940)</f>
        <v/>
      </c>
      <c r="D943" s="531">
        <f>IF(Inventory!D940="",0,Inventory!D940)</f>
        <v>0</v>
      </c>
      <c r="E943" s="532" t="str">
        <f>IF(Inventory!I940=0,"",Inventory!I940)</f>
        <v/>
      </c>
      <c r="F943" s="533" t="str">
        <f t="shared" si="323"/>
        <v/>
      </c>
      <c r="G943" s="534" t="str">
        <f>IF(Inventory!G940="","",Inventory!G940)</f>
        <v/>
      </c>
      <c r="H943" s="535" t="str">
        <f t="shared" si="324"/>
        <v/>
      </c>
      <c r="I943" s="536" t="str">
        <f>IF(Inventory!J940="","",Inventory!J940)</f>
        <v/>
      </c>
      <c r="J943" s="537" t="str">
        <f>IFERROR(IF(PRJ_Type="New Construction",IF(Inventory!C940="N",INDEX(xyLPD_BuildingArea,MATCH(Building_Type,Lookups!$F$37:$F$75,0),4),INDEX(xyLPD_SpaceBySpace,MATCH(INDEX(xyNCEx,MATCH(I943,yNCExArea,0),2),ySpace_by_Space_Type,0),2)),VLOOKUP(E943,xyWattage_Table,11,FALSE)),"")</f>
        <v/>
      </c>
      <c r="K943" s="538" t="str">
        <f>IFERROR(IF(AND(NC_Type="Building Area Method",Inventory!C940="N"),IF(ISERROR(INDEX('Usage Groups (&gt;120 MWh only)'!$N$8:$N$12,MATCH(C943,'Usage Groups (&gt;120 MWh only)'!$B$8:$B$12,0),1))=TRUE,SqFt/COUNTIFS(Inventory!$C$10:$C$1009,"N",$Q$13:$Q$1012,"&gt;=0"),INDEX('Usage Groups (&gt;120 MWh only)'!$N$8:$N$12,MATCH(C943,'Usage Groups (&gt;120 MWh only)'!$B$8:$B$12,0),1)/COUNTIF($C$13:$C$1012,C943)),IF(AND(NC_Type="Building Area Method",Inventory!C940="Y"),INDEX(xyNCEx,MATCH(I943,yNCExArea,0),3)/COUNTIF($I$13:$I$1012,I943),VLOOKUP(J943,xyWattage_Table,10,FALSE))),"")</f>
        <v/>
      </c>
      <c r="L943" s="539" t="str">
        <f t="shared" si="325"/>
        <v/>
      </c>
      <c r="M943" s="540">
        <f>IF(Inventory!N940="","",Inventory!N940)</f>
        <v>0</v>
      </c>
      <c r="N943" s="533" t="str">
        <f t="shared" si="326"/>
        <v/>
      </c>
      <c r="O943" s="534"/>
      <c r="P943" s="533" t="str">
        <f t="shared" si="327"/>
        <v/>
      </c>
      <c r="Q943" s="534" t="str">
        <f>IF(Inventory!L940="","",Inventory!L940)</f>
        <v/>
      </c>
      <c r="R943" s="535" t="str">
        <f t="shared" si="328"/>
        <v/>
      </c>
      <c r="S943" s="536" t="str">
        <f>IF(Inventory!O940="","",Inventory!O940)</f>
        <v/>
      </c>
      <c r="T943" s="541" t="str">
        <f>IFERROR(IF(C943="","",IF(INDEX(xyWattage_Table,MATCH(M943,'Fixture Identities'!$B$9:$B$997,0),2)="Exit Sign",8760,IF(VLOOKUP(C943,xySpace_Type_Details,8,FALSE)="TRM",INDEX('General Information'!$AF$17:$AG$28,11,MATCH(N943,'General Information'!$AF$16:$AG$16,0)),HLOOKUP(VLOOKUP(C943,xySpace_Type_Details,8,FALSE),'General Information'!$P$15:$AG$28,13,FALSE)))),"")</f>
        <v/>
      </c>
      <c r="U943" s="542" t="str">
        <f>IFERROR(IF(C943="","",IF(INDEX(xyWattage_Table,MATCH(M943,'Fixture Identities'!$B$9:$B$997,0),2)="Exit Sign",1,IF(VLOOKUP(C943,xySpace_Type_Details,8,FALSE)="TRM",INDEX('General Information'!$AF$17:$AG$28,12,MATCH(N943,'General Information'!$AF$16:$AG$16,0)),HLOOKUP(VLOOKUP(C943,xySpace_Type_Details,8,FALSE),'General Information'!$P$15:$AG$28,14,FALSE)))),"")</f>
        <v/>
      </c>
      <c r="V943" s="542" t="str">
        <f>IFERROR(VLOOKUP(INDEX(xySpace_Type_Details,MATCH($C943,'General Information'!$C$40:$C$60,0),12),Lookups!$L$8:$N$12,2,FALSE),"")</f>
        <v/>
      </c>
      <c r="W943" s="542" t="str">
        <f>IFERROR(VLOOKUP(INDEX(xySpace_Type_Details,MATCH($C943,'General Information'!$C$40:$C$60,0),12),Lookups!$L$8:$N$12,3,FALSE),"")</f>
        <v/>
      </c>
      <c r="Y943" s="542" t="str">
        <f>IFERROR(IF(C943="","",IF(INDEX(xyWattage_Table,MATCH(M943,'Fixture Identities'!$B$9:$B$997,0),2)="Exit Sign",0,IF(PRJ_Type="Retrofit",VLOOKUP(I943,xySVG_Factors,2,FALSE),IF(AND(PRJ_Type="New Construction",Inventory!C940="N"),VLOOKUP(VLOOKUP(Building_Type,xyLPD_BuildingArea,5,FALSE),xySVG_Factors_NC,3,FALSE),0)))),"")</f>
        <v/>
      </c>
      <c r="Z943" s="544" t="str">
        <f>IFERROR(IF(C943="","",IF(INDEX(xyWattage_Table,MATCH(M943,'Fixture Identities'!$B$9:$B$997,0),2)="Exit Sign",0,VLOOKUP(S943,xySVG_Factors,2,FALSE))),"")</f>
        <v/>
      </c>
      <c r="AA943" s="545" t="str">
        <f t="shared" si="329"/>
        <v/>
      </c>
      <c r="AB943" s="542" t="str">
        <f t="shared" si="330"/>
        <v/>
      </c>
      <c r="AC943" s="539" t="str">
        <f t="shared" si="331"/>
        <v/>
      </c>
      <c r="AD943" s="546" t="str">
        <f t="shared" si="332"/>
        <v/>
      </c>
      <c r="AE943" s="539" t="str">
        <f t="shared" si="333"/>
        <v/>
      </c>
      <c r="AF943" s="546" t="str">
        <f t="shared" si="334"/>
        <v/>
      </c>
      <c r="AG943" s="539" t="str">
        <f t="shared" si="335"/>
        <v/>
      </c>
      <c r="AH943" s="32">
        <f t="shared" si="337"/>
        <v>0</v>
      </c>
      <c r="AI943" s="32">
        <f t="shared" si="338"/>
        <v>0</v>
      </c>
      <c r="AJ943" s="32">
        <f t="shared" si="339"/>
        <v>0</v>
      </c>
      <c r="AK943" t="str">
        <f t="shared" si="340"/>
        <v/>
      </c>
      <c r="AL943" t="str">
        <f t="shared" si="341"/>
        <v/>
      </c>
      <c r="AM943" t="str">
        <f t="shared" si="342"/>
        <v/>
      </c>
      <c r="AO943" t="str">
        <f>IFERROR(VLOOKUP(M943,'Fixture Identities'!$B$9:$O$1045,14,FALSE),"")</f>
        <v/>
      </c>
      <c r="AP943" t="str">
        <f t="shared" si="336"/>
        <v/>
      </c>
    </row>
    <row r="944" spans="1:42">
      <c r="A944" s="71">
        <f t="shared" si="344"/>
        <v>0</v>
      </c>
      <c r="B944" s="513">
        <f t="shared" si="343"/>
        <v>932</v>
      </c>
      <c r="C944" s="530" t="str">
        <f>IF(Inventory!E941="","",Inventory!E941)</f>
        <v/>
      </c>
      <c r="D944" s="531">
        <f>IF(Inventory!D941="",0,Inventory!D941)</f>
        <v>0</v>
      </c>
      <c r="E944" s="532" t="str">
        <f>IF(Inventory!I941=0,"",Inventory!I941)</f>
        <v/>
      </c>
      <c r="F944" s="533" t="str">
        <f t="shared" si="323"/>
        <v/>
      </c>
      <c r="G944" s="534" t="str">
        <f>IF(Inventory!G941="","",Inventory!G941)</f>
        <v/>
      </c>
      <c r="H944" s="535" t="str">
        <f t="shared" si="324"/>
        <v/>
      </c>
      <c r="I944" s="536" t="str">
        <f>IF(Inventory!J941="","",Inventory!J941)</f>
        <v/>
      </c>
      <c r="J944" s="537" t="str">
        <f>IFERROR(IF(PRJ_Type="New Construction",IF(Inventory!C941="N",INDEX(xyLPD_BuildingArea,MATCH(Building_Type,Lookups!$F$37:$F$75,0),4),INDEX(xyLPD_SpaceBySpace,MATCH(INDEX(xyNCEx,MATCH(I944,yNCExArea,0),2),ySpace_by_Space_Type,0),2)),VLOOKUP(E944,xyWattage_Table,11,FALSE)),"")</f>
        <v/>
      </c>
      <c r="K944" s="538" t="str">
        <f>IFERROR(IF(AND(NC_Type="Building Area Method",Inventory!C941="N"),IF(ISERROR(INDEX('Usage Groups (&gt;120 MWh only)'!$N$8:$N$12,MATCH(C944,'Usage Groups (&gt;120 MWh only)'!$B$8:$B$12,0),1))=TRUE,SqFt/COUNTIFS(Inventory!$C$10:$C$1009,"N",$Q$13:$Q$1012,"&gt;=0"),INDEX('Usage Groups (&gt;120 MWh only)'!$N$8:$N$12,MATCH(C944,'Usage Groups (&gt;120 MWh only)'!$B$8:$B$12,0),1)/COUNTIF($C$13:$C$1012,C944)),IF(AND(NC_Type="Building Area Method",Inventory!C941="Y"),INDEX(xyNCEx,MATCH(I944,yNCExArea,0),3)/COUNTIF($I$13:$I$1012,I944),VLOOKUP(J944,xyWattage_Table,10,FALSE))),"")</f>
        <v/>
      </c>
      <c r="L944" s="539" t="str">
        <f t="shared" si="325"/>
        <v/>
      </c>
      <c r="M944" s="540">
        <f>IF(Inventory!N941="","",Inventory!N941)</f>
        <v>0</v>
      </c>
      <c r="N944" s="533" t="str">
        <f t="shared" si="326"/>
        <v/>
      </c>
      <c r="O944" s="534"/>
      <c r="P944" s="533" t="str">
        <f t="shared" si="327"/>
        <v/>
      </c>
      <c r="Q944" s="534" t="str">
        <f>IF(Inventory!L941="","",Inventory!L941)</f>
        <v/>
      </c>
      <c r="R944" s="535" t="str">
        <f t="shared" si="328"/>
        <v/>
      </c>
      <c r="S944" s="536" t="str">
        <f>IF(Inventory!O941="","",Inventory!O941)</f>
        <v/>
      </c>
      <c r="T944" s="541" t="str">
        <f>IFERROR(IF(C944="","",IF(INDEX(xyWattage_Table,MATCH(M944,'Fixture Identities'!$B$9:$B$997,0),2)="Exit Sign",8760,IF(VLOOKUP(C944,xySpace_Type_Details,8,FALSE)="TRM",INDEX('General Information'!$AF$17:$AG$28,11,MATCH(N944,'General Information'!$AF$16:$AG$16,0)),HLOOKUP(VLOOKUP(C944,xySpace_Type_Details,8,FALSE),'General Information'!$P$15:$AG$28,13,FALSE)))),"")</f>
        <v/>
      </c>
      <c r="U944" s="542" t="str">
        <f>IFERROR(IF(C944="","",IF(INDEX(xyWattage_Table,MATCH(M944,'Fixture Identities'!$B$9:$B$997,0),2)="Exit Sign",1,IF(VLOOKUP(C944,xySpace_Type_Details,8,FALSE)="TRM",INDEX('General Information'!$AF$17:$AG$28,12,MATCH(N944,'General Information'!$AF$16:$AG$16,0)),HLOOKUP(VLOOKUP(C944,xySpace_Type_Details,8,FALSE),'General Information'!$P$15:$AG$28,14,FALSE)))),"")</f>
        <v/>
      </c>
      <c r="V944" s="542" t="str">
        <f>IFERROR(VLOOKUP(INDEX(xySpace_Type_Details,MATCH($C944,'General Information'!$C$40:$C$60,0),12),Lookups!$L$8:$N$12,2,FALSE),"")</f>
        <v/>
      </c>
      <c r="W944" s="542" t="str">
        <f>IFERROR(VLOOKUP(INDEX(xySpace_Type_Details,MATCH($C944,'General Information'!$C$40:$C$60,0),12),Lookups!$L$8:$N$12,3,FALSE),"")</f>
        <v/>
      </c>
      <c r="Y944" s="542" t="str">
        <f>IFERROR(IF(C944="","",IF(INDEX(xyWattage_Table,MATCH(M944,'Fixture Identities'!$B$9:$B$997,0),2)="Exit Sign",0,IF(PRJ_Type="Retrofit",VLOOKUP(I944,xySVG_Factors,2,FALSE),IF(AND(PRJ_Type="New Construction",Inventory!C941="N"),VLOOKUP(VLOOKUP(Building_Type,xyLPD_BuildingArea,5,FALSE),xySVG_Factors_NC,3,FALSE),0)))),"")</f>
        <v/>
      </c>
      <c r="Z944" s="544" t="str">
        <f>IFERROR(IF(C944="","",IF(INDEX(xyWattage_Table,MATCH(M944,'Fixture Identities'!$B$9:$B$997,0),2)="Exit Sign",0,VLOOKUP(S944,xySVG_Factors,2,FALSE))),"")</f>
        <v/>
      </c>
      <c r="AA944" s="545" t="str">
        <f t="shared" si="329"/>
        <v/>
      </c>
      <c r="AB944" s="542" t="str">
        <f t="shared" si="330"/>
        <v/>
      </c>
      <c r="AC944" s="539" t="str">
        <f t="shared" si="331"/>
        <v/>
      </c>
      <c r="AD944" s="546" t="str">
        <f t="shared" si="332"/>
        <v/>
      </c>
      <c r="AE944" s="539" t="str">
        <f t="shared" si="333"/>
        <v/>
      </c>
      <c r="AF944" s="546" t="str">
        <f t="shared" si="334"/>
        <v/>
      </c>
      <c r="AG944" s="539" t="str">
        <f t="shared" si="335"/>
        <v/>
      </c>
      <c r="AH944" s="32">
        <f t="shared" si="337"/>
        <v>0</v>
      </c>
      <c r="AI944" s="32">
        <f t="shared" si="338"/>
        <v>0</v>
      </c>
      <c r="AJ944" s="32">
        <f t="shared" si="339"/>
        <v>0</v>
      </c>
      <c r="AK944" t="str">
        <f t="shared" si="340"/>
        <v/>
      </c>
      <c r="AL944" t="str">
        <f t="shared" si="341"/>
        <v/>
      </c>
      <c r="AM944" t="str">
        <f t="shared" si="342"/>
        <v/>
      </c>
      <c r="AO944" t="str">
        <f>IFERROR(VLOOKUP(M944,'Fixture Identities'!$B$9:$O$1045,14,FALSE),"")</f>
        <v/>
      </c>
      <c r="AP944" t="str">
        <f t="shared" si="336"/>
        <v/>
      </c>
    </row>
    <row r="945" spans="1:42">
      <c r="A945" s="71">
        <f t="shared" si="344"/>
        <v>0</v>
      </c>
      <c r="B945" s="513">
        <f t="shared" si="343"/>
        <v>933</v>
      </c>
      <c r="C945" s="530" t="str">
        <f>IF(Inventory!E942="","",Inventory!E942)</f>
        <v/>
      </c>
      <c r="D945" s="531">
        <f>IF(Inventory!D942="",0,Inventory!D942)</f>
        <v>0</v>
      </c>
      <c r="E945" s="532" t="str">
        <f>IF(Inventory!I942=0,"",Inventory!I942)</f>
        <v/>
      </c>
      <c r="F945" s="533" t="str">
        <f t="shared" si="323"/>
        <v/>
      </c>
      <c r="G945" s="534" t="str">
        <f>IF(Inventory!G942="","",Inventory!G942)</f>
        <v/>
      </c>
      <c r="H945" s="535" t="str">
        <f t="shared" si="324"/>
        <v/>
      </c>
      <c r="I945" s="536" t="str">
        <f>IF(Inventory!J942="","",Inventory!J942)</f>
        <v/>
      </c>
      <c r="J945" s="537" t="str">
        <f>IFERROR(IF(PRJ_Type="New Construction",IF(Inventory!C942="N",INDEX(xyLPD_BuildingArea,MATCH(Building_Type,Lookups!$F$37:$F$75,0),4),INDEX(xyLPD_SpaceBySpace,MATCH(INDEX(xyNCEx,MATCH(I945,yNCExArea,0),2),ySpace_by_Space_Type,0),2)),VLOOKUP(E945,xyWattage_Table,11,FALSE)),"")</f>
        <v/>
      </c>
      <c r="K945" s="538" t="str">
        <f>IFERROR(IF(AND(NC_Type="Building Area Method",Inventory!C942="N"),IF(ISERROR(INDEX('Usage Groups (&gt;120 MWh only)'!$N$8:$N$12,MATCH(C945,'Usage Groups (&gt;120 MWh only)'!$B$8:$B$12,0),1))=TRUE,SqFt/COUNTIFS(Inventory!$C$10:$C$1009,"N",$Q$13:$Q$1012,"&gt;=0"),INDEX('Usage Groups (&gt;120 MWh only)'!$N$8:$N$12,MATCH(C945,'Usage Groups (&gt;120 MWh only)'!$B$8:$B$12,0),1)/COUNTIF($C$13:$C$1012,C945)),IF(AND(NC_Type="Building Area Method",Inventory!C942="Y"),INDEX(xyNCEx,MATCH(I945,yNCExArea,0),3)/COUNTIF($I$13:$I$1012,I945),VLOOKUP(J945,xyWattage_Table,10,FALSE))),"")</f>
        <v/>
      </c>
      <c r="L945" s="539" t="str">
        <f t="shared" si="325"/>
        <v/>
      </c>
      <c r="M945" s="540">
        <f>IF(Inventory!N942="","",Inventory!N942)</f>
        <v>0</v>
      </c>
      <c r="N945" s="533" t="str">
        <f t="shared" si="326"/>
        <v/>
      </c>
      <c r="O945" s="534"/>
      <c r="P945" s="533" t="str">
        <f t="shared" si="327"/>
        <v/>
      </c>
      <c r="Q945" s="534" t="str">
        <f>IF(Inventory!L942="","",Inventory!L942)</f>
        <v/>
      </c>
      <c r="R945" s="535" t="str">
        <f t="shared" si="328"/>
        <v/>
      </c>
      <c r="S945" s="536" t="str">
        <f>IF(Inventory!O942="","",Inventory!O942)</f>
        <v/>
      </c>
      <c r="T945" s="541" t="str">
        <f>IFERROR(IF(C945="","",IF(INDEX(xyWattage_Table,MATCH(M945,'Fixture Identities'!$B$9:$B$997,0),2)="Exit Sign",8760,IF(VLOOKUP(C945,xySpace_Type_Details,8,FALSE)="TRM",INDEX('General Information'!$AF$17:$AG$28,11,MATCH(N945,'General Information'!$AF$16:$AG$16,0)),HLOOKUP(VLOOKUP(C945,xySpace_Type_Details,8,FALSE),'General Information'!$P$15:$AG$28,13,FALSE)))),"")</f>
        <v/>
      </c>
      <c r="U945" s="542" t="str">
        <f>IFERROR(IF(C945="","",IF(INDEX(xyWattage_Table,MATCH(M945,'Fixture Identities'!$B$9:$B$997,0),2)="Exit Sign",1,IF(VLOOKUP(C945,xySpace_Type_Details,8,FALSE)="TRM",INDEX('General Information'!$AF$17:$AG$28,12,MATCH(N945,'General Information'!$AF$16:$AG$16,0)),HLOOKUP(VLOOKUP(C945,xySpace_Type_Details,8,FALSE),'General Information'!$P$15:$AG$28,14,FALSE)))),"")</f>
        <v/>
      </c>
      <c r="V945" s="542" t="str">
        <f>IFERROR(VLOOKUP(INDEX(xySpace_Type_Details,MATCH($C945,'General Information'!$C$40:$C$60,0),12),Lookups!$L$8:$N$12,2,FALSE),"")</f>
        <v/>
      </c>
      <c r="W945" s="542" t="str">
        <f>IFERROR(VLOOKUP(INDEX(xySpace_Type_Details,MATCH($C945,'General Information'!$C$40:$C$60,0),12),Lookups!$L$8:$N$12,3,FALSE),"")</f>
        <v/>
      </c>
      <c r="Y945" s="542" t="str">
        <f>IFERROR(IF(C945="","",IF(INDEX(xyWattage_Table,MATCH(M945,'Fixture Identities'!$B$9:$B$997,0),2)="Exit Sign",0,IF(PRJ_Type="Retrofit",VLOOKUP(I945,xySVG_Factors,2,FALSE),IF(AND(PRJ_Type="New Construction",Inventory!C942="N"),VLOOKUP(VLOOKUP(Building_Type,xyLPD_BuildingArea,5,FALSE),xySVG_Factors_NC,3,FALSE),0)))),"")</f>
        <v/>
      </c>
      <c r="Z945" s="544" t="str">
        <f>IFERROR(IF(C945="","",IF(INDEX(xyWattage_Table,MATCH(M945,'Fixture Identities'!$B$9:$B$997,0),2)="Exit Sign",0,VLOOKUP(S945,xySVG_Factors,2,FALSE))),"")</f>
        <v/>
      </c>
      <c r="AA945" s="545" t="str">
        <f t="shared" si="329"/>
        <v/>
      </c>
      <c r="AB945" s="542" t="str">
        <f t="shared" si="330"/>
        <v/>
      </c>
      <c r="AC945" s="539" t="str">
        <f t="shared" si="331"/>
        <v/>
      </c>
      <c r="AD945" s="546" t="str">
        <f t="shared" si="332"/>
        <v/>
      </c>
      <c r="AE945" s="539" t="str">
        <f t="shared" si="333"/>
        <v/>
      </c>
      <c r="AF945" s="546" t="str">
        <f t="shared" si="334"/>
        <v/>
      </c>
      <c r="AG945" s="539" t="str">
        <f t="shared" si="335"/>
        <v/>
      </c>
      <c r="AH945" s="32">
        <f t="shared" si="337"/>
        <v>0</v>
      </c>
      <c r="AI945" s="32">
        <f t="shared" si="338"/>
        <v>0</v>
      </c>
      <c r="AJ945" s="32">
        <f t="shared" si="339"/>
        <v>0</v>
      </c>
      <c r="AK945" t="str">
        <f t="shared" si="340"/>
        <v/>
      </c>
      <c r="AL945" t="str">
        <f t="shared" si="341"/>
        <v/>
      </c>
      <c r="AM945" t="str">
        <f t="shared" si="342"/>
        <v/>
      </c>
      <c r="AO945" t="str">
        <f>IFERROR(VLOOKUP(M945,'Fixture Identities'!$B$9:$O$1045,14,FALSE),"")</f>
        <v/>
      </c>
      <c r="AP945" t="str">
        <f t="shared" si="336"/>
        <v/>
      </c>
    </row>
    <row r="946" spans="1:42">
      <c r="A946" s="71">
        <f t="shared" si="344"/>
        <v>0</v>
      </c>
      <c r="B946" s="513">
        <f t="shared" si="343"/>
        <v>934</v>
      </c>
      <c r="C946" s="530" t="str">
        <f>IF(Inventory!E943="","",Inventory!E943)</f>
        <v/>
      </c>
      <c r="D946" s="531">
        <f>IF(Inventory!D943="",0,Inventory!D943)</f>
        <v>0</v>
      </c>
      <c r="E946" s="532" t="str">
        <f>IF(Inventory!I943=0,"",Inventory!I943)</f>
        <v/>
      </c>
      <c r="F946" s="533" t="str">
        <f t="shared" si="323"/>
        <v/>
      </c>
      <c r="G946" s="534" t="str">
        <f>IF(Inventory!G943="","",Inventory!G943)</f>
        <v/>
      </c>
      <c r="H946" s="535" t="str">
        <f t="shared" si="324"/>
        <v/>
      </c>
      <c r="I946" s="536" t="str">
        <f>IF(Inventory!J943="","",Inventory!J943)</f>
        <v/>
      </c>
      <c r="J946" s="537" t="str">
        <f>IFERROR(IF(PRJ_Type="New Construction",IF(Inventory!C943="N",INDEX(xyLPD_BuildingArea,MATCH(Building_Type,Lookups!$F$37:$F$75,0),4),INDEX(xyLPD_SpaceBySpace,MATCH(INDEX(xyNCEx,MATCH(I946,yNCExArea,0),2),ySpace_by_Space_Type,0),2)),VLOOKUP(E946,xyWattage_Table,11,FALSE)),"")</f>
        <v/>
      </c>
      <c r="K946" s="538" t="str">
        <f>IFERROR(IF(AND(NC_Type="Building Area Method",Inventory!C943="N"),IF(ISERROR(INDEX('Usage Groups (&gt;120 MWh only)'!$N$8:$N$12,MATCH(C946,'Usage Groups (&gt;120 MWh only)'!$B$8:$B$12,0),1))=TRUE,SqFt/COUNTIFS(Inventory!$C$10:$C$1009,"N",$Q$13:$Q$1012,"&gt;=0"),INDEX('Usage Groups (&gt;120 MWh only)'!$N$8:$N$12,MATCH(C946,'Usage Groups (&gt;120 MWh only)'!$B$8:$B$12,0),1)/COUNTIF($C$13:$C$1012,C946)),IF(AND(NC_Type="Building Area Method",Inventory!C943="Y"),INDEX(xyNCEx,MATCH(I946,yNCExArea,0),3)/COUNTIF($I$13:$I$1012,I946),VLOOKUP(J946,xyWattage_Table,10,FALSE))),"")</f>
        <v/>
      </c>
      <c r="L946" s="539" t="str">
        <f t="shared" si="325"/>
        <v/>
      </c>
      <c r="M946" s="540">
        <f>IF(Inventory!N943="","",Inventory!N943)</f>
        <v>0</v>
      </c>
      <c r="N946" s="533" t="str">
        <f t="shared" si="326"/>
        <v/>
      </c>
      <c r="O946" s="534"/>
      <c r="P946" s="533" t="str">
        <f t="shared" si="327"/>
        <v/>
      </c>
      <c r="Q946" s="534" t="str">
        <f>IF(Inventory!L943="","",Inventory!L943)</f>
        <v/>
      </c>
      <c r="R946" s="535" t="str">
        <f t="shared" si="328"/>
        <v/>
      </c>
      <c r="S946" s="536" t="str">
        <f>IF(Inventory!O943="","",Inventory!O943)</f>
        <v/>
      </c>
      <c r="T946" s="541" t="str">
        <f>IFERROR(IF(C946="","",IF(INDEX(xyWattage_Table,MATCH(M946,'Fixture Identities'!$B$9:$B$997,0),2)="Exit Sign",8760,IF(VLOOKUP(C946,xySpace_Type_Details,8,FALSE)="TRM",INDEX('General Information'!$AF$17:$AG$28,11,MATCH(N946,'General Information'!$AF$16:$AG$16,0)),HLOOKUP(VLOOKUP(C946,xySpace_Type_Details,8,FALSE),'General Information'!$P$15:$AG$28,13,FALSE)))),"")</f>
        <v/>
      </c>
      <c r="U946" s="542" t="str">
        <f>IFERROR(IF(C946="","",IF(INDEX(xyWattage_Table,MATCH(M946,'Fixture Identities'!$B$9:$B$997,0),2)="Exit Sign",1,IF(VLOOKUP(C946,xySpace_Type_Details,8,FALSE)="TRM",INDEX('General Information'!$AF$17:$AG$28,12,MATCH(N946,'General Information'!$AF$16:$AG$16,0)),HLOOKUP(VLOOKUP(C946,xySpace_Type_Details,8,FALSE),'General Information'!$P$15:$AG$28,14,FALSE)))),"")</f>
        <v/>
      </c>
      <c r="V946" s="542" t="str">
        <f>IFERROR(VLOOKUP(INDEX(xySpace_Type_Details,MATCH($C946,'General Information'!$C$40:$C$60,0),12),Lookups!$L$8:$N$12,2,FALSE),"")</f>
        <v/>
      </c>
      <c r="W946" s="542" t="str">
        <f>IFERROR(VLOOKUP(INDEX(xySpace_Type_Details,MATCH($C946,'General Information'!$C$40:$C$60,0),12),Lookups!$L$8:$N$12,3,FALSE),"")</f>
        <v/>
      </c>
      <c r="Y946" s="542" t="str">
        <f>IFERROR(IF(C946="","",IF(INDEX(xyWattage_Table,MATCH(M946,'Fixture Identities'!$B$9:$B$997,0),2)="Exit Sign",0,IF(PRJ_Type="Retrofit",VLOOKUP(I946,xySVG_Factors,2,FALSE),IF(AND(PRJ_Type="New Construction",Inventory!C943="N"),VLOOKUP(VLOOKUP(Building_Type,xyLPD_BuildingArea,5,FALSE),xySVG_Factors_NC,3,FALSE),0)))),"")</f>
        <v/>
      </c>
      <c r="Z946" s="544" t="str">
        <f>IFERROR(IF(C946="","",IF(INDEX(xyWattage_Table,MATCH(M946,'Fixture Identities'!$B$9:$B$997,0),2)="Exit Sign",0,VLOOKUP(S946,xySVG_Factors,2,FALSE))),"")</f>
        <v/>
      </c>
      <c r="AA946" s="545" t="str">
        <f t="shared" si="329"/>
        <v/>
      </c>
      <c r="AB946" s="542" t="str">
        <f t="shared" si="330"/>
        <v/>
      </c>
      <c r="AC946" s="539" t="str">
        <f t="shared" si="331"/>
        <v/>
      </c>
      <c r="AD946" s="546" t="str">
        <f t="shared" si="332"/>
        <v/>
      </c>
      <c r="AE946" s="539" t="str">
        <f t="shared" si="333"/>
        <v/>
      </c>
      <c r="AF946" s="546" t="str">
        <f t="shared" si="334"/>
        <v/>
      </c>
      <c r="AG946" s="539" t="str">
        <f t="shared" si="335"/>
        <v/>
      </c>
      <c r="AH946" s="32">
        <f t="shared" si="337"/>
        <v>0</v>
      </c>
      <c r="AI946" s="32">
        <f t="shared" si="338"/>
        <v>0</v>
      </c>
      <c r="AJ946" s="32">
        <f t="shared" si="339"/>
        <v>0</v>
      </c>
      <c r="AK946" t="str">
        <f t="shared" si="340"/>
        <v/>
      </c>
      <c r="AL946" t="str">
        <f t="shared" si="341"/>
        <v/>
      </c>
      <c r="AM946" t="str">
        <f t="shared" si="342"/>
        <v/>
      </c>
      <c r="AO946" t="str">
        <f>IFERROR(VLOOKUP(M946,'Fixture Identities'!$B$9:$O$1045,14,FALSE),"")</f>
        <v/>
      </c>
      <c r="AP946" t="str">
        <f t="shared" si="336"/>
        <v/>
      </c>
    </row>
    <row r="947" spans="1:42">
      <c r="A947" s="71">
        <f t="shared" si="344"/>
        <v>0</v>
      </c>
      <c r="B947" s="513">
        <f t="shared" si="343"/>
        <v>935</v>
      </c>
      <c r="C947" s="530" t="str">
        <f>IF(Inventory!E944="","",Inventory!E944)</f>
        <v/>
      </c>
      <c r="D947" s="531">
        <f>IF(Inventory!D944="",0,Inventory!D944)</f>
        <v>0</v>
      </c>
      <c r="E947" s="532" t="str">
        <f>IF(Inventory!I944=0,"",Inventory!I944)</f>
        <v/>
      </c>
      <c r="F947" s="533" t="str">
        <f t="shared" si="323"/>
        <v/>
      </c>
      <c r="G947" s="534" t="str">
        <f>IF(Inventory!G944="","",Inventory!G944)</f>
        <v/>
      </c>
      <c r="H947" s="535" t="str">
        <f t="shared" si="324"/>
        <v/>
      </c>
      <c r="I947" s="536" t="str">
        <f>IF(Inventory!J944="","",Inventory!J944)</f>
        <v/>
      </c>
      <c r="J947" s="537" t="str">
        <f>IFERROR(IF(PRJ_Type="New Construction",IF(Inventory!C944="N",INDEX(xyLPD_BuildingArea,MATCH(Building_Type,Lookups!$F$37:$F$75,0),4),INDEX(xyLPD_SpaceBySpace,MATCH(INDEX(xyNCEx,MATCH(I947,yNCExArea,0),2),ySpace_by_Space_Type,0),2)),VLOOKUP(E947,xyWattage_Table,11,FALSE)),"")</f>
        <v/>
      </c>
      <c r="K947" s="538" t="str">
        <f>IFERROR(IF(AND(NC_Type="Building Area Method",Inventory!C944="N"),IF(ISERROR(INDEX('Usage Groups (&gt;120 MWh only)'!$N$8:$N$12,MATCH(C947,'Usage Groups (&gt;120 MWh only)'!$B$8:$B$12,0),1))=TRUE,SqFt/COUNTIFS(Inventory!$C$10:$C$1009,"N",$Q$13:$Q$1012,"&gt;=0"),INDEX('Usage Groups (&gt;120 MWh only)'!$N$8:$N$12,MATCH(C947,'Usage Groups (&gt;120 MWh only)'!$B$8:$B$12,0),1)/COUNTIF($C$13:$C$1012,C947)),IF(AND(NC_Type="Building Area Method",Inventory!C944="Y"),INDEX(xyNCEx,MATCH(I947,yNCExArea,0),3)/COUNTIF($I$13:$I$1012,I947),VLOOKUP(J947,xyWattage_Table,10,FALSE))),"")</f>
        <v/>
      </c>
      <c r="L947" s="539" t="str">
        <f t="shared" si="325"/>
        <v/>
      </c>
      <c r="M947" s="540">
        <f>IF(Inventory!N944="","",Inventory!N944)</f>
        <v>0</v>
      </c>
      <c r="N947" s="533" t="str">
        <f t="shared" si="326"/>
        <v/>
      </c>
      <c r="O947" s="534"/>
      <c r="P947" s="533" t="str">
        <f t="shared" si="327"/>
        <v/>
      </c>
      <c r="Q947" s="534" t="str">
        <f>IF(Inventory!L944="","",Inventory!L944)</f>
        <v/>
      </c>
      <c r="R947" s="535" t="str">
        <f t="shared" si="328"/>
        <v/>
      </c>
      <c r="S947" s="536" t="str">
        <f>IF(Inventory!O944="","",Inventory!O944)</f>
        <v/>
      </c>
      <c r="T947" s="541" t="str">
        <f>IFERROR(IF(C947="","",IF(INDEX(xyWattage_Table,MATCH(M947,'Fixture Identities'!$B$9:$B$997,0),2)="Exit Sign",8760,IF(VLOOKUP(C947,xySpace_Type_Details,8,FALSE)="TRM",INDEX('General Information'!$AF$17:$AG$28,11,MATCH(N947,'General Information'!$AF$16:$AG$16,0)),HLOOKUP(VLOOKUP(C947,xySpace_Type_Details,8,FALSE),'General Information'!$P$15:$AG$28,13,FALSE)))),"")</f>
        <v/>
      </c>
      <c r="U947" s="542" t="str">
        <f>IFERROR(IF(C947="","",IF(INDEX(xyWattage_Table,MATCH(M947,'Fixture Identities'!$B$9:$B$997,0),2)="Exit Sign",1,IF(VLOOKUP(C947,xySpace_Type_Details,8,FALSE)="TRM",INDEX('General Information'!$AF$17:$AG$28,12,MATCH(N947,'General Information'!$AF$16:$AG$16,0)),HLOOKUP(VLOOKUP(C947,xySpace_Type_Details,8,FALSE),'General Information'!$P$15:$AG$28,14,FALSE)))),"")</f>
        <v/>
      </c>
      <c r="V947" s="542" t="str">
        <f>IFERROR(VLOOKUP(INDEX(xySpace_Type_Details,MATCH($C947,'General Information'!$C$40:$C$60,0),12),Lookups!$L$8:$N$12,2,FALSE),"")</f>
        <v/>
      </c>
      <c r="W947" s="542" t="str">
        <f>IFERROR(VLOOKUP(INDEX(xySpace_Type_Details,MATCH($C947,'General Information'!$C$40:$C$60,0),12),Lookups!$L$8:$N$12,3,FALSE),"")</f>
        <v/>
      </c>
      <c r="Y947" s="542" t="str">
        <f>IFERROR(IF(C947="","",IF(INDEX(xyWattage_Table,MATCH(M947,'Fixture Identities'!$B$9:$B$997,0),2)="Exit Sign",0,IF(PRJ_Type="Retrofit",VLOOKUP(I947,xySVG_Factors,2,FALSE),IF(AND(PRJ_Type="New Construction",Inventory!C944="N"),VLOOKUP(VLOOKUP(Building_Type,xyLPD_BuildingArea,5,FALSE),xySVG_Factors_NC,3,FALSE),0)))),"")</f>
        <v/>
      </c>
      <c r="Z947" s="544" t="str">
        <f>IFERROR(IF(C947="","",IF(INDEX(xyWattage_Table,MATCH(M947,'Fixture Identities'!$B$9:$B$997,0),2)="Exit Sign",0,VLOOKUP(S947,xySVG_Factors,2,FALSE))),"")</f>
        <v/>
      </c>
      <c r="AA947" s="545" t="str">
        <f t="shared" si="329"/>
        <v/>
      </c>
      <c r="AB947" s="542" t="str">
        <f t="shared" si="330"/>
        <v/>
      </c>
      <c r="AC947" s="539" t="str">
        <f t="shared" si="331"/>
        <v/>
      </c>
      <c r="AD947" s="546" t="str">
        <f t="shared" si="332"/>
        <v/>
      </c>
      <c r="AE947" s="539" t="str">
        <f t="shared" si="333"/>
        <v/>
      </c>
      <c r="AF947" s="546" t="str">
        <f t="shared" si="334"/>
        <v/>
      </c>
      <c r="AG947" s="539" t="str">
        <f t="shared" si="335"/>
        <v/>
      </c>
      <c r="AH947" s="32">
        <f t="shared" si="337"/>
        <v>0</v>
      </c>
      <c r="AI947" s="32">
        <f t="shared" si="338"/>
        <v>0</v>
      </c>
      <c r="AJ947" s="32">
        <f t="shared" si="339"/>
        <v>0</v>
      </c>
      <c r="AK947" t="str">
        <f t="shared" si="340"/>
        <v/>
      </c>
      <c r="AL947" t="str">
        <f t="shared" si="341"/>
        <v/>
      </c>
      <c r="AM947" t="str">
        <f t="shared" si="342"/>
        <v/>
      </c>
      <c r="AO947" t="str">
        <f>IFERROR(VLOOKUP(M947,'Fixture Identities'!$B$9:$O$1045,14,FALSE),"")</f>
        <v/>
      </c>
      <c r="AP947" t="str">
        <f t="shared" si="336"/>
        <v/>
      </c>
    </row>
    <row r="948" spans="1:42">
      <c r="A948" s="71">
        <f t="shared" si="344"/>
        <v>0</v>
      </c>
      <c r="B948" s="513">
        <f t="shared" si="343"/>
        <v>936</v>
      </c>
      <c r="C948" s="530" t="str">
        <f>IF(Inventory!E945="","",Inventory!E945)</f>
        <v/>
      </c>
      <c r="D948" s="531">
        <f>IF(Inventory!D945="",0,Inventory!D945)</f>
        <v>0</v>
      </c>
      <c r="E948" s="532" t="str">
        <f>IF(Inventory!I945=0,"",Inventory!I945)</f>
        <v/>
      </c>
      <c r="F948" s="533" t="str">
        <f t="shared" si="323"/>
        <v/>
      </c>
      <c r="G948" s="534" t="str">
        <f>IF(Inventory!G945="","",Inventory!G945)</f>
        <v/>
      </c>
      <c r="H948" s="535" t="str">
        <f t="shared" si="324"/>
        <v/>
      </c>
      <c r="I948" s="536" t="str">
        <f>IF(Inventory!J945="","",Inventory!J945)</f>
        <v/>
      </c>
      <c r="J948" s="537" t="str">
        <f>IFERROR(IF(PRJ_Type="New Construction",IF(Inventory!C945="N",INDEX(xyLPD_BuildingArea,MATCH(Building_Type,Lookups!$F$37:$F$75,0),4),INDEX(xyLPD_SpaceBySpace,MATCH(INDEX(xyNCEx,MATCH(I948,yNCExArea,0),2),ySpace_by_Space_Type,0),2)),VLOOKUP(E948,xyWattage_Table,11,FALSE)),"")</f>
        <v/>
      </c>
      <c r="K948" s="538" t="str">
        <f>IFERROR(IF(AND(NC_Type="Building Area Method",Inventory!C945="N"),IF(ISERROR(INDEX('Usage Groups (&gt;120 MWh only)'!$N$8:$N$12,MATCH(C948,'Usage Groups (&gt;120 MWh only)'!$B$8:$B$12,0),1))=TRUE,SqFt/COUNTIFS(Inventory!$C$10:$C$1009,"N",$Q$13:$Q$1012,"&gt;=0"),INDEX('Usage Groups (&gt;120 MWh only)'!$N$8:$N$12,MATCH(C948,'Usage Groups (&gt;120 MWh only)'!$B$8:$B$12,0),1)/COUNTIF($C$13:$C$1012,C948)),IF(AND(NC_Type="Building Area Method",Inventory!C945="Y"),INDEX(xyNCEx,MATCH(I948,yNCExArea,0),3)/COUNTIF($I$13:$I$1012,I948),VLOOKUP(J948,xyWattage_Table,10,FALSE))),"")</f>
        <v/>
      </c>
      <c r="L948" s="539" t="str">
        <f t="shared" si="325"/>
        <v/>
      </c>
      <c r="M948" s="540">
        <f>IF(Inventory!N945="","",Inventory!N945)</f>
        <v>0</v>
      </c>
      <c r="N948" s="533" t="str">
        <f t="shared" si="326"/>
        <v/>
      </c>
      <c r="O948" s="534"/>
      <c r="P948" s="533" t="str">
        <f t="shared" si="327"/>
        <v/>
      </c>
      <c r="Q948" s="534" t="str">
        <f>IF(Inventory!L945="","",Inventory!L945)</f>
        <v/>
      </c>
      <c r="R948" s="535" t="str">
        <f t="shared" si="328"/>
        <v/>
      </c>
      <c r="S948" s="536" t="str">
        <f>IF(Inventory!O945="","",Inventory!O945)</f>
        <v/>
      </c>
      <c r="T948" s="541" t="str">
        <f>IFERROR(IF(C948="","",IF(INDEX(xyWattage_Table,MATCH(M948,'Fixture Identities'!$B$9:$B$997,0),2)="Exit Sign",8760,IF(VLOOKUP(C948,xySpace_Type_Details,8,FALSE)="TRM",INDEX('General Information'!$AF$17:$AG$28,11,MATCH(N948,'General Information'!$AF$16:$AG$16,0)),HLOOKUP(VLOOKUP(C948,xySpace_Type_Details,8,FALSE),'General Information'!$P$15:$AG$28,13,FALSE)))),"")</f>
        <v/>
      </c>
      <c r="U948" s="542" t="str">
        <f>IFERROR(IF(C948="","",IF(INDEX(xyWattage_Table,MATCH(M948,'Fixture Identities'!$B$9:$B$997,0),2)="Exit Sign",1,IF(VLOOKUP(C948,xySpace_Type_Details,8,FALSE)="TRM",INDEX('General Information'!$AF$17:$AG$28,12,MATCH(N948,'General Information'!$AF$16:$AG$16,0)),HLOOKUP(VLOOKUP(C948,xySpace_Type_Details,8,FALSE),'General Information'!$P$15:$AG$28,14,FALSE)))),"")</f>
        <v/>
      </c>
      <c r="V948" s="542" t="str">
        <f>IFERROR(VLOOKUP(INDEX(xySpace_Type_Details,MATCH($C948,'General Information'!$C$40:$C$60,0),12),Lookups!$L$8:$N$12,2,FALSE),"")</f>
        <v/>
      </c>
      <c r="W948" s="542" t="str">
        <f>IFERROR(VLOOKUP(INDEX(xySpace_Type_Details,MATCH($C948,'General Information'!$C$40:$C$60,0),12),Lookups!$L$8:$N$12,3,FALSE),"")</f>
        <v/>
      </c>
      <c r="Y948" s="542" t="str">
        <f>IFERROR(IF(C948="","",IF(INDEX(xyWattage_Table,MATCH(M948,'Fixture Identities'!$B$9:$B$997,0),2)="Exit Sign",0,IF(PRJ_Type="Retrofit",VLOOKUP(I948,xySVG_Factors,2,FALSE),IF(AND(PRJ_Type="New Construction",Inventory!C945="N"),VLOOKUP(VLOOKUP(Building_Type,xyLPD_BuildingArea,5,FALSE),xySVG_Factors_NC,3,FALSE),0)))),"")</f>
        <v/>
      </c>
      <c r="Z948" s="544" t="str">
        <f>IFERROR(IF(C948="","",IF(INDEX(xyWattage_Table,MATCH(M948,'Fixture Identities'!$B$9:$B$997,0),2)="Exit Sign",0,VLOOKUP(S948,xySVG_Factors,2,FALSE))),"")</f>
        <v/>
      </c>
      <c r="AA948" s="545" t="str">
        <f t="shared" si="329"/>
        <v/>
      </c>
      <c r="AB948" s="542" t="str">
        <f t="shared" si="330"/>
        <v/>
      </c>
      <c r="AC948" s="539" t="str">
        <f t="shared" si="331"/>
        <v/>
      </c>
      <c r="AD948" s="546" t="str">
        <f t="shared" si="332"/>
        <v/>
      </c>
      <c r="AE948" s="539" t="str">
        <f t="shared" si="333"/>
        <v/>
      </c>
      <c r="AF948" s="546" t="str">
        <f t="shared" si="334"/>
        <v/>
      </c>
      <c r="AG948" s="539" t="str">
        <f t="shared" si="335"/>
        <v/>
      </c>
      <c r="AH948" s="32">
        <f t="shared" si="337"/>
        <v>0</v>
      </c>
      <c r="AI948" s="32">
        <f t="shared" si="338"/>
        <v>0</v>
      </c>
      <c r="AJ948" s="32">
        <f t="shared" si="339"/>
        <v>0</v>
      </c>
      <c r="AK948" t="str">
        <f t="shared" si="340"/>
        <v/>
      </c>
      <c r="AL948" t="str">
        <f t="shared" si="341"/>
        <v/>
      </c>
      <c r="AM948" t="str">
        <f t="shared" si="342"/>
        <v/>
      </c>
      <c r="AO948" t="str">
        <f>IFERROR(VLOOKUP(M948,'Fixture Identities'!$B$9:$O$1045,14,FALSE),"")</f>
        <v/>
      </c>
      <c r="AP948" t="str">
        <f t="shared" si="336"/>
        <v/>
      </c>
    </row>
    <row r="949" spans="1:42">
      <c r="A949" s="71">
        <f t="shared" si="344"/>
        <v>0</v>
      </c>
      <c r="B949" s="513">
        <f t="shared" si="343"/>
        <v>937</v>
      </c>
      <c r="C949" s="530" t="str">
        <f>IF(Inventory!E946="","",Inventory!E946)</f>
        <v/>
      </c>
      <c r="D949" s="531">
        <f>IF(Inventory!D946="",0,Inventory!D946)</f>
        <v>0</v>
      </c>
      <c r="E949" s="532" t="str">
        <f>IF(Inventory!I946=0,"",Inventory!I946)</f>
        <v/>
      </c>
      <c r="F949" s="533" t="str">
        <f t="shared" si="323"/>
        <v/>
      </c>
      <c r="G949" s="534" t="str">
        <f>IF(Inventory!G946="","",Inventory!G946)</f>
        <v/>
      </c>
      <c r="H949" s="535" t="str">
        <f t="shared" si="324"/>
        <v/>
      </c>
      <c r="I949" s="536" t="str">
        <f>IF(Inventory!J946="","",Inventory!J946)</f>
        <v/>
      </c>
      <c r="J949" s="537" t="str">
        <f>IFERROR(IF(PRJ_Type="New Construction",IF(Inventory!C946="N",INDEX(xyLPD_BuildingArea,MATCH(Building_Type,Lookups!$F$37:$F$75,0),4),INDEX(xyLPD_SpaceBySpace,MATCH(INDEX(xyNCEx,MATCH(I949,yNCExArea,0),2),ySpace_by_Space_Type,0),2)),VLOOKUP(E949,xyWattage_Table,11,FALSE)),"")</f>
        <v/>
      </c>
      <c r="K949" s="538" t="str">
        <f>IFERROR(IF(AND(NC_Type="Building Area Method",Inventory!C946="N"),IF(ISERROR(INDEX('Usage Groups (&gt;120 MWh only)'!$N$8:$N$12,MATCH(C949,'Usage Groups (&gt;120 MWh only)'!$B$8:$B$12,0),1))=TRUE,SqFt/COUNTIFS(Inventory!$C$10:$C$1009,"N",$Q$13:$Q$1012,"&gt;=0"),INDEX('Usage Groups (&gt;120 MWh only)'!$N$8:$N$12,MATCH(C949,'Usage Groups (&gt;120 MWh only)'!$B$8:$B$12,0),1)/COUNTIF($C$13:$C$1012,C949)),IF(AND(NC_Type="Building Area Method",Inventory!C946="Y"),INDEX(xyNCEx,MATCH(I949,yNCExArea,0),3)/COUNTIF($I$13:$I$1012,I949),VLOOKUP(J949,xyWattage_Table,10,FALSE))),"")</f>
        <v/>
      </c>
      <c r="L949" s="539" t="str">
        <f t="shared" si="325"/>
        <v/>
      </c>
      <c r="M949" s="540">
        <f>IF(Inventory!N946="","",Inventory!N946)</f>
        <v>0</v>
      </c>
      <c r="N949" s="533" t="str">
        <f t="shared" si="326"/>
        <v/>
      </c>
      <c r="O949" s="534"/>
      <c r="P949" s="533" t="str">
        <f t="shared" si="327"/>
        <v/>
      </c>
      <c r="Q949" s="534" t="str">
        <f>IF(Inventory!L946="","",Inventory!L946)</f>
        <v/>
      </c>
      <c r="R949" s="535" t="str">
        <f t="shared" si="328"/>
        <v/>
      </c>
      <c r="S949" s="536" t="str">
        <f>IF(Inventory!O946="","",Inventory!O946)</f>
        <v/>
      </c>
      <c r="T949" s="541" t="str">
        <f>IFERROR(IF(C949="","",IF(INDEX(xyWattage_Table,MATCH(M949,'Fixture Identities'!$B$9:$B$997,0),2)="Exit Sign",8760,IF(VLOOKUP(C949,xySpace_Type_Details,8,FALSE)="TRM",INDEX('General Information'!$AF$17:$AG$28,11,MATCH(N949,'General Information'!$AF$16:$AG$16,0)),HLOOKUP(VLOOKUP(C949,xySpace_Type_Details,8,FALSE),'General Information'!$P$15:$AG$28,13,FALSE)))),"")</f>
        <v/>
      </c>
      <c r="U949" s="542" t="str">
        <f>IFERROR(IF(C949="","",IF(INDEX(xyWattage_Table,MATCH(M949,'Fixture Identities'!$B$9:$B$997,0),2)="Exit Sign",1,IF(VLOOKUP(C949,xySpace_Type_Details,8,FALSE)="TRM",INDEX('General Information'!$AF$17:$AG$28,12,MATCH(N949,'General Information'!$AF$16:$AG$16,0)),HLOOKUP(VLOOKUP(C949,xySpace_Type_Details,8,FALSE),'General Information'!$P$15:$AG$28,14,FALSE)))),"")</f>
        <v/>
      </c>
      <c r="V949" s="542" t="str">
        <f>IFERROR(VLOOKUP(INDEX(xySpace_Type_Details,MATCH($C949,'General Information'!$C$40:$C$60,0),12),Lookups!$L$8:$N$12,2,FALSE),"")</f>
        <v/>
      </c>
      <c r="W949" s="542" t="str">
        <f>IFERROR(VLOOKUP(INDEX(xySpace_Type_Details,MATCH($C949,'General Information'!$C$40:$C$60,0),12),Lookups!$L$8:$N$12,3,FALSE),"")</f>
        <v/>
      </c>
      <c r="Y949" s="542" t="str">
        <f>IFERROR(IF(C949="","",IF(INDEX(xyWattage_Table,MATCH(M949,'Fixture Identities'!$B$9:$B$997,0),2)="Exit Sign",0,IF(PRJ_Type="Retrofit",VLOOKUP(I949,xySVG_Factors,2,FALSE),IF(AND(PRJ_Type="New Construction",Inventory!C946="N"),VLOOKUP(VLOOKUP(Building_Type,xyLPD_BuildingArea,5,FALSE),xySVG_Factors_NC,3,FALSE),0)))),"")</f>
        <v/>
      </c>
      <c r="Z949" s="544" t="str">
        <f>IFERROR(IF(C949="","",IF(INDEX(xyWattage_Table,MATCH(M949,'Fixture Identities'!$B$9:$B$997,0),2)="Exit Sign",0,VLOOKUP(S949,xySVG_Factors,2,FALSE))),"")</f>
        <v/>
      </c>
      <c r="AA949" s="545" t="str">
        <f t="shared" si="329"/>
        <v/>
      </c>
      <c r="AB949" s="542" t="str">
        <f t="shared" si="330"/>
        <v/>
      </c>
      <c r="AC949" s="539" t="str">
        <f t="shared" si="331"/>
        <v/>
      </c>
      <c r="AD949" s="546" t="str">
        <f t="shared" si="332"/>
        <v/>
      </c>
      <c r="AE949" s="539" t="str">
        <f t="shared" si="333"/>
        <v/>
      </c>
      <c r="AF949" s="546" t="str">
        <f t="shared" si="334"/>
        <v/>
      </c>
      <c r="AG949" s="539" t="str">
        <f t="shared" si="335"/>
        <v/>
      </c>
      <c r="AH949" s="32">
        <f t="shared" si="337"/>
        <v>0</v>
      </c>
      <c r="AI949" s="32">
        <f t="shared" si="338"/>
        <v>0</v>
      </c>
      <c r="AJ949" s="32">
        <f t="shared" si="339"/>
        <v>0</v>
      </c>
      <c r="AK949" t="str">
        <f t="shared" si="340"/>
        <v/>
      </c>
      <c r="AL949" t="str">
        <f t="shared" si="341"/>
        <v/>
      </c>
      <c r="AM949" t="str">
        <f t="shared" si="342"/>
        <v/>
      </c>
      <c r="AO949" t="str">
        <f>IFERROR(VLOOKUP(M949,'Fixture Identities'!$B$9:$O$1045,14,FALSE),"")</f>
        <v/>
      </c>
      <c r="AP949" t="str">
        <f t="shared" si="336"/>
        <v/>
      </c>
    </row>
    <row r="950" spans="1:42">
      <c r="A950" s="71">
        <f t="shared" si="344"/>
        <v>0</v>
      </c>
      <c r="B950" s="513">
        <f t="shared" si="343"/>
        <v>938</v>
      </c>
      <c r="C950" s="530" t="str">
        <f>IF(Inventory!E947="","",Inventory!E947)</f>
        <v/>
      </c>
      <c r="D950" s="531">
        <f>IF(Inventory!D947="",0,Inventory!D947)</f>
        <v>0</v>
      </c>
      <c r="E950" s="532" t="str">
        <f>IF(Inventory!I947=0,"",Inventory!I947)</f>
        <v/>
      </c>
      <c r="F950" s="533" t="str">
        <f t="shared" si="323"/>
        <v/>
      </c>
      <c r="G950" s="534" t="str">
        <f>IF(Inventory!G947="","",Inventory!G947)</f>
        <v/>
      </c>
      <c r="H950" s="535" t="str">
        <f t="shared" si="324"/>
        <v/>
      </c>
      <c r="I950" s="536" t="str">
        <f>IF(Inventory!J947="","",Inventory!J947)</f>
        <v/>
      </c>
      <c r="J950" s="537" t="str">
        <f>IFERROR(IF(PRJ_Type="New Construction",IF(Inventory!C947="N",INDEX(xyLPD_BuildingArea,MATCH(Building_Type,Lookups!$F$37:$F$75,0),4),INDEX(xyLPD_SpaceBySpace,MATCH(INDEX(xyNCEx,MATCH(I950,yNCExArea,0),2),ySpace_by_Space_Type,0),2)),VLOOKUP(E950,xyWattage_Table,11,FALSE)),"")</f>
        <v/>
      </c>
      <c r="K950" s="538" t="str">
        <f>IFERROR(IF(AND(NC_Type="Building Area Method",Inventory!C947="N"),IF(ISERROR(INDEX('Usage Groups (&gt;120 MWh only)'!$N$8:$N$12,MATCH(C950,'Usage Groups (&gt;120 MWh only)'!$B$8:$B$12,0),1))=TRUE,SqFt/COUNTIFS(Inventory!$C$10:$C$1009,"N",$Q$13:$Q$1012,"&gt;=0"),INDEX('Usage Groups (&gt;120 MWh only)'!$N$8:$N$12,MATCH(C950,'Usage Groups (&gt;120 MWh only)'!$B$8:$B$12,0),1)/COUNTIF($C$13:$C$1012,C950)),IF(AND(NC_Type="Building Area Method",Inventory!C947="Y"),INDEX(xyNCEx,MATCH(I950,yNCExArea,0),3)/COUNTIF($I$13:$I$1012,I950),VLOOKUP(J950,xyWattage_Table,10,FALSE))),"")</f>
        <v/>
      </c>
      <c r="L950" s="539" t="str">
        <f t="shared" si="325"/>
        <v/>
      </c>
      <c r="M950" s="540">
        <f>IF(Inventory!N947="","",Inventory!N947)</f>
        <v>0</v>
      </c>
      <c r="N950" s="533" t="str">
        <f t="shared" si="326"/>
        <v/>
      </c>
      <c r="O950" s="534"/>
      <c r="P950" s="533" t="str">
        <f t="shared" si="327"/>
        <v/>
      </c>
      <c r="Q950" s="534" t="str">
        <f>IF(Inventory!L947="","",Inventory!L947)</f>
        <v/>
      </c>
      <c r="R950" s="535" t="str">
        <f t="shared" si="328"/>
        <v/>
      </c>
      <c r="S950" s="536" t="str">
        <f>IF(Inventory!O947="","",Inventory!O947)</f>
        <v/>
      </c>
      <c r="T950" s="541" t="str">
        <f>IFERROR(IF(C950="","",IF(INDEX(xyWattage_Table,MATCH(M950,'Fixture Identities'!$B$9:$B$997,0),2)="Exit Sign",8760,IF(VLOOKUP(C950,xySpace_Type_Details,8,FALSE)="TRM",INDEX('General Information'!$AF$17:$AG$28,11,MATCH(N950,'General Information'!$AF$16:$AG$16,0)),HLOOKUP(VLOOKUP(C950,xySpace_Type_Details,8,FALSE),'General Information'!$P$15:$AG$28,13,FALSE)))),"")</f>
        <v/>
      </c>
      <c r="U950" s="542" t="str">
        <f>IFERROR(IF(C950="","",IF(INDEX(xyWattage_Table,MATCH(M950,'Fixture Identities'!$B$9:$B$997,0),2)="Exit Sign",1,IF(VLOOKUP(C950,xySpace_Type_Details,8,FALSE)="TRM",INDEX('General Information'!$AF$17:$AG$28,12,MATCH(N950,'General Information'!$AF$16:$AG$16,0)),HLOOKUP(VLOOKUP(C950,xySpace_Type_Details,8,FALSE),'General Information'!$P$15:$AG$28,14,FALSE)))),"")</f>
        <v/>
      </c>
      <c r="V950" s="542" t="str">
        <f>IFERROR(VLOOKUP(INDEX(xySpace_Type_Details,MATCH($C950,'General Information'!$C$40:$C$60,0),12),Lookups!$L$8:$N$12,2,FALSE),"")</f>
        <v/>
      </c>
      <c r="W950" s="542" t="str">
        <f>IFERROR(VLOOKUP(INDEX(xySpace_Type_Details,MATCH($C950,'General Information'!$C$40:$C$60,0),12),Lookups!$L$8:$N$12,3,FALSE),"")</f>
        <v/>
      </c>
      <c r="Y950" s="542" t="str">
        <f>IFERROR(IF(C950="","",IF(INDEX(xyWattage_Table,MATCH(M950,'Fixture Identities'!$B$9:$B$997,0),2)="Exit Sign",0,IF(PRJ_Type="Retrofit",VLOOKUP(I950,xySVG_Factors,2,FALSE),IF(AND(PRJ_Type="New Construction",Inventory!C947="N"),VLOOKUP(VLOOKUP(Building_Type,xyLPD_BuildingArea,5,FALSE),xySVG_Factors_NC,3,FALSE),0)))),"")</f>
        <v/>
      </c>
      <c r="Z950" s="544" t="str">
        <f>IFERROR(IF(C950="","",IF(INDEX(xyWattage_Table,MATCH(M950,'Fixture Identities'!$B$9:$B$997,0),2)="Exit Sign",0,VLOOKUP(S950,xySVG_Factors,2,FALSE))),"")</f>
        <v/>
      </c>
      <c r="AA950" s="545" t="str">
        <f t="shared" si="329"/>
        <v/>
      </c>
      <c r="AB950" s="542" t="str">
        <f t="shared" si="330"/>
        <v/>
      </c>
      <c r="AC950" s="539" t="str">
        <f t="shared" si="331"/>
        <v/>
      </c>
      <c r="AD950" s="546" t="str">
        <f t="shared" si="332"/>
        <v/>
      </c>
      <c r="AE950" s="539" t="str">
        <f t="shared" si="333"/>
        <v/>
      </c>
      <c r="AF950" s="546" t="str">
        <f t="shared" si="334"/>
        <v/>
      </c>
      <c r="AG950" s="539" t="str">
        <f t="shared" si="335"/>
        <v/>
      </c>
      <c r="AH950" s="32">
        <f t="shared" si="337"/>
        <v>0</v>
      </c>
      <c r="AI950" s="32">
        <f t="shared" si="338"/>
        <v>0</v>
      </c>
      <c r="AJ950" s="32">
        <f t="shared" si="339"/>
        <v>0</v>
      </c>
      <c r="AK950" t="str">
        <f t="shared" si="340"/>
        <v/>
      </c>
      <c r="AL950" t="str">
        <f t="shared" si="341"/>
        <v/>
      </c>
      <c r="AM950" t="str">
        <f t="shared" si="342"/>
        <v/>
      </c>
      <c r="AO950" t="str">
        <f>IFERROR(VLOOKUP(M950,'Fixture Identities'!$B$9:$O$1045,14,FALSE),"")</f>
        <v/>
      </c>
      <c r="AP950" t="str">
        <f t="shared" si="336"/>
        <v/>
      </c>
    </row>
    <row r="951" spans="1:42">
      <c r="A951" s="71">
        <f t="shared" si="344"/>
        <v>0</v>
      </c>
      <c r="B951" s="513">
        <f t="shared" si="343"/>
        <v>939</v>
      </c>
      <c r="C951" s="530" t="str">
        <f>IF(Inventory!E948="","",Inventory!E948)</f>
        <v/>
      </c>
      <c r="D951" s="531">
        <f>IF(Inventory!D948="",0,Inventory!D948)</f>
        <v>0</v>
      </c>
      <c r="E951" s="532" t="str">
        <f>IF(Inventory!I948=0,"",Inventory!I948)</f>
        <v/>
      </c>
      <c r="F951" s="533" t="str">
        <f t="shared" si="323"/>
        <v/>
      </c>
      <c r="G951" s="534" t="str">
        <f>IF(Inventory!G948="","",Inventory!G948)</f>
        <v/>
      </c>
      <c r="H951" s="535" t="str">
        <f t="shared" si="324"/>
        <v/>
      </c>
      <c r="I951" s="536" t="str">
        <f>IF(Inventory!J948="","",Inventory!J948)</f>
        <v/>
      </c>
      <c r="J951" s="537" t="str">
        <f>IFERROR(IF(PRJ_Type="New Construction",IF(Inventory!C948="N",INDEX(xyLPD_BuildingArea,MATCH(Building_Type,Lookups!$F$37:$F$75,0),4),INDEX(xyLPD_SpaceBySpace,MATCH(INDEX(xyNCEx,MATCH(I951,yNCExArea,0),2),ySpace_by_Space_Type,0),2)),VLOOKUP(E951,xyWattage_Table,11,FALSE)),"")</f>
        <v/>
      </c>
      <c r="K951" s="538" t="str">
        <f>IFERROR(IF(AND(NC_Type="Building Area Method",Inventory!C948="N"),IF(ISERROR(INDEX('Usage Groups (&gt;120 MWh only)'!$N$8:$N$12,MATCH(C951,'Usage Groups (&gt;120 MWh only)'!$B$8:$B$12,0),1))=TRUE,SqFt/COUNTIFS(Inventory!$C$10:$C$1009,"N",$Q$13:$Q$1012,"&gt;=0"),INDEX('Usage Groups (&gt;120 MWh only)'!$N$8:$N$12,MATCH(C951,'Usage Groups (&gt;120 MWh only)'!$B$8:$B$12,0),1)/COUNTIF($C$13:$C$1012,C951)),IF(AND(NC_Type="Building Area Method",Inventory!C948="Y"),INDEX(xyNCEx,MATCH(I951,yNCExArea,0),3)/COUNTIF($I$13:$I$1012,I951),VLOOKUP(J951,xyWattage_Table,10,FALSE))),"")</f>
        <v/>
      </c>
      <c r="L951" s="539" t="str">
        <f t="shared" si="325"/>
        <v/>
      </c>
      <c r="M951" s="540">
        <f>IF(Inventory!N948="","",Inventory!N948)</f>
        <v>0</v>
      </c>
      <c r="N951" s="533" t="str">
        <f t="shared" si="326"/>
        <v/>
      </c>
      <c r="O951" s="534"/>
      <c r="P951" s="533" t="str">
        <f t="shared" si="327"/>
        <v/>
      </c>
      <c r="Q951" s="534" t="str">
        <f>IF(Inventory!L948="","",Inventory!L948)</f>
        <v/>
      </c>
      <c r="R951" s="535" t="str">
        <f t="shared" si="328"/>
        <v/>
      </c>
      <c r="S951" s="536" t="str">
        <f>IF(Inventory!O948="","",Inventory!O948)</f>
        <v/>
      </c>
      <c r="T951" s="541" t="str">
        <f>IFERROR(IF(C951="","",IF(INDEX(xyWattage_Table,MATCH(M951,'Fixture Identities'!$B$9:$B$997,0),2)="Exit Sign",8760,IF(VLOOKUP(C951,xySpace_Type_Details,8,FALSE)="TRM",INDEX('General Information'!$AF$17:$AG$28,11,MATCH(N951,'General Information'!$AF$16:$AG$16,0)),HLOOKUP(VLOOKUP(C951,xySpace_Type_Details,8,FALSE),'General Information'!$P$15:$AG$28,13,FALSE)))),"")</f>
        <v/>
      </c>
      <c r="U951" s="542" t="str">
        <f>IFERROR(IF(C951="","",IF(INDEX(xyWattage_Table,MATCH(M951,'Fixture Identities'!$B$9:$B$997,0),2)="Exit Sign",1,IF(VLOOKUP(C951,xySpace_Type_Details,8,FALSE)="TRM",INDEX('General Information'!$AF$17:$AG$28,12,MATCH(N951,'General Information'!$AF$16:$AG$16,0)),HLOOKUP(VLOOKUP(C951,xySpace_Type_Details,8,FALSE),'General Information'!$P$15:$AG$28,14,FALSE)))),"")</f>
        <v/>
      </c>
      <c r="V951" s="542" t="str">
        <f>IFERROR(VLOOKUP(INDEX(xySpace_Type_Details,MATCH($C951,'General Information'!$C$40:$C$60,0),12),Lookups!$L$8:$N$12,2,FALSE),"")</f>
        <v/>
      </c>
      <c r="W951" s="542" t="str">
        <f>IFERROR(VLOOKUP(INDEX(xySpace_Type_Details,MATCH($C951,'General Information'!$C$40:$C$60,0),12),Lookups!$L$8:$N$12,3,FALSE),"")</f>
        <v/>
      </c>
      <c r="Y951" s="542" t="str">
        <f>IFERROR(IF(C951="","",IF(INDEX(xyWattage_Table,MATCH(M951,'Fixture Identities'!$B$9:$B$997,0),2)="Exit Sign",0,IF(PRJ_Type="Retrofit",VLOOKUP(I951,xySVG_Factors,2,FALSE),IF(AND(PRJ_Type="New Construction",Inventory!C948="N"),VLOOKUP(VLOOKUP(Building_Type,xyLPD_BuildingArea,5,FALSE),xySVG_Factors_NC,3,FALSE),0)))),"")</f>
        <v/>
      </c>
      <c r="Z951" s="544" t="str">
        <f>IFERROR(IF(C951="","",IF(INDEX(xyWattage_Table,MATCH(M951,'Fixture Identities'!$B$9:$B$997,0),2)="Exit Sign",0,VLOOKUP(S951,xySVG_Factors,2,FALSE))),"")</f>
        <v/>
      </c>
      <c r="AA951" s="545" t="str">
        <f t="shared" si="329"/>
        <v/>
      </c>
      <c r="AB951" s="542" t="str">
        <f t="shared" si="330"/>
        <v/>
      </c>
      <c r="AC951" s="539" t="str">
        <f t="shared" si="331"/>
        <v/>
      </c>
      <c r="AD951" s="546" t="str">
        <f t="shared" si="332"/>
        <v/>
      </c>
      <c r="AE951" s="539" t="str">
        <f t="shared" si="333"/>
        <v/>
      </c>
      <c r="AF951" s="546" t="str">
        <f t="shared" si="334"/>
        <v/>
      </c>
      <c r="AG951" s="539" t="str">
        <f t="shared" si="335"/>
        <v/>
      </c>
      <c r="AH951" s="32">
        <f t="shared" si="337"/>
        <v>0</v>
      </c>
      <c r="AI951" s="32">
        <f t="shared" si="338"/>
        <v>0</v>
      </c>
      <c r="AJ951" s="32">
        <f t="shared" si="339"/>
        <v>0</v>
      </c>
      <c r="AK951" t="str">
        <f t="shared" si="340"/>
        <v/>
      </c>
      <c r="AL951" t="str">
        <f t="shared" si="341"/>
        <v/>
      </c>
      <c r="AM951" t="str">
        <f t="shared" si="342"/>
        <v/>
      </c>
      <c r="AO951" t="str">
        <f>IFERROR(VLOOKUP(M951,'Fixture Identities'!$B$9:$O$1045,14,FALSE),"")</f>
        <v/>
      </c>
      <c r="AP951" t="str">
        <f t="shared" si="336"/>
        <v/>
      </c>
    </row>
    <row r="952" spans="1:42">
      <c r="A952" s="71">
        <f t="shared" si="344"/>
        <v>0</v>
      </c>
      <c r="B952" s="513">
        <f t="shared" si="343"/>
        <v>940</v>
      </c>
      <c r="C952" s="530" t="str">
        <f>IF(Inventory!E949="","",Inventory!E949)</f>
        <v/>
      </c>
      <c r="D952" s="531">
        <f>IF(Inventory!D949="",0,Inventory!D949)</f>
        <v>0</v>
      </c>
      <c r="E952" s="532" t="str">
        <f>IF(Inventory!I949=0,"",Inventory!I949)</f>
        <v/>
      </c>
      <c r="F952" s="533" t="str">
        <f t="shared" si="323"/>
        <v/>
      </c>
      <c r="G952" s="534" t="str">
        <f>IF(Inventory!G949="","",Inventory!G949)</f>
        <v/>
      </c>
      <c r="H952" s="535" t="str">
        <f t="shared" si="324"/>
        <v/>
      </c>
      <c r="I952" s="536" t="str">
        <f>IF(Inventory!J949="","",Inventory!J949)</f>
        <v/>
      </c>
      <c r="J952" s="537" t="str">
        <f>IFERROR(IF(PRJ_Type="New Construction",IF(Inventory!C949="N",INDEX(xyLPD_BuildingArea,MATCH(Building_Type,Lookups!$F$37:$F$75,0),4),INDEX(xyLPD_SpaceBySpace,MATCH(INDEX(xyNCEx,MATCH(I952,yNCExArea,0),2),ySpace_by_Space_Type,0),2)),VLOOKUP(E952,xyWattage_Table,11,FALSE)),"")</f>
        <v/>
      </c>
      <c r="K952" s="538" t="str">
        <f>IFERROR(IF(AND(NC_Type="Building Area Method",Inventory!C949="N"),IF(ISERROR(INDEX('Usage Groups (&gt;120 MWh only)'!$N$8:$N$12,MATCH(C952,'Usage Groups (&gt;120 MWh only)'!$B$8:$B$12,0),1))=TRUE,SqFt/COUNTIFS(Inventory!$C$10:$C$1009,"N",$Q$13:$Q$1012,"&gt;=0"),INDEX('Usage Groups (&gt;120 MWh only)'!$N$8:$N$12,MATCH(C952,'Usage Groups (&gt;120 MWh only)'!$B$8:$B$12,0),1)/COUNTIF($C$13:$C$1012,C952)),IF(AND(NC_Type="Building Area Method",Inventory!C949="Y"),INDEX(xyNCEx,MATCH(I952,yNCExArea,0),3)/COUNTIF($I$13:$I$1012,I952),VLOOKUP(J952,xyWattage_Table,10,FALSE))),"")</f>
        <v/>
      </c>
      <c r="L952" s="539" t="str">
        <f t="shared" si="325"/>
        <v/>
      </c>
      <c r="M952" s="540">
        <f>IF(Inventory!N949="","",Inventory!N949)</f>
        <v>0</v>
      </c>
      <c r="N952" s="533" t="str">
        <f t="shared" si="326"/>
        <v/>
      </c>
      <c r="O952" s="534"/>
      <c r="P952" s="533" t="str">
        <f t="shared" si="327"/>
        <v/>
      </c>
      <c r="Q952" s="534" t="str">
        <f>IF(Inventory!L949="","",Inventory!L949)</f>
        <v/>
      </c>
      <c r="R952" s="535" t="str">
        <f t="shared" si="328"/>
        <v/>
      </c>
      <c r="S952" s="536" t="str">
        <f>IF(Inventory!O949="","",Inventory!O949)</f>
        <v/>
      </c>
      <c r="T952" s="541" t="str">
        <f>IFERROR(IF(C952="","",IF(INDEX(xyWattage_Table,MATCH(M952,'Fixture Identities'!$B$9:$B$997,0),2)="Exit Sign",8760,IF(VLOOKUP(C952,xySpace_Type_Details,8,FALSE)="TRM",INDEX('General Information'!$AF$17:$AG$28,11,MATCH(N952,'General Information'!$AF$16:$AG$16,0)),HLOOKUP(VLOOKUP(C952,xySpace_Type_Details,8,FALSE),'General Information'!$P$15:$AG$28,13,FALSE)))),"")</f>
        <v/>
      </c>
      <c r="U952" s="542" t="str">
        <f>IFERROR(IF(C952="","",IF(INDEX(xyWattage_Table,MATCH(M952,'Fixture Identities'!$B$9:$B$997,0),2)="Exit Sign",1,IF(VLOOKUP(C952,xySpace_Type_Details,8,FALSE)="TRM",INDEX('General Information'!$AF$17:$AG$28,12,MATCH(N952,'General Information'!$AF$16:$AG$16,0)),HLOOKUP(VLOOKUP(C952,xySpace_Type_Details,8,FALSE),'General Information'!$P$15:$AG$28,14,FALSE)))),"")</f>
        <v/>
      </c>
      <c r="V952" s="542" t="str">
        <f>IFERROR(VLOOKUP(INDEX(xySpace_Type_Details,MATCH($C952,'General Information'!$C$40:$C$60,0),12),Lookups!$L$8:$N$12,2,FALSE),"")</f>
        <v/>
      </c>
      <c r="W952" s="542" t="str">
        <f>IFERROR(VLOOKUP(INDEX(xySpace_Type_Details,MATCH($C952,'General Information'!$C$40:$C$60,0),12),Lookups!$L$8:$N$12,3,FALSE),"")</f>
        <v/>
      </c>
      <c r="Y952" s="542" t="str">
        <f>IFERROR(IF(C952="","",IF(INDEX(xyWattage_Table,MATCH(M952,'Fixture Identities'!$B$9:$B$997,0),2)="Exit Sign",0,IF(PRJ_Type="Retrofit",VLOOKUP(I952,xySVG_Factors,2,FALSE),IF(AND(PRJ_Type="New Construction",Inventory!C949="N"),VLOOKUP(VLOOKUP(Building_Type,xyLPD_BuildingArea,5,FALSE),xySVG_Factors_NC,3,FALSE),0)))),"")</f>
        <v/>
      </c>
      <c r="Z952" s="544" t="str">
        <f>IFERROR(IF(C952="","",IF(INDEX(xyWattage_Table,MATCH(M952,'Fixture Identities'!$B$9:$B$997,0),2)="Exit Sign",0,VLOOKUP(S952,xySVG_Factors,2,FALSE))),"")</f>
        <v/>
      </c>
      <c r="AA952" s="545" t="str">
        <f t="shared" si="329"/>
        <v/>
      </c>
      <c r="AB952" s="542" t="str">
        <f t="shared" si="330"/>
        <v/>
      </c>
      <c r="AC952" s="539" t="str">
        <f t="shared" si="331"/>
        <v/>
      </c>
      <c r="AD952" s="546" t="str">
        <f t="shared" si="332"/>
        <v/>
      </c>
      <c r="AE952" s="539" t="str">
        <f t="shared" si="333"/>
        <v/>
      </c>
      <c r="AF952" s="546" t="str">
        <f t="shared" si="334"/>
        <v/>
      </c>
      <c r="AG952" s="539" t="str">
        <f t="shared" si="335"/>
        <v/>
      </c>
      <c r="AH952" s="32">
        <f t="shared" si="337"/>
        <v>0</v>
      </c>
      <c r="AI952" s="32">
        <f t="shared" si="338"/>
        <v>0</v>
      </c>
      <c r="AJ952" s="32">
        <f t="shared" si="339"/>
        <v>0</v>
      </c>
      <c r="AK952" t="str">
        <f t="shared" si="340"/>
        <v/>
      </c>
      <c r="AL952" t="str">
        <f t="shared" si="341"/>
        <v/>
      </c>
      <c r="AM952" t="str">
        <f t="shared" si="342"/>
        <v/>
      </c>
      <c r="AO952" t="str">
        <f>IFERROR(VLOOKUP(M952,'Fixture Identities'!$B$9:$O$1045,14,FALSE),"")</f>
        <v/>
      </c>
      <c r="AP952" t="str">
        <f t="shared" si="336"/>
        <v/>
      </c>
    </row>
    <row r="953" spans="1:42">
      <c r="A953" s="71">
        <f t="shared" si="344"/>
        <v>0</v>
      </c>
      <c r="B953" s="513">
        <f t="shared" si="343"/>
        <v>941</v>
      </c>
      <c r="C953" s="530" t="str">
        <f>IF(Inventory!E950="","",Inventory!E950)</f>
        <v/>
      </c>
      <c r="D953" s="531">
        <f>IF(Inventory!D950="",0,Inventory!D950)</f>
        <v>0</v>
      </c>
      <c r="E953" s="532" t="str">
        <f>IF(Inventory!I950=0,"",Inventory!I950)</f>
        <v/>
      </c>
      <c r="F953" s="533" t="str">
        <f t="shared" si="323"/>
        <v/>
      </c>
      <c r="G953" s="534" t="str">
        <f>IF(Inventory!G950="","",Inventory!G950)</f>
        <v/>
      </c>
      <c r="H953" s="535" t="str">
        <f t="shared" si="324"/>
        <v/>
      </c>
      <c r="I953" s="536" t="str">
        <f>IF(Inventory!J950="","",Inventory!J950)</f>
        <v/>
      </c>
      <c r="J953" s="537" t="str">
        <f>IFERROR(IF(PRJ_Type="New Construction",IF(Inventory!C950="N",INDEX(xyLPD_BuildingArea,MATCH(Building_Type,Lookups!$F$37:$F$75,0),4),INDEX(xyLPD_SpaceBySpace,MATCH(INDEX(xyNCEx,MATCH(I953,yNCExArea,0),2),ySpace_by_Space_Type,0),2)),VLOOKUP(E953,xyWattage_Table,11,FALSE)),"")</f>
        <v/>
      </c>
      <c r="K953" s="538" t="str">
        <f>IFERROR(IF(AND(NC_Type="Building Area Method",Inventory!C950="N"),IF(ISERROR(INDEX('Usage Groups (&gt;120 MWh only)'!$N$8:$N$12,MATCH(C953,'Usage Groups (&gt;120 MWh only)'!$B$8:$B$12,0),1))=TRUE,SqFt/COUNTIFS(Inventory!$C$10:$C$1009,"N",$Q$13:$Q$1012,"&gt;=0"),INDEX('Usage Groups (&gt;120 MWh only)'!$N$8:$N$12,MATCH(C953,'Usage Groups (&gt;120 MWh only)'!$B$8:$B$12,0),1)/COUNTIF($C$13:$C$1012,C953)),IF(AND(NC_Type="Building Area Method",Inventory!C950="Y"),INDEX(xyNCEx,MATCH(I953,yNCExArea,0),3)/COUNTIF($I$13:$I$1012,I953),VLOOKUP(J953,xyWattage_Table,10,FALSE))),"")</f>
        <v/>
      </c>
      <c r="L953" s="539" t="str">
        <f t="shared" si="325"/>
        <v/>
      </c>
      <c r="M953" s="540">
        <f>IF(Inventory!N950="","",Inventory!N950)</f>
        <v>0</v>
      </c>
      <c r="N953" s="533" t="str">
        <f t="shared" si="326"/>
        <v/>
      </c>
      <c r="O953" s="534"/>
      <c r="P953" s="533" t="str">
        <f t="shared" si="327"/>
        <v/>
      </c>
      <c r="Q953" s="534" t="str">
        <f>IF(Inventory!L950="","",Inventory!L950)</f>
        <v/>
      </c>
      <c r="R953" s="535" t="str">
        <f t="shared" si="328"/>
        <v/>
      </c>
      <c r="S953" s="536" t="str">
        <f>IF(Inventory!O950="","",Inventory!O950)</f>
        <v/>
      </c>
      <c r="T953" s="541" t="str">
        <f>IFERROR(IF(C953="","",IF(INDEX(xyWattage_Table,MATCH(M953,'Fixture Identities'!$B$9:$B$997,0),2)="Exit Sign",8760,IF(VLOOKUP(C953,xySpace_Type_Details,8,FALSE)="TRM",INDEX('General Information'!$AF$17:$AG$28,11,MATCH(N953,'General Information'!$AF$16:$AG$16,0)),HLOOKUP(VLOOKUP(C953,xySpace_Type_Details,8,FALSE),'General Information'!$P$15:$AG$28,13,FALSE)))),"")</f>
        <v/>
      </c>
      <c r="U953" s="542" t="str">
        <f>IFERROR(IF(C953="","",IF(INDEX(xyWattage_Table,MATCH(M953,'Fixture Identities'!$B$9:$B$997,0),2)="Exit Sign",1,IF(VLOOKUP(C953,xySpace_Type_Details,8,FALSE)="TRM",INDEX('General Information'!$AF$17:$AG$28,12,MATCH(N953,'General Information'!$AF$16:$AG$16,0)),HLOOKUP(VLOOKUP(C953,xySpace_Type_Details,8,FALSE),'General Information'!$P$15:$AG$28,14,FALSE)))),"")</f>
        <v/>
      </c>
      <c r="V953" s="542" t="str">
        <f>IFERROR(VLOOKUP(INDEX(xySpace_Type_Details,MATCH($C953,'General Information'!$C$40:$C$60,0),12),Lookups!$L$8:$N$12,2,FALSE),"")</f>
        <v/>
      </c>
      <c r="W953" s="542" t="str">
        <f>IFERROR(VLOOKUP(INDEX(xySpace_Type_Details,MATCH($C953,'General Information'!$C$40:$C$60,0),12),Lookups!$L$8:$N$12,3,FALSE),"")</f>
        <v/>
      </c>
      <c r="Y953" s="542" t="str">
        <f>IFERROR(IF(C953="","",IF(INDEX(xyWattage_Table,MATCH(M953,'Fixture Identities'!$B$9:$B$997,0),2)="Exit Sign",0,IF(PRJ_Type="Retrofit",VLOOKUP(I953,xySVG_Factors,2,FALSE),IF(AND(PRJ_Type="New Construction",Inventory!C950="N"),VLOOKUP(VLOOKUP(Building_Type,xyLPD_BuildingArea,5,FALSE),xySVG_Factors_NC,3,FALSE),0)))),"")</f>
        <v/>
      </c>
      <c r="Z953" s="544" t="str">
        <f>IFERROR(IF(C953="","",IF(INDEX(xyWattage_Table,MATCH(M953,'Fixture Identities'!$B$9:$B$997,0),2)="Exit Sign",0,VLOOKUP(S953,xySVG_Factors,2,FALSE))),"")</f>
        <v/>
      </c>
      <c r="AA953" s="545" t="str">
        <f t="shared" si="329"/>
        <v/>
      </c>
      <c r="AB953" s="542" t="str">
        <f t="shared" si="330"/>
        <v/>
      </c>
      <c r="AC953" s="539" t="str">
        <f t="shared" si="331"/>
        <v/>
      </c>
      <c r="AD953" s="546" t="str">
        <f t="shared" si="332"/>
        <v/>
      </c>
      <c r="AE953" s="539" t="str">
        <f t="shared" si="333"/>
        <v/>
      </c>
      <c r="AF953" s="546" t="str">
        <f t="shared" si="334"/>
        <v/>
      </c>
      <c r="AG953" s="539" t="str">
        <f t="shared" si="335"/>
        <v/>
      </c>
      <c r="AH953" s="32">
        <f t="shared" si="337"/>
        <v>0</v>
      </c>
      <c r="AI953" s="32">
        <f t="shared" si="338"/>
        <v>0</v>
      </c>
      <c r="AJ953" s="32">
        <f t="shared" si="339"/>
        <v>0</v>
      </c>
      <c r="AK953" t="str">
        <f t="shared" si="340"/>
        <v/>
      </c>
      <c r="AL953" t="str">
        <f t="shared" si="341"/>
        <v/>
      </c>
      <c r="AM953" t="str">
        <f t="shared" si="342"/>
        <v/>
      </c>
      <c r="AO953" t="str">
        <f>IFERROR(VLOOKUP(M953,'Fixture Identities'!$B$9:$O$1045,14,FALSE),"")</f>
        <v/>
      </c>
      <c r="AP953" t="str">
        <f t="shared" si="336"/>
        <v/>
      </c>
    </row>
    <row r="954" spans="1:42">
      <c r="A954" s="71">
        <f t="shared" si="344"/>
        <v>0</v>
      </c>
      <c r="B954" s="513">
        <f t="shared" si="343"/>
        <v>942</v>
      </c>
      <c r="C954" s="530" t="str">
        <f>IF(Inventory!E951="","",Inventory!E951)</f>
        <v/>
      </c>
      <c r="D954" s="531">
        <f>IF(Inventory!D951="",0,Inventory!D951)</f>
        <v>0</v>
      </c>
      <c r="E954" s="532" t="str">
        <f>IF(Inventory!I951=0,"",Inventory!I951)</f>
        <v/>
      </c>
      <c r="F954" s="533" t="str">
        <f t="shared" si="323"/>
        <v/>
      </c>
      <c r="G954" s="534" t="str">
        <f>IF(Inventory!G951="","",Inventory!G951)</f>
        <v/>
      </c>
      <c r="H954" s="535" t="str">
        <f t="shared" si="324"/>
        <v/>
      </c>
      <c r="I954" s="536" t="str">
        <f>IF(Inventory!J951="","",Inventory!J951)</f>
        <v/>
      </c>
      <c r="J954" s="537" t="str">
        <f>IFERROR(IF(PRJ_Type="New Construction",IF(Inventory!C951="N",INDEX(xyLPD_BuildingArea,MATCH(Building_Type,Lookups!$F$37:$F$75,0),4),INDEX(xyLPD_SpaceBySpace,MATCH(INDEX(xyNCEx,MATCH(I954,yNCExArea,0),2),ySpace_by_Space_Type,0),2)),VLOOKUP(E954,xyWattage_Table,11,FALSE)),"")</f>
        <v/>
      </c>
      <c r="K954" s="538" t="str">
        <f>IFERROR(IF(AND(NC_Type="Building Area Method",Inventory!C951="N"),IF(ISERROR(INDEX('Usage Groups (&gt;120 MWh only)'!$N$8:$N$12,MATCH(C954,'Usage Groups (&gt;120 MWh only)'!$B$8:$B$12,0),1))=TRUE,SqFt/COUNTIFS(Inventory!$C$10:$C$1009,"N",$Q$13:$Q$1012,"&gt;=0"),INDEX('Usage Groups (&gt;120 MWh only)'!$N$8:$N$12,MATCH(C954,'Usage Groups (&gt;120 MWh only)'!$B$8:$B$12,0),1)/COUNTIF($C$13:$C$1012,C954)),IF(AND(NC_Type="Building Area Method",Inventory!C951="Y"),INDEX(xyNCEx,MATCH(I954,yNCExArea,0),3)/COUNTIF($I$13:$I$1012,I954),VLOOKUP(J954,xyWattage_Table,10,FALSE))),"")</f>
        <v/>
      </c>
      <c r="L954" s="539" t="str">
        <f t="shared" si="325"/>
        <v/>
      </c>
      <c r="M954" s="540">
        <f>IF(Inventory!N951="","",Inventory!N951)</f>
        <v>0</v>
      </c>
      <c r="N954" s="533" t="str">
        <f t="shared" si="326"/>
        <v/>
      </c>
      <c r="O954" s="534"/>
      <c r="P954" s="533" t="str">
        <f t="shared" si="327"/>
        <v/>
      </c>
      <c r="Q954" s="534" t="str">
        <f>IF(Inventory!L951="","",Inventory!L951)</f>
        <v/>
      </c>
      <c r="R954" s="535" t="str">
        <f t="shared" si="328"/>
        <v/>
      </c>
      <c r="S954" s="536" t="str">
        <f>IF(Inventory!O951="","",Inventory!O951)</f>
        <v/>
      </c>
      <c r="T954" s="541" t="str">
        <f>IFERROR(IF(C954="","",IF(INDEX(xyWattage_Table,MATCH(M954,'Fixture Identities'!$B$9:$B$997,0),2)="Exit Sign",8760,IF(VLOOKUP(C954,xySpace_Type_Details,8,FALSE)="TRM",INDEX('General Information'!$AF$17:$AG$28,11,MATCH(N954,'General Information'!$AF$16:$AG$16,0)),HLOOKUP(VLOOKUP(C954,xySpace_Type_Details,8,FALSE),'General Information'!$P$15:$AG$28,13,FALSE)))),"")</f>
        <v/>
      </c>
      <c r="U954" s="542" t="str">
        <f>IFERROR(IF(C954="","",IF(INDEX(xyWattage_Table,MATCH(M954,'Fixture Identities'!$B$9:$B$997,0),2)="Exit Sign",1,IF(VLOOKUP(C954,xySpace_Type_Details,8,FALSE)="TRM",INDEX('General Information'!$AF$17:$AG$28,12,MATCH(N954,'General Information'!$AF$16:$AG$16,0)),HLOOKUP(VLOOKUP(C954,xySpace_Type_Details,8,FALSE),'General Information'!$P$15:$AG$28,14,FALSE)))),"")</f>
        <v/>
      </c>
      <c r="V954" s="542" t="str">
        <f>IFERROR(VLOOKUP(INDEX(xySpace_Type_Details,MATCH($C954,'General Information'!$C$40:$C$60,0),12),Lookups!$L$8:$N$12,2,FALSE),"")</f>
        <v/>
      </c>
      <c r="W954" s="542" t="str">
        <f>IFERROR(VLOOKUP(INDEX(xySpace_Type_Details,MATCH($C954,'General Information'!$C$40:$C$60,0),12),Lookups!$L$8:$N$12,3,FALSE),"")</f>
        <v/>
      </c>
      <c r="Y954" s="542" t="str">
        <f>IFERROR(IF(C954="","",IF(INDEX(xyWattage_Table,MATCH(M954,'Fixture Identities'!$B$9:$B$997,0),2)="Exit Sign",0,IF(PRJ_Type="Retrofit",VLOOKUP(I954,xySVG_Factors,2,FALSE),IF(AND(PRJ_Type="New Construction",Inventory!C951="N"),VLOOKUP(VLOOKUP(Building_Type,xyLPD_BuildingArea,5,FALSE),xySVG_Factors_NC,3,FALSE),0)))),"")</f>
        <v/>
      </c>
      <c r="Z954" s="544" t="str">
        <f>IFERROR(IF(C954="","",IF(INDEX(xyWattage_Table,MATCH(M954,'Fixture Identities'!$B$9:$B$997,0),2)="Exit Sign",0,VLOOKUP(S954,xySVG_Factors,2,FALSE))),"")</f>
        <v/>
      </c>
      <c r="AA954" s="545" t="str">
        <f t="shared" si="329"/>
        <v/>
      </c>
      <c r="AB954" s="542" t="str">
        <f t="shared" si="330"/>
        <v/>
      </c>
      <c r="AC954" s="539" t="str">
        <f t="shared" si="331"/>
        <v/>
      </c>
      <c r="AD954" s="546" t="str">
        <f t="shared" si="332"/>
        <v/>
      </c>
      <c r="AE954" s="539" t="str">
        <f t="shared" si="333"/>
        <v/>
      </c>
      <c r="AF954" s="546" t="str">
        <f t="shared" si="334"/>
        <v/>
      </c>
      <c r="AG954" s="539" t="str">
        <f t="shared" si="335"/>
        <v/>
      </c>
      <c r="AH954" s="32">
        <f t="shared" si="337"/>
        <v>0</v>
      </c>
      <c r="AI954" s="32">
        <f t="shared" si="338"/>
        <v>0</v>
      </c>
      <c r="AJ954" s="32">
        <f t="shared" si="339"/>
        <v>0</v>
      </c>
      <c r="AK954" t="str">
        <f t="shared" si="340"/>
        <v/>
      </c>
      <c r="AL954" t="str">
        <f t="shared" si="341"/>
        <v/>
      </c>
      <c r="AM954" t="str">
        <f t="shared" si="342"/>
        <v/>
      </c>
      <c r="AO954" t="str">
        <f>IFERROR(VLOOKUP(M954,'Fixture Identities'!$B$9:$O$1045,14,FALSE),"")</f>
        <v/>
      </c>
      <c r="AP954" t="str">
        <f t="shared" si="336"/>
        <v/>
      </c>
    </row>
    <row r="955" spans="1:42">
      <c r="A955" s="71">
        <f t="shared" si="344"/>
        <v>0</v>
      </c>
      <c r="B955" s="513">
        <f t="shared" si="343"/>
        <v>943</v>
      </c>
      <c r="C955" s="530" t="str">
        <f>IF(Inventory!E952="","",Inventory!E952)</f>
        <v/>
      </c>
      <c r="D955" s="531">
        <f>IF(Inventory!D952="",0,Inventory!D952)</f>
        <v>0</v>
      </c>
      <c r="E955" s="532" t="str">
        <f>IF(Inventory!I952=0,"",Inventory!I952)</f>
        <v/>
      </c>
      <c r="F955" s="533" t="str">
        <f t="shared" si="323"/>
        <v/>
      </c>
      <c r="G955" s="534" t="str">
        <f>IF(Inventory!G952="","",Inventory!G952)</f>
        <v/>
      </c>
      <c r="H955" s="535" t="str">
        <f t="shared" si="324"/>
        <v/>
      </c>
      <c r="I955" s="536" t="str">
        <f>IF(Inventory!J952="","",Inventory!J952)</f>
        <v/>
      </c>
      <c r="J955" s="537" t="str">
        <f>IFERROR(IF(PRJ_Type="New Construction",IF(Inventory!C952="N",INDEX(xyLPD_BuildingArea,MATCH(Building_Type,Lookups!$F$37:$F$75,0),4),INDEX(xyLPD_SpaceBySpace,MATCH(INDEX(xyNCEx,MATCH(I955,yNCExArea,0),2),ySpace_by_Space_Type,0),2)),VLOOKUP(E955,xyWattage_Table,11,FALSE)),"")</f>
        <v/>
      </c>
      <c r="K955" s="538" t="str">
        <f>IFERROR(IF(AND(NC_Type="Building Area Method",Inventory!C952="N"),IF(ISERROR(INDEX('Usage Groups (&gt;120 MWh only)'!$N$8:$N$12,MATCH(C955,'Usage Groups (&gt;120 MWh only)'!$B$8:$B$12,0),1))=TRUE,SqFt/COUNTIFS(Inventory!$C$10:$C$1009,"N",$Q$13:$Q$1012,"&gt;=0"),INDEX('Usage Groups (&gt;120 MWh only)'!$N$8:$N$12,MATCH(C955,'Usage Groups (&gt;120 MWh only)'!$B$8:$B$12,0),1)/COUNTIF($C$13:$C$1012,C955)),IF(AND(NC_Type="Building Area Method",Inventory!C952="Y"),INDEX(xyNCEx,MATCH(I955,yNCExArea,0),3)/COUNTIF($I$13:$I$1012,I955),VLOOKUP(J955,xyWattage_Table,10,FALSE))),"")</f>
        <v/>
      </c>
      <c r="L955" s="539" t="str">
        <f t="shared" si="325"/>
        <v/>
      </c>
      <c r="M955" s="540">
        <f>IF(Inventory!N952="","",Inventory!N952)</f>
        <v>0</v>
      </c>
      <c r="N955" s="533" t="str">
        <f t="shared" si="326"/>
        <v/>
      </c>
      <c r="O955" s="534"/>
      <c r="P955" s="533" t="str">
        <f t="shared" si="327"/>
        <v/>
      </c>
      <c r="Q955" s="534" t="str">
        <f>IF(Inventory!L952="","",Inventory!L952)</f>
        <v/>
      </c>
      <c r="R955" s="535" t="str">
        <f t="shared" si="328"/>
        <v/>
      </c>
      <c r="S955" s="536" t="str">
        <f>IF(Inventory!O952="","",Inventory!O952)</f>
        <v/>
      </c>
      <c r="T955" s="541" t="str">
        <f>IFERROR(IF(C955="","",IF(INDEX(xyWattage_Table,MATCH(M955,'Fixture Identities'!$B$9:$B$997,0),2)="Exit Sign",8760,IF(VLOOKUP(C955,xySpace_Type_Details,8,FALSE)="TRM",INDEX('General Information'!$AF$17:$AG$28,11,MATCH(N955,'General Information'!$AF$16:$AG$16,0)),HLOOKUP(VLOOKUP(C955,xySpace_Type_Details,8,FALSE),'General Information'!$P$15:$AG$28,13,FALSE)))),"")</f>
        <v/>
      </c>
      <c r="U955" s="542" t="str">
        <f>IFERROR(IF(C955="","",IF(INDEX(xyWattage_Table,MATCH(M955,'Fixture Identities'!$B$9:$B$997,0),2)="Exit Sign",1,IF(VLOOKUP(C955,xySpace_Type_Details,8,FALSE)="TRM",INDEX('General Information'!$AF$17:$AG$28,12,MATCH(N955,'General Information'!$AF$16:$AG$16,0)),HLOOKUP(VLOOKUP(C955,xySpace_Type_Details,8,FALSE),'General Information'!$P$15:$AG$28,14,FALSE)))),"")</f>
        <v/>
      </c>
      <c r="V955" s="542" t="str">
        <f>IFERROR(VLOOKUP(INDEX(xySpace_Type_Details,MATCH($C955,'General Information'!$C$40:$C$60,0),12),Lookups!$L$8:$N$12,2,FALSE),"")</f>
        <v/>
      </c>
      <c r="W955" s="542" t="str">
        <f>IFERROR(VLOOKUP(INDEX(xySpace_Type_Details,MATCH($C955,'General Information'!$C$40:$C$60,0),12),Lookups!$L$8:$N$12,3,FALSE),"")</f>
        <v/>
      </c>
      <c r="Y955" s="542" t="str">
        <f>IFERROR(IF(C955="","",IF(INDEX(xyWattage_Table,MATCH(M955,'Fixture Identities'!$B$9:$B$997,0),2)="Exit Sign",0,IF(PRJ_Type="Retrofit",VLOOKUP(I955,xySVG_Factors,2,FALSE),IF(AND(PRJ_Type="New Construction",Inventory!C952="N"),VLOOKUP(VLOOKUP(Building_Type,xyLPD_BuildingArea,5,FALSE),xySVG_Factors_NC,3,FALSE),0)))),"")</f>
        <v/>
      </c>
      <c r="Z955" s="544" t="str">
        <f>IFERROR(IF(C955="","",IF(INDEX(xyWattage_Table,MATCH(M955,'Fixture Identities'!$B$9:$B$997,0),2)="Exit Sign",0,VLOOKUP(S955,xySVG_Factors,2,FALSE))),"")</f>
        <v/>
      </c>
      <c r="AA955" s="545" t="str">
        <f t="shared" si="329"/>
        <v/>
      </c>
      <c r="AB955" s="542" t="str">
        <f t="shared" si="330"/>
        <v/>
      </c>
      <c r="AC955" s="539" t="str">
        <f t="shared" si="331"/>
        <v/>
      </c>
      <c r="AD955" s="546" t="str">
        <f t="shared" si="332"/>
        <v/>
      </c>
      <c r="AE955" s="539" t="str">
        <f t="shared" si="333"/>
        <v/>
      </c>
      <c r="AF955" s="546" t="str">
        <f t="shared" si="334"/>
        <v/>
      </c>
      <c r="AG955" s="539" t="str">
        <f t="shared" si="335"/>
        <v/>
      </c>
      <c r="AH955" s="32">
        <f t="shared" si="337"/>
        <v>0</v>
      </c>
      <c r="AI955" s="32">
        <f t="shared" si="338"/>
        <v>0</v>
      </c>
      <c r="AJ955" s="32">
        <f t="shared" si="339"/>
        <v>0</v>
      </c>
      <c r="AK955" t="str">
        <f t="shared" si="340"/>
        <v/>
      </c>
      <c r="AL955" t="str">
        <f t="shared" si="341"/>
        <v/>
      </c>
      <c r="AM955" t="str">
        <f t="shared" si="342"/>
        <v/>
      </c>
      <c r="AO955" t="str">
        <f>IFERROR(VLOOKUP(M955,'Fixture Identities'!$B$9:$O$1045,14,FALSE),"")</f>
        <v/>
      </c>
      <c r="AP955" t="str">
        <f t="shared" si="336"/>
        <v/>
      </c>
    </row>
    <row r="956" spans="1:42">
      <c r="A956" s="71">
        <f t="shared" si="344"/>
        <v>0</v>
      </c>
      <c r="B956" s="513">
        <f t="shared" si="343"/>
        <v>944</v>
      </c>
      <c r="C956" s="530" t="str">
        <f>IF(Inventory!E953="","",Inventory!E953)</f>
        <v/>
      </c>
      <c r="D956" s="531">
        <f>IF(Inventory!D953="",0,Inventory!D953)</f>
        <v>0</v>
      </c>
      <c r="E956" s="532" t="str">
        <f>IF(Inventory!I953=0,"",Inventory!I953)</f>
        <v/>
      </c>
      <c r="F956" s="533" t="str">
        <f t="shared" si="323"/>
        <v/>
      </c>
      <c r="G956" s="534" t="str">
        <f>IF(Inventory!G953="","",Inventory!G953)</f>
        <v/>
      </c>
      <c r="H956" s="535" t="str">
        <f t="shared" si="324"/>
        <v/>
      </c>
      <c r="I956" s="536" t="str">
        <f>IF(Inventory!J953="","",Inventory!J953)</f>
        <v/>
      </c>
      <c r="J956" s="537" t="str">
        <f>IFERROR(IF(PRJ_Type="New Construction",IF(Inventory!C953="N",INDEX(xyLPD_BuildingArea,MATCH(Building_Type,Lookups!$F$37:$F$75,0),4),INDEX(xyLPD_SpaceBySpace,MATCH(INDEX(xyNCEx,MATCH(I956,yNCExArea,0),2),ySpace_by_Space_Type,0),2)),VLOOKUP(E956,xyWattage_Table,11,FALSE)),"")</f>
        <v/>
      </c>
      <c r="K956" s="538" t="str">
        <f>IFERROR(IF(AND(NC_Type="Building Area Method",Inventory!C953="N"),IF(ISERROR(INDEX('Usage Groups (&gt;120 MWh only)'!$N$8:$N$12,MATCH(C956,'Usage Groups (&gt;120 MWh only)'!$B$8:$B$12,0),1))=TRUE,SqFt/COUNTIFS(Inventory!$C$10:$C$1009,"N",$Q$13:$Q$1012,"&gt;=0"),INDEX('Usage Groups (&gt;120 MWh only)'!$N$8:$N$12,MATCH(C956,'Usage Groups (&gt;120 MWh only)'!$B$8:$B$12,0),1)/COUNTIF($C$13:$C$1012,C956)),IF(AND(NC_Type="Building Area Method",Inventory!C953="Y"),INDEX(xyNCEx,MATCH(I956,yNCExArea,0),3)/COUNTIF($I$13:$I$1012,I956),VLOOKUP(J956,xyWattage_Table,10,FALSE))),"")</f>
        <v/>
      </c>
      <c r="L956" s="539" t="str">
        <f t="shared" si="325"/>
        <v/>
      </c>
      <c r="M956" s="540">
        <f>IF(Inventory!N953="","",Inventory!N953)</f>
        <v>0</v>
      </c>
      <c r="N956" s="533" t="str">
        <f t="shared" si="326"/>
        <v/>
      </c>
      <c r="O956" s="534"/>
      <c r="P956" s="533" t="str">
        <f t="shared" si="327"/>
        <v/>
      </c>
      <c r="Q956" s="534" t="str">
        <f>IF(Inventory!L953="","",Inventory!L953)</f>
        <v/>
      </c>
      <c r="R956" s="535" t="str">
        <f t="shared" si="328"/>
        <v/>
      </c>
      <c r="S956" s="536" t="str">
        <f>IF(Inventory!O953="","",Inventory!O953)</f>
        <v/>
      </c>
      <c r="T956" s="541" t="str">
        <f>IFERROR(IF(C956="","",IF(INDEX(xyWattage_Table,MATCH(M956,'Fixture Identities'!$B$9:$B$997,0),2)="Exit Sign",8760,IF(VLOOKUP(C956,xySpace_Type_Details,8,FALSE)="TRM",INDEX('General Information'!$AF$17:$AG$28,11,MATCH(N956,'General Information'!$AF$16:$AG$16,0)),HLOOKUP(VLOOKUP(C956,xySpace_Type_Details,8,FALSE),'General Information'!$P$15:$AG$28,13,FALSE)))),"")</f>
        <v/>
      </c>
      <c r="U956" s="542" t="str">
        <f>IFERROR(IF(C956="","",IF(INDEX(xyWattage_Table,MATCH(M956,'Fixture Identities'!$B$9:$B$997,0),2)="Exit Sign",1,IF(VLOOKUP(C956,xySpace_Type_Details,8,FALSE)="TRM",INDEX('General Information'!$AF$17:$AG$28,12,MATCH(N956,'General Information'!$AF$16:$AG$16,0)),HLOOKUP(VLOOKUP(C956,xySpace_Type_Details,8,FALSE),'General Information'!$P$15:$AG$28,14,FALSE)))),"")</f>
        <v/>
      </c>
      <c r="V956" s="542" t="str">
        <f>IFERROR(VLOOKUP(INDEX(xySpace_Type_Details,MATCH($C956,'General Information'!$C$40:$C$60,0),12),Lookups!$L$8:$N$12,2,FALSE),"")</f>
        <v/>
      </c>
      <c r="W956" s="542" t="str">
        <f>IFERROR(VLOOKUP(INDEX(xySpace_Type_Details,MATCH($C956,'General Information'!$C$40:$C$60,0),12),Lookups!$L$8:$N$12,3,FALSE),"")</f>
        <v/>
      </c>
      <c r="Y956" s="542" t="str">
        <f>IFERROR(IF(C956="","",IF(INDEX(xyWattage_Table,MATCH(M956,'Fixture Identities'!$B$9:$B$997,0),2)="Exit Sign",0,IF(PRJ_Type="Retrofit",VLOOKUP(I956,xySVG_Factors,2,FALSE),IF(AND(PRJ_Type="New Construction",Inventory!C953="N"),VLOOKUP(VLOOKUP(Building_Type,xyLPD_BuildingArea,5,FALSE),xySVG_Factors_NC,3,FALSE),0)))),"")</f>
        <v/>
      </c>
      <c r="Z956" s="544" t="str">
        <f>IFERROR(IF(C956="","",IF(INDEX(xyWattage_Table,MATCH(M956,'Fixture Identities'!$B$9:$B$997,0),2)="Exit Sign",0,VLOOKUP(S956,xySVG_Factors,2,FALSE))),"")</f>
        <v/>
      </c>
      <c r="AA956" s="545" t="str">
        <f t="shared" si="329"/>
        <v/>
      </c>
      <c r="AB956" s="542" t="str">
        <f t="shared" si="330"/>
        <v/>
      </c>
      <c r="AC956" s="539" t="str">
        <f t="shared" si="331"/>
        <v/>
      </c>
      <c r="AD956" s="546" t="str">
        <f t="shared" si="332"/>
        <v/>
      </c>
      <c r="AE956" s="539" t="str">
        <f t="shared" si="333"/>
        <v/>
      </c>
      <c r="AF956" s="546" t="str">
        <f t="shared" si="334"/>
        <v/>
      </c>
      <c r="AG956" s="539" t="str">
        <f t="shared" si="335"/>
        <v/>
      </c>
      <c r="AH956" s="32">
        <f t="shared" si="337"/>
        <v>0</v>
      </c>
      <c r="AI956" s="32">
        <f t="shared" si="338"/>
        <v>0</v>
      </c>
      <c r="AJ956" s="32">
        <f t="shared" si="339"/>
        <v>0</v>
      </c>
      <c r="AK956" t="str">
        <f t="shared" si="340"/>
        <v/>
      </c>
      <c r="AL956" t="str">
        <f t="shared" si="341"/>
        <v/>
      </c>
      <c r="AM956" t="str">
        <f t="shared" si="342"/>
        <v/>
      </c>
      <c r="AO956" t="str">
        <f>IFERROR(VLOOKUP(M956,'Fixture Identities'!$B$9:$O$1045,14,FALSE),"")</f>
        <v/>
      </c>
      <c r="AP956" t="str">
        <f t="shared" si="336"/>
        <v/>
      </c>
    </row>
    <row r="957" spans="1:42">
      <c r="A957" s="71">
        <f t="shared" si="344"/>
        <v>0</v>
      </c>
      <c r="B957" s="513">
        <f t="shared" si="343"/>
        <v>945</v>
      </c>
      <c r="C957" s="530" t="str">
        <f>IF(Inventory!E954="","",Inventory!E954)</f>
        <v/>
      </c>
      <c r="D957" s="531">
        <f>IF(Inventory!D954="",0,Inventory!D954)</f>
        <v>0</v>
      </c>
      <c r="E957" s="532" t="str">
        <f>IF(Inventory!I954=0,"",Inventory!I954)</f>
        <v/>
      </c>
      <c r="F957" s="533" t="str">
        <f t="shared" si="323"/>
        <v/>
      </c>
      <c r="G957" s="534" t="str">
        <f>IF(Inventory!G954="","",Inventory!G954)</f>
        <v/>
      </c>
      <c r="H957" s="535" t="str">
        <f t="shared" si="324"/>
        <v/>
      </c>
      <c r="I957" s="536" t="str">
        <f>IF(Inventory!J954="","",Inventory!J954)</f>
        <v/>
      </c>
      <c r="J957" s="537" t="str">
        <f>IFERROR(IF(PRJ_Type="New Construction",IF(Inventory!C954="N",INDEX(xyLPD_BuildingArea,MATCH(Building_Type,Lookups!$F$37:$F$75,0),4),INDEX(xyLPD_SpaceBySpace,MATCH(INDEX(xyNCEx,MATCH(I957,yNCExArea,0),2),ySpace_by_Space_Type,0),2)),VLOOKUP(E957,xyWattage_Table,11,FALSE)),"")</f>
        <v/>
      </c>
      <c r="K957" s="538" t="str">
        <f>IFERROR(IF(AND(NC_Type="Building Area Method",Inventory!C954="N"),IF(ISERROR(INDEX('Usage Groups (&gt;120 MWh only)'!$N$8:$N$12,MATCH(C957,'Usage Groups (&gt;120 MWh only)'!$B$8:$B$12,0),1))=TRUE,SqFt/COUNTIFS(Inventory!$C$10:$C$1009,"N",$Q$13:$Q$1012,"&gt;=0"),INDEX('Usage Groups (&gt;120 MWh only)'!$N$8:$N$12,MATCH(C957,'Usage Groups (&gt;120 MWh only)'!$B$8:$B$12,0),1)/COUNTIF($C$13:$C$1012,C957)),IF(AND(NC_Type="Building Area Method",Inventory!C954="Y"),INDEX(xyNCEx,MATCH(I957,yNCExArea,0),3)/COUNTIF($I$13:$I$1012,I957),VLOOKUP(J957,xyWattage_Table,10,FALSE))),"")</f>
        <v/>
      </c>
      <c r="L957" s="539" t="str">
        <f t="shared" si="325"/>
        <v/>
      </c>
      <c r="M957" s="540">
        <f>IF(Inventory!N954="","",Inventory!N954)</f>
        <v>0</v>
      </c>
      <c r="N957" s="533" t="str">
        <f t="shared" si="326"/>
        <v/>
      </c>
      <c r="O957" s="534"/>
      <c r="P957" s="533" t="str">
        <f t="shared" si="327"/>
        <v/>
      </c>
      <c r="Q957" s="534" t="str">
        <f>IF(Inventory!L954="","",Inventory!L954)</f>
        <v/>
      </c>
      <c r="R957" s="535" t="str">
        <f t="shared" si="328"/>
        <v/>
      </c>
      <c r="S957" s="536" t="str">
        <f>IF(Inventory!O954="","",Inventory!O954)</f>
        <v/>
      </c>
      <c r="T957" s="541" t="str">
        <f>IFERROR(IF(C957="","",IF(INDEX(xyWattage_Table,MATCH(M957,'Fixture Identities'!$B$9:$B$997,0),2)="Exit Sign",8760,IF(VLOOKUP(C957,xySpace_Type_Details,8,FALSE)="TRM",INDEX('General Information'!$AF$17:$AG$28,11,MATCH(N957,'General Information'!$AF$16:$AG$16,0)),HLOOKUP(VLOOKUP(C957,xySpace_Type_Details,8,FALSE),'General Information'!$P$15:$AG$28,13,FALSE)))),"")</f>
        <v/>
      </c>
      <c r="U957" s="542" t="str">
        <f>IFERROR(IF(C957="","",IF(INDEX(xyWattage_Table,MATCH(M957,'Fixture Identities'!$B$9:$B$997,0),2)="Exit Sign",1,IF(VLOOKUP(C957,xySpace_Type_Details,8,FALSE)="TRM",INDEX('General Information'!$AF$17:$AG$28,12,MATCH(N957,'General Information'!$AF$16:$AG$16,0)),HLOOKUP(VLOOKUP(C957,xySpace_Type_Details,8,FALSE),'General Information'!$P$15:$AG$28,14,FALSE)))),"")</f>
        <v/>
      </c>
      <c r="V957" s="542" t="str">
        <f>IFERROR(VLOOKUP(INDEX(xySpace_Type_Details,MATCH($C957,'General Information'!$C$40:$C$60,0),12),Lookups!$L$8:$N$12,2,FALSE),"")</f>
        <v/>
      </c>
      <c r="W957" s="542" t="str">
        <f>IFERROR(VLOOKUP(INDEX(xySpace_Type_Details,MATCH($C957,'General Information'!$C$40:$C$60,0),12),Lookups!$L$8:$N$12,3,FALSE),"")</f>
        <v/>
      </c>
      <c r="Y957" s="542" t="str">
        <f>IFERROR(IF(C957="","",IF(INDEX(xyWattage_Table,MATCH(M957,'Fixture Identities'!$B$9:$B$997,0),2)="Exit Sign",0,IF(PRJ_Type="Retrofit",VLOOKUP(I957,xySVG_Factors,2,FALSE),IF(AND(PRJ_Type="New Construction",Inventory!C954="N"),VLOOKUP(VLOOKUP(Building_Type,xyLPD_BuildingArea,5,FALSE),xySVG_Factors_NC,3,FALSE),0)))),"")</f>
        <v/>
      </c>
      <c r="Z957" s="544" t="str">
        <f>IFERROR(IF(C957="","",IF(INDEX(xyWattage_Table,MATCH(M957,'Fixture Identities'!$B$9:$B$997,0),2)="Exit Sign",0,VLOOKUP(S957,xySVG_Factors,2,FALSE))),"")</f>
        <v/>
      </c>
      <c r="AA957" s="545" t="str">
        <f t="shared" si="329"/>
        <v/>
      </c>
      <c r="AB957" s="542" t="str">
        <f t="shared" si="330"/>
        <v/>
      </c>
      <c r="AC957" s="539" t="str">
        <f t="shared" si="331"/>
        <v/>
      </c>
      <c r="AD957" s="546" t="str">
        <f t="shared" si="332"/>
        <v/>
      </c>
      <c r="AE957" s="539" t="str">
        <f t="shared" si="333"/>
        <v/>
      </c>
      <c r="AF957" s="546" t="str">
        <f t="shared" si="334"/>
        <v/>
      </c>
      <c r="AG957" s="539" t="str">
        <f t="shared" si="335"/>
        <v/>
      </c>
      <c r="AH957" s="32">
        <f t="shared" si="337"/>
        <v>0</v>
      </c>
      <c r="AI957" s="32">
        <f t="shared" si="338"/>
        <v>0</v>
      </c>
      <c r="AJ957" s="32">
        <f t="shared" si="339"/>
        <v>0</v>
      </c>
      <c r="AK957" t="str">
        <f t="shared" si="340"/>
        <v/>
      </c>
      <c r="AL957" t="str">
        <f t="shared" si="341"/>
        <v/>
      </c>
      <c r="AM957" t="str">
        <f t="shared" si="342"/>
        <v/>
      </c>
      <c r="AO957" t="str">
        <f>IFERROR(VLOOKUP(M957,'Fixture Identities'!$B$9:$O$1045,14,FALSE),"")</f>
        <v/>
      </c>
      <c r="AP957" t="str">
        <f t="shared" si="336"/>
        <v/>
      </c>
    </row>
    <row r="958" spans="1:42">
      <c r="A958" s="71">
        <f t="shared" si="344"/>
        <v>0</v>
      </c>
      <c r="B958" s="513">
        <f t="shared" si="343"/>
        <v>946</v>
      </c>
      <c r="C958" s="530" t="str">
        <f>IF(Inventory!E955="","",Inventory!E955)</f>
        <v/>
      </c>
      <c r="D958" s="531">
        <f>IF(Inventory!D955="",0,Inventory!D955)</f>
        <v>0</v>
      </c>
      <c r="E958" s="532" t="str">
        <f>IF(Inventory!I955=0,"",Inventory!I955)</f>
        <v/>
      </c>
      <c r="F958" s="533" t="str">
        <f t="shared" si="323"/>
        <v/>
      </c>
      <c r="G958" s="534" t="str">
        <f>IF(Inventory!G955="","",Inventory!G955)</f>
        <v/>
      </c>
      <c r="H958" s="535" t="str">
        <f t="shared" si="324"/>
        <v/>
      </c>
      <c r="I958" s="536" t="str">
        <f>IF(Inventory!J955="","",Inventory!J955)</f>
        <v/>
      </c>
      <c r="J958" s="537" t="str">
        <f>IFERROR(IF(PRJ_Type="New Construction",IF(Inventory!C955="N",INDEX(xyLPD_BuildingArea,MATCH(Building_Type,Lookups!$F$37:$F$75,0),4),INDEX(xyLPD_SpaceBySpace,MATCH(INDEX(xyNCEx,MATCH(I958,yNCExArea,0),2),ySpace_by_Space_Type,0),2)),VLOOKUP(E958,xyWattage_Table,11,FALSE)),"")</f>
        <v/>
      </c>
      <c r="K958" s="538" t="str">
        <f>IFERROR(IF(AND(NC_Type="Building Area Method",Inventory!C955="N"),IF(ISERROR(INDEX('Usage Groups (&gt;120 MWh only)'!$N$8:$N$12,MATCH(C958,'Usage Groups (&gt;120 MWh only)'!$B$8:$B$12,0),1))=TRUE,SqFt/COUNTIFS(Inventory!$C$10:$C$1009,"N",$Q$13:$Q$1012,"&gt;=0"),INDEX('Usage Groups (&gt;120 MWh only)'!$N$8:$N$12,MATCH(C958,'Usage Groups (&gt;120 MWh only)'!$B$8:$B$12,0),1)/COUNTIF($C$13:$C$1012,C958)),IF(AND(NC_Type="Building Area Method",Inventory!C955="Y"),INDEX(xyNCEx,MATCH(I958,yNCExArea,0),3)/COUNTIF($I$13:$I$1012,I958),VLOOKUP(J958,xyWattage_Table,10,FALSE))),"")</f>
        <v/>
      </c>
      <c r="L958" s="539" t="str">
        <f t="shared" si="325"/>
        <v/>
      </c>
      <c r="M958" s="540">
        <f>IF(Inventory!N955="","",Inventory!N955)</f>
        <v>0</v>
      </c>
      <c r="N958" s="533" t="str">
        <f t="shared" si="326"/>
        <v/>
      </c>
      <c r="O958" s="534"/>
      <c r="P958" s="533" t="str">
        <f t="shared" si="327"/>
        <v/>
      </c>
      <c r="Q958" s="534" t="str">
        <f>IF(Inventory!L955="","",Inventory!L955)</f>
        <v/>
      </c>
      <c r="R958" s="535" t="str">
        <f t="shared" si="328"/>
        <v/>
      </c>
      <c r="S958" s="536" t="str">
        <f>IF(Inventory!O955="","",Inventory!O955)</f>
        <v/>
      </c>
      <c r="T958" s="541" t="str">
        <f>IFERROR(IF(C958="","",IF(INDEX(xyWattage_Table,MATCH(M958,'Fixture Identities'!$B$9:$B$997,0),2)="Exit Sign",8760,IF(VLOOKUP(C958,xySpace_Type_Details,8,FALSE)="TRM",INDEX('General Information'!$AF$17:$AG$28,11,MATCH(N958,'General Information'!$AF$16:$AG$16,0)),HLOOKUP(VLOOKUP(C958,xySpace_Type_Details,8,FALSE),'General Information'!$P$15:$AG$28,13,FALSE)))),"")</f>
        <v/>
      </c>
      <c r="U958" s="542" t="str">
        <f>IFERROR(IF(C958="","",IF(INDEX(xyWattage_Table,MATCH(M958,'Fixture Identities'!$B$9:$B$997,0),2)="Exit Sign",1,IF(VLOOKUP(C958,xySpace_Type_Details,8,FALSE)="TRM",INDEX('General Information'!$AF$17:$AG$28,12,MATCH(N958,'General Information'!$AF$16:$AG$16,0)),HLOOKUP(VLOOKUP(C958,xySpace_Type_Details,8,FALSE),'General Information'!$P$15:$AG$28,14,FALSE)))),"")</f>
        <v/>
      </c>
      <c r="V958" s="542" t="str">
        <f>IFERROR(VLOOKUP(INDEX(xySpace_Type_Details,MATCH($C958,'General Information'!$C$40:$C$60,0),12),Lookups!$L$8:$N$12,2,FALSE),"")</f>
        <v/>
      </c>
      <c r="W958" s="542" t="str">
        <f>IFERROR(VLOOKUP(INDEX(xySpace_Type_Details,MATCH($C958,'General Information'!$C$40:$C$60,0),12),Lookups!$L$8:$N$12,3,FALSE),"")</f>
        <v/>
      </c>
      <c r="Y958" s="542" t="str">
        <f>IFERROR(IF(C958="","",IF(INDEX(xyWattage_Table,MATCH(M958,'Fixture Identities'!$B$9:$B$997,0),2)="Exit Sign",0,IF(PRJ_Type="Retrofit",VLOOKUP(I958,xySVG_Factors,2,FALSE),IF(AND(PRJ_Type="New Construction",Inventory!C955="N"),VLOOKUP(VLOOKUP(Building_Type,xyLPD_BuildingArea,5,FALSE),xySVG_Factors_NC,3,FALSE),0)))),"")</f>
        <v/>
      </c>
      <c r="Z958" s="544" t="str">
        <f>IFERROR(IF(C958="","",IF(INDEX(xyWattage_Table,MATCH(M958,'Fixture Identities'!$B$9:$B$997,0),2)="Exit Sign",0,VLOOKUP(S958,xySVG_Factors,2,FALSE))),"")</f>
        <v/>
      </c>
      <c r="AA958" s="545" t="str">
        <f t="shared" si="329"/>
        <v/>
      </c>
      <c r="AB958" s="542" t="str">
        <f t="shared" si="330"/>
        <v/>
      </c>
      <c r="AC958" s="539" t="str">
        <f t="shared" si="331"/>
        <v/>
      </c>
      <c r="AD958" s="546" t="str">
        <f t="shared" si="332"/>
        <v/>
      </c>
      <c r="AE958" s="539" t="str">
        <f t="shared" si="333"/>
        <v/>
      </c>
      <c r="AF958" s="546" t="str">
        <f t="shared" si="334"/>
        <v/>
      </c>
      <c r="AG958" s="539" t="str">
        <f t="shared" si="335"/>
        <v/>
      </c>
      <c r="AH958" s="32">
        <f t="shared" si="337"/>
        <v>0</v>
      </c>
      <c r="AI958" s="32">
        <f t="shared" si="338"/>
        <v>0</v>
      </c>
      <c r="AJ958" s="32">
        <f t="shared" si="339"/>
        <v>0</v>
      </c>
      <c r="AK958" t="str">
        <f t="shared" si="340"/>
        <v/>
      </c>
      <c r="AL958" t="str">
        <f t="shared" si="341"/>
        <v/>
      </c>
      <c r="AM958" t="str">
        <f t="shared" si="342"/>
        <v/>
      </c>
      <c r="AO958" t="str">
        <f>IFERROR(VLOOKUP(M958,'Fixture Identities'!$B$9:$O$1045,14,FALSE),"")</f>
        <v/>
      </c>
      <c r="AP958" t="str">
        <f t="shared" si="336"/>
        <v/>
      </c>
    </row>
    <row r="959" spans="1:42">
      <c r="A959" s="71">
        <f t="shared" si="344"/>
        <v>0</v>
      </c>
      <c r="B959" s="513">
        <f t="shared" si="343"/>
        <v>947</v>
      </c>
      <c r="C959" s="530" t="str">
        <f>IF(Inventory!E956="","",Inventory!E956)</f>
        <v/>
      </c>
      <c r="D959" s="531">
        <f>IF(Inventory!D956="",0,Inventory!D956)</f>
        <v>0</v>
      </c>
      <c r="E959" s="532" t="str">
        <f>IF(Inventory!I956=0,"",Inventory!I956)</f>
        <v/>
      </c>
      <c r="F959" s="533" t="str">
        <f t="shared" si="323"/>
        <v/>
      </c>
      <c r="G959" s="534" t="str">
        <f>IF(Inventory!G956="","",Inventory!G956)</f>
        <v/>
      </c>
      <c r="H959" s="535" t="str">
        <f t="shared" si="324"/>
        <v/>
      </c>
      <c r="I959" s="536" t="str">
        <f>IF(Inventory!J956="","",Inventory!J956)</f>
        <v/>
      </c>
      <c r="J959" s="537" t="str">
        <f>IFERROR(IF(PRJ_Type="New Construction",IF(Inventory!C956="N",INDEX(xyLPD_BuildingArea,MATCH(Building_Type,Lookups!$F$37:$F$75,0),4),INDEX(xyLPD_SpaceBySpace,MATCH(INDEX(xyNCEx,MATCH(I959,yNCExArea,0),2),ySpace_by_Space_Type,0),2)),VLOOKUP(E959,xyWattage_Table,11,FALSE)),"")</f>
        <v/>
      </c>
      <c r="K959" s="538" t="str">
        <f>IFERROR(IF(AND(NC_Type="Building Area Method",Inventory!C956="N"),IF(ISERROR(INDEX('Usage Groups (&gt;120 MWh only)'!$N$8:$N$12,MATCH(C959,'Usage Groups (&gt;120 MWh only)'!$B$8:$B$12,0),1))=TRUE,SqFt/COUNTIFS(Inventory!$C$10:$C$1009,"N",$Q$13:$Q$1012,"&gt;=0"),INDEX('Usage Groups (&gt;120 MWh only)'!$N$8:$N$12,MATCH(C959,'Usage Groups (&gt;120 MWh only)'!$B$8:$B$12,0),1)/COUNTIF($C$13:$C$1012,C959)),IF(AND(NC_Type="Building Area Method",Inventory!C956="Y"),INDEX(xyNCEx,MATCH(I959,yNCExArea,0),3)/COUNTIF($I$13:$I$1012,I959),VLOOKUP(J959,xyWattage_Table,10,FALSE))),"")</f>
        <v/>
      </c>
      <c r="L959" s="539" t="str">
        <f t="shared" si="325"/>
        <v/>
      </c>
      <c r="M959" s="540">
        <f>IF(Inventory!N956="","",Inventory!N956)</f>
        <v>0</v>
      </c>
      <c r="N959" s="533" t="str">
        <f t="shared" si="326"/>
        <v/>
      </c>
      <c r="O959" s="534"/>
      <c r="P959" s="533" t="str">
        <f t="shared" si="327"/>
        <v/>
      </c>
      <c r="Q959" s="534" t="str">
        <f>IF(Inventory!L956="","",Inventory!L956)</f>
        <v/>
      </c>
      <c r="R959" s="535" t="str">
        <f t="shared" si="328"/>
        <v/>
      </c>
      <c r="S959" s="536" t="str">
        <f>IF(Inventory!O956="","",Inventory!O956)</f>
        <v/>
      </c>
      <c r="T959" s="541" t="str">
        <f>IFERROR(IF(C959="","",IF(INDEX(xyWattage_Table,MATCH(M959,'Fixture Identities'!$B$9:$B$997,0),2)="Exit Sign",8760,IF(VLOOKUP(C959,xySpace_Type_Details,8,FALSE)="TRM",INDEX('General Information'!$AF$17:$AG$28,11,MATCH(N959,'General Information'!$AF$16:$AG$16,0)),HLOOKUP(VLOOKUP(C959,xySpace_Type_Details,8,FALSE),'General Information'!$P$15:$AG$28,13,FALSE)))),"")</f>
        <v/>
      </c>
      <c r="U959" s="542" t="str">
        <f>IFERROR(IF(C959="","",IF(INDEX(xyWattage_Table,MATCH(M959,'Fixture Identities'!$B$9:$B$997,0),2)="Exit Sign",1,IF(VLOOKUP(C959,xySpace_Type_Details,8,FALSE)="TRM",INDEX('General Information'!$AF$17:$AG$28,12,MATCH(N959,'General Information'!$AF$16:$AG$16,0)),HLOOKUP(VLOOKUP(C959,xySpace_Type_Details,8,FALSE),'General Information'!$P$15:$AG$28,14,FALSE)))),"")</f>
        <v/>
      </c>
      <c r="V959" s="542" t="str">
        <f>IFERROR(VLOOKUP(INDEX(xySpace_Type_Details,MATCH($C959,'General Information'!$C$40:$C$60,0),12),Lookups!$L$8:$N$12,2,FALSE),"")</f>
        <v/>
      </c>
      <c r="W959" s="542" t="str">
        <f>IFERROR(VLOOKUP(INDEX(xySpace_Type_Details,MATCH($C959,'General Information'!$C$40:$C$60,0),12),Lookups!$L$8:$N$12,3,FALSE),"")</f>
        <v/>
      </c>
      <c r="Y959" s="542" t="str">
        <f>IFERROR(IF(C959="","",IF(INDEX(xyWattage_Table,MATCH(M959,'Fixture Identities'!$B$9:$B$997,0),2)="Exit Sign",0,IF(PRJ_Type="Retrofit",VLOOKUP(I959,xySVG_Factors,2,FALSE),IF(AND(PRJ_Type="New Construction",Inventory!C956="N"),VLOOKUP(VLOOKUP(Building_Type,xyLPD_BuildingArea,5,FALSE),xySVG_Factors_NC,3,FALSE),0)))),"")</f>
        <v/>
      </c>
      <c r="Z959" s="544" t="str">
        <f>IFERROR(IF(C959="","",IF(INDEX(xyWattage_Table,MATCH(M959,'Fixture Identities'!$B$9:$B$997,0),2)="Exit Sign",0,VLOOKUP(S959,xySVG_Factors,2,FALSE))),"")</f>
        <v/>
      </c>
      <c r="AA959" s="545" t="str">
        <f t="shared" si="329"/>
        <v/>
      </c>
      <c r="AB959" s="542" t="str">
        <f t="shared" si="330"/>
        <v/>
      </c>
      <c r="AC959" s="539" t="str">
        <f t="shared" si="331"/>
        <v/>
      </c>
      <c r="AD959" s="546" t="str">
        <f t="shared" si="332"/>
        <v/>
      </c>
      <c r="AE959" s="539" t="str">
        <f t="shared" si="333"/>
        <v/>
      </c>
      <c r="AF959" s="546" t="str">
        <f t="shared" si="334"/>
        <v/>
      </c>
      <c r="AG959" s="539" t="str">
        <f t="shared" si="335"/>
        <v/>
      </c>
      <c r="AH959" s="32">
        <f t="shared" si="337"/>
        <v>0</v>
      </c>
      <c r="AI959" s="32">
        <f t="shared" si="338"/>
        <v>0</v>
      </c>
      <c r="AJ959" s="32">
        <f t="shared" si="339"/>
        <v>0</v>
      </c>
      <c r="AK959" t="str">
        <f t="shared" si="340"/>
        <v/>
      </c>
      <c r="AL959" t="str">
        <f t="shared" si="341"/>
        <v/>
      </c>
      <c r="AM959" t="str">
        <f t="shared" si="342"/>
        <v/>
      </c>
      <c r="AO959" t="str">
        <f>IFERROR(VLOOKUP(M959,'Fixture Identities'!$B$9:$O$1045,14,FALSE),"")</f>
        <v/>
      </c>
      <c r="AP959" t="str">
        <f t="shared" si="336"/>
        <v/>
      </c>
    </row>
    <row r="960" spans="1:42">
      <c r="A960" s="71">
        <f t="shared" si="344"/>
        <v>0</v>
      </c>
      <c r="B960" s="513">
        <f t="shared" si="343"/>
        <v>948</v>
      </c>
      <c r="C960" s="530" t="str">
        <f>IF(Inventory!E957="","",Inventory!E957)</f>
        <v/>
      </c>
      <c r="D960" s="531">
        <f>IF(Inventory!D957="",0,Inventory!D957)</f>
        <v>0</v>
      </c>
      <c r="E960" s="532" t="str">
        <f>IF(Inventory!I957=0,"",Inventory!I957)</f>
        <v/>
      </c>
      <c r="F960" s="533" t="str">
        <f t="shared" si="323"/>
        <v/>
      </c>
      <c r="G960" s="534" t="str">
        <f>IF(Inventory!G957="","",Inventory!G957)</f>
        <v/>
      </c>
      <c r="H960" s="535" t="str">
        <f t="shared" si="324"/>
        <v/>
      </c>
      <c r="I960" s="536" t="str">
        <f>IF(Inventory!J957="","",Inventory!J957)</f>
        <v/>
      </c>
      <c r="J960" s="537" t="str">
        <f>IFERROR(IF(PRJ_Type="New Construction",IF(Inventory!C957="N",INDEX(xyLPD_BuildingArea,MATCH(Building_Type,Lookups!$F$37:$F$75,0),4),INDEX(xyLPD_SpaceBySpace,MATCH(INDEX(xyNCEx,MATCH(I960,yNCExArea,0),2),ySpace_by_Space_Type,0),2)),VLOOKUP(E960,xyWattage_Table,11,FALSE)),"")</f>
        <v/>
      </c>
      <c r="K960" s="538" t="str">
        <f>IFERROR(IF(AND(NC_Type="Building Area Method",Inventory!C957="N"),IF(ISERROR(INDEX('Usage Groups (&gt;120 MWh only)'!$N$8:$N$12,MATCH(C960,'Usage Groups (&gt;120 MWh only)'!$B$8:$B$12,0),1))=TRUE,SqFt/COUNTIFS(Inventory!$C$10:$C$1009,"N",$Q$13:$Q$1012,"&gt;=0"),INDEX('Usage Groups (&gt;120 MWh only)'!$N$8:$N$12,MATCH(C960,'Usage Groups (&gt;120 MWh only)'!$B$8:$B$12,0),1)/COUNTIF($C$13:$C$1012,C960)),IF(AND(NC_Type="Building Area Method",Inventory!C957="Y"),INDEX(xyNCEx,MATCH(I960,yNCExArea,0),3)/COUNTIF($I$13:$I$1012,I960),VLOOKUP(J960,xyWattage_Table,10,FALSE))),"")</f>
        <v/>
      </c>
      <c r="L960" s="539" t="str">
        <f t="shared" si="325"/>
        <v/>
      </c>
      <c r="M960" s="540">
        <f>IF(Inventory!N957="","",Inventory!N957)</f>
        <v>0</v>
      </c>
      <c r="N960" s="533" t="str">
        <f t="shared" si="326"/>
        <v/>
      </c>
      <c r="O960" s="534"/>
      <c r="P960" s="533" t="str">
        <f t="shared" si="327"/>
        <v/>
      </c>
      <c r="Q960" s="534" t="str">
        <f>IF(Inventory!L957="","",Inventory!L957)</f>
        <v/>
      </c>
      <c r="R960" s="535" t="str">
        <f t="shared" si="328"/>
        <v/>
      </c>
      <c r="S960" s="536" t="str">
        <f>IF(Inventory!O957="","",Inventory!O957)</f>
        <v/>
      </c>
      <c r="T960" s="541" t="str">
        <f>IFERROR(IF(C960="","",IF(INDEX(xyWattage_Table,MATCH(M960,'Fixture Identities'!$B$9:$B$997,0),2)="Exit Sign",8760,IF(VLOOKUP(C960,xySpace_Type_Details,8,FALSE)="TRM",INDEX('General Information'!$AF$17:$AG$28,11,MATCH(N960,'General Information'!$AF$16:$AG$16,0)),HLOOKUP(VLOOKUP(C960,xySpace_Type_Details,8,FALSE),'General Information'!$P$15:$AG$28,13,FALSE)))),"")</f>
        <v/>
      </c>
      <c r="U960" s="542" t="str">
        <f>IFERROR(IF(C960="","",IF(INDEX(xyWattage_Table,MATCH(M960,'Fixture Identities'!$B$9:$B$997,0),2)="Exit Sign",1,IF(VLOOKUP(C960,xySpace_Type_Details,8,FALSE)="TRM",INDEX('General Information'!$AF$17:$AG$28,12,MATCH(N960,'General Information'!$AF$16:$AG$16,0)),HLOOKUP(VLOOKUP(C960,xySpace_Type_Details,8,FALSE),'General Information'!$P$15:$AG$28,14,FALSE)))),"")</f>
        <v/>
      </c>
      <c r="V960" s="542" t="str">
        <f>IFERROR(VLOOKUP(INDEX(xySpace_Type_Details,MATCH($C960,'General Information'!$C$40:$C$60,0),12),Lookups!$L$8:$N$12,2,FALSE),"")</f>
        <v/>
      </c>
      <c r="W960" s="542" t="str">
        <f>IFERROR(VLOOKUP(INDEX(xySpace_Type_Details,MATCH($C960,'General Information'!$C$40:$C$60,0),12),Lookups!$L$8:$N$12,3,FALSE),"")</f>
        <v/>
      </c>
      <c r="Y960" s="542" t="str">
        <f>IFERROR(IF(C960="","",IF(INDEX(xyWattage_Table,MATCH(M960,'Fixture Identities'!$B$9:$B$997,0),2)="Exit Sign",0,IF(PRJ_Type="Retrofit",VLOOKUP(I960,xySVG_Factors,2,FALSE),IF(AND(PRJ_Type="New Construction",Inventory!C957="N"),VLOOKUP(VLOOKUP(Building_Type,xyLPD_BuildingArea,5,FALSE),xySVG_Factors_NC,3,FALSE),0)))),"")</f>
        <v/>
      </c>
      <c r="Z960" s="544" t="str">
        <f>IFERROR(IF(C960="","",IF(INDEX(xyWattage_Table,MATCH(M960,'Fixture Identities'!$B$9:$B$997,0),2)="Exit Sign",0,VLOOKUP(S960,xySVG_Factors,2,FALSE))),"")</f>
        <v/>
      </c>
      <c r="AA960" s="545" t="str">
        <f t="shared" si="329"/>
        <v/>
      </c>
      <c r="AB960" s="542" t="str">
        <f t="shared" si="330"/>
        <v/>
      </c>
      <c r="AC960" s="539" t="str">
        <f t="shared" si="331"/>
        <v/>
      </c>
      <c r="AD960" s="546" t="str">
        <f t="shared" si="332"/>
        <v/>
      </c>
      <c r="AE960" s="539" t="str">
        <f t="shared" si="333"/>
        <v/>
      </c>
      <c r="AF960" s="546" t="str">
        <f t="shared" si="334"/>
        <v/>
      </c>
      <c r="AG960" s="539" t="str">
        <f t="shared" si="335"/>
        <v/>
      </c>
      <c r="AH960" s="32">
        <f t="shared" si="337"/>
        <v>0</v>
      </c>
      <c r="AI960" s="32">
        <f t="shared" si="338"/>
        <v>0</v>
      </c>
      <c r="AJ960" s="32">
        <f t="shared" si="339"/>
        <v>0</v>
      </c>
      <c r="AK960" t="str">
        <f t="shared" si="340"/>
        <v/>
      </c>
      <c r="AL960" t="str">
        <f t="shared" si="341"/>
        <v/>
      </c>
      <c r="AM960" t="str">
        <f t="shared" si="342"/>
        <v/>
      </c>
      <c r="AO960" t="str">
        <f>IFERROR(VLOOKUP(M960,'Fixture Identities'!$B$9:$O$1045,14,FALSE),"")</f>
        <v/>
      </c>
      <c r="AP960" t="str">
        <f t="shared" si="336"/>
        <v/>
      </c>
    </row>
    <row r="961" spans="1:42">
      <c r="A961" s="71">
        <f t="shared" si="344"/>
        <v>0</v>
      </c>
      <c r="B961" s="513">
        <f t="shared" si="343"/>
        <v>949</v>
      </c>
      <c r="C961" s="530" t="str">
        <f>IF(Inventory!E958="","",Inventory!E958)</f>
        <v/>
      </c>
      <c r="D961" s="531">
        <f>IF(Inventory!D958="",0,Inventory!D958)</f>
        <v>0</v>
      </c>
      <c r="E961" s="532" t="str">
        <f>IF(Inventory!I958=0,"",Inventory!I958)</f>
        <v/>
      </c>
      <c r="F961" s="533" t="str">
        <f t="shared" si="323"/>
        <v/>
      </c>
      <c r="G961" s="534" t="str">
        <f>IF(Inventory!G958="","",Inventory!G958)</f>
        <v/>
      </c>
      <c r="H961" s="535" t="str">
        <f t="shared" si="324"/>
        <v/>
      </c>
      <c r="I961" s="536" t="str">
        <f>IF(Inventory!J958="","",Inventory!J958)</f>
        <v/>
      </c>
      <c r="J961" s="537" t="str">
        <f>IFERROR(IF(PRJ_Type="New Construction",IF(Inventory!C958="N",INDEX(xyLPD_BuildingArea,MATCH(Building_Type,Lookups!$F$37:$F$75,0),4),INDEX(xyLPD_SpaceBySpace,MATCH(INDEX(xyNCEx,MATCH(I961,yNCExArea,0),2),ySpace_by_Space_Type,0),2)),VLOOKUP(E961,xyWattage_Table,11,FALSE)),"")</f>
        <v/>
      </c>
      <c r="K961" s="538" t="str">
        <f>IFERROR(IF(AND(NC_Type="Building Area Method",Inventory!C958="N"),IF(ISERROR(INDEX('Usage Groups (&gt;120 MWh only)'!$N$8:$N$12,MATCH(C961,'Usage Groups (&gt;120 MWh only)'!$B$8:$B$12,0),1))=TRUE,SqFt/COUNTIFS(Inventory!$C$10:$C$1009,"N",$Q$13:$Q$1012,"&gt;=0"),INDEX('Usage Groups (&gt;120 MWh only)'!$N$8:$N$12,MATCH(C961,'Usage Groups (&gt;120 MWh only)'!$B$8:$B$12,0),1)/COUNTIF($C$13:$C$1012,C961)),IF(AND(NC_Type="Building Area Method",Inventory!C958="Y"),INDEX(xyNCEx,MATCH(I961,yNCExArea,0),3)/COUNTIF($I$13:$I$1012,I961),VLOOKUP(J961,xyWattage_Table,10,FALSE))),"")</f>
        <v/>
      </c>
      <c r="L961" s="539" t="str">
        <f t="shared" si="325"/>
        <v/>
      </c>
      <c r="M961" s="540">
        <f>IF(Inventory!N958="","",Inventory!N958)</f>
        <v>0</v>
      </c>
      <c r="N961" s="533" t="str">
        <f t="shared" si="326"/>
        <v/>
      </c>
      <c r="O961" s="534"/>
      <c r="P961" s="533" t="str">
        <f t="shared" si="327"/>
        <v/>
      </c>
      <c r="Q961" s="534" t="str">
        <f>IF(Inventory!L958="","",Inventory!L958)</f>
        <v/>
      </c>
      <c r="R961" s="535" t="str">
        <f t="shared" si="328"/>
        <v/>
      </c>
      <c r="S961" s="536" t="str">
        <f>IF(Inventory!O958="","",Inventory!O958)</f>
        <v/>
      </c>
      <c r="T961" s="541" t="str">
        <f>IFERROR(IF(C961="","",IF(INDEX(xyWattage_Table,MATCH(M961,'Fixture Identities'!$B$9:$B$997,0),2)="Exit Sign",8760,IF(VLOOKUP(C961,xySpace_Type_Details,8,FALSE)="TRM",INDEX('General Information'!$AF$17:$AG$28,11,MATCH(N961,'General Information'!$AF$16:$AG$16,0)),HLOOKUP(VLOOKUP(C961,xySpace_Type_Details,8,FALSE),'General Information'!$P$15:$AG$28,13,FALSE)))),"")</f>
        <v/>
      </c>
      <c r="U961" s="542" t="str">
        <f>IFERROR(IF(C961="","",IF(INDEX(xyWattage_Table,MATCH(M961,'Fixture Identities'!$B$9:$B$997,0),2)="Exit Sign",1,IF(VLOOKUP(C961,xySpace_Type_Details,8,FALSE)="TRM",INDEX('General Information'!$AF$17:$AG$28,12,MATCH(N961,'General Information'!$AF$16:$AG$16,0)),HLOOKUP(VLOOKUP(C961,xySpace_Type_Details,8,FALSE),'General Information'!$P$15:$AG$28,14,FALSE)))),"")</f>
        <v/>
      </c>
      <c r="V961" s="542" t="str">
        <f>IFERROR(VLOOKUP(INDEX(xySpace_Type_Details,MATCH($C961,'General Information'!$C$40:$C$60,0),12),Lookups!$L$8:$N$12,2,FALSE),"")</f>
        <v/>
      </c>
      <c r="W961" s="542" t="str">
        <f>IFERROR(VLOOKUP(INDEX(xySpace_Type_Details,MATCH($C961,'General Information'!$C$40:$C$60,0),12),Lookups!$L$8:$N$12,3,FALSE),"")</f>
        <v/>
      </c>
      <c r="Y961" s="542" t="str">
        <f>IFERROR(IF(C961="","",IF(INDEX(xyWattage_Table,MATCH(M961,'Fixture Identities'!$B$9:$B$997,0),2)="Exit Sign",0,IF(PRJ_Type="Retrofit",VLOOKUP(I961,xySVG_Factors,2,FALSE),IF(AND(PRJ_Type="New Construction",Inventory!C958="N"),VLOOKUP(VLOOKUP(Building_Type,xyLPD_BuildingArea,5,FALSE),xySVG_Factors_NC,3,FALSE),0)))),"")</f>
        <v/>
      </c>
      <c r="Z961" s="544" t="str">
        <f>IFERROR(IF(C961="","",IF(INDEX(xyWattage_Table,MATCH(M961,'Fixture Identities'!$B$9:$B$997,0),2)="Exit Sign",0,VLOOKUP(S961,xySVG_Factors,2,FALSE))),"")</f>
        <v/>
      </c>
      <c r="AA961" s="545" t="str">
        <f t="shared" si="329"/>
        <v/>
      </c>
      <c r="AB961" s="542" t="str">
        <f t="shared" si="330"/>
        <v/>
      </c>
      <c r="AC961" s="539" t="str">
        <f t="shared" si="331"/>
        <v/>
      </c>
      <c r="AD961" s="546" t="str">
        <f t="shared" si="332"/>
        <v/>
      </c>
      <c r="AE961" s="539" t="str">
        <f t="shared" si="333"/>
        <v/>
      </c>
      <c r="AF961" s="546" t="str">
        <f t="shared" si="334"/>
        <v/>
      </c>
      <c r="AG961" s="539" t="str">
        <f t="shared" si="335"/>
        <v/>
      </c>
      <c r="AH961" s="32">
        <f t="shared" si="337"/>
        <v>0</v>
      </c>
      <c r="AI961" s="32">
        <f t="shared" si="338"/>
        <v>0</v>
      </c>
      <c r="AJ961" s="32">
        <f t="shared" si="339"/>
        <v>0</v>
      </c>
      <c r="AK961" t="str">
        <f t="shared" si="340"/>
        <v/>
      </c>
      <c r="AL961" t="str">
        <f t="shared" si="341"/>
        <v/>
      </c>
      <c r="AM961" t="str">
        <f t="shared" si="342"/>
        <v/>
      </c>
      <c r="AO961" t="str">
        <f>IFERROR(VLOOKUP(M961,'Fixture Identities'!$B$9:$O$1045,14,FALSE),"")</f>
        <v/>
      </c>
      <c r="AP961" t="str">
        <f t="shared" si="336"/>
        <v/>
      </c>
    </row>
    <row r="962" spans="1:42">
      <c r="A962" s="71">
        <f t="shared" si="344"/>
        <v>0</v>
      </c>
      <c r="B962" s="513">
        <f t="shared" si="343"/>
        <v>950</v>
      </c>
      <c r="C962" s="530" t="str">
        <f>IF(Inventory!E959="","",Inventory!E959)</f>
        <v/>
      </c>
      <c r="D962" s="531">
        <f>IF(Inventory!D959="",0,Inventory!D959)</f>
        <v>0</v>
      </c>
      <c r="E962" s="532" t="str">
        <f>IF(Inventory!I959=0,"",Inventory!I959)</f>
        <v/>
      </c>
      <c r="F962" s="533" t="str">
        <f t="shared" si="323"/>
        <v/>
      </c>
      <c r="G962" s="534" t="str">
        <f>IF(Inventory!G959="","",Inventory!G959)</f>
        <v/>
      </c>
      <c r="H962" s="535" t="str">
        <f t="shared" si="324"/>
        <v/>
      </c>
      <c r="I962" s="536" t="str">
        <f>IF(Inventory!J959="","",Inventory!J959)</f>
        <v/>
      </c>
      <c r="J962" s="537" t="str">
        <f>IFERROR(IF(PRJ_Type="New Construction",IF(Inventory!C959="N",INDEX(xyLPD_BuildingArea,MATCH(Building_Type,Lookups!$F$37:$F$75,0),4),INDEX(xyLPD_SpaceBySpace,MATCH(INDEX(xyNCEx,MATCH(I962,yNCExArea,0),2),ySpace_by_Space_Type,0),2)),VLOOKUP(E962,xyWattage_Table,11,FALSE)),"")</f>
        <v/>
      </c>
      <c r="K962" s="538" t="str">
        <f>IFERROR(IF(AND(NC_Type="Building Area Method",Inventory!C959="N"),IF(ISERROR(INDEX('Usage Groups (&gt;120 MWh only)'!$N$8:$N$12,MATCH(C962,'Usage Groups (&gt;120 MWh only)'!$B$8:$B$12,0),1))=TRUE,SqFt/COUNTIFS(Inventory!$C$10:$C$1009,"N",$Q$13:$Q$1012,"&gt;=0"),INDEX('Usage Groups (&gt;120 MWh only)'!$N$8:$N$12,MATCH(C962,'Usage Groups (&gt;120 MWh only)'!$B$8:$B$12,0),1)/COUNTIF($C$13:$C$1012,C962)),IF(AND(NC_Type="Building Area Method",Inventory!C959="Y"),INDEX(xyNCEx,MATCH(I962,yNCExArea,0),3)/COUNTIF($I$13:$I$1012,I962),VLOOKUP(J962,xyWattage_Table,10,FALSE))),"")</f>
        <v/>
      </c>
      <c r="L962" s="539" t="str">
        <f t="shared" si="325"/>
        <v/>
      </c>
      <c r="M962" s="540">
        <f>IF(Inventory!N959="","",Inventory!N959)</f>
        <v>0</v>
      </c>
      <c r="N962" s="533" t="str">
        <f t="shared" si="326"/>
        <v/>
      </c>
      <c r="O962" s="534"/>
      <c r="P962" s="533" t="str">
        <f t="shared" si="327"/>
        <v/>
      </c>
      <c r="Q962" s="534" t="str">
        <f>IF(Inventory!L959="","",Inventory!L959)</f>
        <v/>
      </c>
      <c r="R962" s="535" t="str">
        <f t="shared" si="328"/>
        <v/>
      </c>
      <c r="S962" s="536" t="str">
        <f>IF(Inventory!O959="","",Inventory!O959)</f>
        <v/>
      </c>
      <c r="T962" s="541" t="str">
        <f>IFERROR(IF(C962="","",IF(INDEX(xyWattage_Table,MATCH(M962,'Fixture Identities'!$B$9:$B$997,0),2)="Exit Sign",8760,IF(VLOOKUP(C962,xySpace_Type_Details,8,FALSE)="TRM",INDEX('General Information'!$AF$17:$AG$28,11,MATCH(N962,'General Information'!$AF$16:$AG$16,0)),HLOOKUP(VLOOKUP(C962,xySpace_Type_Details,8,FALSE),'General Information'!$P$15:$AG$28,13,FALSE)))),"")</f>
        <v/>
      </c>
      <c r="U962" s="542" t="str">
        <f>IFERROR(IF(C962="","",IF(INDEX(xyWattage_Table,MATCH(M962,'Fixture Identities'!$B$9:$B$997,0),2)="Exit Sign",1,IF(VLOOKUP(C962,xySpace_Type_Details,8,FALSE)="TRM",INDEX('General Information'!$AF$17:$AG$28,12,MATCH(N962,'General Information'!$AF$16:$AG$16,0)),HLOOKUP(VLOOKUP(C962,xySpace_Type_Details,8,FALSE),'General Information'!$P$15:$AG$28,14,FALSE)))),"")</f>
        <v/>
      </c>
      <c r="V962" s="542" t="str">
        <f>IFERROR(VLOOKUP(INDEX(xySpace_Type_Details,MATCH($C962,'General Information'!$C$40:$C$60,0),12),Lookups!$L$8:$N$12,2,FALSE),"")</f>
        <v/>
      </c>
      <c r="W962" s="542" t="str">
        <f>IFERROR(VLOOKUP(INDEX(xySpace_Type_Details,MATCH($C962,'General Information'!$C$40:$C$60,0),12),Lookups!$L$8:$N$12,3,FALSE),"")</f>
        <v/>
      </c>
      <c r="Y962" s="542" t="str">
        <f>IFERROR(IF(C962="","",IF(INDEX(xyWattage_Table,MATCH(M962,'Fixture Identities'!$B$9:$B$997,0),2)="Exit Sign",0,IF(PRJ_Type="Retrofit",VLOOKUP(I962,xySVG_Factors,2,FALSE),IF(AND(PRJ_Type="New Construction",Inventory!C959="N"),VLOOKUP(VLOOKUP(Building_Type,xyLPD_BuildingArea,5,FALSE),xySVG_Factors_NC,3,FALSE),0)))),"")</f>
        <v/>
      </c>
      <c r="Z962" s="544" t="str">
        <f>IFERROR(IF(C962="","",IF(INDEX(xyWattage_Table,MATCH(M962,'Fixture Identities'!$B$9:$B$997,0),2)="Exit Sign",0,VLOOKUP(S962,xySVG_Factors,2,FALSE))),"")</f>
        <v/>
      </c>
      <c r="AA962" s="545" t="str">
        <f t="shared" si="329"/>
        <v/>
      </c>
      <c r="AB962" s="542" t="str">
        <f t="shared" si="330"/>
        <v/>
      </c>
      <c r="AC962" s="539" t="str">
        <f t="shared" si="331"/>
        <v/>
      </c>
      <c r="AD962" s="546" t="str">
        <f t="shared" si="332"/>
        <v/>
      </c>
      <c r="AE962" s="539" t="str">
        <f t="shared" si="333"/>
        <v/>
      </c>
      <c r="AF962" s="546" t="str">
        <f t="shared" si="334"/>
        <v/>
      </c>
      <c r="AG962" s="539" t="str">
        <f t="shared" si="335"/>
        <v/>
      </c>
      <c r="AH962" s="32">
        <f t="shared" si="337"/>
        <v>0</v>
      </c>
      <c r="AI962" s="32">
        <f t="shared" si="338"/>
        <v>0</v>
      </c>
      <c r="AJ962" s="32">
        <f t="shared" si="339"/>
        <v>0</v>
      </c>
      <c r="AK962" t="str">
        <f t="shared" si="340"/>
        <v/>
      </c>
      <c r="AL962" t="str">
        <f t="shared" si="341"/>
        <v/>
      </c>
      <c r="AM962" t="str">
        <f t="shared" si="342"/>
        <v/>
      </c>
      <c r="AO962" t="str">
        <f>IFERROR(VLOOKUP(M962,'Fixture Identities'!$B$9:$O$1045,14,FALSE),"")</f>
        <v/>
      </c>
      <c r="AP962" t="str">
        <f t="shared" si="336"/>
        <v/>
      </c>
    </row>
    <row r="963" spans="1:42">
      <c r="A963" s="71">
        <f t="shared" si="344"/>
        <v>0</v>
      </c>
      <c r="B963" s="513">
        <f t="shared" si="343"/>
        <v>951</v>
      </c>
      <c r="C963" s="530" t="str">
        <f>IF(Inventory!E960="","",Inventory!E960)</f>
        <v/>
      </c>
      <c r="D963" s="531">
        <f>IF(Inventory!D960="",0,Inventory!D960)</f>
        <v>0</v>
      </c>
      <c r="E963" s="532" t="str">
        <f>IF(Inventory!I960=0,"",Inventory!I960)</f>
        <v/>
      </c>
      <c r="F963" s="533" t="str">
        <f t="shared" si="323"/>
        <v/>
      </c>
      <c r="G963" s="534" t="str">
        <f>IF(Inventory!G960="","",Inventory!G960)</f>
        <v/>
      </c>
      <c r="H963" s="535" t="str">
        <f t="shared" si="324"/>
        <v/>
      </c>
      <c r="I963" s="536" t="str">
        <f>IF(Inventory!J960="","",Inventory!J960)</f>
        <v/>
      </c>
      <c r="J963" s="537" t="str">
        <f>IFERROR(IF(PRJ_Type="New Construction",IF(Inventory!C960="N",INDEX(xyLPD_BuildingArea,MATCH(Building_Type,Lookups!$F$37:$F$75,0),4),INDEX(xyLPD_SpaceBySpace,MATCH(INDEX(xyNCEx,MATCH(I963,yNCExArea,0),2),ySpace_by_Space_Type,0),2)),VLOOKUP(E963,xyWattage_Table,11,FALSE)),"")</f>
        <v/>
      </c>
      <c r="K963" s="538" t="str">
        <f>IFERROR(IF(AND(NC_Type="Building Area Method",Inventory!C960="N"),IF(ISERROR(INDEX('Usage Groups (&gt;120 MWh only)'!$N$8:$N$12,MATCH(C963,'Usage Groups (&gt;120 MWh only)'!$B$8:$B$12,0),1))=TRUE,SqFt/COUNTIFS(Inventory!$C$10:$C$1009,"N",$Q$13:$Q$1012,"&gt;=0"),INDEX('Usage Groups (&gt;120 MWh only)'!$N$8:$N$12,MATCH(C963,'Usage Groups (&gt;120 MWh only)'!$B$8:$B$12,0),1)/COUNTIF($C$13:$C$1012,C963)),IF(AND(NC_Type="Building Area Method",Inventory!C960="Y"),INDEX(xyNCEx,MATCH(I963,yNCExArea,0),3)/COUNTIF($I$13:$I$1012,I963),VLOOKUP(J963,xyWattage_Table,10,FALSE))),"")</f>
        <v/>
      </c>
      <c r="L963" s="539" t="str">
        <f t="shared" si="325"/>
        <v/>
      </c>
      <c r="M963" s="540">
        <f>IF(Inventory!N960="","",Inventory!N960)</f>
        <v>0</v>
      </c>
      <c r="N963" s="533" t="str">
        <f t="shared" si="326"/>
        <v/>
      </c>
      <c r="O963" s="534"/>
      <c r="P963" s="533" t="str">
        <f t="shared" si="327"/>
        <v/>
      </c>
      <c r="Q963" s="534" t="str">
        <f>IF(Inventory!L960="","",Inventory!L960)</f>
        <v/>
      </c>
      <c r="R963" s="535" t="str">
        <f t="shared" si="328"/>
        <v/>
      </c>
      <c r="S963" s="536" t="str">
        <f>IF(Inventory!O960="","",Inventory!O960)</f>
        <v/>
      </c>
      <c r="T963" s="541" t="str">
        <f>IFERROR(IF(C963="","",IF(INDEX(xyWattage_Table,MATCH(M963,'Fixture Identities'!$B$9:$B$997,0),2)="Exit Sign",8760,IF(VLOOKUP(C963,xySpace_Type_Details,8,FALSE)="TRM",INDEX('General Information'!$AF$17:$AG$28,11,MATCH(N963,'General Information'!$AF$16:$AG$16,0)),HLOOKUP(VLOOKUP(C963,xySpace_Type_Details,8,FALSE),'General Information'!$P$15:$AG$28,13,FALSE)))),"")</f>
        <v/>
      </c>
      <c r="U963" s="542" t="str">
        <f>IFERROR(IF(C963="","",IF(INDEX(xyWattage_Table,MATCH(M963,'Fixture Identities'!$B$9:$B$997,0),2)="Exit Sign",1,IF(VLOOKUP(C963,xySpace_Type_Details,8,FALSE)="TRM",INDEX('General Information'!$AF$17:$AG$28,12,MATCH(N963,'General Information'!$AF$16:$AG$16,0)),HLOOKUP(VLOOKUP(C963,xySpace_Type_Details,8,FALSE),'General Information'!$P$15:$AG$28,14,FALSE)))),"")</f>
        <v/>
      </c>
      <c r="V963" s="542" t="str">
        <f>IFERROR(VLOOKUP(INDEX(xySpace_Type_Details,MATCH($C963,'General Information'!$C$40:$C$60,0),12),Lookups!$L$8:$N$12,2,FALSE),"")</f>
        <v/>
      </c>
      <c r="W963" s="542" t="str">
        <f>IFERROR(VLOOKUP(INDEX(xySpace_Type_Details,MATCH($C963,'General Information'!$C$40:$C$60,0),12),Lookups!$L$8:$N$12,3,FALSE),"")</f>
        <v/>
      </c>
      <c r="Y963" s="542" t="str">
        <f>IFERROR(IF(C963="","",IF(INDEX(xyWattage_Table,MATCH(M963,'Fixture Identities'!$B$9:$B$997,0),2)="Exit Sign",0,IF(PRJ_Type="Retrofit",VLOOKUP(I963,xySVG_Factors,2,FALSE),IF(AND(PRJ_Type="New Construction",Inventory!C960="N"),VLOOKUP(VLOOKUP(Building_Type,xyLPD_BuildingArea,5,FALSE),xySVG_Factors_NC,3,FALSE),0)))),"")</f>
        <v/>
      </c>
      <c r="Z963" s="544" t="str">
        <f>IFERROR(IF(C963="","",IF(INDEX(xyWattage_Table,MATCH(M963,'Fixture Identities'!$B$9:$B$997,0),2)="Exit Sign",0,VLOOKUP(S963,xySVG_Factors,2,FALSE))),"")</f>
        <v/>
      </c>
      <c r="AA963" s="545" t="str">
        <f t="shared" si="329"/>
        <v/>
      </c>
      <c r="AB963" s="542" t="str">
        <f t="shared" si="330"/>
        <v/>
      </c>
      <c r="AC963" s="539" t="str">
        <f t="shared" si="331"/>
        <v/>
      </c>
      <c r="AD963" s="546" t="str">
        <f t="shared" si="332"/>
        <v/>
      </c>
      <c r="AE963" s="539" t="str">
        <f t="shared" si="333"/>
        <v/>
      </c>
      <c r="AF963" s="546" t="str">
        <f t="shared" si="334"/>
        <v/>
      </c>
      <c r="AG963" s="539" t="str">
        <f t="shared" si="335"/>
        <v/>
      </c>
      <c r="AH963" s="32">
        <f t="shared" si="337"/>
        <v>0</v>
      </c>
      <c r="AI963" s="32">
        <f t="shared" si="338"/>
        <v>0</v>
      </c>
      <c r="AJ963" s="32">
        <f t="shared" si="339"/>
        <v>0</v>
      </c>
      <c r="AK963" t="str">
        <f t="shared" si="340"/>
        <v/>
      </c>
      <c r="AL963" t="str">
        <f t="shared" si="341"/>
        <v/>
      </c>
      <c r="AM963" t="str">
        <f t="shared" si="342"/>
        <v/>
      </c>
      <c r="AO963" t="str">
        <f>IFERROR(VLOOKUP(M963,'Fixture Identities'!$B$9:$O$1045,14,FALSE),"")</f>
        <v/>
      </c>
      <c r="AP963" t="str">
        <f t="shared" si="336"/>
        <v/>
      </c>
    </row>
    <row r="964" spans="1:42">
      <c r="A964" s="71">
        <f t="shared" si="344"/>
        <v>0</v>
      </c>
      <c r="B964" s="513">
        <f t="shared" si="343"/>
        <v>952</v>
      </c>
      <c r="C964" s="530" t="str">
        <f>IF(Inventory!E961="","",Inventory!E961)</f>
        <v/>
      </c>
      <c r="D964" s="531">
        <f>IF(Inventory!D961="",0,Inventory!D961)</f>
        <v>0</v>
      </c>
      <c r="E964" s="532" t="str">
        <f>IF(Inventory!I961=0,"",Inventory!I961)</f>
        <v/>
      </c>
      <c r="F964" s="533" t="str">
        <f t="shared" si="323"/>
        <v/>
      </c>
      <c r="G964" s="534" t="str">
        <f>IF(Inventory!G961="","",Inventory!G961)</f>
        <v/>
      </c>
      <c r="H964" s="535" t="str">
        <f t="shared" si="324"/>
        <v/>
      </c>
      <c r="I964" s="536" t="str">
        <f>IF(Inventory!J961="","",Inventory!J961)</f>
        <v/>
      </c>
      <c r="J964" s="537" t="str">
        <f>IFERROR(IF(PRJ_Type="New Construction",IF(Inventory!C961="N",INDEX(xyLPD_BuildingArea,MATCH(Building_Type,Lookups!$F$37:$F$75,0),4),INDEX(xyLPD_SpaceBySpace,MATCH(INDEX(xyNCEx,MATCH(I964,yNCExArea,0),2),ySpace_by_Space_Type,0),2)),VLOOKUP(E964,xyWattage_Table,11,FALSE)),"")</f>
        <v/>
      </c>
      <c r="K964" s="538" t="str">
        <f>IFERROR(IF(AND(NC_Type="Building Area Method",Inventory!C961="N"),IF(ISERROR(INDEX('Usage Groups (&gt;120 MWh only)'!$N$8:$N$12,MATCH(C964,'Usage Groups (&gt;120 MWh only)'!$B$8:$B$12,0),1))=TRUE,SqFt/COUNTIFS(Inventory!$C$10:$C$1009,"N",$Q$13:$Q$1012,"&gt;=0"),INDEX('Usage Groups (&gt;120 MWh only)'!$N$8:$N$12,MATCH(C964,'Usage Groups (&gt;120 MWh only)'!$B$8:$B$12,0),1)/COUNTIF($C$13:$C$1012,C964)),IF(AND(NC_Type="Building Area Method",Inventory!C961="Y"),INDEX(xyNCEx,MATCH(I964,yNCExArea,0),3)/COUNTIF($I$13:$I$1012,I964),VLOOKUP(J964,xyWattage_Table,10,FALSE))),"")</f>
        <v/>
      </c>
      <c r="L964" s="539" t="str">
        <f t="shared" si="325"/>
        <v/>
      </c>
      <c r="M964" s="540">
        <f>IF(Inventory!N961="","",Inventory!N961)</f>
        <v>0</v>
      </c>
      <c r="N964" s="533" t="str">
        <f t="shared" si="326"/>
        <v/>
      </c>
      <c r="O964" s="534"/>
      <c r="P964" s="533" t="str">
        <f t="shared" si="327"/>
        <v/>
      </c>
      <c r="Q964" s="534" t="str">
        <f>IF(Inventory!L961="","",Inventory!L961)</f>
        <v/>
      </c>
      <c r="R964" s="535" t="str">
        <f t="shared" si="328"/>
        <v/>
      </c>
      <c r="S964" s="536" t="str">
        <f>IF(Inventory!O961="","",Inventory!O961)</f>
        <v/>
      </c>
      <c r="T964" s="541" t="str">
        <f>IFERROR(IF(C964="","",IF(INDEX(xyWattage_Table,MATCH(M964,'Fixture Identities'!$B$9:$B$997,0),2)="Exit Sign",8760,IF(VLOOKUP(C964,xySpace_Type_Details,8,FALSE)="TRM",INDEX('General Information'!$AF$17:$AG$28,11,MATCH(N964,'General Information'!$AF$16:$AG$16,0)),HLOOKUP(VLOOKUP(C964,xySpace_Type_Details,8,FALSE),'General Information'!$P$15:$AG$28,13,FALSE)))),"")</f>
        <v/>
      </c>
      <c r="U964" s="542" t="str">
        <f>IFERROR(IF(C964="","",IF(INDEX(xyWattage_Table,MATCH(M964,'Fixture Identities'!$B$9:$B$997,0),2)="Exit Sign",1,IF(VLOOKUP(C964,xySpace_Type_Details,8,FALSE)="TRM",INDEX('General Information'!$AF$17:$AG$28,12,MATCH(N964,'General Information'!$AF$16:$AG$16,0)),HLOOKUP(VLOOKUP(C964,xySpace_Type_Details,8,FALSE),'General Information'!$P$15:$AG$28,14,FALSE)))),"")</f>
        <v/>
      </c>
      <c r="V964" s="542" t="str">
        <f>IFERROR(VLOOKUP(INDEX(xySpace_Type_Details,MATCH($C964,'General Information'!$C$40:$C$60,0),12),Lookups!$L$8:$N$12,2,FALSE),"")</f>
        <v/>
      </c>
      <c r="W964" s="542" t="str">
        <f>IFERROR(VLOOKUP(INDEX(xySpace_Type_Details,MATCH($C964,'General Information'!$C$40:$C$60,0),12),Lookups!$L$8:$N$12,3,FALSE),"")</f>
        <v/>
      </c>
      <c r="Y964" s="542" t="str">
        <f>IFERROR(IF(C964="","",IF(INDEX(xyWattage_Table,MATCH(M964,'Fixture Identities'!$B$9:$B$997,0),2)="Exit Sign",0,IF(PRJ_Type="Retrofit",VLOOKUP(I964,xySVG_Factors,2,FALSE),IF(AND(PRJ_Type="New Construction",Inventory!C961="N"),VLOOKUP(VLOOKUP(Building_Type,xyLPD_BuildingArea,5,FALSE),xySVG_Factors_NC,3,FALSE),0)))),"")</f>
        <v/>
      </c>
      <c r="Z964" s="544" t="str">
        <f>IFERROR(IF(C964="","",IF(INDEX(xyWattage_Table,MATCH(M964,'Fixture Identities'!$B$9:$B$997,0),2)="Exit Sign",0,VLOOKUP(S964,xySVG_Factors,2,FALSE))),"")</f>
        <v/>
      </c>
      <c r="AA964" s="545" t="str">
        <f t="shared" si="329"/>
        <v/>
      </c>
      <c r="AB964" s="542" t="str">
        <f t="shared" si="330"/>
        <v/>
      </c>
      <c r="AC964" s="539" t="str">
        <f t="shared" si="331"/>
        <v/>
      </c>
      <c r="AD964" s="546" t="str">
        <f t="shared" si="332"/>
        <v/>
      </c>
      <c r="AE964" s="539" t="str">
        <f t="shared" si="333"/>
        <v/>
      </c>
      <c r="AF964" s="546" t="str">
        <f t="shared" si="334"/>
        <v/>
      </c>
      <c r="AG964" s="539" t="str">
        <f t="shared" si="335"/>
        <v/>
      </c>
      <c r="AH964" s="32">
        <f t="shared" si="337"/>
        <v>0</v>
      </c>
      <c r="AI964" s="32">
        <f t="shared" si="338"/>
        <v>0</v>
      </c>
      <c r="AJ964" s="32">
        <f t="shared" si="339"/>
        <v>0</v>
      </c>
      <c r="AK964" t="str">
        <f t="shared" si="340"/>
        <v/>
      </c>
      <c r="AL964" t="str">
        <f t="shared" si="341"/>
        <v/>
      </c>
      <c r="AM964" t="str">
        <f t="shared" si="342"/>
        <v/>
      </c>
      <c r="AO964" t="str">
        <f>IFERROR(VLOOKUP(M964,'Fixture Identities'!$B$9:$O$1045,14,FALSE),"")</f>
        <v/>
      </c>
      <c r="AP964" t="str">
        <f t="shared" si="336"/>
        <v/>
      </c>
    </row>
    <row r="965" spans="1:42">
      <c r="A965" s="71">
        <f t="shared" si="344"/>
        <v>0</v>
      </c>
      <c r="B965" s="513">
        <f t="shared" si="343"/>
        <v>953</v>
      </c>
      <c r="C965" s="530" t="str">
        <f>IF(Inventory!E962="","",Inventory!E962)</f>
        <v/>
      </c>
      <c r="D965" s="531">
        <f>IF(Inventory!D962="",0,Inventory!D962)</f>
        <v>0</v>
      </c>
      <c r="E965" s="532" t="str">
        <f>IF(Inventory!I962=0,"",Inventory!I962)</f>
        <v/>
      </c>
      <c r="F965" s="533" t="str">
        <f t="shared" si="323"/>
        <v/>
      </c>
      <c r="G965" s="534" t="str">
        <f>IF(Inventory!G962="","",Inventory!G962)</f>
        <v/>
      </c>
      <c r="H965" s="535" t="str">
        <f t="shared" si="324"/>
        <v/>
      </c>
      <c r="I965" s="536" t="str">
        <f>IF(Inventory!J962="","",Inventory!J962)</f>
        <v/>
      </c>
      <c r="J965" s="537" t="str">
        <f>IFERROR(IF(PRJ_Type="New Construction",IF(Inventory!C962="N",INDEX(xyLPD_BuildingArea,MATCH(Building_Type,Lookups!$F$37:$F$75,0),4),INDEX(xyLPD_SpaceBySpace,MATCH(INDEX(xyNCEx,MATCH(I965,yNCExArea,0),2),ySpace_by_Space_Type,0),2)),VLOOKUP(E965,xyWattage_Table,11,FALSE)),"")</f>
        <v/>
      </c>
      <c r="K965" s="538" t="str">
        <f>IFERROR(IF(AND(NC_Type="Building Area Method",Inventory!C962="N"),IF(ISERROR(INDEX('Usage Groups (&gt;120 MWh only)'!$N$8:$N$12,MATCH(C965,'Usage Groups (&gt;120 MWh only)'!$B$8:$B$12,0),1))=TRUE,SqFt/COUNTIFS(Inventory!$C$10:$C$1009,"N",$Q$13:$Q$1012,"&gt;=0"),INDEX('Usage Groups (&gt;120 MWh only)'!$N$8:$N$12,MATCH(C965,'Usage Groups (&gt;120 MWh only)'!$B$8:$B$12,0),1)/COUNTIF($C$13:$C$1012,C965)),IF(AND(NC_Type="Building Area Method",Inventory!C962="Y"),INDEX(xyNCEx,MATCH(I965,yNCExArea,0),3)/COUNTIF($I$13:$I$1012,I965),VLOOKUP(J965,xyWattage_Table,10,FALSE))),"")</f>
        <v/>
      </c>
      <c r="L965" s="539" t="str">
        <f t="shared" si="325"/>
        <v/>
      </c>
      <c r="M965" s="540">
        <f>IF(Inventory!N962="","",Inventory!N962)</f>
        <v>0</v>
      </c>
      <c r="N965" s="533" t="str">
        <f t="shared" si="326"/>
        <v/>
      </c>
      <c r="O965" s="534"/>
      <c r="P965" s="533" t="str">
        <f t="shared" si="327"/>
        <v/>
      </c>
      <c r="Q965" s="534" t="str">
        <f>IF(Inventory!L962="","",Inventory!L962)</f>
        <v/>
      </c>
      <c r="R965" s="535" t="str">
        <f t="shared" si="328"/>
        <v/>
      </c>
      <c r="S965" s="536" t="str">
        <f>IF(Inventory!O962="","",Inventory!O962)</f>
        <v/>
      </c>
      <c r="T965" s="541" t="str">
        <f>IFERROR(IF(C965="","",IF(INDEX(xyWattage_Table,MATCH(M965,'Fixture Identities'!$B$9:$B$997,0),2)="Exit Sign",8760,IF(VLOOKUP(C965,xySpace_Type_Details,8,FALSE)="TRM",INDEX('General Information'!$AF$17:$AG$28,11,MATCH(N965,'General Information'!$AF$16:$AG$16,0)),HLOOKUP(VLOOKUP(C965,xySpace_Type_Details,8,FALSE),'General Information'!$P$15:$AG$28,13,FALSE)))),"")</f>
        <v/>
      </c>
      <c r="U965" s="542" t="str">
        <f>IFERROR(IF(C965="","",IF(INDEX(xyWattage_Table,MATCH(M965,'Fixture Identities'!$B$9:$B$997,0),2)="Exit Sign",1,IF(VLOOKUP(C965,xySpace_Type_Details,8,FALSE)="TRM",INDEX('General Information'!$AF$17:$AG$28,12,MATCH(N965,'General Information'!$AF$16:$AG$16,0)),HLOOKUP(VLOOKUP(C965,xySpace_Type_Details,8,FALSE),'General Information'!$P$15:$AG$28,14,FALSE)))),"")</f>
        <v/>
      </c>
      <c r="V965" s="542" t="str">
        <f>IFERROR(VLOOKUP(INDEX(xySpace_Type_Details,MATCH($C965,'General Information'!$C$40:$C$60,0),12),Lookups!$L$8:$N$12,2,FALSE),"")</f>
        <v/>
      </c>
      <c r="W965" s="542" t="str">
        <f>IFERROR(VLOOKUP(INDEX(xySpace_Type_Details,MATCH($C965,'General Information'!$C$40:$C$60,0),12),Lookups!$L$8:$N$12,3,FALSE),"")</f>
        <v/>
      </c>
      <c r="Y965" s="542" t="str">
        <f>IFERROR(IF(C965="","",IF(INDEX(xyWattage_Table,MATCH(M965,'Fixture Identities'!$B$9:$B$997,0),2)="Exit Sign",0,IF(PRJ_Type="Retrofit",VLOOKUP(I965,xySVG_Factors,2,FALSE),IF(AND(PRJ_Type="New Construction",Inventory!C962="N"),VLOOKUP(VLOOKUP(Building_Type,xyLPD_BuildingArea,5,FALSE),xySVG_Factors_NC,3,FALSE),0)))),"")</f>
        <v/>
      </c>
      <c r="Z965" s="544" t="str">
        <f>IFERROR(IF(C965="","",IF(INDEX(xyWattage_Table,MATCH(M965,'Fixture Identities'!$B$9:$B$997,0),2)="Exit Sign",0,VLOOKUP(S965,xySVG_Factors,2,FALSE))),"")</f>
        <v/>
      </c>
      <c r="AA965" s="545" t="str">
        <f t="shared" si="329"/>
        <v/>
      </c>
      <c r="AB965" s="542" t="str">
        <f t="shared" si="330"/>
        <v/>
      </c>
      <c r="AC965" s="539" t="str">
        <f t="shared" si="331"/>
        <v/>
      </c>
      <c r="AD965" s="546" t="str">
        <f t="shared" si="332"/>
        <v/>
      </c>
      <c r="AE965" s="539" t="str">
        <f t="shared" si="333"/>
        <v/>
      </c>
      <c r="AF965" s="546" t="str">
        <f t="shared" si="334"/>
        <v/>
      </c>
      <c r="AG965" s="539" t="str">
        <f t="shared" si="335"/>
        <v/>
      </c>
      <c r="AH965" s="32">
        <f t="shared" si="337"/>
        <v>0</v>
      </c>
      <c r="AI965" s="32">
        <f t="shared" si="338"/>
        <v>0</v>
      </c>
      <c r="AJ965" s="32">
        <f t="shared" si="339"/>
        <v>0</v>
      </c>
      <c r="AK965" t="str">
        <f t="shared" si="340"/>
        <v/>
      </c>
      <c r="AL965" t="str">
        <f t="shared" si="341"/>
        <v/>
      </c>
      <c r="AM965" t="str">
        <f t="shared" si="342"/>
        <v/>
      </c>
      <c r="AO965" t="str">
        <f>IFERROR(VLOOKUP(M965,'Fixture Identities'!$B$9:$O$1045,14,FALSE),"")</f>
        <v/>
      </c>
      <c r="AP965" t="str">
        <f t="shared" si="336"/>
        <v/>
      </c>
    </row>
    <row r="966" spans="1:42">
      <c r="A966" s="71">
        <f t="shared" si="344"/>
        <v>0</v>
      </c>
      <c r="B966" s="513">
        <f t="shared" si="343"/>
        <v>954</v>
      </c>
      <c r="C966" s="530" t="str">
        <f>IF(Inventory!E963="","",Inventory!E963)</f>
        <v/>
      </c>
      <c r="D966" s="531">
        <f>IF(Inventory!D963="",0,Inventory!D963)</f>
        <v>0</v>
      </c>
      <c r="E966" s="532" t="str">
        <f>IF(Inventory!I963=0,"",Inventory!I963)</f>
        <v/>
      </c>
      <c r="F966" s="533" t="str">
        <f t="shared" si="323"/>
        <v/>
      </c>
      <c r="G966" s="534" t="str">
        <f>IF(Inventory!G963="","",Inventory!G963)</f>
        <v/>
      </c>
      <c r="H966" s="535" t="str">
        <f t="shared" si="324"/>
        <v/>
      </c>
      <c r="I966" s="536" t="str">
        <f>IF(Inventory!J963="","",Inventory!J963)</f>
        <v/>
      </c>
      <c r="J966" s="537" t="str">
        <f>IFERROR(IF(PRJ_Type="New Construction",IF(Inventory!C963="N",INDEX(xyLPD_BuildingArea,MATCH(Building_Type,Lookups!$F$37:$F$75,0),4),INDEX(xyLPD_SpaceBySpace,MATCH(INDEX(xyNCEx,MATCH(I966,yNCExArea,0),2),ySpace_by_Space_Type,0),2)),VLOOKUP(E966,xyWattage_Table,11,FALSE)),"")</f>
        <v/>
      </c>
      <c r="K966" s="538" t="str">
        <f>IFERROR(IF(AND(NC_Type="Building Area Method",Inventory!C963="N"),IF(ISERROR(INDEX('Usage Groups (&gt;120 MWh only)'!$N$8:$N$12,MATCH(C966,'Usage Groups (&gt;120 MWh only)'!$B$8:$B$12,0),1))=TRUE,SqFt/COUNTIFS(Inventory!$C$10:$C$1009,"N",$Q$13:$Q$1012,"&gt;=0"),INDEX('Usage Groups (&gt;120 MWh only)'!$N$8:$N$12,MATCH(C966,'Usage Groups (&gt;120 MWh only)'!$B$8:$B$12,0),1)/COUNTIF($C$13:$C$1012,C966)),IF(AND(NC_Type="Building Area Method",Inventory!C963="Y"),INDEX(xyNCEx,MATCH(I966,yNCExArea,0),3)/COUNTIF($I$13:$I$1012,I966),VLOOKUP(J966,xyWattage_Table,10,FALSE))),"")</f>
        <v/>
      </c>
      <c r="L966" s="539" t="str">
        <f t="shared" si="325"/>
        <v/>
      </c>
      <c r="M966" s="540">
        <f>IF(Inventory!N963="","",Inventory!N963)</f>
        <v>0</v>
      </c>
      <c r="N966" s="533" t="str">
        <f t="shared" si="326"/>
        <v/>
      </c>
      <c r="O966" s="534"/>
      <c r="P966" s="533" t="str">
        <f t="shared" si="327"/>
        <v/>
      </c>
      <c r="Q966" s="534" t="str">
        <f>IF(Inventory!L963="","",Inventory!L963)</f>
        <v/>
      </c>
      <c r="R966" s="535" t="str">
        <f t="shared" si="328"/>
        <v/>
      </c>
      <c r="S966" s="536" t="str">
        <f>IF(Inventory!O963="","",Inventory!O963)</f>
        <v/>
      </c>
      <c r="T966" s="541" t="str">
        <f>IFERROR(IF(C966="","",IF(INDEX(xyWattage_Table,MATCH(M966,'Fixture Identities'!$B$9:$B$997,0),2)="Exit Sign",8760,IF(VLOOKUP(C966,xySpace_Type_Details,8,FALSE)="TRM",INDEX('General Information'!$AF$17:$AG$28,11,MATCH(N966,'General Information'!$AF$16:$AG$16,0)),HLOOKUP(VLOOKUP(C966,xySpace_Type_Details,8,FALSE),'General Information'!$P$15:$AG$28,13,FALSE)))),"")</f>
        <v/>
      </c>
      <c r="U966" s="542" t="str">
        <f>IFERROR(IF(C966="","",IF(INDEX(xyWattage_Table,MATCH(M966,'Fixture Identities'!$B$9:$B$997,0),2)="Exit Sign",1,IF(VLOOKUP(C966,xySpace_Type_Details,8,FALSE)="TRM",INDEX('General Information'!$AF$17:$AG$28,12,MATCH(N966,'General Information'!$AF$16:$AG$16,0)),HLOOKUP(VLOOKUP(C966,xySpace_Type_Details,8,FALSE),'General Information'!$P$15:$AG$28,14,FALSE)))),"")</f>
        <v/>
      </c>
      <c r="V966" s="542" t="str">
        <f>IFERROR(VLOOKUP(INDEX(xySpace_Type_Details,MATCH($C966,'General Information'!$C$40:$C$60,0),12),Lookups!$L$8:$N$12,2,FALSE),"")</f>
        <v/>
      </c>
      <c r="W966" s="542" t="str">
        <f>IFERROR(VLOOKUP(INDEX(xySpace_Type_Details,MATCH($C966,'General Information'!$C$40:$C$60,0),12),Lookups!$L$8:$N$12,3,FALSE),"")</f>
        <v/>
      </c>
      <c r="Y966" s="542" t="str">
        <f>IFERROR(IF(C966="","",IF(INDEX(xyWattage_Table,MATCH(M966,'Fixture Identities'!$B$9:$B$997,0),2)="Exit Sign",0,IF(PRJ_Type="Retrofit",VLOOKUP(I966,xySVG_Factors,2,FALSE),IF(AND(PRJ_Type="New Construction",Inventory!C963="N"),VLOOKUP(VLOOKUP(Building_Type,xyLPD_BuildingArea,5,FALSE),xySVG_Factors_NC,3,FALSE),0)))),"")</f>
        <v/>
      </c>
      <c r="Z966" s="544" t="str">
        <f>IFERROR(IF(C966="","",IF(INDEX(xyWattage_Table,MATCH(M966,'Fixture Identities'!$B$9:$B$997,0),2)="Exit Sign",0,VLOOKUP(S966,xySVG_Factors,2,FALSE))),"")</f>
        <v/>
      </c>
      <c r="AA966" s="545" t="str">
        <f t="shared" si="329"/>
        <v/>
      </c>
      <c r="AB966" s="542" t="str">
        <f t="shared" si="330"/>
        <v/>
      </c>
      <c r="AC966" s="539" t="str">
        <f t="shared" si="331"/>
        <v/>
      </c>
      <c r="AD966" s="546" t="str">
        <f t="shared" si="332"/>
        <v/>
      </c>
      <c r="AE966" s="539" t="str">
        <f t="shared" si="333"/>
        <v/>
      </c>
      <c r="AF966" s="546" t="str">
        <f t="shared" si="334"/>
        <v/>
      </c>
      <c r="AG966" s="539" t="str">
        <f t="shared" si="335"/>
        <v/>
      </c>
      <c r="AH966" s="32">
        <f t="shared" si="337"/>
        <v>0</v>
      </c>
      <c r="AI966" s="32">
        <f t="shared" si="338"/>
        <v>0</v>
      </c>
      <c r="AJ966" s="32">
        <f t="shared" si="339"/>
        <v>0</v>
      </c>
      <c r="AK966" t="str">
        <f t="shared" si="340"/>
        <v/>
      </c>
      <c r="AL966" t="str">
        <f t="shared" si="341"/>
        <v/>
      </c>
      <c r="AM966" t="str">
        <f t="shared" si="342"/>
        <v/>
      </c>
      <c r="AO966" t="str">
        <f>IFERROR(VLOOKUP(M966,'Fixture Identities'!$B$9:$O$1045,14,FALSE),"")</f>
        <v/>
      </c>
      <c r="AP966" t="str">
        <f t="shared" si="336"/>
        <v/>
      </c>
    </row>
    <row r="967" spans="1:42">
      <c r="A967" s="71">
        <f t="shared" si="344"/>
        <v>0</v>
      </c>
      <c r="B967" s="513">
        <f t="shared" si="343"/>
        <v>955</v>
      </c>
      <c r="C967" s="530" t="str">
        <f>IF(Inventory!E964="","",Inventory!E964)</f>
        <v/>
      </c>
      <c r="D967" s="531">
        <f>IF(Inventory!D964="",0,Inventory!D964)</f>
        <v>0</v>
      </c>
      <c r="E967" s="532" t="str">
        <f>IF(Inventory!I964=0,"",Inventory!I964)</f>
        <v/>
      </c>
      <c r="F967" s="533" t="str">
        <f t="shared" ref="F967:F1008" si="345">IFERROR(VLOOKUP(E967,xyWattage_Table,10,FALSE),"")</f>
        <v/>
      </c>
      <c r="G967" s="534" t="str">
        <f>IF(Inventory!G964="","",Inventory!G964)</f>
        <v/>
      </c>
      <c r="H967" s="535" t="str">
        <f t="shared" ref="H967:H1008" si="346">IF(G967="","",G967*F967)</f>
        <v/>
      </c>
      <c r="I967" s="536" t="str">
        <f>IF(Inventory!J964="","",Inventory!J964)</f>
        <v/>
      </c>
      <c r="J967" s="537" t="str">
        <f>IFERROR(IF(PRJ_Type="New Construction",IF(Inventory!C964="N",INDEX(xyLPD_BuildingArea,MATCH(Building_Type,Lookups!$F$37:$F$75,0),4),INDEX(xyLPD_SpaceBySpace,MATCH(INDEX(xyNCEx,MATCH(I967,yNCExArea,0),2),ySpace_by_Space_Type,0),2)),VLOOKUP(E967,xyWattage_Table,11,FALSE)),"")</f>
        <v/>
      </c>
      <c r="K967" s="538" t="str">
        <f>IFERROR(IF(AND(NC_Type="Building Area Method",Inventory!C964="N"),IF(ISERROR(INDEX('Usage Groups (&gt;120 MWh only)'!$N$8:$N$12,MATCH(C967,'Usage Groups (&gt;120 MWh only)'!$B$8:$B$12,0),1))=TRUE,SqFt/COUNTIFS(Inventory!$C$10:$C$1009,"N",$Q$13:$Q$1012,"&gt;=0"),INDEX('Usage Groups (&gt;120 MWh only)'!$N$8:$N$12,MATCH(C967,'Usage Groups (&gt;120 MWh only)'!$B$8:$B$12,0),1)/COUNTIF($C$13:$C$1012,C967)),IF(AND(NC_Type="Building Area Method",Inventory!C964="Y"),INDEX(xyNCEx,MATCH(I967,yNCExArea,0),3)/COUNTIF($I$13:$I$1012,I967),VLOOKUP(J967,xyWattage_Table,10,FALSE))),"")</f>
        <v/>
      </c>
      <c r="L967" s="539" t="str">
        <f t="shared" ref="L967:L1008" si="347">IFERROR(IF(PRJ_Type="New Construction",J967*K967,IF(G967="","",K967*G967)),"")</f>
        <v/>
      </c>
      <c r="M967" s="540">
        <f>IF(Inventory!N964="","",Inventory!N964)</f>
        <v>0</v>
      </c>
      <c r="N967" s="533" t="str">
        <f t="shared" ref="N967:N1008" si="348">IFERROR(VLOOKUP(M967,xyWattage_Table,12,FALSE),"")</f>
        <v/>
      </c>
      <c r="O967" s="534"/>
      <c r="P967" s="533" t="str">
        <f t="shared" ref="P967:P1008" si="349">IFERROR(VLOOKUP(M967,xyWattage_Table,10,FALSE),"")</f>
        <v/>
      </c>
      <c r="Q967" s="534" t="str">
        <f>IF(Inventory!L964="","",Inventory!L964)</f>
        <v/>
      </c>
      <c r="R967" s="535" t="str">
        <f t="shared" ref="R967:R1008" si="350">IF(P967="","",Q967*P967)</f>
        <v/>
      </c>
      <c r="S967" s="536" t="str">
        <f>IF(Inventory!O964="","",Inventory!O964)</f>
        <v/>
      </c>
      <c r="T967" s="541" t="str">
        <f>IFERROR(IF(C967="","",IF(INDEX(xyWattage_Table,MATCH(M967,'Fixture Identities'!$B$9:$B$997,0),2)="Exit Sign",8760,IF(VLOOKUP(C967,xySpace_Type_Details,8,FALSE)="TRM",INDEX('General Information'!$AF$17:$AG$28,11,MATCH(N967,'General Information'!$AF$16:$AG$16,0)),HLOOKUP(VLOOKUP(C967,xySpace_Type_Details,8,FALSE),'General Information'!$P$15:$AG$28,13,FALSE)))),"")</f>
        <v/>
      </c>
      <c r="U967" s="542" t="str">
        <f>IFERROR(IF(C967="","",IF(INDEX(xyWattage_Table,MATCH(M967,'Fixture Identities'!$B$9:$B$997,0),2)="Exit Sign",1,IF(VLOOKUP(C967,xySpace_Type_Details,8,FALSE)="TRM",INDEX('General Information'!$AF$17:$AG$28,12,MATCH(N967,'General Information'!$AF$16:$AG$16,0)),HLOOKUP(VLOOKUP(C967,xySpace_Type_Details,8,FALSE),'General Information'!$P$15:$AG$28,14,FALSE)))),"")</f>
        <v/>
      </c>
      <c r="V967" s="542" t="str">
        <f>IFERROR(VLOOKUP(INDEX(xySpace_Type_Details,MATCH($C967,'General Information'!$C$40:$C$60,0),12),Lookups!$L$8:$N$12,2,FALSE),"")</f>
        <v/>
      </c>
      <c r="W967" s="542" t="str">
        <f>IFERROR(VLOOKUP(INDEX(xySpace_Type_Details,MATCH($C967,'General Information'!$C$40:$C$60,0),12),Lookups!$L$8:$N$12,3,FALSE),"")</f>
        <v/>
      </c>
      <c r="Y967" s="542" t="str">
        <f>IFERROR(IF(C967="","",IF(INDEX(xyWattage_Table,MATCH(M967,'Fixture Identities'!$B$9:$B$997,0),2)="Exit Sign",0,IF(PRJ_Type="Retrofit",VLOOKUP(I967,xySVG_Factors,2,FALSE),IF(AND(PRJ_Type="New Construction",Inventory!C964="N"),VLOOKUP(VLOOKUP(Building_Type,xyLPD_BuildingArea,5,FALSE),xySVG_Factors_NC,3,FALSE),0)))),"")</f>
        <v/>
      </c>
      <c r="Z967" s="544" t="str">
        <f>IFERROR(IF(C967="","",IF(INDEX(xyWattage_Table,MATCH(M967,'Fixture Identities'!$B$9:$B$997,0),2)="Exit Sign",0,VLOOKUP(S967,xySVG_Factors,2,FALSE))),"")</f>
        <v/>
      </c>
      <c r="AA967" s="545" t="str">
        <f t="shared" ref="AA967:AA1008" si="351">IFERROR((L967-R967)/1000,"")</f>
        <v/>
      </c>
      <c r="AB967" s="542" t="str">
        <f t="shared" ref="AB967:AB1008" si="352">IFERROR(AA967*U967*(1+W967)*(1-Y967),"")</f>
        <v/>
      </c>
      <c r="AC967" s="539" t="str">
        <f t="shared" ref="AC967:AC1008" si="353">IFERROR(AA967*T967*(1+V967)*(1-Y967),"")</f>
        <v/>
      </c>
      <c r="AD967" s="546" t="str">
        <f t="shared" ref="AD967:AD1008" si="354">IFERROR(R967/1000*(Z967-Y967)*(1+W967)*U967,"")</f>
        <v/>
      </c>
      <c r="AE967" s="539" t="str">
        <f t="shared" ref="AE967:AE1008" si="355">IFERROR(R967/1000*T967*(Z967-Y967)*(1+V967),"")</f>
        <v/>
      </c>
      <c r="AF967" s="546" t="str">
        <f t="shared" ref="AF967:AF1008" si="356">IFERROR(AB967+AD967,"")</f>
        <v/>
      </c>
      <c r="AG967" s="539" t="str">
        <f t="shared" ref="AG967:AG1008" si="357">IFERROR(AC967+AE967,"")</f>
        <v/>
      </c>
      <c r="AH967" s="32">
        <f t="shared" si="337"/>
        <v>0</v>
      </c>
      <c r="AI967" s="32">
        <f t="shared" si="338"/>
        <v>0</v>
      </c>
      <c r="AJ967" s="32">
        <f t="shared" si="339"/>
        <v>0</v>
      </c>
      <c r="AK967" t="str">
        <f t="shared" si="340"/>
        <v/>
      </c>
      <c r="AL967" t="str">
        <f t="shared" si="341"/>
        <v/>
      </c>
      <c r="AM967" t="str">
        <f t="shared" si="342"/>
        <v/>
      </c>
      <c r="AO967" t="str">
        <f>IFERROR(VLOOKUP(M967,'Fixture Identities'!$B$9:$O$1045,14,FALSE),"")</f>
        <v/>
      </c>
      <c r="AP967" t="str">
        <f t="shared" si="336"/>
        <v/>
      </c>
    </row>
    <row r="968" spans="1:42">
      <c r="A968" s="71">
        <f t="shared" si="344"/>
        <v>0</v>
      </c>
      <c r="B968" s="513">
        <f t="shared" si="343"/>
        <v>956</v>
      </c>
      <c r="C968" s="530" t="str">
        <f>IF(Inventory!E965="","",Inventory!E965)</f>
        <v/>
      </c>
      <c r="D968" s="531">
        <f>IF(Inventory!D965="",0,Inventory!D965)</f>
        <v>0</v>
      </c>
      <c r="E968" s="532" t="str">
        <f>IF(Inventory!I965=0,"",Inventory!I965)</f>
        <v/>
      </c>
      <c r="F968" s="533" t="str">
        <f t="shared" si="345"/>
        <v/>
      </c>
      <c r="G968" s="534" t="str">
        <f>IF(Inventory!G965="","",Inventory!G965)</f>
        <v/>
      </c>
      <c r="H968" s="535" t="str">
        <f t="shared" si="346"/>
        <v/>
      </c>
      <c r="I968" s="536" t="str">
        <f>IF(Inventory!J965="","",Inventory!J965)</f>
        <v/>
      </c>
      <c r="J968" s="537" t="str">
        <f>IFERROR(IF(PRJ_Type="New Construction",IF(Inventory!C965="N",INDEX(xyLPD_BuildingArea,MATCH(Building_Type,Lookups!$F$37:$F$75,0),4),INDEX(xyLPD_SpaceBySpace,MATCH(INDEX(xyNCEx,MATCH(I968,yNCExArea,0),2),ySpace_by_Space_Type,0),2)),VLOOKUP(E968,xyWattage_Table,11,FALSE)),"")</f>
        <v/>
      </c>
      <c r="K968" s="538" t="str">
        <f>IFERROR(IF(AND(NC_Type="Building Area Method",Inventory!C965="N"),IF(ISERROR(INDEX('Usage Groups (&gt;120 MWh only)'!$N$8:$N$12,MATCH(C968,'Usage Groups (&gt;120 MWh only)'!$B$8:$B$12,0),1))=TRUE,SqFt/COUNTIFS(Inventory!$C$10:$C$1009,"N",$Q$13:$Q$1012,"&gt;=0"),INDEX('Usage Groups (&gt;120 MWh only)'!$N$8:$N$12,MATCH(C968,'Usage Groups (&gt;120 MWh only)'!$B$8:$B$12,0),1)/COUNTIF($C$13:$C$1012,C968)),IF(AND(NC_Type="Building Area Method",Inventory!C965="Y"),INDEX(xyNCEx,MATCH(I968,yNCExArea,0),3)/COUNTIF($I$13:$I$1012,I968),VLOOKUP(J968,xyWattage_Table,10,FALSE))),"")</f>
        <v/>
      </c>
      <c r="L968" s="539" t="str">
        <f t="shared" si="347"/>
        <v/>
      </c>
      <c r="M968" s="540">
        <f>IF(Inventory!N965="","",Inventory!N965)</f>
        <v>0</v>
      </c>
      <c r="N968" s="533" t="str">
        <f t="shared" si="348"/>
        <v/>
      </c>
      <c r="O968" s="534"/>
      <c r="P968" s="533" t="str">
        <f t="shared" si="349"/>
        <v/>
      </c>
      <c r="Q968" s="534" t="str">
        <f>IF(Inventory!L965="","",Inventory!L965)</f>
        <v/>
      </c>
      <c r="R968" s="535" t="str">
        <f t="shared" si="350"/>
        <v/>
      </c>
      <c r="S968" s="536" t="str">
        <f>IF(Inventory!O965="","",Inventory!O965)</f>
        <v/>
      </c>
      <c r="T968" s="541" t="str">
        <f>IFERROR(IF(C968="","",IF(INDEX(xyWattage_Table,MATCH(M968,'Fixture Identities'!$B$9:$B$997,0),2)="Exit Sign",8760,IF(VLOOKUP(C968,xySpace_Type_Details,8,FALSE)="TRM",INDEX('General Information'!$AF$17:$AG$28,11,MATCH(N968,'General Information'!$AF$16:$AG$16,0)),HLOOKUP(VLOOKUP(C968,xySpace_Type_Details,8,FALSE),'General Information'!$P$15:$AG$28,13,FALSE)))),"")</f>
        <v/>
      </c>
      <c r="U968" s="542" t="str">
        <f>IFERROR(IF(C968="","",IF(INDEX(xyWattage_Table,MATCH(M968,'Fixture Identities'!$B$9:$B$997,0),2)="Exit Sign",1,IF(VLOOKUP(C968,xySpace_Type_Details,8,FALSE)="TRM",INDEX('General Information'!$AF$17:$AG$28,12,MATCH(N968,'General Information'!$AF$16:$AG$16,0)),HLOOKUP(VLOOKUP(C968,xySpace_Type_Details,8,FALSE),'General Information'!$P$15:$AG$28,14,FALSE)))),"")</f>
        <v/>
      </c>
      <c r="V968" s="542" t="str">
        <f>IFERROR(VLOOKUP(INDEX(xySpace_Type_Details,MATCH($C968,'General Information'!$C$40:$C$60,0),12),Lookups!$L$8:$N$12,2,FALSE),"")</f>
        <v/>
      </c>
      <c r="W968" s="542" t="str">
        <f>IFERROR(VLOOKUP(INDEX(xySpace_Type_Details,MATCH($C968,'General Information'!$C$40:$C$60,0),12),Lookups!$L$8:$N$12,3,FALSE),"")</f>
        <v/>
      </c>
      <c r="Y968" s="542" t="str">
        <f>IFERROR(IF(C968="","",IF(INDEX(xyWattage_Table,MATCH(M968,'Fixture Identities'!$B$9:$B$997,0),2)="Exit Sign",0,IF(PRJ_Type="Retrofit",VLOOKUP(I968,xySVG_Factors,2,FALSE),IF(AND(PRJ_Type="New Construction",Inventory!C965="N"),VLOOKUP(VLOOKUP(Building_Type,xyLPD_BuildingArea,5,FALSE),xySVG_Factors_NC,3,FALSE),0)))),"")</f>
        <v/>
      </c>
      <c r="Z968" s="544" t="str">
        <f>IFERROR(IF(C968="","",IF(INDEX(xyWattage_Table,MATCH(M968,'Fixture Identities'!$B$9:$B$997,0),2)="Exit Sign",0,VLOOKUP(S968,xySVG_Factors,2,FALSE))),"")</f>
        <v/>
      </c>
      <c r="AA968" s="545" t="str">
        <f t="shared" si="351"/>
        <v/>
      </c>
      <c r="AB968" s="542" t="str">
        <f t="shared" si="352"/>
        <v/>
      </c>
      <c r="AC968" s="539" t="str">
        <f t="shared" si="353"/>
        <v/>
      </c>
      <c r="AD968" s="546" t="str">
        <f t="shared" si="354"/>
        <v/>
      </c>
      <c r="AE968" s="539" t="str">
        <f t="shared" si="355"/>
        <v/>
      </c>
      <c r="AF968" s="546" t="str">
        <f t="shared" si="356"/>
        <v/>
      </c>
      <c r="AG968" s="539" t="str">
        <f t="shared" si="357"/>
        <v/>
      </c>
      <c r="AH968" s="32">
        <f t="shared" si="337"/>
        <v>0</v>
      </c>
      <c r="AI968" s="32">
        <f t="shared" si="338"/>
        <v>0</v>
      </c>
      <c r="AJ968" s="32">
        <f t="shared" si="339"/>
        <v>0</v>
      </c>
      <c r="AK968" t="str">
        <f t="shared" si="340"/>
        <v/>
      </c>
      <c r="AL968" t="str">
        <f t="shared" si="341"/>
        <v/>
      </c>
      <c r="AM968" t="str">
        <f t="shared" si="342"/>
        <v/>
      </c>
      <c r="AO968" t="str">
        <f>IFERROR(VLOOKUP(M968,'Fixture Identities'!$B$9:$O$1045,14,FALSE),"")</f>
        <v/>
      </c>
      <c r="AP968" t="str">
        <f t="shared" si="336"/>
        <v/>
      </c>
    </row>
    <row r="969" spans="1:42">
      <c r="A969" s="71">
        <f t="shared" si="344"/>
        <v>0</v>
      </c>
      <c r="B969" s="513">
        <f t="shared" si="343"/>
        <v>957</v>
      </c>
      <c r="C969" s="530" t="str">
        <f>IF(Inventory!E966="","",Inventory!E966)</f>
        <v/>
      </c>
      <c r="D969" s="531">
        <f>IF(Inventory!D966="",0,Inventory!D966)</f>
        <v>0</v>
      </c>
      <c r="E969" s="532" t="str">
        <f>IF(Inventory!I966=0,"",Inventory!I966)</f>
        <v/>
      </c>
      <c r="F969" s="533" t="str">
        <f t="shared" si="345"/>
        <v/>
      </c>
      <c r="G969" s="534" t="str">
        <f>IF(Inventory!G966="","",Inventory!G966)</f>
        <v/>
      </c>
      <c r="H969" s="535" t="str">
        <f t="shared" si="346"/>
        <v/>
      </c>
      <c r="I969" s="536" t="str">
        <f>IF(Inventory!J966="","",Inventory!J966)</f>
        <v/>
      </c>
      <c r="J969" s="537" t="str">
        <f>IFERROR(IF(PRJ_Type="New Construction",IF(Inventory!C966="N",INDEX(xyLPD_BuildingArea,MATCH(Building_Type,Lookups!$F$37:$F$75,0),4),INDEX(xyLPD_SpaceBySpace,MATCH(INDEX(xyNCEx,MATCH(I969,yNCExArea,0),2),ySpace_by_Space_Type,0),2)),VLOOKUP(E969,xyWattage_Table,11,FALSE)),"")</f>
        <v/>
      </c>
      <c r="K969" s="538" t="str">
        <f>IFERROR(IF(AND(NC_Type="Building Area Method",Inventory!C966="N"),IF(ISERROR(INDEX('Usage Groups (&gt;120 MWh only)'!$N$8:$N$12,MATCH(C969,'Usage Groups (&gt;120 MWh only)'!$B$8:$B$12,0),1))=TRUE,SqFt/COUNTIFS(Inventory!$C$10:$C$1009,"N",$Q$13:$Q$1012,"&gt;=0"),INDEX('Usage Groups (&gt;120 MWh only)'!$N$8:$N$12,MATCH(C969,'Usage Groups (&gt;120 MWh only)'!$B$8:$B$12,0),1)/COUNTIF($C$13:$C$1012,C969)),IF(AND(NC_Type="Building Area Method",Inventory!C966="Y"),INDEX(xyNCEx,MATCH(I969,yNCExArea,0),3)/COUNTIF($I$13:$I$1012,I969),VLOOKUP(J969,xyWattage_Table,10,FALSE))),"")</f>
        <v/>
      </c>
      <c r="L969" s="539" t="str">
        <f t="shared" si="347"/>
        <v/>
      </c>
      <c r="M969" s="540">
        <f>IF(Inventory!N966="","",Inventory!N966)</f>
        <v>0</v>
      </c>
      <c r="N969" s="533" t="str">
        <f t="shared" si="348"/>
        <v/>
      </c>
      <c r="O969" s="534"/>
      <c r="P969" s="533" t="str">
        <f t="shared" si="349"/>
        <v/>
      </c>
      <c r="Q969" s="534" t="str">
        <f>IF(Inventory!L966="","",Inventory!L966)</f>
        <v/>
      </c>
      <c r="R969" s="535" t="str">
        <f t="shared" si="350"/>
        <v/>
      </c>
      <c r="S969" s="536" t="str">
        <f>IF(Inventory!O966="","",Inventory!O966)</f>
        <v/>
      </c>
      <c r="T969" s="541" t="str">
        <f>IFERROR(IF(C969="","",IF(INDEX(xyWattage_Table,MATCH(M969,'Fixture Identities'!$B$9:$B$997,0),2)="Exit Sign",8760,IF(VLOOKUP(C969,xySpace_Type_Details,8,FALSE)="TRM",INDEX('General Information'!$AF$17:$AG$28,11,MATCH(N969,'General Information'!$AF$16:$AG$16,0)),HLOOKUP(VLOOKUP(C969,xySpace_Type_Details,8,FALSE),'General Information'!$P$15:$AG$28,13,FALSE)))),"")</f>
        <v/>
      </c>
      <c r="U969" s="542" t="str">
        <f>IFERROR(IF(C969="","",IF(INDEX(xyWattage_Table,MATCH(M969,'Fixture Identities'!$B$9:$B$997,0),2)="Exit Sign",1,IF(VLOOKUP(C969,xySpace_Type_Details,8,FALSE)="TRM",INDEX('General Information'!$AF$17:$AG$28,12,MATCH(N969,'General Information'!$AF$16:$AG$16,0)),HLOOKUP(VLOOKUP(C969,xySpace_Type_Details,8,FALSE),'General Information'!$P$15:$AG$28,14,FALSE)))),"")</f>
        <v/>
      </c>
      <c r="V969" s="542" t="str">
        <f>IFERROR(VLOOKUP(INDEX(xySpace_Type_Details,MATCH($C969,'General Information'!$C$40:$C$60,0),12),Lookups!$L$8:$N$12,2,FALSE),"")</f>
        <v/>
      </c>
      <c r="W969" s="542" t="str">
        <f>IFERROR(VLOOKUP(INDEX(xySpace_Type_Details,MATCH($C969,'General Information'!$C$40:$C$60,0),12),Lookups!$L$8:$N$12,3,FALSE),"")</f>
        <v/>
      </c>
      <c r="Y969" s="542" t="str">
        <f>IFERROR(IF(C969="","",IF(INDEX(xyWattage_Table,MATCH(M969,'Fixture Identities'!$B$9:$B$997,0),2)="Exit Sign",0,IF(PRJ_Type="Retrofit",VLOOKUP(I969,xySVG_Factors,2,FALSE),IF(AND(PRJ_Type="New Construction",Inventory!C966="N"),VLOOKUP(VLOOKUP(Building_Type,xyLPD_BuildingArea,5,FALSE),xySVG_Factors_NC,3,FALSE),0)))),"")</f>
        <v/>
      </c>
      <c r="Z969" s="544" t="str">
        <f>IFERROR(IF(C969="","",IF(INDEX(xyWattage_Table,MATCH(M969,'Fixture Identities'!$B$9:$B$997,0),2)="Exit Sign",0,VLOOKUP(S969,xySVG_Factors,2,FALSE))),"")</f>
        <v/>
      </c>
      <c r="AA969" s="545" t="str">
        <f t="shared" si="351"/>
        <v/>
      </c>
      <c r="AB969" s="542" t="str">
        <f t="shared" si="352"/>
        <v/>
      </c>
      <c r="AC969" s="539" t="str">
        <f t="shared" si="353"/>
        <v/>
      </c>
      <c r="AD969" s="546" t="str">
        <f t="shared" si="354"/>
        <v/>
      </c>
      <c r="AE969" s="539" t="str">
        <f t="shared" si="355"/>
        <v/>
      </c>
      <c r="AF969" s="546" t="str">
        <f t="shared" si="356"/>
        <v/>
      </c>
      <c r="AG969" s="539" t="str">
        <f t="shared" si="357"/>
        <v/>
      </c>
      <c r="AH969" s="32">
        <f t="shared" si="337"/>
        <v>0</v>
      </c>
      <c r="AI969" s="32">
        <f t="shared" si="338"/>
        <v>0</v>
      </c>
      <c r="AJ969" s="32">
        <f t="shared" si="339"/>
        <v>0</v>
      </c>
      <c r="AK969" t="str">
        <f t="shared" si="340"/>
        <v/>
      </c>
      <c r="AL969" t="str">
        <f t="shared" si="341"/>
        <v/>
      </c>
      <c r="AM969" t="str">
        <f t="shared" si="342"/>
        <v/>
      </c>
      <c r="AO969" t="str">
        <f>IFERROR(VLOOKUP(M969,'Fixture Identities'!$B$9:$O$1045,14,FALSE),"")</f>
        <v/>
      </c>
      <c r="AP969" t="str">
        <f t="shared" si="336"/>
        <v/>
      </c>
    </row>
    <row r="970" spans="1:42">
      <c r="A970" s="71">
        <f t="shared" si="344"/>
        <v>0</v>
      </c>
      <c r="B970" s="513">
        <f t="shared" si="343"/>
        <v>958</v>
      </c>
      <c r="C970" s="530" t="str">
        <f>IF(Inventory!E967="","",Inventory!E967)</f>
        <v/>
      </c>
      <c r="D970" s="531">
        <f>IF(Inventory!D967="",0,Inventory!D967)</f>
        <v>0</v>
      </c>
      <c r="E970" s="532" t="str">
        <f>IF(Inventory!I967=0,"",Inventory!I967)</f>
        <v/>
      </c>
      <c r="F970" s="533" t="str">
        <f t="shared" si="345"/>
        <v/>
      </c>
      <c r="G970" s="534" t="str">
        <f>IF(Inventory!G967="","",Inventory!G967)</f>
        <v/>
      </c>
      <c r="H970" s="535" t="str">
        <f t="shared" si="346"/>
        <v/>
      </c>
      <c r="I970" s="536" t="str">
        <f>IF(Inventory!J967="","",Inventory!J967)</f>
        <v/>
      </c>
      <c r="J970" s="537" t="str">
        <f>IFERROR(IF(PRJ_Type="New Construction",IF(Inventory!C967="N",INDEX(xyLPD_BuildingArea,MATCH(Building_Type,Lookups!$F$37:$F$75,0),4),INDEX(xyLPD_SpaceBySpace,MATCH(INDEX(xyNCEx,MATCH(I970,yNCExArea,0),2),ySpace_by_Space_Type,0),2)),VLOOKUP(E970,xyWattage_Table,11,FALSE)),"")</f>
        <v/>
      </c>
      <c r="K970" s="538" t="str">
        <f>IFERROR(IF(AND(NC_Type="Building Area Method",Inventory!C967="N"),IF(ISERROR(INDEX('Usage Groups (&gt;120 MWh only)'!$N$8:$N$12,MATCH(C970,'Usage Groups (&gt;120 MWh only)'!$B$8:$B$12,0),1))=TRUE,SqFt/COUNTIFS(Inventory!$C$10:$C$1009,"N",$Q$13:$Q$1012,"&gt;=0"),INDEX('Usage Groups (&gt;120 MWh only)'!$N$8:$N$12,MATCH(C970,'Usage Groups (&gt;120 MWh only)'!$B$8:$B$12,0),1)/COUNTIF($C$13:$C$1012,C970)),IF(AND(NC_Type="Building Area Method",Inventory!C967="Y"),INDEX(xyNCEx,MATCH(I970,yNCExArea,0),3)/COUNTIF($I$13:$I$1012,I970),VLOOKUP(J970,xyWattage_Table,10,FALSE))),"")</f>
        <v/>
      </c>
      <c r="L970" s="539" t="str">
        <f t="shared" si="347"/>
        <v/>
      </c>
      <c r="M970" s="540">
        <f>IF(Inventory!N967="","",Inventory!N967)</f>
        <v>0</v>
      </c>
      <c r="N970" s="533" t="str">
        <f t="shared" si="348"/>
        <v/>
      </c>
      <c r="O970" s="534"/>
      <c r="P970" s="533" t="str">
        <f t="shared" si="349"/>
        <v/>
      </c>
      <c r="Q970" s="534" t="str">
        <f>IF(Inventory!L967="","",Inventory!L967)</f>
        <v/>
      </c>
      <c r="R970" s="535" t="str">
        <f t="shared" si="350"/>
        <v/>
      </c>
      <c r="S970" s="536" t="str">
        <f>IF(Inventory!O967="","",Inventory!O967)</f>
        <v/>
      </c>
      <c r="T970" s="541" t="str">
        <f>IFERROR(IF(C970="","",IF(INDEX(xyWattage_Table,MATCH(M970,'Fixture Identities'!$B$9:$B$997,0),2)="Exit Sign",8760,IF(VLOOKUP(C970,xySpace_Type_Details,8,FALSE)="TRM",INDEX('General Information'!$AF$17:$AG$28,11,MATCH(N970,'General Information'!$AF$16:$AG$16,0)),HLOOKUP(VLOOKUP(C970,xySpace_Type_Details,8,FALSE),'General Information'!$P$15:$AG$28,13,FALSE)))),"")</f>
        <v/>
      </c>
      <c r="U970" s="542" t="str">
        <f>IFERROR(IF(C970="","",IF(INDEX(xyWattage_Table,MATCH(M970,'Fixture Identities'!$B$9:$B$997,0),2)="Exit Sign",1,IF(VLOOKUP(C970,xySpace_Type_Details,8,FALSE)="TRM",INDEX('General Information'!$AF$17:$AG$28,12,MATCH(N970,'General Information'!$AF$16:$AG$16,0)),HLOOKUP(VLOOKUP(C970,xySpace_Type_Details,8,FALSE),'General Information'!$P$15:$AG$28,14,FALSE)))),"")</f>
        <v/>
      </c>
      <c r="V970" s="542" t="str">
        <f>IFERROR(VLOOKUP(INDEX(xySpace_Type_Details,MATCH($C970,'General Information'!$C$40:$C$60,0),12),Lookups!$L$8:$N$12,2,FALSE),"")</f>
        <v/>
      </c>
      <c r="W970" s="542" t="str">
        <f>IFERROR(VLOOKUP(INDEX(xySpace_Type_Details,MATCH($C970,'General Information'!$C$40:$C$60,0),12),Lookups!$L$8:$N$12,3,FALSE),"")</f>
        <v/>
      </c>
      <c r="Y970" s="542" t="str">
        <f>IFERROR(IF(C970="","",IF(INDEX(xyWattage_Table,MATCH(M970,'Fixture Identities'!$B$9:$B$997,0),2)="Exit Sign",0,IF(PRJ_Type="Retrofit",VLOOKUP(I970,xySVG_Factors,2,FALSE),IF(AND(PRJ_Type="New Construction",Inventory!C967="N"),VLOOKUP(VLOOKUP(Building_Type,xyLPD_BuildingArea,5,FALSE),xySVG_Factors_NC,3,FALSE),0)))),"")</f>
        <v/>
      </c>
      <c r="Z970" s="544" t="str">
        <f>IFERROR(IF(C970="","",IF(INDEX(xyWattage_Table,MATCH(M970,'Fixture Identities'!$B$9:$B$997,0),2)="Exit Sign",0,VLOOKUP(S970,xySVG_Factors,2,FALSE))),"")</f>
        <v/>
      </c>
      <c r="AA970" s="545" t="str">
        <f t="shared" si="351"/>
        <v/>
      </c>
      <c r="AB970" s="542" t="str">
        <f t="shared" si="352"/>
        <v/>
      </c>
      <c r="AC970" s="539" t="str">
        <f t="shared" si="353"/>
        <v/>
      </c>
      <c r="AD970" s="546" t="str">
        <f t="shared" si="354"/>
        <v/>
      </c>
      <c r="AE970" s="539" t="str">
        <f t="shared" si="355"/>
        <v/>
      </c>
      <c r="AF970" s="546" t="str">
        <f t="shared" si="356"/>
        <v/>
      </c>
      <c r="AG970" s="539" t="str">
        <f t="shared" si="357"/>
        <v/>
      </c>
      <c r="AH970" s="32">
        <f t="shared" si="337"/>
        <v>0</v>
      </c>
      <c r="AI970" s="32">
        <f t="shared" si="338"/>
        <v>0</v>
      </c>
      <c r="AJ970" s="32">
        <f t="shared" si="339"/>
        <v>0</v>
      </c>
      <c r="AK970" t="str">
        <f t="shared" si="340"/>
        <v/>
      </c>
      <c r="AL970" t="str">
        <f t="shared" si="341"/>
        <v/>
      </c>
      <c r="AM970" t="str">
        <f t="shared" si="342"/>
        <v/>
      </c>
      <c r="AO970" t="str">
        <f>IFERROR(VLOOKUP(M970,'Fixture Identities'!$B$9:$O$1045,14,FALSE),"")</f>
        <v/>
      </c>
      <c r="AP970" t="str">
        <f t="shared" si="336"/>
        <v/>
      </c>
    </row>
    <row r="971" spans="1:42">
      <c r="A971" s="71">
        <f t="shared" si="344"/>
        <v>0</v>
      </c>
      <c r="B971" s="513">
        <f t="shared" si="343"/>
        <v>959</v>
      </c>
      <c r="C971" s="530" t="str">
        <f>IF(Inventory!E968="","",Inventory!E968)</f>
        <v/>
      </c>
      <c r="D971" s="531">
        <f>IF(Inventory!D968="",0,Inventory!D968)</f>
        <v>0</v>
      </c>
      <c r="E971" s="532" t="str">
        <f>IF(Inventory!I968=0,"",Inventory!I968)</f>
        <v/>
      </c>
      <c r="F971" s="533" t="str">
        <f t="shared" si="345"/>
        <v/>
      </c>
      <c r="G971" s="534" t="str">
        <f>IF(Inventory!G968="","",Inventory!G968)</f>
        <v/>
      </c>
      <c r="H971" s="535" t="str">
        <f t="shared" si="346"/>
        <v/>
      </c>
      <c r="I971" s="536" t="str">
        <f>IF(Inventory!J968="","",Inventory!J968)</f>
        <v/>
      </c>
      <c r="J971" s="537" t="str">
        <f>IFERROR(IF(PRJ_Type="New Construction",IF(Inventory!C968="N",INDEX(xyLPD_BuildingArea,MATCH(Building_Type,Lookups!$F$37:$F$75,0),4),INDEX(xyLPD_SpaceBySpace,MATCH(INDEX(xyNCEx,MATCH(I971,yNCExArea,0),2),ySpace_by_Space_Type,0),2)),VLOOKUP(E971,xyWattage_Table,11,FALSE)),"")</f>
        <v/>
      </c>
      <c r="K971" s="538" t="str">
        <f>IFERROR(IF(AND(NC_Type="Building Area Method",Inventory!C968="N"),IF(ISERROR(INDEX('Usage Groups (&gt;120 MWh only)'!$N$8:$N$12,MATCH(C971,'Usage Groups (&gt;120 MWh only)'!$B$8:$B$12,0),1))=TRUE,SqFt/COUNTIFS(Inventory!$C$10:$C$1009,"N",$Q$13:$Q$1012,"&gt;=0"),INDEX('Usage Groups (&gt;120 MWh only)'!$N$8:$N$12,MATCH(C971,'Usage Groups (&gt;120 MWh only)'!$B$8:$B$12,0),1)/COUNTIF($C$13:$C$1012,C971)),IF(AND(NC_Type="Building Area Method",Inventory!C968="Y"),INDEX(xyNCEx,MATCH(I971,yNCExArea,0),3)/COUNTIF($I$13:$I$1012,I971),VLOOKUP(J971,xyWattage_Table,10,FALSE))),"")</f>
        <v/>
      </c>
      <c r="L971" s="539" t="str">
        <f t="shared" si="347"/>
        <v/>
      </c>
      <c r="M971" s="540">
        <f>IF(Inventory!N968="","",Inventory!N968)</f>
        <v>0</v>
      </c>
      <c r="N971" s="533" t="str">
        <f t="shared" si="348"/>
        <v/>
      </c>
      <c r="O971" s="534"/>
      <c r="P971" s="533" t="str">
        <f t="shared" si="349"/>
        <v/>
      </c>
      <c r="Q971" s="534" t="str">
        <f>IF(Inventory!L968="","",Inventory!L968)</f>
        <v/>
      </c>
      <c r="R971" s="535" t="str">
        <f t="shared" si="350"/>
        <v/>
      </c>
      <c r="S971" s="536" t="str">
        <f>IF(Inventory!O968="","",Inventory!O968)</f>
        <v/>
      </c>
      <c r="T971" s="541" t="str">
        <f>IFERROR(IF(C971="","",IF(INDEX(xyWattage_Table,MATCH(M971,'Fixture Identities'!$B$9:$B$997,0),2)="Exit Sign",8760,IF(VLOOKUP(C971,xySpace_Type_Details,8,FALSE)="TRM",INDEX('General Information'!$AF$17:$AG$28,11,MATCH(N971,'General Information'!$AF$16:$AG$16,0)),HLOOKUP(VLOOKUP(C971,xySpace_Type_Details,8,FALSE),'General Information'!$P$15:$AG$28,13,FALSE)))),"")</f>
        <v/>
      </c>
      <c r="U971" s="542" t="str">
        <f>IFERROR(IF(C971="","",IF(INDEX(xyWattage_Table,MATCH(M971,'Fixture Identities'!$B$9:$B$997,0),2)="Exit Sign",1,IF(VLOOKUP(C971,xySpace_Type_Details,8,FALSE)="TRM",INDEX('General Information'!$AF$17:$AG$28,12,MATCH(N971,'General Information'!$AF$16:$AG$16,0)),HLOOKUP(VLOOKUP(C971,xySpace_Type_Details,8,FALSE),'General Information'!$P$15:$AG$28,14,FALSE)))),"")</f>
        <v/>
      </c>
      <c r="V971" s="542" t="str">
        <f>IFERROR(VLOOKUP(INDEX(xySpace_Type_Details,MATCH($C971,'General Information'!$C$40:$C$60,0),12),Lookups!$L$8:$N$12,2,FALSE),"")</f>
        <v/>
      </c>
      <c r="W971" s="542" t="str">
        <f>IFERROR(VLOOKUP(INDEX(xySpace_Type_Details,MATCH($C971,'General Information'!$C$40:$C$60,0),12),Lookups!$L$8:$N$12,3,FALSE),"")</f>
        <v/>
      </c>
      <c r="Y971" s="542" t="str">
        <f>IFERROR(IF(C971="","",IF(INDEX(xyWattage_Table,MATCH(M971,'Fixture Identities'!$B$9:$B$997,0),2)="Exit Sign",0,IF(PRJ_Type="Retrofit",VLOOKUP(I971,xySVG_Factors,2,FALSE),IF(AND(PRJ_Type="New Construction",Inventory!C968="N"),VLOOKUP(VLOOKUP(Building_Type,xyLPD_BuildingArea,5,FALSE),xySVG_Factors_NC,3,FALSE),0)))),"")</f>
        <v/>
      </c>
      <c r="Z971" s="544" t="str">
        <f>IFERROR(IF(C971="","",IF(INDEX(xyWattage_Table,MATCH(M971,'Fixture Identities'!$B$9:$B$997,0),2)="Exit Sign",0,VLOOKUP(S971,xySVG_Factors,2,FALSE))),"")</f>
        <v/>
      </c>
      <c r="AA971" s="545" t="str">
        <f t="shared" si="351"/>
        <v/>
      </c>
      <c r="AB971" s="542" t="str">
        <f t="shared" si="352"/>
        <v/>
      </c>
      <c r="AC971" s="539" t="str">
        <f t="shared" si="353"/>
        <v/>
      </c>
      <c r="AD971" s="546" t="str">
        <f t="shared" si="354"/>
        <v/>
      </c>
      <c r="AE971" s="539" t="str">
        <f t="shared" si="355"/>
        <v/>
      </c>
      <c r="AF971" s="546" t="str">
        <f t="shared" si="356"/>
        <v/>
      </c>
      <c r="AG971" s="539" t="str">
        <f t="shared" si="357"/>
        <v/>
      </c>
      <c r="AH971" s="32">
        <f t="shared" si="337"/>
        <v>0</v>
      </c>
      <c r="AI971" s="32">
        <f t="shared" si="338"/>
        <v>0</v>
      </c>
      <c r="AJ971" s="32">
        <f t="shared" si="339"/>
        <v>0</v>
      </c>
      <c r="AK971" t="str">
        <f t="shared" si="340"/>
        <v/>
      </c>
      <c r="AL971" t="str">
        <f t="shared" si="341"/>
        <v/>
      </c>
      <c r="AM971" t="str">
        <f t="shared" si="342"/>
        <v/>
      </c>
      <c r="AO971" t="str">
        <f>IFERROR(VLOOKUP(M971,'Fixture Identities'!$B$9:$O$1045,14,FALSE),"")</f>
        <v/>
      </c>
      <c r="AP971" t="str">
        <f t="shared" si="336"/>
        <v/>
      </c>
    </row>
    <row r="972" spans="1:42">
      <c r="A972" s="71">
        <f t="shared" si="344"/>
        <v>0</v>
      </c>
      <c r="B972" s="513">
        <f t="shared" si="343"/>
        <v>960</v>
      </c>
      <c r="C972" s="530" t="str">
        <f>IF(Inventory!E969="","",Inventory!E969)</f>
        <v/>
      </c>
      <c r="D972" s="531">
        <f>IF(Inventory!D969="",0,Inventory!D969)</f>
        <v>0</v>
      </c>
      <c r="E972" s="532" t="str">
        <f>IF(Inventory!I969=0,"",Inventory!I969)</f>
        <v/>
      </c>
      <c r="F972" s="533" t="str">
        <f t="shared" si="345"/>
        <v/>
      </c>
      <c r="G972" s="534" t="str">
        <f>IF(Inventory!G969="","",Inventory!G969)</f>
        <v/>
      </c>
      <c r="H972" s="535" t="str">
        <f t="shared" si="346"/>
        <v/>
      </c>
      <c r="I972" s="536" t="str">
        <f>IF(Inventory!J969="","",Inventory!J969)</f>
        <v/>
      </c>
      <c r="J972" s="537" t="str">
        <f>IFERROR(IF(PRJ_Type="New Construction",IF(Inventory!C969="N",INDEX(xyLPD_BuildingArea,MATCH(Building_Type,Lookups!$F$37:$F$75,0),4),INDEX(xyLPD_SpaceBySpace,MATCH(INDEX(xyNCEx,MATCH(I972,yNCExArea,0),2),ySpace_by_Space_Type,0),2)),VLOOKUP(E972,xyWattage_Table,11,FALSE)),"")</f>
        <v/>
      </c>
      <c r="K972" s="538" t="str">
        <f>IFERROR(IF(AND(NC_Type="Building Area Method",Inventory!C969="N"),IF(ISERROR(INDEX('Usage Groups (&gt;120 MWh only)'!$N$8:$N$12,MATCH(C972,'Usage Groups (&gt;120 MWh only)'!$B$8:$B$12,0),1))=TRUE,SqFt/COUNTIFS(Inventory!$C$10:$C$1009,"N",$Q$13:$Q$1012,"&gt;=0"),INDEX('Usage Groups (&gt;120 MWh only)'!$N$8:$N$12,MATCH(C972,'Usage Groups (&gt;120 MWh only)'!$B$8:$B$12,0),1)/COUNTIF($C$13:$C$1012,C972)),IF(AND(NC_Type="Building Area Method",Inventory!C969="Y"),INDEX(xyNCEx,MATCH(I972,yNCExArea,0),3)/COUNTIF($I$13:$I$1012,I972),VLOOKUP(J972,xyWattage_Table,10,FALSE))),"")</f>
        <v/>
      </c>
      <c r="L972" s="539" t="str">
        <f t="shared" si="347"/>
        <v/>
      </c>
      <c r="M972" s="540">
        <f>IF(Inventory!N969="","",Inventory!N969)</f>
        <v>0</v>
      </c>
      <c r="N972" s="533" t="str">
        <f t="shared" si="348"/>
        <v/>
      </c>
      <c r="O972" s="534"/>
      <c r="P972" s="533" t="str">
        <f t="shared" si="349"/>
        <v/>
      </c>
      <c r="Q972" s="534" t="str">
        <f>IF(Inventory!L969="","",Inventory!L969)</f>
        <v/>
      </c>
      <c r="R972" s="535" t="str">
        <f t="shared" si="350"/>
        <v/>
      </c>
      <c r="S972" s="536" t="str">
        <f>IF(Inventory!O969="","",Inventory!O969)</f>
        <v/>
      </c>
      <c r="T972" s="541" t="str">
        <f>IFERROR(IF(C972="","",IF(INDEX(xyWattage_Table,MATCH(M972,'Fixture Identities'!$B$9:$B$997,0),2)="Exit Sign",8760,IF(VLOOKUP(C972,xySpace_Type_Details,8,FALSE)="TRM",INDEX('General Information'!$AF$17:$AG$28,11,MATCH(N972,'General Information'!$AF$16:$AG$16,0)),HLOOKUP(VLOOKUP(C972,xySpace_Type_Details,8,FALSE),'General Information'!$P$15:$AG$28,13,FALSE)))),"")</f>
        <v/>
      </c>
      <c r="U972" s="542" t="str">
        <f>IFERROR(IF(C972="","",IF(INDEX(xyWattage_Table,MATCH(M972,'Fixture Identities'!$B$9:$B$997,0),2)="Exit Sign",1,IF(VLOOKUP(C972,xySpace_Type_Details,8,FALSE)="TRM",INDEX('General Information'!$AF$17:$AG$28,12,MATCH(N972,'General Information'!$AF$16:$AG$16,0)),HLOOKUP(VLOOKUP(C972,xySpace_Type_Details,8,FALSE),'General Information'!$P$15:$AG$28,14,FALSE)))),"")</f>
        <v/>
      </c>
      <c r="V972" s="542" t="str">
        <f>IFERROR(VLOOKUP(INDEX(xySpace_Type_Details,MATCH($C972,'General Information'!$C$40:$C$60,0),12),Lookups!$L$8:$N$12,2,FALSE),"")</f>
        <v/>
      </c>
      <c r="W972" s="542" t="str">
        <f>IFERROR(VLOOKUP(INDEX(xySpace_Type_Details,MATCH($C972,'General Information'!$C$40:$C$60,0),12),Lookups!$L$8:$N$12,3,FALSE),"")</f>
        <v/>
      </c>
      <c r="Y972" s="542" t="str">
        <f>IFERROR(IF(C972="","",IF(INDEX(xyWattage_Table,MATCH(M972,'Fixture Identities'!$B$9:$B$997,0),2)="Exit Sign",0,IF(PRJ_Type="Retrofit",VLOOKUP(I972,xySVG_Factors,2,FALSE),IF(AND(PRJ_Type="New Construction",Inventory!C969="N"),VLOOKUP(VLOOKUP(Building_Type,xyLPD_BuildingArea,5,FALSE),xySVG_Factors_NC,3,FALSE),0)))),"")</f>
        <v/>
      </c>
      <c r="Z972" s="544" t="str">
        <f>IFERROR(IF(C972="","",IF(INDEX(xyWattage_Table,MATCH(M972,'Fixture Identities'!$B$9:$B$997,0),2)="Exit Sign",0,VLOOKUP(S972,xySVG_Factors,2,FALSE))),"")</f>
        <v/>
      </c>
      <c r="AA972" s="545" t="str">
        <f t="shared" si="351"/>
        <v/>
      </c>
      <c r="AB972" s="542" t="str">
        <f t="shared" si="352"/>
        <v/>
      </c>
      <c r="AC972" s="539" t="str">
        <f t="shared" si="353"/>
        <v/>
      </c>
      <c r="AD972" s="546" t="str">
        <f t="shared" si="354"/>
        <v/>
      </c>
      <c r="AE972" s="539" t="str">
        <f t="shared" si="355"/>
        <v/>
      </c>
      <c r="AF972" s="546" t="str">
        <f t="shared" si="356"/>
        <v/>
      </c>
      <c r="AG972" s="539" t="str">
        <f t="shared" si="357"/>
        <v/>
      </c>
      <c r="AH972" s="32">
        <f t="shared" si="337"/>
        <v>0</v>
      </c>
      <c r="AI972" s="32">
        <f t="shared" si="338"/>
        <v>0</v>
      </c>
      <c r="AJ972" s="32">
        <f t="shared" si="339"/>
        <v>0</v>
      </c>
      <c r="AK972" t="str">
        <f t="shared" si="340"/>
        <v/>
      </c>
      <c r="AL972" t="str">
        <f t="shared" si="341"/>
        <v/>
      </c>
      <c r="AM972" t="str">
        <f t="shared" si="342"/>
        <v/>
      </c>
      <c r="AO972" t="str">
        <f>IFERROR(VLOOKUP(M972,'Fixture Identities'!$B$9:$O$1045,14,FALSE),"")</f>
        <v/>
      </c>
      <c r="AP972" t="str">
        <f t="shared" si="336"/>
        <v/>
      </c>
    </row>
    <row r="973" spans="1:42">
      <c r="A973" s="71">
        <f t="shared" si="344"/>
        <v>0</v>
      </c>
      <c r="B973" s="513">
        <f t="shared" si="343"/>
        <v>961</v>
      </c>
      <c r="C973" s="530" t="str">
        <f>IF(Inventory!E970="","",Inventory!E970)</f>
        <v/>
      </c>
      <c r="D973" s="531">
        <f>IF(Inventory!D970="",0,Inventory!D970)</f>
        <v>0</v>
      </c>
      <c r="E973" s="532" t="str">
        <f>IF(Inventory!I970=0,"",Inventory!I970)</f>
        <v/>
      </c>
      <c r="F973" s="533" t="str">
        <f t="shared" si="345"/>
        <v/>
      </c>
      <c r="G973" s="534" t="str">
        <f>IF(Inventory!G970="","",Inventory!G970)</f>
        <v/>
      </c>
      <c r="H973" s="535" t="str">
        <f t="shared" si="346"/>
        <v/>
      </c>
      <c r="I973" s="536" t="str">
        <f>IF(Inventory!J970="","",Inventory!J970)</f>
        <v/>
      </c>
      <c r="J973" s="537" t="str">
        <f>IFERROR(IF(PRJ_Type="New Construction",IF(Inventory!C970="N",INDEX(xyLPD_BuildingArea,MATCH(Building_Type,Lookups!$F$37:$F$75,0),4),INDEX(xyLPD_SpaceBySpace,MATCH(INDEX(xyNCEx,MATCH(I973,yNCExArea,0),2),ySpace_by_Space_Type,0),2)),VLOOKUP(E973,xyWattage_Table,11,FALSE)),"")</f>
        <v/>
      </c>
      <c r="K973" s="538" t="str">
        <f>IFERROR(IF(AND(NC_Type="Building Area Method",Inventory!C970="N"),IF(ISERROR(INDEX('Usage Groups (&gt;120 MWh only)'!$N$8:$N$12,MATCH(C973,'Usage Groups (&gt;120 MWh only)'!$B$8:$B$12,0),1))=TRUE,SqFt/COUNTIFS(Inventory!$C$10:$C$1009,"N",$Q$13:$Q$1012,"&gt;=0"),INDEX('Usage Groups (&gt;120 MWh only)'!$N$8:$N$12,MATCH(C973,'Usage Groups (&gt;120 MWh only)'!$B$8:$B$12,0),1)/COUNTIF($C$13:$C$1012,C973)),IF(AND(NC_Type="Building Area Method",Inventory!C970="Y"),INDEX(xyNCEx,MATCH(I973,yNCExArea,0),3)/COUNTIF($I$13:$I$1012,I973),VLOOKUP(J973,xyWattage_Table,10,FALSE))),"")</f>
        <v/>
      </c>
      <c r="L973" s="539" t="str">
        <f t="shared" si="347"/>
        <v/>
      </c>
      <c r="M973" s="540">
        <f>IF(Inventory!N970="","",Inventory!N970)</f>
        <v>0</v>
      </c>
      <c r="N973" s="533" t="str">
        <f t="shared" si="348"/>
        <v/>
      </c>
      <c r="O973" s="534"/>
      <c r="P973" s="533" t="str">
        <f t="shared" si="349"/>
        <v/>
      </c>
      <c r="Q973" s="534" t="str">
        <f>IF(Inventory!L970="","",Inventory!L970)</f>
        <v/>
      </c>
      <c r="R973" s="535" t="str">
        <f t="shared" si="350"/>
        <v/>
      </c>
      <c r="S973" s="536" t="str">
        <f>IF(Inventory!O970="","",Inventory!O970)</f>
        <v/>
      </c>
      <c r="T973" s="541" t="str">
        <f>IFERROR(IF(C973="","",IF(INDEX(xyWattage_Table,MATCH(M973,'Fixture Identities'!$B$9:$B$997,0),2)="Exit Sign",8760,IF(VLOOKUP(C973,xySpace_Type_Details,8,FALSE)="TRM",INDEX('General Information'!$AF$17:$AG$28,11,MATCH(N973,'General Information'!$AF$16:$AG$16,0)),HLOOKUP(VLOOKUP(C973,xySpace_Type_Details,8,FALSE),'General Information'!$P$15:$AG$28,13,FALSE)))),"")</f>
        <v/>
      </c>
      <c r="U973" s="542" t="str">
        <f>IFERROR(IF(C973="","",IF(INDEX(xyWattage_Table,MATCH(M973,'Fixture Identities'!$B$9:$B$997,0),2)="Exit Sign",1,IF(VLOOKUP(C973,xySpace_Type_Details,8,FALSE)="TRM",INDEX('General Information'!$AF$17:$AG$28,12,MATCH(N973,'General Information'!$AF$16:$AG$16,0)),HLOOKUP(VLOOKUP(C973,xySpace_Type_Details,8,FALSE),'General Information'!$P$15:$AG$28,14,FALSE)))),"")</f>
        <v/>
      </c>
      <c r="V973" s="542" t="str">
        <f>IFERROR(VLOOKUP(INDEX(xySpace_Type_Details,MATCH($C973,'General Information'!$C$40:$C$60,0),12),Lookups!$L$8:$N$12,2,FALSE),"")</f>
        <v/>
      </c>
      <c r="W973" s="542" t="str">
        <f>IFERROR(VLOOKUP(INDEX(xySpace_Type_Details,MATCH($C973,'General Information'!$C$40:$C$60,0),12),Lookups!$L$8:$N$12,3,FALSE),"")</f>
        <v/>
      </c>
      <c r="Y973" s="542" t="str">
        <f>IFERROR(IF(C973="","",IF(INDEX(xyWattage_Table,MATCH(M973,'Fixture Identities'!$B$9:$B$997,0),2)="Exit Sign",0,IF(PRJ_Type="Retrofit",VLOOKUP(I973,xySVG_Factors,2,FALSE),IF(AND(PRJ_Type="New Construction",Inventory!C970="N"),VLOOKUP(VLOOKUP(Building_Type,xyLPD_BuildingArea,5,FALSE),xySVG_Factors_NC,3,FALSE),0)))),"")</f>
        <v/>
      </c>
      <c r="Z973" s="544" t="str">
        <f>IFERROR(IF(C973="","",IF(INDEX(xyWattage_Table,MATCH(M973,'Fixture Identities'!$B$9:$B$997,0),2)="Exit Sign",0,VLOOKUP(S973,xySVG_Factors,2,FALSE))),"")</f>
        <v/>
      </c>
      <c r="AA973" s="545" t="str">
        <f t="shared" si="351"/>
        <v/>
      </c>
      <c r="AB973" s="542" t="str">
        <f t="shared" si="352"/>
        <v/>
      </c>
      <c r="AC973" s="539" t="str">
        <f t="shared" si="353"/>
        <v/>
      </c>
      <c r="AD973" s="546" t="str">
        <f t="shared" si="354"/>
        <v/>
      </c>
      <c r="AE973" s="539" t="str">
        <f t="shared" si="355"/>
        <v/>
      </c>
      <c r="AF973" s="546" t="str">
        <f t="shared" si="356"/>
        <v/>
      </c>
      <c r="AG973" s="539" t="str">
        <f t="shared" si="357"/>
        <v/>
      </c>
      <c r="AH973" s="32">
        <f t="shared" si="337"/>
        <v>0</v>
      </c>
      <c r="AI973" s="32">
        <f t="shared" si="338"/>
        <v>0</v>
      </c>
      <c r="AJ973" s="32">
        <f t="shared" si="339"/>
        <v>0</v>
      </c>
      <c r="AK973" t="str">
        <f t="shared" si="340"/>
        <v/>
      </c>
      <c r="AL973" t="str">
        <f t="shared" si="341"/>
        <v/>
      </c>
      <c r="AM973" t="str">
        <f t="shared" si="342"/>
        <v/>
      </c>
      <c r="AO973" t="str">
        <f>IFERROR(VLOOKUP(M973,'Fixture Identities'!$B$9:$O$1045,14,FALSE),"")</f>
        <v/>
      </c>
      <c r="AP973" t="str">
        <f t="shared" ref="AP973:AP1013" si="358">IF(M974="Signage",G974,"")</f>
        <v/>
      </c>
    </row>
    <row r="974" spans="1:42">
      <c r="A974" s="71">
        <f t="shared" si="344"/>
        <v>0</v>
      </c>
      <c r="B974" s="513">
        <f t="shared" si="343"/>
        <v>962</v>
      </c>
      <c r="C974" s="530" t="str">
        <f>IF(Inventory!E971="","",Inventory!E971)</f>
        <v/>
      </c>
      <c r="D974" s="531">
        <f>IF(Inventory!D971="",0,Inventory!D971)</f>
        <v>0</v>
      </c>
      <c r="E974" s="532" t="str">
        <f>IF(Inventory!I971=0,"",Inventory!I971)</f>
        <v/>
      </c>
      <c r="F974" s="533" t="str">
        <f t="shared" si="345"/>
        <v/>
      </c>
      <c r="G974" s="534" t="str">
        <f>IF(Inventory!G971="","",Inventory!G971)</f>
        <v/>
      </c>
      <c r="H974" s="535" t="str">
        <f t="shared" si="346"/>
        <v/>
      </c>
      <c r="I974" s="536" t="str">
        <f>IF(Inventory!J971="","",Inventory!J971)</f>
        <v/>
      </c>
      <c r="J974" s="537" t="str">
        <f>IFERROR(IF(PRJ_Type="New Construction",IF(Inventory!C971="N",INDEX(xyLPD_BuildingArea,MATCH(Building_Type,Lookups!$F$37:$F$75,0),4),INDEX(xyLPD_SpaceBySpace,MATCH(INDEX(xyNCEx,MATCH(I974,yNCExArea,0),2),ySpace_by_Space_Type,0),2)),VLOOKUP(E974,xyWattage_Table,11,FALSE)),"")</f>
        <v/>
      </c>
      <c r="K974" s="538" t="str">
        <f>IFERROR(IF(AND(NC_Type="Building Area Method",Inventory!C971="N"),IF(ISERROR(INDEX('Usage Groups (&gt;120 MWh only)'!$N$8:$N$12,MATCH(C974,'Usage Groups (&gt;120 MWh only)'!$B$8:$B$12,0),1))=TRUE,SqFt/COUNTIFS(Inventory!$C$10:$C$1009,"N",$Q$13:$Q$1012,"&gt;=0"),INDEX('Usage Groups (&gt;120 MWh only)'!$N$8:$N$12,MATCH(C974,'Usage Groups (&gt;120 MWh only)'!$B$8:$B$12,0),1)/COUNTIF($C$13:$C$1012,C974)),IF(AND(NC_Type="Building Area Method",Inventory!C971="Y"),INDEX(xyNCEx,MATCH(I974,yNCExArea,0),3)/COUNTIF($I$13:$I$1012,I974),VLOOKUP(J974,xyWattage_Table,10,FALSE))),"")</f>
        <v/>
      </c>
      <c r="L974" s="539" t="str">
        <f t="shared" si="347"/>
        <v/>
      </c>
      <c r="M974" s="540">
        <f>IF(Inventory!N971="","",Inventory!N971)</f>
        <v>0</v>
      </c>
      <c r="N974" s="533" t="str">
        <f t="shared" si="348"/>
        <v/>
      </c>
      <c r="O974" s="534"/>
      <c r="P974" s="533" t="str">
        <f t="shared" si="349"/>
        <v/>
      </c>
      <c r="Q974" s="534" t="str">
        <f>IF(Inventory!L971="","",Inventory!L971)</f>
        <v/>
      </c>
      <c r="R974" s="535" t="str">
        <f t="shared" si="350"/>
        <v/>
      </c>
      <c r="S974" s="536" t="str">
        <f>IF(Inventory!O971="","",Inventory!O971)</f>
        <v/>
      </c>
      <c r="T974" s="541" t="str">
        <f>IFERROR(IF(C974="","",IF(INDEX(xyWattage_Table,MATCH(M974,'Fixture Identities'!$B$9:$B$997,0),2)="Exit Sign",8760,IF(VLOOKUP(C974,xySpace_Type_Details,8,FALSE)="TRM",INDEX('General Information'!$AF$17:$AG$28,11,MATCH(N974,'General Information'!$AF$16:$AG$16,0)),HLOOKUP(VLOOKUP(C974,xySpace_Type_Details,8,FALSE),'General Information'!$P$15:$AG$28,13,FALSE)))),"")</f>
        <v/>
      </c>
      <c r="U974" s="542" t="str">
        <f>IFERROR(IF(C974="","",IF(INDEX(xyWattage_Table,MATCH(M974,'Fixture Identities'!$B$9:$B$997,0),2)="Exit Sign",1,IF(VLOOKUP(C974,xySpace_Type_Details,8,FALSE)="TRM",INDEX('General Information'!$AF$17:$AG$28,12,MATCH(N974,'General Information'!$AF$16:$AG$16,0)),HLOOKUP(VLOOKUP(C974,xySpace_Type_Details,8,FALSE),'General Information'!$P$15:$AG$28,14,FALSE)))),"")</f>
        <v/>
      </c>
      <c r="V974" s="542" t="str">
        <f>IFERROR(VLOOKUP(INDEX(xySpace_Type_Details,MATCH($C974,'General Information'!$C$40:$C$60,0),12),Lookups!$L$8:$N$12,2,FALSE),"")</f>
        <v/>
      </c>
      <c r="W974" s="542" t="str">
        <f>IFERROR(VLOOKUP(INDEX(xySpace_Type_Details,MATCH($C974,'General Information'!$C$40:$C$60,0),12),Lookups!$L$8:$N$12,3,FALSE),"")</f>
        <v/>
      </c>
      <c r="Y974" s="542" t="str">
        <f>IFERROR(IF(C974="","",IF(INDEX(xyWattage_Table,MATCH(M974,'Fixture Identities'!$B$9:$B$997,0),2)="Exit Sign",0,IF(PRJ_Type="Retrofit",VLOOKUP(I974,xySVG_Factors,2,FALSE),IF(AND(PRJ_Type="New Construction",Inventory!C971="N"),VLOOKUP(VLOOKUP(Building_Type,xyLPD_BuildingArea,5,FALSE),xySVG_Factors_NC,3,FALSE),0)))),"")</f>
        <v/>
      </c>
      <c r="Z974" s="544" t="str">
        <f>IFERROR(IF(C974="","",IF(INDEX(xyWattage_Table,MATCH(M974,'Fixture Identities'!$B$9:$B$997,0),2)="Exit Sign",0,VLOOKUP(S974,xySVG_Factors,2,FALSE))),"")</f>
        <v/>
      </c>
      <c r="AA974" s="545" t="str">
        <f t="shared" si="351"/>
        <v/>
      </c>
      <c r="AB974" s="542" t="str">
        <f t="shared" si="352"/>
        <v/>
      </c>
      <c r="AC974" s="539" t="str">
        <f t="shared" si="353"/>
        <v/>
      </c>
      <c r="AD974" s="546" t="str">
        <f t="shared" si="354"/>
        <v/>
      </c>
      <c r="AE974" s="539" t="str">
        <f t="shared" si="355"/>
        <v/>
      </c>
      <c r="AF974" s="546" t="str">
        <f t="shared" si="356"/>
        <v/>
      </c>
      <c r="AG974" s="539" t="str">
        <f t="shared" si="357"/>
        <v/>
      </c>
      <c r="AH974" s="32">
        <f t="shared" ref="AH974:AH1012" si="359">IF(I974&lt;&gt;S974,R974,0)</f>
        <v>0</v>
      </c>
      <c r="AI974" s="32">
        <f t="shared" ref="AI974:AI1012" si="360">IFERROR(VLOOKUP(E974,xyWattage_Table,8,FALSE)*G974,0)</f>
        <v>0</v>
      </c>
      <c r="AJ974" s="32">
        <f t="shared" ref="AJ974:AJ1012" si="361">IFERROR(VLOOKUP(M974,xyWattage_Table,8,FALSE)*Q974,0)</f>
        <v>0</v>
      </c>
      <c r="AK974" t="str">
        <f t="shared" ref="AK974:AK1012" si="362">IFERROR((L974)/1000,"")</f>
        <v/>
      </c>
      <c r="AL974" t="str">
        <f t="shared" ref="AL974:AL1012" si="363">IFERROR(AK974*U974*(1+W974)*(1-Y974),"")</f>
        <v/>
      </c>
      <c r="AM974" t="str">
        <f t="shared" ref="AM974:AM1012" si="364">IFERROR(AK974*T974*(1+V974)*(1-Y974),"")</f>
        <v/>
      </c>
      <c r="AO974" t="str">
        <f>IFERROR(VLOOKUP(M974,'Fixture Identities'!$B$9:$O$1045,14,FALSE),"")</f>
        <v/>
      </c>
      <c r="AP974" t="str">
        <f t="shared" si="358"/>
        <v/>
      </c>
    </row>
    <row r="975" spans="1:42">
      <c r="A975" s="71">
        <f t="shared" si="344"/>
        <v>0</v>
      </c>
      <c r="B975" s="513">
        <f t="shared" ref="B975:B1012" si="365">B974+1</f>
        <v>963</v>
      </c>
      <c r="C975" s="530" t="str">
        <f>IF(Inventory!E972="","",Inventory!E972)</f>
        <v/>
      </c>
      <c r="D975" s="531">
        <f>IF(Inventory!D972="",0,Inventory!D972)</f>
        <v>0</v>
      </c>
      <c r="E975" s="532" t="str">
        <f>IF(Inventory!I972=0,"",Inventory!I972)</f>
        <v/>
      </c>
      <c r="F975" s="533" t="str">
        <f t="shared" si="345"/>
        <v/>
      </c>
      <c r="G975" s="534" t="str">
        <f>IF(Inventory!G972="","",Inventory!G972)</f>
        <v/>
      </c>
      <c r="H975" s="535" t="str">
        <f t="shared" si="346"/>
        <v/>
      </c>
      <c r="I975" s="536" t="str">
        <f>IF(Inventory!J972="","",Inventory!J972)</f>
        <v/>
      </c>
      <c r="J975" s="537" t="str">
        <f>IFERROR(IF(PRJ_Type="New Construction",IF(Inventory!C972="N",INDEX(xyLPD_BuildingArea,MATCH(Building_Type,Lookups!$F$37:$F$75,0),4),INDEX(xyLPD_SpaceBySpace,MATCH(INDEX(xyNCEx,MATCH(I975,yNCExArea,0),2),ySpace_by_Space_Type,0),2)),VLOOKUP(E975,xyWattage_Table,11,FALSE)),"")</f>
        <v/>
      </c>
      <c r="K975" s="538" t="str">
        <f>IFERROR(IF(AND(NC_Type="Building Area Method",Inventory!C972="N"),IF(ISERROR(INDEX('Usage Groups (&gt;120 MWh only)'!$N$8:$N$12,MATCH(C975,'Usage Groups (&gt;120 MWh only)'!$B$8:$B$12,0),1))=TRUE,SqFt/COUNTIFS(Inventory!$C$10:$C$1009,"N",$Q$13:$Q$1012,"&gt;=0"),INDEX('Usage Groups (&gt;120 MWh only)'!$N$8:$N$12,MATCH(C975,'Usage Groups (&gt;120 MWh only)'!$B$8:$B$12,0),1)/COUNTIF($C$13:$C$1012,C975)),IF(AND(NC_Type="Building Area Method",Inventory!C972="Y"),INDEX(xyNCEx,MATCH(I975,yNCExArea,0),3)/COUNTIF($I$13:$I$1012,I975),VLOOKUP(J975,xyWattage_Table,10,FALSE))),"")</f>
        <v/>
      </c>
      <c r="L975" s="539" t="str">
        <f t="shared" si="347"/>
        <v/>
      </c>
      <c r="M975" s="540">
        <f>IF(Inventory!N972="","",Inventory!N972)</f>
        <v>0</v>
      </c>
      <c r="N975" s="533" t="str">
        <f t="shared" si="348"/>
        <v/>
      </c>
      <c r="O975" s="534"/>
      <c r="P975" s="533" t="str">
        <f t="shared" si="349"/>
        <v/>
      </c>
      <c r="Q975" s="534" t="str">
        <f>IF(Inventory!L972="","",Inventory!L972)</f>
        <v/>
      </c>
      <c r="R975" s="535" t="str">
        <f t="shared" si="350"/>
        <v/>
      </c>
      <c r="S975" s="536" t="str">
        <f>IF(Inventory!O972="","",Inventory!O972)</f>
        <v/>
      </c>
      <c r="T975" s="541" t="str">
        <f>IFERROR(IF(C975="","",IF(INDEX(xyWattage_Table,MATCH(M975,'Fixture Identities'!$B$9:$B$997,0),2)="Exit Sign",8760,IF(VLOOKUP(C975,xySpace_Type_Details,8,FALSE)="TRM",INDEX('General Information'!$AF$17:$AG$28,11,MATCH(N975,'General Information'!$AF$16:$AG$16,0)),HLOOKUP(VLOOKUP(C975,xySpace_Type_Details,8,FALSE),'General Information'!$P$15:$AG$28,13,FALSE)))),"")</f>
        <v/>
      </c>
      <c r="U975" s="542" t="str">
        <f>IFERROR(IF(C975="","",IF(INDEX(xyWattage_Table,MATCH(M975,'Fixture Identities'!$B$9:$B$997,0),2)="Exit Sign",1,IF(VLOOKUP(C975,xySpace_Type_Details,8,FALSE)="TRM",INDEX('General Information'!$AF$17:$AG$28,12,MATCH(N975,'General Information'!$AF$16:$AG$16,0)),HLOOKUP(VLOOKUP(C975,xySpace_Type_Details,8,FALSE),'General Information'!$P$15:$AG$28,14,FALSE)))),"")</f>
        <v/>
      </c>
      <c r="V975" s="542" t="str">
        <f>IFERROR(VLOOKUP(INDEX(xySpace_Type_Details,MATCH($C975,'General Information'!$C$40:$C$60,0),12),Lookups!$L$8:$N$12,2,FALSE),"")</f>
        <v/>
      </c>
      <c r="W975" s="542" t="str">
        <f>IFERROR(VLOOKUP(INDEX(xySpace_Type_Details,MATCH($C975,'General Information'!$C$40:$C$60,0),12),Lookups!$L$8:$N$12,3,FALSE),"")</f>
        <v/>
      </c>
      <c r="Y975" s="542" t="str">
        <f>IFERROR(IF(C975="","",IF(INDEX(xyWattage_Table,MATCH(M975,'Fixture Identities'!$B$9:$B$997,0),2)="Exit Sign",0,IF(PRJ_Type="Retrofit",VLOOKUP(I975,xySVG_Factors,2,FALSE),IF(AND(PRJ_Type="New Construction",Inventory!C972="N"),VLOOKUP(VLOOKUP(Building_Type,xyLPD_BuildingArea,5,FALSE),xySVG_Factors_NC,3,FALSE),0)))),"")</f>
        <v/>
      </c>
      <c r="Z975" s="544" t="str">
        <f>IFERROR(IF(C975="","",IF(INDEX(xyWattage_Table,MATCH(M975,'Fixture Identities'!$B$9:$B$997,0),2)="Exit Sign",0,VLOOKUP(S975,xySVG_Factors,2,FALSE))),"")</f>
        <v/>
      </c>
      <c r="AA975" s="545" t="str">
        <f t="shared" si="351"/>
        <v/>
      </c>
      <c r="AB975" s="542" t="str">
        <f t="shared" si="352"/>
        <v/>
      </c>
      <c r="AC975" s="539" t="str">
        <f t="shared" si="353"/>
        <v/>
      </c>
      <c r="AD975" s="546" t="str">
        <f t="shared" si="354"/>
        <v/>
      </c>
      <c r="AE975" s="539" t="str">
        <f t="shared" si="355"/>
        <v/>
      </c>
      <c r="AF975" s="546" t="str">
        <f t="shared" si="356"/>
        <v/>
      </c>
      <c r="AG975" s="539" t="str">
        <f t="shared" si="357"/>
        <v/>
      </c>
      <c r="AH975" s="32">
        <f t="shared" si="359"/>
        <v>0</v>
      </c>
      <c r="AI975" s="32">
        <f t="shared" si="360"/>
        <v>0</v>
      </c>
      <c r="AJ975" s="32">
        <f t="shared" si="361"/>
        <v>0</v>
      </c>
      <c r="AK975" t="str">
        <f t="shared" si="362"/>
        <v/>
      </c>
      <c r="AL975" t="str">
        <f t="shared" si="363"/>
        <v/>
      </c>
      <c r="AM975" t="str">
        <f t="shared" si="364"/>
        <v/>
      </c>
      <c r="AO975" t="str">
        <f>IFERROR(VLOOKUP(M975,'Fixture Identities'!$B$9:$O$1045,14,FALSE),"")</f>
        <v/>
      </c>
      <c r="AP975" t="str">
        <f t="shared" si="358"/>
        <v/>
      </c>
    </row>
    <row r="976" spans="1:42">
      <c r="A976" s="71">
        <f t="shared" si="344"/>
        <v>0</v>
      </c>
      <c r="B976" s="513">
        <f t="shared" si="365"/>
        <v>964</v>
      </c>
      <c r="C976" s="530" t="str">
        <f>IF(Inventory!E973="","",Inventory!E973)</f>
        <v/>
      </c>
      <c r="D976" s="531">
        <f>IF(Inventory!D973="",0,Inventory!D973)</f>
        <v>0</v>
      </c>
      <c r="E976" s="532" t="str">
        <f>IF(Inventory!I973=0,"",Inventory!I973)</f>
        <v/>
      </c>
      <c r="F976" s="533" t="str">
        <f t="shared" si="345"/>
        <v/>
      </c>
      <c r="G976" s="534" t="str">
        <f>IF(Inventory!G973="","",Inventory!G973)</f>
        <v/>
      </c>
      <c r="H976" s="535" t="str">
        <f t="shared" si="346"/>
        <v/>
      </c>
      <c r="I976" s="536" t="str">
        <f>IF(Inventory!J973="","",Inventory!J973)</f>
        <v/>
      </c>
      <c r="J976" s="537" t="str">
        <f>IFERROR(IF(PRJ_Type="New Construction",IF(Inventory!C973="N",INDEX(xyLPD_BuildingArea,MATCH(Building_Type,Lookups!$F$37:$F$75,0),4),INDEX(xyLPD_SpaceBySpace,MATCH(INDEX(xyNCEx,MATCH(I976,yNCExArea,0),2),ySpace_by_Space_Type,0),2)),VLOOKUP(E976,xyWattage_Table,11,FALSE)),"")</f>
        <v/>
      </c>
      <c r="K976" s="538" t="str">
        <f>IFERROR(IF(AND(NC_Type="Building Area Method",Inventory!C973="N"),IF(ISERROR(INDEX('Usage Groups (&gt;120 MWh only)'!$N$8:$N$12,MATCH(C976,'Usage Groups (&gt;120 MWh only)'!$B$8:$B$12,0),1))=TRUE,SqFt/COUNTIFS(Inventory!$C$10:$C$1009,"N",$Q$13:$Q$1012,"&gt;=0"),INDEX('Usage Groups (&gt;120 MWh only)'!$N$8:$N$12,MATCH(C976,'Usage Groups (&gt;120 MWh only)'!$B$8:$B$12,0),1)/COUNTIF($C$13:$C$1012,C976)),IF(AND(NC_Type="Building Area Method",Inventory!C973="Y"),INDEX(xyNCEx,MATCH(I976,yNCExArea,0),3)/COUNTIF($I$13:$I$1012,I976),VLOOKUP(J976,xyWattage_Table,10,FALSE))),"")</f>
        <v/>
      </c>
      <c r="L976" s="539" t="str">
        <f t="shared" si="347"/>
        <v/>
      </c>
      <c r="M976" s="540">
        <f>IF(Inventory!N973="","",Inventory!N973)</f>
        <v>0</v>
      </c>
      <c r="N976" s="533" t="str">
        <f t="shared" si="348"/>
        <v/>
      </c>
      <c r="O976" s="534"/>
      <c r="P976" s="533" t="str">
        <f t="shared" si="349"/>
        <v/>
      </c>
      <c r="Q976" s="534" t="str">
        <f>IF(Inventory!L973="","",Inventory!L973)</f>
        <v/>
      </c>
      <c r="R976" s="535" t="str">
        <f t="shared" si="350"/>
        <v/>
      </c>
      <c r="S976" s="536" t="str">
        <f>IF(Inventory!O973="","",Inventory!O973)</f>
        <v/>
      </c>
      <c r="T976" s="541" t="str">
        <f>IFERROR(IF(C976="","",IF(INDEX(xyWattage_Table,MATCH(M976,'Fixture Identities'!$B$9:$B$997,0),2)="Exit Sign",8760,IF(VLOOKUP(C976,xySpace_Type_Details,8,FALSE)="TRM",INDEX('General Information'!$AF$17:$AG$28,11,MATCH(N976,'General Information'!$AF$16:$AG$16,0)),HLOOKUP(VLOOKUP(C976,xySpace_Type_Details,8,FALSE),'General Information'!$P$15:$AG$28,13,FALSE)))),"")</f>
        <v/>
      </c>
      <c r="U976" s="542" t="str">
        <f>IFERROR(IF(C976="","",IF(INDEX(xyWattage_Table,MATCH(M976,'Fixture Identities'!$B$9:$B$997,0),2)="Exit Sign",1,IF(VLOOKUP(C976,xySpace_Type_Details,8,FALSE)="TRM",INDEX('General Information'!$AF$17:$AG$28,12,MATCH(N976,'General Information'!$AF$16:$AG$16,0)),HLOOKUP(VLOOKUP(C976,xySpace_Type_Details,8,FALSE),'General Information'!$P$15:$AG$28,14,FALSE)))),"")</f>
        <v/>
      </c>
      <c r="V976" s="542" t="str">
        <f>IFERROR(VLOOKUP(INDEX(xySpace_Type_Details,MATCH($C976,'General Information'!$C$40:$C$60,0),12),Lookups!$L$8:$N$12,2,FALSE),"")</f>
        <v/>
      </c>
      <c r="W976" s="542" t="str">
        <f>IFERROR(VLOOKUP(INDEX(xySpace_Type_Details,MATCH($C976,'General Information'!$C$40:$C$60,0),12),Lookups!$L$8:$N$12,3,FALSE),"")</f>
        <v/>
      </c>
      <c r="Y976" s="542" t="str">
        <f>IFERROR(IF(C976="","",IF(INDEX(xyWattage_Table,MATCH(M976,'Fixture Identities'!$B$9:$B$997,0),2)="Exit Sign",0,IF(PRJ_Type="Retrofit",VLOOKUP(I976,xySVG_Factors,2,FALSE),IF(AND(PRJ_Type="New Construction",Inventory!C973="N"),VLOOKUP(VLOOKUP(Building_Type,xyLPD_BuildingArea,5,FALSE),xySVG_Factors_NC,3,FALSE),0)))),"")</f>
        <v/>
      </c>
      <c r="Z976" s="544" t="str">
        <f>IFERROR(IF(C976="","",IF(INDEX(xyWattage_Table,MATCH(M976,'Fixture Identities'!$B$9:$B$997,0),2)="Exit Sign",0,VLOOKUP(S976,xySVG_Factors,2,FALSE))),"")</f>
        <v/>
      </c>
      <c r="AA976" s="545" t="str">
        <f t="shared" si="351"/>
        <v/>
      </c>
      <c r="AB976" s="542" t="str">
        <f t="shared" si="352"/>
        <v/>
      </c>
      <c r="AC976" s="539" t="str">
        <f t="shared" si="353"/>
        <v/>
      </c>
      <c r="AD976" s="546" t="str">
        <f t="shared" si="354"/>
        <v/>
      </c>
      <c r="AE976" s="539" t="str">
        <f t="shared" si="355"/>
        <v/>
      </c>
      <c r="AF976" s="546" t="str">
        <f t="shared" si="356"/>
        <v/>
      </c>
      <c r="AG976" s="539" t="str">
        <f t="shared" si="357"/>
        <v/>
      </c>
      <c r="AH976" s="32">
        <f t="shared" si="359"/>
        <v>0</v>
      </c>
      <c r="AI976" s="32">
        <f t="shared" si="360"/>
        <v>0</v>
      </c>
      <c r="AJ976" s="32">
        <f t="shared" si="361"/>
        <v>0</v>
      </c>
      <c r="AK976" t="str">
        <f t="shared" si="362"/>
        <v/>
      </c>
      <c r="AL976" t="str">
        <f t="shared" si="363"/>
        <v/>
      </c>
      <c r="AM976" t="str">
        <f t="shared" si="364"/>
        <v/>
      </c>
      <c r="AO976" t="str">
        <f>IFERROR(VLOOKUP(M976,'Fixture Identities'!$B$9:$O$1045,14,FALSE),"")</f>
        <v/>
      </c>
      <c r="AP976" t="str">
        <f t="shared" si="358"/>
        <v/>
      </c>
    </row>
    <row r="977" spans="1:42">
      <c r="A977" s="71">
        <f t="shared" si="344"/>
        <v>0</v>
      </c>
      <c r="B977" s="513">
        <f t="shared" si="365"/>
        <v>965</v>
      </c>
      <c r="C977" s="530" t="str">
        <f>IF(Inventory!E974="","",Inventory!E974)</f>
        <v/>
      </c>
      <c r="D977" s="531">
        <f>IF(Inventory!D974="",0,Inventory!D974)</f>
        <v>0</v>
      </c>
      <c r="E977" s="532" t="str">
        <f>IF(Inventory!I974=0,"",Inventory!I974)</f>
        <v/>
      </c>
      <c r="F977" s="533" t="str">
        <f t="shared" si="345"/>
        <v/>
      </c>
      <c r="G977" s="534" t="str">
        <f>IF(Inventory!G974="","",Inventory!G974)</f>
        <v/>
      </c>
      <c r="H977" s="535" t="str">
        <f t="shared" si="346"/>
        <v/>
      </c>
      <c r="I977" s="536" t="str">
        <f>IF(Inventory!J974="","",Inventory!J974)</f>
        <v/>
      </c>
      <c r="J977" s="537" t="str">
        <f>IFERROR(IF(PRJ_Type="New Construction",IF(Inventory!C974="N",INDEX(xyLPD_BuildingArea,MATCH(Building_Type,Lookups!$F$37:$F$75,0),4),INDEX(xyLPD_SpaceBySpace,MATCH(INDEX(xyNCEx,MATCH(I977,yNCExArea,0),2),ySpace_by_Space_Type,0),2)),VLOOKUP(E977,xyWattage_Table,11,FALSE)),"")</f>
        <v/>
      </c>
      <c r="K977" s="538" t="str">
        <f>IFERROR(IF(AND(NC_Type="Building Area Method",Inventory!C974="N"),IF(ISERROR(INDEX('Usage Groups (&gt;120 MWh only)'!$N$8:$N$12,MATCH(C977,'Usage Groups (&gt;120 MWh only)'!$B$8:$B$12,0),1))=TRUE,SqFt/COUNTIFS(Inventory!$C$10:$C$1009,"N",$Q$13:$Q$1012,"&gt;=0"),INDEX('Usage Groups (&gt;120 MWh only)'!$N$8:$N$12,MATCH(C977,'Usage Groups (&gt;120 MWh only)'!$B$8:$B$12,0),1)/COUNTIF($C$13:$C$1012,C977)),IF(AND(NC_Type="Building Area Method",Inventory!C974="Y"),INDEX(xyNCEx,MATCH(I977,yNCExArea,0),3)/COUNTIF($I$13:$I$1012,I977),VLOOKUP(J977,xyWattage_Table,10,FALSE))),"")</f>
        <v/>
      </c>
      <c r="L977" s="539" t="str">
        <f t="shared" si="347"/>
        <v/>
      </c>
      <c r="M977" s="540">
        <f>IF(Inventory!N974="","",Inventory!N974)</f>
        <v>0</v>
      </c>
      <c r="N977" s="533" t="str">
        <f t="shared" si="348"/>
        <v/>
      </c>
      <c r="O977" s="534"/>
      <c r="P977" s="533" t="str">
        <f t="shared" si="349"/>
        <v/>
      </c>
      <c r="Q977" s="534" t="str">
        <f>IF(Inventory!L974="","",Inventory!L974)</f>
        <v/>
      </c>
      <c r="R977" s="535" t="str">
        <f t="shared" si="350"/>
        <v/>
      </c>
      <c r="S977" s="536" t="str">
        <f>IF(Inventory!O974="","",Inventory!O974)</f>
        <v/>
      </c>
      <c r="T977" s="541" t="str">
        <f>IFERROR(IF(C977="","",IF(INDEX(xyWattage_Table,MATCH(M977,'Fixture Identities'!$B$9:$B$997,0),2)="Exit Sign",8760,IF(VLOOKUP(C977,xySpace_Type_Details,8,FALSE)="TRM",INDEX('General Information'!$AF$17:$AG$28,11,MATCH(N977,'General Information'!$AF$16:$AG$16,0)),HLOOKUP(VLOOKUP(C977,xySpace_Type_Details,8,FALSE),'General Information'!$P$15:$AG$28,13,FALSE)))),"")</f>
        <v/>
      </c>
      <c r="U977" s="542" t="str">
        <f>IFERROR(IF(C977="","",IF(INDEX(xyWattage_Table,MATCH(M977,'Fixture Identities'!$B$9:$B$997,0),2)="Exit Sign",1,IF(VLOOKUP(C977,xySpace_Type_Details,8,FALSE)="TRM",INDEX('General Information'!$AF$17:$AG$28,12,MATCH(N977,'General Information'!$AF$16:$AG$16,0)),HLOOKUP(VLOOKUP(C977,xySpace_Type_Details,8,FALSE),'General Information'!$P$15:$AG$28,14,FALSE)))),"")</f>
        <v/>
      </c>
      <c r="V977" s="542" t="str">
        <f>IFERROR(VLOOKUP(INDEX(xySpace_Type_Details,MATCH($C977,'General Information'!$C$40:$C$60,0),12),Lookups!$L$8:$N$12,2,FALSE),"")</f>
        <v/>
      </c>
      <c r="W977" s="542" t="str">
        <f>IFERROR(VLOOKUP(INDEX(xySpace_Type_Details,MATCH($C977,'General Information'!$C$40:$C$60,0),12),Lookups!$L$8:$N$12,3,FALSE),"")</f>
        <v/>
      </c>
      <c r="Y977" s="542" t="str">
        <f>IFERROR(IF(C977="","",IF(INDEX(xyWattage_Table,MATCH(M977,'Fixture Identities'!$B$9:$B$997,0),2)="Exit Sign",0,IF(PRJ_Type="Retrofit",VLOOKUP(I977,xySVG_Factors,2,FALSE),IF(AND(PRJ_Type="New Construction",Inventory!C974="N"),VLOOKUP(VLOOKUP(Building_Type,xyLPD_BuildingArea,5,FALSE),xySVG_Factors_NC,3,FALSE),0)))),"")</f>
        <v/>
      </c>
      <c r="Z977" s="544" t="str">
        <f>IFERROR(IF(C977="","",IF(INDEX(xyWattage_Table,MATCH(M977,'Fixture Identities'!$B$9:$B$997,0),2)="Exit Sign",0,VLOOKUP(S977,xySVG_Factors,2,FALSE))),"")</f>
        <v/>
      </c>
      <c r="AA977" s="545" t="str">
        <f t="shared" si="351"/>
        <v/>
      </c>
      <c r="AB977" s="542" t="str">
        <f t="shared" si="352"/>
        <v/>
      </c>
      <c r="AC977" s="539" t="str">
        <f t="shared" si="353"/>
        <v/>
      </c>
      <c r="AD977" s="546" t="str">
        <f t="shared" si="354"/>
        <v/>
      </c>
      <c r="AE977" s="539" t="str">
        <f t="shared" si="355"/>
        <v/>
      </c>
      <c r="AF977" s="546" t="str">
        <f t="shared" si="356"/>
        <v/>
      </c>
      <c r="AG977" s="539" t="str">
        <f t="shared" si="357"/>
        <v/>
      </c>
      <c r="AH977" s="32">
        <f t="shared" si="359"/>
        <v>0</v>
      </c>
      <c r="AI977" s="32">
        <f t="shared" si="360"/>
        <v>0</v>
      </c>
      <c r="AJ977" s="32">
        <f t="shared" si="361"/>
        <v>0</v>
      </c>
      <c r="AK977" t="str">
        <f t="shared" si="362"/>
        <v/>
      </c>
      <c r="AL977" t="str">
        <f t="shared" si="363"/>
        <v/>
      </c>
      <c r="AM977" t="str">
        <f t="shared" si="364"/>
        <v/>
      </c>
      <c r="AO977" t="str">
        <f>IFERROR(VLOOKUP(M977,'Fixture Identities'!$B$9:$O$1045,14,FALSE),"")</f>
        <v/>
      </c>
      <c r="AP977" t="str">
        <f t="shared" si="358"/>
        <v/>
      </c>
    </row>
    <row r="978" spans="1:42">
      <c r="A978" s="71">
        <f t="shared" ref="A978:A1012" si="366">IF(E978&lt;&gt;J978,1,0)</f>
        <v>0</v>
      </c>
      <c r="B978" s="513">
        <f t="shared" si="365"/>
        <v>966</v>
      </c>
      <c r="C978" s="530" t="str">
        <f>IF(Inventory!E975="","",Inventory!E975)</f>
        <v/>
      </c>
      <c r="D978" s="531">
        <f>IF(Inventory!D975="",0,Inventory!D975)</f>
        <v>0</v>
      </c>
      <c r="E978" s="532" t="str">
        <f>IF(Inventory!I975=0,"",Inventory!I975)</f>
        <v/>
      </c>
      <c r="F978" s="533" t="str">
        <f t="shared" si="345"/>
        <v/>
      </c>
      <c r="G978" s="534" t="str">
        <f>IF(Inventory!G975="","",Inventory!G975)</f>
        <v/>
      </c>
      <c r="H978" s="535" t="str">
        <f t="shared" si="346"/>
        <v/>
      </c>
      <c r="I978" s="536" t="str">
        <f>IF(Inventory!J975="","",Inventory!J975)</f>
        <v/>
      </c>
      <c r="J978" s="537" t="str">
        <f>IFERROR(IF(PRJ_Type="New Construction",IF(Inventory!C975="N",INDEX(xyLPD_BuildingArea,MATCH(Building_Type,Lookups!$F$37:$F$75,0),4),INDEX(xyLPD_SpaceBySpace,MATCH(INDEX(xyNCEx,MATCH(I978,yNCExArea,0),2),ySpace_by_Space_Type,0),2)),VLOOKUP(E978,xyWattage_Table,11,FALSE)),"")</f>
        <v/>
      </c>
      <c r="K978" s="538" t="str">
        <f>IFERROR(IF(AND(NC_Type="Building Area Method",Inventory!C975="N"),IF(ISERROR(INDEX('Usage Groups (&gt;120 MWh only)'!$N$8:$N$12,MATCH(C978,'Usage Groups (&gt;120 MWh only)'!$B$8:$B$12,0),1))=TRUE,SqFt/COUNTIFS(Inventory!$C$10:$C$1009,"N",$Q$13:$Q$1012,"&gt;=0"),INDEX('Usage Groups (&gt;120 MWh only)'!$N$8:$N$12,MATCH(C978,'Usage Groups (&gt;120 MWh only)'!$B$8:$B$12,0),1)/COUNTIF($C$13:$C$1012,C978)),IF(AND(NC_Type="Building Area Method",Inventory!C975="Y"),INDEX(xyNCEx,MATCH(I978,yNCExArea,0),3)/COUNTIF($I$13:$I$1012,I978),VLOOKUP(J978,xyWattage_Table,10,FALSE))),"")</f>
        <v/>
      </c>
      <c r="L978" s="539" t="str">
        <f t="shared" si="347"/>
        <v/>
      </c>
      <c r="M978" s="540">
        <f>IF(Inventory!N975="","",Inventory!N975)</f>
        <v>0</v>
      </c>
      <c r="N978" s="533" t="str">
        <f t="shared" si="348"/>
        <v/>
      </c>
      <c r="O978" s="534"/>
      <c r="P978" s="533" t="str">
        <f t="shared" si="349"/>
        <v/>
      </c>
      <c r="Q978" s="534" t="str">
        <f>IF(Inventory!L975="","",Inventory!L975)</f>
        <v/>
      </c>
      <c r="R978" s="535" t="str">
        <f t="shared" si="350"/>
        <v/>
      </c>
      <c r="S978" s="536" t="str">
        <f>IF(Inventory!O975="","",Inventory!O975)</f>
        <v/>
      </c>
      <c r="T978" s="541" t="str">
        <f>IFERROR(IF(C978="","",IF(INDEX(xyWattage_Table,MATCH(M978,'Fixture Identities'!$B$9:$B$997,0),2)="Exit Sign",8760,IF(VLOOKUP(C978,xySpace_Type_Details,8,FALSE)="TRM",INDEX('General Information'!$AF$17:$AG$28,11,MATCH(N978,'General Information'!$AF$16:$AG$16,0)),HLOOKUP(VLOOKUP(C978,xySpace_Type_Details,8,FALSE),'General Information'!$P$15:$AG$28,13,FALSE)))),"")</f>
        <v/>
      </c>
      <c r="U978" s="542" t="str">
        <f>IFERROR(IF(C978="","",IF(INDEX(xyWattage_Table,MATCH(M978,'Fixture Identities'!$B$9:$B$997,0),2)="Exit Sign",1,IF(VLOOKUP(C978,xySpace_Type_Details,8,FALSE)="TRM",INDEX('General Information'!$AF$17:$AG$28,12,MATCH(N978,'General Information'!$AF$16:$AG$16,0)),HLOOKUP(VLOOKUP(C978,xySpace_Type_Details,8,FALSE),'General Information'!$P$15:$AG$28,14,FALSE)))),"")</f>
        <v/>
      </c>
      <c r="V978" s="542" t="str">
        <f>IFERROR(VLOOKUP(INDEX(xySpace_Type_Details,MATCH($C978,'General Information'!$C$40:$C$60,0),12),Lookups!$L$8:$N$12,2,FALSE),"")</f>
        <v/>
      </c>
      <c r="W978" s="542" t="str">
        <f>IFERROR(VLOOKUP(INDEX(xySpace_Type_Details,MATCH($C978,'General Information'!$C$40:$C$60,0),12),Lookups!$L$8:$N$12,3,FALSE),"")</f>
        <v/>
      </c>
      <c r="Y978" s="542" t="str">
        <f>IFERROR(IF(C978="","",IF(INDEX(xyWattage_Table,MATCH(M978,'Fixture Identities'!$B$9:$B$997,0),2)="Exit Sign",0,IF(PRJ_Type="Retrofit",VLOOKUP(I978,xySVG_Factors,2,FALSE),IF(AND(PRJ_Type="New Construction",Inventory!C975="N"),VLOOKUP(VLOOKUP(Building_Type,xyLPD_BuildingArea,5,FALSE),xySVG_Factors_NC,3,FALSE),0)))),"")</f>
        <v/>
      </c>
      <c r="Z978" s="544" t="str">
        <f>IFERROR(IF(C978="","",IF(INDEX(xyWattage_Table,MATCH(M978,'Fixture Identities'!$B$9:$B$997,0),2)="Exit Sign",0,VLOOKUP(S978,xySVG_Factors,2,FALSE))),"")</f>
        <v/>
      </c>
      <c r="AA978" s="545" t="str">
        <f t="shared" si="351"/>
        <v/>
      </c>
      <c r="AB978" s="542" t="str">
        <f t="shared" si="352"/>
        <v/>
      </c>
      <c r="AC978" s="539" t="str">
        <f t="shared" si="353"/>
        <v/>
      </c>
      <c r="AD978" s="546" t="str">
        <f t="shared" si="354"/>
        <v/>
      </c>
      <c r="AE978" s="539" t="str">
        <f t="shared" si="355"/>
        <v/>
      </c>
      <c r="AF978" s="546" t="str">
        <f t="shared" si="356"/>
        <v/>
      </c>
      <c r="AG978" s="539" t="str">
        <f t="shared" si="357"/>
        <v/>
      </c>
      <c r="AH978" s="32">
        <f t="shared" si="359"/>
        <v>0</v>
      </c>
      <c r="AI978" s="32">
        <f t="shared" si="360"/>
        <v>0</v>
      </c>
      <c r="AJ978" s="32">
        <f t="shared" si="361"/>
        <v>0</v>
      </c>
      <c r="AK978" t="str">
        <f t="shared" si="362"/>
        <v/>
      </c>
      <c r="AL978" t="str">
        <f t="shared" si="363"/>
        <v/>
      </c>
      <c r="AM978" t="str">
        <f t="shared" si="364"/>
        <v/>
      </c>
      <c r="AO978" t="str">
        <f>IFERROR(VLOOKUP(M978,'Fixture Identities'!$B$9:$O$1045,14,FALSE),"")</f>
        <v/>
      </c>
      <c r="AP978" t="str">
        <f t="shared" si="358"/>
        <v/>
      </c>
    </row>
    <row r="979" spans="1:42">
      <c r="A979" s="71">
        <f t="shared" si="366"/>
        <v>0</v>
      </c>
      <c r="B979" s="513">
        <f t="shared" si="365"/>
        <v>967</v>
      </c>
      <c r="C979" s="530" t="str">
        <f>IF(Inventory!E976="","",Inventory!E976)</f>
        <v/>
      </c>
      <c r="D979" s="531">
        <f>IF(Inventory!D976="",0,Inventory!D976)</f>
        <v>0</v>
      </c>
      <c r="E979" s="532" t="str">
        <f>IF(Inventory!I976=0,"",Inventory!I976)</f>
        <v/>
      </c>
      <c r="F979" s="533" t="str">
        <f t="shared" si="345"/>
        <v/>
      </c>
      <c r="G979" s="534" t="str">
        <f>IF(Inventory!G976="","",Inventory!G976)</f>
        <v/>
      </c>
      <c r="H979" s="535" t="str">
        <f t="shared" si="346"/>
        <v/>
      </c>
      <c r="I979" s="536" t="str">
        <f>IF(Inventory!J976="","",Inventory!J976)</f>
        <v/>
      </c>
      <c r="J979" s="537" t="str">
        <f>IFERROR(IF(PRJ_Type="New Construction",IF(Inventory!C976="N",INDEX(xyLPD_BuildingArea,MATCH(Building_Type,Lookups!$F$37:$F$75,0),4),INDEX(xyLPD_SpaceBySpace,MATCH(INDEX(xyNCEx,MATCH(I979,yNCExArea,0),2),ySpace_by_Space_Type,0),2)),VLOOKUP(E979,xyWattage_Table,11,FALSE)),"")</f>
        <v/>
      </c>
      <c r="K979" s="538" t="str">
        <f>IFERROR(IF(AND(NC_Type="Building Area Method",Inventory!C976="N"),IF(ISERROR(INDEX('Usage Groups (&gt;120 MWh only)'!$N$8:$N$12,MATCH(C979,'Usage Groups (&gt;120 MWh only)'!$B$8:$B$12,0),1))=TRUE,SqFt/COUNTIFS(Inventory!$C$10:$C$1009,"N",$Q$13:$Q$1012,"&gt;=0"),INDEX('Usage Groups (&gt;120 MWh only)'!$N$8:$N$12,MATCH(C979,'Usage Groups (&gt;120 MWh only)'!$B$8:$B$12,0),1)/COUNTIF($C$13:$C$1012,C979)),IF(AND(NC_Type="Building Area Method",Inventory!C976="Y"),INDEX(xyNCEx,MATCH(I979,yNCExArea,0),3)/COUNTIF($I$13:$I$1012,I979),VLOOKUP(J979,xyWattage_Table,10,FALSE))),"")</f>
        <v/>
      </c>
      <c r="L979" s="539" t="str">
        <f t="shared" si="347"/>
        <v/>
      </c>
      <c r="M979" s="540">
        <f>IF(Inventory!N976="","",Inventory!N976)</f>
        <v>0</v>
      </c>
      <c r="N979" s="533" t="str">
        <f t="shared" si="348"/>
        <v/>
      </c>
      <c r="O979" s="534"/>
      <c r="P979" s="533" t="str">
        <f t="shared" si="349"/>
        <v/>
      </c>
      <c r="Q979" s="534" t="str">
        <f>IF(Inventory!L976="","",Inventory!L976)</f>
        <v/>
      </c>
      <c r="R979" s="535" t="str">
        <f t="shared" si="350"/>
        <v/>
      </c>
      <c r="S979" s="536" t="str">
        <f>IF(Inventory!O976="","",Inventory!O976)</f>
        <v/>
      </c>
      <c r="T979" s="541" t="str">
        <f>IFERROR(IF(C979="","",IF(INDEX(xyWattage_Table,MATCH(M979,'Fixture Identities'!$B$9:$B$997,0),2)="Exit Sign",8760,IF(VLOOKUP(C979,xySpace_Type_Details,8,FALSE)="TRM",INDEX('General Information'!$AF$17:$AG$28,11,MATCH(N979,'General Information'!$AF$16:$AG$16,0)),HLOOKUP(VLOOKUP(C979,xySpace_Type_Details,8,FALSE),'General Information'!$P$15:$AG$28,13,FALSE)))),"")</f>
        <v/>
      </c>
      <c r="U979" s="542" t="str">
        <f>IFERROR(IF(C979="","",IF(INDEX(xyWattage_Table,MATCH(M979,'Fixture Identities'!$B$9:$B$997,0),2)="Exit Sign",1,IF(VLOOKUP(C979,xySpace_Type_Details,8,FALSE)="TRM",INDEX('General Information'!$AF$17:$AG$28,12,MATCH(N979,'General Information'!$AF$16:$AG$16,0)),HLOOKUP(VLOOKUP(C979,xySpace_Type_Details,8,FALSE),'General Information'!$P$15:$AG$28,14,FALSE)))),"")</f>
        <v/>
      </c>
      <c r="V979" s="542" t="str">
        <f>IFERROR(VLOOKUP(INDEX(xySpace_Type_Details,MATCH($C979,'General Information'!$C$40:$C$60,0),12),Lookups!$L$8:$N$12,2,FALSE),"")</f>
        <v/>
      </c>
      <c r="W979" s="542" t="str">
        <f>IFERROR(VLOOKUP(INDEX(xySpace_Type_Details,MATCH($C979,'General Information'!$C$40:$C$60,0),12),Lookups!$L$8:$N$12,3,FALSE),"")</f>
        <v/>
      </c>
      <c r="Y979" s="542" t="str">
        <f>IFERROR(IF(C979="","",IF(INDEX(xyWattage_Table,MATCH(M979,'Fixture Identities'!$B$9:$B$997,0),2)="Exit Sign",0,IF(PRJ_Type="Retrofit",VLOOKUP(I979,xySVG_Factors,2,FALSE),IF(AND(PRJ_Type="New Construction",Inventory!C976="N"),VLOOKUP(VLOOKUP(Building_Type,xyLPD_BuildingArea,5,FALSE),xySVG_Factors_NC,3,FALSE),0)))),"")</f>
        <v/>
      </c>
      <c r="Z979" s="544" t="str">
        <f>IFERROR(IF(C979="","",IF(INDEX(xyWattage_Table,MATCH(M979,'Fixture Identities'!$B$9:$B$997,0),2)="Exit Sign",0,VLOOKUP(S979,xySVG_Factors,2,FALSE))),"")</f>
        <v/>
      </c>
      <c r="AA979" s="545" t="str">
        <f t="shared" si="351"/>
        <v/>
      </c>
      <c r="AB979" s="542" t="str">
        <f t="shared" si="352"/>
        <v/>
      </c>
      <c r="AC979" s="539" t="str">
        <f t="shared" si="353"/>
        <v/>
      </c>
      <c r="AD979" s="546" t="str">
        <f t="shared" si="354"/>
        <v/>
      </c>
      <c r="AE979" s="539" t="str">
        <f t="shared" si="355"/>
        <v/>
      </c>
      <c r="AF979" s="546" t="str">
        <f t="shared" si="356"/>
        <v/>
      </c>
      <c r="AG979" s="539" t="str">
        <f t="shared" si="357"/>
        <v/>
      </c>
      <c r="AH979" s="32">
        <f t="shared" si="359"/>
        <v>0</v>
      </c>
      <c r="AI979" s="32">
        <f t="shared" si="360"/>
        <v>0</v>
      </c>
      <c r="AJ979" s="32">
        <f t="shared" si="361"/>
        <v>0</v>
      </c>
      <c r="AK979" t="str">
        <f t="shared" si="362"/>
        <v/>
      </c>
      <c r="AL979" t="str">
        <f t="shared" si="363"/>
        <v/>
      </c>
      <c r="AM979" t="str">
        <f t="shared" si="364"/>
        <v/>
      </c>
      <c r="AO979" t="str">
        <f>IFERROR(VLOOKUP(M979,'Fixture Identities'!$B$9:$O$1045,14,FALSE),"")</f>
        <v/>
      </c>
      <c r="AP979" t="str">
        <f t="shared" si="358"/>
        <v/>
      </c>
    </row>
    <row r="980" spans="1:42">
      <c r="A980" s="71">
        <f t="shared" si="366"/>
        <v>0</v>
      </c>
      <c r="B980" s="513">
        <f t="shared" si="365"/>
        <v>968</v>
      </c>
      <c r="C980" s="530" t="str">
        <f>IF(Inventory!E977="","",Inventory!E977)</f>
        <v/>
      </c>
      <c r="D980" s="531">
        <f>IF(Inventory!D977="",0,Inventory!D977)</f>
        <v>0</v>
      </c>
      <c r="E980" s="532" t="str">
        <f>IF(Inventory!I977=0,"",Inventory!I977)</f>
        <v/>
      </c>
      <c r="F980" s="533" t="str">
        <f t="shared" si="345"/>
        <v/>
      </c>
      <c r="G980" s="534" t="str">
        <f>IF(Inventory!G977="","",Inventory!G977)</f>
        <v/>
      </c>
      <c r="H980" s="535" t="str">
        <f t="shared" si="346"/>
        <v/>
      </c>
      <c r="I980" s="536" t="str">
        <f>IF(Inventory!J977="","",Inventory!J977)</f>
        <v/>
      </c>
      <c r="J980" s="537" t="str">
        <f>IFERROR(IF(PRJ_Type="New Construction",IF(Inventory!C977="N",INDEX(xyLPD_BuildingArea,MATCH(Building_Type,Lookups!$F$37:$F$75,0),4),INDEX(xyLPD_SpaceBySpace,MATCH(INDEX(xyNCEx,MATCH(I980,yNCExArea,0),2),ySpace_by_Space_Type,0),2)),VLOOKUP(E980,xyWattage_Table,11,FALSE)),"")</f>
        <v/>
      </c>
      <c r="K980" s="538" t="str">
        <f>IFERROR(IF(AND(NC_Type="Building Area Method",Inventory!C977="N"),IF(ISERROR(INDEX('Usage Groups (&gt;120 MWh only)'!$N$8:$N$12,MATCH(C980,'Usage Groups (&gt;120 MWh only)'!$B$8:$B$12,0),1))=TRUE,SqFt/COUNTIFS(Inventory!$C$10:$C$1009,"N",$Q$13:$Q$1012,"&gt;=0"),INDEX('Usage Groups (&gt;120 MWh only)'!$N$8:$N$12,MATCH(C980,'Usage Groups (&gt;120 MWh only)'!$B$8:$B$12,0),1)/COUNTIF($C$13:$C$1012,C980)),IF(AND(NC_Type="Building Area Method",Inventory!C977="Y"),INDEX(xyNCEx,MATCH(I980,yNCExArea,0),3)/COUNTIF($I$13:$I$1012,I980),VLOOKUP(J980,xyWattage_Table,10,FALSE))),"")</f>
        <v/>
      </c>
      <c r="L980" s="539" t="str">
        <f t="shared" si="347"/>
        <v/>
      </c>
      <c r="M980" s="540">
        <f>IF(Inventory!N977="","",Inventory!N977)</f>
        <v>0</v>
      </c>
      <c r="N980" s="533" t="str">
        <f t="shared" si="348"/>
        <v/>
      </c>
      <c r="O980" s="534"/>
      <c r="P980" s="533" t="str">
        <f t="shared" si="349"/>
        <v/>
      </c>
      <c r="Q980" s="534" t="str">
        <f>IF(Inventory!L977="","",Inventory!L977)</f>
        <v/>
      </c>
      <c r="R980" s="535" t="str">
        <f t="shared" si="350"/>
        <v/>
      </c>
      <c r="S980" s="536" t="str">
        <f>IF(Inventory!O977="","",Inventory!O977)</f>
        <v/>
      </c>
      <c r="T980" s="541" t="str">
        <f>IFERROR(IF(C980="","",IF(INDEX(xyWattage_Table,MATCH(M980,'Fixture Identities'!$B$9:$B$997,0),2)="Exit Sign",8760,IF(VLOOKUP(C980,xySpace_Type_Details,8,FALSE)="TRM",INDEX('General Information'!$AF$17:$AG$28,11,MATCH(N980,'General Information'!$AF$16:$AG$16,0)),HLOOKUP(VLOOKUP(C980,xySpace_Type_Details,8,FALSE),'General Information'!$P$15:$AG$28,13,FALSE)))),"")</f>
        <v/>
      </c>
      <c r="U980" s="542" t="str">
        <f>IFERROR(IF(C980="","",IF(INDEX(xyWattage_Table,MATCH(M980,'Fixture Identities'!$B$9:$B$997,0),2)="Exit Sign",1,IF(VLOOKUP(C980,xySpace_Type_Details,8,FALSE)="TRM",INDEX('General Information'!$AF$17:$AG$28,12,MATCH(N980,'General Information'!$AF$16:$AG$16,0)),HLOOKUP(VLOOKUP(C980,xySpace_Type_Details,8,FALSE),'General Information'!$P$15:$AG$28,14,FALSE)))),"")</f>
        <v/>
      </c>
      <c r="V980" s="542" t="str">
        <f>IFERROR(VLOOKUP(INDEX(xySpace_Type_Details,MATCH($C980,'General Information'!$C$40:$C$60,0),12),Lookups!$L$8:$N$12,2,FALSE),"")</f>
        <v/>
      </c>
      <c r="W980" s="542" t="str">
        <f>IFERROR(VLOOKUP(INDEX(xySpace_Type_Details,MATCH($C980,'General Information'!$C$40:$C$60,0),12),Lookups!$L$8:$N$12,3,FALSE),"")</f>
        <v/>
      </c>
      <c r="Y980" s="542" t="str">
        <f>IFERROR(IF(C980="","",IF(INDEX(xyWattage_Table,MATCH(M980,'Fixture Identities'!$B$9:$B$997,0),2)="Exit Sign",0,IF(PRJ_Type="Retrofit",VLOOKUP(I980,xySVG_Factors,2,FALSE),IF(AND(PRJ_Type="New Construction",Inventory!C977="N"),VLOOKUP(VLOOKUP(Building_Type,xyLPD_BuildingArea,5,FALSE),xySVG_Factors_NC,3,FALSE),0)))),"")</f>
        <v/>
      </c>
      <c r="Z980" s="544" t="str">
        <f>IFERROR(IF(C980="","",IF(INDEX(xyWattage_Table,MATCH(M980,'Fixture Identities'!$B$9:$B$997,0),2)="Exit Sign",0,VLOOKUP(S980,xySVG_Factors,2,FALSE))),"")</f>
        <v/>
      </c>
      <c r="AA980" s="545" t="str">
        <f t="shared" si="351"/>
        <v/>
      </c>
      <c r="AB980" s="542" t="str">
        <f t="shared" si="352"/>
        <v/>
      </c>
      <c r="AC980" s="539" t="str">
        <f t="shared" si="353"/>
        <v/>
      </c>
      <c r="AD980" s="546" t="str">
        <f t="shared" si="354"/>
        <v/>
      </c>
      <c r="AE980" s="539" t="str">
        <f t="shared" si="355"/>
        <v/>
      </c>
      <c r="AF980" s="546" t="str">
        <f t="shared" si="356"/>
        <v/>
      </c>
      <c r="AG980" s="539" t="str">
        <f t="shared" si="357"/>
        <v/>
      </c>
      <c r="AH980" s="32">
        <f t="shared" si="359"/>
        <v>0</v>
      </c>
      <c r="AI980" s="32">
        <f t="shared" si="360"/>
        <v>0</v>
      </c>
      <c r="AJ980" s="32">
        <f t="shared" si="361"/>
        <v>0</v>
      </c>
      <c r="AK980" t="str">
        <f t="shared" si="362"/>
        <v/>
      </c>
      <c r="AL980" t="str">
        <f t="shared" si="363"/>
        <v/>
      </c>
      <c r="AM980" t="str">
        <f t="shared" si="364"/>
        <v/>
      </c>
      <c r="AO980" t="str">
        <f>IFERROR(VLOOKUP(M980,'Fixture Identities'!$B$9:$O$1045,14,FALSE),"")</f>
        <v/>
      </c>
      <c r="AP980" t="str">
        <f t="shared" si="358"/>
        <v/>
      </c>
    </row>
    <row r="981" spans="1:42">
      <c r="A981" s="71">
        <f t="shared" si="366"/>
        <v>0</v>
      </c>
      <c r="B981" s="513">
        <f t="shared" si="365"/>
        <v>969</v>
      </c>
      <c r="C981" s="530" t="str">
        <f>IF(Inventory!E978="","",Inventory!E978)</f>
        <v/>
      </c>
      <c r="D981" s="531">
        <f>IF(Inventory!D978="",0,Inventory!D978)</f>
        <v>0</v>
      </c>
      <c r="E981" s="532" t="str">
        <f>IF(Inventory!I978=0,"",Inventory!I978)</f>
        <v/>
      </c>
      <c r="F981" s="533" t="str">
        <f t="shared" si="345"/>
        <v/>
      </c>
      <c r="G981" s="534" t="str">
        <f>IF(Inventory!G978="","",Inventory!G978)</f>
        <v/>
      </c>
      <c r="H981" s="535" t="str">
        <f t="shared" si="346"/>
        <v/>
      </c>
      <c r="I981" s="536" t="str">
        <f>IF(Inventory!J978="","",Inventory!J978)</f>
        <v/>
      </c>
      <c r="J981" s="537" t="str">
        <f>IFERROR(IF(PRJ_Type="New Construction",IF(Inventory!C978="N",INDEX(xyLPD_BuildingArea,MATCH(Building_Type,Lookups!$F$37:$F$75,0),4),INDEX(xyLPD_SpaceBySpace,MATCH(INDEX(xyNCEx,MATCH(I981,yNCExArea,0),2),ySpace_by_Space_Type,0),2)),VLOOKUP(E981,xyWattage_Table,11,FALSE)),"")</f>
        <v/>
      </c>
      <c r="K981" s="538" t="str">
        <f>IFERROR(IF(AND(NC_Type="Building Area Method",Inventory!C978="N"),IF(ISERROR(INDEX('Usage Groups (&gt;120 MWh only)'!$N$8:$N$12,MATCH(C981,'Usage Groups (&gt;120 MWh only)'!$B$8:$B$12,0),1))=TRUE,SqFt/COUNTIFS(Inventory!$C$10:$C$1009,"N",$Q$13:$Q$1012,"&gt;=0"),INDEX('Usage Groups (&gt;120 MWh only)'!$N$8:$N$12,MATCH(C981,'Usage Groups (&gt;120 MWh only)'!$B$8:$B$12,0),1)/COUNTIF($C$13:$C$1012,C981)),IF(AND(NC_Type="Building Area Method",Inventory!C978="Y"),INDEX(xyNCEx,MATCH(I981,yNCExArea,0),3)/COUNTIF($I$13:$I$1012,I981),VLOOKUP(J981,xyWattage_Table,10,FALSE))),"")</f>
        <v/>
      </c>
      <c r="L981" s="539" t="str">
        <f t="shared" si="347"/>
        <v/>
      </c>
      <c r="M981" s="540">
        <f>IF(Inventory!N978="","",Inventory!N978)</f>
        <v>0</v>
      </c>
      <c r="N981" s="533" t="str">
        <f t="shared" si="348"/>
        <v/>
      </c>
      <c r="O981" s="534"/>
      <c r="P981" s="533" t="str">
        <f t="shared" si="349"/>
        <v/>
      </c>
      <c r="Q981" s="534" t="str">
        <f>IF(Inventory!L978="","",Inventory!L978)</f>
        <v/>
      </c>
      <c r="R981" s="535" t="str">
        <f t="shared" si="350"/>
        <v/>
      </c>
      <c r="S981" s="536" t="str">
        <f>IF(Inventory!O978="","",Inventory!O978)</f>
        <v/>
      </c>
      <c r="T981" s="541" t="str">
        <f>IFERROR(IF(C981="","",IF(INDEX(xyWattage_Table,MATCH(M981,'Fixture Identities'!$B$9:$B$997,0),2)="Exit Sign",8760,IF(VLOOKUP(C981,xySpace_Type_Details,8,FALSE)="TRM",INDEX('General Information'!$AF$17:$AG$28,11,MATCH(N981,'General Information'!$AF$16:$AG$16,0)),HLOOKUP(VLOOKUP(C981,xySpace_Type_Details,8,FALSE),'General Information'!$P$15:$AG$28,13,FALSE)))),"")</f>
        <v/>
      </c>
      <c r="U981" s="542" t="str">
        <f>IFERROR(IF(C981="","",IF(INDEX(xyWattage_Table,MATCH(M981,'Fixture Identities'!$B$9:$B$997,0),2)="Exit Sign",1,IF(VLOOKUP(C981,xySpace_Type_Details,8,FALSE)="TRM",INDEX('General Information'!$AF$17:$AG$28,12,MATCH(N981,'General Information'!$AF$16:$AG$16,0)),HLOOKUP(VLOOKUP(C981,xySpace_Type_Details,8,FALSE),'General Information'!$P$15:$AG$28,14,FALSE)))),"")</f>
        <v/>
      </c>
      <c r="V981" s="542" t="str">
        <f>IFERROR(VLOOKUP(INDEX(xySpace_Type_Details,MATCH($C981,'General Information'!$C$40:$C$60,0),12),Lookups!$L$8:$N$12,2,FALSE),"")</f>
        <v/>
      </c>
      <c r="W981" s="542" t="str">
        <f>IFERROR(VLOOKUP(INDEX(xySpace_Type_Details,MATCH($C981,'General Information'!$C$40:$C$60,0),12),Lookups!$L$8:$N$12,3,FALSE),"")</f>
        <v/>
      </c>
      <c r="Y981" s="542" t="str">
        <f>IFERROR(IF(C981="","",IF(INDEX(xyWattage_Table,MATCH(M981,'Fixture Identities'!$B$9:$B$997,0),2)="Exit Sign",0,IF(PRJ_Type="Retrofit",VLOOKUP(I981,xySVG_Factors,2,FALSE),IF(AND(PRJ_Type="New Construction",Inventory!C978="N"),VLOOKUP(VLOOKUP(Building_Type,xyLPD_BuildingArea,5,FALSE),xySVG_Factors_NC,3,FALSE),0)))),"")</f>
        <v/>
      </c>
      <c r="Z981" s="544" t="str">
        <f>IFERROR(IF(C981="","",IF(INDEX(xyWattage_Table,MATCH(M981,'Fixture Identities'!$B$9:$B$997,0),2)="Exit Sign",0,VLOOKUP(S981,xySVG_Factors,2,FALSE))),"")</f>
        <v/>
      </c>
      <c r="AA981" s="545" t="str">
        <f t="shared" si="351"/>
        <v/>
      </c>
      <c r="AB981" s="542" t="str">
        <f t="shared" si="352"/>
        <v/>
      </c>
      <c r="AC981" s="539" t="str">
        <f t="shared" si="353"/>
        <v/>
      </c>
      <c r="AD981" s="546" t="str">
        <f t="shared" si="354"/>
        <v/>
      </c>
      <c r="AE981" s="539" t="str">
        <f t="shared" si="355"/>
        <v/>
      </c>
      <c r="AF981" s="546" t="str">
        <f t="shared" si="356"/>
        <v/>
      </c>
      <c r="AG981" s="539" t="str">
        <f t="shared" si="357"/>
        <v/>
      </c>
      <c r="AH981" s="32">
        <f t="shared" si="359"/>
        <v>0</v>
      </c>
      <c r="AI981" s="32">
        <f t="shared" si="360"/>
        <v>0</v>
      </c>
      <c r="AJ981" s="32">
        <f t="shared" si="361"/>
        <v>0</v>
      </c>
      <c r="AK981" t="str">
        <f t="shared" si="362"/>
        <v/>
      </c>
      <c r="AL981" t="str">
        <f t="shared" si="363"/>
        <v/>
      </c>
      <c r="AM981" t="str">
        <f t="shared" si="364"/>
        <v/>
      </c>
      <c r="AO981" t="str">
        <f>IFERROR(VLOOKUP(M981,'Fixture Identities'!$B$9:$O$1045,14,FALSE),"")</f>
        <v/>
      </c>
      <c r="AP981" t="str">
        <f t="shared" si="358"/>
        <v/>
      </c>
    </row>
    <row r="982" spans="1:42">
      <c r="A982" s="71">
        <f t="shared" si="366"/>
        <v>0</v>
      </c>
      <c r="B982" s="513">
        <f t="shared" si="365"/>
        <v>970</v>
      </c>
      <c r="C982" s="530" t="str">
        <f>IF(Inventory!E979="","",Inventory!E979)</f>
        <v/>
      </c>
      <c r="D982" s="531">
        <f>IF(Inventory!D979="",0,Inventory!D979)</f>
        <v>0</v>
      </c>
      <c r="E982" s="532" t="str">
        <f>IF(Inventory!I979=0,"",Inventory!I979)</f>
        <v/>
      </c>
      <c r="F982" s="533" t="str">
        <f t="shared" si="345"/>
        <v/>
      </c>
      <c r="G982" s="534" t="str">
        <f>IF(Inventory!G979="","",Inventory!G979)</f>
        <v/>
      </c>
      <c r="H982" s="535" t="str">
        <f t="shared" si="346"/>
        <v/>
      </c>
      <c r="I982" s="536" t="str">
        <f>IF(Inventory!J979="","",Inventory!J979)</f>
        <v/>
      </c>
      <c r="J982" s="537" t="str">
        <f>IFERROR(IF(PRJ_Type="New Construction",IF(Inventory!C979="N",INDEX(xyLPD_BuildingArea,MATCH(Building_Type,Lookups!$F$37:$F$75,0),4),INDEX(xyLPD_SpaceBySpace,MATCH(INDEX(xyNCEx,MATCH(I982,yNCExArea,0),2),ySpace_by_Space_Type,0),2)),VLOOKUP(E982,xyWattage_Table,11,FALSE)),"")</f>
        <v/>
      </c>
      <c r="K982" s="538" t="str">
        <f>IFERROR(IF(AND(NC_Type="Building Area Method",Inventory!C979="N"),IF(ISERROR(INDEX('Usage Groups (&gt;120 MWh only)'!$N$8:$N$12,MATCH(C982,'Usage Groups (&gt;120 MWh only)'!$B$8:$B$12,0),1))=TRUE,SqFt/COUNTIFS(Inventory!$C$10:$C$1009,"N",$Q$13:$Q$1012,"&gt;=0"),INDEX('Usage Groups (&gt;120 MWh only)'!$N$8:$N$12,MATCH(C982,'Usage Groups (&gt;120 MWh only)'!$B$8:$B$12,0),1)/COUNTIF($C$13:$C$1012,C982)),IF(AND(NC_Type="Building Area Method",Inventory!C979="Y"),INDEX(xyNCEx,MATCH(I982,yNCExArea,0),3)/COUNTIF($I$13:$I$1012,I982),VLOOKUP(J982,xyWattage_Table,10,FALSE))),"")</f>
        <v/>
      </c>
      <c r="L982" s="539" t="str">
        <f t="shared" si="347"/>
        <v/>
      </c>
      <c r="M982" s="540">
        <f>IF(Inventory!N979="","",Inventory!N979)</f>
        <v>0</v>
      </c>
      <c r="N982" s="533" t="str">
        <f t="shared" si="348"/>
        <v/>
      </c>
      <c r="O982" s="534"/>
      <c r="P982" s="533" t="str">
        <f t="shared" si="349"/>
        <v/>
      </c>
      <c r="Q982" s="534" t="str">
        <f>IF(Inventory!L979="","",Inventory!L979)</f>
        <v/>
      </c>
      <c r="R982" s="535" t="str">
        <f t="shared" si="350"/>
        <v/>
      </c>
      <c r="S982" s="536" t="str">
        <f>IF(Inventory!O979="","",Inventory!O979)</f>
        <v/>
      </c>
      <c r="T982" s="541" t="str">
        <f>IFERROR(IF(C982="","",IF(INDEX(xyWattage_Table,MATCH(M982,'Fixture Identities'!$B$9:$B$997,0),2)="Exit Sign",8760,IF(VLOOKUP(C982,xySpace_Type_Details,8,FALSE)="TRM",INDEX('General Information'!$AF$17:$AG$28,11,MATCH(N982,'General Information'!$AF$16:$AG$16,0)),HLOOKUP(VLOOKUP(C982,xySpace_Type_Details,8,FALSE),'General Information'!$P$15:$AG$28,13,FALSE)))),"")</f>
        <v/>
      </c>
      <c r="U982" s="542" t="str">
        <f>IFERROR(IF(C982="","",IF(INDEX(xyWattage_Table,MATCH(M982,'Fixture Identities'!$B$9:$B$997,0),2)="Exit Sign",1,IF(VLOOKUP(C982,xySpace_Type_Details,8,FALSE)="TRM",INDEX('General Information'!$AF$17:$AG$28,12,MATCH(N982,'General Information'!$AF$16:$AG$16,0)),HLOOKUP(VLOOKUP(C982,xySpace_Type_Details,8,FALSE),'General Information'!$P$15:$AG$28,14,FALSE)))),"")</f>
        <v/>
      </c>
      <c r="V982" s="542" t="str">
        <f>IFERROR(VLOOKUP(INDEX(xySpace_Type_Details,MATCH($C982,'General Information'!$C$40:$C$60,0),12),Lookups!$L$8:$N$12,2,FALSE),"")</f>
        <v/>
      </c>
      <c r="W982" s="542" t="str">
        <f>IFERROR(VLOOKUP(INDEX(xySpace_Type_Details,MATCH($C982,'General Information'!$C$40:$C$60,0),12),Lookups!$L$8:$N$12,3,FALSE),"")</f>
        <v/>
      </c>
      <c r="Y982" s="542" t="str">
        <f>IFERROR(IF(C982="","",IF(INDEX(xyWattage_Table,MATCH(M982,'Fixture Identities'!$B$9:$B$997,0),2)="Exit Sign",0,IF(PRJ_Type="Retrofit",VLOOKUP(I982,xySVG_Factors,2,FALSE),IF(AND(PRJ_Type="New Construction",Inventory!C979="N"),VLOOKUP(VLOOKUP(Building_Type,xyLPD_BuildingArea,5,FALSE),xySVG_Factors_NC,3,FALSE),0)))),"")</f>
        <v/>
      </c>
      <c r="Z982" s="544" t="str">
        <f>IFERROR(IF(C982="","",IF(INDEX(xyWattage_Table,MATCH(M982,'Fixture Identities'!$B$9:$B$997,0),2)="Exit Sign",0,VLOOKUP(S982,xySVG_Factors,2,FALSE))),"")</f>
        <v/>
      </c>
      <c r="AA982" s="545" t="str">
        <f t="shared" si="351"/>
        <v/>
      </c>
      <c r="AB982" s="542" t="str">
        <f t="shared" si="352"/>
        <v/>
      </c>
      <c r="AC982" s="539" t="str">
        <f t="shared" si="353"/>
        <v/>
      </c>
      <c r="AD982" s="546" t="str">
        <f t="shared" si="354"/>
        <v/>
      </c>
      <c r="AE982" s="539" t="str">
        <f t="shared" si="355"/>
        <v/>
      </c>
      <c r="AF982" s="546" t="str">
        <f t="shared" si="356"/>
        <v/>
      </c>
      <c r="AG982" s="539" t="str">
        <f t="shared" si="357"/>
        <v/>
      </c>
      <c r="AH982" s="32">
        <f t="shared" si="359"/>
        <v>0</v>
      </c>
      <c r="AI982" s="32">
        <f t="shared" si="360"/>
        <v>0</v>
      </c>
      <c r="AJ982" s="32">
        <f t="shared" si="361"/>
        <v>0</v>
      </c>
      <c r="AK982" t="str">
        <f t="shared" si="362"/>
        <v/>
      </c>
      <c r="AL982" t="str">
        <f t="shared" si="363"/>
        <v/>
      </c>
      <c r="AM982" t="str">
        <f t="shared" si="364"/>
        <v/>
      </c>
      <c r="AO982" t="str">
        <f>IFERROR(VLOOKUP(M982,'Fixture Identities'!$B$9:$O$1045,14,FALSE),"")</f>
        <v/>
      </c>
      <c r="AP982" t="str">
        <f t="shared" si="358"/>
        <v/>
      </c>
    </row>
    <row r="983" spans="1:42">
      <c r="A983" s="71">
        <f t="shared" si="366"/>
        <v>0</v>
      </c>
      <c r="B983" s="513">
        <f t="shared" si="365"/>
        <v>971</v>
      </c>
      <c r="C983" s="530" t="str">
        <f>IF(Inventory!E980="","",Inventory!E980)</f>
        <v/>
      </c>
      <c r="D983" s="531">
        <f>IF(Inventory!D980="",0,Inventory!D980)</f>
        <v>0</v>
      </c>
      <c r="E983" s="532" t="str">
        <f>IF(Inventory!I980=0,"",Inventory!I980)</f>
        <v/>
      </c>
      <c r="F983" s="533" t="str">
        <f t="shared" si="345"/>
        <v/>
      </c>
      <c r="G983" s="534" t="str">
        <f>IF(Inventory!G980="","",Inventory!G980)</f>
        <v/>
      </c>
      <c r="H983" s="535" t="str">
        <f t="shared" si="346"/>
        <v/>
      </c>
      <c r="I983" s="536" t="str">
        <f>IF(Inventory!J980="","",Inventory!J980)</f>
        <v/>
      </c>
      <c r="J983" s="537" t="str">
        <f>IFERROR(IF(PRJ_Type="New Construction",IF(Inventory!C980="N",INDEX(xyLPD_BuildingArea,MATCH(Building_Type,Lookups!$F$37:$F$75,0),4),INDEX(xyLPD_SpaceBySpace,MATCH(INDEX(xyNCEx,MATCH(I983,yNCExArea,0),2),ySpace_by_Space_Type,0),2)),VLOOKUP(E983,xyWattage_Table,11,FALSE)),"")</f>
        <v/>
      </c>
      <c r="K983" s="538" t="str">
        <f>IFERROR(IF(AND(NC_Type="Building Area Method",Inventory!C980="N"),IF(ISERROR(INDEX('Usage Groups (&gt;120 MWh only)'!$N$8:$N$12,MATCH(C983,'Usage Groups (&gt;120 MWh only)'!$B$8:$B$12,0),1))=TRUE,SqFt/COUNTIFS(Inventory!$C$10:$C$1009,"N",$Q$13:$Q$1012,"&gt;=0"),INDEX('Usage Groups (&gt;120 MWh only)'!$N$8:$N$12,MATCH(C983,'Usage Groups (&gt;120 MWh only)'!$B$8:$B$12,0),1)/COUNTIF($C$13:$C$1012,C983)),IF(AND(NC_Type="Building Area Method",Inventory!C980="Y"),INDEX(xyNCEx,MATCH(I983,yNCExArea,0),3)/COUNTIF($I$13:$I$1012,I983),VLOOKUP(J983,xyWattage_Table,10,FALSE))),"")</f>
        <v/>
      </c>
      <c r="L983" s="539" t="str">
        <f t="shared" si="347"/>
        <v/>
      </c>
      <c r="M983" s="540">
        <f>IF(Inventory!N980="","",Inventory!N980)</f>
        <v>0</v>
      </c>
      <c r="N983" s="533" t="str">
        <f t="shared" si="348"/>
        <v/>
      </c>
      <c r="O983" s="534"/>
      <c r="P983" s="533" t="str">
        <f t="shared" si="349"/>
        <v/>
      </c>
      <c r="Q983" s="534" t="str">
        <f>IF(Inventory!L980="","",Inventory!L980)</f>
        <v/>
      </c>
      <c r="R983" s="535" t="str">
        <f t="shared" si="350"/>
        <v/>
      </c>
      <c r="S983" s="536" t="str">
        <f>IF(Inventory!O980="","",Inventory!O980)</f>
        <v/>
      </c>
      <c r="T983" s="541" t="str">
        <f>IFERROR(IF(C983="","",IF(INDEX(xyWattage_Table,MATCH(M983,'Fixture Identities'!$B$9:$B$997,0),2)="Exit Sign",8760,IF(VLOOKUP(C983,xySpace_Type_Details,8,FALSE)="TRM",INDEX('General Information'!$AF$17:$AG$28,11,MATCH(N983,'General Information'!$AF$16:$AG$16,0)),HLOOKUP(VLOOKUP(C983,xySpace_Type_Details,8,FALSE),'General Information'!$P$15:$AG$28,13,FALSE)))),"")</f>
        <v/>
      </c>
      <c r="U983" s="542" t="str">
        <f>IFERROR(IF(C983="","",IF(INDEX(xyWattage_Table,MATCH(M983,'Fixture Identities'!$B$9:$B$997,0),2)="Exit Sign",1,IF(VLOOKUP(C983,xySpace_Type_Details,8,FALSE)="TRM",INDEX('General Information'!$AF$17:$AG$28,12,MATCH(N983,'General Information'!$AF$16:$AG$16,0)),HLOOKUP(VLOOKUP(C983,xySpace_Type_Details,8,FALSE),'General Information'!$P$15:$AG$28,14,FALSE)))),"")</f>
        <v/>
      </c>
      <c r="V983" s="542" t="str">
        <f>IFERROR(VLOOKUP(INDEX(xySpace_Type_Details,MATCH($C983,'General Information'!$C$40:$C$60,0),12),Lookups!$L$8:$N$12,2,FALSE),"")</f>
        <v/>
      </c>
      <c r="W983" s="542" t="str">
        <f>IFERROR(VLOOKUP(INDEX(xySpace_Type_Details,MATCH($C983,'General Information'!$C$40:$C$60,0),12),Lookups!$L$8:$N$12,3,FALSE),"")</f>
        <v/>
      </c>
      <c r="Y983" s="542" t="str">
        <f>IFERROR(IF(C983="","",IF(INDEX(xyWattage_Table,MATCH(M983,'Fixture Identities'!$B$9:$B$997,0),2)="Exit Sign",0,IF(PRJ_Type="Retrofit",VLOOKUP(I983,xySVG_Factors,2,FALSE),IF(AND(PRJ_Type="New Construction",Inventory!C980="N"),VLOOKUP(VLOOKUP(Building_Type,xyLPD_BuildingArea,5,FALSE),xySVG_Factors_NC,3,FALSE),0)))),"")</f>
        <v/>
      </c>
      <c r="Z983" s="544" t="str">
        <f>IFERROR(IF(C983="","",IF(INDEX(xyWattage_Table,MATCH(M983,'Fixture Identities'!$B$9:$B$997,0),2)="Exit Sign",0,VLOOKUP(S983,xySVG_Factors,2,FALSE))),"")</f>
        <v/>
      </c>
      <c r="AA983" s="545" t="str">
        <f t="shared" si="351"/>
        <v/>
      </c>
      <c r="AB983" s="542" t="str">
        <f t="shared" si="352"/>
        <v/>
      </c>
      <c r="AC983" s="539" t="str">
        <f t="shared" si="353"/>
        <v/>
      </c>
      <c r="AD983" s="546" t="str">
        <f t="shared" si="354"/>
        <v/>
      </c>
      <c r="AE983" s="539" t="str">
        <f t="shared" si="355"/>
        <v/>
      </c>
      <c r="AF983" s="546" t="str">
        <f t="shared" si="356"/>
        <v/>
      </c>
      <c r="AG983" s="539" t="str">
        <f t="shared" si="357"/>
        <v/>
      </c>
      <c r="AH983" s="32">
        <f t="shared" si="359"/>
        <v>0</v>
      </c>
      <c r="AI983" s="32">
        <f t="shared" si="360"/>
        <v>0</v>
      </c>
      <c r="AJ983" s="32">
        <f t="shared" si="361"/>
        <v>0</v>
      </c>
      <c r="AK983" t="str">
        <f t="shared" si="362"/>
        <v/>
      </c>
      <c r="AL983" t="str">
        <f t="shared" si="363"/>
        <v/>
      </c>
      <c r="AM983" t="str">
        <f t="shared" si="364"/>
        <v/>
      </c>
      <c r="AO983" t="str">
        <f>IFERROR(VLOOKUP(M983,'Fixture Identities'!$B$9:$O$1045,14,FALSE),"")</f>
        <v/>
      </c>
      <c r="AP983" t="str">
        <f t="shared" si="358"/>
        <v/>
      </c>
    </row>
    <row r="984" spans="1:42">
      <c r="A984" s="71">
        <f t="shared" si="366"/>
        <v>0</v>
      </c>
      <c r="B984" s="513">
        <f t="shared" si="365"/>
        <v>972</v>
      </c>
      <c r="C984" s="530" t="str">
        <f>IF(Inventory!E981="","",Inventory!E981)</f>
        <v/>
      </c>
      <c r="D984" s="531">
        <f>IF(Inventory!D981="",0,Inventory!D981)</f>
        <v>0</v>
      </c>
      <c r="E984" s="532" t="str">
        <f>IF(Inventory!I981=0,"",Inventory!I981)</f>
        <v/>
      </c>
      <c r="F984" s="533" t="str">
        <f t="shared" si="345"/>
        <v/>
      </c>
      <c r="G984" s="534" t="str">
        <f>IF(Inventory!G981="","",Inventory!G981)</f>
        <v/>
      </c>
      <c r="H984" s="535" t="str">
        <f t="shared" si="346"/>
        <v/>
      </c>
      <c r="I984" s="536" t="str">
        <f>IF(Inventory!J981="","",Inventory!J981)</f>
        <v/>
      </c>
      <c r="J984" s="537" t="str">
        <f>IFERROR(IF(PRJ_Type="New Construction",IF(Inventory!C981="N",INDEX(xyLPD_BuildingArea,MATCH(Building_Type,Lookups!$F$37:$F$75,0),4),INDEX(xyLPD_SpaceBySpace,MATCH(INDEX(xyNCEx,MATCH(I984,yNCExArea,0),2),ySpace_by_Space_Type,0),2)),VLOOKUP(E984,xyWattage_Table,11,FALSE)),"")</f>
        <v/>
      </c>
      <c r="K984" s="538" t="str">
        <f>IFERROR(IF(AND(NC_Type="Building Area Method",Inventory!C981="N"),IF(ISERROR(INDEX('Usage Groups (&gt;120 MWh only)'!$N$8:$N$12,MATCH(C984,'Usage Groups (&gt;120 MWh only)'!$B$8:$B$12,0),1))=TRUE,SqFt/COUNTIFS(Inventory!$C$10:$C$1009,"N",$Q$13:$Q$1012,"&gt;=0"),INDEX('Usage Groups (&gt;120 MWh only)'!$N$8:$N$12,MATCH(C984,'Usage Groups (&gt;120 MWh only)'!$B$8:$B$12,0),1)/COUNTIF($C$13:$C$1012,C984)),IF(AND(NC_Type="Building Area Method",Inventory!C981="Y"),INDEX(xyNCEx,MATCH(I984,yNCExArea,0),3)/COUNTIF($I$13:$I$1012,I984),VLOOKUP(J984,xyWattage_Table,10,FALSE))),"")</f>
        <v/>
      </c>
      <c r="L984" s="539" t="str">
        <f t="shared" si="347"/>
        <v/>
      </c>
      <c r="M984" s="540">
        <f>IF(Inventory!N981="","",Inventory!N981)</f>
        <v>0</v>
      </c>
      <c r="N984" s="533" t="str">
        <f t="shared" si="348"/>
        <v/>
      </c>
      <c r="O984" s="534"/>
      <c r="P984" s="533" t="str">
        <f t="shared" si="349"/>
        <v/>
      </c>
      <c r="Q984" s="534" t="str">
        <f>IF(Inventory!L981="","",Inventory!L981)</f>
        <v/>
      </c>
      <c r="R984" s="535" t="str">
        <f t="shared" si="350"/>
        <v/>
      </c>
      <c r="S984" s="536" t="str">
        <f>IF(Inventory!O981="","",Inventory!O981)</f>
        <v/>
      </c>
      <c r="T984" s="541" t="str">
        <f>IFERROR(IF(C984="","",IF(INDEX(xyWattage_Table,MATCH(M984,'Fixture Identities'!$B$9:$B$997,0),2)="Exit Sign",8760,IF(VLOOKUP(C984,xySpace_Type_Details,8,FALSE)="TRM",INDEX('General Information'!$AF$17:$AG$28,11,MATCH(N984,'General Information'!$AF$16:$AG$16,0)),HLOOKUP(VLOOKUP(C984,xySpace_Type_Details,8,FALSE),'General Information'!$P$15:$AG$28,13,FALSE)))),"")</f>
        <v/>
      </c>
      <c r="U984" s="542" t="str">
        <f>IFERROR(IF(C984="","",IF(INDEX(xyWattage_Table,MATCH(M984,'Fixture Identities'!$B$9:$B$997,0),2)="Exit Sign",1,IF(VLOOKUP(C984,xySpace_Type_Details,8,FALSE)="TRM",INDEX('General Information'!$AF$17:$AG$28,12,MATCH(N984,'General Information'!$AF$16:$AG$16,0)),HLOOKUP(VLOOKUP(C984,xySpace_Type_Details,8,FALSE),'General Information'!$P$15:$AG$28,14,FALSE)))),"")</f>
        <v/>
      </c>
      <c r="V984" s="542" t="str">
        <f>IFERROR(VLOOKUP(INDEX(xySpace_Type_Details,MATCH($C984,'General Information'!$C$40:$C$60,0),12),Lookups!$L$8:$N$12,2,FALSE),"")</f>
        <v/>
      </c>
      <c r="W984" s="542" t="str">
        <f>IFERROR(VLOOKUP(INDEX(xySpace_Type_Details,MATCH($C984,'General Information'!$C$40:$C$60,0),12),Lookups!$L$8:$N$12,3,FALSE),"")</f>
        <v/>
      </c>
      <c r="Y984" s="542" t="str">
        <f>IFERROR(IF(C984="","",IF(INDEX(xyWattage_Table,MATCH(M984,'Fixture Identities'!$B$9:$B$997,0),2)="Exit Sign",0,IF(PRJ_Type="Retrofit",VLOOKUP(I984,xySVG_Factors,2,FALSE),IF(AND(PRJ_Type="New Construction",Inventory!C981="N"),VLOOKUP(VLOOKUP(Building_Type,xyLPD_BuildingArea,5,FALSE),xySVG_Factors_NC,3,FALSE),0)))),"")</f>
        <v/>
      </c>
      <c r="Z984" s="544" t="str">
        <f>IFERROR(IF(C984="","",IF(INDEX(xyWattage_Table,MATCH(M984,'Fixture Identities'!$B$9:$B$997,0),2)="Exit Sign",0,VLOOKUP(S984,xySVG_Factors,2,FALSE))),"")</f>
        <v/>
      </c>
      <c r="AA984" s="545" t="str">
        <f t="shared" si="351"/>
        <v/>
      </c>
      <c r="AB984" s="542" t="str">
        <f t="shared" si="352"/>
        <v/>
      </c>
      <c r="AC984" s="539" t="str">
        <f t="shared" si="353"/>
        <v/>
      </c>
      <c r="AD984" s="546" t="str">
        <f t="shared" si="354"/>
        <v/>
      </c>
      <c r="AE984" s="539" t="str">
        <f t="shared" si="355"/>
        <v/>
      </c>
      <c r="AF984" s="546" t="str">
        <f t="shared" si="356"/>
        <v/>
      </c>
      <c r="AG984" s="539" t="str">
        <f t="shared" si="357"/>
        <v/>
      </c>
      <c r="AH984" s="32">
        <f t="shared" si="359"/>
        <v>0</v>
      </c>
      <c r="AI984" s="32">
        <f t="shared" si="360"/>
        <v>0</v>
      </c>
      <c r="AJ984" s="32">
        <f t="shared" si="361"/>
        <v>0</v>
      </c>
      <c r="AK984" t="str">
        <f t="shared" si="362"/>
        <v/>
      </c>
      <c r="AL984" t="str">
        <f t="shared" si="363"/>
        <v/>
      </c>
      <c r="AM984" t="str">
        <f t="shared" si="364"/>
        <v/>
      </c>
      <c r="AO984" t="str">
        <f>IFERROR(VLOOKUP(M984,'Fixture Identities'!$B$9:$O$1045,14,FALSE),"")</f>
        <v/>
      </c>
      <c r="AP984" t="str">
        <f t="shared" si="358"/>
        <v/>
      </c>
    </row>
    <row r="985" spans="1:42">
      <c r="A985" s="71">
        <f t="shared" si="366"/>
        <v>0</v>
      </c>
      <c r="B985" s="513">
        <f t="shared" si="365"/>
        <v>973</v>
      </c>
      <c r="C985" s="530" t="str">
        <f>IF(Inventory!E982="","",Inventory!E982)</f>
        <v/>
      </c>
      <c r="D985" s="531">
        <f>IF(Inventory!D982="",0,Inventory!D982)</f>
        <v>0</v>
      </c>
      <c r="E985" s="532" t="str">
        <f>IF(Inventory!I982=0,"",Inventory!I982)</f>
        <v/>
      </c>
      <c r="F985" s="533" t="str">
        <f t="shared" si="345"/>
        <v/>
      </c>
      <c r="G985" s="534" t="str">
        <f>IF(Inventory!G982="","",Inventory!G982)</f>
        <v/>
      </c>
      <c r="H985" s="535" t="str">
        <f t="shared" si="346"/>
        <v/>
      </c>
      <c r="I985" s="536" t="str">
        <f>IF(Inventory!J982="","",Inventory!J982)</f>
        <v/>
      </c>
      <c r="J985" s="537" t="str">
        <f>IFERROR(IF(PRJ_Type="New Construction",IF(Inventory!C982="N",INDEX(xyLPD_BuildingArea,MATCH(Building_Type,Lookups!$F$37:$F$75,0),4),INDEX(xyLPD_SpaceBySpace,MATCH(INDEX(xyNCEx,MATCH(I985,yNCExArea,0),2),ySpace_by_Space_Type,0),2)),VLOOKUP(E985,xyWattage_Table,11,FALSE)),"")</f>
        <v/>
      </c>
      <c r="K985" s="538" t="str">
        <f>IFERROR(IF(AND(NC_Type="Building Area Method",Inventory!C982="N"),IF(ISERROR(INDEX('Usage Groups (&gt;120 MWh only)'!$N$8:$N$12,MATCH(C985,'Usage Groups (&gt;120 MWh only)'!$B$8:$B$12,0),1))=TRUE,SqFt/COUNTIFS(Inventory!$C$10:$C$1009,"N",$Q$13:$Q$1012,"&gt;=0"),INDEX('Usage Groups (&gt;120 MWh only)'!$N$8:$N$12,MATCH(C985,'Usage Groups (&gt;120 MWh only)'!$B$8:$B$12,0),1)/COUNTIF($C$13:$C$1012,C985)),IF(AND(NC_Type="Building Area Method",Inventory!C982="Y"),INDEX(xyNCEx,MATCH(I985,yNCExArea,0),3)/COUNTIF($I$13:$I$1012,I985),VLOOKUP(J985,xyWattage_Table,10,FALSE))),"")</f>
        <v/>
      </c>
      <c r="L985" s="539" t="str">
        <f t="shared" si="347"/>
        <v/>
      </c>
      <c r="M985" s="540">
        <f>IF(Inventory!N982="","",Inventory!N982)</f>
        <v>0</v>
      </c>
      <c r="N985" s="533" t="str">
        <f t="shared" si="348"/>
        <v/>
      </c>
      <c r="O985" s="534"/>
      <c r="P985" s="533" t="str">
        <f t="shared" si="349"/>
        <v/>
      </c>
      <c r="Q985" s="534" t="str">
        <f>IF(Inventory!L982="","",Inventory!L982)</f>
        <v/>
      </c>
      <c r="R985" s="535" t="str">
        <f t="shared" si="350"/>
        <v/>
      </c>
      <c r="S985" s="536" t="str">
        <f>IF(Inventory!O982="","",Inventory!O982)</f>
        <v/>
      </c>
      <c r="T985" s="541" t="str">
        <f>IFERROR(IF(C985="","",IF(INDEX(xyWattage_Table,MATCH(M985,'Fixture Identities'!$B$9:$B$997,0),2)="Exit Sign",8760,IF(VLOOKUP(C985,xySpace_Type_Details,8,FALSE)="TRM",INDEX('General Information'!$AF$17:$AG$28,11,MATCH(N985,'General Information'!$AF$16:$AG$16,0)),HLOOKUP(VLOOKUP(C985,xySpace_Type_Details,8,FALSE),'General Information'!$P$15:$AG$28,13,FALSE)))),"")</f>
        <v/>
      </c>
      <c r="U985" s="542" t="str">
        <f>IFERROR(IF(C985="","",IF(INDEX(xyWattage_Table,MATCH(M985,'Fixture Identities'!$B$9:$B$997,0),2)="Exit Sign",1,IF(VLOOKUP(C985,xySpace_Type_Details,8,FALSE)="TRM",INDEX('General Information'!$AF$17:$AG$28,12,MATCH(N985,'General Information'!$AF$16:$AG$16,0)),HLOOKUP(VLOOKUP(C985,xySpace_Type_Details,8,FALSE),'General Information'!$P$15:$AG$28,14,FALSE)))),"")</f>
        <v/>
      </c>
      <c r="V985" s="542" t="str">
        <f>IFERROR(VLOOKUP(INDEX(xySpace_Type_Details,MATCH($C985,'General Information'!$C$40:$C$60,0),12),Lookups!$L$8:$N$12,2,FALSE),"")</f>
        <v/>
      </c>
      <c r="W985" s="542" t="str">
        <f>IFERROR(VLOOKUP(INDEX(xySpace_Type_Details,MATCH($C985,'General Information'!$C$40:$C$60,0),12),Lookups!$L$8:$N$12,3,FALSE),"")</f>
        <v/>
      </c>
      <c r="Y985" s="542" t="str">
        <f>IFERROR(IF(C985="","",IF(INDEX(xyWattage_Table,MATCH(M985,'Fixture Identities'!$B$9:$B$997,0),2)="Exit Sign",0,IF(PRJ_Type="Retrofit",VLOOKUP(I985,xySVG_Factors,2,FALSE),IF(AND(PRJ_Type="New Construction",Inventory!C982="N"),VLOOKUP(VLOOKUP(Building_Type,xyLPD_BuildingArea,5,FALSE),xySVG_Factors_NC,3,FALSE),0)))),"")</f>
        <v/>
      </c>
      <c r="Z985" s="544" t="str">
        <f>IFERROR(IF(C985="","",IF(INDEX(xyWattage_Table,MATCH(M985,'Fixture Identities'!$B$9:$B$997,0),2)="Exit Sign",0,VLOOKUP(S985,xySVG_Factors,2,FALSE))),"")</f>
        <v/>
      </c>
      <c r="AA985" s="545" t="str">
        <f t="shared" si="351"/>
        <v/>
      </c>
      <c r="AB985" s="542" t="str">
        <f t="shared" si="352"/>
        <v/>
      </c>
      <c r="AC985" s="539" t="str">
        <f t="shared" si="353"/>
        <v/>
      </c>
      <c r="AD985" s="546" t="str">
        <f t="shared" si="354"/>
        <v/>
      </c>
      <c r="AE985" s="539" t="str">
        <f t="shared" si="355"/>
        <v/>
      </c>
      <c r="AF985" s="546" t="str">
        <f t="shared" si="356"/>
        <v/>
      </c>
      <c r="AG985" s="539" t="str">
        <f t="shared" si="357"/>
        <v/>
      </c>
      <c r="AH985" s="32">
        <f t="shared" si="359"/>
        <v>0</v>
      </c>
      <c r="AI985" s="32">
        <f t="shared" si="360"/>
        <v>0</v>
      </c>
      <c r="AJ985" s="32">
        <f t="shared" si="361"/>
        <v>0</v>
      </c>
      <c r="AK985" t="str">
        <f t="shared" si="362"/>
        <v/>
      </c>
      <c r="AL985" t="str">
        <f t="shared" si="363"/>
        <v/>
      </c>
      <c r="AM985" t="str">
        <f t="shared" si="364"/>
        <v/>
      </c>
      <c r="AO985" t="str">
        <f>IFERROR(VLOOKUP(M985,'Fixture Identities'!$B$9:$O$1045,14,FALSE),"")</f>
        <v/>
      </c>
      <c r="AP985" t="str">
        <f t="shared" si="358"/>
        <v/>
      </c>
    </row>
    <row r="986" spans="1:42">
      <c r="A986" s="71">
        <f t="shared" si="366"/>
        <v>0</v>
      </c>
      <c r="B986" s="513">
        <f t="shared" si="365"/>
        <v>974</v>
      </c>
      <c r="C986" s="530" t="str">
        <f>IF(Inventory!E983="","",Inventory!E983)</f>
        <v/>
      </c>
      <c r="D986" s="531">
        <f>IF(Inventory!D983="",0,Inventory!D983)</f>
        <v>0</v>
      </c>
      <c r="E986" s="532" t="str">
        <f>IF(Inventory!I983=0,"",Inventory!I983)</f>
        <v/>
      </c>
      <c r="F986" s="533" t="str">
        <f t="shared" si="345"/>
        <v/>
      </c>
      <c r="G986" s="534" t="str">
        <f>IF(Inventory!G983="","",Inventory!G983)</f>
        <v/>
      </c>
      <c r="H986" s="535" t="str">
        <f t="shared" si="346"/>
        <v/>
      </c>
      <c r="I986" s="536" t="str">
        <f>IF(Inventory!J983="","",Inventory!J983)</f>
        <v/>
      </c>
      <c r="J986" s="537" t="str">
        <f>IFERROR(IF(PRJ_Type="New Construction",IF(Inventory!C983="N",INDEX(xyLPD_BuildingArea,MATCH(Building_Type,Lookups!$F$37:$F$75,0),4),INDEX(xyLPD_SpaceBySpace,MATCH(INDEX(xyNCEx,MATCH(I986,yNCExArea,0),2),ySpace_by_Space_Type,0),2)),VLOOKUP(E986,xyWattage_Table,11,FALSE)),"")</f>
        <v/>
      </c>
      <c r="K986" s="538" t="str">
        <f>IFERROR(IF(AND(NC_Type="Building Area Method",Inventory!C983="N"),IF(ISERROR(INDEX('Usage Groups (&gt;120 MWh only)'!$N$8:$N$12,MATCH(C986,'Usage Groups (&gt;120 MWh only)'!$B$8:$B$12,0),1))=TRUE,SqFt/COUNTIFS(Inventory!$C$10:$C$1009,"N",$Q$13:$Q$1012,"&gt;=0"),INDEX('Usage Groups (&gt;120 MWh only)'!$N$8:$N$12,MATCH(C986,'Usage Groups (&gt;120 MWh only)'!$B$8:$B$12,0),1)/COUNTIF($C$13:$C$1012,C986)),IF(AND(NC_Type="Building Area Method",Inventory!C983="Y"),INDEX(xyNCEx,MATCH(I986,yNCExArea,0),3)/COUNTIF($I$13:$I$1012,I986),VLOOKUP(J986,xyWattage_Table,10,FALSE))),"")</f>
        <v/>
      </c>
      <c r="L986" s="539" t="str">
        <f t="shared" si="347"/>
        <v/>
      </c>
      <c r="M986" s="540">
        <f>IF(Inventory!N983="","",Inventory!N983)</f>
        <v>0</v>
      </c>
      <c r="N986" s="533" t="str">
        <f t="shared" si="348"/>
        <v/>
      </c>
      <c r="O986" s="534"/>
      <c r="P986" s="533" t="str">
        <f t="shared" si="349"/>
        <v/>
      </c>
      <c r="Q986" s="534" t="str">
        <f>IF(Inventory!L983="","",Inventory!L983)</f>
        <v/>
      </c>
      <c r="R986" s="535" t="str">
        <f t="shared" si="350"/>
        <v/>
      </c>
      <c r="S986" s="536" t="str">
        <f>IF(Inventory!O983="","",Inventory!O983)</f>
        <v/>
      </c>
      <c r="T986" s="541" t="str">
        <f>IFERROR(IF(C986="","",IF(INDEX(xyWattage_Table,MATCH(M986,'Fixture Identities'!$B$9:$B$997,0),2)="Exit Sign",8760,IF(VLOOKUP(C986,xySpace_Type_Details,8,FALSE)="TRM",INDEX('General Information'!$AF$17:$AG$28,11,MATCH(N986,'General Information'!$AF$16:$AG$16,0)),HLOOKUP(VLOOKUP(C986,xySpace_Type_Details,8,FALSE),'General Information'!$P$15:$AG$28,13,FALSE)))),"")</f>
        <v/>
      </c>
      <c r="U986" s="542" t="str">
        <f>IFERROR(IF(C986="","",IF(INDEX(xyWattage_Table,MATCH(M986,'Fixture Identities'!$B$9:$B$997,0),2)="Exit Sign",1,IF(VLOOKUP(C986,xySpace_Type_Details,8,FALSE)="TRM",INDEX('General Information'!$AF$17:$AG$28,12,MATCH(N986,'General Information'!$AF$16:$AG$16,0)),HLOOKUP(VLOOKUP(C986,xySpace_Type_Details,8,FALSE),'General Information'!$P$15:$AG$28,14,FALSE)))),"")</f>
        <v/>
      </c>
      <c r="V986" s="542" t="str">
        <f>IFERROR(VLOOKUP(INDEX(xySpace_Type_Details,MATCH($C986,'General Information'!$C$40:$C$60,0),12),Lookups!$L$8:$N$12,2,FALSE),"")</f>
        <v/>
      </c>
      <c r="W986" s="542" t="str">
        <f>IFERROR(VLOOKUP(INDEX(xySpace_Type_Details,MATCH($C986,'General Information'!$C$40:$C$60,0),12),Lookups!$L$8:$N$12,3,FALSE),"")</f>
        <v/>
      </c>
      <c r="Y986" s="542" t="str">
        <f>IFERROR(IF(C986="","",IF(INDEX(xyWattage_Table,MATCH(M986,'Fixture Identities'!$B$9:$B$997,0),2)="Exit Sign",0,IF(PRJ_Type="Retrofit",VLOOKUP(I986,xySVG_Factors,2,FALSE),IF(AND(PRJ_Type="New Construction",Inventory!C983="N"),VLOOKUP(VLOOKUP(Building_Type,xyLPD_BuildingArea,5,FALSE),xySVG_Factors_NC,3,FALSE),0)))),"")</f>
        <v/>
      </c>
      <c r="Z986" s="544" t="str">
        <f>IFERROR(IF(C986="","",IF(INDEX(xyWattage_Table,MATCH(M986,'Fixture Identities'!$B$9:$B$997,0),2)="Exit Sign",0,VLOOKUP(S986,xySVG_Factors,2,FALSE))),"")</f>
        <v/>
      </c>
      <c r="AA986" s="545" t="str">
        <f t="shared" si="351"/>
        <v/>
      </c>
      <c r="AB986" s="542" t="str">
        <f t="shared" si="352"/>
        <v/>
      </c>
      <c r="AC986" s="539" t="str">
        <f t="shared" si="353"/>
        <v/>
      </c>
      <c r="AD986" s="546" t="str">
        <f t="shared" si="354"/>
        <v/>
      </c>
      <c r="AE986" s="539" t="str">
        <f t="shared" si="355"/>
        <v/>
      </c>
      <c r="AF986" s="546" t="str">
        <f t="shared" si="356"/>
        <v/>
      </c>
      <c r="AG986" s="539" t="str">
        <f t="shared" si="357"/>
        <v/>
      </c>
      <c r="AH986" s="32">
        <f t="shared" si="359"/>
        <v>0</v>
      </c>
      <c r="AI986" s="32">
        <f t="shared" si="360"/>
        <v>0</v>
      </c>
      <c r="AJ986" s="32">
        <f t="shared" si="361"/>
        <v>0</v>
      </c>
      <c r="AK986" t="str">
        <f t="shared" si="362"/>
        <v/>
      </c>
      <c r="AL986" t="str">
        <f t="shared" si="363"/>
        <v/>
      </c>
      <c r="AM986" t="str">
        <f t="shared" si="364"/>
        <v/>
      </c>
      <c r="AO986" t="str">
        <f>IFERROR(VLOOKUP(M986,'Fixture Identities'!$B$9:$O$1045,14,FALSE),"")</f>
        <v/>
      </c>
      <c r="AP986" t="str">
        <f t="shared" si="358"/>
        <v/>
      </c>
    </row>
    <row r="987" spans="1:42">
      <c r="A987" s="71">
        <f t="shared" si="366"/>
        <v>0</v>
      </c>
      <c r="B987" s="513">
        <f t="shared" si="365"/>
        <v>975</v>
      </c>
      <c r="C987" s="530" t="str">
        <f>IF(Inventory!E984="","",Inventory!E984)</f>
        <v/>
      </c>
      <c r="D987" s="531">
        <f>IF(Inventory!D984="",0,Inventory!D984)</f>
        <v>0</v>
      </c>
      <c r="E987" s="532" t="str">
        <f>IF(Inventory!I984=0,"",Inventory!I984)</f>
        <v/>
      </c>
      <c r="F987" s="533" t="str">
        <f t="shared" si="345"/>
        <v/>
      </c>
      <c r="G987" s="534" t="str">
        <f>IF(Inventory!G984="","",Inventory!G984)</f>
        <v/>
      </c>
      <c r="H987" s="535" t="str">
        <f t="shared" si="346"/>
        <v/>
      </c>
      <c r="I987" s="536" t="str">
        <f>IF(Inventory!J984="","",Inventory!J984)</f>
        <v/>
      </c>
      <c r="J987" s="537" t="str">
        <f>IFERROR(IF(PRJ_Type="New Construction",IF(Inventory!C984="N",INDEX(xyLPD_BuildingArea,MATCH(Building_Type,Lookups!$F$37:$F$75,0),4),INDEX(xyLPD_SpaceBySpace,MATCH(INDEX(xyNCEx,MATCH(I987,yNCExArea,0),2),ySpace_by_Space_Type,0),2)),VLOOKUP(E987,xyWattage_Table,11,FALSE)),"")</f>
        <v/>
      </c>
      <c r="K987" s="538" t="str">
        <f>IFERROR(IF(AND(NC_Type="Building Area Method",Inventory!C984="N"),IF(ISERROR(INDEX('Usage Groups (&gt;120 MWh only)'!$N$8:$N$12,MATCH(C987,'Usage Groups (&gt;120 MWh only)'!$B$8:$B$12,0),1))=TRUE,SqFt/COUNTIFS(Inventory!$C$10:$C$1009,"N",$Q$13:$Q$1012,"&gt;=0"),INDEX('Usage Groups (&gt;120 MWh only)'!$N$8:$N$12,MATCH(C987,'Usage Groups (&gt;120 MWh only)'!$B$8:$B$12,0),1)/COUNTIF($C$13:$C$1012,C987)),IF(AND(NC_Type="Building Area Method",Inventory!C984="Y"),INDEX(xyNCEx,MATCH(I987,yNCExArea,0),3)/COUNTIF($I$13:$I$1012,I987),VLOOKUP(J987,xyWattage_Table,10,FALSE))),"")</f>
        <v/>
      </c>
      <c r="L987" s="539" t="str">
        <f t="shared" si="347"/>
        <v/>
      </c>
      <c r="M987" s="540">
        <f>IF(Inventory!N984="","",Inventory!N984)</f>
        <v>0</v>
      </c>
      <c r="N987" s="533" t="str">
        <f t="shared" si="348"/>
        <v/>
      </c>
      <c r="O987" s="534"/>
      <c r="P987" s="533" t="str">
        <f t="shared" si="349"/>
        <v/>
      </c>
      <c r="Q987" s="534" t="str">
        <f>IF(Inventory!L984="","",Inventory!L984)</f>
        <v/>
      </c>
      <c r="R987" s="535" t="str">
        <f t="shared" si="350"/>
        <v/>
      </c>
      <c r="S987" s="536" t="str">
        <f>IF(Inventory!O984="","",Inventory!O984)</f>
        <v/>
      </c>
      <c r="T987" s="541" t="str">
        <f>IFERROR(IF(C987="","",IF(INDEX(xyWattage_Table,MATCH(M987,'Fixture Identities'!$B$9:$B$997,0),2)="Exit Sign",8760,IF(VLOOKUP(C987,xySpace_Type_Details,8,FALSE)="TRM",INDEX('General Information'!$AF$17:$AG$28,11,MATCH(N987,'General Information'!$AF$16:$AG$16,0)),HLOOKUP(VLOOKUP(C987,xySpace_Type_Details,8,FALSE),'General Information'!$P$15:$AG$28,13,FALSE)))),"")</f>
        <v/>
      </c>
      <c r="U987" s="542" t="str">
        <f>IFERROR(IF(C987="","",IF(INDEX(xyWattage_Table,MATCH(M987,'Fixture Identities'!$B$9:$B$997,0),2)="Exit Sign",1,IF(VLOOKUP(C987,xySpace_Type_Details,8,FALSE)="TRM",INDEX('General Information'!$AF$17:$AG$28,12,MATCH(N987,'General Information'!$AF$16:$AG$16,0)),HLOOKUP(VLOOKUP(C987,xySpace_Type_Details,8,FALSE),'General Information'!$P$15:$AG$28,14,FALSE)))),"")</f>
        <v/>
      </c>
      <c r="V987" s="542" t="str">
        <f>IFERROR(VLOOKUP(INDEX(xySpace_Type_Details,MATCH($C987,'General Information'!$C$40:$C$60,0),12),Lookups!$L$8:$N$12,2,FALSE),"")</f>
        <v/>
      </c>
      <c r="W987" s="542" t="str">
        <f>IFERROR(VLOOKUP(INDEX(xySpace_Type_Details,MATCH($C987,'General Information'!$C$40:$C$60,0),12),Lookups!$L$8:$N$12,3,FALSE),"")</f>
        <v/>
      </c>
      <c r="Y987" s="542" t="str">
        <f>IFERROR(IF(C987="","",IF(INDEX(xyWattage_Table,MATCH(M987,'Fixture Identities'!$B$9:$B$997,0),2)="Exit Sign",0,IF(PRJ_Type="Retrofit",VLOOKUP(I987,xySVG_Factors,2,FALSE),IF(AND(PRJ_Type="New Construction",Inventory!C984="N"),VLOOKUP(VLOOKUP(Building_Type,xyLPD_BuildingArea,5,FALSE),xySVG_Factors_NC,3,FALSE),0)))),"")</f>
        <v/>
      </c>
      <c r="Z987" s="544" t="str">
        <f>IFERROR(IF(C987="","",IF(INDEX(xyWattage_Table,MATCH(M987,'Fixture Identities'!$B$9:$B$997,0),2)="Exit Sign",0,VLOOKUP(S987,xySVG_Factors,2,FALSE))),"")</f>
        <v/>
      </c>
      <c r="AA987" s="545" t="str">
        <f t="shared" si="351"/>
        <v/>
      </c>
      <c r="AB987" s="542" t="str">
        <f t="shared" si="352"/>
        <v/>
      </c>
      <c r="AC987" s="539" t="str">
        <f t="shared" si="353"/>
        <v/>
      </c>
      <c r="AD987" s="546" t="str">
        <f t="shared" si="354"/>
        <v/>
      </c>
      <c r="AE987" s="539" t="str">
        <f t="shared" si="355"/>
        <v/>
      </c>
      <c r="AF987" s="546" t="str">
        <f t="shared" si="356"/>
        <v/>
      </c>
      <c r="AG987" s="539" t="str">
        <f t="shared" si="357"/>
        <v/>
      </c>
      <c r="AH987" s="32">
        <f t="shared" si="359"/>
        <v>0</v>
      </c>
      <c r="AI987" s="32">
        <f t="shared" si="360"/>
        <v>0</v>
      </c>
      <c r="AJ987" s="32">
        <f t="shared" si="361"/>
        <v>0</v>
      </c>
      <c r="AK987" t="str">
        <f t="shared" si="362"/>
        <v/>
      </c>
      <c r="AL987" t="str">
        <f t="shared" si="363"/>
        <v/>
      </c>
      <c r="AM987" t="str">
        <f t="shared" si="364"/>
        <v/>
      </c>
      <c r="AO987" t="str">
        <f>IFERROR(VLOOKUP(M987,'Fixture Identities'!$B$9:$O$1045,14,FALSE),"")</f>
        <v/>
      </c>
      <c r="AP987" t="str">
        <f t="shared" si="358"/>
        <v/>
      </c>
    </row>
    <row r="988" spans="1:42">
      <c r="A988" s="71">
        <f t="shared" si="366"/>
        <v>0</v>
      </c>
      <c r="B988" s="513">
        <f t="shared" si="365"/>
        <v>976</v>
      </c>
      <c r="C988" s="530" t="str">
        <f>IF(Inventory!E985="","",Inventory!E985)</f>
        <v/>
      </c>
      <c r="D988" s="531">
        <f>IF(Inventory!D985="",0,Inventory!D985)</f>
        <v>0</v>
      </c>
      <c r="E988" s="532" t="str">
        <f>IF(Inventory!I985=0,"",Inventory!I985)</f>
        <v/>
      </c>
      <c r="F988" s="533" t="str">
        <f t="shared" si="345"/>
        <v/>
      </c>
      <c r="G988" s="534" t="str">
        <f>IF(Inventory!G985="","",Inventory!G985)</f>
        <v/>
      </c>
      <c r="H988" s="535" t="str">
        <f t="shared" si="346"/>
        <v/>
      </c>
      <c r="I988" s="536" t="str">
        <f>IF(Inventory!J985="","",Inventory!J985)</f>
        <v/>
      </c>
      <c r="J988" s="537" t="str">
        <f>IFERROR(IF(PRJ_Type="New Construction",IF(Inventory!C985="N",INDEX(xyLPD_BuildingArea,MATCH(Building_Type,Lookups!$F$37:$F$75,0),4),INDEX(xyLPD_SpaceBySpace,MATCH(INDEX(xyNCEx,MATCH(I988,yNCExArea,0),2),ySpace_by_Space_Type,0),2)),VLOOKUP(E988,xyWattage_Table,11,FALSE)),"")</f>
        <v/>
      </c>
      <c r="K988" s="538" t="str">
        <f>IFERROR(IF(AND(NC_Type="Building Area Method",Inventory!C985="N"),IF(ISERROR(INDEX('Usage Groups (&gt;120 MWh only)'!$N$8:$N$12,MATCH(C988,'Usage Groups (&gt;120 MWh only)'!$B$8:$B$12,0),1))=TRUE,SqFt/COUNTIFS(Inventory!$C$10:$C$1009,"N",$Q$13:$Q$1012,"&gt;=0"),INDEX('Usage Groups (&gt;120 MWh only)'!$N$8:$N$12,MATCH(C988,'Usage Groups (&gt;120 MWh only)'!$B$8:$B$12,0),1)/COUNTIF($C$13:$C$1012,C988)),IF(AND(NC_Type="Building Area Method",Inventory!C985="Y"),INDEX(xyNCEx,MATCH(I988,yNCExArea,0),3)/COUNTIF($I$13:$I$1012,I988),VLOOKUP(J988,xyWattage_Table,10,FALSE))),"")</f>
        <v/>
      </c>
      <c r="L988" s="539" t="str">
        <f t="shared" si="347"/>
        <v/>
      </c>
      <c r="M988" s="540">
        <f>IF(Inventory!N985="","",Inventory!N985)</f>
        <v>0</v>
      </c>
      <c r="N988" s="533" t="str">
        <f t="shared" si="348"/>
        <v/>
      </c>
      <c r="O988" s="534"/>
      <c r="P988" s="533" t="str">
        <f t="shared" si="349"/>
        <v/>
      </c>
      <c r="Q988" s="534" t="str">
        <f>IF(Inventory!L985="","",Inventory!L985)</f>
        <v/>
      </c>
      <c r="R988" s="535" t="str">
        <f t="shared" si="350"/>
        <v/>
      </c>
      <c r="S988" s="536" t="str">
        <f>IF(Inventory!O985="","",Inventory!O985)</f>
        <v/>
      </c>
      <c r="T988" s="541" t="str">
        <f>IFERROR(IF(C988="","",IF(INDEX(xyWattage_Table,MATCH(M988,'Fixture Identities'!$B$9:$B$997,0),2)="Exit Sign",8760,IF(VLOOKUP(C988,xySpace_Type_Details,8,FALSE)="TRM",INDEX('General Information'!$AF$17:$AG$28,11,MATCH(N988,'General Information'!$AF$16:$AG$16,0)),HLOOKUP(VLOOKUP(C988,xySpace_Type_Details,8,FALSE),'General Information'!$P$15:$AG$28,13,FALSE)))),"")</f>
        <v/>
      </c>
      <c r="U988" s="542" t="str">
        <f>IFERROR(IF(C988="","",IF(INDEX(xyWattage_Table,MATCH(M988,'Fixture Identities'!$B$9:$B$997,0),2)="Exit Sign",1,IF(VLOOKUP(C988,xySpace_Type_Details,8,FALSE)="TRM",INDEX('General Information'!$AF$17:$AG$28,12,MATCH(N988,'General Information'!$AF$16:$AG$16,0)),HLOOKUP(VLOOKUP(C988,xySpace_Type_Details,8,FALSE),'General Information'!$P$15:$AG$28,14,FALSE)))),"")</f>
        <v/>
      </c>
      <c r="V988" s="542" t="str">
        <f>IFERROR(VLOOKUP(INDEX(xySpace_Type_Details,MATCH($C988,'General Information'!$C$40:$C$60,0),12),Lookups!$L$8:$N$12,2,FALSE),"")</f>
        <v/>
      </c>
      <c r="W988" s="542" t="str">
        <f>IFERROR(VLOOKUP(INDEX(xySpace_Type_Details,MATCH($C988,'General Information'!$C$40:$C$60,0),12),Lookups!$L$8:$N$12,3,FALSE),"")</f>
        <v/>
      </c>
      <c r="Y988" s="542" t="str">
        <f>IFERROR(IF(C988="","",IF(INDEX(xyWattage_Table,MATCH(M988,'Fixture Identities'!$B$9:$B$997,0),2)="Exit Sign",0,IF(PRJ_Type="Retrofit",VLOOKUP(I988,xySVG_Factors,2,FALSE),IF(AND(PRJ_Type="New Construction",Inventory!C985="N"),VLOOKUP(VLOOKUP(Building_Type,xyLPD_BuildingArea,5,FALSE),xySVG_Factors_NC,3,FALSE),0)))),"")</f>
        <v/>
      </c>
      <c r="Z988" s="544" t="str">
        <f>IFERROR(IF(C988="","",IF(INDEX(xyWattage_Table,MATCH(M988,'Fixture Identities'!$B$9:$B$997,0),2)="Exit Sign",0,VLOOKUP(S988,xySVG_Factors,2,FALSE))),"")</f>
        <v/>
      </c>
      <c r="AA988" s="545" t="str">
        <f t="shared" si="351"/>
        <v/>
      </c>
      <c r="AB988" s="542" t="str">
        <f t="shared" si="352"/>
        <v/>
      </c>
      <c r="AC988" s="539" t="str">
        <f t="shared" si="353"/>
        <v/>
      </c>
      <c r="AD988" s="546" t="str">
        <f t="shared" si="354"/>
        <v/>
      </c>
      <c r="AE988" s="539" t="str">
        <f t="shared" si="355"/>
        <v/>
      </c>
      <c r="AF988" s="546" t="str">
        <f t="shared" si="356"/>
        <v/>
      </c>
      <c r="AG988" s="539" t="str">
        <f t="shared" si="357"/>
        <v/>
      </c>
      <c r="AH988" s="32">
        <f t="shared" si="359"/>
        <v>0</v>
      </c>
      <c r="AI988" s="32">
        <f t="shared" si="360"/>
        <v>0</v>
      </c>
      <c r="AJ988" s="32">
        <f t="shared" si="361"/>
        <v>0</v>
      </c>
      <c r="AK988" t="str">
        <f t="shared" si="362"/>
        <v/>
      </c>
      <c r="AL988" t="str">
        <f t="shared" si="363"/>
        <v/>
      </c>
      <c r="AM988" t="str">
        <f t="shared" si="364"/>
        <v/>
      </c>
      <c r="AO988" t="str">
        <f>IFERROR(VLOOKUP(M988,'Fixture Identities'!$B$9:$O$1045,14,FALSE),"")</f>
        <v/>
      </c>
      <c r="AP988" t="str">
        <f t="shared" si="358"/>
        <v/>
      </c>
    </row>
    <row r="989" spans="1:42">
      <c r="A989" s="71">
        <f t="shared" si="366"/>
        <v>0</v>
      </c>
      <c r="B989" s="513">
        <f t="shared" si="365"/>
        <v>977</v>
      </c>
      <c r="C989" s="530" t="str">
        <f>IF(Inventory!E986="","",Inventory!E986)</f>
        <v/>
      </c>
      <c r="D989" s="531">
        <f>IF(Inventory!D986="",0,Inventory!D986)</f>
        <v>0</v>
      </c>
      <c r="E989" s="532" t="str">
        <f>IF(Inventory!I986=0,"",Inventory!I986)</f>
        <v/>
      </c>
      <c r="F989" s="533" t="str">
        <f t="shared" si="345"/>
        <v/>
      </c>
      <c r="G989" s="534" t="str">
        <f>IF(Inventory!G986="","",Inventory!G986)</f>
        <v/>
      </c>
      <c r="H989" s="535" t="str">
        <f t="shared" si="346"/>
        <v/>
      </c>
      <c r="I989" s="536" t="str">
        <f>IF(Inventory!J986="","",Inventory!J986)</f>
        <v/>
      </c>
      <c r="J989" s="537" t="str">
        <f>IFERROR(IF(PRJ_Type="New Construction",IF(Inventory!C986="N",INDEX(xyLPD_BuildingArea,MATCH(Building_Type,Lookups!$F$37:$F$75,0),4),INDEX(xyLPD_SpaceBySpace,MATCH(INDEX(xyNCEx,MATCH(I989,yNCExArea,0),2),ySpace_by_Space_Type,0),2)),VLOOKUP(E989,xyWattage_Table,11,FALSE)),"")</f>
        <v/>
      </c>
      <c r="K989" s="538" t="str">
        <f>IFERROR(IF(AND(NC_Type="Building Area Method",Inventory!C986="N"),IF(ISERROR(INDEX('Usage Groups (&gt;120 MWh only)'!$N$8:$N$12,MATCH(C989,'Usage Groups (&gt;120 MWh only)'!$B$8:$B$12,0),1))=TRUE,SqFt/COUNTIFS(Inventory!$C$10:$C$1009,"N",$Q$13:$Q$1012,"&gt;=0"),INDEX('Usage Groups (&gt;120 MWh only)'!$N$8:$N$12,MATCH(C989,'Usage Groups (&gt;120 MWh only)'!$B$8:$B$12,0),1)/COUNTIF($C$13:$C$1012,C989)),IF(AND(NC_Type="Building Area Method",Inventory!C986="Y"),INDEX(xyNCEx,MATCH(I989,yNCExArea,0),3)/COUNTIF($I$13:$I$1012,I989),VLOOKUP(J989,xyWattage_Table,10,FALSE))),"")</f>
        <v/>
      </c>
      <c r="L989" s="539" t="str">
        <f t="shared" si="347"/>
        <v/>
      </c>
      <c r="M989" s="540">
        <f>IF(Inventory!N986="","",Inventory!N986)</f>
        <v>0</v>
      </c>
      <c r="N989" s="533" t="str">
        <f t="shared" si="348"/>
        <v/>
      </c>
      <c r="O989" s="534"/>
      <c r="P989" s="533" t="str">
        <f t="shared" si="349"/>
        <v/>
      </c>
      <c r="Q989" s="534" t="str">
        <f>IF(Inventory!L986="","",Inventory!L986)</f>
        <v/>
      </c>
      <c r="R989" s="535" t="str">
        <f t="shared" si="350"/>
        <v/>
      </c>
      <c r="S989" s="536" t="str">
        <f>IF(Inventory!O986="","",Inventory!O986)</f>
        <v/>
      </c>
      <c r="T989" s="541" t="str">
        <f>IFERROR(IF(C989="","",IF(INDEX(xyWattage_Table,MATCH(M989,'Fixture Identities'!$B$9:$B$997,0),2)="Exit Sign",8760,IF(VLOOKUP(C989,xySpace_Type_Details,8,FALSE)="TRM",INDEX('General Information'!$AF$17:$AG$28,11,MATCH(N989,'General Information'!$AF$16:$AG$16,0)),HLOOKUP(VLOOKUP(C989,xySpace_Type_Details,8,FALSE),'General Information'!$P$15:$AG$28,13,FALSE)))),"")</f>
        <v/>
      </c>
      <c r="U989" s="542" t="str">
        <f>IFERROR(IF(C989="","",IF(INDEX(xyWattage_Table,MATCH(M989,'Fixture Identities'!$B$9:$B$997,0),2)="Exit Sign",1,IF(VLOOKUP(C989,xySpace_Type_Details,8,FALSE)="TRM",INDEX('General Information'!$AF$17:$AG$28,12,MATCH(N989,'General Information'!$AF$16:$AG$16,0)),HLOOKUP(VLOOKUP(C989,xySpace_Type_Details,8,FALSE),'General Information'!$P$15:$AG$28,14,FALSE)))),"")</f>
        <v/>
      </c>
      <c r="V989" s="542" t="str">
        <f>IFERROR(VLOOKUP(INDEX(xySpace_Type_Details,MATCH($C989,'General Information'!$C$40:$C$60,0),12),Lookups!$L$8:$N$12,2,FALSE),"")</f>
        <v/>
      </c>
      <c r="W989" s="542" t="str">
        <f>IFERROR(VLOOKUP(INDEX(xySpace_Type_Details,MATCH($C989,'General Information'!$C$40:$C$60,0),12),Lookups!$L$8:$N$12,3,FALSE),"")</f>
        <v/>
      </c>
      <c r="Y989" s="542" t="str">
        <f>IFERROR(IF(C989="","",IF(INDEX(xyWattage_Table,MATCH(M989,'Fixture Identities'!$B$9:$B$997,0),2)="Exit Sign",0,IF(PRJ_Type="Retrofit",VLOOKUP(I989,xySVG_Factors,2,FALSE),IF(AND(PRJ_Type="New Construction",Inventory!C986="N"),VLOOKUP(VLOOKUP(Building_Type,xyLPD_BuildingArea,5,FALSE),xySVG_Factors_NC,3,FALSE),0)))),"")</f>
        <v/>
      </c>
      <c r="Z989" s="544" t="str">
        <f>IFERROR(IF(C989="","",IF(INDEX(xyWattage_Table,MATCH(M989,'Fixture Identities'!$B$9:$B$997,0),2)="Exit Sign",0,VLOOKUP(S989,xySVG_Factors,2,FALSE))),"")</f>
        <v/>
      </c>
      <c r="AA989" s="545" t="str">
        <f t="shared" si="351"/>
        <v/>
      </c>
      <c r="AB989" s="542" t="str">
        <f t="shared" si="352"/>
        <v/>
      </c>
      <c r="AC989" s="539" t="str">
        <f t="shared" si="353"/>
        <v/>
      </c>
      <c r="AD989" s="546" t="str">
        <f t="shared" si="354"/>
        <v/>
      </c>
      <c r="AE989" s="539" t="str">
        <f t="shared" si="355"/>
        <v/>
      </c>
      <c r="AF989" s="546" t="str">
        <f t="shared" si="356"/>
        <v/>
      </c>
      <c r="AG989" s="539" t="str">
        <f t="shared" si="357"/>
        <v/>
      </c>
      <c r="AH989" s="32">
        <f t="shared" si="359"/>
        <v>0</v>
      </c>
      <c r="AI989" s="32">
        <f t="shared" si="360"/>
        <v>0</v>
      </c>
      <c r="AJ989" s="32">
        <f t="shared" si="361"/>
        <v>0</v>
      </c>
      <c r="AK989" t="str">
        <f t="shared" si="362"/>
        <v/>
      </c>
      <c r="AL989" t="str">
        <f t="shared" si="363"/>
        <v/>
      </c>
      <c r="AM989" t="str">
        <f t="shared" si="364"/>
        <v/>
      </c>
      <c r="AO989" t="str">
        <f>IFERROR(VLOOKUP(M989,'Fixture Identities'!$B$9:$O$1045,14,FALSE),"")</f>
        <v/>
      </c>
      <c r="AP989" t="str">
        <f t="shared" si="358"/>
        <v/>
      </c>
    </row>
    <row r="990" spans="1:42">
      <c r="A990" s="71">
        <f t="shared" si="366"/>
        <v>0</v>
      </c>
      <c r="B990" s="513">
        <f t="shared" si="365"/>
        <v>978</v>
      </c>
      <c r="C990" s="530" t="str">
        <f>IF(Inventory!E987="","",Inventory!E987)</f>
        <v/>
      </c>
      <c r="D990" s="531">
        <f>IF(Inventory!D987="",0,Inventory!D987)</f>
        <v>0</v>
      </c>
      <c r="E990" s="532" t="str">
        <f>IF(Inventory!I987=0,"",Inventory!I987)</f>
        <v/>
      </c>
      <c r="F990" s="533" t="str">
        <f t="shared" si="345"/>
        <v/>
      </c>
      <c r="G990" s="534" t="str">
        <f>IF(Inventory!G987="","",Inventory!G987)</f>
        <v/>
      </c>
      <c r="H990" s="535" t="str">
        <f t="shared" si="346"/>
        <v/>
      </c>
      <c r="I990" s="536" t="str">
        <f>IF(Inventory!J987="","",Inventory!J987)</f>
        <v/>
      </c>
      <c r="J990" s="537" t="str">
        <f>IFERROR(IF(PRJ_Type="New Construction",IF(Inventory!C987="N",INDEX(xyLPD_BuildingArea,MATCH(Building_Type,Lookups!$F$37:$F$75,0),4),INDEX(xyLPD_SpaceBySpace,MATCH(INDEX(xyNCEx,MATCH(I990,yNCExArea,0),2),ySpace_by_Space_Type,0),2)),VLOOKUP(E990,xyWattage_Table,11,FALSE)),"")</f>
        <v/>
      </c>
      <c r="K990" s="538" t="str">
        <f>IFERROR(IF(AND(NC_Type="Building Area Method",Inventory!C987="N"),IF(ISERROR(INDEX('Usage Groups (&gt;120 MWh only)'!$N$8:$N$12,MATCH(C990,'Usage Groups (&gt;120 MWh only)'!$B$8:$B$12,0),1))=TRUE,SqFt/COUNTIFS(Inventory!$C$10:$C$1009,"N",$Q$13:$Q$1012,"&gt;=0"),INDEX('Usage Groups (&gt;120 MWh only)'!$N$8:$N$12,MATCH(C990,'Usage Groups (&gt;120 MWh only)'!$B$8:$B$12,0),1)/COUNTIF($C$13:$C$1012,C990)),IF(AND(NC_Type="Building Area Method",Inventory!C987="Y"),INDEX(xyNCEx,MATCH(I990,yNCExArea,0),3)/COUNTIF($I$13:$I$1012,I990),VLOOKUP(J990,xyWattage_Table,10,FALSE))),"")</f>
        <v/>
      </c>
      <c r="L990" s="539" t="str">
        <f t="shared" si="347"/>
        <v/>
      </c>
      <c r="M990" s="540">
        <f>IF(Inventory!N987="","",Inventory!N987)</f>
        <v>0</v>
      </c>
      <c r="N990" s="533" t="str">
        <f t="shared" si="348"/>
        <v/>
      </c>
      <c r="O990" s="534"/>
      <c r="P990" s="533" t="str">
        <f t="shared" si="349"/>
        <v/>
      </c>
      <c r="Q990" s="534" t="str">
        <f>IF(Inventory!L987="","",Inventory!L987)</f>
        <v/>
      </c>
      <c r="R990" s="535" t="str">
        <f t="shared" si="350"/>
        <v/>
      </c>
      <c r="S990" s="536" t="str">
        <f>IF(Inventory!O987="","",Inventory!O987)</f>
        <v/>
      </c>
      <c r="T990" s="541" t="str">
        <f>IFERROR(IF(C990="","",IF(INDEX(xyWattage_Table,MATCH(M990,'Fixture Identities'!$B$9:$B$997,0),2)="Exit Sign",8760,IF(VLOOKUP(C990,xySpace_Type_Details,8,FALSE)="TRM",INDEX('General Information'!$AF$17:$AG$28,11,MATCH(N990,'General Information'!$AF$16:$AG$16,0)),HLOOKUP(VLOOKUP(C990,xySpace_Type_Details,8,FALSE),'General Information'!$P$15:$AG$28,13,FALSE)))),"")</f>
        <v/>
      </c>
      <c r="U990" s="542" t="str">
        <f>IFERROR(IF(C990="","",IF(INDEX(xyWattage_Table,MATCH(M990,'Fixture Identities'!$B$9:$B$997,0),2)="Exit Sign",1,IF(VLOOKUP(C990,xySpace_Type_Details,8,FALSE)="TRM",INDEX('General Information'!$AF$17:$AG$28,12,MATCH(N990,'General Information'!$AF$16:$AG$16,0)),HLOOKUP(VLOOKUP(C990,xySpace_Type_Details,8,FALSE),'General Information'!$P$15:$AG$28,14,FALSE)))),"")</f>
        <v/>
      </c>
      <c r="V990" s="542" t="str">
        <f>IFERROR(VLOOKUP(INDEX(xySpace_Type_Details,MATCH($C990,'General Information'!$C$40:$C$60,0),12),Lookups!$L$8:$N$12,2,FALSE),"")</f>
        <v/>
      </c>
      <c r="W990" s="542" t="str">
        <f>IFERROR(VLOOKUP(INDEX(xySpace_Type_Details,MATCH($C990,'General Information'!$C$40:$C$60,0),12),Lookups!$L$8:$N$12,3,FALSE),"")</f>
        <v/>
      </c>
      <c r="Y990" s="542" t="str">
        <f>IFERROR(IF(C990="","",IF(INDEX(xyWattage_Table,MATCH(M990,'Fixture Identities'!$B$9:$B$997,0),2)="Exit Sign",0,IF(PRJ_Type="Retrofit",VLOOKUP(I990,xySVG_Factors,2,FALSE),IF(AND(PRJ_Type="New Construction",Inventory!C987="N"),VLOOKUP(VLOOKUP(Building_Type,xyLPD_BuildingArea,5,FALSE),xySVG_Factors_NC,3,FALSE),0)))),"")</f>
        <v/>
      </c>
      <c r="Z990" s="544" t="str">
        <f>IFERROR(IF(C990="","",IF(INDEX(xyWattage_Table,MATCH(M990,'Fixture Identities'!$B$9:$B$997,0),2)="Exit Sign",0,VLOOKUP(S990,xySVG_Factors,2,FALSE))),"")</f>
        <v/>
      </c>
      <c r="AA990" s="545" t="str">
        <f t="shared" si="351"/>
        <v/>
      </c>
      <c r="AB990" s="542" t="str">
        <f t="shared" si="352"/>
        <v/>
      </c>
      <c r="AC990" s="539" t="str">
        <f t="shared" si="353"/>
        <v/>
      </c>
      <c r="AD990" s="546" t="str">
        <f t="shared" si="354"/>
        <v/>
      </c>
      <c r="AE990" s="539" t="str">
        <f t="shared" si="355"/>
        <v/>
      </c>
      <c r="AF990" s="546" t="str">
        <f t="shared" si="356"/>
        <v/>
      </c>
      <c r="AG990" s="539" t="str">
        <f t="shared" si="357"/>
        <v/>
      </c>
      <c r="AH990" s="32">
        <f t="shared" si="359"/>
        <v>0</v>
      </c>
      <c r="AI990" s="32">
        <f t="shared" si="360"/>
        <v>0</v>
      </c>
      <c r="AJ990" s="32">
        <f t="shared" si="361"/>
        <v>0</v>
      </c>
      <c r="AK990" t="str">
        <f t="shared" si="362"/>
        <v/>
      </c>
      <c r="AL990" t="str">
        <f t="shared" si="363"/>
        <v/>
      </c>
      <c r="AM990" t="str">
        <f t="shared" si="364"/>
        <v/>
      </c>
      <c r="AO990" t="str">
        <f>IFERROR(VLOOKUP(M990,'Fixture Identities'!$B$9:$O$1045,14,FALSE),"")</f>
        <v/>
      </c>
      <c r="AP990" t="str">
        <f t="shared" si="358"/>
        <v/>
      </c>
    </row>
    <row r="991" spans="1:42">
      <c r="A991" s="71">
        <f t="shared" si="366"/>
        <v>0</v>
      </c>
      <c r="B991" s="513">
        <f t="shared" si="365"/>
        <v>979</v>
      </c>
      <c r="C991" s="530" t="str">
        <f>IF(Inventory!E988="","",Inventory!E988)</f>
        <v/>
      </c>
      <c r="D991" s="531">
        <f>IF(Inventory!D988="",0,Inventory!D988)</f>
        <v>0</v>
      </c>
      <c r="E991" s="532" t="str">
        <f>IF(Inventory!I988=0,"",Inventory!I988)</f>
        <v/>
      </c>
      <c r="F991" s="533" t="str">
        <f t="shared" si="345"/>
        <v/>
      </c>
      <c r="G991" s="534" t="str">
        <f>IF(Inventory!G988="","",Inventory!G988)</f>
        <v/>
      </c>
      <c r="H991" s="535" t="str">
        <f t="shared" si="346"/>
        <v/>
      </c>
      <c r="I991" s="536" t="str">
        <f>IF(Inventory!J988="","",Inventory!J988)</f>
        <v/>
      </c>
      <c r="J991" s="537" t="str">
        <f>IFERROR(IF(PRJ_Type="New Construction",IF(Inventory!C988="N",INDEX(xyLPD_BuildingArea,MATCH(Building_Type,Lookups!$F$37:$F$75,0),4),INDEX(xyLPD_SpaceBySpace,MATCH(INDEX(xyNCEx,MATCH(I991,yNCExArea,0),2),ySpace_by_Space_Type,0),2)),VLOOKUP(E991,xyWattage_Table,11,FALSE)),"")</f>
        <v/>
      </c>
      <c r="K991" s="538" t="str">
        <f>IFERROR(IF(AND(NC_Type="Building Area Method",Inventory!C988="N"),IF(ISERROR(INDEX('Usage Groups (&gt;120 MWh only)'!$N$8:$N$12,MATCH(C991,'Usage Groups (&gt;120 MWh only)'!$B$8:$B$12,0),1))=TRUE,SqFt/COUNTIFS(Inventory!$C$10:$C$1009,"N",$Q$13:$Q$1012,"&gt;=0"),INDEX('Usage Groups (&gt;120 MWh only)'!$N$8:$N$12,MATCH(C991,'Usage Groups (&gt;120 MWh only)'!$B$8:$B$12,0),1)/COUNTIF($C$13:$C$1012,C991)),IF(AND(NC_Type="Building Area Method",Inventory!C988="Y"),INDEX(xyNCEx,MATCH(I991,yNCExArea,0),3)/COUNTIF($I$13:$I$1012,I991),VLOOKUP(J991,xyWattage_Table,10,FALSE))),"")</f>
        <v/>
      </c>
      <c r="L991" s="539" t="str">
        <f t="shared" si="347"/>
        <v/>
      </c>
      <c r="M991" s="540">
        <f>IF(Inventory!N988="","",Inventory!N988)</f>
        <v>0</v>
      </c>
      <c r="N991" s="533" t="str">
        <f t="shared" si="348"/>
        <v/>
      </c>
      <c r="O991" s="534"/>
      <c r="P991" s="533" t="str">
        <f t="shared" si="349"/>
        <v/>
      </c>
      <c r="Q991" s="534" t="str">
        <f>IF(Inventory!L988="","",Inventory!L988)</f>
        <v/>
      </c>
      <c r="R991" s="535" t="str">
        <f t="shared" si="350"/>
        <v/>
      </c>
      <c r="S991" s="536" t="str">
        <f>IF(Inventory!O988="","",Inventory!O988)</f>
        <v/>
      </c>
      <c r="T991" s="541" t="str">
        <f>IFERROR(IF(C991="","",IF(INDEX(xyWattage_Table,MATCH(M991,'Fixture Identities'!$B$9:$B$997,0),2)="Exit Sign",8760,IF(VLOOKUP(C991,xySpace_Type_Details,8,FALSE)="TRM",INDEX('General Information'!$AF$17:$AG$28,11,MATCH(N991,'General Information'!$AF$16:$AG$16,0)),HLOOKUP(VLOOKUP(C991,xySpace_Type_Details,8,FALSE),'General Information'!$P$15:$AG$28,13,FALSE)))),"")</f>
        <v/>
      </c>
      <c r="U991" s="542" t="str">
        <f>IFERROR(IF(C991="","",IF(INDEX(xyWattage_Table,MATCH(M991,'Fixture Identities'!$B$9:$B$997,0),2)="Exit Sign",1,IF(VLOOKUP(C991,xySpace_Type_Details,8,FALSE)="TRM",INDEX('General Information'!$AF$17:$AG$28,12,MATCH(N991,'General Information'!$AF$16:$AG$16,0)),HLOOKUP(VLOOKUP(C991,xySpace_Type_Details,8,FALSE),'General Information'!$P$15:$AG$28,14,FALSE)))),"")</f>
        <v/>
      </c>
      <c r="V991" s="542" t="str">
        <f>IFERROR(VLOOKUP(INDEX(xySpace_Type_Details,MATCH($C991,'General Information'!$C$40:$C$60,0),12),Lookups!$L$8:$N$12,2,FALSE),"")</f>
        <v/>
      </c>
      <c r="W991" s="542" t="str">
        <f>IFERROR(VLOOKUP(INDEX(xySpace_Type_Details,MATCH($C991,'General Information'!$C$40:$C$60,0),12),Lookups!$L$8:$N$12,3,FALSE),"")</f>
        <v/>
      </c>
      <c r="Y991" s="542" t="str">
        <f>IFERROR(IF(C991="","",IF(INDEX(xyWattage_Table,MATCH(M991,'Fixture Identities'!$B$9:$B$997,0),2)="Exit Sign",0,IF(PRJ_Type="Retrofit",VLOOKUP(I991,xySVG_Factors,2,FALSE),IF(AND(PRJ_Type="New Construction",Inventory!C988="N"),VLOOKUP(VLOOKUP(Building_Type,xyLPD_BuildingArea,5,FALSE),xySVG_Factors_NC,3,FALSE),0)))),"")</f>
        <v/>
      </c>
      <c r="Z991" s="544" t="str">
        <f>IFERROR(IF(C991="","",IF(INDEX(xyWattage_Table,MATCH(M991,'Fixture Identities'!$B$9:$B$997,0),2)="Exit Sign",0,VLOOKUP(S991,xySVG_Factors,2,FALSE))),"")</f>
        <v/>
      </c>
      <c r="AA991" s="545" t="str">
        <f t="shared" si="351"/>
        <v/>
      </c>
      <c r="AB991" s="542" t="str">
        <f t="shared" si="352"/>
        <v/>
      </c>
      <c r="AC991" s="539" t="str">
        <f t="shared" si="353"/>
        <v/>
      </c>
      <c r="AD991" s="546" t="str">
        <f t="shared" si="354"/>
        <v/>
      </c>
      <c r="AE991" s="539" t="str">
        <f t="shared" si="355"/>
        <v/>
      </c>
      <c r="AF991" s="546" t="str">
        <f t="shared" si="356"/>
        <v/>
      </c>
      <c r="AG991" s="539" t="str">
        <f t="shared" si="357"/>
        <v/>
      </c>
      <c r="AH991" s="32">
        <f t="shared" si="359"/>
        <v>0</v>
      </c>
      <c r="AI991" s="32">
        <f t="shared" si="360"/>
        <v>0</v>
      </c>
      <c r="AJ991" s="32">
        <f t="shared" si="361"/>
        <v>0</v>
      </c>
      <c r="AK991" t="str">
        <f t="shared" si="362"/>
        <v/>
      </c>
      <c r="AL991" t="str">
        <f t="shared" si="363"/>
        <v/>
      </c>
      <c r="AM991" t="str">
        <f t="shared" si="364"/>
        <v/>
      </c>
      <c r="AO991" t="str">
        <f>IFERROR(VLOOKUP(M991,'Fixture Identities'!$B$9:$O$1045,14,FALSE),"")</f>
        <v/>
      </c>
      <c r="AP991" t="str">
        <f t="shared" si="358"/>
        <v/>
      </c>
    </row>
    <row r="992" spans="1:42">
      <c r="A992" s="71">
        <f t="shared" si="366"/>
        <v>0</v>
      </c>
      <c r="B992" s="513">
        <f t="shared" si="365"/>
        <v>980</v>
      </c>
      <c r="C992" s="530" t="str">
        <f>IF(Inventory!E989="","",Inventory!E989)</f>
        <v/>
      </c>
      <c r="D992" s="531">
        <f>IF(Inventory!D989="",0,Inventory!D989)</f>
        <v>0</v>
      </c>
      <c r="E992" s="532" t="str">
        <f>IF(Inventory!I989=0,"",Inventory!I989)</f>
        <v/>
      </c>
      <c r="F992" s="533" t="str">
        <f t="shared" si="345"/>
        <v/>
      </c>
      <c r="G992" s="534" t="str">
        <f>IF(Inventory!G989="","",Inventory!G989)</f>
        <v/>
      </c>
      <c r="H992" s="535" t="str">
        <f t="shared" si="346"/>
        <v/>
      </c>
      <c r="I992" s="536" t="str">
        <f>IF(Inventory!J989="","",Inventory!J989)</f>
        <v/>
      </c>
      <c r="J992" s="537" t="str">
        <f>IFERROR(IF(PRJ_Type="New Construction",IF(Inventory!C989="N",INDEX(xyLPD_BuildingArea,MATCH(Building_Type,Lookups!$F$37:$F$75,0),4),INDEX(xyLPD_SpaceBySpace,MATCH(INDEX(xyNCEx,MATCH(I992,yNCExArea,0),2),ySpace_by_Space_Type,0),2)),VLOOKUP(E992,xyWattage_Table,11,FALSE)),"")</f>
        <v/>
      </c>
      <c r="K992" s="538" t="str">
        <f>IFERROR(IF(AND(NC_Type="Building Area Method",Inventory!C989="N"),IF(ISERROR(INDEX('Usage Groups (&gt;120 MWh only)'!$N$8:$N$12,MATCH(C992,'Usage Groups (&gt;120 MWh only)'!$B$8:$B$12,0),1))=TRUE,SqFt/COUNTIFS(Inventory!$C$10:$C$1009,"N",$Q$13:$Q$1012,"&gt;=0"),INDEX('Usage Groups (&gt;120 MWh only)'!$N$8:$N$12,MATCH(C992,'Usage Groups (&gt;120 MWh only)'!$B$8:$B$12,0),1)/COUNTIF($C$13:$C$1012,C992)),IF(AND(NC_Type="Building Area Method",Inventory!C989="Y"),INDEX(xyNCEx,MATCH(I992,yNCExArea,0),3)/COUNTIF($I$13:$I$1012,I992),VLOOKUP(J992,xyWattage_Table,10,FALSE))),"")</f>
        <v/>
      </c>
      <c r="L992" s="539" t="str">
        <f t="shared" si="347"/>
        <v/>
      </c>
      <c r="M992" s="540">
        <f>IF(Inventory!N989="","",Inventory!N989)</f>
        <v>0</v>
      </c>
      <c r="N992" s="533" t="str">
        <f t="shared" si="348"/>
        <v/>
      </c>
      <c r="O992" s="534"/>
      <c r="P992" s="533" t="str">
        <f t="shared" si="349"/>
        <v/>
      </c>
      <c r="Q992" s="534" t="str">
        <f>IF(Inventory!L989="","",Inventory!L989)</f>
        <v/>
      </c>
      <c r="R992" s="535" t="str">
        <f t="shared" si="350"/>
        <v/>
      </c>
      <c r="S992" s="536" t="str">
        <f>IF(Inventory!O989="","",Inventory!O989)</f>
        <v/>
      </c>
      <c r="T992" s="541" t="str">
        <f>IFERROR(IF(C992="","",IF(INDEX(xyWattage_Table,MATCH(M992,'Fixture Identities'!$B$9:$B$997,0),2)="Exit Sign",8760,IF(VLOOKUP(C992,xySpace_Type_Details,8,FALSE)="TRM",INDEX('General Information'!$AF$17:$AG$28,11,MATCH(N992,'General Information'!$AF$16:$AG$16,0)),HLOOKUP(VLOOKUP(C992,xySpace_Type_Details,8,FALSE),'General Information'!$P$15:$AG$28,13,FALSE)))),"")</f>
        <v/>
      </c>
      <c r="U992" s="542" t="str">
        <f>IFERROR(IF(C992="","",IF(INDEX(xyWattage_Table,MATCH(M992,'Fixture Identities'!$B$9:$B$997,0),2)="Exit Sign",1,IF(VLOOKUP(C992,xySpace_Type_Details,8,FALSE)="TRM",INDEX('General Information'!$AF$17:$AG$28,12,MATCH(N992,'General Information'!$AF$16:$AG$16,0)),HLOOKUP(VLOOKUP(C992,xySpace_Type_Details,8,FALSE),'General Information'!$P$15:$AG$28,14,FALSE)))),"")</f>
        <v/>
      </c>
      <c r="V992" s="542" t="str">
        <f>IFERROR(VLOOKUP(INDEX(xySpace_Type_Details,MATCH($C992,'General Information'!$C$40:$C$60,0),12),Lookups!$L$8:$N$12,2,FALSE),"")</f>
        <v/>
      </c>
      <c r="W992" s="542" t="str">
        <f>IFERROR(VLOOKUP(INDEX(xySpace_Type_Details,MATCH($C992,'General Information'!$C$40:$C$60,0),12),Lookups!$L$8:$N$12,3,FALSE),"")</f>
        <v/>
      </c>
      <c r="Y992" s="542" t="str">
        <f>IFERROR(IF(C992="","",IF(INDEX(xyWattage_Table,MATCH(M992,'Fixture Identities'!$B$9:$B$997,0),2)="Exit Sign",0,IF(PRJ_Type="Retrofit",VLOOKUP(I992,xySVG_Factors,2,FALSE),IF(AND(PRJ_Type="New Construction",Inventory!C989="N"),VLOOKUP(VLOOKUP(Building_Type,xyLPD_BuildingArea,5,FALSE),xySVG_Factors_NC,3,FALSE),0)))),"")</f>
        <v/>
      </c>
      <c r="Z992" s="544" t="str">
        <f>IFERROR(IF(C992="","",IF(INDEX(xyWattage_Table,MATCH(M992,'Fixture Identities'!$B$9:$B$997,0),2)="Exit Sign",0,VLOOKUP(S992,xySVG_Factors,2,FALSE))),"")</f>
        <v/>
      </c>
      <c r="AA992" s="545" t="str">
        <f t="shared" si="351"/>
        <v/>
      </c>
      <c r="AB992" s="542" t="str">
        <f t="shared" si="352"/>
        <v/>
      </c>
      <c r="AC992" s="539" t="str">
        <f t="shared" si="353"/>
        <v/>
      </c>
      <c r="AD992" s="546" t="str">
        <f t="shared" si="354"/>
        <v/>
      </c>
      <c r="AE992" s="539" t="str">
        <f t="shared" si="355"/>
        <v/>
      </c>
      <c r="AF992" s="546" t="str">
        <f t="shared" si="356"/>
        <v/>
      </c>
      <c r="AG992" s="539" t="str">
        <f t="shared" si="357"/>
        <v/>
      </c>
      <c r="AH992" s="32">
        <f t="shared" si="359"/>
        <v>0</v>
      </c>
      <c r="AI992" s="32">
        <f t="shared" si="360"/>
        <v>0</v>
      </c>
      <c r="AJ992" s="32">
        <f t="shared" si="361"/>
        <v>0</v>
      </c>
      <c r="AK992" t="str">
        <f t="shared" si="362"/>
        <v/>
      </c>
      <c r="AL992" t="str">
        <f t="shared" si="363"/>
        <v/>
      </c>
      <c r="AM992" t="str">
        <f t="shared" si="364"/>
        <v/>
      </c>
      <c r="AO992" t="str">
        <f>IFERROR(VLOOKUP(M992,'Fixture Identities'!$B$9:$O$1045,14,FALSE),"")</f>
        <v/>
      </c>
      <c r="AP992" t="str">
        <f t="shared" si="358"/>
        <v/>
      </c>
    </row>
    <row r="993" spans="1:42">
      <c r="A993" s="71">
        <f t="shared" si="366"/>
        <v>0</v>
      </c>
      <c r="B993" s="513">
        <f t="shared" si="365"/>
        <v>981</v>
      </c>
      <c r="C993" s="530" t="str">
        <f>IF(Inventory!E990="","",Inventory!E990)</f>
        <v/>
      </c>
      <c r="D993" s="531">
        <f>IF(Inventory!D990="",0,Inventory!D990)</f>
        <v>0</v>
      </c>
      <c r="E993" s="532" t="str">
        <f>IF(Inventory!I990=0,"",Inventory!I990)</f>
        <v/>
      </c>
      <c r="F993" s="533" t="str">
        <f t="shared" si="345"/>
        <v/>
      </c>
      <c r="G993" s="534" t="str">
        <f>IF(Inventory!G990="","",Inventory!G990)</f>
        <v/>
      </c>
      <c r="H993" s="535" t="str">
        <f t="shared" si="346"/>
        <v/>
      </c>
      <c r="I993" s="536" t="str">
        <f>IF(Inventory!J990="","",Inventory!J990)</f>
        <v/>
      </c>
      <c r="J993" s="537" t="str">
        <f>IFERROR(IF(PRJ_Type="New Construction",IF(Inventory!C990="N",INDEX(xyLPD_BuildingArea,MATCH(Building_Type,Lookups!$F$37:$F$75,0),4),INDEX(xyLPD_SpaceBySpace,MATCH(INDEX(xyNCEx,MATCH(I993,yNCExArea,0),2),ySpace_by_Space_Type,0),2)),VLOOKUP(E993,xyWattage_Table,11,FALSE)),"")</f>
        <v/>
      </c>
      <c r="K993" s="538" t="str">
        <f>IFERROR(IF(AND(NC_Type="Building Area Method",Inventory!C990="N"),IF(ISERROR(INDEX('Usage Groups (&gt;120 MWh only)'!$N$8:$N$12,MATCH(C993,'Usage Groups (&gt;120 MWh only)'!$B$8:$B$12,0),1))=TRUE,SqFt/COUNTIFS(Inventory!$C$10:$C$1009,"N",$Q$13:$Q$1012,"&gt;=0"),INDEX('Usage Groups (&gt;120 MWh only)'!$N$8:$N$12,MATCH(C993,'Usage Groups (&gt;120 MWh only)'!$B$8:$B$12,0),1)/COUNTIF($C$13:$C$1012,C993)),IF(AND(NC_Type="Building Area Method",Inventory!C990="Y"),INDEX(xyNCEx,MATCH(I993,yNCExArea,0),3)/COUNTIF($I$13:$I$1012,I993),VLOOKUP(J993,xyWattage_Table,10,FALSE))),"")</f>
        <v/>
      </c>
      <c r="L993" s="539" t="str">
        <f t="shared" si="347"/>
        <v/>
      </c>
      <c r="M993" s="540">
        <f>IF(Inventory!N990="","",Inventory!N990)</f>
        <v>0</v>
      </c>
      <c r="N993" s="533" t="str">
        <f t="shared" si="348"/>
        <v/>
      </c>
      <c r="O993" s="534"/>
      <c r="P993" s="533" t="str">
        <f t="shared" si="349"/>
        <v/>
      </c>
      <c r="Q993" s="534" t="str">
        <f>IF(Inventory!L990="","",Inventory!L990)</f>
        <v/>
      </c>
      <c r="R993" s="535" t="str">
        <f t="shared" si="350"/>
        <v/>
      </c>
      <c r="S993" s="536" t="str">
        <f>IF(Inventory!O990="","",Inventory!O990)</f>
        <v/>
      </c>
      <c r="T993" s="541" t="str">
        <f>IFERROR(IF(C993="","",IF(INDEX(xyWattage_Table,MATCH(M993,'Fixture Identities'!$B$9:$B$997,0),2)="Exit Sign",8760,IF(VLOOKUP(C993,xySpace_Type_Details,8,FALSE)="TRM",INDEX('General Information'!$AF$17:$AG$28,11,MATCH(N993,'General Information'!$AF$16:$AG$16,0)),HLOOKUP(VLOOKUP(C993,xySpace_Type_Details,8,FALSE),'General Information'!$P$15:$AG$28,13,FALSE)))),"")</f>
        <v/>
      </c>
      <c r="U993" s="542" t="str">
        <f>IFERROR(IF(C993="","",IF(INDEX(xyWattage_Table,MATCH(M993,'Fixture Identities'!$B$9:$B$997,0),2)="Exit Sign",1,IF(VLOOKUP(C993,xySpace_Type_Details,8,FALSE)="TRM",INDEX('General Information'!$AF$17:$AG$28,12,MATCH(N993,'General Information'!$AF$16:$AG$16,0)),HLOOKUP(VLOOKUP(C993,xySpace_Type_Details,8,FALSE),'General Information'!$P$15:$AG$28,14,FALSE)))),"")</f>
        <v/>
      </c>
      <c r="V993" s="542" t="str">
        <f>IFERROR(VLOOKUP(INDEX(xySpace_Type_Details,MATCH($C993,'General Information'!$C$40:$C$60,0),12),Lookups!$L$8:$N$12,2,FALSE),"")</f>
        <v/>
      </c>
      <c r="W993" s="542" t="str">
        <f>IFERROR(VLOOKUP(INDEX(xySpace_Type_Details,MATCH($C993,'General Information'!$C$40:$C$60,0),12),Lookups!$L$8:$N$12,3,FALSE),"")</f>
        <v/>
      </c>
      <c r="Y993" s="542" t="str">
        <f>IFERROR(IF(C993="","",IF(INDEX(xyWattage_Table,MATCH(M993,'Fixture Identities'!$B$9:$B$997,0),2)="Exit Sign",0,IF(PRJ_Type="Retrofit",VLOOKUP(I993,xySVG_Factors,2,FALSE),IF(AND(PRJ_Type="New Construction",Inventory!C990="N"),VLOOKUP(VLOOKUP(Building_Type,xyLPD_BuildingArea,5,FALSE),xySVG_Factors_NC,3,FALSE),0)))),"")</f>
        <v/>
      </c>
      <c r="Z993" s="544" t="str">
        <f>IFERROR(IF(C993="","",IF(INDEX(xyWattage_Table,MATCH(M993,'Fixture Identities'!$B$9:$B$997,0),2)="Exit Sign",0,VLOOKUP(S993,xySVG_Factors,2,FALSE))),"")</f>
        <v/>
      </c>
      <c r="AA993" s="545" t="str">
        <f t="shared" si="351"/>
        <v/>
      </c>
      <c r="AB993" s="542" t="str">
        <f t="shared" si="352"/>
        <v/>
      </c>
      <c r="AC993" s="539" t="str">
        <f t="shared" si="353"/>
        <v/>
      </c>
      <c r="AD993" s="546" t="str">
        <f t="shared" si="354"/>
        <v/>
      </c>
      <c r="AE993" s="539" t="str">
        <f t="shared" si="355"/>
        <v/>
      </c>
      <c r="AF993" s="546" t="str">
        <f t="shared" si="356"/>
        <v/>
      </c>
      <c r="AG993" s="539" t="str">
        <f t="shared" si="357"/>
        <v/>
      </c>
      <c r="AH993" s="32">
        <f t="shared" si="359"/>
        <v>0</v>
      </c>
      <c r="AI993" s="32">
        <f t="shared" si="360"/>
        <v>0</v>
      </c>
      <c r="AJ993" s="32">
        <f t="shared" si="361"/>
        <v>0</v>
      </c>
      <c r="AK993" t="str">
        <f t="shared" si="362"/>
        <v/>
      </c>
      <c r="AL993" t="str">
        <f t="shared" si="363"/>
        <v/>
      </c>
      <c r="AM993" t="str">
        <f t="shared" si="364"/>
        <v/>
      </c>
      <c r="AO993" t="str">
        <f>IFERROR(VLOOKUP(M993,'Fixture Identities'!$B$9:$O$1045,14,FALSE),"")</f>
        <v/>
      </c>
      <c r="AP993" t="str">
        <f t="shared" si="358"/>
        <v/>
      </c>
    </row>
    <row r="994" spans="1:42">
      <c r="A994" s="71">
        <f t="shared" si="366"/>
        <v>0</v>
      </c>
      <c r="B994" s="513">
        <f t="shared" si="365"/>
        <v>982</v>
      </c>
      <c r="C994" s="530" t="str">
        <f>IF(Inventory!E991="","",Inventory!E991)</f>
        <v/>
      </c>
      <c r="D994" s="531">
        <f>IF(Inventory!D991="",0,Inventory!D991)</f>
        <v>0</v>
      </c>
      <c r="E994" s="532" t="str">
        <f>IF(Inventory!I991=0,"",Inventory!I991)</f>
        <v/>
      </c>
      <c r="F994" s="533" t="str">
        <f t="shared" si="345"/>
        <v/>
      </c>
      <c r="G994" s="534" t="str">
        <f>IF(Inventory!G991="","",Inventory!G991)</f>
        <v/>
      </c>
      <c r="H994" s="535" t="str">
        <f t="shared" si="346"/>
        <v/>
      </c>
      <c r="I994" s="536" t="str">
        <f>IF(Inventory!J991="","",Inventory!J991)</f>
        <v/>
      </c>
      <c r="J994" s="537" t="str">
        <f>IFERROR(IF(PRJ_Type="New Construction",IF(Inventory!C991="N",INDEX(xyLPD_BuildingArea,MATCH(Building_Type,Lookups!$F$37:$F$75,0),4),INDEX(xyLPD_SpaceBySpace,MATCH(INDEX(xyNCEx,MATCH(I994,yNCExArea,0),2),ySpace_by_Space_Type,0),2)),VLOOKUP(E994,xyWattage_Table,11,FALSE)),"")</f>
        <v/>
      </c>
      <c r="K994" s="538" t="str">
        <f>IFERROR(IF(AND(NC_Type="Building Area Method",Inventory!C991="N"),IF(ISERROR(INDEX('Usage Groups (&gt;120 MWh only)'!$N$8:$N$12,MATCH(C994,'Usage Groups (&gt;120 MWh only)'!$B$8:$B$12,0),1))=TRUE,SqFt/COUNTIFS(Inventory!$C$10:$C$1009,"N",$Q$13:$Q$1012,"&gt;=0"),INDEX('Usage Groups (&gt;120 MWh only)'!$N$8:$N$12,MATCH(C994,'Usage Groups (&gt;120 MWh only)'!$B$8:$B$12,0),1)/COUNTIF($C$13:$C$1012,C994)),IF(AND(NC_Type="Building Area Method",Inventory!C991="Y"),INDEX(xyNCEx,MATCH(I994,yNCExArea,0),3)/COUNTIF($I$13:$I$1012,I994),VLOOKUP(J994,xyWattage_Table,10,FALSE))),"")</f>
        <v/>
      </c>
      <c r="L994" s="539" t="str">
        <f t="shared" si="347"/>
        <v/>
      </c>
      <c r="M994" s="540">
        <f>IF(Inventory!N991="","",Inventory!N991)</f>
        <v>0</v>
      </c>
      <c r="N994" s="533" t="str">
        <f t="shared" si="348"/>
        <v/>
      </c>
      <c r="O994" s="534"/>
      <c r="P994" s="533" t="str">
        <f t="shared" si="349"/>
        <v/>
      </c>
      <c r="Q994" s="534" t="str">
        <f>IF(Inventory!L991="","",Inventory!L991)</f>
        <v/>
      </c>
      <c r="R994" s="535" t="str">
        <f t="shared" si="350"/>
        <v/>
      </c>
      <c r="S994" s="536" t="str">
        <f>IF(Inventory!O991="","",Inventory!O991)</f>
        <v/>
      </c>
      <c r="T994" s="541" t="str">
        <f>IFERROR(IF(C994="","",IF(INDEX(xyWattage_Table,MATCH(M994,'Fixture Identities'!$B$9:$B$997,0),2)="Exit Sign",8760,IF(VLOOKUP(C994,xySpace_Type_Details,8,FALSE)="TRM",INDEX('General Information'!$AF$17:$AG$28,11,MATCH(N994,'General Information'!$AF$16:$AG$16,0)),HLOOKUP(VLOOKUP(C994,xySpace_Type_Details,8,FALSE),'General Information'!$P$15:$AG$28,13,FALSE)))),"")</f>
        <v/>
      </c>
      <c r="U994" s="542" t="str">
        <f>IFERROR(IF(C994="","",IF(INDEX(xyWattage_Table,MATCH(M994,'Fixture Identities'!$B$9:$B$997,0),2)="Exit Sign",1,IF(VLOOKUP(C994,xySpace_Type_Details,8,FALSE)="TRM",INDEX('General Information'!$AF$17:$AG$28,12,MATCH(N994,'General Information'!$AF$16:$AG$16,0)),HLOOKUP(VLOOKUP(C994,xySpace_Type_Details,8,FALSE),'General Information'!$P$15:$AG$28,14,FALSE)))),"")</f>
        <v/>
      </c>
      <c r="V994" s="542" t="str">
        <f>IFERROR(VLOOKUP(INDEX(xySpace_Type_Details,MATCH($C994,'General Information'!$C$40:$C$60,0),12),Lookups!$L$8:$N$12,2,FALSE),"")</f>
        <v/>
      </c>
      <c r="W994" s="542" t="str">
        <f>IFERROR(VLOOKUP(INDEX(xySpace_Type_Details,MATCH($C994,'General Information'!$C$40:$C$60,0),12),Lookups!$L$8:$N$12,3,FALSE),"")</f>
        <v/>
      </c>
      <c r="Y994" s="542" t="str">
        <f>IFERROR(IF(C994="","",IF(INDEX(xyWattage_Table,MATCH(M994,'Fixture Identities'!$B$9:$B$997,0),2)="Exit Sign",0,IF(PRJ_Type="Retrofit",VLOOKUP(I994,xySVG_Factors,2,FALSE),IF(AND(PRJ_Type="New Construction",Inventory!C991="N"),VLOOKUP(VLOOKUP(Building_Type,xyLPD_BuildingArea,5,FALSE),xySVG_Factors_NC,3,FALSE),0)))),"")</f>
        <v/>
      </c>
      <c r="Z994" s="544" t="str">
        <f>IFERROR(IF(C994="","",IF(INDEX(xyWattage_Table,MATCH(M994,'Fixture Identities'!$B$9:$B$997,0),2)="Exit Sign",0,VLOOKUP(S994,xySVG_Factors,2,FALSE))),"")</f>
        <v/>
      </c>
      <c r="AA994" s="545" t="str">
        <f t="shared" si="351"/>
        <v/>
      </c>
      <c r="AB994" s="542" t="str">
        <f t="shared" si="352"/>
        <v/>
      </c>
      <c r="AC994" s="539" t="str">
        <f t="shared" si="353"/>
        <v/>
      </c>
      <c r="AD994" s="546" t="str">
        <f t="shared" si="354"/>
        <v/>
      </c>
      <c r="AE994" s="539" t="str">
        <f t="shared" si="355"/>
        <v/>
      </c>
      <c r="AF994" s="546" t="str">
        <f t="shared" si="356"/>
        <v/>
      </c>
      <c r="AG994" s="539" t="str">
        <f t="shared" si="357"/>
        <v/>
      </c>
      <c r="AH994" s="32">
        <f t="shared" si="359"/>
        <v>0</v>
      </c>
      <c r="AI994" s="32">
        <f t="shared" si="360"/>
        <v>0</v>
      </c>
      <c r="AJ994" s="32">
        <f t="shared" si="361"/>
        <v>0</v>
      </c>
      <c r="AK994" t="str">
        <f t="shared" si="362"/>
        <v/>
      </c>
      <c r="AL994" t="str">
        <f t="shared" si="363"/>
        <v/>
      </c>
      <c r="AM994" t="str">
        <f t="shared" si="364"/>
        <v/>
      </c>
      <c r="AO994" t="str">
        <f>IFERROR(VLOOKUP(M994,'Fixture Identities'!$B$9:$O$1045,14,FALSE),"")</f>
        <v/>
      </c>
      <c r="AP994" t="str">
        <f t="shared" si="358"/>
        <v/>
      </c>
    </row>
    <row r="995" spans="1:42">
      <c r="A995" s="71">
        <f t="shared" si="366"/>
        <v>0</v>
      </c>
      <c r="B995" s="513">
        <f t="shared" si="365"/>
        <v>983</v>
      </c>
      <c r="C995" s="530" t="str">
        <f>IF(Inventory!E992="","",Inventory!E992)</f>
        <v/>
      </c>
      <c r="D995" s="531">
        <f>IF(Inventory!D992="",0,Inventory!D992)</f>
        <v>0</v>
      </c>
      <c r="E995" s="532" t="str">
        <f>IF(Inventory!I992=0,"",Inventory!I992)</f>
        <v/>
      </c>
      <c r="F995" s="533" t="str">
        <f t="shared" si="345"/>
        <v/>
      </c>
      <c r="G995" s="534" t="str">
        <f>IF(Inventory!G992="","",Inventory!G992)</f>
        <v/>
      </c>
      <c r="H995" s="535" t="str">
        <f t="shared" si="346"/>
        <v/>
      </c>
      <c r="I995" s="536" t="str">
        <f>IF(Inventory!J992="","",Inventory!J992)</f>
        <v/>
      </c>
      <c r="J995" s="537" t="str">
        <f>IFERROR(IF(PRJ_Type="New Construction",IF(Inventory!C992="N",INDEX(xyLPD_BuildingArea,MATCH(Building_Type,Lookups!$F$37:$F$75,0),4),INDEX(xyLPD_SpaceBySpace,MATCH(INDEX(xyNCEx,MATCH(I995,yNCExArea,0),2),ySpace_by_Space_Type,0),2)),VLOOKUP(E995,xyWattage_Table,11,FALSE)),"")</f>
        <v/>
      </c>
      <c r="K995" s="538" t="str">
        <f>IFERROR(IF(AND(NC_Type="Building Area Method",Inventory!C992="N"),IF(ISERROR(INDEX('Usage Groups (&gt;120 MWh only)'!$N$8:$N$12,MATCH(C995,'Usage Groups (&gt;120 MWh only)'!$B$8:$B$12,0),1))=TRUE,SqFt/COUNTIFS(Inventory!$C$10:$C$1009,"N",$Q$13:$Q$1012,"&gt;=0"),INDEX('Usage Groups (&gt;120 MWh only)'!$N$8:$N$12,MATCH(C995,'Usage Groups (&gt;120 MWh only)'!$B$8:$B$12,0),1)/COUNTIF($C$13:$C$1012,C995)),IF(AND(NC_Type="Building Area Method",Inventory!C992="Y"),INDEX(xyNCEx,MATCH(I995,yNCExArea,0),3)/COUNTIF($I$13:$I$1012,I995),VLOOKUP(J995,xyWattage_Table,10,FALSE))),"")</f>
        <v/>
      </c>
      <c r="L995" s="539" t="str">
        <f t="shared" si="347"/>
        <v/>
      </c>
      <c r="M995" s="540">
        <f>IF(Inventory!N992="","",Inventory!N992)</f>
        <v>0</v>
      </c>
      <c r="N995" s="533" t="str">
        <f t="shared" si="348"/>
        <v/>
      </c>
      <c r="O995" s="534"/>
      <c r="P995" s="533" t="str">
        <f t="shared" si="349"/>
        <v/>
      </c>
      <c r="Q995" s="534" t="str">
        <f>IF(Inventory!L992="","",Inventory!L992)</f>
        <v/>
      </c>
      <c r="R995" s="535" t="str">
        <f t="shared" si="350"/>
        <v/>
      </c>
      <c r="S995" s="536" t="str">
        <f>IF(Inventory!O992="","",Inventory!O992)</f>
        <v/>
      </c>
      <c r="T995" s="541" t="str">
        <f>IFERROR(IF(C995="","",IF(INDEX(xyWattage_Table,MATCH(M995,'Fixture Identities'!$B$9:$B$997,0),2)="Exit Sign",8760,IF(VLOOKUP(C995,xySpace_Type_Details,8,FALSE)="TRM",INDEX('General Information'!$AF$17:$AG$28,11,MATCH(N995,'General Information'!$AF$16:$AG$16,0)),HLOOKUP(VLOOKUP(C995,xySpace_Type_Details,8,FALSE),'General Information'!$P$15:$AG$28,13,FALSE)))),"")</f>
        <v/>
      </c>
      <c r="U995" s="542" t="str">
        <f>IFERROR(IF(C995="","",IF(INDEX(xyWattage_Table,MATCH(M995,'Fixture Identities'!$B$9:$B$997,0),2)="Exit Sign",1,IF(VLOOKUP(C995,xySpace_Type_Details,8,FALSE)="TRM",INDEX('General Information'!$AF$17:$AG$28,12,MATCH(N995,'General Information'!$AF$16:$AG$16,0)),HLOOKUP(VLOOKUP(C995,xySpace_Type_Details,8,FALSE),'General Information'!$P$15:$AG$28,14,FALSE)))),"")</f>
        <v/>
      </c>
      <c r="V995" s="542" t="str">
        <f>IFERROR(VLOOKUP(INDEX(xySpace_Type_Details,MATCH($C995,'General Information'!$C$40:$C$60,0),12),Lookups!$L$8:$N$12,2,FALSE),"")</f>
        <v/>
      </c>
      <c r="W995" s="542" t="str">
        <f>IFERROR(VLOOKUP(INDEX(xySpace_Type_Details,MATCH($C995,'General Information'!$C$40:$C$60,0),12),Lookups!$L$8:$N$12,3,FALSE),"")</f>
        <v/>
      </c>
      <c r="Y995" s="542" t="str">
        <f>IFERROR(IF(C995="","",IF(INDEX(xyWattage_Table,MATCH(M995,'Fixture Identities'!$B$9:$B$997,0),2)="Exit Sign",0,IF(PRJ_Type="Retrofit",VLOOKUP(I995,xySVG_Factors,2,FALSE),IF(AND(PRJ_Type="New Construction",Inventory!C992="N"),VLOOKUP(VLOOKUP(Building_Type,xyLPD_BuildingArea,5,FALSE),xySVG_Factors_NC,3,FALSE),0)))),"")</f>
        <v/>
      </c>
      <c r="Z995" s="544" t="str">
        <f>IFERROR(IF(C995="","",IF(INDEX(xyWattage_Table,MATCH(M995,'Fixture Identities'!$B$9:$B$997,0),2)="Exit Sign",0,VLOOKUP(S995,xySVG_Factors,2,FALSE))),"")</f>
        <v/>
      </c>
      <c r="AA995" s="545" t="str">
        <f t="shared" si="351"/>
        <v/>
      </c>
      <c r="AB995" s="542" t="str">
        <f t="shared" si="352"/>
        <v/>
      </c>
      <c r="AC995" s="539" t="str">
        <f t="shared" si="353"/>
        <v/>
      </c>
      <c r="AD995" s="546" t="str">
        <f t="shared" si="354"/>
        <v/>
      </c>
      <c r="AE995" s="539" t="str">
        <f t="shared" si="355"/>
        <v/>
      </c>
      <c r="AF995" s="546" t="str">
        <f t="shared" si="356"/>
        <v/>
      </c>
      <c r="AG995" s="539" t="str">
        <f t="shared" si="357"/>
        <v/>
      </c>
      <c r="AH995" s="32">
        <f t="shared" si="359"/>
        <v>0</v>
      </c>
      <c r="AI995" s="32">
        <f t="shared" si="360"/>
        <v>0</v>
      </c>
      <c r="AJ995" s="32">
        <f t="shared" si="361"/>
        <v>0</v>
      </c>
      <c r="AK995" t="str">
        <f t="shared" si="362"/>
        <v/>
      </c>
      <c r="AL995" t="str">
        <f t="shared" si="363"/>
        <v/>
      </c>
      <c r="AM995" t="str">
        <f t="shared" si="364"/>
        <v/>
      </c>
      <c r="AO995" t="str">
        <f>IFERROR(VLOOKUP(M995,'Fixture Identities'!$B$9:$O$1045,14,FALSE),"")</f>
        <v/>
      </c>
      <c r="AP995" t="str">
        <f t="shared" si="358"/>
        <v/>
      </c>
    </row>
    <row r="996" spans="1:42">
      <c r="A996" s="71">
        <f t="shared" si="366"/>
        <v>0</v>
      </c>
      <c r="B996" s="513">
        <f t="shared" si="365"/>
        <v>984</v>
      </c>
      <c r="C996" s="530" t="str">
        <f>IF(Inventory!E993="","",Inventory!E993)</f>
        <v/>
      </c>
      <c r="D996" s="531">
        <f>IF(Inventory!D993="",0,Inventory!D993)</f>
        <v>0</v>
      </c>
      <c r="E996" s="532" t="str">
        <f>IF(Inventory!I993=0,"",Inventory!I993)</f>
        <v/>
      </c>
      <c r="F996" s="533" t="str">
        <f t="shared" si="345"/>
        <v/>
      </c>
      <c r="G996" s="534" t="str">
        <f>IF(Inventory!G993="","",Inventory!G993)</f>
        <v/>
      </c>
      <c r="H996" s="535" t="str">
        <f t="shared" si="346"/>
        <v/>
      </c>
      <c r="I996" s="536" t="str">
        <f>IF(Inventory!J993="","",Inventory!J993)</f>
        <v/>
      </c>
      <c r="J996" s="537" t="str">
        <f>IFERROR(IF(PRJ_Type="New Construction",IF(Inventory!C993="N",INDEX(xyLPD_BuildingArea,MATCH(Building_Type,Lookups!$F$37:$F$75,0),4),INDEX(xyLPD_SpaceBySpace,MATCH(INDEX(xyNCEx,MATCH(I996,yNCExArea,0),2),ySpace_by_Space_Type,0),2)),VLOOKUP(E996,xyWattage_Table,11,FALSE)),"")</f>
        <v/>
      </c>
      <c r="K996" s="538" t="str">
        <f>IFERROR(IF(AND(NC_Type="Building Area Method",Inventory!C993="N"),IF(ISERROR(INDEX('Usage Groups (&gt;120 MWh only)'!$N$8:$N$12,MATCH(C996,'Usage Groups (&gt;120 MWh only)'!$B$8:$B$12,0),1))=TRUE,SqFt/COUNTIFS(Inventory!$C$10:$C$1009,"N",$Q$13:$Q$1012,"&gt;=0"),INDEX('Usage Groups (&gt;120 MWh only)'!$N$8:$N$12,MATCH(C996,'Usage Groups (&gt;120 MWh only)'!$B$8:$B$12,0),1)/COUNTIF($C$13:$C$1012,C996)),IF(AND(NC_Type="Building Area Method",Inventory!C993="Y"),INDEX(xyNCEx,MATCH(I996,yNCExArea,0),3)/COUNTIF($I$13:$I$1012,I996),VLOOKUP(J996,xyWattage_Table,10,FALSE))),"")</f>
        <v/>
      </c>
      <c r="L996" s="539" t="str">
        <f t="shared" si="347"/>
        <v/>
      </c>
      <c r="M996" s="540">
        <f>IF(Inventory!N993="","",Inventory!N993)</f>
        <v>0</v>
      </c>
      <c r="N996" s="533" t="str">
        <f t="shared" si="348"/>
        <v/>
      </c>
      <c r="O996" s="534"/>
      <c r="P996" s="533" t="str">
        <f t="shared" si="349"/>
        <v/>
      </c>
      <c r="Q996" s="534" t="str">
        <f>IF(Inventory!L993="","",Inventory!L993)</f>
        <v/>
      </c>
      <c r="R996" s="535" t="str">
        <f t="shared" si="350"/>
        <v/>
      </c>
      <c r="S996" s="536" t="str">
        <f>IF(Inventory!O993="","",Inventory!O993)</f>
        <v/>
      </c>
      <c r="T996" s="541" t="str">
        <f>IFERROR(IF(C996="","",IF(INDEX(xyWattage_Table,MATCH(M996,'Fixture Identities'!$B$9:$B$997,0),2)="Exit Sign",8760,IF(VLOOKUP(C996,xySpace_Type_Details,8,FALSE)="TRM",INDEX('General Information'!$AF$17:$AG$28,11,MATCH(N996,'General Information'!$AF$16:$AG$16,0)),HLOOKUP(VLOOKUP(C996,xySpace_Type_Details,8,FALSE),'General Information'!$P$15:$AG$28,13,FALSE)))),"")</f>
        <v/>
      </c>
      <c r="U996" s="542" t="str">
        <f>IFERROR(IF(C996="","",IF(INDEX(xyWattage_Table,MATCH(M996,'Fixture Identities'!$B$9:$B$997,0),2)="Exit Sign",1,IF(VLOOKUP(C996,xySpace_Type_Details,8,FALSE)="TRM",INDEX('General Information'!$AF$17:$AG$28,12,MATCH(N996,'General Information'!$AF$16:$AG$16,0)),HLOOKUP(VLOOKUP(C996,xySpace_Type_Details,8,FALSE),'General Information'!$P$15:$AG$28,14,FALSE)))),"")</f>
        <v/>
      </c>
      <c r="V996" s="542" t="str">
        <f>IFERROR(VLOOKUP(INDEX(xySpace_Type_Details,MATCH($C996,'General Information'!$C$40:$C$60,0),12),Lookups!$L$8:$N$12,2,FALSE),"")</f>
        <v/>
      </c>
      <c r="W996" s="542" t="str">
        <f>IFERROR(VLOOKUP(INDEX(xySpace_Type_Details,MATCH($C996,'General Information'!$C$40:$C$60,0),12),Lookups!$L$8:$N$12,3,FALSE),"")</f>
        <v/>
      </c>
      <c r="Y996" s="542" t="str">
        <f>IFERROR(IF(C996="","",IF(INDEX(xyWattage_Table,MATCH(M996,'Fixture Identities'!$B$9:$B$997,0),2)="Exit Sign",0,IF(PRJ_Type="Retrofit",VLOOKUP(I996,xySVG_Factors,2,FALSE),IF(AND(PRJ_Type="New Construction",Inventory!C993="N"),VLOOKUP(VLOOKUP(Building_Type,xyLPD_BuildingArea,5,FALSE),xySVG_Factors_NC,3,FALSE),0)))),"")</f>
        <v/>
      </c>
      <c r="Z996" s="544" t="str">
        <f>IFERROR(IF(C996="","",IF(INDEX(xyWattage_Table,MATCH(M996,'Fixture Identities'!$B$9:$B$997,0),2)="Exit Sign",0,VLOOKUP(S996,xySVG_Factors,2,FALSE))),"")</f>
        <v/>
      </c>
      <c r="AA996" s="545" t="str">
        <f t="shared" si="351"/>
        <v/>
      </c>
      <c r="AB996" s="542" t="str">
        <f t="shared" si="352"/>
        <v/>
      </c>
      <c r="AC996" s="539" t="str">
        <f t="shared" si="353"/>
        <v/>
      </c>
      <c r="AD996" s="546" t="str">
        <f t="shared" si="354"/>
        <v/>
      </c>
      <c r="AE996" s="539" t="str">
        <f t="shared" si="355"/>
        <v/>
      </c>
      <c r="AF996" s="546" t="str">
        <f t="shared" si="356"/>
        <v/>
      </c>
      <c r="AG996" s="539" t="str">
        <f t="shared" si="357"/>
        <v/>
      </c>
      <c r="AH996" s="32">
        <f t="shared" si="359"/>
        <v>0</v>
      </c>
      <c r="AI996" s="32">
        <f t="shared" si="360"/>
        <v>0</v>
      </c>
      <c r="AJ996" s="32">
        <f t="shared" si="361"/>
        <v>0</v>
      </c>
      <c r="AK996" t="str">
        <f t="shared" si="362"/>
        <v/>
      </c>
      <c r="AL996" t="str">
        <f t="shared" si="363"/>
        <v/>
      </c>
      <c r="AM996" t="str">
        <f t="shared" si="364"/>
        <v/>
      </c>
      <c r="AO996" t="str">
        <f>IFERROR(VLOOKUP(M996,'Fixture Identities'!$B$9:$O$1045,14,FALSE),"")</f>
        <v/>
      </c>
      <c r="AP996" t="str">
        <f t="shared" si="358"/>
        <v/>
      </c>
    </row>
    <row r="997" spans="1:42">
      <c r="A997" s="71">
        <f t="shared" si="366"/>
        <v>0</v>
      </c>
      <c r="B997" s="513">
        <f t="shared" si="365"/>
        <v>985</v>
      </c>
      <c r="C997" s="530" t="str">
        <f>IF(Inventory!E994="","",Inventory!E994)</f>
        <v/>
      </c>
      <c r="D997" s="531">
        <f>IF(Inventory!D994="",0,Inventory!D994)</f>
        <v>0</v>
      </c>
      <c r="E997" s="532" t="str">
        <f>IF(Inventory!I994=0,"",Inventory!I994)</f>
        <v/>
      </c>
      <c r="F997" s="533" t="str">
        <f t="shared" si="345"/>
        <v/>
      </c>
      <c r="G997" s="534" t="str">
        <f>IF(Inventory!G994="","",Inventory!G994)</f>
        <v/>
      </c>
      <c r="H997" s="535" t="str">
        <f t="shared" si="346"/>
        <v/>
      </c>
      <c r="I997" s="536" t="str">
        <f>IF(Inventory!J994="","",Inventory!J994)</f>
        <v/>
      </c>
      <c r="J997" s="537" t="str">
        <f>IFERROR(IF(PRJ_Type="New Construction",IF(Inventory!C994="N",INDEX(xyLPD_BuildingArea,MATCH(Building_Type,Lookups!$F$37:$F$75,0),4),INDEX(xyLPD_SpaceBySpace,MATCH(INDEX(xyNCEx,MATCH(I997,yNCExArea,0),2),ySpace_by_Space_Type,0),2)),VLOOKUP(E997,xyWattage_Table,11,FALSE)),"")</f>
        <v/>
      </c>
      <c r="K997" s="538" t="str">
        <f>IFERROR(IF(AND(NC_Type="Building Area Method",Inventory!C994="N"),IF(ISERROR(INDEX('Usage Groups (&gt;120 MWh only)'!$N$8:$N$12,MATCH(C997,'Usage Groups (&gt;120 MWh only)'!$B$8:$B$12,0),1))=TRUE,SqFt/COUNTIFS(Inventory!$C$10:$C$1009,"N",$Q$13:$Q$1012,"&gt;=0"),INDEX('Usage Groups (&gt;120 MWh only)'!$N$8:$N$12,MATCH(C997,'Usage Groups (&gt;120 MWh only)'!$B$8:$B$12,0),1)/COUNTIF($C$13:$C$1012,C997)),IF(AND(NC_Type="Building Area Method",Inventory!C994="Y"),INDEX(xyNCEx,MATCH(I997,yNCExArea,0),3)/COUNTIF($I$13:$I$1012,I997),VLOOKUP(J997,xyWattage_Table,10,FALSE))),"")</f>
        <v/>
      </c>
      <c r="L997" s="539" t="str">
        <f t="shared" si="347"/>
        <v/>
      </c>
      <c r="M997" s="540">
        <f>IF(Inventory!N994="","",Inventory!N994)</f>
        <v>0</v>
      </c>
      <c r="N997" s="533" t="str">
        <f t="shared" si="348"/>
        <v/>
      </c>
      <c r="O997" s="534"/>
      <c r="P997" s="533" t="str">
        <f t="shared" si="349"/>
        <v/>
      </c>
      <c r="Q997" s="534" t="str">
        <f>IF(Inventory!L994="","",Inventory!L994)</f>
        <v/>
      </c>
      <c r="R997" s="535" t="str">
        <f t="shared" si="350"/>
        <v/>
      </c>
      <c r="S997" s="536" t="str">
        <f>IF(Inventory!O994="","",Inventory!O994)</f>
        <v/>
      </c>
      <c r="T997" s="541" t="str">
        <f>IFERROR(IF(C997="","",IF(INDEX(xyWattage_Table,MATCH(M997,'Fixture Identities'!$B$9:$B$997,0),2)="Exit Sign",8760,IF(VLOOKUP(C997,xySpace_Type_Details,8,FALSE)="TRM",INDEX('General Information'!$AF$17:$AG$28,11,MATCH(N997,'General Information'!$AF$16:$AG$16,0)),HLOOKUP(VLOOKUP(C997,xySpace_Type_Details,8,FALSE),'General Information'!$P$15:$AG$28,13,FALSE)))),"")</f>
        <v/>
      </c>
      <c r="U997" s="542" t="str">
        <f>IFERROR(IF(C997="","",IF(INDEX(xyWattage_Table,MATCH(M997,'Fixture Identities'!$B$9:$B$997,0),2)="Exit Sign",1,IF(VLOOKUP(C997,xySpace_Type_Details,8,FALSE)="TRM",INDEX('General Information'!$AF$17:$AG$28,12,MATCH(N997,'General Information'!$AF$16:$AG$16,0)),HLOOKUP(VLOOKUP(C997,xySpace_Type_Details,8,FALSE),'General Information'!$P$15:$AG$28,14,FALSE)))),"")</f>
        <v/>
      </c>
      <c r="V997" s="542" t="str">
        <f>IFERROR(VLOOKUP(INDEX(xySpace_Type_Details,MATCH($C997,'General Information'!$C$40:$C$60,0),12),Lookups!$L$8:$N$12,2,FALSE),"")</f>
        <v/>
      </c>
      <c r="W997" s="542" t="str">
        <f>IFERROR(VLOOKUP(INDEX(xySpace_Type_Details,MATCH($C997,'General Information'!$C$40:$C$60,0),12),Lookups!$L$8:$N$12,3,FALSE),"")</f>
        <v/>
      </c>
      <c r="Y997" s="542" t="str">
        <f>IFERROR(IF(C997="","",IF(INDEX(xyWattage_Table,MATCH(M997,'Fixture Identities'!$B$9:$B$997,0),2)="Exit Sign",0,IF(PRJ_Type="Retrofit",VLOOKUP(I997,xySVG_Factors,2,FALSE),IF(AND(PRJ_Type="New Construction",Inventory!C994="N"),VLOOKUP(VLOOKUP(Building_Type,xyLPD_BuildingArea,5,FALSE),xySVG_Factors_NC,3,FALSE),0)))),"")</f>
        <v/>
      </c>
      <c r="Z997" s="544" t="str">
        <f>IFERROR(IF(C997="","",IF(INDEX(xyWattage_Table,MATCH(M997,'Fixture Identities'!$B$9:$B$997,0),2)="Exit Sign",0,VLOOKUP(S997,xySVG_Factors,2,FALSE))),"")</f>
        <v/>
      </c>
      <c r="AA997" s="545" t="str">
        <f t="shared" si="351"/>
        <v/>
      </c>
      <c r="AB997" s="542" t="str">
        <f t="shared" si="352"/>
        <v/>
      </c>
      <c r="AC997" s="539" t="str">
        <f t="shared" si="353"/>
        <v/>
      </c>
      <c r="AD997" s="546" t="str">
        <f t="shared" si="354"/>
        <v/>
      </c>
      <c r="AE997" s="539" t="str">
        <f t="shared" si="355"/>
        <v/>
      </c>
      <c r="AF997" s="546" t="str">
        <f t="shared" si="356"/>
        <v/>
      </c>
      <c r="AG997" s="539" t="str">
        <f t="shared" si="357"/>
        <v/>
      </c>
      <c r="AH997" s="32">
        <f t="shared" si="359"/>
        <v>0</v>
      </c>
      <c r="AI997" s="32">
        <f t="shared" si="360"/>
        <v>0</v>
      </c>
      <c r="AJ997" s="32">
        <f t="shared" si="361"/>
        <v>0</v>
      </c>
      <c r="AK997" t="str">
        <f t="shared" si="362"/>
        <v/>
      </c>
      <c r="AL997" t="str">
        <f t="shared" si="363"/>
        <v/>
      </c>
      <c r="AM997" t="str">
        <f t="shared" si="364"/>
        <v/>
      </c>
      <c r="AO997" t="str">
        <f>IFERROR(VLOOKUP(M997,'Fixture Identities'!$B$9:$O$1045,14,FALSE),"")</f>
        <v/>
      </c>
      <c r="AP997" t="str">
        <f t="shared" si="358"/>
        <v/>
      </c>
    </row>
    <row r="998" spans="1:42">
      <c r="A998" s="71">
        <f t="shared" si="366"/>
        <v>0</v>
      </c>
      <c r="B998" s="513">
        <f t="shared" si="365"/>
        <v>986</v>
      </c>
      <c r="C998" s="530" t="str">
        <f>IF(Inventory!E995="","",Inventory!E995)</f>
        <v/>
      </c>
      <c r="D998" s="531">
        <f>IF(Inventory!D995="",0,Inventory!D995)</f>
        <v>0</v>
      </c>
      <c r="E998" s="532" t="str">
        <f>IF(Inventory!I995=0,"",Inventory!I995)</f>
        <v/>
      </c>
      <c r="F998" s="533" t="str">
        <f t="shared" si="345"/>
        <v/>
      </c>
      <c r="G998" s="534" t="str">
        <f>IF(Inventory!G995="","",Inventory!G995)</f>
        <v/>
      </c>
      <c r="H998" s="535" t="str">
        <f t="shared" si="346"/>
        <v/>
      </c>
      <c r="I998" s="536" t="str">
        <f>IF(Inventory!J995="","",Inventory!J995)</f>
        <v/>
      </c>
      <c r="J998" s="537" t="str">
        <f>IFERROR(IF(PRJ_Type="New Construction",IF(Inventory!C995="N",INDEX(xyLPD_BuildingArea,MATCH(Building_Type,Lookups!$F$37:$F$75,0),4),INDEX(xyLPD_SpaceBySpace,MATCH(INDEX(xyNCEx,MATCH(I998,yNCExArea,0),2),ySpace_by_Space_Type,0),2)),VLOOKUP(E998,xyWattage_Table,11,FALSE)),"")</f>
        <v/>
      </c>
      <c r="K998" s="538" t="str">
        <f>IFERROR(IF(AND(NC_Type="Building Area Method",Inventory!C995="N"),IF(ISERROR(INDEX('Usage Groups (&gt;120 MWh only)'!$N$8:$N$12,MATCH(C998,'Usage Groups (&gt;120 MWh only)'!$B$8:$B$12,0),1))=TRUE,SqFt/COUNTIFS(Inventory!$C$10:$C$1009,"N",$Q$13:$Q$1012,"&gt;=0"),INDEX('Usage Groups (&gt;120 MWh only)'!$N$8:$N$12,MATCH(C998,'Usage Groups (&gt;120 MWh only)'!$B$8:$B$12,0),1)/COUNTIF($C$13:$C$1012,C998)),IF(AND(NC_Type="Building Area Method",Inventory!C995="Y"),INDEX(xyNCEx,MATCH(I998,yNCExArea,0),3)/COUNTIF($I$13:$I$1012,I998),VLOOKUP(J998,xyWattage_Table,10,FALSE))),"")</f>
        <v/>
      </c>
      <c r="L998" s="539" t="str">
        <f t="shared" si="347"/>
        <v/>
      </c>
      <c r="M998" s="540">
        <f>IF(Inventory!N995="","",Inventory!N995)</f>
        <v>0</v>
      </c>
      <c r="N998" s="533" t="str">
        <f t="shared" si="348"/>
        <v/>
      </c>
      <c r="O998" s="534"/>
      <c r="P998" s="533" t="str">
        <f t="shared" si="349"/>
        <v/>
      </c>
      <c r="Q998" s="534" t="str">
        <f>IF(Inventory!L995="","",Inventory!L995)</f>
        <v/>
      </c>
      <c r="R998" s="535" t="str">
        <f t="shared" si="350"/>
        <v/>
      </c>
      <c r="S998" s="536" t="str">
        <f>IF(Inventory!O995="","",Inventory!O995)</f>
        <v/>
      </c>
      <c r="T998" s="541" t="str">
        <f>IFERROR(IF(C998="","",IF(INDEX(xyWattage_Table,MATCH(M998,'Fixture Identities'!$B$9:$B$997,0),2)="Exit Sign",8760,IF(VLOOKUP(C998,xySpace_Type_Details,8,FALSE)="TRM",INDEX('General Information'!$AF$17:$AG$28,11,MATCH(N998,'General Information'!$AF$16:$AG$16,0)),HLOOKUP(VLOOKUP(C998,xySpace_Type_Details,8,FALSE),'General Information'!$P$15:$AG$28,13,FALSE)))),"")</f>
        <v/>
      </c>
      <c r="U998" s="542" t="str">
        <f>IFERROR(IF(C998="","",IF(INDEX(xyWattage_Table,MATCH(M998,'Fixture Identities'!$B$9:$B$997,0),2)="Exit Sign",1,IF(VLOOKUP(C998,xySpace_Type_Details,8,FALSE)="TRM",INDEX('General Information'!$AF$17:$AG$28,12,MATCH(N998,'General Information'!$AF$16:$AG$16,0)),HLOOKUP(VLOOKUP(C998,xySpace_Type_Details,8,FALSE),'General Information'!$P$15:$AG$28,14,FALSE)))),"")</f>
        <v/>
      </c>
      <c r="V998" s="542" t="str">
        <f>IFERROR(VLOOKUP(INDEX(xySpace_Type_Details,MATCH($C998,'General Information'!$C$40:$C$60,0),12),Lookups!$L$8:$N$12,2,FALSE),"")</f>
        <v/>
      </c>
      <c r="W998" s="542" t="str">
        <f>IFERROR(VLOOKUP(INDEX(xySpace_Type_Details,MATCH($C998,'General Information'!$C$40:$C$60,0),12),Lookups!$L$8:$N$12,3,FALSE),"")</f>
        <v/>
      </c>
      <c r="Y998" s="542" t="str">
        <f>IFERROR(IF(C998="","",IF(INDEX(xyWattage_Table,MATCH(M998,'Fixture Identities'!$B$9:$B$997,0),2)="Exit Sign",0,IF(PRJ_Type="Retrofit",VLOOKUP(I998,xySVG_Factors,2,FALSE),IF(AND(PRJ_Type="New Construction",Inventory!C995="N"),VLOOKUP(VLOOKUP(Building_Type,xyLPD_BuildingArea,5,FALSE),xySVG_Factors_NC,3,FALSE),0)))),"")</f>
        <v/>
      </c>
      <c r="Z998" s="544" t="str">
        <f>IFERROR(IF(C998="","",IF(INDEX(xyWattage_Table,MATCH(M998,'Fixture Identities'!$B$9:$B$997,0),2)="Exit Sign",0,VLOOKUP(S998,xySVG_Factors,2,FALSE))),"")</f>
        <v/>
      </c>
      <c r="AA998" s="545" t="str">
        <f t="shared" si="351"/>
        <v/>
      </c>
      <c r="AB998" s="542" t="str">
        <f t="shared" si="352"/>
        <v/>
      </c>
      <c r="AC998" s="539" t="str">
        <f t="shared" si="353"/>
        <v/>
      </c>
      <c r="AD998" s="546" t="str">
        <f t="shared" si="354"/>
        <v/>
      </c>
      <c r="AE998" s="539" t="str">
        <f t="shared" si="355"/>
        <v/>
      </c>
      <c r="AF998" s="546" t="str">
        <f t="shared" si="356"/>
        <v/>
      </c>
      <c r="AG998" s="539" t="str">
        <f t="shared" si="357"/>
        <v/>
      </c>
      <c r="AH998" s="32">
        <f t="shared" si="359"/>
        <v>0</v>
      </c>
      <c r="AI998" s="32">
        <f t="shared" si="360"/>
        <v>0</v>
      </c>
      <c r="AJ998" s="32">
        <f t="shared" si="361"/>
        <v>0</v>
      </c>
      <c r="AK998" t="str">
        <f t="shared" si="362"/>
        <v/>
      </c>
      <c r="AL998" t="str">
        <f t="shared" si="363"/>
        <v/>
      </c>
      <c r="AM998" t="str">
        <f t="shared" si="364"/>
        <v/>
      </c>
      <c r="AO998" t="str">
        <f>IFERROR(VLOOKUP(M998,'Fixture Identities'!$B$9:$O$1045,14,FALSE),"")</f>
        <v/>
      </c>
      <c r="AP998" t="str">
        <f t="shared" si="358"/>
        <v/>
      </c>
    </row>
    <row r="999" spans="1:42">
      <c r="A999" s="71">
        <f t="shared" si="366"/>
        <v>0</v>
      </c>
      <c r="B999" s="513">
        <f t="shared" si="365"/>
        <v>987</v>
      </c>
      <c r="C999" s="530" t="str">
        <f>IF(Inventory!E996="","",Inventory!E996)</f>
        <v/>
      </c>
      <c r="D999" s="531">
        <f>IF(Inventory!D996="",0,Inventory!D996)</f>
        <v>0</v>
      </c>
      <c r="E999" s="532" t="str">
        <f>IF(Inventory!I996=0,"",Inventory!I996)</f>
        <v/>
      </c>
      <c r="F999" s="533" t="str">
        <f t="shared" si="345"/>
        <v/>
      </c>
      <c r="G999" s="534" t="str">
        <f>IF(Inventory!G996="","",Inventory!G996)</f>
        <v/>
      </c>
      <c r="H999" s="535" t="str">
        <f t="shared" si="346"/>
        <v/>
      </c>
      <c r="I999" s="536" t="str">
        <f>IF(Inventory!J996="","",Inventory!J996)</f>
        <v/>
      </c>
      <c r="J999" s="537" t="str">
        <f>IFERROR(IF(PRJ_Type="New Construction",IF(Inventory!C996="N",INDEX(xyLPD_BuildingArea,MATCH(Building_Type,Lookups!$F$37:$F$75,0),4),INDEX(xyLPD_SpaceBySpace,MATCH(INDEX(xyNCEx,MATCH(I999,yNCExArea,0),2),ySpace_by_Space_Type,0),2)),VLOOKUP(E999,xyWattage_Table,11,FALSE)),"")</f>
        <v/>
      </c>
      <c r="K999" s="538" t="str">
        <f>IFERROR(IF(AND(NC_Type="Building Area Method",Inventory!C996="N"),IF(ISERROR(INDEX('Usage Groups (&gt;120 MWh only)'!$N$8:$N$12,MATCH(C999,'Usage Groups (&gt;120 MWh only)'!$B$8:$B$12,0),1))=TRUE,SqFt/COUNTIFS(Inventory!$C$10:$C$1009,"N",$Q$13:$Q$1012,"&gt;=0"),INDEX('Usage Groups (&gt;120 MWh only)'!$N$8:$N$12,MATCH(C999,'Usage Groups (&gt;120 MWh only)'!$B$8:$B$12,0),1)/COUNTIF($C$13:$C$1012,C999)),IF(AND(NC_Type="Building Area Method",Inventory!C996="Y"),INDEX(xyNCEx,MATCH(I999,yNCExArea,0),3)/COUNTIF($I$13:$I$1012,I999),VLOOKUP(J999,xyWattage_Table,10,FALSE))),"")</f>
        <v/>
      </c>
      <c r="L999" s="539" t="str">
        <f t="shared" si="347"/>
        <v/>
      </c>
      <c r="M999" s="540">
        <f>IF(Inventory!N996="","",Inventory!N996)</f>
        <v>0</v>
      </c>
      <c r="N999" s="533" t="str">
        <f t="shared" si="348"/>
        <v/>
      </c>
      <c r="O999" s="534"/>
      <c r="P999" s="533" t="str">
        <f t="shared" si="349"/>
        <v/>
      </c>
      <c r="Q999" s="534" t="str">
        <f>IF(Inventory!L996="","",Inventory!L996)</f>
        <v/>
      </c>
      <c r="R999" s="535" t="str">
        <f t="shared" si="350"/>
        <v/>
      </c>
      <c r="S999" s="536" t="str">
        <f>IF(Inventory!O996="","",Inventory!O996)</f>
        <v/>
      </c>
      <c r="T999" s="541" t="str">
        <f>IFERROR(IF(C999="","",IF(INDEX(xyWattage_Table,MATCH(M999,'Fixture Identities'!$B$9:$B$997,0),2)="Exit Sign",8760,IF(VLOOKUP(C999,xySpace_Type_Details,8,FALSE)="TRM",INDEX('General Information'!$AF$17:$AG$28,11,MATCH(N999,'General Information'!$AF$16:$AG$16,0)),HLOOKUP(VLOOKUP(C999,xySpace_Type_Details,8,FALSE),'General Information'!$P$15:$AG$28,13,FALSE)))),"")</f>
        <v/>
      </c>
      <c r="U999" s="542" t="str">
        <f>IFERROR(IF(C999="","",IF(INDEX(xyWattage_Table,MATCH(M999,'Fixture Identities'!$B$9:$B$997,0),2)="Exit Sign",1,IF(VLOOKUP(C999,xySpace_Type_Details,8,FALSE)="TRM",INDEX('General Information'!$AF$17:$AG$28,12,MATCH(N999,'General Information'!$AF$16:$AG$16,0)),HLOOKUP(VLOOKUP(C999,xySpace_Type_Details,8,FALSE),'General Information'!$P$15:$AG$28,14,FALSE)))),"")</f>
        <v/>
      </c>
      <c r="V999" s="542" t="str">
        <f>IFERROR(VLOOKUP(INDEX(xySpace_Type_Details,MATCH($C999,'General Information'!$C$40:$C$60,0),12),Lookups!$L$8:$N$12,2,FALSE),"")</f>
        <v/>
      </c>
      <c r="W999" s="542" t="str">
        <f>IFERROR(VLOOKUP(INDEX(xySpace_Type_Details,MATCH($C999,'General Information'!$C$40:$C$60,0),12),Lookups!$L$8:$N$12,3,FALSE),"")</f>
        <v/>
      </c>
      <c r="Y999" s="542" t="str">
        <f>IFERROR(IF(C999="","",IF(INDEX(xyWattage_Table,MATCH(M999,'Fixture Identities'!$B$9:$B$997,0),2)="Exit Sign",0,IF(PRJ_Type="Retrofit",VLOOKUP(I999,xySVG_Factors,2,FALSE),IF(AND(PRJ_Type="New Construction",Inventory!C996="N"),VLOOKUP(VLOOKUP(Building_Type,xyLPD_BuildingArea,5,FALSE),xySVG_Factors_NC,3,FALSE),0)))),"")</f>
        <v/>
      </c>
      <c r="Z999" s="544" t="str">
        <f>IFERROR(IF(C999="","",IF(INDEX(xyWattage_Table,MATCH(M999,'Fixture Identities'!$B$9:$B$997,0),2)="Exit Sign",0,VLOOKUP(S999,xySVG_Factors,2,FALSE))),"")</f>
        <v/>
      </c>
      <c r="AA999" s="545" t="str">
        <f t="shared" si="351"/>
        <v/>
      </c>
      <c r="AB999" s="542" t="str">
        <f t="shared" si="352"/>
        <v/>
      </c>
      <c r="AC999" s="539" t="str">
        <f t="shared" si="353"/>
        <v/>
      </c>
      <c r="AD999" s="546" t="str">
        <f t="shared" si="354"/>
        <v/>
      </c>
      <c r="AE999" s="539" t="str">
        <f t="shared" si="355"/>
        <v/>
      </c>
      <c r="AF999" s="546" t="str">
        <f t="shared" si="356"/>
        <v/>
      </c>
      <c r="AG999" s="539" t="str">
        <f t="shared" si="357"/>
        <v/>
      </c>
      <c r="AH999" s="32">
        <f t="shared" si="359"/>
        <v>0</v>
      </c>
      <c r="AI999" s="32">
        <f t="shared" si="360"/>
        <v>0</v>
      </c>
      <c r="AJ999" s="32">
        <f t="shared" si="361"/>
        <v>0</v>
      </c>
      <c r="AK999" t="str">
        <f t="shared" si="362"/>
        <v/>
      </c>
      <c r="AL999" t="str">
        <f t="shared" si="363"/>
        <v/>
      </c>
      <c r="AM999" t="str">
        <f t="shared" si="364"/>
        <v/>
      </c>
      <c r="AO999" t="str">
        <f>IFERROR(VLOOKUP(M999,'Fixture Identities'!$B$9:$O$1045,14,FALSE),"")</f>
        <v/>
      </c>
      <c r="AP999" t="str">
        <f t="shared" si="358"/>
        <v/>
      </c>
    </row>
    <row r="1000" spans="1:42">
      <c r="A1000" s="71">
        <f t="shared" si="366"/>
        <v>0</v>
      </c>
      <c r="B1000" s="513">
        <f t="shared" si="365"/>
        <v>988</v>
      </c>
      <c r="C1000" s="530" t="str">
        <f>IF(Inventory!E997="","",Inventory!E997)</f>
        <v/>
      </c>
      <c r="D1000" s="531">
        <f>IF(Inventory!D997="",0,Inventory!D997)</f>
        <v>0</v>
      </c>
      <c r="E1000" s="532" t="str">
        <f>IF(Inventory!I997=0,"",Inventory!I997)</f>
        <v/>
      </c>
      <c r="F1000" s="533" t="str">
        <f t="shared" si="345"/>
        <v/>
      </c>
      <c r="G1000" s="534" t="str">
        <f>IF(Inventory!G997="","",Inventory!G997)</f>
        <v/>
      </c>
      <c r="H1000" s="535" t="str">
        <f t="shared" si="346"/>
        <v/>
      </c>
      <c r="I1000" s="536" t="str">
        <f>IF(Inventory!J997="","",Inventory!J997)</f>
        <v/>
      </c>
      <c r="J1000" s="537" t="str">
        <f>IFERROR(IF(PRJ_Type="New Construction",IF(Inventory!C997="N",INDEX(xyLPD_BuildingArea,MATCH(Building_Type,Lookups!$F$37:$F$75,0),4),INDEX(xyLPD_SpaceBySpace,MATCH(INDEX(xyNCEx,MATCH(I1000,yNCExArea,0),2),ySpace_by_Space_Type,0),2)),VLOOKUP(E1000,xyWattage_Table,11,FALSE)),"")</f>
        <v/>
      </c>
      <c r="K1000" s="538" t="str">
        <f>IFERROR(IF(AND(NC_Type="Building Area Method",Inventory!C997="N"),IF(ISERROR(INDEX('Usage Groups (&gt;120 MWh only)'!$N$8:$N$12,MATCH(C1000,'Usage Groups (&gt;120 MWh only)'!$B$8:$B$12,0),1))=TRUE,SqFt/COUNTIFS(Inventory!$C$10:$C$1009,"N",$Q$13:$Q$1012,"&gt;=0"),INDEX('Usage Groups (&gt;120 MWh only)'!$N$8:$N$12,MATCH(C1000,'Usage Groups (&gt;120 MWh only)'!$B$8:$B$12,0),1)/COUNTIF($C$13:$C$1012,C1000)),IF(AND(NC_Type="Building Area Method",Inventory!C997="Y"),INDEX(xyNCEx,MATCH(I1000,yNCExArea,0),3)/COUNTIF($I$13:$I$1012,I1000),VLOOKUP(J1000,xyWattage_Table,10,FALSE))),"")</f>
        <v/>
      </c>
      <c r="L1000" s="539" t="str">
        <f t="shared" si="347"/>
        <v/>
      </c>
      <c r="M1000" s="540">
        <f>IF(Inventory!N997="","",Inventory!N997)</f>
        <v>0</v>
      </c>
      <c r="N1000" s="533" t="str">
        <f t="shared" si="348"/>
        <v/>
      </c>
      <c r="O1000" s="534"/>
      <c r="P1000" s="533" t="str">
        <f t="shared" si="349"/>
        <v/>
      </c>
      <c r="Q1000" s="534" t="str">
        <f>IF(Inventory!L997="","",Inventory!L997)</f>
        <v/>
      </c>
      <c r="R1000" s="535" t="str">
        <f t="shared" si="350"/>
        <v/>
      </c>
      <c r="S1000" s="536" t="str">
        <f>IF(Inventory!O997="","",Inventory!O997)</f>
        <v/>
      </c>
      <c r="T1000" s="541" t="str">
        <f>IFERROR(IF(C1000="","",IF(INDEX(xyWattage_Table,MATCH(M1000,'Fixture Identities'!$B$9:$B$997,0),2)="Exit Sign",8760,IF(VLOOKUP(C1000,xySpace_Type_Details,8,FALSE)="TRM",INDEX('General Information'!$AF$17:$AG$28,11,MATCH(N1000,'General Information'!$AF$16:$AG$16,0)),HLOOKUP(VLOOKUP(C1000,xySpace_Type_Details,8,FALSE),'General Information'!$P$15:$AG$28,13,FALSE)))),"")</f>
        <v/>
      </c>
      <c r="U1000" s="542" t="str">
        <f>IFERROR(IF(C1000="","",IF(INDEX(xyWattage_Table,MATCH(M1000,'Fixture Identities'!$B$9:$B$997,0),2)="Exit Sign",1,IF(VLOOKUP(C1000,xySpace_Type_Details,8,FALSE)="TRM",INDEX('General Information'!$AF$17:$AG$28,12,MATCH(N1000,'General Information'!$AF$16:$AG$16,0)),HLOOKUP(VLOOKUP(C1000,xySpace_Type_Details,8,FALSE),'General Information'!$P$15:$AG$28,14,FALSE)))),"")</f>
        <v/>
      </c>
      <c r="V1000" s="542" t="str">
        <f>IFERROR(VLOOKUP(INDEX(xySpace_Type_Details,MATCH($C1000,'General Information'!$C$40:$C$60,0),12),Lookups!$L$8:$N$12,2,FALSE),"")</f>
        <v/>
      </c>
      <c r="W1000" s="542" t="str">
        <f>IFERROR(VLOOKUP(INDEX(xySpace_Type_Details,MATCH($C1000,'General Information'!$C$40:$C$60,0),12),Lookups!$L$8:$N$12,3,FALSE),"")</f>
        <v/>
      </c>
      <c r="Y1000" s="542" t="str">
        <f>IFERROR(IF(C1000="","",IF(INDEX(xyWattage_Table,MATCH(M1000,'Fixture Identities'!$B$9:$B$997,0),2)="Exit Sign",0,IF(PRJ_Type="Retrofit",VLOOKUP(I1000,xySVG_Factors,2,FALSE),IF(AND(PRJ_Type="New Construction",Inventory!C997="N"),VLOOKUP(VLOOKUP(Building_Type,xyLPD_BuildingArea,5,FALSE),xySVG_Factors_NC,3,FALSE),0)))),"")</f>
        <v/>
      </c>
      <c r="Z1000" s="544" t="str">
        <f>IFERROR(IF(C1000="","",IF(INDEX(xyWattage_Table,MATCH(M1000,'Fixture Identities'!$B$9:$B$997,0),2)="Exit Sign",0,VLOOKUP(S1000,xySVG_Factors,2,FALSE))),"")</f>
        <v/>
      </c>
      <c r="AA1000" s="545" t="str">
        <f t="shared" si="351"/>
        <v/>
      </c>
      <c r="AB1000" s="542" t="str">
        <f t="shared" si="352"/>
        <v/>
      </c>
      <c r="AC1000" s="539" t="str">
        <f t="shared" si="353"/>
        <v/>
      </c>
      <c r="AD1000" s="546" t="str">
        <f t="shared" si="354"/>
        <v/>
      </c>
      <c r="AE1000" s="539" t="str">
        <f t="shared" si="355"/>
        <v/>
      </c>
      <c r="AF1000" s="546" t="str">
        <f t="shared" si="356"/>
        <v/>
      </c>
      <c r="AG1000" s="539" t="str">
        <f t="shared" si="357"/>
        <v/>
      </c>
      <c r="AH1000" s="32">
        <f t="shared" si="359"/>
        <v>0</v>
      </c>
      <c r="AI1000" s="32">
        <f t="shared" si="360"/>
        <v>0</v>
      </c>
      <c r="AJ1000" s="32">
        <f t="shared" si="361"/>
        <v>0</v>
      </c>
      <c r="AK1000" t="str">
        <f t="shared" si="362"/>
        <v/>
      </c>
      <c r="AL1000" t="str">
        <f t="shared" si="363"/>
        <v/>
      </c>
      <c r="AM1000" t="str">
        <f t="shared" si="364"/>
        <v/>
      </c>
      <c r="AO1000" t="str">
        <f>IFERROR(VLOOKUP(M1000,'Fixture Identities'!$B$9:$O$1045,14,FALSE),"")</f>
        <v/>
      </c>
      <c r="AP1000" t="str">
        <f t="shared" si="358"/>
        <v/>
      </c>
    </row>
    <row r="1001" spans="1:42">
      <c r="A1001" s="71">
        <f t="shared" si="366"/>
        <v>0</v>
      </c>
      <c r="B1001" s="513">
        <f t="shared" si="365"/>
        <v>989</v>
      </c>
      <c r="C1001" s="530" t="str">
        <f>IF(Inventory!E998="","",Inventory!E998)</f>
        <v/>
      </c>
      <c r="D1001" s="531">
        <f>IF(Inventory!D998="",0,Inventory!D998)</f>
        <v>0</v>
      </c>
      <c r="E1001" s="532" t="str">
        <f>IF(Inventory!I998=0,"",Inventory!I998)</f>
        <v/>
      </c>
      <c r="F1001" s="533" t="str">
        <f t="shared" si="345"/>
        <v/>
      </c>
      <c r="G1001" s="534" t="str">
        <f>IF(Inventory!G998="","",Inventory!G998)</f>
        <v/>
      </c>
      <c r="H1001" s="535" t="str">
        <f t="shared" si="346"/>
        <v/>
      </c>
      <c r="I1001" s="536" t="str">
        <f>IF(Inventory!J998="","",Inventory!J998)</f>
        <v/>
      </c>
      <c r="J1001" s="537" t="str">
        <f>IFERROR(IF(PRJ_Type="New Construction",IF(Inventory!C998="N",INDEX(xyLPD_BuildingArea,MATCH(Building_Type,Lookups!$F$37:$F$75,0),4),INDEX(xyLPD_SpaceBySpace,MATCH(INDEX(xyNCEx,MATCH(I1001,yNCExArea,0),2),ySpace_by_Space_Type,0),2)),VLOOKUP(E1001,xyWattage_Table,11,FALSE)),"")</f>
        <v/>
      </c>
      <c r="K1001" s="538" t="str">
        <f>IFERROR(IF(AND(NC_Type="Building Area Method",Inventory!C998="N"),IF(ISERROR(INDEX('Usage Groups (&gt;120 MWh only)'!$N$8:$N$12,MATCH(C1001,'Usage Groups (&gt;120 MWh only)'!$B$8:$B$12,0),1))=TRUE,SqFt/COUNTIFS(Inventory!$C$10:$C$1009,"N",$Q$13:$Q$1012,"&gt;=0"),INDEX('Usage Groups (&gt;120 MWh only)'!$N$8:$N$12,MATCH(C1001,'Usage Groups (&gt;120 MWh only)'!$B$8:$B$12,0),1)/COUNTIF($C$13:$C$1012,C1001)),IF(AND(NC_Type="Building Area Method",Inventory!C998="Y"),INDEX(xyNCEx,MATCH(I1001,yNCExArea,0),3)/COUNTIF($I$13:$I$1012,I1001),VLOOKUP(J1001,xyWattage_Table,10,FALSE))),"")</f>
        <v/>
      </c>
      <c r="L1001" s="539" t="str">
        <f t="shared" si="347"/>
        <v/>
      </c>
      <c r="M1001" s="540">
        <f>IF(Inventory!N998="","",Inventory!N998)</f>
        <v>0</v>
      </c>
      <c r="N1001" s="533" t="str">
        <f t="shared" si="348"/>
        <v/>
      </c>
      <c r="O1001" s="534"/>
      <c r="P1001" s="533" t="str">
        <f t="shared" si="349"/>
        <v/>
      </c>
      <c r="Q1001" s="534" t="str">
        <f>IF(Inventory!L998="","",Inventory!L998)</f>
        <v/>
      </c>
      <c r="R1001" s="535" t="str">
        <f t="shared" si="350"/>
        <v/>
      </c>
      <c r="S1001" s="536" t="str">
        <f>IF(Inventory!O998="","",Inventory!O998)</f>
        <v/>
      </c>
      <c r="T1001" s="541" t="str">
        <f>IFERROR(IF(C1001="","",IF(INDEX(xyWattage_Table,MATCH(M1001,'Fixture Identities'!$B$9:$B$997,0),2)="Exit Sign",8760,IF(VLOOKUP(C1001,xySpace_Type_Details,8,FALSE)="TRM",INDEX('General Information'!$AF$17:$AG$28,11,MATCH(N1001,'General Information'!$AF$16:$AG$16,0)),HLOOKUP(VLOOKUP(C1001,xySpace_Type_Details,8,FALSE),'General Information'!$P$15:$AG$28,13,FALSE)))),"")</f>
        <v/>
      </c>
      <c r="U1001" s="542" t="str">
        <f>IFERROR(IF(C1001="","",IF(INDEX(xyWattage_Table,MATCH(M1001,'Fixture Identities'!$B$9:$B$997,0),2)="Exit Sign",1,IF(VLOOKUP(C1001,xySpace_Type_Details,8,FALSE)="TRM",INDEX('General Information'!$AF$17:$AG$28,12,MATCH(N1001,'General Information'!$AF$16:$AG$16,0)),HLOOKUP(VLOOKUP(C1001,xySpace_Type_Details,8,FALSE),'General Information'!$P$15:$AG$28,14,FALSE)))),"")</f>
        <v/>
      </c>
      <c r="V1001" s="542" t="str">
        <f>IFERROR(VLOOKUP(INDEX(xySpace_Type_Details,MATCH($C1001,'General Information'!$C$40:$C$60,0),12),Lookups!$L$8:$N$12,2,FALSE),"")</f>
        <v/>
      </c>
      <c r="W1001" s="542" t="str">
        <f>IFERROR(VLOOKUP(INDEX(xySpace_Type_Details,MATCH($C1001,'General Information'!$C$40:$C$60,0),12),Lookups!$L$8:$N$12,3,FALSE),"")</f>
        <v/>
      </c>
      <c r="Y1001" s="542" t="str">
        <f>IFERROR(IF(C1001="","",IF(INDEX(xyWattage_Table,MATCH(M1001,'Fixture Identities'!$B$9:$B$997,0),2)="Exit Sign",0,IF(PRJ_Type="Retrofit",VLOOKUP(I1001,xySVG_Factors,2,FALSE),IF(AND(PRJ_Type="New Construction",Inventory!C998="N"),VLOOKUP(VLOOKUP(Building_Type,xyLPD_BuildingArea,5,FALSE),xySVG_Factors_NC,3,FALSE),0)))),"")</f>
        <v/>
      </c>
      <c r="Z1001" s="544" t="str">
        <f>IFERROR(IF(C1001="","",IF(INDEX(xyWattage_Table,MATCH(M1001,'Fixture Identities'!$B$9:$B$997,0),2)="Exit Sign",0,VLOOKUP(S1001,xySVG_Factors,2,FALSE))),"")</f>
        <v/>
      </c>
      <c r="AA1001" s="545" t="str">
        <f t="shared" si="351"/>
        <v/>
      </c>
      <c r="AB1001" s="542" t="str">
        <f t="shared" si="352"/>
        <v/>
      </c>
      <c r="AC1001" s="539" t="str">
        <f t="shared" si="353"/>
        <v/>
      </c>
      <c r="AD1001" s="546" t="str">
        <f t="shared" si="354"/>
        <v/>
      </c>
      <c r="AE1001" s="539" t="str">
        <f t="shared" si="355"/>
        <v/>
      </c>
      <c r="AF1001" s="546" t="str">
        <f t="shared" si="356"/>
        <v/>
      </c>
      <c r="AG1001" s="539" t="str">
        <f t="shared" si="357"/>
        <v/>
      </c>
      <c r="AH1001" s="32">
        <f t="shared" si="359"/>
        <v>0</v>
      </c>
      <c r="AI1001" s="32">
        <f t="shared" si="360"/>
        <v>0</v>
      </c>
      <c r="AJ1001" s="32">
        <f t="shared" si="361"/>
        <v>0</v>
      </c>
      <c r="AK1001" t="str">
        <f t="shared" si="362"/>
        <v/>
      </c>
      <c r="AL1001" t="str">
        <f t="shared" si="363"/>
        <v/>
      </c>
      <c r="AM1001" t="str">
        <f t="shared" si="364"/>
        <v/>
      </c>
      <c r="AO1001" t="str">
        <f>IFERROR(VLOOKUP(M1001,'Fixture Identities'!$B$9:$O$1045,14,FALSE),"")</f>
        <v/>
      </c>
      <c r="AP1001" t="str">
        <f t="shared" si="358"/>
        <v/>
      </c>
    </row>
    <row r="1002" spans="1:42">
      <c r="A1002" s="71">
        <f t="shared" si="366"/>
        <v>0</v>
      </c>
      <c r="B1002" s="513">
        <f t="shared" si="365"/>
        <v>990</v>
      </c>
      <c r="C1002" s="530" t="str">
        <f>IF(Inventory!E999="","",Inventory!E999)</f>
        <v/>
      </c>
      <c r="D1002" s="531">
        <f>IF(Inventory!D999="",0,Inventory!D999)</f>
        <v>0</v>
      </c>
      <c r="E1002" s="532" t="str">
        <f>IF(Inventory!I999=0,"",Inventory!I999)</f>
        <v/>
      </c>
      <c r="F1002" s="533" t="str">
        <f t="shared" si="345"/>
        <v/>
      </c>
      <c r="G1002" s="534" t="str">
        <f>IF(Inventory!G999="","",Inventory!G999)</f>
        <v/>
      </c>
      <c r="H1002" s="535" t="str">
        <f t="shared" si="346"/>
        <v/>
      </c>
      <c r="I1002" s="536" t="str">
        <f>IF(Inventory!J999="","",Inventory!J999)</f>
        <v/>
      </c>
      <c r="J1002" s="537" t="str">
        <f>IFERROR(IF(PRJ_Type="New Construction",IF(Inventory!C999="N",INDEX(xyLPD_BuildingArea,MATCH(Building_Type,Lookups!$F$37:$F$75,0),4),INDEX(xyLPD_SpaceBySpace,MATCH(INDEX(xyNCEx,MATCH(I1002,yNCExArea,0),2),ySpace_by_Space_Type,0),2)),VLOOKUP(E1002,xyWattage_Table,11,FALSE)),"")</f>
        <v/>
      </c>
      <c r="K1002" s="538" t="str">
        <f>IFERROR(IF(AND(NC_Type="Building Area Method",Inventory!C999="N"),IF(ISERROR(INDEX('Usage Groups (&gt;120 MWh only)'!$N$8:$N$12,MATCH(C1002,'Usage Groups (&gt;120 MWh only)'!$B$8:$B$12,0),1))=TRUE,SqFt/COUNTIFS(Inventory!$C$10:$C$1009,"N",$Q$13:$Q$1012,"&gt;=0"),INDEX('Usage Groups (&gt;120 MWh only)'!$N$8:$N$12,MATCH(C1002,'Usage Groups (&gt;120 MWh only)'!$B$8:$B$12,0),1)/COUNTIF($C$13:$C$1012,C1002)),IF(AND(NC_Type="Building Area Method",Inventory!C999="Y"),INDEX(xyNCEx,MATCH(I1002,yNCExArea,0),3)/COUNTIF($I$13:$I$1012,I1002),VLOOKUP(J1002,xyWattage_Table,10,FALSE))),"")</f>
        <v/>
      </c>
      <c r="L1002" s="539" t="str">
        <f t="shared" si="347"/>
        <v/>
      </c>
      <c r="M1002" s="540">
        <f>IF(Inventory!N999="","",Inventory!N999)</f>
        <v>0</v>
      </c>
      <c r="N1002" s="533" t="str">
        <f t="shared" si="348"/>
        <v/>
      </c>
      <c r="O1002" s="534"/>
      <c r="P1002" s="533" t="str">
        <f t="shared" si="349"/>
        <v/>
      </c>
      <c r="Q1002" s="534" t="str">
        <f>IF(Inventory!L999="","",Inventory!L999)</f>
        <v/>
      </c>
      <c r="R1002" s="535" t="str">
        <f t="shared" si="350"/>
        <v/>
      </c>
      <c r="S1002" s="536" t="str">
        <f>IF(Inventory!O999="","",Inventory!O999)</f>
        <v/>
      </c>
      <c r="T1002" s="541" t="str">
        <f>IFERROR(IF(C1002="","",IF(INDEX(xyWattage_Table,MATCH(M1002,'Fixture Identities'!$B$9:$B$997,0),2)="Exit Sign",8760,IF(VLOOKUP(C1002,xySpace_Type_Details,8,FALSE)="TRM",INDEX('General Information'!$AF$17:$AG$28,11,MATCH(N1002,'General Information'!$AF$16:$AG$16,0)),HLOOKUP(VLOOKUP(C1002,xySpace_Type_Details,8,FALSE),'General Information'!$P$15:$AG$28,13,FALSE)))),"")</f>
        <v/>
      </c>
      <c r="U1002" s="542" t="str">
        <f>IFERROR(IF(C1002="","",IF(INDEX(xyWattage_Table,MATCH(M1002,'Fixture Identities'!$B$9:$B$997,0),2)="Exit Sign",1,IF(VLOOKUP(C1002,xySpace_Type_Details,8,FALSE)="TRM",INDEX('General Information'!$AF$17:$AG$28,12,MATCH(N1002,'General Information'!$AF$16:$AG$16,0)),HLOOKUP(VLOOKUP(C1002,xySpace_Type_Details,8,FALSE),'General Information'!$P$15:$AG$28,14,FALSE)))),"")</f>
        <v/>
      </c>
      <c r="V1002" s="542" t="str">
        <f>IFERROR(VLOOKUP(INDEX(xySpace_Type_Details,MATCH($C1002,'General Information'!$C$40:$C$60,0),12),Lookups!$L$8:$N$12,2,FALSE),"")</f>
        <v/>
      </c>
      <c r="W1002" s="542" t="str">
        <f>IFERROR(VLOOKUP(INDEX(xySpace_Type_Details,MATCH($C1002,'General Information'!$C$40:$C$60,0),12),Lookups!$L$8:$N$12,3,FALSE),"")</f>
        <v/>
      </c>
      <c r="Y1002" s="542" t="str">
        <f>IFERROR(IF(C1002="","",IF(INDEX(xyWattage_Table,MATCH(M1002,'Fixture Identities'!$B$9:$B$997,0),2)="Exit Sign",0,IF(PRJ_Type="Retrofit",VLOOKUP(I1002,xySVG_Factors,2,FALSE),IF(AND(PRJ_Type="New Construction",Inventory!C999="N"),VLOOKUP(VLOOKUP(Building_Type,xyLPD_BuildingArea,5,FALSE),xySVG_Factors_NC,3,FALSE),0)))),"")</f>
        <v/>
      </c>
      <c r="Z1002" s="544" t="str">
        <f>IFERROR(IF(C1002="","",IF(INDEX(xyWattage_Table,MATCH(M1002,'Fixture Identities'!$B$9:$B$997,0),2)="Exit Sign",0,VLOOKUP(S1002,xySVG_Factors,2,FALSE))),"")</f>
        <v/>
      </c>
      <c r="AA1002" s="545" t="str">
        <f t="shared" si="351"/>
        <v/>
      </c>
      <c r="AB1002" s="542" t="str">
        <f t="shared" si="352"/>
        <v/>
      </c>
      <c r="AC1002" s="539" t="str">
        <f t="shared" si="353"/>
        <v/>
      </c>
      <c r="AD1002" s="546" t="str">
        <f t="shared" si="354"/>
        <v/>
      </c>
      <c r="AE1002" s="539" t="str">
        <f t="shared" si="355"/>
        <v/>
      </c>
      <c r="AF1002" s="546" t="str">
        <f t="shared" si="356"/>
        <v/>
      </c>
      <c r="AG1002" s="539" t="str">
        <f t="shared" si="357"/>
        <v/>
      </c>
      <c r="AH1002" s="32">
        <f t="shared" si="359"/>
        <v>0</v>
      </c>
      <c r="AI1002" s="32">
        <f t="shared" si="360"/>
        <v>0</v>
      </c>
      <c r="AJ1002" s="32">
        <f t="shared" si="361"/>
        <v>0</v>
      </c>
      <c r="AK1002" t="str">
        <f t="shared" si="362"/>
        <v/>
      </c>
      <c r="AL1002" t="str">
        <f t="shared" si="363"/>
        <v/>
      </c>
      <c r="AM1002" t="str">
        <f t="shared" si="364"/>
        <v/>
      </c>
      <c r="AO1002" t="str">
        <f>IFERROR(VLOOKUP(M1002,'Fixture Identities'!$B$9:$O$1045,14,FALSE),"")</f>
        <v/>
      </c>
      <c r="AP1002" t="str">
        <f t="shared" si="358"/>
        <v/>
      </c>
    </row>
    <row r="1003" spans="1:42">
      <c r="A1003" s="71">
        <f t="shared" si="366"/>
        <v>0</v>
      </c>
      <c r="B1003" s="513">
        <f t="shared" si="365"/>
        <v>991</v>
      </c>
      <c r="C1003" s="530" t="str">
        <f>IF(Inventory!E1000="","",Inventory!E1000)</f>
        <v/>
      </c>
      <c r="D1003" s="531">
        <f>IF(Inventory!D1000="",0,Inventory!D1000)</f>
        <v>0</v>
      </c>
      <c r="E1003" s="532" t="str">
        <f>IF(Inventory!I1000=0,"",Inventory!I1000)</f>
        <v/>
      </c>
      <c r="F1003" s="533" t="str">
        <f t="shared" si="345"/>
        <v/>
      </c>
      <c r="G1003" s="534" t="str">
        <f>IF(Inventory!G1000="","",Inventory!G1000)</f>
        <v/>
      </c>
      <c r="H1003" s="535" t="str">
        <f t="shared" si="346"/>
        <v/>
      </c>
      <c r="I1003" s="536" t="str">
        <f>IF(Inventory!J1000="","",Inventory!J1000)</f>
        <v/>
      </c>
      <c r="J1003" s="537" t="str">
        <f>IFERROR(IF(PRJ_Type="New Construction",IF(Inventory!C1000="N",INDEX(xyLPD_BuildingArea,MATCH(Building_Type,Lookups!$F$37:$F$75,0),4),INDEX(xyLPD_SpaceBySpace,MATCH(INDEX(xyNCEx,MATCH(I1003,yNCExArea,0),2),ySpace_by_Space_Type,0),2)),VLOOKUP(E1003,xyWattage_Table,11,FALSE)),"")</f>
        <v/>
      </c>
      <c r="K1003" s="538" t="str">
        <f>IFERROR(IF(AND(NC_Type="Building Area Method",Inventory!C1000="N"),IF(ISERROR(INDEX('Usage Groups (&gt;120 MWh only)'!$N$8:$N$12,MATCH(C1003,'Usage Groups (&gt;120 MWh only)'!$B$8:$B$12,0),1))=TRUE,SqFt/COUNTIFS(Inventory!$C$10:$C$1009,"N",$Q$13:$Q$1012,"&gt;=0"),INDEX('Usage Groups (&gt;120 MWh only)'!$N$8:$N$12,MATCH(C1003,'Usage Groups (&gt;120 MWh only)'!$B$8:$B$12,0),1)/COUNTIF($C$13:$C$1012,C1003)),IF(AND(NC_Type="Building Area Method",Inventory!C1000="Y"),INDEX(xyNCEx,MATCH(I1003,yNCExArea,0),3)/COUNTIF($I$13:$I$1012,I1003),VLOOKUP(J1003,xyWattage_Table,10,FALSE))),"")</f>
        <v/>
      </c>
      <c r="L1003" s="539" t="str">
        <f t="shared" si="347"/>
        <v/>
      </c>
      <c r="M1003" s="540">
        <f>IF(Inventory!N1000="","",Inventory!N1000)</f>
        <v>0</v>
      </c>
      <c r="N1003" s="533" t="str">
        <f t="shared" si="348"/>
        <v/>
      </c>
      <c r="O1003" s="534"/>
      <c r="P1003" s="533" t="str">
        <f t="shared" si="349"/>
        <v/>
      </c>
      <c r="Q1003" s="534" t="str">
        <f>IF(Inventory!L1000="","",Inventory!L1000)</f>
        <v/>
      </c>
      <c r="R1003" s="535" t="str">
        <f t="shared" si="350"/>
        <v/>
      </c>
      <c r="S1003" s="536" t="str">
        <f>IF(Inventory!O1000="","",Inventory!O1000)</f>
        <v/>
      </c>
      <c r="T1003" s="541" t="str">
        <f>IFERROR(IF(C1003="","",IF(INDEX(xyWattage_Table,MATCH(M1003,'Fixture Identities'!$B$9:$B$997,0),2)="Exit Sign",8760,IF(VLOOKUP(C1003,xySpace_Type_Details,8,FALSE)="TRM",INDEX('General Information'!$AF$17:$AG$28,11,MATCH(N1003,'General Information'!$AF$16:$AG$16,0)),HLOOKUP(VLOOKUP(C1003,xySpace_Type_Details,8,FALSE),'General Information'!$P$15:$AG$28,13,FALSE)))),"")</f>
        <v/>
      </c>
      <c r="U1003" s="542" t="str">
        <f>IFERROR(IF(C1003="","",IF(INDEX(xyWattage_Table,MATCH(M1003,'Fixture Identities'!$B$9:$B$997,0),2)="Exit Sign",1,IF(VLOOKUP(C1003,xySpace_Type_Details,8,FALSE)="TRM",INDEX('General Information'!$AF$17:$AG$28,12,MATCH(N1003,'General Information'!$AF$16:$AG$16,0)),HLOOKUP(VLOOKUP(C1003,xySpace_Type_Details,8,FALSE),'General Information'!$P$15:$AG$28,14,FALSE)))),"")</f>
        <v/>
      </c>
      <c r="V1003" s="542" t="str">
        <f>IFERROR(VLOOKUP(INDEX(xySpace_Type_Details,MATCH($C1003,'General Information'!$C$40:$C$60,0),12),Lookups!$L$8:$N$12,2,FALSE),"")</f>
        <v/>
      </c>
      <c r="W1003" s="542" t="str">
        <f>IFERROR(VLOOKUP(INDEX(xySpace_Type_Details,MATCH($C1003,'General Information'!$C$40:$C$60,0),12),Lookups!$L$8:$N$12,3,FALSE),"")</f>
        <v/>
      </c>
      <c r="Y1003" s="542" t="str">
        <f>IFERROR(IF(C1003="","",IF(INDEX(xyWattage_Table,MATCH(M1003,'Fixture Identities'!$B$9:$B$997,0),2)="Exit Sign",0,IF(PRJ_Type="Retrofit",VLOOKUP(I1003,xySVG_Factors,2,FALSE),IF(AND(PRJ_Type="New Construction",Inventory!C1000="N"),VLOOKUP(VLOOKUP(Building_Type,xyLPD_BuildingArea,5,FALSE),xySVG_Factors_NC,3,FALSE),0)))),"")</f>
        <v/>
      </c>
      <c r="Z1003" s="544" t="str">
        <f>IFERROR(IF(C1003="","",IF(INDEX(xyWattage_Table,MATCH(M1003,'Fixture Identities'!$B$9:$B$997,0),2)="Exit Sign",0,VLOOKUP(S1003,xySVG_Factors,2,FALSE))),"")</f>
        <v/>
      </c>
      <c r="AA1003" s="545" t="str">
        <f t="shared" si="351"/>
        <v/>
      </c>
      <c r="AB1003" s="542" t="str">
        <f t="shared" si="352"/>
        <v/>
      </c>
      <c r="AC1003" s="539" t="str">
        <f t="shared" si="353"/>
        <v/>
      </c>
      <c r="AD1003" s="546" t="str">
        <f t="shared" si="354"/>
        <v/>
      </c>
      <c r="AE1003" s="539" t="str">
        <f t="shared" si="355"/>
        <v/>
      </c>
      <c r="AF1003" s="546" t="str">
        <f t="shared" si="356"/>
        <v/>
      </c>
      <c r="AG1003" s="539" t="str">
        <f t="shared" si="357"/>
        <v/>
      </c>
      <c r="AH1003" s="32">
        <f t="shared" si="359"/>
        <v>0</v>
      </c>
      <c r="AI1003" s="32">
        <f t="shared" si="360"/>
        <v>0</v>
      </c>
      <c r="AJ1003" s="32">
        <f t="shared" si="361"/>
        <v>0</v>
      </c>
      <c r="AK1003" t="str">
        <f t="shared" si="362"/>
        <v/>
      </c>
      <c r="AL1003" t="str">
        <f t="shared" si="363"/>
        <v/>
      </c>
      <c r="AM1003" t="str">
        <f t="shared" si="364"/>
        <v/>
      </c>
      <c r="AO1003" t="str">
        <f>IFERROR(VLOOKUP(M1003,'Fixture Identities'!$B$9:$O$1045,14,FALSE),"")</f>
        <v/>
      </c>
      <c r="AP1003" t="str">
        <f t="shared" si="358"/>
        <v/>
      </c>
    </row>
    <row r="1004" spans="1:42">
      <c r="A1004" s="71">
        <f t="shared" si="366"/>
        <v>0</v>
      </c>
      <c r="B1004" s="513">
        <f t="shared" si="365"/>
        <v>992</v>
      </c>
      <c r="C1004" s="530" t="str">
        <f>IF(Inventory!E1001="","",Inventory!E1001)</f>
        <v/>
      </c>
      <c r="D1004" s="531">
        <f>IF(Inventory!D1001="",0,Inventory!D1001)</f>
        <v>0</v>
      </c>
      <c r="E1004" s="532" t="str">
        <f>IF(Inventory!I1001=0,"",Inventory!I1001)</f>
        <v/>
      </c>
      <c r="F1004" s="533" t="str">
        <f t="shared" si="345"/>
        <v/>
      </c>
      <c r="G1004" s="534" t="str">
        <f>IF(Inventory!G1001="","",Inventory!G1001)</f>
        <v/>
      </c>
      <c r="H1004" s="535" t="str">
        <f t="shared" si="346"/>
        <v/>
      </c>
      <c r="I1004" s="536" t="str">
        <f>IF(Inventory!J1001="","",Inventory!J1001)</f>
        <v/>
      </c>
      <c r="J1004" s="537" t="str">
        <f>IFERROR(IF(PRJ_Type="New Construction",IF(Inventory!C1001="N",INDEX(xyLPD_BuildingArea,MATCH(Building_Type,Lookups!$F$37:$F$75,0),4),INDEX(xyLPD_SpaceBySpace,MATCH(INDEX(xyNCEx,MATCH(I1004,yNCExArea,0),2),ySpace_by_Space_Type,0),2)),VLOOKUP(E1004,xyWattage_Table,11,FALSE)),"")</f>
        <v/>
      </c>
      <c r="K1004" s="538" t="str">
        <f>IFERROR(IF(AND(NC_Type="Building Area Method",Inventory!C1001="N"),IF(ISERROR(INDEX('Usage Groups (&gt;120 MWh only)'!$N$8:$N$12,MATCH(C1004,'Usage Groups (&gt;120 MWh only)'!$B$8:$B$12,0),1))=TRUE,SqFt/COUNTIFS(Inventory!$C$10:$C$1009,"N",$Q$13:$Q$1012,"&gt;=0"),INDEX('Usage Groups (&gt;120 MWh only)'!$N$8:$N$12,MATCH(C1004,'Usage Groups (&gt;120 MWh only)'!$B$8:$B$12,0),1)/COUNTIF($C$13:$C$1012,C1004)),IF(AND(NC_Type="Building Area Method",Inventory!C1001="Y"),INDEX(xyNCEx,MATCH(I1004,yNCExArea,0),3)/COUNTIF($I$13:$I$1012,I1004),VLOOKUP(J1004,xyWattage_Table,10,FALSE))),"")</f>
        <v/>
      </c>
      <c r="L1004" s="539" t="str">
        <f t="shared" si="347"/>
        <v/>
      </c>
      <c r="M1004" s="540">
        <f>IF(Inventory!N1001="","",Inventory!N1001)</f>
        <v>0</v>
      </c>
      <c r="N1004" s="533" t="str">
        <f t="shared" si="348"/>
        <v/>
      </c>
      <c r="O1004" s="534"/>
      <c r="P1004" s="533" t="str">
        <f t="shared" si="349"/>
        <v/>
      </c>
      <c r="Q1004" s="534" t="str">
        <f>IF(Inventory!L1001="","",Inventory!L1001)</f>
        <v/>
      </c>
      <c r="R1004" s="535" t="str">
        <f t="shared" si="350"/>
        <v/>
      </c>
      <c r="S1004" s="536" t="str">
        <f>IF(Inventory!O1001="","",Inventory!O1001)</f>
        <v/>
      </c>
      <c r="T1004" s="541" t="str">
        <f>IFERROR(IF(C1004="","",IF(INDEX(xyWattage_Table,MATCH(M1004,'Fixture Identities'!$B$9:$B$997,0),2)="Exit Sign",8760,IF(VLOOKUP(C1004,xySpace_Type_Details,8,FALSE)="TRM",INDEX('General Information'!$AF$17:$AG$28,11,MATCH(N1004,'General Information'!$AF$16:$AG$16,0)),HLOOKUP(VLOOKUP(C1004,xySpace_Type_Details,8,FALSE),'General Information'!$P$15:$AG$28,13,FALSE)))),"")</f>
        <v/>
      </c>
      <c r="U1004" s="542" t="str">
        <f>IFERROR(IF(C1004="","",IF(INDEX(xyWattage_Table,MATCH(M1004,'Fixture Identities'!$B$9:$B$997,0),2)="Exit Sign",1,IF(VLOOKUP(C1004,xySpace_Type_Details,8,FALSE)="TRM",INDEX('General Information'!$AF$17:$AG$28,12,MATCH(N1004,'General Information'!$AF$16:$AG$16,0)),HLOOKUP(VLOOKUP(C1004,xySpace_Type_Details,8,FALSE),'General Information'!$P$15:$AG$28,14,FALSE)))),"")</f>
        <v/>
      </c>
      <c r="V1004" s="542" t="str">
        <f>IFERROR(VLOOKUP(INDEX(xySpace_Type_Details,MATCH($C1004,'General Information'!$C$40:$C$60,0),12),Lookups!$L$8:$N$12,2,FALSE),"")</f>
        <v/>
      </c>
      <c r="W1004" s="542" t="str">
        <f>IFERROR(VLOOKUP(INDEX(xySpace_Type_Details,MATCH($C1004,'General Information'!$C$40:$C$60,0),12),Lookups!$L$8:$N$12,3,FALSE),"")</f>
        <v/>
      </c>
      <c r="Y1004" s="542" t="str">
        <f>IFERROR(IF(C1004="","",IF(INDEX(xyWattage_Table,MATCH(M1004,'Fixture Identities'!$B$9:$B$997,0),2)="Exit Sign",0,IF(PRJ_Type="Retrofit",VLOOKUP(I1004,xySVG_Factors,2,FALSE),IF(AND(PRJ_Type="New Construction",Inventory!C1001="N"),VLOOKUP(VLOOKUP(Building_Type,xyLPD_BuildingArea,5,FALSE),xySVG_Factors_NC,3,FALSE),0)))),"")</f>
        <v/>
      </c>
      <c r="Z1004" s="544" t="str">
        <f>IFERROR(IF(C1004="","",IF(INDEX(xyWattage_Table,MATCH(M1004,'Fixture Identities'!$B$9:$B$997,0),2)="Exit Sign",0,VLOOKUP(S1004,xySVG_Factors,2,FALSE))),"")</f>
        <v/>
      </c>
      <c r="AA1004" s="545" t="str">
        <f t="shared" si="351"/>
        <v/>
      </c>
      <c r="AB1004" s="542" t="str">
        <f t="shared" si="352"/>
        <v/>
      </c>
      <c r="AC1004" s="539" t="str">
        <f t="shared" si="353"/>
        <v/>
      </c>
      <c r="AD1004" s="546" t="str">
        <f t="shared" si="354"/>
        <v/>
      </c>
      <c r="AE1004" s="539" t="str">
        <f t="shared" si="355"/>
        <v/>
      </c>
      <c r="AF1004" s="546" t="str">
        <f t="shared" si="356"/>
        <v/>
      </c>
      <c r="AG1004" s="539" t="str">
        <f t="shared" si="357"/>
        <v/>
      </c>
      <c r="AH1004" s="32">
        <f t="shared" si="359"/>
        <v>0</v>
      </c>
      <c r="AI1004" s="32">
        <f t="shared" si="360"/>
        <v>0</v>
      </c>
      <c r="AJ1004" s="32">
        <f t="shared" si="361"/>
        <v>0</v>
      </c>
      <c r="AK1004" t="str">
        <f t="shared" si="362"/>
        <v/>
      </c>
      <c r="AL1004" t="str">
        <f t="shared" si="363"/>
        <v/>
      </c>
      <c r="AM1004" t="str">
        <f t="shared" si="364"/>
        <v/>
      </c>
      <c r="AO1004" t="str">
        <f>IFERROR(VLOOKUP(M1004,'Fixture Identities'!$B$9:$O$1045,14,FALSE),"")</f>
        <v/>
      </c>
      <c r="AP1004" t="str">
        <f t="shared" si="358"/>
        <v/>
      </c>
    </row>
    <row r="1005" spans="1:42">
      <c r="A1005" s="71">
        <f t="shared" si="366"/>
        <v>0</v>
      </c>
      <c r="B1005" s="513">
        <f t="shared" si="365"/>
        <v>993</v>
      </c>
      <c r="C1005" s="530" t="str">
        <f>IF(Inventory!E1002="","",Inventory!E1002)</f>
        <v/>
      </c>
      <c r="D1005" s="531">
        <f>IF(Inventory!D1002="",0,Inventory!D1002)</f>
        <v>0</v>
      </c>
      <c r="E1005" s="532" t="str">
        <f>IF(Inventory!I1002=0,"",Inventory!I1002)</f>
        <v/>
      </c>
      <c r="F1005" s="533" t="str">
        <f t="shared" si="345"/>
        <v/>
      </c>
      <c r="G1005" s="534" t="str">
        <f>IF(Inventory!G1002="","",Inventory!G1002)</f>
        <v/>
      </c>
      <c r="H1005" s="535" t="str">
        <f t="shared" si="346"/>
        <v/>
      </c>
      <c r="I1005" s="536" t="str">
        <f>IF(Inventory!J1002="","",Inventory!J1002)</f>
        <v/>
      </c>
      <c r="J1005" s="537" t="str">
        <f>IFERROR(IF(PRJ_Type="New Construction",IF(Inventory!C1002="N",INDEX(xyLPD_BuildingArea,MATCH(Building_Type,Lookups!$F$37:$F$75,0),4),INDEX(xyLPD_SpaceBySpace,MATCH(INDEX(xyNCEx,MATCH(I1005,yNCExArea,0),2),ySpace_by_Space_Type,0),2)),VLOOKUP(E1005,xyWattage_Table,11,FALSE)),"")</f>
        <v/>
      </c>
      <c r="K1005" s="538" t="str">
        <f>IFERROR(IF(AND(NC_Type="Building Area Method",Inventory!C1002="N"),IF(ISERROR(INDEX('Usage Groups (&gt;120 MWh only)'!$N$8:$N$12,MATCH(C1005,'Usage Groups (&gt;120 MWh only)'!$B$8:$B$12,0),1))=TRUE,SqFt/COUNTIFS(Inventory!$C$10:$C$1009,"N",$Q$13:$Q$1012,"&gt;=0"),INDEX('Usage Groups (&gt;120 MWh only)'!$N$8:$N$12,MATCH(C1005,'Usage Groups (&gt;120 MWh only)'!$B$8:$B$12,0),1)/COUNTIF($C$13:$C$1012,C1005)),IF(AND(NC_Type="Building Area Method",Inventory!C1002="Y"),INDEX(xyNCEx,MATCH(I1005,yNCExArea,0),3)/COUNTIF($I$13:$I$1012,I1005),VLOOKUP(J1005,xyWattage_Table,10,FALSE))),"")</f>
        <v/>
      </c>
      <c r="L1005" s="539" t="str">
        <f t="shared" si="347"/>
        <v/>
      </c>
      <c r="M1005" s="540">
        <f>IF(Inventory!N1002="","",Inventory!N1002)</f>
        <v>0</v>
      </c>
      <c r="N1005" s="533" t="str">
        <f t="shared" si="348"/>
        <v/>
      </c>
      <c r="O1005" s="534"/>
      <c r="P1005" s="533" t="str">
        <f t="shared" si="349"/>
        <v/>
      </c>
      <c r="Q1005" s="534" t="str">
        <f>IF(Inventory!L1002="","",Inventory!L1002)</f>
        <v/>
      </c>
      <c r="R1005" s="535" t="str">
        <f t="shared" si="350"/>
        <v/>
      </c>
      <c r="S1005" s="536" t="str">
        <f>IF(Inventory!O1002="","",Inventory!O1002)</f>
        <v/>
      </c>
      <c r="T1005" s="541" t="str">
        <f>IFERROR(IF(C1005="","",IF(INDEX(xyWattage_Table,MATCH(M1005,'Fixture Identities'!$B$9:$B$997,0),2)="Exit Sign",8760,IF(VLOOKUP(C1005,xySpace_Type_Details,8,FALSE)="TRM",INDEX('General Information'!$AF$17:$AG$28,11,MATCH(N1005,'General Information'!$AF$16:$AG$16,0)),HLOOKUP(VLOOKUP(C1005,xySpace_Type_Details,8,FALSE),'General Information'!$P$15:$AG$28,13,FALSE)))),"")</f>
        <v/>
      </c>
      <c r="U1005" s="542" t="str">
        <f>IFERROR(IF(C1005="","",IF(INDEX(xyWattage_Table,MATCH(M1005,'Fixture Identities'!$B$9:$B$997,0),2)="Exit Sign",1,IF(VLOOKUP(C1005,xySpace_Type_Details,8,FALSE)="TRM",INDEX('General Information'!$AF$17:$AG$28,12,MATCH(N1005,'General Information'!$AF$16:$AG$16,0)),HLOOKUP(VLOOKUP(C1005,xySpace_Type_Details,8,FALSE),'General Information'!$P$15:$AG$28,14,FALSE)))),"")</f>
        <v/>
      </c>
      <c r="V1005" s="542" t="str">
        <f>IFERROR(VLOOKUP(INDEX(xySpace_Type_Details,MATCH($C1005,'General Information'!$C$40:$C$60,0),12),Lookups!$L$8:$N$12,2,FALSE),"")</f>
        <v/>
      </c>
      <c r="W1005" s="542" t="str">
        <f>IFERROR(VLOOKUP(INDEX(xySpace_Type_Details,MATCH($C1005,'General Information'!$C$40:$C$60,0),12),Lookups!$L$8:$N$12,3,FALSE),"")</f>
        <v/>
      </c>
      <c r="Y1005" s="542" t="str">
        <f>IFERROR(IF(C1005="","",IF(INDEX(xyWattage_Table,MATCH(M1005,'Fixture Identities'!$B$9:$B$997,0),2)="Exit Sign",0,IF(PRJ_Type="Retrofit",VLOOKUP(I1005,xySVG_Factors,2,FALSE),IF(AND(PRJ_Type="New Construction",Inventory!C1002="N"),VLOOKUP(VLOOKUP(Building_Type,xyLPD_BuildingArea,5,FALSE),xySVG_Factors_NC,3,FALSE),0)))),"")</f>
        <v/>
      </c>
      <c r="Z1005" s="544" t="str">
        <f>IFERROR(IF(C1005="","",IF(INDEX(xyWattage_Table,MATCH(M1005,'Fixture Identities'!$B$9:$B$997,0),2)="Exit Sign",0,VLOOKUP(S1005,xySVG_Factors,2,FALSE))),"")</f>
        <v/>
      </c>
      <c r="AA1005" s="545" t="str">
        <f t="shared" si="351"/>
        <v/>
      </c>
      <c r="AB1005" s="542" t="str">
        <f t="shared" si="352"/>
        <v/>
      </c>
      <c r="AC1005" s="539" t="str">
        <f t="shared" si="353"/>
        <v/>
      </c>
      <c r="AD1005" s="546" t="str">
        <f t="shared" si="354"/>
        <v/>
      </c>
      <c r="AE1005" s="539" t="str">
        <f t="shared" si="355"/>
        <v/>
      </c>
      <c r="AF1005" s="546" t="str">
        <f t="shared" si="356"/>
        <v/>
      </c>
      <c r="AG1005" s="539" t="str">
        <f t="shared" si="357"/>
        <v/>
      </c>
      <c r="AH1005" s="32">
        <f t="shared" si="359"/>
        <v>0</v>
      </c>
      <c r="AI1005" s="32">
        <f t="shared" si="360"/>
        <v>0</v>
      </c>
      <c r="AJ1005" s="32">
        <f t="shared" si="361"/>
        <v>0</v>
      </c>
      <c r="AK1005" t="str">
        <f t="shared" si="362"/>
        <v/>
      </c>
      <c r="AL1005" t="str">
        <f t="shared" si="363"/>
        <v/>
      </c>
      <c r="AM1005" t="str">
        <f t="shared" si="364"/>
        <v/>
      </c>
      <c r="AO1005" t="str">
        <f>IFERROR(VLOOKUP(M1005,'Fixture Identities'!$B$9:$O$1045,14,FALSE),"")</f>
        <v/>
      </c>
      <c r="AP1005" t="str">
        <f t="shared" si="358"/>
        <v/>
      </c>
    </row>
    <row r="1006" spans="1:42">
      <c r="A1006" s="71">
        <f t="shared" si="366"/>
        <v>0</v>
      </c>
      <c r="B1006" s="513">
        <f t="shared" si="365"/>
        <v>994</v>
      </c>
      <c r="C1006" s="530" t="str">
        <f>IF(Inventory!E1003="","",Inventory!E1003)</f>
        <v/>
      </c>
      <c r="D1006" s="531">
        <f>IF(Inventory!D1003="",0,Inventory!D1003)</f>
        <v>0</v>
      </c>
      <c r="E1006" s="532" t="str">
        <f>IF(Inventory!I1003=0,"",Inventory!I1003)</f>
        <v/>
      </c>
      <c r="F1006" s="533" t="str">
        <f t="shared" si="345"/>
        <v/>
      </c>
      <c r="G1006" s="534" t="str">
        <f>IF(Inventory!G1003="","",Inventory!G1003)</f>
        <v/>
      </c>
      <c r="H1006" s="535" t="str">
        <f t="shared" si="346"/>
        <v/>
      </c>
      <c r="I1006" s="536" t="str">
        <f>IF(Inventory!J1003="","",Inventory!J1003)</f>
        <v/>
      </c>
      <c r="J1006" s="537" t="str">
        <f>IFERROR(IF(PRJ_Type="New Construction",IF(Inventory!C1003="N",INDEX(xyLPD_BuildingArea,MATCH(Building_Type,Lookups!$F$37:$F$75,0),4),INDEX(xyLPD_SpaceBySpace,MATCH(INDEX(xyNCEx,MATCH(I1006,yNCExArea,0),2),ySpace_by_Space_Type,0),2)),VLOOKUP(E1006,xyWattage_Table,11,FALSE)),"")</f>
        <v/>
      </c>
      <c r="K1006" s="538" t="str">
        <f>IFERROR(IF(AND(NC_Type="Building Area Method",Inventory!C1003="N"),IF(ISERROR(INDEX('Usage Groups (&gt;120 MWh only)'!$N$8:$N$12,MATCH(C1006,'Usage Groups (&gt;120 MWh only)'!$B$8:$B$12,0),1))=TRUE,SqFt/COUNTIFS(Inventory!$C$10:$C$1009,"N",$Q$13:$Q$1012,"&gt;=0"),INDEX('Usage Groups (&gt;120 MWh only)'!$N$8:$N$12,MATCH(C1006,'Usage Groups (&gt;120 MWh only)'!$B$8:$B$12,0),1)/COUNTIF($C$13:$C$1012,C1006)),IF(AND(NC_Type="Building Area Method",Inventory!C1003="Y"),INDEX(xyNCEx,MATCH(I1006,yNCExArea,0),3)/COUNTIF($I$13:$I$1012,I1006),VLOOKUP(J1006,xyWattage_Table,10,FALSE))),"")</f>
        <v/>
      </c>
      <c r="L1006" s="539" t="str">
        <f t="shared" si="347"/>
        <v/>
      </c>
      <c r="M1006" s="540">
        <f>IF(Inventory!N1003="","",Inventory!N1003)</f>
        <v>0</v>
      </c>
      <c r="N1006" s="533" t="str">
        <f t="shared" si="348"/>
        <v/>
      </c>
      <c r="O1006" s="534"/>
      <c r="P1006" s="533" t="str">
        <f t="shared" si="349"/>
        <v/>
      </c>
      <c r="Q1006" s="534" t="str">
        <f>IF(Inventory!L1003="","",Inventory!L1003)</f>
        <v/>
      </c>
      <c r="R1006" s="535" t="str">
        <f t="shared" si="350"/>
        <v/>
      </c>
      <c r="S1006" s="536" t="str">
        <f>IF(Inventory!O1003="","",Inventory!O1003)</f>
        <v/>
      </c>
      <c r="T1006" s="541" t="str">
        <f>IFERROR(IF(C1006="","",IF(INDEX(xyWattage_Table,MATCH(M1006,'Fixture Identities'!$B$9:$B$997,0),2)="Exit Sign",8760,IF(VLOOKUP(C1006,xySpace_Type_Details,8,FALSE)="TRM",INDEX('General Information'!$AF$17:$AG$28,11,MATCH(N1006,'General Information'!$AF$16:$AG$16,0)),HLOOKUP(VLOOKUP(C1006,xySpace_Type_Details,8,FALSE),'General Information'!$P$15:$AG$28,13,FALSE)))),"")</f>
        <v/>
      </c>
      <c r="U1006" s="542" t="str">
        <f>IFERROR(IF(C1006="","",IF(INDEX(xyWattage_Table,MATCH(M1006,'Fixture Identities'!$B$9:$B$997,0),2)="Exit Sign",1,IF(VLOOKUP(C1006,xySpace_Type_Details,8,FALSE)="TRM",INDEX('General Information'!$AF$17:$AG$28,12,MATCH(N1006,'General Information'!$AF$16:$AG$16,0)),HLOOKUP(VLOOKUP(C1006,xySpace_Type_Details,8,FALSE),'General Information'!$P$15:$AG$28,14,FALSE)))),"")</f>
        <v/>
      </c>
      <c r="V1006" s="542" t="str">
        <f>IFERROR(VLOOKUP(INDEX(xySpace_Type_Details,MATCH($C1006,'General Information'!$C$40:$C$60,0),12),Lookups!$L$8:$N$12,2,FALSE),"")</f>
        <v/>
      </c>
      <c r="W1006" s="542" t="str">
        <f>IFERROR(VLOOKUP(INDEX(xySpace_Type_Details,MATCH($C1006,'General Information'!$C$40:$C$60,0),12),Lookups!$L$8:$N$12,3,FALSE),"")</f>
        <v/>
      </c>
      <c r="Y1006" s="542" t="str">
        <f>IFERROR(IF(C1006="","",IF(INDEX(xyWattage_Table,MATCH(M1006,'Fixture Identities'!$B$9:$B$997,0),2)="Exit Sign",0,IF(PRJ_Type="Retrofit",VLOOKUP(I1006,xySVG_Factors,2,FALSE),IF(AND(PRJ_Type="New Construction",Inventory!C1003="N"),VLOOKUP(VLOOKUP(Building_Type,xyLPD_BuildingArea,5,FALSE),xySVG_Factors_NC,3,FALSE),0)))),"")</f>
        <v/>
      </c>
      <c r="Z1006" s="544" t="str">
        <f>IFERROR(IF(C1006="","",IF(INDEX(xyWattage_Table,MATCH(M1006,'Fixture Identities'!$B$9:$B$997,0),2)="Exit Sign",0,VLOOKUP(S1006,xySVG_Factors,2,FALSE))),"")</f>
        <v/>
      </c>
      <c r="AA1006" s="545" t="str">
        <f t="shared" si="351"/>
        <v/>
      </c>
      <c r="AB1006" s="542" t="str">
        <f t="shared" si="352"/>
        <v/>
      </c>
      <c r="AC1006" s="539" t="str">
        <f t="shared" si="353"/>
        <v/>
      </c>
      <c r="AD1006" s="546" t="str">
        <f t="shared" si="354"/>
        <v/>
      </c>
      <c r="AE1006" s="539" t="str">
        <f t="shared" si="355"/>
        <v/>
      </c>
      <c r="AF1006" s="546" t="str">
        <f t="shared" si="356"/>
        <v/>
      </c>
      <c r="AG1006" s="539" t="str">
        <f t="shared" si="357"/>
        <v/>
      </c>
      <c r="AH1006" s="32">
        <f t="shared" si="359"/>
        <v>0</v>
      </c>
      <c r="AI1006" s="32">
        <f t="shared" si="360"/>
        <v>0</v>
      </c>
      <c r="AJ1006" s="32">
        <f t="shared" si="361"/>
        <v>0</v>
      </c>
      <c r="AK1006" t="str">
        <f t="shared" si="362"/>
        <v/>
      </c>
      <c r="AL1006" t="str">
        <f t="shared" si="363"/>
        <v/>
      </c>
      <c r="AM1006" t="str">
        <f t="shared" si="364"/>
        <v/>
      </c>
      <c r="AO1006" t="str">
        <f>IFERROR(VLOOKUP(M1006,'Fixture Identities'!$B$9:$O$1045,14,FALSE),"")</f>
        <v/>
      </c>
      <c r="AP1006" t="str">
        <f t="shared" si="358"/>
        <v/>
      </c>
    </row>
    <row r="1007" spans="1:42">
      <c r="A1007" s="71">
        <f t="shared" si="366"/>
        <v>0</v>
      </c>
      <c r="B1007" s="513">
        <f t="shared" si="365"/>
        <v>995</v>
      </c>
      <c r="C1007" s="530" t="str">
        <f>IF(Inventory!E1004="","",Inventory!E1004)</f>
        <v/>
      </c>
      <c r="D1007" s="531">
        <f>IF(Inventory!D1004="",0,Inventory!D1004)</f>
        <v>0</v>
      </c>
      <c r="E1007" s="532" t="str">
        <f>IF(Inventory!I1004=0,"",Inventory!I1004)</f>
        <v/>
      </c>
      <c r="F1007" s="533" t="str">
        <f t="shared" si="345"/>
        <v/>
      </c>
      <c r="G1007" s="534" t="str">
        <f>IF(Inventory!G1004="","",Inventory!G1004)</f>
        <v/>
      </c>
      <c r="H1007" s="535" t="str">
        <f t="shared" si="346"/>
        <v/>
      </c>
      <c r="I1007" s="536" t="str">
        <f>IF(Inventory!J1004="","",Inventory!J1004)</f>
        <v/>
      </c>
      <c r="J1007" s="537" t="str">
        <f>IFERROR(IF(PRJ_Type="New Construction",IF(Inventory!C1004="N",INDEX(xyLPD_BuildingArea,MATCH(Building_Type,Lookups!$F$37:$F$75,0),4),INDEX(xyLPD_SpaceBySpace,MATCH(INDEX(xyNCEx,MATCH(I1007,yNCExArea,0),2),ySpace_by_Space_Type,0),2)),VLOOKUP(E1007,xyWattage_Table,11,FALSE)),"")</f>
        <v/>
      </c>
      <c r="K1007" s="538" t="str">
        <f>IFERROR(IF(AND(NC_Type="Building Area Method",Inventory!C1004="N"),IF(ISERROR(INDEX('Usage Groups (&gt;120 MWh only)'!$N$8:$N$12,MATCH(C1007,'Usage Groups (&gt;120 MWh only)'!$B$8:$B$12,0),1))=TRUE,SqFt/COUNTIFS(Inventory!$C$10:$C$1009,"N",$Q$13:$Q$1012,"&gt;=0"),INDEX('Usage Groups (&gt;120 MWh only)'!$N$8:$N$12,MATCH(C1007,'Usage Groups (&gt;120 MWh only)'!$B$8:$B$12,0),1)/COUNTIF($C$13:$C$1012,C1007)),IF(AND(NC_Type="Building Area Method",Inventory!C1004="Y"),INDEX(xyNCEx,MATCH(I1007,yNCExArea,0),3)/COUNTIF($I$13:$I$1012,I1007),VLOOKUP(J1007,xyWattage_Table,10,FALSE))),"")</f>
        <v/>
      </c>
      <c r="L1007" s="539" t="str">
        <f t="shared" si="347"/>
        <v/>
      </c>
      <c r="M1007" s="540">
        <f>IF(Inventory!N1004="","",Inventory!N1004)</f>
        <v>0</v>
      </c>
      <c r="N1007" s="533" t="str">
        <f t="shared" si="348"/>
        <v/>
      </c>
      <c r="O1007" s="534"/>
      <c r="P1007" s="533" t="str">
        <f t="shared" si="349"/>
        <v/>
      </c>
      <c r="Q1007" s="534" t="str">
        <f>IF(Inventory!L1004="","",Inventory!L1004)</f>
        <v/>
      </c>
      <c r="R1007" s="535" t="str">
        <f t="shared" si="350"/>
        <v/>
      </c>
      <c r="S1007" s="536" t="str">
        <f>IF(Inventory!O1004="","",Inventory!O1004)</f>
        <v/>
      </c>
      <c r="T1007" s="541" t="str">
        <f>IFERROR(IF(C1007="","",IF(INDEX(xyWattage_Table,MATCH(M1007,'Fixture Identities'!$B$9:$B$997,0),2)="Exit Sign",8760,IF(VLOOKUP(C1007,xySpace_Type_Details,8,FALSE)="TRM",INDEX('General Information'!$AF$17:$AG$28,11,MATCH(N1007,'General Information'!$AF$16:$AG$16,0)),HLOOKUP(VLOOKUP(C1007,xySpace_Type_Details,8,FALSE),'General Information'!$P$15:$AG$28,13,FALSE)))),"")</f>
        <v/>
      </c>
      <c r="U1007" s="542" t="str">
        <f>IFERROR(IF(C1007="","",IF(INDEX(xyWattage_Table,MATCH(M1007,'Fixture Identities'!$B$9:$B$997,0),2)="Exit Sign",1,IF(VLOOKUP(C1007,xySpace_Type_Details,8,FALSE)="TRM",INDEX('General Information'!$AF$17:$AG$28,12,MATCH(N1007,'General Information'!$AF$16:$AG$16,0)),HLOOKUP(VLOOKUP(C1007,xySpace_Type_Details,8,FALSE),'General Information'!$P$15:$AG$28,14,FALSE)))),"")</f>
        <v/>
      </c>
      <c r="V1007" s="542" t="str">
        <f>IFERROR(VLOOKUP(INDEX(xySpace_Type_Details,MATCH($C1007,'General Information'!$C$40:$C$60,0),12),Lookups!$L$8:$N$12,2,FALSE),"")</f>
        <v/>
      </c>
      <c r="W1007" s="542" t="str">
        <f>IFERROR(VLOOKUP(INDEX(xySpace_Type_Details,MATCH($C1007,'General Information'!$C$40:$C$60,0),12),Lookups!$L$8:$N$12,3,FALSE),"")</f>
        <v/>
      </c>
      <c r="Y1007" s="542" t="str">
        <f>IFERROR(IF(C1007="","",IF(INDEX(xyWattage_Table,MATCH(M1007,'Fixture Identities'!$B$9:$B$997,0),2)="Exit Sign",0,IF(PRJ_Type="Retrofit",VLOOKUP(I1007,xySVG_Factors,2,FALSE),IF(AND(PRJ_Type="New Construction",Inventory!C1004="N"),VLOOKUP(VLOOKUP(Building_Type,xyLPD_BuildingArea,5,FALSE),xySVG_Factors_NC,3,FALSE),0)))),"")</f>
        <v/>
      </c>
      <c r="Z1007" s="544" t="str">
        <f>IFERROR(IF(C1007="","",IF(INDEX(xyWattage_Table,MATCH(M1007,'Fixture Identities'!$B$9:$B$997,0),2)="Exit Sign",0,VLOOKUP(S1007,xySVG_Factors,2,FALSE))),"")</f>
        <v/>
      </c>
      <c r="AA1007" s="545" t="str">
        <f t="shared" si="351"/>
        <v/>
      </c>
      <c r="AB1007" s="542" t="str">
        <f t="shared" si="352"/>
        <v/>
      </c>
      <c r="AC1007" s="539" t="str">
        <f t="shared" si="353"/>
        <v/>
      </c>
      <c r="AD1007" s="546" t="str">
        <f t="shared" si="354"/>
        <v/>
      </c>
      <c r="AE1007" s="539" t="str">
        <f t="shared" si="355"/>
        <v/>
      </c>
      <c r="AF1007" s="546" t="str">
        <f t="shared" si="356"/>
        <v/>
      </c>
      <c r="AG1007" s="539" t="str">
        <f t="shared" si="357"/>
        <v/>
      </c>
      <c r="AH1007" s="32">
        <f t="shared" si="359"/>
        <v>0</v>
      </c>
      <c r="AI1007" s="32">
        <f t="shared" si="360"/>
        <v>0</v>
      </c>
      <c r="AJ1007" s="32">
        <f t="shared" si="361"/>
        <v>0</v>
      </c>
      <c r="AK1007" t="str">
        <f t="shared" si="362"/>
        <v/>
      </c>
      <c r="AL1007" t="str">
        <f t="shared" si="363"/>
        <v/>
      </c>
      <c r="AM1007" t="str">
        <f t="shared" si="364"/>
        <v/>
      </c>
      <c r="AO1007" t="str">
        <f>IFERROR(VLOOKUP(M1007,'Fixture Identities'!$B$9:$O$1045,14,FALSE),"")</f>
        <v/>
      </c>
      <c r="AP1007" t="str">
        <f t="shared" si="358"/>
        <v/>
      </c>
    </row>
    <row r="1008" spans="1:42">
      <c r="A1008" s="71">
        <f t="shared" si="366"/>
        <v>0</v>
      </c>
      <c r="B1008" s="513">
        <f t="shared" si="365"/>
        <v>996</v>
      </c>
      <c r="C1008" s="530" t="str">
        <f>IF(Inventory!E1005="","",Inventory!E1005)</f>
        <v/>
      </c>
      <c r="D1008" s="531">
        <f>IF(Inventory!D1005="",0,Inventory!D1005)</f>
        <v>0</v>
      </c>
      <c r="E1008" s="532" t="str">
        <f>IF(Inventory!I1005=0,"",Inventory!I1005)</f>
        <v/>
      </c>
      <c r="F1008" s="533" t="str">
        <f t="shared" si="345"/>
        <v/>
      </c>
      <c r="G1008" s="534" t="str">
        <f>IF(Inventory!G1005="","",Inventory!G1005)</f>
        <v/>
      </c>
      <c r="H1008" s="535" t="str">
        <f t="shared" si="346"/>
        <v/>
      </c>
      <c r="I1008" s="536" t="str">
        <f>IF(Inventory!J1005="","",Inventory!J1005)</f>
        <v/>
      </c>
      <c r="J1008" s="537" t="str">
        <f>IFERROR(IF(PRJ_Type="New Construction",IF(Inventory!C1005="N",INDEX(xyLPD_BuildingArea,MATCH(Building_Type,Lookups!$F$37:$F$75,0),4),INDEX(xyLPD_SpaceBySpace,MATCH(INDEX(xyNCEx,MATCH(I1008,yNCExArea,0),2),ySpace_by_Space_Type,0),2)),VLOOKUP(E1008,xyWattage_Table,11,FALSE)),"")</f>
        <v/>
      </c>
      <c r="K1008" s="538" t="str">
        <f>IFERROR(IF(AND(NC_Type="Building Area Method",Inventory!C1005="N"),IF(ISERROR(INDEX('Usage Groups (&gt;120 MWh only)'!$N$8:$N$12,MATCH(C1008,'Usage Groups (&gt;120 MWh only)'!$B$8:$B$12,0),1))=TRUE,SqFt/COUNTIFS(Inventory!$C$10:$C$1009,"N",$Q$13:$Q$1012,"&gt;=0"),INDEX('Usage Groups (&gt;120 MWh only)'!$N$8:$N$12,MATCH(C1008,'Usage Groups (&gt;120 MWh only)'!$B$8:$B$12,0),1)/COUNTIF($C$13:$C$1012,C1008)),IF(AND(NC_Type="Building Area Method",Inventory!C1005="Y"),INDEX(xyNCEx,MATCH(I1008,yNCExArea,0),3)/COUNTIF($I$13:$I$1012,I1008),VLOOKUP(J1008,xyWattage_Table,10,FALSE))),"")</f>
        <v/>
      </c>
      <c r="L1008" s="539" t="str">
        <f t="shared" si="347"/>
        <v/>
      </c>
      <c r="M1008" s="540">
        <f>IF(Inventory!N1005="","",Inventory!N1005)</f>
        <v>0</v>
      </c>
      <c r="N1008" s="533" t="str">
        <f t="shared" si="348"/>
        <v/>
      </c>
      <c r="O1008" s="534"/>
      <c r="P1008" s="533" t="str">
        <f t="shared" si="349"/>
        <v/>
      </c>
      <c r="Q1008" s="534" t="str">
        <f>IF(Inventory!L1005="","",Inventory!L1005)</f>
        <v/>
      </c>
      <c r="R1008" s="535" t="str">
        <f t="shared" si="350"/>
        <v/>
      </c>
      <c r="S1008" s="536" t="str">
        <f>IF(Inventory!O1005="","",Inventory!O1005)</f>
        <v/>
      </c>
      <c r="T1008" s="541" t="str">
        <f>IFERROR(IF(C1008="","",IF(INDEX(xyWattage_Table,MATCH(M1008,'Fixture Identities'!$B$9:$B$997,0),2)="Exit Sign",8760,IF(VLOOKUP(C1008,xySpace_Type_Details,8,FALSE)="TRM",INDEX('General Information'!$AF$17:$AG$28,11,MATCH(N1008,'General Information'!$AF$16:$AG$16,0)),HLOOKUP(VLOOKUP(C1008,xySpace_Type_Details,8,FALSE),'General Information'!$P$15:$AG$28,13,FALSE)))),"")</f>
        <v/>
      </c>
      <c r="U1008" s="542" t="str">
        <f>IFERROR(IF(C1008="","",IF(INDEX(xyWattage_Table,MATCH(M1008,'Fixture Identities'!$B$9:$B$997,0),2)="Exit Sign",1,IF(VLOOKUP(C1008,xySpace_Type_Details,8,FALSE)="TRM",INDEX('General Information'!$AF$17:$AG$28,12,MATCH(N1008,'General Information'!$AF$16:$AG$16,0)),HLOOKUP(VLOOKUP(C1008,xySpace_Type_Details,8,FALSE),'General Information'!$P$15:$AG$28,14,FALSE)))),"")</f>
        <v/>
      </c>
      <c r="V1008" s="542" t="str">
        <f>IFERROR(VLOOKUP(INDEX(xySpace_Type_Details,MATCH($C1008,'General Information'!$C$40:$C$60,0),12),Lookups!$L$8:$N$12,2,FALSE),"")</f>
        <v/>
      </c>
      <c r="W1008" s="542" t="str">
        <f>IFERROR(VLOOKUP(INDEX(xySpace_Type_Details,MATCH($C1008,'General Information'!$C$40:$C$60,0),12),Lookups!$L$8:$N$12,3,FALSE),"")</f>
        <v/>
      </c>
      <c r="Y1008" s="542" t="str">
        <f>IFERROR(IF(C1008="","",IF(INDEX(xyWattage_Table,MATCH(M1008,'Fixture Identities'!$B$9:$B$997,0),2)="Exit Sign",0,IF(PRJ_Type="Retrofit",VLOOKUP(I1008,xySVG_Factors,2,FALSE),IF(AND(PRJ_Type="New Construction",Inventory!C1005="N"),VLOOKUP(VLOOKUP(Building_Type,xyLPD_BuildingArea,5,FALSE),xySVG_Factors_NC,3,FALSE),0)))),"")</f>
        <v/>
      </c>
      <c r="Z1008" s="544" t="str">
        <f>IFERROR(IF(C1008="","",IF(INDEX(xyWattage_Table,MATCH(M1008,'Fixture Identities'!$B$9:$B$997,0),2)="Exit Sign",0,VLOOKUP(S1008,xySVG_Factors,2,FALSE))),"")</f>
        <v/>
      </c>
      <c r="AA1008" s="545" t="str">
        <f t="shared" si="351"/>
        <v/>
      </c>
      <c r="AB1008" s="542" t="str">
        <f t="shared" si="352"/>
        <v/>
      </c>
      <c r="AC1008" s="539" t="str">
        <f t="shared" si="353"/>
        <v/>
      </c>
      <c r="AD1008" s="546" t="str">
        <f t="shared" si="354"/>
        <v/>
      </c>
      <c r="AE1008" s="539" t="str">
        <f t="shared" si="355"/>
        <v/>
      </c>
      <c r="AF1008" s="546" t="str">
        <f t="shared" si="356"/>
        <v/>
      </c>
      <c r="AG1008" s="539" t="str">
        <f t="shared" si="357"/>
        <v/>
      </c>
      <c r="AH1008" s="32">
        <f t="shared" si="359"/>
        <v>0</v>
      </c>
      <c r="AI1008" s="32">
        <f t="shared" si="360"/>
        <v>0</v>
      </c>
      <c r="AJ1008" s="32">
        <f t="shared" si="361"/>
        <v>0</v>
      </c>
      <c r="AK1008" t="str">
        <f t="shared" si="362"/>
        <v/>
      </c>
      <c r="AL1008" t="str">
        <f t="shared" si="363"/>
        <v/>
      </c>
      <c r="AM1008" t="str">
        <f t="shared" si="364"/>
        <v/>
      </c>
      <c r="AO1008" t="str">
        <f>IFERROR(VLOOKUP(M1008,'Fixture Identities'!$B$9:$O$1045,14,FALSE),"")</f>
        <v/>
      </c>
      <c r="AP1008" t="str">
        <f t="shared" si="358"/>
        <v/>
      </c>
    </row>
    <row r="1009" spans="1:42">
      <c r="A1009" s="71">
        <f t="shared" si="366"/>
        <v>0</v>
      </c>
      <c r="B1009" s="513">
        <f t="shared" si="365"/>
        <v>997</v>
      </c>
      <c r="C1009" s="530" t="str">
        <f>IF(Inventory!E1006="","",Inventory!E1006)</f>
        <v/>
      </c>
      <c r="D1009" s="531">
        <f>IF(Inventory!D1006="",0,Inventory!D1006)</f>
        <v>0</v>
      </c>
      <c r="E1009" s="532" t="str">
        <f>IF(Inventory!I1006=0,"",Inventory!I1006)</f>
        <v/>
      </c>
      <c r="F1009" s="533" t="str">
        <f t="shared" ref="F1009:F1011" si="367">IFERROR(VLOOKUP(E1009,xyWattage_Table,10,FALSE),"")</f>
        <v/>
      </c>
      <c r="G1009" s="534" t="str">
        <f>IF(Inventory!G1006="","",Inventory!G1006)</f>
        <v/>
      </c>
      <c r="H1009" s="535" t="str">
        <f t="shared" ref="H1009:H1011" si="368">IF(G1009="","",G1009*F1009)</f>
        <v/>
      </c>
      <c r="I1009" s="536" t="str">
        <f>IF(Inventory!J1006="","",Inventory!J1006)</f>
        <v/>
      </c>
      <c r="J1009" s="537" t="str">
        <f>IFERROR(IF(PRJ_Type="New Construction",IF(Inventory!C1006="N",INDEX(xyLPD_BuildingArea,MATCH(Building_Type,Lookups!$F$37:$F$75,0),4),INDEX(xyLPD_SpaceBySpace,MATCH(INDEX(xyNCEx,MATCH(I1009,yNCExArea,0),2),ySpace_by_Space_Type,0),2)),VLOOKUP(E1009,xyWattage_Table,11,FALSE)),"")</f>
        <v/>
      </c>
      <c r="K1009" s="538" t="str">
        <f>IFERROR(IF(AND(NC_Type="Building Area Method",Inventory!C1006="N"),IF(ISERROR(INDEX('Usage Groups (&gt;120 MWh only)'!$N$8:$N$12,MATCH(C1009,'Usage Groups (&gt;120 MWh only)'!$B$8:$B$12,0),1))=TRUE,SqFt/COUNTIFS(Inventory!$C$10:$C$1009,"N",$Q$13:$Q$1012,"&gt;=0"),INDEX('Usage Groups (&gt;120 MWh only)'!$N$8:$N$12,MATCH(C1009,'Usage Groups (&gt;120 MWh only)'!$B$8:$B$12,0),1)/COUNTIF($C$13:$C$1012,C1009)),IF(AND(NC_Type="Building Area Method",Inventory!C1006="Y"),INDEX(xyNCEx,MATCH(I1009,yNCExArea,0),3)/COUNTIF($I$13:$I$1012,I1009),VLOOKUP(J1009,xyWattage_Table,10,FALSE))),"")</f>
        <v/>
      </c>
      <c r="L1009" s="539" t="str">
        <f t="shared" ref="L1009:L1011" si="369">IFERROR(IF(PRJ_Type="New Construction",J1009*K1009,IF(G1009="","",K1009*G1009)),"")</f>
        <v/>
      </c>
      <c r="M1009" s="540">
        <f>IF(Inventory!N1006="","",Inventory!N1006)</f>
        <v>0</v>
      </c>
      <c r="N1009" s="533" t="str">
        <f t="shared" ref="N1009:N1011" si="370">IFERROR(VLOOKUP(M1009,xyWattage_Table,12,FALSE),"")</f>
        <v/>
      </c>
      <c r="O1009" s="534"/>
      <c r="P1009" s="533" t="str">
        <f t="shared" ref="P1009:P1011" si="371">IFERROR(VLOOKUP(M1009,xyWattage_Table,10,FALSE),"")</f>
        <v/>
      </c>
      <c r="Q1009" s="534" t="str">
        <f>IF(Inventory!L1006="","",Inventory!L1006)</f>
        <v/>
      </c>
      <c r="R1009" s="535" t="str">
        <f t="shared" ref="R1009:R1011" si="372">IF(P1009="","",Q1009*P1009)</f>
        <v/>
      </c>
      <c r="S1009" s="536" t="str">
        <f>IF(Inventory!O1006="","",Inventory!O1006)</f>
        <v/>
      </c>
      <c r="T1009" s="541" t="str">
        <f>IFERROR(IF(C1009="","",IF(INDEX(xyWattage_Table,MATCH(M1009,'Fixture Identities'!$B$9:$B$997,0),2)="Exit Sign",8760,IF(VLOOKUP(C1009,xySpace_Type_Details,8,FALSE)="TRM",INDEX('General Information'!$AF$17:$AG$28,11,MATCH(N1009,'General Information'!$AF$16:$AG$16,0)),HLOOKUP(VLOOKUP(C1009,xySpace_Type_Details,8,FALSE),'General Information'!$P$15:$AG$28,13,FALSE)))),"")</f>
        <v/>
      </c>
      <c r="U1009" s="542" t="str">
        <f>IFERROR(IF(C1009="","",IF(INDEX(xyWattage_Table,MATCH(M1009,'Fixture Identities'!$B$9:$B$997,0),2)="Exit Sign",1,IF(VLOOKUP(C1009,xySpace_Type_Details,8,FALSE)="TRM",INDEX('General Information'!$AF$17:$AG$28,12,MATCH(N1009,'General Information'!$AF$16:$AG$16,0)),HLOOKUP(VLOOKUP(C1009,xySpace_Type_Details,8,FALSE),'General Information'!$P$15:$AG$28,14,FALSE)))),"")</f>
        <v/>
      </c>
      <c r="V1009" s="542" t="str">
        <f>IFERROR(VLOOKUP(INDEX(xySpace_Type_Details,MATCH($C1009,'General Information'!$C$40:$C$60,0),12),Lookups!$L$8:$N$12,2,FALSE),"")</f>
        <v/>
      </c>
      <c r="W1009" s="542" t="str">
        <f>IFERROR(VLOOKUP(INDEX(xySpace_Type_Details,MATCH($C1009,'General Information'!$C$40:$C$60,0),12),Lookups!$L$8:$N$12,3,FALSE),"")</f>
        <v/>
      </c>
      <c r="Y1009" s="542" t="str">
        <f>IFERROR(IF(C1009="","",IF(INDEX(xyWattage_Table,MATCH(M1009,'Fixture Identities'!$B$9:$B$997,0),2)="Exit Sign",0,IF(PRJ_Type="Retrofit",VLOOKUP(I1009,xySVG_Factors,2,FALSE),IF(AND(PRJ_Type="New Construction",Inventory!C1006="N"),VLOOKUP(VLOOKUP(Building_Type,xyLPD_BuildingArea,5,FALSE),xySVG_Factors_NC,3,FALSE),0)))),"")</f>
        <v/>
      </c>
      <c r="Z1009" s="544" t="str">
        <f>IFERROR(IF(C1009="","",IF(INDEX(xyWattage_Table,MATCH(M1009,'Fixture Identities'!$B$9:$B$997,0),2)="Exit Sign",0,VLOOKUP(S1009,xySVG_Factors,2,FALSE))),"")</f>
        <v/>
      </c>
      <c r="AA1009" s="545" t="str">
        <f t="shared" ref="AA1009:AA1011" si="373">IFERROR((L1009-R1009)/1000,"")</f>
        <v/>
      </c>
      <c r="AB1009" s="542" t="str">
        <f t="shared" ref="AB1009:AB1011" si="374">IFERROR(AA1009*U1009*(1+W1009)*(1-Y1009),"")</f>
        <v/>
      </c>
      <c r="AC1009" s="539" t="str">
        <f t="shared" ref="AC1009:AC1011" si="375">IFERROR(AA1009*T1009*(1+V1009)*(1-Y1009),"")</f>
        <v/>
      </c>
      <c r="AD1009" s="546" t="str">
        <f t="shared" ref="AD1009:AD1011" si="376">IFERROR(R1009/1000*(Z1009-Y1009)*(1+W1009)*U1009,"")</f>
        <v/>
      </c>
      <c r="AE1009" s="539" t="str">
        <f t="shared" ref="AE1009:AE1011" si="377">IFERROR(R1009/1000*T1009*(Z1009-Y1009)*(1+V1009),"")</f>
        <v/>
      </c>
      <c r="AF1009" s="546" t="str">
        <f t="shared" ref="AF1009:AF1011" si="378">IFERROR(AB1009+AD1009,"")</f>
        <v/>
      </c>
      <c r="AG1009" s="539" t="str">
        <f t="shared" ref="AG1009:AG1011" si="379">IFERROR(AC1009+AE1009,"")</f>
        <v/>
      </c>
      <c r="AH1009" s="32">
        <f t="shared" si="359"/>
        <v>0</v>
      </c>
      <c r="AI1009" s="32">
        <f t="shared" si="360"/>
        <v>0</v>
      </c>
      <c r="AJ1009" s="32">
        <f t="shared" si="361"/>
        <v>0</v>
      </c>
      <c r="AK1009" t="str">
        <f t="shared" si="362"/>
        <v/>
      </c>
      <c r="AL1009" t="str">
        <f t="shared" si="363"/>
        <v/>
      </c>
      <c r="AM1009" t="str">
        <f t="shared" si="364"/>
        <v/>
      </c>
      <c r="AO1009" t="str">
        <f>IFERROR(VLOOKUP(M1009,'Fixture Identities'!$B$9:$O$1045,14,FALSE),"")</f>
        <v/>
      </c>
      <c r="AP1009" t="str">
        <f t="shared" si="358"/>
        <v/>
      </c>
    </row>
    <row r="1010" spans="1:42">
      <c r="A1010" s="71">
        <f t="shared" si="366"/>
        <v>0</v>
      </c>
      <c r="B1010" s="513">
        <f t="shared" si="365"/>
        <v>998</v>
      </c>
      <c r="C1010" s="530" t="str">
        <f>IF(Inventory!E1007="","",Inventory!E1007)</f>
        <v/>
      </c>
      <c r="D1010" s="531">
        <f>IF(Inventory!D1007="",0,Inventory!D1007)</f>
        <v>0</v>
      </c>
      <c r="E1010" s="532" t="str">
        <f>IF(Inventory!I1007=0,"",Inventory!I1007)</f>
        <v/>
      </c>
      <c r="F1010" s="533" t="str">
        <f t="shared" si="367"/>
        <v/>
      </c>
      <c r="G1010" s="534" t="str">
        <f>IF(Inventory!G1007="","",Inventory!G1007)</f>
        <v/>
      </c>
      <c r="H1010" s="535" t="str">
        <f t="shared" si="368"/>
        <v/>
      </c>
      <c r="I1010" s="536" t="str">
        <f>IF(Inventory!J1007="","",Inventory!J1007)</f>
        <v/>
      </c>
      <c r="J1010" s="537" t="str">
        <f>IFERROR(IF(PRJ_Type="New Construction",IF(Inventory!C1007="N",INDEX(xyLPD_BuildingArea,MATCH(Building_Type,Lookups!$F$37:$F$75,0),4),INDEX(xyLPD_SpaceBySpace,MATCH(INDEX(xyNCEx,MATCH(I1010,yNCExArea,0),2),ySpace_by_Space_Type,0),2)),VLOOKUP(E1010,xyWattage_Table,11,FALSE)),"")</f>
        <v/>
      </c>
      <c r="K1010" s="538" t="str">
        <f>IFERROR(IF(AND(NC_Type="Building Area Method",Inventory!C1007="N"),IF(ISERROR(INDEX('Usage Groups (&gt;120 MWh only)'!$N$8:$N$12,MATCH(C1010,'Usage Groups (&gt;120 MWh only)'!$B$8:$B$12,0),1))=TRUE,SqFt/COUNTIFS(Inventory!$C$10:$C$1009,"N",$Q$13:$Q$1012,"&gt;=0"),INDEX('Usage Groups (&gt;120 MWh only)'!$N$8:$N$12,MATCH(C1010,'Usage Groups (&gt;120 MWh only)'!$B$8:$B$12,0),1)/COUNTIF($C$13:$C$1012,C1010)),IF(AND(NC_Type="Building Area Method",Inventory!C1007="Y"),INDEX(xyNCEx,MATCH(I1010,yNCExArea,0),3)/COUNTIF($I$13:$I$1012,I1010),VLOOKUP(J1010,xyWattage_Table,10,FALSE))),"")</f>
        <v/>
      </c>
      <c r="L1010" s="539" t="str">
        <f t="shared" si="369"/>
        <v/>
      </c>
      <c r="M1010" s="540">
        <f>IF(Inventory!N1007="","",Inventory!N1007)</f>
        <v>0</v>
      </c>
      <c r="N1010" s="533" t="str">
        <f t="shared" si="370"/>
        <v/>
      </c>
      <c r="O1010" s="534"/>
      <c r="P1010" s="533" t="str">
        <f t="shared" si="371"/>
        <v/>
      </c>
      <c r="Q1010" s="534" t="str">
        <f>IF(Inventory!L1007="","",Inventory!L1007)</f>
        <v/>
      </c>
      <c r="R1010" s="535" t="str">
        <f t="shared" si="372"/>
        <v/>
      </c>
      <c r="S1010" s="536" t="str">
        <f>IF(Inventory!O1007="","",Inventory!O1007)</f>
        <v/>
      </c>
      <c r="T1010" s="541" t="str">
        <f>IFERROR(IF(C1010="","",IF(INDEX(xyWattage_Table,MATCH(M1010,'Fixture Identities'!$B$9:$B$997,0),2)="Exit Sign",8760,IF(VLOOKUP(C1010,xySpace_Type_Details,8,FALSE)="TRM",INDEX('General Information'!$AF$17:$AG$28,11,MATCH(N1010,'General Information'!$AF$16:$AG$16,0)),HLOOKUP(VLOOKUP(C1010,xySpace_Type_Details,8,FALSE),'General Information'!$P$15:$AG$28,13,FALSE)))),"")</f>
        <v/>
      </c>
      <c r="U1010" s="542" t="str">
        <f>IFERROR(IF(C1010="","",IF(INDEX(xyWattage_Table,MATCH(M1010,'Fixture Identities'!$B$9:$B$997,0),2)="Exit Sign",1,IF(VLOOKUP(C1010,xySpace_Type_Details,8,FALSE)="TRM",INDEX('General Information'!$AF$17:$AG$28,12,MATCH(N1010,'General Information'!$AF$16:$AG$16,0)),HLOOKUP(VLOOKUP(C1010,xySpace_Type_Details,8,FALSE),'General Information'!$P$15:$AG$28,14,FALSE)))),"")</f>
        <v/>
      </c>
      <c r="V1010" s="542" t="str">
        <f>IFERROR(VLOOKUP(INDEX(xySpace_Type_Details,MATCH($C1010,'General Information'!$C$40:$C$60,0),12),Lookups!$L$8:$N$12,2,FALSE),"")</f>
        <v/>
      </c>
      <c r="W1010" s="542" t="str">
        <f>IFERROR(VLOOKUP(INDEX(xySpace_Type_Details,MATCH($C1010,'General Information'!$C$40:$C$60,0),12),Lookups!$L$8:$N$12,3,FALSE),"")</f>
        <v/>
      </c>
      <c r="Y1010" s="542" t="str">
        <f>IFERROR(IF(C1010="","",IF(INDEX(xyWattage_Table,MATCH(M1010,'Fixture Identities'!$B$9:$B$997,0),2)="Exit Sign",0,IF(PRJ_Type="Retrofit",VLOOKUP(I1010,xySVG_Factors,2,FALSE),IF(AND(PRJ_Type="New Construction",Inventory!C1007="N"),VLOOKUP(VLOOKUP(Building_Type,xyLPD_BuildingArea,5,FALSE),xySVG_Factors_NC,3,FALSE),0)))),"")</f>
        <v/>
      </c>
      <c r="Z1010" s="544" t="str">
        <f>IFERROR(IF(C1010="","",IF(INDEX(xyWattage_Table,MATCH(M1010,'Fixture Identities'!$B$9:$B$997,0),2)="Exit Sign",0,VLOOKUP(S1010,xySVG_Factors,2,FALSE))),"")</f>
        <v/>
      </c>
      <c r="AA1010" s="545" t="str">
        <f t="shared" si="373"/>
        <v/>
      </c>
      <c r="AB1010" s="542" t="str">
        <f t="shared" si="374"/>
        <v/>
      </c>
      <c r="AC1010" s="539" t="str">
        <f t="shared" si="375"/>
        <v/>
      </c>
      <c r="AD1010" s="546" t="str">
        <f t="shared" si="376"/>
        <v/>
      </c>
      <c r="AE1010" s="539" t="str">
        <f t="shared" si="377"/>
        <v/>
      </c>
      <c r="AF1010" s="546" t="str">
        <f t="shared" si="378"/>
        <v/>
      </c>
      <c r="AG1010" s="539" t="str">
        <f t="shared" si="379"/>
        <v/>
      </c>
      <c r="AH1010" s="32">
        <f t="shared" si="359"/>
        <v>0</v>
      </c>
      <c r="AI1010" s="32">
        <f t="shared" si="360"/>
        <v>0</v>
      </c>
      <c r="AJ1010" s="32">
        <f t="shared" si="361"/>
        <v>0</v>
      </c>
      <c r="AK1010" t="str">
        <f t="shared" si="362"/>
        <v/>
      </c>
      <c r="AL1010" t="str">
        <f t="shared" si="363"/>
        <v/>
      </c>
      <c r="AM1010" t="str">
        <f t="shared" si="364"/>
        <v/>
      </c>
      <c r="AO1010" t="str">
        <f>IFERROR(VLOOKUP(M1010,'Fixture Identities'!$B$9:$O$1045,14,FALSE),"")</f>
        <v/>
      </c>
      <c r="AP1010" t="str">
        <f t="shared" si="358"/>
        <v/>
      </c>
    </row>
    <row r="1011" spans="1:42">
      <c r="A1011" s="71">
        <f t="shared" si="366"/>
        <v>0</v>
      </c>
      <c r="B1011" s="513">
        <f t="shared" si="365"/>
        <v>999</v>
      </c>
      <c r="C1011" s="530" t="str">
        <f>IF(Inventory!E1008="","",Inventory!E1008)</f>
        <v/>
      </c>
      <c r="D1011" s="531">
        <f>IF(Inventory!D1008="",0,Inventory!D1008)</f>
        <v>0</v>
      </c>
      <c r="E1011" s="532" t="str">
        <f>IF(Inventory!I1008=0,"",Inventory!I1008)</f>
        <v/>
      </c>
      <c r="F1011" s="533" t="str">
        <f t="shared" si="367"/>
        <v/>
      </c>
      <c r="G1011" s="534" t="str">
        <f>IF(Inventory!G1008="","",Inventory!G1008)</f>
        <v/>
      </c>
      <c r="H1011" s="535" t="str">
        <f t="shared" si="368"/>
        <v/>
      </c>
      <c r="I1011" s="536" t="str">
        <f>IF(Inventory!J1008="","",Inventory!J1008)</f>
        <v/>
      </c>
      <c r="J1011" s="537" t="str">
        <f>IFERROR(IF(PRJ_Type="New Construction",IF(Inventory!C1008="N",INDEX(xyLPD_BuildingArea,MATCH(Building_Type,Lookups!$F$37:$F$75,0),4),INDEX(xyLPD_SpaceBySpace,MATCH(INDEX(xyNCEx,MATCH(I1011,yNCExArea,0),2),ySpace_by_Space_Type,0),2)),VLOOKUP(E1011,xyWattage_Table,11,FALSE)),"")</f>
        <v/>
      </c>
      <c r="K1011" s="538" t="str">
        <f>IFERROR(IF(AND(NC_Type="Building Area Method",Inventory!C1008="N"),IF(ISERROR(INDEX('Usage Groups (&gt;120 MWh only)'!$N$8:$N$12,MATCH(C1011,'Usage Groups (&gt;120 MWh only)'!$B$8:$B$12,0),1))=TRUE,SqFt/COUNTIFS(Inventory!$C$10:$C$1009,"N",$Q$13:$Q$1012,"&gt;=0"),INDEX('Usage Groups (&gt;120 MWh only)'!$N$8:$N$12,MATCH(C1011,'Usage Groups (&gt;120 MWh only)'!$B$8:$B$12,0),1)/COUNTIF($C$13:$C$1012,C1011)),IF(AND(NC_Type="Building Area Method",Inventory!C1008="Y"),INDEX(xyNCEx,MATCH(I1011,yNCExArea,0),3)/COUNTIF($I$13:$I$1012,I1011),VLOOKUP(J1011,xyWattage_Table,10,FALSE))),"")</f>
        <v/>
      </c>
      <c r="L1011" s="539" t="str">
        <f t="shared" si="369"/>
        <v/>
      </c>
      <c r="M1011" s="540">
        <f>IF(Inventory!N1008="","",Inventory!N1008)</f>
        <v>0</v>
      </c>
      <c r="N1011" s="533" t="str">
        <f t="shared" si="370"/>
        <v/>
      </c>
      <c r="O1011" s="534"/>
      <c r="P1011" s="533" t="str">
        <f t="shared" si="371"/>
        <v/>
      </c>
      <c r="Q1011" s="534" t="str">
        <f>IF(Inventory!L1008="","",Inventory!L1008)</f>
        <v/>
      </c>
      <c r="R1011" s="535" t="str">
        <f t="shared" si="372"/>
        <v/>
      </c>
      <c r="S1011" s="536" t="str">
        <f>IF(Inventory!O1008="","",Inventory!O1008)</f>
        <v/>
      </c>
      <c r="T1011" s="541" t="str">
        <f>IFERROR(IF(C1011="","",IF(INDEX(xyWattage_Table,MATCH(M1011,'Fixture Identities'!$B$9:$B$997,0),2)="Exit Sign",8760,IF(VLOOKUP(C1011,xySpace_Type_Details,8,FALSE)="TRM",INDEX('General Information'!$AF$17:$AG$28,11,MATCH(N1011,'General Information'!$AF$16:$AG$16,0)),HLOOKUP(VLOOKUP(C1011,xySpace_Type_Details,8,FALSE),'General Information'!$P$15:$AG$28,13,FALSE)))),"")</f>
        <v/>
      </c>
      <c r="U1011" s="542" t="str">
        <f>IFERROR(IF(C1011="","",IF(INDEX(xyWattage_Table,MATCH(M1011,'Fixture Identities'!$B$9:$B$997,0),2)="Exit Sign",1,IF(VLOOKUP(C1011,xySpace_Type_Details,8,FALSE)="TRM",INDEX('General Information'!$AF$17:$AG$28,12,MATCH(N1011,'General Information'!$AF$16:$AG$16,0)),HLOOKUP(VLOOKUP(C1011,xySpace_Type_Details,8,FALSE),'General Information'!$P$15:$AG$28,14,FALSE)))),"")</f>
        <v/>
      </c>
      <c r="V1011" s="542" t="str">
        <f>IFERROR(VLOOKUP(INDEX(xySpace_Type_Details,MATCH($C1011,'General Information'!$C$40:$C$60,0),12),Lookups!$L$8:$N$12,2,FALSE),"")</f>
        <v/>
      </c>
      <c r="W1011" s="542" t="str">
        <f>IFERROR(VLOOKUP(INDEX(xySpace_Type_Details,MATCH($C1011,'General Information'!$C$40:$C$60,0),12),Lookups!$L$8:$N$12,3,FALSE),"")</f>
        <v/>
      </c>
      <c r="Y1011" s="542" t="str">
        <f>IFERROR(IF(C1011="","",IF(INDEX(xyWattage_Table,MATCH(M1011,'Fixture Identities'!$B$9:$B$997,0),2)="Exit Sign",0,IF(PRJ_Type="Retrofit",VLOOKUP(I1011,xySVG_Factors,2,FALSE),IF(AND(PRJ_Type="New Construction",Inventory!C1008="N"),VLOOKUP(VLOOKUP(Building_Type,xyLPD_BuildingArea,5,FALSE),xySVG_Factors_NC,3,FALSE),0)))),"")</f>
        <v/>
      </c>
      <c r="Z1011" s="544" t="str">
        <f>IFERROR(IF(C1011="","",IF(INDEX(xyWattage_Table,MATCH(M1011,'Fixture Identities'!$B$9:$B$997,0),2)="Exit Sign",0,VLOOKUP(S1011,xySVG_Factors,2,FALSE))),"")</f>
        <v/>
      </c>
      <c r="AA1011" s="545" t="str">
        <f t="shared" si="373"/>
        <v/>
      </c>
      <c r="AB1011" s="542" t="str">
        <f t="shared" si="374"/>
        <v/>
      </c>
      <c r="AC1011" s="539" t="str">
        <f t="shared" si="375"/>
        <v/>
      </c>
      <c r="AD1011" s="546" t="str">
        <f t="shared" si="376"/>
        <v/>
      </c>
      <c r="AE1011" s="539" t="str">
        <f t="shared" si="377"/>
        <v/>
      </c>
      <c r="AF1011" s="546" t="str">
        <f t="shared" si="378"/>
        <v/>
      </c>
      <c r="AG1011" s="539" t="str">
        <f t="shared" si="379"/>
        <v/>
      </c>
      <c r="AH1011" s="32">
        <f t="shared" si="359"/>
        <v>0</v>
      </c>
      <c r="AI1011" s="32">
        <f t="shared" si="360"/>
        <v>0</v>
      </c>
      <c r="AJ1011" s="32">
        <f t="shared" si="361"/>
        <v>0</v>
      </c>
      <c r="AK1011" t="str">
        <f t="shared" si="362"/>
        <v/>
      </c>
      <c r="AL1011" t="str">
        <f t="shared" si="363"/>
        <v/>
      </c>
      <c r="AM1011" t="str">
        <f t="shared" si="364"/>
        <v/>
      </c>
      <c r="AO1011" t="str">
        <f>IFERROR(VLOOKUP(M1011,'Fixture Identities'!$B$9:$O$1045,14,FALSE),"")</f>
        <v/>
      </c>
      <c r="AP1011" t="str">
        <f t="shared" si="358"/>
        <v/>
      </c>
    </row>
    <row r="1012" spans="1:42">
      <c r="A1012" s="71">
        <f t="shared" si="366"/>
        <v>0</v>
      </c>
      <c r="B1012" s="513">
        <f t="shared" si="365"/>
        <v>1000</v>
      </c>
      <c r="C1012" s="530" t="str">
        <f>IF(Inventory!E1009="","",Inventory!E1009)</f>
        <v/>
      </c>
      <c r="D1012" s="531">
        <f>IF(Inventory!D1009="",0,Inventory!D1009)</f>
        <v>0</v>
      </c>
      <c r="E1012" s="532" t="str">
        <f>IF(Inventory!I1009=0,"",Inventory!I1009)</f>
        <v/>
      </c>
      <c r="F1012" s="533" t="str">
        <f t="shared" ref="F1012" si="380">IFERROR(VLOOKUP(E1012,xyWattage_Table,10,FALSE),"")</f>
        <v/>
      </c>
      <c r="G1012" s="534" t="str">
        <f>IF(Inventory!G1009="","",Inventory!G1009)</f>
        <v/>
      </c>
      <c r="H1012" s="535" t="str">
        <f t="shared" ref="H1012" si="381">IF(G1012="","",G1012*F1012)</f>
        <v/>
      </c>
      <c r="I1012" s="536" t="str">
        <f>IF(Inventory!J1009="","",Inventory!J1009)</f>
        <v/>
      </c>
      <c r="J1012" s="537" t="str">
        <f>IFERROR(IF(PRJ_Type="New Construction",IF(Inventory!C1009="N",INDEX(xyLPD_BuildingArea,MATCH(Building_Type,Lookups!$F$37:$F$75,0),4),INDEX(xyLPD_SpaceBySpace,MATCH(INDEX(xyNCEx,MATCH(I1012,yNCExArea,0),2),ySpace_by_Space_Type,0),2)),VLOOKUP(E1012,xyWattage_Table,11,FALSE)),"")</f>
        <v/>
      </c>
      <c r="K1012" s="538" t="str">
        <f>IFERROR(IF(AND(NC_Type="Building Area Method",Inventory!C1009="N"),IF(ISERROR(INDEX('Usage Groups (&gt;120 MWh only)'!$N$8:$N$12,MATCH(C1012,'Usage Groups (&gt;120 MWh only)'!$B$8:$B$12,0),1))=TRUE,SqFt/COUNTIFS(Inventory!$C$10:$C$1009,"N",$Q$13:$Q$1012,"&gt;=0"),INDEX('Usage Groups (&gt;120 MWh only)'!$N$8:$N$12,MATCH(C1012,'Usage Groups (&gt;120 MWh only)'!$B$8:$B$12,0),1)/COUNTIF($C$13:$C$1012,C1012)),IF(AND(NC_Type="Building Area Method",Inventory!C1009="Y"),INDEX(xyNCEx,MATCH(I1012,yNCExArea,0),3)/COUNTIF($I$13:$I$1012,I1012),VLOOKUP(J1012,xyWattage_Table,10,FALSE))),"")</f>
        <v/>
      </c>
      <c r="L1012" s="539" t="str">
        <f t="shared" ref="L1012" si="382">IFERROR(IF(PRJ_Type="New Construction",J1012*K1012,IF(G1012="","",K1012*G1012)),"")</f>
        <v/>
      </c>
      <c r="M1012" s="540">
        <f>IF(Inventory!N1009="","",Inventory!N1009)</f>
        <v>0</v>
      </c>
      <c r="N1012" s="533" t="str">
        <f t="shared" ref="N1012" si="383">IFERROR(VLOOKUP(M1012,xyWattage_Table,12,FALSE),"")</f>
        <v/>
      </c>
      <c r="O1012" s="534"/>
      <c r="P1012" s="533" t="str">
        <f t="shared" ref="P1012" si="384">IFERROR(VLOOKUP(M1012,xyWattage_Table,10,FALSE),"")</f>
        <v/>
      </c>
      <c r="Q1012" s="534" t="str">
        <f>IF(Inventory!L1009="","",Inventory!L1009)</f>
        <v/>
      </c>
      <c r="R1012" s="535" t="str">
        <f t="shared" ref="R1012" si="385">IF(P1012="","",Q1012*P1012)</f>
        <v/>
      </c>
      <c r="S1012" s="536" t="str">
        <f>IF(Inventory!O1009="","",Inventory!O1009)</f>
        <v/>
      </c>
      <c r="T1012" s="541" t="str">
        <f>IFERROR(IF(C1012="","",IF(INDEX(xyWattage_Table,MATCH(M1012,'Fixture Identities'!$B$9:$B$997,0),2)="Exit Sign",8760,IF(VLOOKUP(C1012,xySpace_Type_Details,8,FALSE)="TRM",INDEX('General Information'!$AF$17:$AG$28,11,MATCH(N1012,'General Information'!$AF$16:$AG$16,0)),HLOOKUP(VLOOKUP(C1012,xySpace_Type_Details,8,FALSE),'General Information'!$P$15:$AG$28,13,FALSE)))),"")</f>
        <v/>
      </c>
      <c r="U1012" s="542" t="str">
        <f>IFERROR(IF(C1012="","",IF(INDEX(xyWattage_Table,MATCH(M1012,'Fixture Identities'!$B$9:$B$997,0),2)="Exit Sign",1,IF(VLOOKUP(C1012,xySpace_Type_Details,8,FALSE)="TRM",INDEX('General Information'!$AF$17:$AG$28,12,MATCH(N1012,'General Information'!$AF$16:$AG$16,0)),HLOOKUP(VLOOKUP(C1012,xySpace_Type_Details,8,FALSE),'General Information'!$P$15:$AG$28,14,FALSE)))),"")</f>
        <v/>
      </c>
      <c r="V1012" s="542" t="str">
        <f>IFERROR(VLOOKUP(INDEX(xySpace_Type_Details,MATCH($C1012,'General Information'!$C$40:$C$60,0),12),Lookups!$L$8:$N$12,2,FALSE),"")</f>
        <v/>
      </c>
      <c r="W1012" s="542" t="str">
        <f>IFERROR(VLOOKUP(INDEX(xySpace_Type_Details,MATCH($C1012,'General Information'!$C$40:$C$60,0),12),Lookups!$L$8:$N$12,3,FALSE),"")</f>
        <v/>
      </c>
      <c r="Y1012" s="542" t="str">
        <f>IFERROR(IF(C1012="","",IF(INDEX(xyWattage_Table,MATCH(M1012,'Fixture Identities'!$B$9:$B$997,0),2)="Exit Sign",0,IF(PRJ_Type="Retrofit",VLOOKUP(I1012,xySVG_Factors,2,FALSE),IF(AND(PRJ_Type="New Construction",Inventory!C1009="N"),VLOOKUP(VLOOKUP(Building_Type,xyLPD_BuildingArea,5,FALSE),xySVG_Factors_NC,3,FALSE),0)))),"")</f>
        <v/>
      </c>
      <c r="Z1012" s="544" t="str">
        <f>IFERROR(IF(C1012="","",IF(INDEX(xyWattage_Table,MATCH(M1012,'Fixture Identities'!$B$9:$B$997,0),2)="Exit Sign",0,VLOOKUP(S1012,xySVG_Factors,2,FALSE))),"")</f>
        <v/>
      </c>
      <c r="AA1012" s="545" t="str">
        <f t="shared" ref="AA1012" si="386">IFERROR((L1012-R1012)/1000,"")</f>
        <v/>
      </c>
      <c r="AB1012" s="542" t="str">
        <f t="shared" ref="AB1012" si="387">IFERROR(AA1012*U1012*(1+W1012)*(1-Y1012),"")</f>
        <v/>
      </c>
      <c r="AC1012" s="539" t="str">
        <f t="shared" ref="AC1012" si="388">IFERROR(AA1012*T1012*(1+V1012)*(1-Y1012),"")</f>
        <v/>
      </c>
      <c r="AD1012" s="546" t="str">
        <f t="shared" ref="AD1012" si="389">IFERROR(R1012/1000*(Z1012-Y1012)*(1+W1012)*U1012,"")</f>
        <v/>
      </c>
      <c r="AE1012" s="539" t="str">
        <f t="shared" ref="AE1012" si="390">IFERROR(R1012/1000*T1012*(Z1012-Y1012)*(1+V1012),"")</f>
        <v/>
      </c>
      <c r="AF1012" s="546" t="str">
        <f t="shared" ref="AF1012" si="391">IFERROR(AB1012+AD1012,"")</f>
        <v/>
      </c>
      <c r="AG1012" s="539" t="str">
        <f t="shared" ref="AG1012" si="392">IFERROR(AC1012+AE1012,"")</f>
        <v/>
      </c>
      <c r="AH1012" s="32">
        <f t="shared" si="359"/>
        <v>0</v>
      </c>
      <c r="AI1012" s="32">
        <f t="shared" si="360"/>
        <v>0</v>
      </c>
      <c r="AJ1012" s="32">
        <f t="shared" si="361"/>
        <v>0</v>
      </c>
      <c r="AK1012" t="str">
        <f t="shared" si="362"/>
        <v/>
      </c>
      <c r="AL1012" t="str">
        <f t="shared" si="363"/>
        <v/>
      </c>
      <c r="AM1012" t="str">
        <f t="shared" si="364"/>
        <v/>
      </c>
      <c r="AO1012" t="str">
        <f>IFERROR(VLOOKUP(M1012,'Fixture Identities'!$B$9:$O$1045,14,FALSE),"")</f>
        <v/>
      </c>
      <c r="AP1012" t="str">
        <f t="shared" si="358"/>
        <v/>
      </c>
    </row>
    <row r="1013" spans="1:42">
      <c r="AO1013" t="str">
        <f>IFERROR(VLOOKUP(M1013,'Fixture Identities'!B1009:D2045,3,FALSE),"")</f>
        <v/>
      </c>
      <c r="AP1013" t="str">
        <f t="shared" si="358"/>
        <v/>
      </c>
    </row>
  </sheetData>
  <sheetProtection algorithmName="SHA-512" hashValue="0t2ZU4ebGnr5d25j1m4re5wnnSmOwhl0uSITitOugUEkN6xvrAYvjDpsVuSDkd+zgtvtxUdhjkyxvr0oH+PKMg==" saltValue="NNbKZ8yKgQYF/B/pOfkq7g==" spinCount="100000" sheet="1" objects="1" scenarios="1"/>
  <mergeCells count="17">
    <mergeCell ref="AD10:AE10"/>
    <mergeCell ref="AF10:AG10"/>
    <mergeCell ref="Y5:Z7"/>
    <mergeCell ref="AA5:AC5"/>
    <mergeCell ref="AD5:AE5"/>
    <mergeCell ref="AF5:AG5"/>
    <mergeCell ref="E10:I10"/>
    <mergeCell ref="J10:L10"/>
    <mergeCell ref="M10:S10"/>
    <mergeCell ref="T10:Z10"/>
    <mergeCell ref="AA10:AC10"/>
    <mergeCell ref="E6:H6"/>
    <mergeCell ref="J6:M6"/>
    <mergeCell ref="O6:R6"/>
    <mergeCell ref="AK5:AM5"/>
    <mergeCell ref="E9:S9"/>
    <mergeCell ref="AA9:AG9"/>
  </mergeCells>
  <conditionalFormatting sqref="E13:E1012">
    <cfRule type="expression" dxfId="4" priority="4">
      <formula>$E13&lt;&gt;$J13</formula>
    </cfRule>
  </conditionalFormatting>
  <dataValidations count="4">
    <dataValidation allowBlank="1" showDropDown="1" showInputMessage="1" showErrorMessage="1" error="This is not an approved fixture code. Check &quot;Wattage Table&quot; for correct fixture code." prompt="Input fixture codes to match invoices or plans" sqref="O13" xr:uid="{00000000-0002-0000-0D00-000000000000}"/>
    <dataValidation allowBlank="1" showDropDown="1" showInputMessage="1" showErrorMessage="1" error="This is not an approved fixture code. Check &quot;Wattage Table&quot; for correct fixture code." sqref="O12 J12:J1012 O14:O1012" xr:uid="{00000000-0002-0000-0D00-000001000000}"/>
    <dataValidation type="whole" allowBlank="1" showInputMessage="1" showErrorMessage="1" sqref="Q12:Q1012 G12:G1012" xr:uid="{00000000-0002-0000-0D00-000002000000}">
      <formula1>0</formula1>
      <formula2>50000</formula2>
    </dataValidation>
    <dataValidation type="list" allowBlank="1" showInputMessage="1" showErrorMessage="1" sqref="S13:S1012 I13:I1012" xr:uid="{00000000-0002-0000-0D00-000003000000}">
      <formula1>yControl_Code</formula1>
    </dataValidation>
  </dataValidations>
  <hyperlinks>
    <hyperlink ref="J6" location="'Fixture Identities'!F922" display="Using Custom Cut-Sheet Fixtures? Click here to create custom fixture codes." xr:uid="{815FB6E1-EB9E-4D74-93ED-E2FD4F2770DB}"/>
    <hyperlink ref="O6" location="'Fixture Identities'!F922" display="Using Custom Cut-Sheet Fixtures? Click here to create custom fixture codes." xr:uid="{93B18C5E-8904-4B70-9D33-8C619792E133}"/>
    <hyperlink ref="O6:R6" location="Lookups!P22" display="Lookups!P22" xr:uid="{0BA80303-0925-441D-A64C-4E4D33AC869D}"/>
    <hyperlink ref="E6:H6" location="'Fixture Identities'!F9" display="'Fixture Identities'!F9" xr:uid="{209E5764-F8D3-4742-84FA-F8E9DBFF186D}"/>
    <hyperlink ref="J6:M6" location="'Fixture Identities'!F932" display="'Fixture Identities'!F932" xr:uid="{805460E8-188E-4BEB-A823-8C4EFD8C9979}"/>
  </hyperlinks>
  <pageMargins left="0.7" right="0.7" top="0.75" bottom="0.75" header="0.3" footer="0.3"/>
  <pageSetup scale="26"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5000000}">
          <x14:formula1>
            <xm:f>'C:\Users\vdecicco\Desktop\[2016 App C_E.xlsm]Lookups'!#REF!</xm:f>
          </x14:formula1>
          <xm:sqref>S12 I12</xm:sqref>
        </x14:dataValidation>
        <x14:dataValidation type="list" allowBlank="1" showDropDown="1" showInputMessage="1" showErrorMessage="1" xr:uid="{00000000-0002-0000-0D00-000006000000}">
          <x14:formula1>
            <xm:f>'Fixture Identities'!$B$9:$B$981</xm:f>
          </x14:formula1>
          <xm:sqref>M12:M1012</xm:sqref>
        </x14:dataValidation>
        <x14:dataValidation type="list" allowBlank="1" showDropDown="1" showInputMessage="1" showErrorMessage="1" error="This is not an approved fixture code. Check &quot;Wattage Table&quot; for correct fixture code." xr:uid="{00000000-0002-0000-0D00-000007000000}">
          <x14:formula1>
            <xm:f>'Fixture Identities'!$B$9:$B$981</xm:f>
          </x14:formula1>
          <xm:sqref>E12:E1012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F8CA"/>
  </sheetPr>
  <dimension ref="A1:Q116"/>
  <sheetViews>
    <sheetView workbookViewId="0">
      <selection activeCell="N100" sqref="N100"/>
    </sheetView>
  </sheetViews>
  <sheetFormatPr defaultColWidth="9" defaultRowHeight="15" customHeight="1"/>
  <cols>
    <col min="1" max="1" width="1.875" style="101" customWidth="1"/>
    <col min="2" max="2" width="40.375" style="101" customWidth="1"/>
    <col min="3" max="3" width="15.75" style="101" customWidth="1"/>
    <col min="4" max="4" width="2" style="101" customWidth="1"/>
    <col min="5" max="5" width="40.875" style="101" customWidth="1"/>
    <col min="6" max="6" width="15.75" style="101" customWidth="1"/>
    <col min="7" max="7" width="2" style="101" customWidth="1"/>
    <col min="8" max="13" width="15.75" style="100" customWidth="1"/>
    <col min="14" max="14" width="9" style="100" customWidth="1"/>
    <col min="15" max="15" width="9" style="101" customWidth="1"/>
    <col min="16" max="16384" width="9" style="101"/>
  </cols>
  <sheetData>
    <row r="1" spans="1:14" ht="75" customHeight="1">
      <c r="A1" s="222"/>
      <c r="B1" s="222"/>
      <c r="C1" s="222"/>
      <c r="D1" s="222"/>
      <c r="E1" s="222"/>
      <c r="F1" s="222"/>
      <c r="G1" s="222"/>
    </row>
    <row r="2" spans="1:14" ht="50.1" customHeight="1"/>
    <row r="3" spans="1:14" ht="50.25">
      <c r="B3" s="1206" t="s">
        <v>2224</v>
      </c>
      <c r="C3" s="1206"/>
      <c r="D3" s="1206"/>
      <c r="E3" s="1206"/>
      <c r="F3" s="1206"/>
    </row>
    <row r="4" spans="1:14" ht="39.75" customHeight="1">
      <c r="F4" s="109"/>
    </row>
    <row r="5" spans="1:14" ht="39.950000000000003" customHeight="1">
      <c r="B5" s="1207" t="str">
        <f>CONCATENATE("Prepared for: ",Customer)</f>
        <v xml:space="preserve">Prepared for: </v>
      </c>
      <c r="C5" s="1207"/>
      <c r="D5" s="1207"/>
      <c r="E5" s="1207"/>
      <c r="F5" s="1207"/>
    </row>
    <row r="6" spans="1:14" ht="20.100000000000001" customHeight="1">
      <c r="B6" s="1208" t="str">
        <f>CONCATENATE("Contact Name: ",Customer_Name)</f>
        <v xml:space="preserve">Contact Name: </v>
      </c>
      <c r="C6" s="1208"/>
      <c r="D6" s="1208"/>
      <c r="E6" s="1208"/>
      <c r="F6" s="1208"/>
    </row>
    <row r="7" spans="1:14" ht="20.100000000000001" customHeight="1">
      <c r="B7" s="1208" t="str">
        <f>CONCATENATE("Contact Phone: ",'Project Info and Summary'!C6)</f>
        <v xml:space="preserve">Contact Phone: </v>
      </c>
      <c r="C7" s="1208"/>
      <c r="D7" s="1208"/>
      <c r="E7" s="1208"/>
      <c r="F7" s="1208"/>
    </row>
    <row r="8" spans="1:14" ht="20.100000000000001" customHeight="1">
      <c r="B8" s="1208" t="str">
        <f>CONCATENATE("Contact Email: ",'Project Info and Summary'!$C$7)</f>
        <v xml:space="preserve">Contact Email: </v>
      </c>
      <c r="C8" s="1208"/>
      <c r="D8" s="1208"/>
      <c r="E8" s="1208"/>
      <c r="F8" s="1208"/>
    </row>
    <row r="9" spans="1:14" ht="39" customHeight="1"/>
    <row r="10" spans="1:14" ht="30" customHeight="1">
      <c r="B10" s="706" t="s">
        <v>2225</v>
      </c>
      <c r="C10" s="707">
        <f>Cost</f>
        <v>0</v>
      </c>
      <c r="D10" s="110"/>
      <c r="E10" s="706" t="s">
        <v>2226</v>
      </c>
      <c r="F10" s="708">
        <f>($B$17*$F$27)+($B$18*$F$28)</f>
        <v>0</v>
      </c>
    </row>
    <row r="11" spans="1:14" ht="29.25" customHeight="1">
      <c r="B11" s="223" t="s">
        <v>2227</v>
      </c>
      <c r="C11" s="225">
        <f>IFERROR('Project Info and Summary'!J5,"")</f>
        <v>0</v>
      </c>
      <c r="D11" s="108"/>
      <c r="E11" s="709" t="s">
        <v>2228</v>
      </c>
      <c r="F11" s="710">
        <f>MAX(0,IF(ISERROR($C$29/$F$29),0,$C$29/$F$29))</f>
        <v>0</v>
      </c>
    </row>
    <row r="12" spans="1:14" ht="30" customHeight="1">
      <c r="D12" s="108"/>
      <c r="E12" s="223" t="s">
        <v>418</v>
      </c>
      <c r="F12" s="224">
        <f>SUM('Lighting Inventory (Ref only)'!$Q$13:$Q$1012)</f>
        <v>0</v>
      </c>
    </row>
    <row r="13" spans="1:14" ht="20.100000000000001" customHeight="1">
      <c r="D13" s="108"/>
    </row>
    <row r="14" spans="1:14" ht="20.100000000000001" customHeight="1">
      <c r="B14" s="1205">
        <f ca="1">TODAY()</f>
        <v>44397</v>
      </c>
      <c r="C14" s="1205"/>
      <c r="D14" s="1205"/>
      <c r="E14" s="1205"/>
      <c r="F14" s="1205"/>
    </row>
    <row r="15" spans="1:14" ht="24.95" customHeight="1"/>
    <row r="16" spans="1:14" s="111" customFormat="1" ht="20.100000000000001" customHeight="1">
      <c r="B16" s="231" t="s">
        <v>2229</v>
      </c>
      <c r="H16" s="112"/>
      <c r="I16" s="112"/>
      <c r="J16" s="112"/>
      <c r="K16" s="112"/>
      <c r="L16" s="112"/>
      <c r="M16" s="112"/>
      <c r="N16" s="112"/>
    </row>
    <row r="17" spans="2:14" ht="24.95" customHeight="1">
      <c r="B17" s="239">
        <f>'Project Info and Summary'!C14</f>
        <v>0</v>
      </c>
      <c r="C17" s="226"/>
    </row>
    <row r="18" spans="2:14" ht="24.95" customHeight="1">
      <c r="B18" s="240">
        <f>'Project Info and Summary'!$C$13</f>
        <v>0</v>
      </c>
      <c r="C18" s="226"/>
    </row>
    <row r="20" spans="2:14" s="111" customFormat="1" ht="20.100000000000001" customHeight="1">
      <c r="B20" s="227" t="s">
        <v>50</v>
      </c>
      <c r="D20" s="228"/>
      <c r="E20" s="229"/>
      <c r="F20" s="230"/>
      <c r="H20" s="112"/>
      <c r="I20" s="112"/>
      <c r="J20" s="112"/>
      <c r="K20" s="112"/>
      <c r="L20" s="112"/>
      <c r="M20" s="112"/>
      <c r="N20" s="112"/>
    </row>
    <row r="21" spans="2:14" ht="24.95" customHeight="1">
      <c r="B21" s="228">
        <f>Building_Type</f>
        <v>0</v>
      </c>
      <c r="E21" s="221"/>
    </row>
    <row r="23" spans="2:14" s="111" customFormat="1" ht="20.100000000000001" customHeight="1">
      <c r="B23" s="227" t="s">
        <v>2230</v>
      </c>
      <c r="H23" s="112"/>
      <c r="I23" s="112"/>
      <c r="J23" s="112"/>
      <c r="K23" s="112"/>
      <c r="L23" s="112"/>
      <c r="M23" s="112"/>
      <c r="N23" s="112"/>
    </row>
    <row r="24" spans="2:14" ht="75" customHeight="1">
      <c r="B24" s="1202"/>
      <c r="C24" s="1202"/>
      <c r="D24" s="1202"/>
      <c r="E24" s="1202"/>
      <c r="F24" s="1202"/>
    </row>
    <row r="26" spans="2:14" ht="24.95" customHeight="1">
      <c r="B26" s="1203" t="s">
        <v>2231</v>
      </c>
      <c r="C26" s="1203"/>
      <c r="E26" s="1204" t="s">
        <v>2232</v>
      </c>
      <c r="F26" s="1204"/>
    </row>
    <row r="27" spans="2:14" ht="20.100000000000001" customHeight="1">
      <c r="B27" s="711" t="s">
        <v>2225</v>
      </c>
      <c r="C27" s="712">
        <f>Cost</f>
        <v>0</v>
      </c>
      <c r="E27" s="713" t="s">
        <v>2233</v>
      </c>
      <c r="F27" s="714">
        <f>'Project Info and Summary'!H5</f>
        <v>0</v>
      </c>
    </row>
    <row r="28" spans="2:14" ht="20.100000000000001" customHeight="1">
      <c r="B28" s="715" t="s">
        <v>2227</v>
      </c>
      <c r="C28" s="716">
        <f>C11</f>
        <v>0</v>
      </c>
      <c r="E28" s="715" t="s">
        <v>2234</v>
      </c>
      <c r="F28" s="717">
        <f>'Project Info and Summary'!I5</f>
        <v>0</v>
      </c>
    </row>
    <row r="29" spans="2:14" ht="20.100000000000001" customHeight="1">
      <c r="B29" s="232" t="s">
        <v>2235</v>
      </c>
      <c r="C29" s="234">
        <f>$C$27-$C$28</f>
        <v>0</v>
      </c>
      <c r="E29" s="232" t="s">
        <v>2226</v>
      </c>
      <c r="F29" s="234">
        <f>($B$17*$F$27)+($B$18*$F$28)</f>
        <v>0</v>
      </c>
    </row>
    <row r="31" spans="2:14" ht="24.95" customHeight="1">
      <c r="B31" s="1204" t="s">
        <v>2236</v>
      </c>
      <c r="C31" s="1204"/>
      <c r="E31" s="1204" t="s">
        <v>2237</v>
      </c>
      <c r="F31" s="1204"/>
    </row>
    <row r="32" spans="2:14" ht="20.100000000000001" customHeight="1">
      <c r="B32" s="711" t="s">
        <v>2228</v>
      </c>
      <c r="C32" s="714">
        <f>MAX(0,IF(ISERROR($C$29/$F$29),0,$C$29/$F$29))</f>
        <v>0</v>
      </c>
      <c r="E32" s="711" t="s">
        <v>2238</v>
      </c>
      <c r="F32" s="718">
        <f>$F$33/12</f>
        <v>0</v>
      </c>
    </row>
    <row r="33" spans="2:15" ht="20.100000000000001" customHeight="1">
      <c r="B33" s="232" t="s">
        <v>2239</v>
      </c>
      <c r="C33" s="233">
        <f>IF(ISERROR(1/$C$32),0,1/$C$32)</f>
        <v>0</v>
      </c>
      <c r="E33" s="232" t="s">
        <v>2240</v>
      </c>
      <c r="F33" s="235">
        <f>$F$29</f>
        <v>0</v>
      </c>
      <c r="H33" s="113"/>
      <c r="I33" s="113"/>
      <c r="J33" s="113"/>
      <c r="K33" s="113"/>
      <c r="L33" s="113"/>
      <c r="M33" s="113"/>
      <c r="N33" s="113"/>
      <c r="O33" s="114"/>
    </row>
    <row r="34" spans="2:15" ht="15" customHeight="1">
      <c r="H34" s="113"/>
      <c r="I34" s="113"/>
      <c r="J34" s="113"/>
      <c r="K34" s="113"/>
      <c r="L34" s="113"/>
      <c r="M34" s="113"/>
      <c r="N34" s="113"/>
      <c r="O34" s="114"/>
    </row>
    <row r="35" spans="2:15" ht="54.95" customHeight="1">
      <c r="B35" s="1197" t="s">
        <v>2241</v>
      </c>
      <c r="C35" s="1197"/>
      <c r="D35" s="1197"/>
      <c r="E35" s="1197"/>
      <c r="F35" s="1197"/>
      <c r="H35" s="207"/>
      <c r="I35" s="207"/>
      <c r="J35" s="207"/>
      <c r="K35" s="207"/>
      <c r="L35" s="207"/>
      <c r="M35" s="207"/>
      <c r="N35" s="207"/>
      <c r="O35" s="207"/>
    </row>
    <row r="36" spans="2:15" ht="15" customHeight="1">
      <c r="H36" s="207"/>
      <c r="I36" s="207"/>
      <c r="J36" s="207"/>
      <c r="K36" s="207"/>
      <c r="L36" s="207"/>
      <c r="M36" s="207"/>
      <c r="N36" s="207"/>
      <c r="O36" s="207"/>
    </row>
    <row r="37" spans="2:15" ht="15" customHeight="1">
      <c r="H37" s="209"/>
      <c r="I37" s="209"/>
      <c r="J37" s="209"/>
      <c r="K37" s="209"/>
      <c r="L37" s="209"/>
      <c r="M37" s="209"/>
      <c r="N37" s="209"/>
      <c r="O37" s="207"/>
    </row>
    <row r="38" spans="2:15" ht="15" customHeight="1">
      <c r="H38" s="1198" t="s">
        <v>2242</v>
      </c>
      <c r="I38" s="1198"/>
      <c r="J38" s="1198" t="s">
        <v>2243</v>
      </c>
      <c r="K38" s="1198"/>
      <c r="L38" s="209" t="s">
        <v>2242</v>
      </c>
      <c r="M38" s="210">
        <f>($H$40*$B$17)+($I$40*$B$18)</f>
        <v>0</v>
      </c>
      <c r="N38" s="209"/>
      <c r="O38" s="207"/>
    </row>
    <row r="39" spans="2:15" ht="15" customHeight="1">
      <c r="H39" s="211" t="s">
        <v>2244</v>
      </c>
      <c r="I39" s="211" t="s">
        <v>2245</v>
      </c>
      <c r="J39" s="211" t="s">
        <v>2244</v>
      </c>
      <c r="K39" s="211" t="s">
        <v>2245</v>
      </c>
      <c r="L39" s="209" t="s">
        <v>361</v>
      </c>
      <c r="M39" s="210">
        <f>($J$40*$B$17)+($K$40*$B$18)</f>
        <v>0</v>
      </c>
      <c r="N39" s="209"/>
      <c r="O39" s="207"/>
    </row>
    <row r="40" spans="2:15" ht="15" customHeight="1">
      <c r="H40" s="212">
        <f>'Lighting Inventory (Ref only)'!AL7</f>
        <v>0</v>
      </c>
      <c r="I40" s="213">
        <f>'Lighting Inventory (Ref only)'!AM7</f>
        <v>0</v>
      </c>
      <c r="J40" s="212">
        <f>H40-F27</f>
        <v>0</v>
      </c>
      <c r="K40" s="213">
        <f>$I$40-$F$28</f>
        <v>0</v>
      </c>
      <c r="L40" s="209" t="s">
        <v>2237</v>
      </c>
      <c r="M40" s="210">
        <f>$M$38-$M$39</f>
        <v>0</v>
      </c>
      <c r="N40" s="209"/>
      <c r="O40" s="207"/>
    </row>
    <row r="41" spans="2:15" ht="15" customHeight="1">
      <c r="H41" s="209"/>
      <c r="I41" s="209"/>
      <c r="J41" s="209"/>
      <c r="K41" s="209"/>
      <c r="L41" s="211"/>
      <c r="M41" s="211"/>
      <c r="N41" s="209"/>
      <c r="O41" s="207"/>
    </row>
    <row r="42" spans="2:15" ht="15" customHeight="1">
      <c r="H42" s="209"/>
      <c r="I42" s="209"/>
      <c r="J42" s="209"/>
      <c r="K42" s="209"/>
      <c r="L42" s="211" t="s">
        <v>2246</v>
      </c>
      <c r="M42" s="211" t="s">
        <v>2247</v>
      </c>
      <c r="N42" s="209"/>
      <c r="O42" s="207"/>
    </row>
    <row r="43" spans="2:15" ht="15" customHeight="1">
      <c r="H43" s="209"/>
      <c r="I43" s="209"/>
      <c r="J43" s="209"/>
      <c r="K43" s="209"/>
      <c r="L43" s="214" t="s">
        <v>2248</v>
      </c>
      <c r="M43" s="210">
        <f>$M$40</f>
        <v>0</v>
      </c>
      <c r="N43" s="209"/>
      <c r="O43" s="207"/>
    </row>
    <row r="44" spans="2:15" ht="15" customHeight="1">
      <c r="H44" s="209"/>
      <c r="I44" s="209"/>
      <c r="J44" s="209"/>
      <c r="K44" s="209"/>
      <c r="L44" s="214" t="s">
        <v>2249</v>
      </c>
      <c r="M44" s="210">
        <f>$M$39</f>
        <v>0</v>
      </c>
      <c r="N44" s="209"/>
      <c r="O44" s="207"/>
    </row>
    <row r="45" spans="2:15" ht="15" customHeight="1">
      <c r="H45" s="209"/>
      <c r="I45" s="209"/>
      <c r="J45" s="209"/>
      <c r="K45" s="209"/>
      <c r="L45" s="214" t="s">
        <v>2250</v>
      </c>
      <c r="M45" s="210">
        <f>$M$38</f>
        <v>0</v>
      </c>
      <c r="N45" s="209"/>
      <c r="O45" s="207"/>
    </row>
    <row r="46" spans="2:15" ht="15" customHeight="1">
      <c r="H46" s="215"/>
      <c r="I46" s="215"/>
      <c r="J46" s="215"/>
      <c r="K46" s="215"/>
      <c r="L46" s="215"/>
      <c r="M46" s="215"/>
      <c r="N46" s="215"/>
      <c r="O46" s="207"/>
    </row>
    <row r="47" spans="2:15" ht="15" customHeight="1">
      <c r="H47" s="207"/>
      <c r="I47" s="207"/>
      <c r="J47" s="207"/>
      <c r="K47" s="207"/>
      <c r="L47" s="207"/>
      <c r="M47" s="207"/>
      <c r="N47" s="207"/>
      <c r="O47" s="207"/>
    </row>
    <row r="48" spans="2:15" ht="15" customHeight="1">
      <c r="H48" s="114"/>
      <c r="I48" s="114"/>
      <c r="J48" s="114"/>
      <c r="K48" s="114"/>
      <c r="L48" s="114"/>
      <c r="M48" s="114"/>
      <c r="N48" s="114"/>
      <c r="O48" s="114"/>
    </row>
    <row r="49" spans="2:15" ht="15" customHeight="1">
      <c r="H49" s="114"/>
      <c r="I49" s="114"/>
      <c r="J49" s="114"/>
      <c r="K49" s="114"/>
      <c r="L49" s="114"/>
      <c r="M49" s="114"/>
      <c r="N49" s="114"/>
      <c r="O49" s="114"/>
    </row>
    <row r="50" spans="2:15" ht="15" customHeight="1">
      <c r="H50" s="114"/>
      <c r="I50" s="114"/>
      <c r="J50" s="114"/>
      <c r="K50" s="114"/>
      <c r="L50" s="114"/>
      <c r="M50" s="114"/>
      <c r="N50" s="114"/>
      <c r="O50" s="114"/>
    </row>
    <row r="51" spans="2:15" ht="15" customHeight="1">
      <c r="H51" s="113"/>
      <c r="I51" s="113"/>
      <c r="J51" s="113"/>
      <c r="K51" s="113"/>
      <c r="L51" s="113"/>
      <c r="M51" s="113"/>
      <c r="N51" s="113"/>
      <c r="O51" s="114"/>
    </row>
    <row r="52" spans="2:15" ht="15" customHeight="1">
      <c r="H52" s="113"/>
      <c r="I52" s="113"/>
      <c r="J52" s="113"/>
      <c r="K52" s="113"/>
      <c r="L52" s="113"/>
      <c r="M52" s="113"/>
      <c r="N52" s="113"/>
      <c r="O52" s="114"/>
    </row>
    <row r="62" spans="2:15" ht="20.100000000000001" customHeight="1">
      <c r="B62" s="1199" t="str">
        <f>CONCATENATE("The following values are based on an estimated rate and an estimated operating hours of ",$E$21," hours.")</f>
        <v>The following values are based on an estimated rate and an estimated operating hours of  hours.</v>
      </c>
      <c r="C62" s="1199"/>
      <c r="D62" s="1199"/>
      <c r="E62" s="1199"/>
      <c r="F62" s="1199"/>
    </row>
    <row r="63" spans="2:15" ht="20.100000000000001" customHeight="1">
      <c r="B63" s="236"/>
      <c r="C63" s="237" t="s">
        <v>2251</v>
      </c>
      <c r="D63" s="238"/>
      <c r="E63" s="238"/>
      <c r="F63" s="237" t="s">
        <v>2251</v>
      </c>
    </row>
    <row r="64" spans="2:15" ht="20.100000000000001" customHeight="1">
      <c r="B64" s="719" t="s">
        <v>2252</v>
      </c>
      <c r="C64" s="720">
        <f>$F$27</f>
        <v>0</v>
      </c>
      <c r="D64" s="238"/>
      <c r="E64" s="719" t="s">
        <v>2253</v>
      </c>
      <c r="F64" s="721">
        <f>$K$70</f>
        <v>0</v>
      </c>
    </row>
    <row r="65" spans="2:15" ht="20.100000000000001" customHeight="1">
      <c r="B65" s="722" t="s">
        <v>2254</v>
      </c>
      <c r="C65" s="723">
        <f>$F$28</f>
        <v>0</v>
      </c>
      <c r="D65" s="238"/>
      <c r="E65" s="722" t="s">
        <v>2255</v>
      </c>
      <c r="F65" s="724">
        <f>$K$71</f>
        <v>0</v>
      </c>
    </row>
    <row r="66" spans="2:15" ht="20.100000000000001" customHeight="1">
      <c r="B66" s="722" t="s">
        <v>2256</v>
      </c>
      <c r="C66" s="725">
        <f>$F$29</f>
        <v>0</v>
      </c>
      <c r="D66" s="238"/>
      <c r="E66" s="722" t="s">
        <v>2257</v>
      </c>
      <c r="F66" s="724">
        <f>$K$72</f>
        <v>0</v>
      </c>
    </row>
    <row r="67" spans="2:15" ht="20.100000000000001" customHeight="1">
      <c r="B67" s="722" t="s">
        <v>2258</v>
      </c>
      <c r="C67" s="725">
        <f>$C$27</f>
        <v>0</v>
      </c>
      <c r="D67" s="238"/>
      <c r="E67" s="726" t="s">
        <v>2259</v>
      </c>
      <c r="F67" s="727">
        <f>$K$73</f>
        <v>0</v>
      </c>
    </row>
    <row r="68" spans="2:15" ht="20.100000000000001" customHeight="1">
      <c r="B68" s="726" t="s">
        <v>2260</v>
      </c>
      <c r="C68" s="728">
        <f>$C$28</f>
        <v>0</v>
      </c>
      <c r="D68" s="238"/>
      <c r="E68" s="238"/>
      <c r="F68" s="238"/>
    </row>
    <row r="70" spans="2:15" ht="15" customHeight="1">
      <c r="H70" s="101"/>
      <c r="I70" s="208" t="s">
        <v>2261</v>
      </c>
      <c r="J70" s="216">
        <f>$F$29</f>
        <v>0</v>
      </c>
      <c r="K70" s="216">
        <f>$J70-$C$29</f>
        <v>0</v>
      </c>
      <c r="O70" s="100"/>
    </row>
    <row r="71" spans="2:15" ht="15" customHeight="1">
      <c r="H71" s="101"/>
      <c r="I71" s="208" t="s">
        <v>2262</v>
      </c>
      <c r="J71" s="216">
        <f>$J$70*5</f>
        <v>0</v>
      </c>
      <c r="K71" s="216">
        <f>$J71-$C$29</f>
        <v>0</v>
      </c>
      <c r="O71" s="100"/>
    </row>
    <row r="72" spans="2:15" ht="15" customHeight="1">
      <c r="H72" s="101"/>
      <c r="I72" s="208" t="s">
        <v>2263</v>
      </c>
      <c r="J72" s="216">
        <f>$J$70*10</f>
        <v>0</v>
      </c>
      <c r="K72" s="216">
        <f>$J72-$C$29</f>
        <v>0</v>
      </c>
      <c r="O72" s="100"/>
    </row>
    <row r="73" spans="2:15" ht="15" customHeight="1">
      <c r="H73" s="101"/>
      <c r="I73" s="208" t="s">
        <v>2264</v>
      </c>
      <c r="J73" s="216">
        <f>$J$70*15</f>
        <v>0</v>
      </c>
      <c r="K73" s="216">
        <f>$J73-$C$29</f>
        <v>0</v>
      </c>
      <c r="O73" s="100"/>
    </row>
    <row r="96" spans="2:14" s="111" customFormat="1" ht="24.95" customHeight="1">
      <c r="B96" s="1200" t="s">
        <v>2265</v>
      </c>
      <c r="C96" s="1200"/>
      <c r="D96" s="1200"/>
      <c r="E96" s="1200"/>
      <c r="F96" s="1200"/>
      <c r="H96" s="112"/>
      <c r="I96" s="112"/>
      <c r="J96" s="112"/>
      <c r="K96" s="112"/>
      <c r="L96" s="112"/>
      <c r="M96" s="112"/>
      <c r="N96" s="112"/>
    </row>
    <row r="97" spans="2:17" ht="39.950000000000003" customHeight="1">
      <c r="B97" s="1201" t="s">
        <v>2266</v>
      </c>
      <c r="C97" s="1201"/>
      <c r="D97" s="1201"/>
      <c r="E97" s="1201"/>
      <c r="F97" s="1201"/>
    </row>
    <row r="98" spans="2:17" ht="15" customHeight="1">
      <c r="H98" s="101"/>
      <c r="I98" s="101"/>
      <c r="J98" s="101"/>
      <c r="K98" s="1194" t="s">
        <v>2267</v>
      </c>
      <c r="L98" s="1194"/>
      <c r="M98" s="1194"/>
      <c r="N98" s="217" t="s">
        <v>2245</v>
      </c>
      <c r="O98" s="217" t="s">
        <v>2268</v>
      </c>
      <c r="P98" s="217" t="s">
        <v>2269</v>
      </c>
      <c r="Q98" s="100"/>
    </row>
    <row r="99" spans="2:17" ht="15" customHeight="1">
      <c r="H99" s="101"/>
      <c r="I99" s="101"/>
      <c r="J99" s="101"/>
      <c r="K99" s="208" t="s">
        <v>2270</v>
      </c>
      <c r="L99" s="208"/>
      <c r="M99" s="208"/>
      <c r="N99" s="218">
        <f>$F$28</f>
        <v>0</v>
      </c>
      <c r="O99" s="219">
        <f>$N99*0.00068956</f>
        <v>0</v>
      </c>
      <c r="P99" s="220">
        <f>$O99/1.22</f>
        <v>0</v>
      </c>
      <c r="Q99" s="100"/>
    </row>
    <row r="100" spans="2:17" ht="15" customHeight="1">
      <c r="H100" s="101"/>
      <c r="I100" s="101"/>
      <c r="J100" s="101"/>
      <c r="K100" s="208" t="s">
        <v>2271</v>
      </c>
      <c r="L100" s="208"/>
      <c r="M100" s="208"/>
      <c r="N100" s="218">
        <f>$F$28</f>
        <v>0</v>
      </c>
      <c r="O100" s="219">
        <f>$N100*0.00068956</f>
        <v>0</v>
      </c>
      <c r="P100" s="220">
        <f>$O100/2.67</f>
        <v>0</v>
      </c>
      <c r="Q100" s="100"/>
    </row>
    <row r="101" spans="2:17" ht="15" customHeight="1">
      <c r="H101" s="101"/>
      <c r="I101" s="101"/>
      <c r="J101" s="101"/>
      <c r="K101" s="208" t="s">
        <v>2272</v>
      </c>
      <c r="L101" s="208"/>
      <c r="M101" s="208"/>
      <c r="N101" s="218">
        <f>$F$28</f>
        <v>0</v>
      </c>
      <c r="O101" s="219">
        <f>$N101*0.00068956</f>
        <v>0</v>
      </c>
      <c r="P101" s="220">
        <f>$O101/4.8</f>
        <v>0</v>
      </c>
      <c r="Q101" s="100"/>
    </row>
    <row r="102" spans="2:17" ht="15" customHeight="1">
      <c r="H102" s="101"/>
      <c r="I102" s="101"/>
      <c r="J102" s="101"/>
      <c r="K102" s="208" t="s">
        <v>2273</v>
      </c>
      <c r="L102" s="208"/>
      <c r="M102" s="208"/>
      <c r="N102" s="218">
        <f>$F$28</f>
        <v>0</v>
      </c>
      <c r="O102" s="219">
        <f>$N102*0.00068956</f>
        <v>0</v>
      </c>
      <c r="P102" s="220">
        <f>$O102/6.68</f>
        <v>0</v>
      </c>
      <c r="Q102" s="100"/>
    </row>
    <row r="103" spans="2:17" ht="15" customHeight="1">
      <c r="H103" s="101"/>
      <c r="I103" s="101"/>
      <c r="J103" s="101"/>
      <c r="K103" s="208" t="s">
        <v>2274</v>
      </c>
      <c r="L103" s="208"/>
      <c r="M103" s="208"/>
      <c r="N103" s="218">
        <f>$F$28</f>
        <v>0</v>
      </c>
      <c r="O103" s="219">
        <f>$N103*0.00068956</f>
        <v>0</v>
      </c>
      <c r="P103" s="220">
        <f>$O103/75.82</f>
        <v>0</v>
      </c>
      <c r="Q103" s="100"/>
    </row>
    <row r="110" spans="2:17" ht="15" customHeight="1">
      <c r="K110" s="115"/>
      <c r="L110" s="116"/>
      <c r="M110" s="117"/>
    </row>
    <row r="115" spans="2:14" s="111" customFormat="1" ht="30" customHeight="1">
      <c r="B115" s="1195" t="s">
        <v>2275</v>
      </c>
      <c r="C115" s="1195"/>
      <c r="D115" s="1195"/>
      <c r="E115" s="1195"/>
      <c r="F115" s="1195"/>
      <c r="H115" s="112"/>
      <c r="I115" s="112"/>
      <c r="J115" s="112"/>
      <c r="K115" s="112"/>
      <c r="L115" s="112"/>
      <c r="M115" s="112"/>
      <c r="N115" s="112"/>
    </row>
    <row r="116" spans="2:14" ht="399.95" customHeight="1">
      <c r="B116" s="1196"/>
      <c r="C116" s="1196"/>
      <c r="D116" s="1196"/>
      <c r="E116" s="1196"/>
      <c r="F116" s="1196"/>
    </row>
  </sheetData>
  <protectedRanges>
    <protectedRange sqref="B115:F116" name="Notes"/>
    <protectedRange sqref="B24:F24" name="Project Description"/>
  </protectedRanges>
  <mergeCells count="20">
    <mergeCell ref="B14:F14"/>
    <mergeCell ref="B3:F3"/>
    <mergeCell ref="B5:F5"/>
    <mergeCell ref="B6:F6"/>
    <mergeCell ref="B7:F7"/>
    <mergeCell ref="B8:F8"/>
    <mergeCell ref="B24:F24"/>
    <mergeCell ref="B26:C26"/>
    <mergeCell ref="E26:F26"/>
    <mergeCell ref="B31:C31"/>
    <mergeCell ref="E31:F31"/>
    <mergeCell ref="K98:M98"/>
    <mergeCell ref="B115:F115"/>
    <mergeCell ref="B116:F116"/>
    <mergeCell ref="B35:F35"/>
    <mergeCell ref="H38:I38"/>
    <mergeCell ref="J38:K38"/>
    <mergeCell ref="B62:F62"/>
    <mergeCell ref="B96:F96"/>
    <mergeCell ref="B97:F97"/>
  </mergeCells>
  <conditionalFormatting sqref="B24:F24">
    <cfRule type="expression" dxfId="3" priority="2">
      <formula>$B$24=""</formula>
    </cfRule>
  </conditionalFormatting>
  <conditionalFormatting sqref="B116:F116">
    <cfRule type="expression" dxfId="2" priority="1">
      <formula>$B$116=""</formula>
    </cfRule>
  </conditionalFormatting>
  <pageMargins left="0.7" right="0.7" top="0.75" bottom="0.75" header="0.51180555555555596" footer="0.51180555555555596"/>
  <pageSetup scale="70" firstPageNumber="0" orientation="portrait" r:id="rId1"/>
  <headerFooter alignWithMargins="0"/>
  <rowBreaks count="3" manualBreakCount="3">
    <brk id="15" max="16383" man="1"/>
    <brk id="61" max="16383" man="1"/>
    <brk id="11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FFF8CA"/>
  </sheetPr>
  <dimension ref="A1:N317"/>
  <sheetViews>
    <sheetView workbookViewId="0">
      <selection sqref="A1:E1"/>
    </sheetView>
  </sheetViews>
  <sheetFormatPr defaultColWidth="0" defaultRowHeight="14.45" customHeight="1" zeroHeight="1"/>
  <cols>
    <col min="1" max="1" width="10.25" customWidth="1"/>
    <col min="2" max="2" width="32.625" customWidth="1"/>
    <col min="3" max="3" width="36.5" bestFit="1" customWidth="1"/>
    <col min="4" max="4" width="34" bestFit="1" customWidth="1"/>
    <col min="5" max="5" width="7.625" bestFit="1" customWidth="1"/>
    <col min="6" max="6" width="2.75" customWidth="1"/>
    <col min="7" max="7" width="11.125" hidden="1" customWidth="1"/>
    <col min="8" max="8" width="55.125" style="162" hidden="1" customWidth="1"/>
    <col min="9" max="9" width="28.375" hidden="1" customWidth="1"/>
    <col min="10" max="10" width="1" hidden="1" customWidth="1"/>
    <col min="11" max="11" width="2.5" hidden="1" customWidth="1"/>
    <col min="12" max="12" width="8" hidden="1" customWidth="1"/>
    <col min="13" max="14" width="0" hidden="1" customWidth="1"/>
    <col min="15" max="16384" width="8" hidden="1"/>
  </cols>
  <sheetData>
    <row r="1" spans="1:5" ht="30" customHeight="1">
      <c r="A1" s="1211" t="s">
        <v>4532</v>
      </c>
      <c r="B1" s="1211"/>
      <c r="C1" s="1211"/>
      <c r="D1" s="1211"/>
      <c r="E1" s="1211"/>
    </row>
    <row r="2" spans="1:5" ht="19.899999999999999" customHeight="1">
      <c r="A2" s="1213" t="s">
        <v>4533</v>
      </c>
      <c r="B2" s="1214"/>
      <c r="C2" s="1214"/>
      <c r="D2" s="1214"/>
      <c r="E2" s="1214"/>
    </row>
    <row r="3" spans="1:5" ht="13.9" customHeight="1">
      <c r="A3" s="757" t="s">
        <v>4534</v>
      </c>
      <c r="B3" s="1229" t="s">
        <v>2</v>
      </c>
      <c r="C3" s="1230"/>
      <c r="D3" s="1217" t="s">
        <v>4535</v>
      </c>
      <c r="E3" s="1218"/>
    </row>
    <row r="4" spans="1:5" s="162" customFormat="1" ht="91.15" customHeight="1">
      <c r="A4" s="758" t="s">
        <v>4536</v>
      </c>
      <c r="B4" s="1220" t="s">
        <v>4537</v>
      </c>
      <c r="C4" s="1221"/>
      <c r="D4" s="1215" t="s">
        <v>4538</v>
      </c>
      <c r="E4" s="1216"/>
    </row>
    <row r="5" spans="1:5" s="162" customFormat="1" ht="36" customHeight="1">
      <c r="A5" s="759" t="s">
        <v>4539</v>
      </c>
      <c r="B5" s="1220" t="s">
        <v>4540</v>
      </c>
      <c r="C5" s="1221"/>
      <c r="D5" s="1215" t="s">
        <v>4541</v>
      </c>
      <c r="E5" s="1216"/>
    </row>
    <row r="6" spans="1:5" s="162" customFormat="1" ht="36" customHeight="1">
      <c r="A6" s="760" t="s">
        <v>4542</v>
      </c>
      <c r="B6" s="1220" t="s">
        <v>4543</v>
      </c>
      <c r="C6" s="1221"/>
      <c r="D6" s="1215" t="s">
        <v>4544</v>
      </c>
      <c r="E6" s="1216"/>
    </row>
    <row r="7" spans="1:5" s="162" customFormat="1" ht="36" customHeight="1">
      <c r="A7" s="760" t="s">
        <v>4545</v>
      </c>
      <c r="B7" s="1220" t="s">
        <v>4546</v>
      </c>
      <c r="C7" s="1221"/>
      <c r="D7" s="1215" t="s">
        <v>4547</v>
      </c>
      <c r="E7" s="1216"/>
    </row>
    <row r="8" spans="1:5" s="162" customFormat="1" ht="36" customHeight="1">
      <c r="A8" s="760" t="s">
        <v>4548</v>
      </c>
      <c r="B8" s="1220" t="s">
        <v>4549</v>
      </c>
      <c r="C8" s="1221"/>
      <c r="D8" s="1215" t="s">
        <v>4547</v>
      </c>
      <c r="E8" s="1216"/>
    </row>
    <row r="9" spans="1:5" s="162" customFormat="1" ht="36" customHeight="1">
      <c r="A9" s="760" t="s">
        <v>228</v>
      </c>
      <c r="B9" s="1220" t="s">
        <v>4550</v>
      </c>
      <c r="C9" s="1221"/>
      <c r="D9" s="1215" t="s">
        <v>4551</v>
      </c>
      <c r="E9" s="1216"/>
    </row>
    <row r="10" spans="1:5" s="162" customFormat="1" ht="36" customHeight="1">
      <c r="A10" s="760" t="s">
        <v>504</v>
      </c>
      <c r="B10" s="1220" t="s">
        <v>4552</v>
      </c>
      <c r="C10" s="1221"/>
      <c r="D10" s="1215" t="s">
        <v>4551</v>
      </c>
      <c r="E10" s="1216"/>
    </row>
    <row r="11" spans="1:5" s="162" customFormat="1" ht="36" customHeight="1">
      <c r="A11" s="760" t="s">
        <v>4553</v>
      </c>
      <c r="B11" s="1220" t="s">
        <v>4554</v>
      </c>
      <c r="C11" s="1221"/>
      <c r="D11" s="1215" t="s">
        <v>4555</v>
      </c>
      <c r="E11" s="1216"/>
    </row>
    <row r="12" spans="1:5" s="162" customFormat="1" ht="36" customHeight="1">
      <c r="A12" s="760" t="s">
        <v>4556</v>
      </c>
      <c r="B12" s="1222" t="s">
        <v>4557</v>
      </c>
      <c r="C12" s="1223"/>
      <c r="D12" s="1215" t="s">
        <v>4555</v>
      </c>
      <c r="E12" s="1216"/>
    </row>
    <row r="13" spans="1:5" ht="19.899999999999999" customHeight="1">
      <c r="A13" s="1213" t="s">
        <v>4558</v>
      </c>
      <c r="B13" s="1214"/>
      <c r="C13" s="1214"/>
      <c r="D13" s="1214"/>
      <c r="E13" s="1214"/>
    </row>
    <row r="14" spans="1:5" ht="13.9" customHeight="1">
      <c r="A14" s="1209" t="s">
        <v>4559</v>
      </c>
      <c r="B14" s="1210"/>
      <c r="C14" s="1210"/>
      <c r="D14" s="1210"/>
      <c r="E14" s="1210"/>
    </row>
    <row r="15" spans="1:5" ht="14.25">
      <c r="A15" s="1209"/>
      <c r="B15" s="1210"/>
      <c r="C15" s="1210"/>
      <c r="D15" s="1210"/>
      <c r="E15" s="1210"/>
    </row>
    <row r="16" spans="1:5" ht="14.25">
      <c r="A16" s="1209"/>
      <c r="B16" s="1210"/>
      <c r="C16" s="1210"/>
      <c r="D16" s="1210"/>
      <c r="E16" s="1210"/>
    </row>
    <row r="17" spans="1:8" ht="14.25">
      <c r="A17" s="1209"/>
      <c r="B17" s="1210"/>
      <c r="C17" s="1210"/>
      <c r="D17" s="1210"/>
      <c r="E17" s="1210"/>
    </row>
    <row r="18" spans="1:8" ht="14.25">
      <c r="A18" s="1209"/>
      <c r="B18" s="1210"/>
      <c r="C18" s="1210"/>
      <c r="D18" s="1210"/>
      <c r="E18" s="1210"/>
    </row>
    <row r="19" spans="1:8" ht="14.25">
      <c r="A19" s="1209"/>
      <c r="B19" s="1210"/>
      <c r="C19" s="1210"/>
      <c r="D19" s="1210"/>
      <c r="E19" s="1210"/>
    </row>
    <row r="20" spans="1:8" ht="14.25">
      <c r="A20" s="1209"/>
      <c r="B20" s="1210"/>
      <c r="C20" s="1210"/>
      <c r="D20" s="1210"/>
      <c r="E20" s="1210"/>
    </row>
    <row r="21" spans="1:8" ht="14.25">
      <c r="A21" s="1209"/>
      <c r="B21" s="1210"/>
      <c r="C21" s="1210"/>
      <c r="D21" s="1210"/>
      <c r="E21" s="1210"/>
    </row>
    <row r="22" spans="1:8" ht="14.25">
      <c r="A22" s="1209"/>
      <c r="B22" s="1210"/>
      <c r="C22" s="1210"/>
      <c r="D22" s="1210"/>
      <c r="E22" s="1210"/>
    </row>
    <row r="23" spans="1:8" ht="14.25">
      <c r="A23" s="1209"/>
      <c r="B23" s="1210"/>
      <c r="C23" s="1210"/>
      <c r="D23" s="1210"/>
      <c r="E23" s="1210"/>
    </row>
    <row r="24" spans="1:8" ht="19.899999999999999" customHeight="1">
      <c r="A24" s="1214" t="s">
        <v>4560</v>
      </c>
      <c r="B24" s="1214"/>
      <c r="C24" s="1214"/>
      <c r="D24" s="1214"/>
      <c r="E24" s="1214"/>
    </row>
    <row r="25" spans="1:8" ht="13.9" customHeight="1">
      <c r="A25" s="1209" t="s">
        <v>4561</v>
      </c>
      <c r="B25" s="1210"/>
      <c r="C25" s="1210"/>
      <c r="D25" s="1210"/>
      <c r="E25" s="1210"/>
      <c r="H25"/>
    </row>
    <row r="26" spans="1:8" ht="14.25">
      <c r="A26" s="1209"/>
      <c r="B26" s="1210"/>
      <c r="C26" s="1210"/>
      <c r="D26" s="1210"/>
      <c r="E26" s="1210"/>
      <c r="H26"/>
    </row>
    <row r="27" spans="1:8" ht="14.25">
      <c r="A27" s="1209"/>
      <c r="B27" s="1210"/>
      <c r="C27" s="1210"/>
      <c r="D27" s="1210"/>
      <c r="E27" s="1210"/>
      <c r="H27"/>
    </row>
    <row r="28" spans="1:8" ht="14.25">
      <c r="A28" s="1209"/>
      <c r="B28" s="1210"/>
      <c r="C28" s="1210"/>
      <c r="D28" s="1210"/>
      <c r="E28" s="1210"/>
      <c r="H28"/>
    </row>
    <row r="29" spans="1:8" ht="14.25">
      <c r="A29" s="1209"/>
      <c r="B29" s="1210"/>
      <c r="C29" s="1210"/>
      <c r="D29" s="1210"/>
      <c r="E29" s="1210"/>
      <c r="H29"/>
    </row>
    <row r="30" spans="1:8" ht="14.25">
      <c r="A30" s="1209"/>
      <c r="B30" s="1210"/>
      <c r="C30" s="1210"/>
      <c r="D30" s="1210"/>
      <c r="E30" s="1210"/>
      <c r="H30"/>
    </row>
    <row r="31" spans="1:8" ht="14.25">
      <c r="A31" s="1209"/>
      <c r="B31" s="1210"/>
      <c r="C31" s="1210"/>
      <c r="D31" s="1210"/>
      <c r="E31" s="1210"/>
      <c r="H31"/>
    </row>
    <row r="32" spans="1:8" ht="14.25">
      <c r="A32" s="1209"/>
      <c r="B32" s="1210"/>
      <c r="C32" s="1210"/>
      <c r="D32" s="1210"/>
      <c r="E32" s="1210"/>
      <c r="H32"/>
    </row>
    <row r="33" spans="1:8" ht="6" customHeight="1">
      <c r="A33" s="1209"/>
      <c r="B33" s="1210"/>
      <c r="C33" s="1210"/>
      <c r="D33" s="1210"/>
      <c r="E33" s="1210"/>
      <c r="H33"/>
    </row>
    <row r="34" spans="1:8" ht="14.25">
      <c r="A34" s="1209"/>
      <c r="B34" s="1210"/>
      <c r="C34" s="1210"/>
      <c r="D34" s="1210"/>
      <c r="E34" s="1210"/>
      <c r="H34"/>
    </row>
    <row r="35" spans="1:8" ht="6" customHeight="1">
      <c r="A35" s="1209"/>
      <c r="B35" s="1210"/>
      <c r="C35" s="1210"/>
      <c r="D35" s="1210"/>
      <c r="E35" s="1210"/>
      <c r="H35"/>
    </row>
    <row r="36" spans="1:8" ht="14.25">
      <c r="A36" s="1209"/>
      <c r="B36" s="1210"/>
      <c r="C36" s="1210"/>
      <c r="D36" s="1210"/>
      <c r="E36" s="1210"/>
      <c r="H36"/>
    </row>
    <row r="37" spans="1:8" ht="14.25">
      <c r="A37" s="1209"/>
      <c r="B37" s="1210"/>
      <c r="C37" s="1210"/>
      <c r="D37" s="1210"/>
      <c r="E37" s="1210"/>
      <c r="H37"/>
    </row>
    <row r="38" spans="1:8" ht="14.25">
      <c r="A38" s="1209"/>
      <c r="B38" s="1210"/>
      <c r="C38" s="1210"/>
      <c r="D38" s="1210"/>
      <c r="E38" s="1210"/>
      <c r="H38"/>
    </row>
    <row r="39" spans="1:8" ht="14.25">
      <c r="A39" s="1209"/>
      <c r="B39" s="1210"/>
      <c r="C39" s="1210"/>
      <c r="D39" s="1210"/>
      <c r="E39" s="1210"/>
      <c r="H39"/>
    </row>
    <row r="40" spans="1:8" ht="14.25">
      <c r="A40" s="1209"/>
      <c r="B40" s="1210"/>
      <c r="C40" s="1210"/>
      <c r="D40" s="1210"/>
      <c r="E40" s="1210"/>
      <c r="H40"/>
    </row>
    <row r="41" spans="1:8" ht="14.25">
      <c r="A41" s="1209"/>
      <c r="B41" s="1210"/>
      <c r="C41" s="1210"/>
      <c r="D41" s="1210"/>
      <c r="E41" s="1210"/>
      <c r="H41"/>
    </row>
    <row r="42" spans="1:8" ht="14.25">
      <c r="A42" s="1209"/>
      <c r="B42" s="1210"/>
      <c r="C42" s="1210"/>
      <c r="D42" s="1210"/>
      <c r="E42" s="1210"/>
      <c r="H42"/>
    </row>
    <row r="43" spans="1:8" ht="6" customHeight="1">
      <c r="A43" s="1209"/>
      <c r="B43" s="1210"/>
      <c r="C43" s="1210"/>
      <c r="D43" s="1210"/>
      <c r="E43" s="1210"/>
      <c r="H43"/>
    </row>
    <row r="44" spans="1:8" ht="14.25">
      <c r="A44" s="1209"/>
      <c r="B44" s="1210"/>
      <c r="C44" s="1210"/>
      <c r="D44" s="1210"/>
      <c r="E44" s="1210"/>
      <c r="H44"/>
    </row>
    <row r="45" spans="1:8" ht="13.9" customHeight="1">
      <c r="A45" s="1209"/>
      <c r="B45" s="1210"/>
      <c r="C45" s="1210"/>
      <c r="D45" s="1210"/>
      <c r="E45" s="1210"/>
      <c r="H45"/>
    </row>
    <row r="46" spans="1:8" ht="14.45" customHeight="1">
      <c r="A46" s="1209"/>
      <c r="B46" s="1210"/>
      <c r="C46" s="1210"/>
      <c r="D46" s="1210"/>
      <c r="E46" s="1210"/>
      <c r="H46"/>
    </row>
    <row r="47" spans="1:8" ht="19.899999999999999" customHeight="1">
      <c r="A47" s="1214" t="s">
        <v>4562</v>
      </c>
      <c r="B47" s="1214"/>
      <c r="C47" s="1214"/>
      <c r="D47" s="1214"/>
      <c r="E47" s="1214"/>
    </row>
    <row r="48" spans="1:8" ht="14.45" customHeight="1">
      <c r="A48" s="1210" t="s">
        <v>4563</v>
      </c>
      <c r="B48" s="1210"/>
      <c r="C48" s="1210"/>
      <c r="D48" s="1210"/>
      <c r="E48" s="1210"/>
      <c r="H48"/>
    </row>
    <row r="49" spans="1:8" ht="14.25">
      <c r="A49" s="1210"/>
      <c r="B49" s="1210"/>
      <c r="C49" s="1210"/>
      <c r="D49" s="1210"/>
      <c r="E49" s="1210"/>
      <c r="H49"/>
    </row>
    <row r="50" spans="1:8" ht="14.25">
      <c r="A50" s="1210"/>
      <c r="B50" s="1210"/>
      <c r="C50" s="1210"/>
      <c r="D50" s="1210"/>
      <c r="E50" s="1210"/>
      <c r="H50"/>
    </row>
    <row r="51" spans="1:8" ht="14.25">
      <c r="A51" s="1210"/>
      <c r="B51" s="1210"/>
      <c r="C51" s="1210"/>
      <c r="D51" s="1210"/>
      <c r="E51" s="1210"/>
      <c r="H51"/>
    </row>
    <row r="52" spans="1:8" ht="14.45" customHeight="1">
      <c r="A52" s="1210"/>
      <c r="B52" s="1210"/>
      <c r="C52" s="1210"/>
      <c r="D52" s="1210"/>
      <c r="E52" s="1210"/>
      <c r="H52"/>
    </row>
    <row r="53" spans="1:8" ht="14.45" customHeight="1">
      <c r="A53" s="1210"/>
      <c r="B53" s="1210"/>
      <c r="C53" s="1210"/>
      <c r="D53" s="1210"/>
      <c r="E53" s="1210"/>
      <c r="H53"/>
    </row>
    <row r="54" spans="1:8" ht="14.45" customHeight="1">
      <c r="A54" s="1210"/>
      <c r="B54" s="1210"/>
      <c r="C54" s="1210"/>
      <c r="D54" s="1210"/>
      <c r="E54" s="1210"/>
      <c r="H54"/>
    </row>
    <row r="55" spans="1:8" ht="6" customHeight="1">
      <c r="A55" s="201"/>
      <c r="B55" s="201"/>
      <c r="C55" s="201"/>
      <c r="D55" s="201"/>
      <c r="E55" s="201"/>
      <c r="H55"/>
    </row>
    <row r="56" spans="1:8" ht="14.25">
      <c r="H56"/>
    </row>
    <row r="57" spans="1:8" ht="14.25">
      <c r="A57" s="1212" t="s">
        <v>4564</v>
      </c>
      <c r="B57" s="1212"/>
      <c r="C57" s="1212"/>
      <c r="D57" s="1212"/>
      <c r="H57"/>
    </row>
    <row r="58" spans="1:8" ht="31.15" customHeight="1">
      <c r="B58" s="761" t="s">
        <v>4565</v>
      </c>
      <c r="C58" s="761" t="s">
        <v>4566</v>
      </c>
      <c r="D58" s="761" t="s">
        <v>4567</v>
      </c>
      <c r="E58" s="761" t="s">
        <v>4568</v>
      </c>
      <c r="H58"/>
    </row>
    <row r="59" spans="1:8" ht="72" customHeight="1">
      <c r="B59" s="758" t="s">
        <v>4569</v>
      </c>
      <c r="C59" s="758" t="s">
        <v>4570</v>
      </c>
      <c r="D59" s="758" t="s">
        <v>319</v>
      </c>
      <c r="E59" s="762">
        <v>0</v>
      </c>
      <c r="H59"/>
    </row>
    <row r="60" spans="1:8" ht="24" customHeight="1">
      <c r="B60" s="1219" t="s">
        <v>4571</v>
      </c>
      <c r="C60" s="1219" t="s">
        <v>4572</v>
      </c>
      <c r="D60" s="758" t="s">
        <v>321</v>
      </c>
      <c r="E60" s="762">
        <v>0.24</v>
      </c>
      <c r="H60" s="172"/>
    </row>
    <row r="61" spans="1:8" ht="24" customHeight="1">
      <c r="B61" s="1219"/>
      <c r="C61" s="1219"/>
      <c r="D61" s="758" t="s">
        <v>323</v>
      </c>
      <c r="E61" s="762">
        <v>0.24</v>
      </c>
      <c r="H61" s="172"/>
    </row>
    <row r="62" spans="1:8" ht="24" customHeight="1">
      <c r="B62" s="1219"/>
      <c r="C62" s="1219"/>
      <c r="D62" s="758" t="s">
        <v>325</v>
      </c>
      <c r="E62" s="762">
        <v>0.24</v>
      </c>
      <c r="H62"/>
    </row>
    <row r="63" spans="1:8" ht="24" customHeight="1">
      <c r="B63" s="1219" t="s">
        <v>4573</v>
      </c>
      <c r="C63" s="1219" t="s">
        <v>4574</v>
      </c>
      <c r="D63" s="758" t="s">
        <v>326</v>
      </c>
      <c r="E63" s="762">
        <v>0.28000000000000003</v>
      </c>
      <c r="H63"/>
    </row>
    <row r="64" spans="1:8" ht="24" customHeight="1">
      <c r="B64" s="1219"/>
      <c r="C64" s="1219"/>
      <c r="D64" s="758" t="s">
        <v>323</v>
      </c>
      <c r="E64" s="762">
        <v>0.28000000000000003</v>
      </c>
      <c r="H64"/>
    </row>
    <row r="65" spans="1:8" ht="24" customHeight="1">
      <c r="B65" s="1219" t="s">
        <v>4575</v>
      </c>
      <c r="C65" s="1219" t="s">
        <v>4576</v>
      </c>
      <c r="D65" s="758" t="s">
        <v>328</v>
      </c>
      <c r="E65" s="762">
        <v>0.31</v>
      </c>
      <c r="H65"/>
    </row>
    <row r="66" spans="1:8" ht="24" customHeight="1">
      <c r="B66" s="1219"/>
      <c r="C66" s="1219"/>
      <c r="D66" s="758" t="s">
        <v>330</v>
      </c>
      <c r="E66" s="762">
        <v>0.31</v>
      </c>
      <c r="H66"/>
    </row>
    <row r="67" spans="1:8" ht="24" customHeight="1">
      <c r="B67" s="1219"/>
      <c r="C67" s="1219"/>
      <c r="D67" s="758" t="s">
        <v>331</v>
      </c>
      <c r="E67" s="762">
        <v>0.31</v>
      </c>
      <c r="H67"/>
    </row>
    <row r="68" spans="1:8" ht="24" customHeight="1">
      <c r="B68" s="1219"/>
      <c r="C68" s="1219"/>
      <c r="D68" s="758" t="s">
        <v>332</v>
      </c>
      <c r="E68" s="762">
        <v>0.31</v>
      </c>
      <c r="H68"/>
    </row>
    <row r="69" spans="1:8" ht="24" customHeight="1">
      <c r="B69" s="1219"/>
      <c r="C69" s="1219"/>
      <c r="D69" s="758" t="s">
        <v>333</v>
      </c>
      <c r="E69" s="762">
        <v>0.31</v>
      </c>
      <c r="H69"/>
    </row>
    <row r="70" spans="1:8" ht="42" customHeight="1">
      <c r="B70" s="1224" t="s">
        <v>4577</v>
      </c>
      <c r="C70" s="1224" t="s">
        <v>4578</v>
      </c>
      <c r="D70" s="758" t="s">
        <v>334</v>
      </c>
      <c r="E70" s="762">
        <v>0.36</v>
      </c>
      <c r="H70"/>
    </row>
    <row r="71" spans="1:8" ht="42" customHeight="1">
      <c r="B71" s="1225"/>
      <c r="C71" s="1225"/>
      <c r="D71" s="758" t="s">
        <v>336</v>
      </c>
      <c r="E71" s="762">
        <v>0.36</v>
      </c>
      <c r="H71"/>
    </row>
    <row r="72" spans="1:8" ht="24" customHeight="1">
      <c r="B72" s="1219" t="s">
        <v>4579</v>
      </c>
      <c r="C72" s="1219" t="s">
        <v>4580</v>
      </c>
      <c r="D72" s="758" t="s">
        <v>4581</v>
      </c>
      <c r="E72" s="1226">
        <v>0.38</v>
      </c>
      <c r="H72"/>
    </row>
    <row r="73" spans="1:8" ht="24" customHeight="1">
      <c r="B73" s="1219"/>
      <c r="C73" s="1219"/>
      <c r="D73" s="758" t="s">
        <v>4582</v>
      </c>
      <c r="E73" s="1226"/>
      <c r="H73"/>
    </row>
    <row r="74" spans="1:8" ht="14.45" customHeight="1">
      <c r="H74"/>
    </row>
    <row r="75" spans="1:8" ht="14.45" customHeight="1">
      <c r="A75" s="202" t="s">
        <v>4583</v>
      </c>
      <c r="C75" s="163"/>
      <c r="D75" s="163"/>
      <c r="H75"/>
    </row>
    <row r="76" spans="1:8" ht="14.45" customHeight="1">
      <c r="B76" s="761" t="s">
        <v>446</v>
      </c>
      <c r="C76" s="761" t="s">
        <v>504</v>
      </c>
      <c r="D76" s="761" t="s">
        <v>228</v>
      </c>
      <c r="H76"/>
    </row>
    <row r="77" spans="1:8" ht="14.45" customHeight="1">
      <c r="B77" s="763" t="s">
        <v>183</v>
      </c>
      <c r="C77" s="764">
        <v>2944</v>
      </c>
      <c r="D77" s="765">
        <v>0.39</v>
      </c>
      <c r="H77"/>
    </row>
    <row r="78" spans="1:8" ht="14.45" customHeight="1">
      <c r="B78" s="766" t="s">
        <v>186</v>
      </c>
      <c r="C78" s="764">
        <v>3833</v>
      </c>
      <c r="D78" s="765">
        <v>0</v>
      </c>
      <c r="H78"/>
    </row>
    <row r="79" spans="1:8" ht="14.45" customHeight="1">
      <c r="B79" s="766" t="s">
        <v>187</v>
      </c>
      <c r="C79" s="764">
        <v>7798</v>
      </c>
      <c r="D79" s="765">
        <v>0.99</v>
      </c>
      <c r="H79"/>
    </row>
    <row r="80" spans="1:8" ht="14.45" customHeight="1">
      <c r="B80" s="766" t="s">
        <v>185</v>
      </c>
      <c r="C80" s="764">
        <v>2476</v>
      </c>
      <c r="D80" s="765">
        <v>0.47</v>
      </c>
      <c r="H80"/>
    </row>
    <row r="81" spans="1:8" ht="14.45" customHeight="1">
      <c r="B81" s="766" t="s">
        <v>4584</v>
      </c>
      <c r="C81" s="764">
        <v>2857</v>
      </c>
      <c r="D81" s="765">
        <v>0.56999999999999995</v>
      </c>
      <c r="H81"/>
    </row>
    <row r="82" spans="1:8" ht="14.45" customHeight="1">
      <c r="B82" s="766" t="s">
        <v>4585</v>
      </c>
      <c r="C82" s="764">
        <v>4730</v>
      </c>
      <c r="D82" s="765">
        <v>0.56999999999999995</v>
      </c>
      <c r="H82"/>
    </row>
    <row r="83" spans="1:8" ht="14.45" customHeight="1">
      <c r="B83" s="766" t="s">
        <v>4586</v>
      </c>
      <c r="C83" s="764">
        <v>6631</v>
      </c>
      <c r="D83" s="765">
        <v>0.56999999999999995</v>
      </c>
      <c r="H83"/>
    </row>
    <row r="84" spans="1:8" ht="14.45" customHeight="1">
      <c r="B84" s="766" t="s">
        <v>177</v>
      </c>
      <c r="C84" s="764">
        <v>1456</v>
      </c>
      <c r="D84" s="765">
        <v>0.23</v>
      </c>
      <c r="H84"/>
    </row>
    <row r="85" spans="1:8" ht="14.45" customHeight="1">
      <c r="B85" s="766" t="s">
        <v>192</v>
      </c>
      <c r="C85" s="764">
        <v>2925</v>
      </c>
      <c r="D85" s="765">
        <v>0.38</v>
      </c>
      <c r="H85"/>
    </row>
    <row r="86" spans="1:8" ht="14.45" customHeight="1">
      <c r="B86" s="766" t="s">
        <v>4587</v>
      </c>
      <c r="C86" s="764">
        <v>2001</v>
      </c>
      <c r="D86" s="765">
        <v>0.33</v>
      </c>
      <c r="H86"/>
    </row>
    <row r="87" spans="1:8" ht="14.45" customHeight="1">
      <c r="B87" s="766" t="s">
        <v>726</v>
      </c>
      <c r="C87" s="764">
        <v>5950</v>
      </c>
      <c r="D87" s="765">
        <v>0.62</v>
      </c>
      <c r="H87"/>
    </row>
    <row r="88" spans="1:8" ht="14.45" customHeight="1">
      <c r="B88" s="766" t="s">
        <v>204</v>
      </c>
      <c r="C88" s="764">
        <v>1420</v>
      </c>
      <c r="D88" s="765">
        <v>0.26</v>
      </c>
      <c r="H88"/>
    </row>
    <row r="89" spans="1:8" ht="14.45" customHeight="1">
      <c r="B89" s="766" t="s">
        <v>4588</v>
      </c>
      <c r="C89" s="764">
        <v>6552</v>
      </c>
      <c r="D89" s="765">
        <v>0.62</v>
      </c>
      <c r="H89"/>
    </row>
    <row r="90" spans="1:8" ht="14.45" customHeight="1">
      <c r="B90" s="766" t="s">
        <v>179</v>
      </c>
      <c r="C90" s="764">
        <v>3054</v>
      </c>
      <c r="D90" s="765">
        <v>0.55000000000000004</v>
      </c>
      <c r="H90"/>
    </row>
    <row r="91" spans="1:8" ht="14.45" customHeight="1">
      <c r="B91" s="766" t="s">
        <v>212</v>
      </c>
      <c r="C91" s="764">
        <v>2383</v>
      </c>
      <c r="D91" s="765">
        <v>0.56000000000000005</v>
      </c>
      <c r="H91"/>
    </row>
    <row r="92" spans="1:8" ht="14.45" customHeight="1">
      <c r="B92" s="758" t="s">
        <v>215</v>
      </c>
      <c r="C92" s="767">
        <v>4300</v>
      </c>
      <c r="D92" s="768">
        <v>0</v>
      </c>
      <c r="H92"/>
    </row>
    <row r="93" spans="1:8" ht="14.45" customHeight="1">
      <c r="B93" s="766" t="s">
        <v>218</v>
      </c>
      <c r="C93" s="764">
        <v>2815</v>
      </c>
      <c r="D93" s="765">
        <v>0.5</v>
      </c>
      <c r="H93"/>
    </row>
    <row r="94" spans="1:8" ht="14.45" customHeight="1">
      <c r="H94"/>
    </row>
    <row r="95" spans="1:8" ht="14.45" customHeight="1">
      <c r="A95" s="202" t="s">
        <v>4589</v>
      </c>
      <c r="H95"/>
    </row>
    <row r="96" spans="1:8" ht="14.45" customHeight="1">
      <c r="B96" s="761" t="s">
        <v>446</v>
      </c>
      <c r="C96" s="761" t="s">
        <v>504</v>
      </c>
      <c r="D96" s="761" t="s">
        <v>228</v>
      </c>
      <c r="H96"/>
    </row>
    <row r="97" spans="2:8" ht="14.45" customHeight="1">
      <c r="B97" s="758" t="s">
        <v>183</v>
      </c>
      <c r="C97" s="767">
        <v>2371</v>
      </c>
      <c r="D97" s="768">
        <v>0.45</v>
      </c>
      <c r="H97"/>
    </row>
    <row r="98" spans="2:8" ht="14.45" customHeight="1">
      <c r="B98" s="758" t="s">
        <v>186</v>
      </c>
      <c r="C98" s="767">
        <v>3833</v>
      </c>
      <c r="D98" s="768">
        <v>0</v>
      </c>
      <c r="H98"/>
    </row>
    <row r="99" spans="2:8" ht="14.45" customHeight="1">
      <c r="B99" s="758" t="s">
        <v>187</v>
      </c>
      <c r="C99" s="767">
        <v>6471</v>
      </c>
      <c r="D99" s="768">
        <v>0.93</v>
      </c>
      <c r="H99"/>
    </row>
    <row r="100" spans="2:8" ht="14.45" customHeight="1">
      <c r="B100" s="758" t="s">
        <v>185</v>
      </c>
      <c r="C100" s="767">
        <v>2943</v>
      </c>
      <c r="D100" s="768">
        <v>0.52</v>
      </c>
      <c r="H100"/>
    </row>
    <row r="101" spans="2:8" ht="14.45" customHeight="1">
      <c r="B101" s="758" t="s">
        <v>195</v>
      </c>
      <c r="C101" s="767">
        <v>2857</v>
      </c>
      <c r="D101" s="768">
        <v>0.56999999999999995</v>
      </c>
      <c r="H101"/>
    </row>
    <row r="102" spans="2:8" ht="14.45" customHeight="1">
      <c r="B102" s="758" t="s">
        <v>197</v>
      </c>
      <c r="C102" s="767">
        <v>4730</v>
      </c>
      <c r="D102" s="768">
        <v>0.56999999999999995</v>
      </c>
      <c r="H102"/>
    </row>
    <row r="103" spans="2:8" ht="14.45" customHeight="1">
      <c r="B103" s="758" t="s">
        <v>199</v>
      </c>
      <c r="C103" s="767">
        <v>6631</v>
      </c>
      <c r="D103" s="768">
        <v>0.56999999999999995</v>
      </c>
      <c r="H103"/>
    </row>
    <row r="104" spans="2:8" ht="14.45" customHeight="1">
      <c r="B104" s="758" t="s">
        <v>177</v>
      </c>
      <c r="C104" s="767">
        <v>1419</v>
      </c>
      <c r="D104" s="768">
        <v>0.23</v>
      </c>
      <c r="H104"/>
    </row>
    <row r="105" spans="2:8" ht="14.45" customHeight="1">
      <c r="B105" s="758" t="s">
        <v>192</v>
      </c>
      <c r="C105" s="767">
        <v>3579</v>
      </c>
      <c r="D105" s="768">
        <v>0.45</v>
      </c>
      <c r="H105"/>
    </row>
    <row r="106" spans="2:8" ht="14.45" customHeight="1">
      <c r="B106" s="758" t="s">
        <v>4587</v>
      </c>
      <c r="C106" s="767">
        <v>2830</v>
      </c>
      <c r="D106" s="768">
        <v>0.57999999999999996</v>
      </c>
      <c r="H106"/>
    </row>
    <row r="107" spans="2:8" ht="14.45" customHeight="1">
      <c r="B107" s="758" t="s">
        <v>726</v>
      </c>
      <c r="C107" s="767">
        <v>5950</v>
      </c>
      <c r="D107" s="768">
        <v>0.62</v>
      </c>
      <c r="H107"/>
    </row>
    <row r="108" spans="2:8" ht="14.45" customHeight="1">
      <c r="B108" s="758" t="s">
        <v>204</v>
      </c>
      <c r="C108" s="767">
        <v>2294</v>
      </c>
      <c r="D108" s="768">
        <v>0.48</v>
      </c>
      <c r="H108"/>
    </row>
    <row r="109" spans="2:8" ht="14.45" customHeight="1">
      <c r="B109" s="758" t="s">
        <v>206</v>
      </c>
      <c r="C109" s="767">
        <v>6552</v>
      </c>
      <c r="D109" s="768">
        <v>0.62</v>
      </c>
      <c r="H109"/>
    </row>
    <row r="110" spans="2:8" ht="14.25">
      <c r="B110" s="758" t="s">
        <v>179</v>
      </c>
      <c r="C110" s="767">
        <v>4747</v>
      </c>
      <c r="D110" s="768">
        <v>0.77</v>
      </c>
      <c r="H110"/>
    </row>
    <row r="111" spans="2:8" ht="14.25">
      <c r="B111" s="758" t="s">
        <v>212</v>
      </c>
      <c r="C111" s="767">
        <v>2915</v>
      </c>
      <c r="D111" s="768">
        <v>0.66</v>
      </c>
      <c r="H111"/>
    </row>
    <row r="112" spans="2:8" ht="14.45" customHeight="1">
      <c r="B112" s="758" t="s">
        <v>215</v>
      </c>
      <c r="C112" s="767">
        <v>4300</v>
      </c>
      <c r="D112" s="768">
        <v>0</v>
      </c>
      <c r="H112"/>
    </row>
    <row r="113" spans="1:8" ht="14.25">
      <c r="B113" s="758" t="s">
        <v>218</v>
      </c>
      <c r="C113" s="767">
        <v>2545</v>
      </c>
      <c r="D113" s="768">
        <v>0.48</v>
      </c>
      <c r="H113"/>
    </row>
    <row r="114" spans="1:8" ht="14.25">
      <c r="H114"/>
    </row>
    <row r="115" spans="1:8" ht="14.25">
      <c r="A115" s="202" t="s">
        <v>4590</v>
      </c>
      <c r="H115"/>
    </row>
    <row r="116" spans="1:8" ht="14.45" customHeight="1">
      <c r="B116" s="761" t="s">
        <v>4591</v>
      </c>
      <c r="C116" s="761" t="s">
        <v>4553</v>
      </c>
      <c r="D116" s="761" t="s">
        <v>4556</v>
      </c>
      <c r="H116"/>
    </row>
    <row r="117" spans="1:8" ht="14.45" customHeight="1">
      <c r="B117" s="758" t="s">
        <v>4592</v>
      </c>
      <c r="C117" s="768">
        <v>3.1E-2</v>
      </c>
      <c r="D117" s="768">
        <v>0.192</v>
      </c>
      <c r="H117"/>
    </row>
    <row r="118" spans="1:8" ht="14.45" customHeight="1">
      <c r="B118" s="758" t="s">
        <v>4593</v>
      </c>
      <c r="C118" s="768">
        <v>-0.14199999999999999</v>
      </c>
      <c r="D118" s="768">
        <v>0.192</v>
      </c>
      <c r="H118"/>
    </row>
    <row r="119" spans="1:8" ht="14.45" customHeight="1">
      <c r="B119" s="758" t="s">
        <v>739</v>
      </c>
      <c r="C119" s="768">
        <v>0</v>
      </c>
      <c r="D119" s="768">
        <v>0.192</v>
      </c>
      <c r="H119"/>
    </row>
    <row r="120" spans="1:8" ht="14.45" customHeight="1">
      <c r="B120" s="164"/>
      <c r="C120" s="165"/>
      <c r="D120" s="165"/>
      <c r="H120"/>
    </row>
    <row r="121" spans="1:8" ht="14.45" customHeight="1">
      <c r="A121" s="202" t="s">
        <v>4594</v>
      </c>
      <c r="H121"/>
    </row>
    <row r="122" spans="1:8" ht="14.45" customHeight="1">
      <c r="B122" s="761" t="s">
        <v>4534</v>
      </c>
      <c r="C122" s="761" t="s">
        <v>4595</v>
      </c>
      <c r="H122"/>
    </row>
    <row r="123" spans="1:8" ht="24" customHeight="1">
      <c r="B123" s="1227" t="s">
        <v>4553</v>
      </c>
      <c r="C123" s="758" t="s">
        <v>4596</v>
      </c>
      <c r="H123"/>
    </row>
    <row r="124" spans="1:8" ht="24" customHeight="1">
      <c r="B124" s="1227"/>
      <c r="C124" s="758" t="s">
        <v>4597</v>
      </c>
      <c r="H124"/>
    </row>
    <row r="125" spans="1:8" ht="24" customHeight="1">
      <c r="B125" s="1227"/>
      <c r="C125" s="758" t="s">
        <v>4598</v>
      </c>
      <c r="H125"/>
    </row>
    <row r="126" spans="1:8" ht="24" customHeight="1">
      <c r="B126" s="1227"/>
      <c r="C126" s="758" t="s">
        <v>4599</v>
      </c>
      <c r="H126"/>
    </row>
    <row r="127" spans="1:8" ht="24" customHeight="1">
      <c r="B127" s="1227" t="s">
        <v>4556</v>
      </c>
      <c r="C127" s="758" t="s">
        <v>4596</v>
      </c>
      <c r="H127"/>
    </row>
    <row r="128" spans="1:8" ht="24" customHeight="1">
      <c r="B128" s="1227"/>
      <c r="C128" s="758" t="s">
        <v>4597</v>
      </c>
      <c r="H128"/>
    </row>
    <row r="129" spans="1:8" ht="24" customHeight="1">
      <c r="B129" s="1227"/>
      <c r="C129" s="758" t="s">
        <v>4598</v>
      </c>
      <c r="H129"/>
    </row>
    <row r="130" spans="1:8" ht="24" customHeight="1">
      <c r="B130" s="1227"/>
      <c r="C130" s="758" t="s">
        <v>4599</v>
      </c>
      <c r="H130"/>
    </row>
    <row r="131" spans="1:8" ht="14.45" customHeight="1">
      <c r="H131"/>
    </row>
    <row r="132" spans="1:8" ht="14.45" customHeight="1">
      <c r="A132" s="202" t="s">
        <v>4600</v>
      </c>
      <c r="H132"/>
    </row>
    <row r="133" spans="1:8" ht="14.45" customHeight="1">
      <c r="B133" s="761" t="s">
        <v>4601</v>
      </c>
      <c r="C133" s="761" t="s">
        <v>4602</v>
      </c>
      <c r="H133"/>
    </row>
    <row r="134" spans="1:8" ht="14.45" customHeight="1">
      <c r="B134" s="758" t="s">
        <v>173</v>
      </c>
      <c r="C134" s="768">
        <v>0.9</v>
      </c>
      <c r="H134"/>
    </row>
    <row r="135" spans="1:8" ht="14.45" customHeight="1">
      <c r="B135" s="758" t="s">
        <v>175</v>
      </c>
      <c r="C135" s="768">
        <v>1.2</v>
      </c>
      <c r="H135"/>
    </row>
    <row r="136" spans="1:8" ht="14.45" customHeight="1">
      <c r="B136" s="758" t="s">
        <v>176</v>
      </c>
      <c r="C136" s="768">
        <v>1.2</v>
      </c>
      <c r="H136"/>
    </row>
    <row r="137" spans="1:8" ht="14.45" customHeight="1">
      <c r="B137" s="758" t="s">
        <v>178</v>
      </c>
      <c r="C137" s="768">
        <v>1.3</v>
      </c>
      <c r="H137"/>
    </row>
    <row r="138" spans="1:8" ht="14.45" customHeight="1">
      <c r="B138" s="758" t="s">
        <v>180</v>
      </c>
      <c r="C138" s="768">
        <v>1.4</v>
      </c>
      <c r="H138"/>
    </row>
    <row r="139" spans="1:8" ht="14.45" customHeight="1">
      <c r="B139" s="758" t="s">
        <v>181</v>
      </c>
      <c r="C139" s="768">
        <v>1.6</v>
      </c>
      <c r="H139"/>
    </row>
    <row r="140" spans="1:8" ht="14.45" customHeight="1">
      <c r="B140" s="758" t="s">
        <v>182</v>
      </c>
      <c r="C140" s="768">
        <v>1</v>
      </c>
      <c r="H140"/>
    </row>
    <row r="141" spans="1:8" ht="14.45" customHeight="1">
      <c r="B141" s="758" t="s">
        <v>184</v>
      </c>
      <c r="C141" s="768">
        <v>1</v>
      </c>
      <c r="H141"/>
    </row>
    <row r="142" spans="1:8" ht="14.45" customHeight="1">
      <c r="B142" s="758" t="s">
        <v>188</v>
      </c>
      <c r="C142" s="768">
        <v>1.1000000000000001</v>
      </c>
      <c r="H142"/>
    </row>
    <row r="143" spans="1:8" ht="14.45" customHeight="1">
      <c r="B143" s="758" t="s">
        <v>189</v>
      </c>
      <c r="C143" s="768">
        <v>1</v>
      </c>
      <c r="H143"/>
    </row>
    <row r="144" spans="1:8" ht="14.45" customHeight="1">
      <c r="B144" s="758" t="s">
        <v>190</v>
      </c>
      <c r="C144" s="768">
        <v>1.2</v>
      </c>
      <c r="H144"/>
    </row>
    <row r="145" spans="2:8" ht="14.45" customHeight="1">
      <c r="B145" s="758" t="s">
        <v>191</v>
      </c>
      <c r="C145" s="768">
        <v>1</v>
      </c>
      <c r="H145"/>
    </row>
    <row r="146" spans="2:8" ht="14.45" customHeight="1">
      <c r="B146" s="758" t="s">
        <v>193</v>
      </c>
      <c r="C146" s="768">
        <v>1.3</v>
      </c>
      <c r="H146"/>
    </row>
    <row r="147" spans="2:8" ht="14.45" customHeight="1">
      <c r="B147" s="758" t="s">
        <v>4603</v>
      </c>
      <c r="C147" s="768">
        <v>1.3</v>
      </c>
      <c r="H147"/>
    </row>
    <row r="148" spans="2:8" ht="14.45" customHeight="1">
      <c r="B148" s="758" t="s">
        <v>200</v>
      </c>
      <c r="C148" s="768">
        <v>1</v>
      </c>
      <c r="H148"/>
    </row>
    <row r="149" spans="2:8" ht="14.45" customHeight="1">
      <c r="B149" s="769" t="s">
        <v>201</v>
      </c>
      <c r="C149" s="770">
        <v>1.2</v>
      </c>
      <c r="H149"/>
    </row>
    <row r="150" spans="2:8" ht="14.45" customHeight="1">
      <c r="B150" s="758" t="s">
        <v>202</v>
      </c>
      <c r="C150" s="768">
        <v>0.7</v>
      </c>
      <c r="H150"/>
    </row>
    <row r="151" spans="2:8" ht="14.45" customHeight="1">
      <c r="B151" s="758" t="s">
        <v>203</v>
      </c>
      <c r="C151" s="768">
        <v>1.1000000000000001</v>
      </c>
      <c r="H151"/>
    </row>
    <row r="152" spans="2:8" ht="14.45" customHeight="1">
      <c r="B152" s="758" t="s">
        <v>204</v>
      </c>
      <c r="C152" s="768">
        <v>1</v>
      </c>
      <c r="H152"/>
    </row>
    <row r="153" spans="2:8" ht="14.45" customHeight="1">
      <c r="B153" s="758" t="s">
        <v>205</v>
      </c>
      <c r="C153" s="768">
        <v>0.3</v>
      </c>
      <c r="H153"/>
    </row>
    <row r="154" spans="2:8" ht="14.45" customHeight="1">
      <c r="B154" s="758" t="s">
        <v>207</v>
      </c>
      <c r="C154" s="768">
        <v>1</v>
      </c>
      <c r="H154"/>
    </row>
    <row r="155" spans="2:8" ht="14.45" customHeight="1">
      <c r="B155" s="758" t="s">
        <v>208</v>
      </c>
      <c r="C155" s="768">
        <v>1.6</v>
      </c>
      <c r="H155"/>
    </row>
    <row r="156" spans="2:8" ht="14.45" customHeight="1">
      <c r="B156" s="758" t="s">
        <v>209</v>
      </c>
      <c r="C156" s="768">
        <v>1</v>
      </c>
      <c r="H156"/>
    </row>
    <row r="157" spans="2:8" ht="14.45" customHeight="1">
      <c r="B157" s="758" t="s">
        <v>210</v>
      </c>
      <c r="C157" s="768">
        <v>1.1000000000000001</v>
      </c>
      <c r="H157"/>
    </row>
    <row r="158" spans="2:8" ht="14.45" customHeight="1">
      <c r="B158" s="758" t="s">
        <v>211</v>
      </c>
      <c r="C158" s="768">
        <v>1.3</v>
      </c>
      <c r="H158"/>
    </row>
    <row r="159" spans="2:8" ht="14.45" customHeight="1">
      <c r="B159" s="758" t="s">
        <v>212</v>
      </c>
      <c r="C159" s="768">
        <v>1.5</v>
      </c>
      <c r="H159"/>
    </row>
    <row r="160" spans="2:8" ht="14.45" customHeight="1">
      <c r="B160" s="758" t="s">
        <v>213</v>
      </c>
      <c r="C160" s="768">
        <v>1.2</v>
      </c>
      <c r="H160"/>
    </row>
    <row r="161" spans="1:8" ht="14.45" customHeight="1">
      <c r="B161" s="758" t="s">
        <v>214</v>
      </c>
      <c r="C161" s="768">
        <v>1.1000000000000001</v>
      </c>
      <c r="H161"/>
    </row>
    <row r="162" spans="1:8" ht="14.45" customHeight="1">
      <c r="B162" s="758" t="s">
        <v>216</v>
      </c>
      <c r="C162" s="768">
        <v>1.1000000000000001</v>
      </c>
      <c r="H162"/>
    </row>
    <row r="163" spans="1:8" ht="14.45" customHeight="1">
      <c r="B163" s="758" t="s">
        <v>217</v>
      </c>
      <c r="C163" s="768">
        <v>1</v>
      </c>
      <c r="H163"/>
    </row>
    <row r="164" spans="1:8" ht="14.45" customHeight="1">
      <c r="B164" s="758" t="s">
        <v>218</v>
      </c>
      <c r="C164" s="768">
        <v>0.8</v>
      </c>
      <c r="H164"/>
    </row>
    <row r="165" spans="1:8" ht="14.45" customHeight="1">
      <c r="B165" s="758" t="s">
        <v>219</v>
      </c>
      <c r="C165" s="768">
        <v>1.4</v>
      </c>
      <c r="H165"/>
    </row>
    <row r="166" spans="1:8" ht="14.45" customHeight="1">
      <c r="H166"/>
    </row>
    <row r="167" spans="1:8" ht="14.45" customHeight="1">
      <c r="A167" s="202" t="s">
        <v>4604</v>
      </c>
      <c r="H167"/>
    </row>
    <row r="168" spans="1:8" ht="14.45" customHeight="1">
      <c r="H168"/>
    </row>
    <row r="169" spans="1:8" ht="14.45" customHeight="1">
      <c r="B169" s="761" t="s">
        <v>4605</v>
      </c>
      <c r="C169" s="761" t="s">
        <v>4602</v>
      </c>
      <c r="H169"/>
    </row>
    <row r="170" spans="1:8" ht="14.45" customHeight="1">
      <c r="B170" s="758" t="s">
        <v>4606</v>
      </c>
      <c r="C170" s="768">
        <v>1.1000000000000001</v>
      </c>
      <c r="H170"/>
    </row>
    <row r="171" spans="1:8" ht="14.45" customHeight="1">
      <c r="B171" s="758" t="s">
        <v>4607</v>
      </c>
      <c r="C171" s="768">
        <v>1.1000000000000001</v>
      </c>
      <c r="H171"/>
    </row>
    <row r="172" spans="1:8" ht="14.45" customHeight="1">
      <c r="B172" s="758" t="s">
        <v>4608</v>
      </c>
      <c r="C172" s="768">
        <v>1.3</v>
      </c>
      <c r="H172"/>
    </row>
    <row r="173" spans="1:8" ht="14.45" customHeight="1">
      <c r="B173" s="758" t="s">
        <v>4609</v>
      </c>
      <c r="C173" s="768">
        <v>1.4</v>
      </c>
      <c r="H173"/>
    </row>
    <row r="174" spans="1:8" ht="14.45" customHeight="1">
      <c r="B174" s="771" t="s">
        <v>4610</v>
      </c>
      <c r="C174" s="768">
        <v>1.3</v>
      </c>
      <c r="H174"/>
    </row>
    <row r="175" spans="1:8" ht="14.45" customHeight="1">
      <c r="B175" s="758" t="s">
        <v>829</v>
      </c>
      <c r="C175" s="768">
        <v>1.3</v>
      </c>
      <c r="H175"/>
    </row>
    <row r="176" spans="1:8" ht="14.45" customHeight="1">
      <c r="B176" s="771" t="s">
        <v>4611</v>
      </c>
      <c r="C176" s="768">
        <v>1.1000000000000001</v>
      </c>
      <c r="H176"/>
    </row>
    <row r="177" spans="2:8" ht="14.45" customHeight="1">
      <c r="B177" s="771" t="s">
        <v>4612</v>
      </c>
      <c r="C177" s="768">
        <v>3.3</v>
      </c>
      <c r="H177"/>
    </row>
    <row r="178" spans="2:8" ht="14.45" customHeight="1">
      <c r="B178" s="771" t="s">
        <v>4613</v>
      </c>
      <c r="C178" s="768">
        <v>1.1000000000000001</v>
      </c>
      <c r="H178"/>
    </row>
    <row r="179" spans="2:8" ht="14.45" customHeight="1">
      <c r="B179" s="758" t="s">
        <v>4614</v>
      </c>
      <c r="C179" s="768">
        <v>0.9</v>
      </c>
      <c r="H179"/>
    </row>
    <row r="180" spans="2:8" ht="14.45" customHeight="1">
      <c r="B180" s="771" t="s">
        <v>4615</v>
      </c>
      <c r="C180" s="768">
        <v>0.4</v>
      </c>
      <c r="H180"/>
    </row>
    <row r="181" spans="2:8" ht="14.45" customHeight="1">
      <c r="B181" s="771" t="s">
        <v>4616</v>
      </c>
      <c r="C181" s="768">
        <v>0.3</v>
      </c>
      <c r="H181"/>
    </row>
    <row r="182" spans="2:8" ht="14.45" customHeight="1">
      <c r="B182" s="771" t="s">
        <v>4617</v>
      </c>
      <c r="C182" s="768">
        <v>0.7</v>
      </c>
      <c r="H182"/>
    </row>
    <row r="183" spans="2:8" ht="14.45" customHeight="1">
      <c r="B183" s="771" t="s">
        <v>4610</v>
      </c>
      <c r="C183" s="768">
        <v>0.7</v>
      </c>
      <c r="H183"/>
    </row>
    <row r="184" spans="2:8" ht="14.45" customHeight="1">
      <c r="B184" s="771" t="s">
        <v>4618</v>
      </c>
      <c r="C184" s="768">
        <v>1.7</v>
      </c>
      <c r="H184"/>
    </row>
    <row r="185" spans="2:8" ht="14.45" customHeight="1">
      <c r="B185" s="771" t="s">
        <v>4619</v>
      </c>
      <c r="C185" s="768">
        <v>0.4</v>
      </c>
      <c r="H185"/>
    </row>
    <row r="186" spans="2:8" ht="14.45" customHeight="1">
      <c r="B186" s="771" t="s">
        <v>4612</v>
      </c>
      <c r="C186" s="768">
        <v>2.6</v>
      </c>
      <c r="H186"/>
    </row>
    <row r="187" spans="2:8" ht="14.45" customHeight="1">
      <c r="B187" s="771" t="s">
        <v>4613</v>
      </c>
      <c r="C187" s="768">
        <v>1.2</v>
      </c>
      <c r="H187"/>
    </row>
    <row r="188" spans="2:8" ht="14.45" customHeight="1">
      <c r="B188" s="771" t="s">
        <v>4620</v>
      </c>
      <c r="C188" s="768">
        <v>0.5</v>
      </c>
      <c r="H188"/>
    </row>
    <row r="189" spans="2:8" ht="14.45" customHeight="1">
      <c r="B189" s="758" t="s">
        <v>4621</v>
      </c>
      <c r="C189" s="768">
        <v>0.6</v>
      </c>
      <c r="H189"/>
    </row>
    <row r="190" spans="2:8" ht="14.45" customHeight="1">
      <c r="B190" s="758" t="s">
        <v>4622</v>
      </c>
      <c r="C190" s="768">
        <v>0.2</v>
      </c>
      <c r="H190"/>
    </row>
    <row r="191" spans="2:8" ht="14.45" customHeight="1">
      <c r="B191" s="758" t="s">
        <v>4623</v>
      </c>
      <c r="C191" s="768">
        <v>1.2</v>
      </c>
      <c r="H191"/>
    </row>
    <row r="192" spans="2:8" ht="14.45" customHeight="1">
      <c r="B192" s="771" t="s">
        <v>4624</v>
      </c>
      <c r="C192" s="768">
        <v>0.8</v>
      </c>
      <c r="H192"/>
    </row>
    <row r="193" spans="2:8" ht="14.45" customHeight="1">
      <c r="B193" s="758" t="s">
        <v>767</v>
      </c>
      <c r="C193" s="768">
        <v>0.9</v>
      </c>
      <c r="H193"/>
    </row>
    <row r="194" spans="2:8" ht="14.45" customHeight="1">
      <c r="B194" s="771" t="s">
        <v>4610</v>
      </c>
      <c r="C194" s="768">
        <v>1.3</v>
      </c>
      <c r="H194"/>
    </row>
    <row r="195" spans="2:8" ht="14.45" customHeight="1">
      <c r="B195" s="771" t="s">
        <v>4611</v>
      </c>
      <c r="C195" s="768">
        <v>1.3</v>
      </c>
      <c r="H195"/>
    </row>
    <row r="196" spans="2:8" ht="14.45" customHeight="1">
      <c r="B196" s="771" t="s">
        <v>4625</v>
      </c>
      <c r="C196" s="768">
        <v>1.2</v>
      </c>
      <c r="H196"/>
    </row>
    <row r="197" spans="2:8" ht="14.45" customHeight="1">
      <c r="B197" s="771" t="s">
        <v>4626</v>
      </c>
      <c r="C197" s="768">
        <v>1.4</v>
      </c>
      <c r="H197"/>
    </row>
    <row r="198" spans="2:8" ht="14.45" customHeight="1">
      <c r="B198" s="771" t="s">
        <v>4627</v>
      </c>
      <c r="C198" s="768">
        <v>2.1</v>
      </c>
      <c r="H198"/>
    </row>
    <row r="199" spans="2:8" ht="14.45" customHeight="1">
      <c r="B199" s="758" t="s">
        <v>4628</v>
      </c>
      <c r="C199" s="768">
        <v>1.2</v>
      </c>
      <c r="H199"/>
    </row>
    <row r="200" spans="2:8" ht="14.45" customHeight="1">
      <c r="B200" s="758" t="s">
        <v>818</v>
      </c>
      <c r="C200" s="768">
        <v>1.4</v>
      </c>
      <c r="H200"/>
    </row>
    <row r="201" spans="2:8" ht="14.45" customHeight="1">
      <c r="B201" s="758" t="s">
        <v>4629</v>
      </c>
      <c r="C201" s="768">
        <v>0.9</v>
      </c>
      <c r="H201"/>
    </row>
    <row r="202" spans="2:8" ht="14.45" customHeight="1">
      <c r="B202" s="758" t="s">
        <v>4630</v>
      </c>
      <c r="C202" s="768">
        <v>0.6</v>
      </c>
      <c r="H202"/>
    </row>
    <row r="203" spans="2:8" ht="14.45" customHeight="1">
      <c r="B203" s="758" t="s">
        <v>4631</v>
      </c>
      <c r="C203" s="768">
        <v>0.5</v>
      </c>
      <c r="H203"/>
    </row>
    <row r="204" spans="2:8" ht="14.45" customHeight="1">
      <c r="B204" s="771" t="s">
        <v>4624</v>
      </c>
      <c r="C204" s="768">
        <v>1</v>
      </c>
      <c r="H204"/>
    </row>
    <row r="205" spans="2:8" ht="14.45" customHeight="1">
      <c r="B205" s="771" t="s">
        <v>4632</v>
      </c>
      <c r="C205" s="768">
        <v>0.5</v>
      </c>
      <c r="H205"/>
    </row>
    <row r="206" spans="2:8" ht="14.45" customHeight="1">
      <c r="B206" s="758" t="s">
        <v>4633</v>
      </c>
      <c r="C206" s="768">
        <v>0.6</v>
      </c>
      <c r="H206"/>
    </row>
    <row r="207" spans="2:8" ht="14.45" customHeight="1">
      <c r="B207" s="758" t="s">
        <v>4634</v>
      </c>
      <c r="C207" s="768">
        <v>0.8</v>
      </c>
      <c r="H207"/>
    </row>
    <row r="208" spans="2:8" ht="14.45" customHeight="1">
      <c r="B208" s="771" t="s">
        <v>4624</v>
      </c>
      <c r="C208" s="768">
        <v>0.9</v>
      </c>
      <c r="H208"/>
    </row>
    <row r="209" spans="2:8" ht="14.45" customHeight="1">
      <c r="B209" s="758" t="s">
        <v>4635</v>
      </c>
      <c r="C209" s="768">
        <v>0.3</v>
      </c>
      <c r="H209"/>
    </row>
    <row r="210" spans="2:8" ht="14.45" customHeight="1">
      <c r="B210" s="771" t="s">
        <v>4636</v>
      </c>
      <c r="C210" s="768">
        <v>0.8</v>
      </c>
      <c r="H210"/>
    </row>
    <row r="211" spans="2:8" ht="14.45" customHeight="1">
      <c r="B211" s="758" t="s">
        <v>4637</v>
      </c>
      <c r="C211" s="768">
        <v>1.5</v>
      </c>
      <c r="H211"/>
    </row>
    <row r="212" spans="2:8" ht="14.45" customHeight="1">
      <c r="B212" s="758" t="s">
        <v>219</v>
      </c>
      <c r="C212" s="768">
        <v>1.9</v>
      </c>
      <c r="H212"/>
    </row>
    <row r="213" spans="2:8" ht="14.45" customHeight="1">
      <c r="B213" s="758" t="s">
        <v>870</v>
      </c>
      <c r="C213" s="768">
        <v>1.7</v>
      </c>
      <c r="H213"/>
    </row>
    <row r="214" spans="2:8" ht="14.45" customHeight="1">
      <c r="H214"/>
    </row>
    <row r="215" spans="2:8" ht="14.45" customHeight="1">
      <c r="B215" s="761" t="s">
        <v>4638</v>
      </c>
      <c r="C215" s="761" t="s">
        <v>4602</v>
      </c>
      <c r="H215"/>
    </row>
    <row r="216" spans="2:8" ht="14.45" customHeight="1">
      <c r="B216" s="1228" t="s">
        <v>4639</v>
      </c>
      <c r="C216" s="1228"/>
      <c r="H216"/>
    </row>
    <row r="217" spans="2:8" ht="14.45" customHeight="1">
      <c r="B217" s="768" t="s">
        <v>4640</v>
      </c>
      <c r="C217" s="768">
        <v>1.4</v>
      </c>
      <c r="H217"/>
    </row>
    <row r="218" spans="2:8" ht="14.45" customHeight="1">
      <c r="B218" s="768" t="s">
        <v>4641</v>
      </c>
      <c r="C218" s="768">
        <v>0.9</v>
      </c>
      <c r="H218"/>
    </row>
    <row r="219" spans="2:8" ht="14.45" customHeight="1">
      <c r="B219" s="1228" t="s">
        <v>4642</v>
      </c>
      <c r="C219" s="1228"/>
      <c r="H219"/>
    </row>
    <row r="220" spans="2:8" ht="14.45" customHeight="1">
      <c r="B220" s="768" t="s">
        <v>761</v>
      </c>
      <c r="C220" s="768">
        <v>1.9</v>
      </c>
      <c r="H220"/>
    </row>
    <row r="221" spans="2:8" ht="14.45" customHeight="1">
      <c r="B221" s="768" t="s">
        <v>4643</v>
      </c>
      <c r="C221" s="768">
        <v>0.9</v>
      </c>
      <c r="H221"/>
    </row>
    <row r="222" spans="2:8" ht="14.45" customHeight="1">
      <c r="B222" s="768" t="s">
        <v>4644</v>
      </c>
      <c r="C222" s="768">
        <v>1.3</v>
      </c>
      <c r="H222"/>
    </row>
    <row r="223" spans="2:8" ht="14.45" customHeight="1">
      <c r="B223" s="1228" t="s">
        <v>4645</v>
      </c>
      <c r="C223" s="1228"/>
      <c r="H223"/>
    </row>
    <row r="224" spans="2:8" ht="14.45" customHeight="1">
      <c r="B224" s="768" t="s">
        <v>4646</v>
      </c>
      <c r="C224" s="768">
        <v>0.8</v>
      </c>
      <c r="H224"/>
    </row>
    <row r="225" spans="2:8" ht="14.45" customHeight="1">
      <c r="B225" s="768" t="s">
        <v>4647</v>
      </c>
      <c r="C225" s="768">
        <v>0.3</v>
      </c>
      <c r="H225"/>
    </row>
    <row r="226" spans="2:8" ht="14.45" customHeight="1">
      <c r="B226" s="768" t="s">
        <v>4648</v>
      </c>
      <c r="C226" s="768">
        <v>1.2</v>
      </c>
      <c r="H226"/>
    </row>
    <row r="227" spans="2:8" ht="14.45" customHeight="1">
      <c r="B227" s="768" t="s">
        <v>4649</v>
      </c>
      <c r="C227" s="768">
        <v>1.3</v>
      </c>
      <c r="H227"/>
    </row>
    <row r="228" spans="2:8" ht="14.45" customHeight="1">
      <c r="B228" s="1228" t="s">
        <v>193</v>
      </c>
      <c r="C228" s="1228"/>
      <c r="H228"/>
    </row>
    <row r="229" spans="2:8" ht="14.45" customHeight="1">
      <c r="B229" s="768" t="s">
        <v>4650</v>
      </c>
      <c r="C229" s="768">
        <v>1.1000000000000001</v>
      </c>
      <c r="H229"/>
    </row>
    <row r="230" spans="2:8" ht="14.45" customHeight="1">
      <c r="B230" s="768" t="s">
        <v>4651</v>
      </c>
      <c r="C230" s="768">
        <v>1.7</v>
      </c>
      <c r="H230"/>
    </row>
    <row r="231" spans="2:8" ht="14.45" customHeight="1">
      <c r="B231" s="768" t="s">
        <v>4652</v>
      </c>
      <c r="C231" s="768">
        <v>1.2</v>
      </c>
      <c r="H231"/>
    </row>
    <row r="232" spans="2:8" ht="14.45" customHeight="1">
      <c r="B232" s="1228" t="s">
        <v>190</v>
      </c>
      <c r="C232" s="1228"/>
      <c r="H232"/>
    </row>
    <row r="233" spans="2:8" ht="14.45" customHeight="1">
      <c r="B233" s="768" t="s">
        <v>4653</v>
      </c>
      <c r="C233" s="768">
        <v>2.7</v>
      </c>
      <c r="H233"/>
    </row>
    <row r="234" spans="2:8" ht="14.45" customHeight="1">
      <c r="B234" s="768" t="s">
        <v>4654</v>
      </c>
      <c r="C234" s="768">
        <v>0.8</v>
      </c>
      <c r="H234"/>
    </row>
    <row r="235" spans="2:8" ht="14.45" customHeight="1">
      <c r="B235" s="768" t="s">
        <v>4655</v>
      </c>
      <c r="C235" s="768">
        <v>1</v>
      </c>
      <c r="H235"/>
    </row>
    <row r="236" spans="2:8" ht="14.45" customHeight="1">
      <c r="B236" s="768" t="s">
        <v>4656</v>
      </c>
      <c r="C236" s="768">
        <v>1.5</v>
      </c>
      <c r="H236"/>
    </row>
    <row r="237" spans="2:8" ht="14.45" customHeight="1">
      <c r="B237" s="768" t="s">
        <v>4657</v>
      </c>
      <c r="C237" s="768">
        <v>1.2</v>
      </c>
      <c r="H237"/>
    </row>
    <row r="238" spans="2:8" ht="14.45" customHeight="1">
      <c r="B238" s="768" t="s">
        <v>856</v>
      </c>
      <c r="C238" s="768">
        <v>0.7</v>
      </c>
      <c r="H238"/>
    </row>
    <row r="239" spans="2:8" ht="14.45" customHeight="1">
      <c r="B239" s="768" t="s">
        <v>851</v>
      </c>
      <c r="C239" s="768">
        <v>2.2000000000000002</v>
      </c>
      <c r="H239"/>
    </row>
    <row r="240" spans="2:8" ht="14.45" customHeight="1">
      <c r="B240" s="768" t="s">
        <v>842</v>
      </c>
      <c r="C240" s="768">
        <v>0.6</v>
      </c>
      <c r="H240"/>
    </row>
    <row r="241" spans="2:8" ht="14.45" customHeight="1">
      <c r="B241" s="768" t="s">
        <v>4658</v>
      </c>
      <c r="C241" s="768">
        <v>1.4</v>
      </c>
      <c r="H241"/>
    </row>
    <row r="242" spans="2:8" ht="14.45" customHeight="1">
      <c r="B242" s="768" t="s">
        <v>4659</v>
      </c>
      <c r="C242" s="768">
        <v>0.9</v>
      </c>
      <c r="H242"/>
    </row>
    <row r="243" spans="2:8" ht="14.45" customHeight="1">
      <c r="B243" s="768" t="s">
        <v>4660</v>
      </c>
      <c r="C243" s="768">
        <v>0.4</v>
      </c>
      <c r="H243"/>
    </row>
    <row r="244" spans="2:8" ht="14.45" customHeight="1">
      <c r="B244" s="768" t="s">
        <v>4661</v>
      </c>
      <c r="C244" s="768">
        <v>0.6</v>
      </c>
      <c r="H244"/>
    </row>
    <row r="245" spans="2:8" ht="14.45" customHeight="1">
      <c r="B245" s="768" t="s">
        <v>4662</v>
      </c>
      <c r="C245" s="768">
        <v>0.7</v>
      </c>
      <c r="H245"/>
    </row>
    <row r="246" spans="2:8" ht="14.45" customHeight="1">
      <c r="B246" s="1228" t="s">
        <v>4663</v>
      </c>
      <c r="C246" s="1228"/>
      <c r="H246"/>
    </row>
    <row r="247" spans="2:8" ht="14.45" customHeight="1">
      <c r="B247" s="768" t="s">
        <v>4664</v>
      </c>
      <c r="C247" s="768">
        <v>1.2</v>
      </c>
      <c r="H247"/>
    </row>
    <row r="248" spans="2:8" ht="14.25">
      <c r="B248" s="768" t="s">
        <v>4665</v>
      </c>
      <c r="C248" s="768">
        <v>1.7</v>
      </c>
      <c r="H248"/>
    </row>
    <row r="249" spans="2:8" ht="14.45" customHeight="1">
      <c r="B249" s="768" t="s">
        <v>4666</v>
      </c>
      <c r="C249" s="768">
        <v>2.1</v>
      </c>
      <c r="H249"/>
    </row>
    <row r="250" spans="2:8" ht="14.45" customHeight="1">
      <c r="B250" s="768" t="s">
        <v>792</v>
      </c>
      <c r="C250" s="768">
        <v>1.2</v>
      </c>
      <c r="H250"/>
    </row>
    <row r="251" spans="2:8" ht="14.45" customHeight="1">
      <c r="B251" s="768" t="s">
        <v>4667</v>
      </c>
      <c r="C251" s="768">
        <v>0.5</v>
      </c>
      <c r="H251"/>
    </row>
    <row r="252" spans="2:8" ht="14.45" customHeight="1">
      <c r="B252" s="768" t="s">
        <v>4668</v>
      </c>
      <c r="C252" s="768">
        <v>1.1000000000000001</v>
      </c>
      <c r="H252"/>
    </row>
    <row r="253" spans="2:8" ht="14.45" customHeight="1">
      <c r="B253" s="768" t="s">
        <v>4669</v>
      </c>
      <c r="C253" s="768">
        <v>1.1000000000000001</v>
      </c>
      <c r="H253"/>
    </row>
    <row r="254" spans="2:8" ht="14.45" customHeight="1">
      <c r="B254" s="1228" t="s">
        <v>203</v>
      </c>
      <c r="C254" s="1228"/>
      <c r="H254"/>
    </row>
    <row r="255" spans="2:8" ht="14.45" customHeight="1">
      <c r="B255" s="768" t="s">
        <v>4670</v>
      </c>
      <c r="C255" s="768">
        <v>1</v>
      </c>
      <c r="H255"/>
    </row>
    <row r="256" spans="2:8" ht="14.45" customHeight="1">
      <c r="B256" s="768" t="s">
        <v>4671</v>
      </c>
      <c r="C256" s="768">
        <v>1.7</v>
      </c>
      <c r="H256"/>
    </row>
    <row r="257" spans="2:8" ht="14.45" customHeight="1">
      <c r="B257" s="768" t="s">
        <v>4672</v>
      </c>
      <c r="C257" s="768">
        <v>1.5</v>
      </c>
      <c r="H257"/>
    </row>
    <row r="258" spans="2:8" ht="14.45" customHeight="1">
      <c r="B258" s="1228" t="s">
        <v>4673</v>
      </c>
      <c r="C258" s="1228"/>
      <c r="H258"/>
    </row>
    <row r="259" spans="2:8" ht="14.45" customHeight="1">
      <c r="B259" s="768" t="s">
        <v>4674</v>
      </c>
      <c r="C259" s="768">
        <v>2.4</v>
      </c>
      <c r="H259"/>
    </row>
    <row r="260" spans="2:8" ht="14.45" customHeight="1">
      <c r="B260" s="768" t="s">
        <v>799</v>
      </c>
      <c r="C260" s="768">
        <v>0.9</v>
      </c>
      <c r="H260"/>
    </row>
    <row r="261" spans="2:8" ht="14.45" customHeight="1">
      <c r="B261" s="1228" t="s">
        <v>212</v>
      </c>
      <c r="C261" s="1228"/>
      <c r="H261"/>
    </row>
    <row r="262" spans="2:8" ht="14.45" customHeight="1">
      <c r="B262" s="768" t="s">
        <v>4675</v>
      </c>
      <c r="C262" s="768">
        <v>1.7</v>
      </c>
      <c r="H262"/>
    </row>
    <row r="263" spans="2:8" ht="14.45" customHeight="1">
      <c r="B263" s="768" t="s">
        <v>838</v>
      </c>
      <c r="C263" s="768">
        <v>1.7</v>
      </c>
      <c r="H263"/>
    </row>
    <row r="264" spans="2:8" ht="14.45" customHeight="1">
      <c r="B264" s="1228" t="s">
        <v>4676</v>
      </c>
      <c r="C264" s="1228"/>
      <c r="H264"/>
    </row>
    <row r="265" spans="2:8" ht="14.45" customHeight="1">
      <c r="B265" s="768" t="s">
        <v>4677</v>
      </c>
      <c r="C265" s="768">
        <v>2.7</v>
      </c>
      <c r="H265"/>
    </row>
    <row r="266" spans="2:8" ht="14.25">
      <c r="B266" s="768" t="s">
        <v>4678</v>
      </c>
      <c r="C266" s="768">
        <v>2.2999999999999998</v>
      </c>
      <c r="H266"/>
    </row>
    <row r="267" spans="2:8" ht="14.25">
      <c r="B267" s="768" t="s">
        <v>4679</v>
      </c>
      <c r="C267" s="768">
        <v>1.4</v>
      </c>
      <c r="H267"/>
    </row>
    <row r="268" spans="2:8" ht="14.45" customHeight="1">
      <c r="B268" s="1228" t="s">
        <v>218</v>
      </c>
      <c r="C268" s="1228"/>
      <c r="H268"/>
    </row>
    <row r="269" spans="2:8" ht="14.45" customHeight="1">
      <c r="B269" s="768" t="s">
        <v>4680</v>
      </c>
      <c r="C269" s="768">
        <v>1.4</v>
      </c>
      <c r="H269"/>
    </row>
    <row r="270" spans="2:8" ht="14.45" customHeight="1">
      <c r="B270" s="768" t="s">
        <v>4681</v>
      </c>
      <c r="C270" s="768">
        <v>0.9</v>
      </c>
      <c r="H270"/>
    </row>
    <row r="271" spans="2:8" ht="14.45" customHeight="1">
      <c r="B271" s="768" t="s">
        <v>4682</v>
      </c>
      <c r="C271" s="768">
        <v>0.2</v>
      </c>
      <c r="H271"/>
    </row>
    <row r="272" spans="2:8" ht="14.45" customHeight="1">
      <c r="B272" s="1228" t="s">
        <v>217</v>
      </c>
      <c r="C272" s="1228"/>
      <c r="H272"/>
    </row>
    <row r="273" spans="1:8" ht="19.899999999999999" customHeight="1">
      <c r="B273" s="768" t="s">
        <v>4683</v>
      </c>
      <c r="C273" s="768">
        <v>0.6</v>
      </c>
      <c r="H273"/>
    </row>
    <row r="274" spans="1:8" ht="14.45" customHeight="1">
      <c r="B274" s="768" t="s">
        <v>4684</v>
      </c>
      <c r="C274" s="768">
        <v>1</v>
      </c>
      <c r="H274"/>
    </row>
    <row r="275" spans="1:8" ht="14.25">
      <c r="B275" s="768" t="s">
        <v>4685</v>
      </c>
      <c r="C275" s="768">
        <v>1.5</v>
      </c>
      <c r="H275"/>
    </row>
    <row r="276" spans="1:8" ht="14.45" customHeight="1">
      <c r="H276"/>
    </row>
    <row r="277" spans="1:8" ht="14.25">
      <c r="H277"/>
    </row>
    <row r="278" spans="1:8" ht="14.25">
      <c r="H278"/>
    </row>
    <row r="279" spans="1:8" ht="14.25">
      <c r="A279" s="202" t="s">
        <v>4686</v>
      </c>
      <c r="H279"/>
    </row>
    <row r="280" spans="1:8" ht="23.45" customHeight="1">
      <c r="B280" s="761" t="s">
        <v>4687</v>
      </c>
      <c r="C280" s="761" t="s">
        <v>415</v>
      </c>
      <c r="D280" s="761" t="s">
        <v>786</v>
      </c>
      <c r="H280"/>
    </row>
    <row r="281" spans="1:8" ht="24" customHeight="1">
      <c r="B281" s="758" t="s">
        <v>4688</v>
      </c>
      <c r="C281" s="758" t="s">
        <v>4689</v>
      </c>
      <c r="D281" s="758" t="s">
        <v>4690</v>
      </c>
      <c r="H281"/>
    </row>
    <row r="282" spans="1:8" ht="24" customHeight="1">
      <c r="B282" s="1219" t="s">
        <v>4691</v>
      </c>
      <c r="C282" s="758" t="s">
        <v>4692</v>
      </c>
      <c r="D282" s="758" t="s">
        <v>4693</v>
      </c>
      <c r="H282"/>
    </row>
    <row r="283" spans="1:8" ht="24" customHeight="1">
      <c r="B283" s="1219"/>
      <c r="C283" s="758" t="s">
        <v>4694</v>
      </c>
      <c r="D283" s="1219" t="s">
        <v>4695</v>
      </c>
      <c r="H283"/>
    </row>
    <row r="284" spans="1:8" ht="24" customHeight="1">
      <c r="B284" s="1219"/>
      <c r="C284" s="758" t="s">
        <v>4696</v>
      </c>
      <c r="D284" s="1219"/>
      <c r="H284"/>
    </row>
    <row r="285" spans="1:8" ht="24" customHeight="1">
      <c r="B285" s="1219"/>
      <c r="C285" s="758" t="s">
        <v>4697</v>
      </c>
      <c r="D285" s="1219"/>
      <c r="H285"/>
    </row>
    <row r="286" spans="1:8" ht="24" customHeight="1">
      <c r="B286" s="1219"/>
      <c r="C286" s="758" t="s">
        <v>4698</v>
      </c>
      <c r="D286" s="758" t="s">
        <v>4699</v>
      </c>
      <c r="H286"/>
    </row>
    <row r="287" spans="1:8" ht="24" customHeight="1">
      <c r="B287" s="1219" t="s">
        <v>4700</v>
      </c>
      <c r="C287" s="758" t="s">
        <v>4701</v>
      </c>
      <c r="D287" s="758" t="s">
        <v>4702</v>
      </c>
      <c r="H287"/>
    </row>
    <row r="288" spans="1:8" ht="24" customHeight="1">
      <c r="B288" s="1219"/>
      <c r="C288" s="758" t="s">
        <v>4703</v>
      </c>
      <c r="D288" s="758" t="s">
        <v>4704</v>
      </c>
      <c r="H288"/>
    </row>
    <row r="289" spans="1:8" ht="24" customHeight="1">
      <c r="B289" s="758" t="s">
        <v>4705</v>
      </c>
      <c r="C289" s="758" t="s">
        <v>4706</v>
      </c>
      <c r="D289" s="758" t="s">
        <v>4707</v>
      </c>
      <c r="H289"/>
    </row>
    <row r="290" spans="1:8" ht="24" customHeight="1">
      <c r="B290" s="1219" t="s">
        <v>4708</v>
      </c>
      <c r="C290" s="758" t="s">
        <v>4709</v>
      </c>
      <c r="D290" s="758" t="s">
        <v>4710</v>
      </c>
      <c r="H290"/>
    </row>
    <row r="291" spans="1:8" ht="24" customHeight="1">
      <c r="B291" s="1219"/>
      <c r="C291" s="758" t="s">
        <v>4711</v>
      </c>
      <c r="D291" s="758" t="s">
        <v>4712</v>
      </c>
      <c r="H291"/>
    </row>
    <row r="292" spans="1:8" ht="37.5">
      <c r="B292" s="1220" t="s">
        <v>4713</v>
      </c>
      <c r="C292" s="1221"/>
      <c r="D292" s="758" t="s">
        <v>4714</v>
      </c>
      <c r="H292"/>
    </row>
    <row r="293" spans="1:8" ht="24" customHeight="1">
      <c r="B293" s="1220" t="s">
        <v>4715</v>
      </c>
      <c r="C293" s="1221"/>
      <c r="D293" s="758" t="s">
        <v>4716</v>
      </c>
      <c r="H293"/>
    </row>
    <row r="294" spans="1:8" ht="24" customHeight="1">
      <c r="B294" s="1220" t="s">
        <v>4717</v>
      </c>
      <c r="C294" s="1221"/>
      <c r="D294" s="758" t="s">
        <v>4718</v>
      </c>
      <c r="H294"/>
    </row>
    <row r="295" spans="1:8" ht="24" customHeight="1">
      <c r="B295" s="1220" t="s">
        <v>4719</v>
      </c>
      <c r="C295" s="1221"/>
      <c r="D295" s="758" t="s">
        <v>4720</v>
      </c>
      <c r="H295"/>
    </row>
    <row r="296" spans="1:8" ht="24" customHeight="1">
      <c r="B296" s="1220" t="s">
        <v>4721</v>
      </c>
      <c r="C296" s="1221"/>
      <c r="D296" s="758" t="s">
        <v>4722</v>
      </c>
      <c r="H296"/>
    </row>
    <row r="297" spans="1:8" ht="24" customHeight="1">
      <c r="B297" s="1220" t="s">
        <v>4723</v>
      </c>
      <c r="C297" s="1221"/>
      <c r="D297" s="758" t="s">
        <v>4724</v>
      </c>
      <c r="H297"/>
    </row>
    <row r="298" spans="1:8" ht="14.45" customHeight="1">
      <c r="H298"/>
    </row>
    <row r="299" spans="1:8" ht="14.45" customHeight="1">
      <c r="H299"/>
    </row>
    <row r="300" spans="1:8" ht="14.45" customHeight="1">
      <c r="A300" s="202" t="s">
        <v>4725</v>
      </c>
      <c r="H300"/>
    </row>
    <row r="301" spans="1:8" ht="14.45" customHeight="1">
      <c r="B301" s="761" t="s">
        <v>446</v>
      </c>
      <c r="C301" s="761" t="s">
        <v>4726</v>
      </c>
      <c r="H301"/>
    </row>
    <row r="302" spans="1:8" ht="14.45" customHeight="1">
      <c r="B302" s="758" t="s">
        <v>183</v>
      </c>
      <c r="C302" s="762">
        <v>0.13</v>
      </c>
      <c r="H302"/>
    </row>
    <row r="303" spans="1:8" ht="14.45" customHeight="1">
      <c r="B303" s="758" t="s">
        <v>186</v>
      </c>
      <c r="C303" s="762">
        <v>0</v>
      </c>
      <c r="H303"/>
    </row>
    <row r="304" spans="1:8" ht="14.45" customHeight="1">
      <c r="B304" s="758" t="s">
        <v>187</v>
      </c>
      <c r="C304" s="762">
        <v>0</v>
      </c>
    </row>
    <row r="305" spans="2:3" ht="14.45" customHeight="1">
      <c r="B305" s="758" t="s">
        <v>185</v>
      </c>
      <c r="C305" s="762">
        <v>0.02</v>
      </c>
    </row>
    <row r="306" spans="2:3" ht="14.45" customHeight="1">
      <c r="B306" s="758" t="s">
        <v>4727</v>
      </c>
      <c r="C306" s="762">
        <v>0</v>
      </c>
    </row>
    <row r="307" spans="2:3" ht="14.45" customHeight="1">
      <c r="B307" s="758" t="s">
        <v>4728</v>
      </c>
      <c r="C307" s="762">
        <v>0</v>
      </c>
    </row>
    <row r="308" spans="2:3" ht="14.45" customHeight="1">
      <c r="B308" s="758" t="s">
        <v>4729</v>
      </c>
      <c r="C308" s="762">
        <v>0</v>
      </c>
    </row>
    <row r="309" spans="2:3" ht="14.45" customHeight="1">
      <c r="B309" s="758" t="s">
        <v>177</v>
      </c>
      <c r="C309" s="762">
        <v>7.0000000000000007E-2</v>
      </c>
    </row>
    <row r="310" spans="2:3" ht="14.45" customHeight="1">
      <c r="B310" s="758" t="s">
        <v>192</v>
      </c>
      <c r="C310" s="762">
        <v>0.01</v>
      </c>
    </row>
    <row r="311" spans="2:3" ht="14.45" customHeight="1">
      <c r="B311" s="758" t="s">
        <v>4730</v>
      </c>
      <c r="C311" s="762">
        <v>0.02</v>
      </c>
    </row>
    <row r="312" spans="2:3" ht="14.45" customHeight="1">
      <c r="B312" s="758" t="s">
        <v>204</v>
      </c>
      <c r="C312" s="762">
        <v>0.02</v>
      </c>
    </row>
    <row r="313" spans="2:3" ht="14.45" customHeight="1">
      <c r="B313" s="758" t="s">
        <v>206</v>
      </c>
      <c r="C313" s="762">
        <v>0</v>
      </c>
    </row>
    <row r="314" spans="2:3" ht="14.45" customHeight="1">
      <c r="B314" s="758" t="s">
        <v>179</v>
      </c>
      <c r="C314" s="762">
        <v>0</v>
      </c>
    </row>
    <row r="315" spans="2:3" ht="14.45" customHeight="1">
      <c r="B315" s="758" t="s">
        <v>212</v>
      </c>
      <c r="C315" s="762">
        <v>0</v>
      </c>
    </row>
    <row r="316" spans="2:3" ht="14.45" customHeight="1">
      <c r="B316" s="758" t="s">
        <v>218</v>
      </c>
      <c r="C316" s="762">
        <v>0.01</v>
      </c>
    </row>
    <row r="317" spans="2:3" ht="14.45" customHeight="1"/>
  </sheetData>
  <sheetProtection password="D773" sheet="1" objects="1" scenarios="1"/>
  <mergeCells count="64">
    <mergeCell ref="B296:C296"/>
    <mergeCell ref="B297:C297"/>
    <mergeCell ref="B3:C3"/>
    <mergeCell ref="B4:C4"/>
    <mergeCell ref="B5:C5"/>
    <mergeCell ref="B6:C6"/>
    <mergeCell ref="B7:C7"/>
    <mergeCell ref="B287:B288"/>
    <mergeCell ref="B290:B291"/>
    <mergeCell ref="B292:C292"/>
    <mergeCell ref="B293:C293"/>
    <mergeCell ref="B294:C294"/>
    <mergeCell ref="B295:C295"/>
    <mergeCell ref="B258:C258"/>
    <mergeCell ref="B261:C261"/>
    <mergeCell ref="B264:C264"/>
    <mergeCell ref="B282:B286"/>
    <mergeCell ref="D283:D285"/>
    <mergeCell ref="B219:C219"/>
    <mergeCell ref="B223:C223"/>
    <mergeCell ref="B228:C228"/>
    <mergeCell ref="B232:C232"/>
    <mergeCell ref="B246:C246"/>
    <mergeCell ref="B254:C254"/>
    <mergeCell ref="E72:E73"/>
    <mergeCell ref="B123:B126"/>
    <mergeCell ref="B127:B130"/>
    <mergeCell ref="B268:C268"/>
    <mergeCell ref="B272:C272"/>
    <mergeCell ref="B216:C216"/>
    <mergeCell ref="B72:B73"/>
    <mergeCell ref="C72:C73"/>
    <mergeCell ref="B63:B64"/>
    <mergeCell ref="C63:C64"/>
    <mergeCell ref="B65:B69"/>
    <mergeCell ref="C65:C69"/>
    <mergeCell ref="B70:B71"/>
    <mergeCell ref="C70:C71"/>
    <mergeCell ref="B60:B62"/>
    <mergeCell ref="C60:C62"/>
    <mergeCell ref="B8:C8"/>
    <mergeCell ref="B9:C9"/>
    <mergeCell ref="B10:C10"/>
    <mergeCell ref="B11:C11"/>
    <mergeCell ref="B12:C12"/>
    <mergeCell ref="A47:E47"/>
    <mergeCell ref="A24:E24"/>
    <mergeCell ref="A13:E13"/>
    <mergeCell ref="D8:E8"/>
    <mergeCell ref="D9:E9"/>
    <mergeCell ref="D10:E10"/>
    <mergeCell ref="D11:E11"/>
    <mergeCell ref="D12:E12"/>
    <mergeCell ref="A48:E54"/>
    <mergeCell ref="A25:E46"/>
    <mergeCell ref="A14:E23"/>
    <mergeCell ref="A1:E1"/>
    <mergeCell ref="A57:D57"/>
    <mergeCell ref="A2:E2"/>
    <mergeCell ref="D4:E4"/>
    <mergeCell ref="D5:E5"/>
    <mergeCell ref="D6:E6"/>
    <mergeCell ref="D7:E7"/>
    <mergeCell ref="D3:E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F9602-40AC-40C2-BFD9-9B40C7B29223}">
  <sheetPr codeName="Sheet18">
    <tabColor theme="8"/>
  </sheetPr>
  <dimension ref="A1:V98"/>
  <sheetViews>
    <sheetView workbookViewId="0"/>
  </sheetViews>
  <sheetFormatPr defaultColWidth="9" defaultRowHeight="15"/>
  <cols>
    <col min="1" max="1" width="3.625" style="343" customWidth="1"/>
    <col min="2" max="2" width="2.625" style="343" customWidth="1"/>
    <col min="3" max="3" width="22.625" style="343" customWidth="1"/>
    <col min="4" max="4" width="10.625" style="344" customWidth="1"/>
    <col min="5" max="5" width="18.625" style="343" customWidth="1"/>
    <col min="6" max="6" width="35.625" style="343" customWidth="1"/>
    <col min="7" max="7" width="75.625" style="343" customWidth="1"/>
    <col min="8" max="8" width="35.625" style="343" customWidth="1"/>
    <col min="9" max="16" width="20.625" style="343" customWidth="1"/>
    <col min="17" max="22" width="9" style="343"/>
  </cols>
  <sheetData>
    <row r="1" spans="1:22" ht="15" customHeight="1"/>
    <row r="2" spans="1:22" s="7" customFormat="1" ht="21.75">
      <c r="A2" s="345"/>
      <c r="B2" s="2" t="s">
        <v>1843</v>
      </c>
      <c r="C2" s="2"/>
      <c r="D2" s="346"/>
      <c r="E2" s="347"/>
      <c r="F2" s="347"/>
      <c r="G2" s="347"/>
      <c r="H2" s="347"/>
      <c r="I2" s="347"/>
      <c r="J2" s="347"/>
      <c r="K2" s="347"/>
      <c r="L2" s="347"/>
      <c r="M2" s="347"/>
      <c r="N2" s="347"/>
      <c r="O2" s="347"/>
      <c r="P2" s="347"/>
      <c r="Q2" s="347"/>
      <c r="R2" s="347"/>
      <c r="S2" s="347"/>
      <c r="T2" s="347"/>
      <c r="U2" s="347"/>
      <c r="V2" s="347"/>
    </row>
    <row r="3" spans="1:22" s="19" customFormat="1" ht="16.5">
      <c r="A3" s="348"/>
      <c r="B3" s="6" t="s">
        <v>4731</v>
      </c>
      <c r="C3" s="6"/>
      <c r="D3" s="349"/>
      <c r="E3" s="350"/>
      <c r="F3" s="350"/>
      <c r="G3" s="350"/>
      <c r="H3" s="350"/>
      <c r="I3" s="350"/>
      <c r="J3" s="350"/>
      <c r="K3" s="350"/>
      <c r="L3" s="350"/>
      <c r="M3" s="350"/>
      <c r="N3" s="350"/>
      <c r="O3" s="350"/>
      <c r="P3" s="350"/>
      <c r="Q3" s="350"/>
      <c r="R3" s="350"/>
      <c r="S3" s="350"/>
      <c r="T3" s="350"/>
      <c r="U3" s="350"/>
      <c r="V3" s="350"/>
    </row>
    <row r="4" spans="1:22" ht="9.75" customHeight="1" thickBot="1"/>
    <row r="5" spans="1:22">
      <c r="B5" s="1237" t="s">
        <v>4732</v>
      </c>
      <c r="C5" s="1238"/>
      <c r="D5" s="1238"/>
      <c r="E5" s="1238"/>
      <c r="F5" s="1238"/>
      <c r="G5" s="1238"/>
      <c r="H5" s="1239"/>
    </row>
    <row r="6" spans="1:22">
      <c r="B6" s="1240"/>
      <c r="C6" s="1241"/>
      <c r="D6" s="1241"/>
      <c r="E6" s="1241"/>
      <c r="F6" s="1241"/>
      <c r="G6" s="1241"/>
      <c r="H6" s="1242"/>
    </row>
    <row r="7" spans="1:22" ht="15.75">
      <c r="B7" s="351" t="s">
        <v>4733</v>
      </c>
      <c r="C7" s="352"/>
      <c r="D7" s="353"/>
      <c r="E7" s="352" t="s">
        <v>4734</v>
      </c>
      <c r="F7" s="352"/>
      <c r="G7" s="352"/>
      <c r="H7" s="354"/>
    </row>
    <row r="8" spans="1:22" ht="15.75">
      <c r="B8" s="351"/>
      <c r="C8" s="772" t="s">
        <v>4735</v>
      </c>
      <c r="D8" s="355" t="str">
        <f>IF(C8="Lighting Inventory",CONCATENATE(LEFT(C8,1),":",LEFT(C10,2)),CONCATENATE(LEFT(C8,1),":",C10))</f>
        <v>F:K9</v>
      </c>
      <c r="E8" s="1243" t="str">
        <f>IFERROR(IF(C8="Lighting Inventory",VLOOKUP(D8,Manual!B:N,4,FALSE),VLOOKUP(D8,Manual!B:N,6,FALSE)),"Cell is neither available for input, nor a calculated value.")</f>
        <v>For cell K9, input the cut sheet verified wattage for the custom LED fixture.</v>
      </c>
      <c r="F8" s="1243"/>
      <c r="G8" s="1243"/>
      <c r="H8" s="1244"/>
    </row>
    <row r="9" spans="1:22" ht="15.75">
      <c r="B9" s="351" t="s">
        <v>4736</v>
      </c>
      <c r="C9" s="352"/>
      <c r="D9" s="353"/>
      <c r="E9" s="1243"/>
      <c r="F9" s="1243"/>
      <c r="G9" s="1243"/>
      <c r="H9" s="1244"/>
    </row>
    <row r="10" spans="1:22" ht="15.75">
      <c r="B10" s="351"/>
      <c r="C10" s="772" t="s">
        <v>4737</v>
      </c>
      <c r="D10" s="353"/>
      <c r="E10" s="1243"/>
      <c r="F10" s="1243"/>
      <c r="G10" s="1243"/>
      <c r="H10" s="1244"/>
    </row>
    <row r="11" spans="1:22" ht="15.75">
      <c r="B11" s="351"/>
      <c r="C11" s="356"/>
      <c r="D11" s="353"/>
      <c r="E11" s="1243"/>
      <c r="F11" s="1243"/>
      <c r="G11" s="1243"/>
      <c r="H11" s="1244"/>
    </row>
    <row r="12" spans="1:22" ht="9.75" customHeight="1" thickBot="1">
      <c r="B12" s="357"/>
      <c r="C12" s="358"/>
      <c r="D12" s="359"/>
      <c r="E12" s="358"/>
      <c r="F12" s="358"/>
      <c r="G12" s="358"/>
      <c r="H12" s="360"/>
    </row>
    <row r="13" spans="1:22" ht="15.75" thickBot="1"/>
    <row r="14" spans="1:22" ht="16.5" thickBot="1">
      <c r="B14" s="1245" t="s">
        <v>4738</v>
      </c>
      <c r="C14" s="1246"/>
      <c r="D14" s="361" t="s">
        <v>4739</v>
      </c>
      <c r="E14" s="361" t="s">
        <v>4740</v>
      </c>
      <c r="F14" s="361" t="s">
        <v>4741</v>
      </c>
      <c r="G14" s="361" t="s">
        <v>2</v>
      </c>
      <c r="H14" s="362" t="s">
        <v>4742</v>
      </c>
    </row>
    <row r="15" spans="1:22" ht="48" customHeight="1">
      <c r="B15" s="1247" t="s">
        <v>4743</v>
      </c>
      <c r="C15" s="1248"/>
      <c r="D15" s="773" t="s">
        <v>4744</v>
      </c>
      <c r="E15" s="774" t="s">
        <v>589</v>
      </c>
      <c r="F15" s="774" t="s">
        <v>1885</v>
      </c>
      <c r="G15" s="775" t="s">
        <v>4745</v>
      </c>
      <c r="H15" s="776" t="s">
        <v>764</v>
      </c>
    </row>
    <row r="16" spans="1:22" ht="48" customHeight="1">
      <c r="B16" s="1231" t="s">
        <v>4743</v>
      </c>
      <c r="C16" s="1232"/>
      <c r="D16" s="777" t="s">
        <v>4746</v>
      </c>
      <c r="E16" s="778" t="s">
        <v>589</v>
      </c>
      <c r="F16" s="778" t="s">
        <v>1890</v>
      </c>
      <c r="G16" s="779" t="s">
        <v>4747</v>
      </c>
      <c r="H16" s="776" t="s">
        <v>764</v>
      </c>
    </row>
    <row r="17" spans="2:8" ht="48" customHeight="1">
      <c r="B17" s="1231" t="s">
        <v>4743</v>
      </c>
      <c r="C17" s="1232"/>
      <c r="D17" s="777" t="s">
        <v>4748</v>
      </c>
      <c r="E17" s="778" t="s">
        <v>589</v>
      </c>
      <c r="F17" s="778" t="s">
        <v>1895</v>
      </c>
      <c r="G17" s="779" t="s">
        <v>4749</v>
      </c>
      <c r="H17" s="776" t="s">
        <v>764</v>
      </c>
    </row>
    <row r="18" spans="2:8" ht="48" customHeight="1">
      <c r="B18" s="1231" t="s">
        <v>4743</v>
      </c>
      <c r="C18" s="1232"/>
      <c r="D18" s="777" t="s">
        <v>4750</v>
      </c>
      <c r="E18" s="778" t="s">
        <v>589</v>
      </c>
      <c r="F18" s="778" t="s">
        <v>1899</v>
      </c>
      <c r="G18" s="779" t="s">
        <v>4751</v>
      </c>
      <c r="H18" s="776" t="s">
        <v>764</v>
      </c>
    </row>
    <row r="19" spans="2:8" ht="48" customHeight="1">
      <c r="B19" s="1231" t="s">
        <v>4743</v>
      </c>
      <c r="C19" s="1232"/>
      <c r="D19" s="777" t="s">
        <v>4752</v>
      </c>
      <c r="E19" s="778" t="s">
        <v>589</v>
      </c>
      <c r="F19" s="778" t="s">
        <v>1904</v>
      </c>
      <c r="G19" s="779" t="s">
        <v>4753</v>
      </c>
      <c r="H19" s="776" t="s">
        <v>764</v>
      </c>
    </row>
    <row r="20" spans="2:8" ht="48" customHeight="1">
      <c r="B20" s="1231" t="s">
        <v>4743</v>
      </c>
      <c r="C20" s="1232"/>
      <c r="D20" s="777" t="s">
        <v>4754</v>
      </c>
      <c r="E20" s="778" t="s">
        <v>589</v>
      </c>
      <c r="F20" s="778" t="s">
        <v>1909</v>
      </c>
      <c r="G20" s="779" t="s">
        <v>4755</v>
      </c>
      <c r="H20" s="776" t="s">
        <v>764</v>
      </c>
    </row>
    <row r="21" spans="2:8" ht="48" customHeight="1">
      <c r="B21" s="1231" t="s">
        <v>4743</v>
      </c>
      <c r="C21" s="1232"/>
      <c r="D21" s="777" t="s">
        <v>4756</v>
      </c>
      <c r="E21" s="778" t="s">
        <v>589</v>
      </c>
      <c r="F21" s="778" t="s">
        <v>1914</v>
      </c>
      <c r="G21" s="779" t="s">
        <v>4757</v>
      </c>
      <c r="H21" s="776" t="s">
        <v>764</v>
      </c>
    </row>
    <row r="22" spans="2:8" ht="48" customHeight="1">
      <c r="B22" s="1231" t="s">
        <v>4743</v>
      </c>
      <c r="C22" s="1232"/>
      <c r="D22" s="777" t="s">
        <v>4758</v>
      </c>
      <c r="E22" s="778" t="s">
        <v>589</v>
      </c>
      <c r="F22" s="778" t="s">
        <v>1919</v>
      </c>
      <c r="G22" s="779" t="s">
        <v>4759</v>
      </c>
      <c r="H22" s="776" t="s">
        <v>764</v>
      </c>
    </row>
    <row r="23" spans="2:8" ht="48" customHeight="1">
      <c r="B23" s="1231" t="s">
        <v>4743</v>
      </c>
      <c r="C23" s="1232"/>
      <c r="D23" s="777" t="s">
        <v>4760</v>
      </c>
      <c r="E23" s="778" t="s">
        <v>589</v>
      </c>
      <c r="F23" s="778" t="s">
        <v>1924</v>
      </c>
      <c r="G23" s="779" t="s">
        <v>4761</v>
      </c>
      <c r="H23" s="776" t="s">
        <v>764</v>
      </c>
    </row>
    <row r="24" spans="2:8" ht="48" customHeight="1">
      <c r="B24" s="1231" t="s">
        <v>4743</v>
      </c>
      <c r="C24" s="1232"/>
      <c r="D24" s="777" t="s">
        <v>4762</v>
      </c>
      <c r="E24" s="778" t="s">
        <v>589</v>
      </c>
      <c r="F24" s="778" t="s">
        <v>1887</v>
      </c>
      <c r="G24" s="779" t="s">
        <v>4763</v>
      </c>
      <c r="H24" s="776" t="s">
        <v>764</v>
      </c>
    </row>
    <row r="25" spans="2:8" ht="48" customHeight="1">
      <c r="B25" s="1231" t="s">
        <v>4743</v>
      </c>
      <c r="C25" s="1232"/>
      <c r="D25" s="777" t="s">
        <v>4764</v>
      </c>
      <c r="E25" s="778" t="s">
        <v>589</v>
      </c>
      <c r="F25" s="778" t="s">
        <v>1892</v>
      </c>
      <c r="G25" s="779" t="s">
        <v>4765</v>
      </c>
      <c r="H25" s="776" t="s">
        <v>764</v>
      </c>
    </row>
    <row r="26" spans="2:8" ht="48" customHeight="1">
      <c r="B26" s="1231" t="s">
        <v>4743</v>
      </c>
      <c r="C26" s="1232"/>
      <c r="D26" s="777" t="s">
        <v>4766</v>
      </c>
      <c r="E26" s="778" t="s">
        <v>589</v>
      </c>
      <c r="F26" s="778" t="s">
        <v>664</v>
      </c>
      <c r="G26" s="779" t="s">
        <v>4767</v>
      </c>
      <c r="H26" s="776" t="s">
        <v>764</v>
      </c>
    </row>
    <row r="27" spans="2:8" ht="48" customHeight="1">
      <c r="B27" s="1231" t="s">
        <v>4743</v>
      </c>
      <c r="C27" s="1232"/>
      <c r="D27" s="777" t="s">
        <v>4768</v>
      </c>
      <c r="E27" s="778" t="s">
        <v>589</v>
      </c>
      <c r="F27" s="778" t="s">
        <v>1901</v>
      </c>
      <c r="G27" s="779" t="s">
        <v>4769</v>
      </c>
      <c r="H27" s="776" t="s">
        <v>764</v>
      </c>
    </row>
    <row r="28" spans="2:8" ht="48" customHeight="1">
      <c r="B28" s="1231" t="s">
        <v>4743</v>
      </c>
      <c r="C28" s="1232"/>
      <c r="D28" s="777" t="s">
        <v>4770</v>
      </c>
      <c r="E28" s="778" t="s">
        <v>589</v>
      </c>
      <c r="F28" s="778" t="s">
        <v>1906</v>
      </c>
      <c r="G28" s="779" t="s">
        <v>4771</v>
      </c>
      <c r="H28" s="780" t="s">
        <v>4772</v>
      </c>
    </row>
    <row r="29" spans="2:8" ht="48" customHeight="1">
      <c r="B29" s="1231" t="s">
        <v>4743</v>
      </c>
      <c r="C29" s="1232"/>
      <c r="D29" s="777" t="s">
        <v>4773</v>
      </c>
      <c r="E29" s="778" t="s">
        <v>589</v>
      </c>
      <c r="F29" s="778" t="s">
        <v>1911</v>
      </c>
      <c r="G29" s="779" t="s">
        <v>4774</v>
      </c>
      <c r="H29" s="776" t="s">
        <v>764</v>
      </c>
    </row>
    <row r="30" spans="2:8" ht="48" customHeight="1">
      <c r="B30" s="1231" t="s">
        <v>4743</v>
      </c>
      <c r="C30" s="1232"/>
      <c r="D30" s="777" t="s">
        <v>4775</v>
      </c>
      <c r="E30" s="778" t="s">
        <v>589</v>
      </c>
      <c r="F30" s="778" t="s">
        <v>1916</v>
      </c>
      <c r="G30" s="779" t="s">
        <v>4776</v>
      </c>
      <c r="H30" s="776" t="s">
        <v>764</v>
      </c>
    </row>
    <row r="31" spans="2:8" ht="48" customHeight="1">
      <c r="B31" s="1231" t="s">
        <v>4743</v>
      </c>
      <c r="C31" s="1232"/>
      <c r="D31" s="777" t="s">
        <v>4777</v>
      </c>
      <c r="E31" s="778" t="s">
        <v>589</v>
      </c>
      <c r="F31" s="779" t="s">
        <v>634</v>
      </c>
      <c r="G31" s="779" t="s">
        <v>4778</v>
      </c>
      <c r="H31" s="781" t="s">
        <v>764</v>
      </c>
    </row>
    <row r="32" spans="2:8" ht="48" customHeight="1">
      <c r="B32" s="1231" t="s">
        <v>4743</v>
      </c>
      <c r="C32" s="1232"/>
      <c r="D32" s="777" t="s">
        <v>4779</v>
      </c>
      <c r="E32" s="778" t="s">
        <v>589</v>
      </c>
      <c r="F32" s="779" t="s">
        <v>4780</v>
      </c>
      <c r="G32" s="779" t="s">
        <v>4781</v>
      </c>
      <c r="H32" s="780" t="s">
        <v>4772</v>
      </c>
    </row>
    <row r="33" spans="2:8" ht="48" customHeight="1">
      <c r="B33" s="1231" t="s">
        <v>4743</v>
      </c>
      <c r="C33" s="1232"/>
      <c r="D33" s="777" t="s">
        <v>4782</v>
      </c>
      <c r="E33" s="778" t="s">
        <v>589</v>
      </c>
      <c r="F33" s="778" t="s">
        <v>1953</v>
      </c>
      <c r="G33" s="779" t="s">
        <v>4783</v>
      </c>
      <c r="H33" s="780" t="s">
        <v>4772</v>
      </c>
    </row>
    <row r="34" spans="2:8" ht="48" customHeight="1">
      <c r="B34" s="1231" t="s">
        <v>4743</v>
      </c>
      <c r="C34" s="1232"/>
      <c r="D34" s="777" t="s">
        <v>4784</v>
      </c>
      <c r="E34" s="778" t="s">
        <v>589</v>
      </c>
      <c r="F34" s="778" t="s">
        <v>497</v>
      </c>
      <c r="G34" s="779" t="s">
        <v>4785</v>
      </c>
      <c r="H34" s="782" t="s">
        <v>764</v>
      </c>
    </row>
    <row r="35" spans="2:8" ht="48" customHeight="1">
      <c r="B35" s="1231" t="s">
        <v>4743</v>
      </c>
      <c r="C35" s="1232"/>
      <c r="D35" s="777" t="s">
        <v>4786</v>
      </c>
      <c r="E35" s="778" t="s">
        <v>589</v>
      </c>
      <c r="F35" s="778" t="s">
        <v>643</v>
      </c>
      <c r="G35" s="779" t="s">
        <v>4787</v>
      </c>
      <c r="H35" s="780" t="s">
        <v>4772</v>
      </c>
    </row>
    <row r="36" spans="2:8" ht="48" customHeight="1">
      <c r="B36" s="1231" t="s">
        <v>4743</v>
      </c>
      <c r="C36" s="1232"/>
      <c r="D36" s="777" t="s">
        <v>4788</v>
      </c>
      <c r="E36" s="778" t="s">
        <v>589</v>
      </c>
      <c r="F36" s="778" t="s">
        <v>644</v>
      </c>
      <c r="G36" s="779" t="s">
        <v>4789</v>
      </c>
      <c r="H36" s="782" t="s">
        <v>764</v>
      </c>
    </row>
    <row r="37" spans="2:8" ht="48" customHeight="1">
      <c r="B37" s="1231" t="s">
        <v>4743</v>
      </c>
      <c r="C37" s="1232"/>
      <c r="D37" s="777" t="s">
        <v>4790</v>
      </c>
      <c r="E37" s="778" t="s">
        <v>589</v>
      </c>
      <c r="F37" s="778" t="s">
        <v>645</v>
      </c>
      <c r="G37" s="779" t="s">
        <v>4791</v>
      </c>
      <c r="H37" s="782" t="s">
        <v>764</v>
      </c>
    </row>
    <row r="38" spans="2:8" ht="48" customHeight="1">
      <c r="B38" s="1231" t="s">
        <v>4743</v>
      </c>
      <c r="C38" s="1232"/>
      <c r="D38" s="777" t="s">
        <v>4792</v>
      </c>
      <c r="E38" s="778" t="s">
        <v>589</v>
      </c>
      <c r="F38" s="778" t="s">
        <v>1964</v>
      </c>
      <c r="G38" s="779" t="s">
        <v>4793</v>
      </c>
      <c r="H38" s="782" t="s">
        <v>764</v>
      </c>
    </row>
    <row r="39" spans="2:8" ht="48" customHeight="1">
      <c r="B39" s="1231" t="s">
        <v>4743</v>
      </c>
      <c r="C39" s="1232"/>
      <c r="D39" s="777" t="s">
        <v>4794</v>
      </c>
      <c r="E39" s="778" t="s">
        <v>589</v>
      </c>
      <c r="F39" s="778" t="s">
        <v>646</v>
      </c>
      <c r="G39" s="779" t="s">
        <v>4795</v>
      </c>
      <c r="H39" s="780" t="s">
        <v>4772</v>
      </c>
    </row>
    <row r="40" spans="2:8" ht="48" customHeight="1">
      <c r="B40" s="1231" t="s">
        <v>4743</v>
      </c>
      <c r="C40" s="1232"/>
      <c r="D40" s="777" t="s">
        <v>4796</v>
      </c>
      <c r="E40" s="778" t="s">
        <v>592</v>
      </c>
      <c r="F40" s="778" t="s">
        <v>647</v>
      </c>
      <c r="G40" s="779" t="s">
        <v>4797</v>
      </c>
      <c r="H40" s="780" t="s">
        <v>4772</v>
      </c>
    </row>
    <row r="41" spans="2:8" ht="48" customHeight="1">
      <c r="B41" s="1231" t="s">
        <v>4743</v>
      </c>
      <c r="C41" s="1232"/>
      <c r="D41" s="777" t="s">
        <v>4798</v>
      </c>
      <c r="E41" s="778" t="s">
        <v>592</v>
      </c>
      <c r="F41" s="778" t="s">
        <v>1971</v>
      </c>
      <c r="G41" s="779" t="s">
        <v>4799</v>
      </c>
      <c r="H41" s="780" t="s">
        <v>4772</v>
      </c>
    </row>
    <row r="42" spans="2:8" ht="48" customHeight="1">
      <c r="B42" s="783" t="s">
        <v>4743</v>
      </c>
      <c r="C42" s="784"/>
      <c r="D42" s="785" t="s">
        <v>4800</v>
      </c>
      <c r="E42" s="786" t="s">
        <v>589</v>
      </c>
      <c r="F42" s="786" t="s">
        <v>1977</v>
      </c>
      <c r="G42" s="787" t="s">
        <v>4801</v>
      </c>
      <c r="H42" s="788" t="s">
        <v>4802</v>
      </c>
    </row>
    <row r="43" spans="2:8" ht="48" customHeight="1">
      <c r="B43" s="1231" t="s">
        <v>4743</v>
      </c>
      <c r="C43" s="1232"/>
      <c r="D43" s="777" t="s">
        <v>4803</v>
      </c>
      <c r="E43" s="778" t="s">
        <v>592</v>
      </c>
      <c r="F43" s="778" t="s">
        <v>1974</v>
      </c>
      <c r="G43" s="779" t="s">
        <v>4804</v>
      </c>
      <c r="H43" s="780" t="s">
        <v>4772</v>
      </c>
    </row>
    <row r="44" spans="2:8" ht="48" customHeight="1">
      <c r="B44" s="1231" t="s">
        <v>4743</v>
      </c>
      <c r="C44" s="1232"/>
      <c r="D44" s="777" t="s">
        <v>4805</v>
      </c>
      <c r="E44" s="778" t="s">
        <v>589</v>
      </c>
      <c r="F44" s="778" t="s">
        <v>599</v>
      </c>
      <c r="G44" s="779" t="s">
        <v>4806</v>
      </c>
      <c r="H44" s="780" t="s">
        <v>4807</v>
      </c>
    </row>
    <row r="45" spans="2:8" ht="48" customHeight="1">
      <c r="B45" s="1231" t="s">
        <v>4743</v>
      </c>
      <c r="C45" s="1232"/>
      <c r="D45" s="777" t="s">
        <v>4808</v>
      </c>
      <c r="E45" s="778" t="s">
        <v>589</v>
      </c>
      <c r="F45" s="778" t="s">
        <v>603</v>
      </c>
      <c r="G45" s="779" t="s">
        <v>4809</v>
      </c>
      <c r="H45" s="780" t="s">
        <v>4807</v>
      </c>
    </row>
    <row r="46" spans="2:8" ht="48" customHeight="1">
      <c r="B46" s="1231" t="s">
        <v>4743</v>
      </c>
      <c r="C46" s="1232"/>
      <c r="D46" s="777" t="s">
        <v>4810</v>
      </c>
      <c r="E46" s="778" t="s">
        <v>589</v>
      </c>
      <c r="F46" s="778" t="s">
        <v>604</v>
      </c>
      <c r="G46" s="779" t="s">
        <v>4811</v>
      </c>
      <c r="H46" s="780" t="s">
        <v>4807</v>
      </c>
    </row>
    <row r="47" spans="2:8" ht="48" customHeight="1">
      <c r="B47" s="1231" t="s">
        <v>4743</v>
      </c>
      <c r="C47" s="1232"/>
      <c r="D47" s="777" t="s">
        <v>4812</v>
      </c>
      <c r="E47" s="778" t="s">
        <v>592</v>
      </c>
      <c r="F47" s="778" t="s">
        <v>635</v>
      </c>
      <c r="G47" s="779" t="s">
        <v>4813</v>
      </c>
      <c r="H47" s="782" t="s">
        <v>764</v>
      </c>
    </row>
    <row r="48" spans="2:8" ht="48" customHeight="1">
      <c r="B48" s="1231" t="s">
        <v>4743</v>
      </c>
      <c r="C48" s="1232"/>
      <c r="D48" s="777" t="s">
        <v>4814</v>
      </c>
      <c r="E48" s="778" t="s">
        <v>592</v>
      </c>
      <c r="F48" s="778" t="s">
        <v>636</v>
      </c>
      <c r="G48" s="779" t="s">
        <v>4815</v>
      </c>
      <c r="H48" s="782" t="s">
        <v>764</v>
      </c>
    </row>
    <row r="49" spans="2:8" ht="48" customHeight="1">
      <c r="B49" s="1231" t="s">
        <v>4743</v>
      </c>
      <c r="C49" s="1232"/>
      <c r="D49" s="777" t="s">
        <v>4816</v>
      </c>
      <c r="E49" s="778" t="s">
        <v>592</v>
      </c>
      <c r="F49" s="778" t="s">
        <v>1991</v>
      </c>
      <c r="G49" s="779" t="s">
        <v>4817</v>
      </c>
      <c r="H49" s="782" t="s">
        <v>764</v>
      </c>
    </row>
    <row r="50" spans="2:8" ht="48" customHeight="1">
      <c r="B50" s="1231" t="s">
        <v>4743</v>
      </c>
      <c r="C50" s="1232"/>
      <c r="D50" s="777" t="s">
        <v>4818</v>
      </c>
      <c r="E50" s="778" t="s">
        <v>592</v>
      </c>
      <c r="F50" s="778" t="s">
        <v>1994</v>
      </c>
      <c r="G50" s="779" t="s">
        <v>4819</v>
      </c>
      <c r="H50" s="782" t="s">
        <v>764</v>
      </c>
    </row>
    <row r="51" spans="2:8" ht="48" customHeight="1">
      <c r="B51" s="1231" t="s">
        <v>4743</v>
      </c>
      <c r="C51" s="1232"/>
      <c r="D51" s="777" t="s">
        <v>4820</v>
      </c>
      <c r="E51" s="778" t="s">
        <v>592</v>
      </c>
      <c r="F51" s="778" t="s">
        <v>1997</v>
      </c>
      <c r="G51" s="779" t="s">
        <v>4821</v>
      </c>
      <c r="H51" s="782" t="s">
        <v>764</v>
      </c>
    </row>
    <row r="52" spans="2:8" ht="48" customHeight="1">
      <c r="B52" s="1231" t="s">
        <v>4743</v>
      </c>
      <c r="C52" s="1232"/>
      <c r="D52" s="777" t="s">
        <v>4822</v>
      </c>
      <c r="E52" s="778" t="s">
        <v>592</v>
      </c>
      <c r="F52" s="778" t="s">
        <v>2000</v>
      </c>
      <c r="G52" s="779" t="s">
        <v>4823</v>
      </c>
      <c r="H52" s="782" t="s">
        <v>764</v>
      </c>
    </row>
    <row r="53" spans="2:8" ht="48" customHeight="1">
      <c r="B53" s="1231" t="s">
        <v>4743</v>
      </c>
      <c r="C53" s="1232"/>
      <c r="D53" s="777" t="s">
        <v>4824</v>
      </c>
      <c r="E53" s="778" t="s">
        <v>589</v>
      </c>
      <c r="F53" s="778" t="s">
        <v>626</v>
      </c>
      <c r="G53" s="779" t="s">
        <v>4825</v>
      </c>
      <c r="H53" s="780" t="s">
        <v>4807</v>
      </c>
    </row>
    <row r="54" spans="2:8" ht="48" customHeight="1">
      <c r="B54" s="1231" t="s">
        <v>4743</v>
      </c>
      <c r="C54" s="1232"/>
      <c r="D54" s="777" t="s">
        <v>4826</v>
      </c>
      <c r="E54" s="778" t="s">
        <v>589</v>
      </c>
      <c r="F54" s="778" t="s">
        <v>629</v>
      </c>
      <c r="G54" s="779" t="s">
        <v>4827</v>
      </c>
      <c r="H54" s="780" t="s">
        <v>4807</v>
      </c>
    </row>
    <row r="55" spans="2:8" ht="48" customHeight="1">
      <c r="B55" s="1231" t="s">
        <v>4743</v>
      </c>
      <c r="C55" s="1232"/>
      <c r="D55" s="777" t="s">
        <v>4828</v>
      </c>
      <c r="E55" s="778" t="s">
        <v>589</v>
      </c>
      <c r="F55" s="778" t="s">
        <v>632</v>
      </c>
      <c r="G55" s="779" t="s">
        <v>4829</v>
      </c>
      <c r="H55" s="780" t="s">
        <v>4830</v>
      </c>
    </row>
    <row r="56" spans="2:8" ht="48" customHeight="1">
      <c r="B56" s="1231" t="s">
        <v>4831</v>
      </c>
      <c r="C56" s="1232"/>
      <c r="D56" s="777" t="s">
        <v>4832</v>
      </c>
      <c r="E56" s="778" t="s">
        <v>589</v>
      </c>
      <c r="F56" s="778" t="s">
        <v>497</v>
      </c>
      <c r="G56" s="779" t="s">
        <v>4833</v>
      </c>
      <c r="H56" s="782" t="s">
        <v>764</v>
      </c>
    </row>
    <row r="57" spans="2:8" ht="48" customHeight="1">
      <c r="B57" s="1231" t="s">
        <v>4831</v>
      </c>
      <c r="C57" s="1232"/>
      <c r="D57" s="777" t="s">
        <v>4744</v>
      </c>
      <c r="E57" s="778" t="s">
        <v>589</v>
      </c>
      <c r="F57" s="778" t="s">
        <v>4834</v>
      </c>
      <c r="G57" s="779" t="s">
        <v>4835</v>
      </c>
      <c r="H57" s="782" t="s">
        <v>764</v>
      </c>
    </row>
    <row r="58" spans="2:8" ht="48" customHeight="1">
      <c r="B58" s="1231" t="s">
        <v>4831</v>
      </c>
      <c r="C58" s="1232"/>
      <c r="D58" s="777" t="s">
        <v>4836</v>
      </c>
      <c r="E58" s="778" t="s">
        <v>589</v>
      </c>
      <c r="F58" s="778" t="s">
        <v>4837</v>
      </c>
      <c r="G58" s="779" t="s">
        <v>4838</v>
      </c>
      <c r="H58" s="780" t="s">
        <v>4839</v>
      </c>
    </row>
    <row r="59" spans="2:8" ht="48" customHeight="1">
      <c r="B59" s="1231" t="s">
        <v>4831</v>
      </c>
      <c r="C59" s="1232"/>
      <c r="D59" s="777" t="s">
        <v>4840</v>
      </c>
      <c r="E59" s="778" t="s">
        <v>592</v>
      </c>
      <c r="F59" s="778" t="s">
        <v>4841</v>
      </c>
      <c r="G59" s="779" t="s">
        <v>4842</v>
      </c>
      <c r="H59" s="780" t="s">
        <v>4839</v>
      </c>
    </row>
    <row r="60" spans="2:8" ht="48" customHeight="1">
      <c r="B60" s="1231" t="s">
        <v>4831</v>
      </c>
      <c r="C60" s="1232"/>
      <c r="D60" s="777" t="s">
        <v>4843</v>
      </c>
      <c r="E60" s="778" t="s">
        <v>589</v>
      </c>
      <c r="F60" s="778" t="s">
        <v>4844</v>
      </c>
      <c r="G60" s="779" t="s">
        <v>4845</v>
      </c>
      <c r="H60" s="780" t="s">
        <v>4839</v>
      </c>
    </row>
    <row r="61" spans="2:8" ht="48" customHeight="1">
      <c r="B61" s="1231" t="s">
        <v>4831</v>
      </c>
      <c r="C61" s="1232"/>
      <c r="D61" s="777" t="s">
        <v>4846</v>
      </c>
      <c r="E61" s="778" t="s">
        <v>592</v>
      </c>
      <c r="F61" s="778" t="s">
        <v>4847</v>
      </c>
      <c r="G61" s="779" t="s">
        <v>4848</v>
      </c>
      <c r="H61" s="780" t="s">
        <v>4839</v>
      </c>
    </row>
    <row r="62" spans="2:8" ht="48" customHeight="1">
      <c r="B62" s="1231" t="s">
        <v>4831</v>
      </c>
      <c r="C62" s="1232"/>
      <c r="D62" s="777" t="s">
        <v>4849</v>
      </c>
      <c r="E62" s="778" t="s">
        <v>589</v>
      </c>
      <c r="F62" s="778" t="s">
        <v>4850</v>
      </c>
      <c r="G62" s="779" t="s">
        <v>4851</v>
      </c>
      <c r="H62" s="780" t="s">
        <v>4839</v>
      </c>
    </row>
    <row r="63" spans="2:8" ht="48" customHeight="1">
      <c r="B63" s="1231" t="s">
        <v>4831</v>
      </c>
      <c r="C63" s="1232"/>
      <c r="D63" s="777" t="s">
        <v>4852</v>
      </c>
      <c r="E63" s="778" t="s">
        <v>592</v>
      </c>
      <c r="F63" s="778" t="s">
        <v>4853</v>
      </c>
      <c r="G63" s="779" t="s">
        <v>4854</v>
      </c>
      <c r="H63" s="780" t="s">
        <v>4839</v>
      </c>
    </row>
    <row r="64" spans="2:8" ht="48" customHeight="1">
      <c r="B64" s="1231" t="s">
        <v>4831</v>
      </c>
      <c r="C64" s="1232"/>
      <c r="D64" s="777" t="s">
        <v>4855</v>
      </c>
      <c r="E64" s="778" t="s">
        <v>592</v>
      </c>
      <c r="F64" s="778" t="s">
        <v>4856</v>
      </c>
      <c r="G64" s="779" t="s">
        <v>4857</v>
      </c>
      <c r="H64" s="780" t="s">
        <v>4839</v>
      </c>
    </row>
    <row r="65" spans="2:8" ht="48" customHeight="1">
      <c r="B65" s="1231" t="s">
        <v>4831</v>
      </c>
      <c r="C65" s="1232"/>
      <c r="D65" s="777" t="s">
        <v>4855</v>
      </c>
      <c r="E65" s="778" t="s">
        <v>592</v>
      </c>
      <c r="F65" s="778" t="s">
        <v>4858</v>
      </c>
      <c r="G65" s="779" t="s">
        <v>4859</v>
      </c>
      <c r="H65" s="780" t="s">
        <v>4860</v>
      </c>
    </row>
    <row r="66" spans="2:8" ht="48" customHeight="1">
      <c r="B66" s="1231" t="s">
        <v>4831</v>
      </c>
      <c r="C66" s="1232"/>
      <c r="D66" s="777" t="s">
        <v>4861</v>
      </c>
      <c r="E66" s="778" t="s">
        <v>592</v>
      </c>
      <c r="F66" s="778" t="s">
        <v>4862</v>
      </c>
      <c r="G66" s="779" t="s">
        <v>4863</v>
      </c>
      <c r="H66" s="780" t="s">
        <v>4839</v>
      </c>
    </row>
    <row r="67" spans="2:8" ht="48" customHeight="1">
      <c r="B67" s="1231" t="s">
        <v>4831</v>
      </c>
      <c r="C67" s="1232"/>
      <c r="D67" s="777" t="s">
        <v>4861</v>
      </c>
      <c r="E67" s="778" t="s">
        <v>592</v>
      </c>
      <c r="F67" s="778" t="s">
        <v>4864</v>
      </c>
      <c r="G67" s="779" t="s">
        <v>4865</v>
      </c>
      <c r="H67" s="780" t="s">
        <v>4860</v>
      </c>
    </row>
    <row r="68" spans="2:8" ht="48" customHeight="1">
      <c r="B68" s="1231" t="s">
        <v>4831</v>
      </c>
      <c r="C68" s="1232"/>
      <c r="D68" s="777" t="s">
        <v>4866</v>
      </c>
      <c r="E68" s="778" t="s">
        <v>589</v>
      </c>
      <c r="F68" s="778" t="s">
        <v>4867</v>
      </c>
      <c r="G68" s="779" t="s">
        <v>4868</v>
      </c>
      <c r="H68" s="782" t="s">
        <v>764</v>
      </c>
    </row>
    <row r="69" spans="2:8" ht="48" customHeight="1">
      <c r="B69" s="1231" t="s">
        <v>4831</v>
      </c>
      <c r="C69" s="1232"/>
      <c r="D69" s="777" t="s">
        <v>4869</v>
      </c>
      <c r="E69" s="778" t="s">
        <v>592</v>
      </c>
      <c r="F69" s="778" t="s">
        <v>4870</v>
      </c>
      <c r="G69" s="779" t="s">
        <v>4871</v>
      </c>
      <c r="H69" s="782" t="s">
        <v>764</v>
      </c>
    </row>
    <row r="70" spans="2:8" ht="48" customHeight="1">
      <c r="B70" s="1231" t="s">
        <v>4831</v>
      </c>
      <c r="C70" s="1232"/>
      <c r="D70" s="777" t="s">
        <v>4872</v>
      </c>
      <c r="E70" s="778" t="s">
        <v>589</v>
      </c>
      <c r="F70" s="778" t="s">
        <v>4873</v>
      </c>
      <c r="G70" s="779" t="s">
        <v>4874</v>
      </c>
      <c r="H70" s="782" t="s">
        <v>764</v>
      </c>
    </row>
    <row r="71" spans="2:8" ht="48" customHeight="1">
      <c r="B71" s="1231" t="s">
        <v>4831</v>
      </c>
      <c r="C71" s="1232"/>
      <c r="D71" s="777" t="s">
        <v>4875</v>
      </c>
      <c r="E71" s="778" t="s">
        <v>592</v>
      </c>
      <c r="F71" s="778" t="s">
        <v>4876</v>
      </c>
      <c r="G71" s="779" t="s">
        <v>4877</v>
      </c>
      <c r="H71" s="782" t="s">
        <v>764</v>
      </c>
    </row>
    <row r="72" spans="2:8" ht="48" customHeight="1">
      <c r="B72" s="1231" t="s">
        <v>4831</v>
      </c>
      <c r="C72" s="1232"/>
      <c r="D72" s="777" t="s">
        <v>4878</v>
      </c>
      <c r="E72" s="778" t="s">
        <v>589</v>
      </c>
      <c r="F72" s="778" t="s">
        <v>4879</v>
      </c>
      <c r="G72" s="779" t="s">
        <v>4880</v>
      </c>
      <c r="H72" s="782" t="s">
        <v>764</v>
      </c>
    </row>
    <row r="73" spans="2:8" ht="48" customHeight="1">
      <c r="B73" s="1231" t="s">
        <v>4831</v>
      </c>
      <c r="C73" s="1232"/>
      <c r="D73" s="777" t="s">
        <v>4881</v>
      </c>
      <c r="E73" s="778" t="s">
        <v>592</v>
      </c>
      <c r="F73" s="778" t="s">
        <v>4882</v>
      </c>
      <c r="G73" s="779" t="s">
        <v>4883</v>
      </c>
      <c r="H73" s="782" t="s">
        <v>764</v>
      </c>
    </row>
    <row r="74" spans="2:8" ht="48" customHeight="1">
      <c r="B74" s="1231" t="s">
        <v>4831</v>
      </c>
      <c r="C74" s="1232"/>
      <c r="D74" s="777" t="s">
        <v>4884</v>
      </c>
      <c r="E74" s="778" t="s">
        <v>589</v>
      </c>
      <c r="F74" s="778" t="s">
        <v>4885</v>
      </c>
      <c r="G74" s="779" t="s">
        <v>4886</v>
      </c>
      <c r="H74" s="782" t="s">
        <v>764</v>
      </c>
    </row>
    <row r="75" spans="2:8" ht="48" customHeight="1">
      <c r="B75" s="1231" t="s">
        <v>4831</v>
      </c>
      <c r="C75" s="1232"/>
      <c r="D75" s="777" t="s">
        <v>4887</v>
      </c>
      <c r="E75" s="778" t="s">
        <v>592</v>
      </c>
      <c r="F75" s="778" t="s">
        <v>504</v>
      </c>
      <c r="G75" s="779" t="s">
        <v>4888</v>
      </c>
      <c r="H75" s="782" t="s">
        <v>764</v>
      </c>
    </row>
    <row r="76" spans="2:8" ht="48" customHeight="1">
      <c r="B76" s="1231" t="s">
        <v>4831</v>
      </c>
      <c r="C76" s="1232"/>
      <c r="D76" s="777" t="s">
        <v>4889</v>
      </c>
      <c r="E76" s="778" t="s">
        <v>592</v>
      </c>
      <c r="F76" s="778" t="s">
        <v>228</v>
      </c>
      <c r="G76" s="779" t="s">
        <v>4890</v>
      </c>
      <c r="H76" s="782" t="s">
        <v>764</v>
      </c>
    </row>
    <row r="77" spans="2:8" ht="48" customHeight="1">
      <c r="B77" s="1231" t="s">
        <v>4831</v>
      </c>
      <c r="C77" s="1232"/>
      <c r="D77" s="777" t="s">
        <v>4891</v>
      </c>
      <c r="E77" s="778" t="s">
        <v>592</v>
      </c>
      <c r="F77" s="778" t="s">
        <v>4892</v>
      </c>
      <c r="G77" s="779" t="s">
        <v>4893</v>
      </c>
      <c r="H77" s="782" t="s">
        <v>764</v>
      </c>
    </row>
    <row r="78" spans="2:8" ht="48" customHeight="1">
      <c r="B78" s="1231" t="s">
        <v>4831</v>
      </c>
      <c r="C78" s="1232"/>
      <c r="D78" s="777" t="s">
        <v>4894</v>
      </c>
      <c r="E78" s="778" t="s">
        <v>592</v>
      </c>
      <c r="F78" s="778" t="s">
        <v>4895</v>
      </c>
      <c r="G78" s="779" t="s">
        <v>4896</v>
      </c>
      <c r="H78" s="782" t="s">
        <v>764</v>
      </c>
    </row>
    <row r="79" spans="2:8" ht="48" customHeight="1">
      <c r="B79" s="1231" t="s">
        <v>4831</v>
      </c>
      <c r="C79" s="1232"/>
      <c r="D79" s="777" t="s">
        <v>4897</v>
      </c>
      <c r="E79" s="778" t="s">
        <v>592</v>
      </c>
      <c r="F79" s="778" t="s">
        <v>4898</v>
      </c>
      <c r="G79" s="779" t="s">
        <v>4899</v>
      </c>
      <c r="H79" s="782" t="s">
        <v>764</v>
      </c>
    </row>
    <row r="80" spans="2:8" ht="48" customHeight="1">
      <c r="B80" s="1231" t="s">
        <v>4831</v>
      </c>
      <c r="C80" s="1232"/>
      <c r="D80" s="777" t="s">
        <v>4900</v>
      </c>
      <c r="E80" s="778" t="s">
        <v>592</v>
      </c>
      <c r="F80" s="778" t="s">
        <v>4901</v>
      </c>
      <c r="G80" s="779" t="s">
        <v>4902</v>
      </c>
      <c r="H80" s="782" t="s">
        <v>764</v>
      </c>
    </row>
    <row r="81" spans="2:8" ht="48" customHeight="1">
      <c r="B81" s="1231" t="s">
        <v>4831</v>
      </c>
      <c r="C81" s="1232"/>
      <c r="D81" s="777" t="s">
        <v>4903</v>
      </c>
      <c r="E81" s="778" t="s">
        <v>592</v>
      </c>
      <c r="F81" s="778" t="s">
        <v>4904</v>
      </c>
      <c r="G81" s="779" t="s">
        <v>4905</v>
      </c>
      <c r="H81" s="780" t="s">
        <v>4839</v>
      </c>
    </row>
    <row r="82" spans="2:8" ht="48" customHeight="1">
      <c r="B82" s="1231" t="s">
        <v>4831</v>
      </c>
      <c r="C82" s="1232"/>
      <c r="D82" s="777" t="s">
        <v>4906</v>
      </c>
      <c r="E82" s="778" t="s">
        <v>592</v>
      </c>
      <c r="F82" s="778" t="s">
        <v>4907</v>
      </c>
      <c r="G82" s="779" t="s">
        <v>4908</v>
      </c>
      <c r="H82" s="780" t="s">
        <v>4839</v>
      </c>
    </row>
    <row r="83" spans="2:8" ht="48" customHeight="1">
      <c r="B83" s="1231" t="s">
        <v>4831</v>
      </c>
      <c r="C83" s="1232"/>
      <c r="D83" s="777" t="s">
        <v>4909</v>
      </c>
      <c r="E83" s="778" t="s">
        <v>592</v>
      </c>
      <c r="F83" s="778" t="s">
        <v>4910</v>
      </c>
      <c r="G83" s="779" t="s">
        <v>4911</v>
      </c>
      <c r="H83" s="780" t="s">
        <v>4839</v>
      </c>
    </row>
    <row r="84" spans="2:8" ht="48" customHeight="1">
      <c r="B84" s="1231" t="s">
        <v>4831</v>
      </c>
      <c r="C84" s="1232"/>
      <c r="D84" s="777" t="s">
        <v>4912</v>
      </c>
      <c r="E84" s="778" t="s">
        <v>592</v>
      </c>
      <c r="F84" s="778" t="s">
        <v>4913</v>
      </c>
      <c r="G84" s="779" t="s">
        <v>4914</v>
      </c>
      <c r="H84" s="780" t="s">
        <v>4839</v>
      </c>
    </row>
    <row r="85" spans="2:8" ht="48" customHeight="1">
      <c r="B85" s="1231" t="s">
        <v>4831</v>
      </c>
      <c r="C85" s="1232"/>
      <c r="D85" s="777" t="s">
        <v>4915</v>
      </c>
      <c r="E85" s="778" t="s">
        <v>592</v>
      </c>
      <c r="F85" s="778" t="s">
        <v>4916</v>
      </c>
      <c r="G85" s="779" t="s">
        <v>4917</v>
      </c>
      <c r="H85" s="780" t="s">
        <v>4839</v>
      </c>
    </row>
    <row r="86" spans="2:8" ht="48" customHeight="1">
      <c r="B86" s="1231" t="s">
        <v>4831</v>
      </c>
      <c r="C86" s="1232"/>
      <c r="D86" s="777" t="s">
        <v>4918</v>
      </c>
      <c r="E86" s="778" t="s">
        <v>592</v>
      </c>
      <c r="F86" s="778" t="s">
        <v>4919</v>
      </c>
      <c r="G86" s="779" t="s">
        <v>4920</v>
      </c>
      <c r="H86" s="780" t="s">
        <v>4839</v>
      </c>
    </row>
    <row r="87" spans="2:8" ht="48" customHeight="1">
      <c r="B87" s="1231" t="s">
        <v>4831</v>
      </c>
      <c r="C87" s="1232"/>
      <c r="D87" s="777" t="s">
        <v>4921</v>
      </c>
      <c r="E87" s="778" t="s">
        <v>592</v>
      </c>
      <c r="F87" s="778" t="s">
        <v>4922</v>
      </c>
      <c r="G87" s="779" t="s">
        <v>4923</v>
      </c>
      <c r="H87" s="780" t="s">
        <v>4839</v>
      </c>
    </row>
    <row r="88" spans="2:8" ht="48" customHeight="1">
      <c r="B88" s="1231" t="s">
        <v>4831</v>
      </c>
      <c r="C88" s="1232"/>
      <c r="D88" s="777" t="s">
        <v>4924</v>
      </c>
      <c r="E88" s="778" t="s">
        <v>592</v>
      </c>
      <c r="F88" s="778" t="s">
        <v>4925</v>
      </c>
      <c r="G88" s="779" t="s">
        <v>4926</v>
      </c>
      <c r="H88" s="782" t="s">
        <v>764</v>
      </c>
    </row>
    <row r="89" spans="2:8" ht="48" customHeight="1">
      <c r="B89" s="1231" t="s">
        <v>4831</v>
      </c>
      <c r="C89" s="1232"/>
      <c r="D89" s="777" t="s">
        <v>4927</v>
      </c>
      <c r="E89" s="778" t="s">
        <v>592</v>
      </c>
      <c r="F89" s="778" t="s">
        <v>4928</v>
      </c>
      <c r="G89" s="779" t="s">
        <v>4929</v>
      </c>
      <c r="H89" s="782" t="s">
        <v>764</v>
      </c>
    </row>
    <row r="90" spans="2:8" ht="48" customHeight="1">
      <c r="B90" s="1231" t="s">
        <v>4831</v>
      </c>
      <c r="C90" s="1232"/>
      <c r="D90" s="777" t="s">
        <v>4930</v>
      </c>
      <c r="E90" s="778" t="s">
        <v>592</v>
      </c>
      <c r="F90" s="778" t="s">
        <v>4931</v>
      </c>
      <c r="G90" s="779" t="s">
        <v>4932</v>
      </c>
      <c r="H90" s="782" t="s">
        <v>764</v>
      </c>
    </row>
    <row r="91" spans="2:8" ht="48" customHeight="1">
      <c r="B91" s="1231" t="s">
        <v>4831</v>
      </c>
      <c r="C91" s="1232"/>
      <c r="D91" s="777" t="s">
        <v>4933</v>
      </c>
      <c r="E91" s="778" t="s">
        <v>592</v>
      </c>
      <c r="F91" s="778" t="s">
        <v>4934</v>
      </c>
      <c r="G91" s="779" t="s">
        <v>4935</v>
      </c>
      <c r="H91" s="782" t="s">
        <v>764</v>
      </c>
    </row>
    <row r="92" spans="2:8" ht="48" customHeight="1">
      <c r="B92" s="1231" t="s">
        <v>4831</v>
      </c>
      <c r="C92" s="1232"/>
      <c r="D92" s="777" t="s">
        <v>4936</v>
      </c>
      <c r="E92" s="778" t="s">
        <v>592</v>
      </c>
      <c r="F92" s="778" t="s">
        <v>4937</v>
      </c>
      <c r="G92" s="779" t="s">
        <v>4938</v>
      </c>
      <c r="H92" s="782" t="s">
        <v>764</v>
      </c>
    </row>
    <row r="93" spans="2:8" ht="48" customHeight="1">
      <c r="B93" s="1231" t="s">
        <v>4831</v>
      </c>
      <c r="C93" s="1232"/>
      <c r="D93" s="777" t="s">
        <v>4939</v>
      </c>
      <c r="E93" s="778" t="s">
        <v>592</v>
      </c>
      <c r="F93" s="778" t="s">
        <v>4940</v>
      </c>
      <c r="G93" s="779" t="s">
        <v>4941</v>
      </c>
      <c r="H93" s="782" t="s">
        <v>764</v>
      </c>
    </row>
    <row r="94" spans="2:8" ht="48" customHeight="1">
      <c r="B94" s="1231" t="s">
        <v>4831</v>
      </c>
      <c r="C94" s="1232"/>
      <c r="D94" s="777" t="s">
        <v>4942</v>
      </c>
      <c r="E94" s="778" t="s">
        <v>592</v>
      </c>
      <c r="F94" s="778" t="s">
        <v>4943</v>
      </c>
      <c r="G94" s="779" t="s">
        <v>4944</v>
      </c>
      <c r="H94" s="782" t="s">
        <v>764</v>
      </c>
    </row>
    <row r="95" spans="2:8" ht="48" customHeight="1">
      <c r="B95" s="1231" t="s">
        <v>4945</v>
      </c>
      <c r="C95" s="1232"/>
      <c r="D95" s="777" t="s">
        <v>4737</v>
      </c>
      <c r="E95" s="778" t="s">
        <v>589</v>
      </c>
      <c r="F95" s="778" t="s">
        <v>4946</v>
      </c>
      <c r="G95" s="779" t="s">
        <v>4947</v>
      </c>
      <c r="H95" s="782" t="s">
        <v>764</v>
      </c>
    </row>
    <row r="96" spans="2:8" ht="30">
      <c r="B96" s="1235" t="s">
        <v>4945</v>
      </c>
      <c r="C96" s="1236"/>
      <c r="D96" s="773" t="s">
        <v>4948</v>
      </c>
      <c r="E96" s="774" t="s">
        <v>589</v>
      </c>
      <c r="F96" s="774" t="s">
        <v>2</v>
      </c>
      <c r="G96" s="775" t="s">
        <v>4949</v>
      </c>
      <c r="H96" s="776" t="s">
        <v>764</v>
      </c>
    </row>
    <row r="97" spans="2:8">
      <c r="B97" s="1231" t="s">
        <v>4945</v>
      </c>
      <c r="C97" s="1232"/>
      <c r="D97" s="777" t="s">
        <v>4950</v>
      </c>
      <c r="E97" s="778" t="s">
        <v>589</v>
      </c>
      <c r="F97" s="778" t="s">
        <v>4946</v>
      </c>
      <c r="G97" s="779" t="s">
        <v>4951</v>
      </c>
      <c r="H97" s="782" t="s">
        <v>764</v>
      </c>
    </row>
    <row r="98" spans="2:8" ht="15.75" thickBot="1">
      <c r="B98" s="1233" t="s">
        <v>4945</v>
      </c>
      <c r="C98" s="1234"/>
      <c r="D98" s="789" t="s">
        <v>4952</v>
      </c>
      <c r="E98" s="790" t="s">
        <v>589</v>
      </c>
      <c r="F98" s="790" t="s">
        <v>4870</v>
      </c>
      <c r="G98" s="791" t="s">
        <v>4953</v>
      </c>
      <c r="H98" s="792" t="s">
        <v>764</v>
      </c>
    </row>
  </sheetData>
  <autoFilter ref="B14:H95" xr:uid="{00000000-0009-0000-0000-00000B000000}">
    <filterColumn colId="0" showButton="0"/>
  </autoFilter>
  <mergeCells count="86">
    <mergeCell ref="B17:C17"/>
    <mergeCell ref="B5:H6"/>
    <mergeCell ref="E8:H11"/>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54:C54"/>
    <mergeCell ref="B43:C43"/>
    <mergeCell ref="B44:C44"/>
    <mergeCell ref="B45:C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 ref="B78:C78"/>
    <mergeCell ref="B67:C67"/>
    <mergeCell ref="B68:C68"/>
    <mergeCell ref="B69:C69"/>
    <mergeCell ref="B70:C70"/>
    <mergeCell ref="B71:C71"/>
    <mergeCell ref="B72:C72"/>
    <mergeCell ref="B73:C73"/>
    <mergeCell ref="B74:C74"/>
    <mergeCell ref="B75:C75"/>
    <mergeCell ref="B76:C76"/>
    <mergeCell ref="B77:C77"/>
    <mergeCell ref="B90:C90"/>
    <mergeCell ref="B79:C79"/>
    <mergeCell ref="B80:C80"/>
    <mergeCell ref="B81:C81"/>
    <mergeCell ref="B82:C82"/>
    <mergeCell ref="B83:C83"/>
    <mergeCell ref="B84:C84"/>
    <mergeCell ref="B85:C85"/>
    <mergeCell ref="B86:C86"/>
    <mergeCell ref="B87:C87"/>
    <mergeCell ref="B88:C88"/>
    <mergeCell ref="B89:C89"/>
    <mergeCell ref="B97:C97"/>
    <mergeCell ref="B98:C98"/>
    <mergeCell ref="B91:C91"/>
    <mergeCell ref="B92:C92"/>
    <mergeCell ref="B93:C93"/>
    <mergeCell ref="B94:C94"/>
    <mergeCell ref="B95:C95"/>
    <mergeCell ref="B96:C96"/>
  </mergeCells>
  <conditionalFormatting sqref="B15:H98">
    <cfRule type="expression" dxfId="1" priority="1">
      <formula>$E15="Calculated Value"</formula>
    </cfRule>
    <cfRule type="expression" dxfId="0" priority="2">
      <formula>$E15="Input Field"</formula>
    </cfRule>
  </conditionalFormatting>
  <dataValidations count="3">
    <dataValidation type="list" allowBlank="1" showInputMessage="1" showErrorMessage="1" sqref="E15:E98" xr:uid="{2469B302-69C1-45E5-A098-72599CF3D535}">
      <formula1>"Input Field,Calculated Value"</formula1>
    </dataValidation>
    <dataValidation type="list" allowBlank="1" showInputMessage="1" showErrorMessage="1" sqref="C8" xr:uid="{D5D3DBAB-77A6-48BC-9463-42E1B2F80722}">
      <formula1>"General Information, Lighting Inventory, Fixture Idnetities"</formula1>
    </dataValidation>
    <dataValidation allowBlank="1" showDropDown="1" showInputMessage="1" showErrorMessage="1" sqref="C10:C11" xr:uid="{59B1C2B2-470D-492F-8A24-79BDEAAE2E9E}"/>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8"/>
  </sheetPr>
  <dimension ref="A1:K38"/>
  <sheetViews>
    <sheetView workbookViewId="0">
      <selection activeCell="A2" sqref="A2:XFD3"/>
    </sheetView>
  </sheetViews>
  <sheetFormatPr defaultColWidth="9" defaultRowHeight="15"/>
  <cols>
    <col min="1" max="2" width="3.625" style="74" customWidth="1"/>
    <col min="3" max="3" width="19.75" style="74" customWidth="1"/>
    <col min="4" max="5" width="17.625" style="74" customWidth="1"/>
    <col min="6" max="6" width="3.625" style="74" customWidth="1"/>
    <col min="7" max="7" width="14.625" style="74" customWidth="1"/>
    <col min="8" max="8" width="17.625" style="74" customWidth="1"/>
    <col min="9" max="10" width="3.625" style="74" customWidth="1"/>
    <col min="11" max="11" width="9" style="74"/>
  </cols>
  <sheetData>
    <row r="1" spans="1:11" ht="15" customHeight="1"/>
    <row r="2" spans="1:11" s="7" customFormat="1" ht="23.25" customHeight="1">
      <c r="A2" s="285"/>
      <c r="B2" s="2" t="str">
        <f>Manual!B2</f>
        <v>2021 TRM Appendix C: Lighting Audit &amp; Design Tool for Commercial and Industrial Projects</v>
      </c>
      <c r="C2" s="3"/>
      <c r="D2" s="3"/>
      <c r="E2" s="3"/>
      <c r="F2" s="3"/>
      <c r="G2" s="3"/>
      <c r="H2" s="3"/>
      <c r="I2" s="3"/>
      <c r="J2" s="3"/>
      <c r="K2" s="3"/>
    </row>
    <row r="3" spans="1:11" s="19" customFormat="1" ht="17.25" customHeight="1">
      <c r="A3" s="4"/>
      <c r="B3" s="6" t="s">
        <v>4954</v>
      </c>
      <c r="C3" s="5"/>
      <c r="D3" s="5"/>
      <c r="E3" s="5"/>
      <c r="F3" s="5"/>
      <c r="G3" s="5"/>
      <c r="H3" s="5"/>
      <c r="I3" s="5"/>
      <c r="J3" s="5"/>
      <c r="K3" s="5"/>
    </row>
    <row r="4" spans="1:11" ht="9.75" customHeight="1" thickBot="1"/>
    <row r="5" spans="1:11" ht="15.75" customHeight="1">
      <c r="B5" s="1251" t="s">
        <v>4955</v>
      </c>
      <c r="C5" s="1252"/>
      <c r="D5" s="1252"/>
      <c r="E5" s="1252"/>
      <c r="F5" s="1252"/>
      <c r="G5" s="1252"/>
      <c r="H5" s="1252"/>
      <c r="I5" s="1253"/>
    </row>
    <row r="6" spans="1:11" ht="16.5" customHeight="1" thickBot="1">
      <c r="B6" s="989"/>
      <c r="C6" s="990"/>
      <c r="D6" s="990"/>
      <c r="E6" s="990"/>
      <c r="F6" s="990"/>
      <c r="G6" s="990"/>
      <c r="H6" s="990"/>
      <c r="I6" s="991"/>
    </row>
    <row r="7" spans="1:11" ht="14.25">
      <c r="A7"/>
      <c r="B7" s="403"/>
      <c r="C7" s="404"/>
      <c r="D7" s="404"/>
      <c r="E7" s="404"/>
      <c r="F7" s="404"/>
      <c r="G7" s="404"/>
      <c r="H7" s="404"/>
      <c r="I7" s="405"/>
      <c r="J7"/>
      <c r="K7"/>
    </row>
    <row r="8" spans="1:11">
      <c r="A8"/>
      <c r="B8" s="50"/>
      <c r="C8" s="47" t="s">
        <v>597</v>
      </c>
      <c r="D8" s="1258">
        <f>IF('General Information'!D13="","",'General Information'!D13)</f>
        <v>0</v>
      </c>
      <c r="E8" s="1258"/>
      <c r="F8" s="9"/>
      <c r="G8" s="47" t="s">
        <v>625</v>
      </c>
      <c r="H8" s="793">
        <f>IF('General Information'!D24="","",'General Information'!D24)</f>
        <v>0</v>
      </c>
      <c r="I8" s="77" t="s">
        <v>4956</v>
      </c>
      <c r="J8" s="76" t="s">
        <v>4956</v>
      </c>
      <c r="K8"/>
    </row>
    <row r="9" spans="1:11">
      <c r="A9"/>
      <c r="B9" s="50"/>
      <c r="C9" s="47" t="s">
        <v>4957</v>
      </c>
      <c r="D9" s="1259">
        <f>IF('General Information'!D19="","",'General Information'!D19)</f>
        <v>0</v>
      </c>
      <c r="E9" s="1259"/>
      <c r="F9" s="9"/>
      <c r="G9" s="47" t="s">
        <v>4958</v>
      </c>
      <c r="H9" s="793">
        <f>IF('General Information'!D23="","",'General Information'!D23)</f>
        <v>0</v>
      </c>
      <c r="I9" s="77" t="s">
        <v>4956</v>
      </c>
      <c r="J9" s="76" t="s">
        <v>4956</v>
      </c>
      <c r="K9"/>
    </row>
    <row r="10" spans="1:11">
      <c r="A10"/>
      <c r="B10" s="50"/>
      <c r="C10" s="47" t="s">
        <v>602</v>
      </c>
      <c r="D10" s="1259">
        <f>IF('General Information'!D16="","",'General Information'!D16)</f>
        <v>0</v>
      </c>
      <c r="E10" s="1259"/>
      <c r="F10" s="9"/>
      <c r="G10" s="47" t="s">
        <v>4959</v>
      </c>
      <c r="H10" s="794">
        <f>IF('General Information'!D25="","",'General Information'!D25)</f>
        <v>0</v>
      </c>
      <c r="I10" s="45"/>
      <c r="J10"/>
      <c r="K10"/>
    </row>
    <row r="11" spans="1:11">
      <c r="A11"/>
      <c r="B11" s="50"/>
      <c r="C11" s="9"/>
      <c r="D11" s="1259" t="str">
        <f>IF('General Information'!D17="","",CONCATENATE('General Information'!D17,", ",'General Information'!H17," ",'General Information'!J17))</f>
        <v>0, PA 0</v>
      </c>
      <c r="E11" s="1259"/>
      <c r="F11" s="9"/>
      <c r="G11" s="47" t="s">
        <v>628</v>
      </c>
      <c r="H11" s="793">
        <f>IF('General Information'!I25="","",'General Information'!I25)</f>
        <v>0</v>
      </c>
      <c r="I11" s="45"/>
      <c r="J11"/>
      <c r="K11"/>
    </row>
    <row r="12" spans="1:11" thickBot="1">
      <c r="A12"/>
      <c r="B12" s="382"/>
      <c r="C12" s="387"/>
      <c r="D12" s="387"/>
      <c r="E12" s="387"/>
      <c r="F12" s="387"/>
      <c r="G12" s="387"/>
      <c r="H12" s="387"/>
      <c r="I12" s="388"/>
      <c r="J12"/>
      <c r="K12"/>
    </row>
    <row r="13" spans="1:11" thickBot="1">
      <c r="A13"/>
      <c r="B13"/>
      <c r="C13"/>
      <c r="D13"/>
      <c r="E13"/>
      <c r="F13"/>
      <c r="G13"/>
      <c r="H13"/>
      <c r="I13"/>
      <c r="J13"/>
      <c r="K13"/>
    </row>
    <row r="14" spans="1:11" ht="14.25">
      <c r="A14"/>
      <c r="B14" s="1251" t="s">
        <v>345</v>
      </c>
      <c r="C14" s="1252"/>
      <c r="D14" s="1252"/>
      <c r="E14" s="1252"/>
      <c r="F14" s="1252"/>
      <c r="G14" s="1252"/>
      <c r="H14" s="1252"/>
      <c r="I14" s="1253"/>
      <c r="J14"/>
      <c r="K14"/>
    </row>
    <row r="15" spans="1:11" thickBot="1">
      <c r="A15"/>
      <c r="B15" s="989"/>
      <c r="C15" s="990"/>
      <c r="D15" s="990"/>
      <c r="E15" s="990"/>
      <c r="F15" s="990"/>
      <c r="G15" s="990"/>
      <c r="H15" s="990"/>
      <c r="I15" s="991"/>
      <c r="J15"/>
      <c r="K15"/>
    </row>
    <row r="16" spans="1:11" ht="14.25">
      <c r="A16"/>
      <c r="B16" s="403"/>
      <c r="C16" s="404"/>
      <c r="D16" s="404"/>
      <c r="E16" s="404"/>
      <c r="F16" s="404"/>
      <c r="G16" s="404"/>
      <c r="H16" s="404"/>
      <c r="I16" s="405"/>
      <c r="J16"/>
      <c r="K16"/>
    </row>
    <row r="17" spans="1:11" ht="14.25">
      <c r="A17"/>
      <c r="B17" s="50"/>
      <c r="C17" s="1255"/>
      <c r="D17" s="1256" t="s">
        <v>4960</v>
      </c>
      <c r="E17" s="1256" t="s">
        <v>4961</v>
      </c>
      <c r="F17" s="1256" t="s">
        <v>4962</v>
      </c>
      <c r="G17" s="1256"/>
      <c r="H17" s="1257"/>
      <c r="I17" s="45"/>
      <c r="J17"/>
      <c r="K17"/>
    </row>
    <row r="18" spans="1:11" ht="14.25">
      <c r="A18"/>
      <c r="B18" s="50"/>
      <c r="C18" s="1255"/>
      <c r="D18" s="1256"/>
      <c r="E18" s="1256"/>
      <c r="F18" s="1256"/>
      <c r="G18" s="1256"/>
      <c r="H18" s="1257"/>
      <c r="I18" s="45"/>
      <c r="J18"/>
      <c r="K18"/>
    </row>
    <row r="19" spans="1:11">
      <c r="A19"/>
      <c r="B19" s="50"/>
      <c r="C19" s="795" t="s">
        <v>4963</v>
      </c>
      <c r="D19" s="796">
        <f>'Lighting Inventory (Ref only)'!AA7</f>
        <v>0</v>
      </c>
      <c r="E19" s="796">
        <f>'Lighting Inventory (Ref only)'!AB7</f>
        <v>0</v>
      </c>
      <c r="F19" s="1249">
        <f>'Lighting Inventory (Ref only)'!AC7</f>
        <v>0</v>
      </c>
      <c r="G19" s="1249"/>
      <c r="H19" s="78"/>
      <c r="I19" s="45"/>
      <c r="J19"/>
      <c r="K19"/>
    </row>
    <row r="20" spans="1:11">
      <c r="A20"/>
      <c r="B20" s="50"/>
      <c r="C20" s="795" t="s">
        <v>4964</v>
      </c>
      <c r="D20" s="797" t="s">
        <v>764</v>
      </c>
      <c r="E20" s="796">
        <f>'Lighting Inventory (Ref only)'!AD7</f>
        <v>0</v>
      </c>
      <c r="F20" s="1249">
        <f>'Lighting Inventory (Ref only)'!AE7</f>
        <v>0</v>
      </c>
      <c r="G20" s="1249"/>
      <c r="H20" s="78"/>
      <c r="I20" s="45"/>
      <c r="J20"/>
      <c r="K20"/>
    </row>
    <row r="21" spans="1:11" ht="15.75">
      <c r="A21"/>
      <c r="B21" s="50"/>
      <c r="C21" s="798" t="s">
        <v>482</v>
      </c>
      <c r="D21" s="799">
        <f>D19</f>
        <v>0</v>
      </c>
      <c r="E21" s="799">
        <f>E19</f>
        <v>0</v>
      </c>
      <c r="F21" s="1250">
        <f>SUM(F19:F20)</f>
        <v>0</v>
      </c>
      <c r="G21" s="1250"/>
      <c r="H21" s="79"/>
      <c r="I21" s="45"/>
      <c r="J21"/>
      <c r="K21"/>
    </row>
    <row r="22" spans="1:11" ht="16.5" thickBot="1">
      <c r="A22"/>
      <c r="B22" s="382"/>
      <c r="C22" s="406"/>
      <c r="D22" s="407"/>
      <c r="E22" s="407"/>
      <c r="F22" s="408"/>
      <c r="G22" s="408"/>
      <c r="H22" s="407"/>
      <c r="I22" s="388"/>
      <c r="J22"/>
      <c r="K22"/>
    </row>
    <row r="23" spans="1:11" customFormat="1" thickBot="1"/>
    <row r="24" spans="1:11" ht="14.25">
      <c r="A24"/>
      <c r="B24" s="1251" t="s">
        <v>4965</v>
      </c>
      <c r="C24" s="1252"/>
      <c r="D24" s="1252"/>
      <c r="E24" s="1252"/>
      <c r="F24" s="1252"/>
      <c r="G24" s="1252"/>
      <c r="H24" s="1252"/>
      <c r="I24" s="1253"/>
      <c r="J24"/>
      <c r="K24"/>
    </row>
    <row r="25" spans="1:11" thickBot="1">
      <c r="A25"/>
      <c r="B25" s="989"/>
      <c r="C25" s="990"/>
      <c r="D25" s="990"/>
      <c r="E25" s="990"/>
      <c r="F25" s="990"/>
      <c r="G25" s="990"/>
      <c r="H25" s="990"/>
      <c r="I25" s="991"/>
      <c r="J25"/>
      <c r="K25"/>
    </row>
    <row r="26" spans="1:11" ht="14.25">
      <c r="A26"/>
      <c r="B26" s="403"/>
      <c r="C26" s="404"/>
      <c r="D26" s="404"/>
      <c r="E26" s="404"/>
      <c r="F26" s="404"/>
      <c r="G26" s="404"/>
      <c r="H26" s="404"/>
      <c r="I26" s="405"/>
      <c r="J26"/>
      <c r="K26"/>
    </row>
    <row r="27" spans="1:11" ht="15.75" customHeight="1">
      <c r="A27"/>
      <c r="B27" s="50"/>
      <c r="C27" s="80" t="s">
        <v>4966</v>
      </c>
      <c r="D27" s="81">
        <f>SUM('Lighting Inventory (Ref only)'!Q$13:Q$82)</f>
        <v>0</v>
      </c>
      <c r="E27" s="1254" t="s">
        <v>4967</v>
      </c>
      <c r="F27" s="1254"/>
      <c r="G27" s="1254"/>
      <c r="H27" s="1"/>
      <c r="I27" s="45"/>
      <c r="J27"/>
      <c r="K27"/>
    </row>
    <row r="28" spans="1:11">
      <c r="A28"/>
      <c r="B28" s="50"/>
      <c r="C28" s="80" t="s">
        <v>4968</v>
      </c>
      <c r="D28" s="81">
        <f>SUM('Lighting Inventory (Ref only)'!AK$13:AK$82)</f>
        <v>0</v>
      </c>
      <c r="E28" s="1254"/>
      <c r="F28" s="1254"/>
      <c r="G28" s="1254"/>
      <c r="H28" s="99">
        <f>SUM('Lighting Inventory (Ref only)'!AH$13:AH$82)/1000</f>
        <v>0</v>
      </c>
      <c r="I28" s="45"/>
      <c r="J28"/>
      <c r="K28"/>
    </row>
    <row r="29" spans="1:11">
      <c r="A29"/>
      <c r="B29" s="50"/>
      <c r="C29" s="80" t="s">
        <v>4969</v>
      </c>
      <c r="D29" s="81">
        <f>SUM('Lighting Inventory (Ref only)'!G$13:G$82)</f>
        <v>0</v>
      </c>
      <c r="E29" s="82"/>
      <c r="F29" s="82"/>
      <c r="G29" s="82"/>
      <c r="H29" s="82"/>
      <c r="I29" s="45"/>
      <c r="J29"/>
      <c r="K29"/>
    </row>
    <row r="30" spans="1:11" ht="15" customHeight="1">
      <c r="A30"/>
      <c r="B30" s="50"/>
      <c r="C30" s="80" t="s">
        <v>4970</v>
      </c>
      <c r="D30" s="81">
        <f>SUM('Lighting Inventory (Ref only)'!AI$13:AI$82)</f>
        <v>0</v>
      </c>
      <c r="E30" s="82"/>
      <c r="F30" s="82"/>
      <c r="G30" s="82"/>
      <c r="H30" s="82"/>
      <c r="I30" s="45"/>
      <c r="J30"/>
      <c r="K30"/>
    </row>
    <row r="31" spans="1:11" thickBot="1">
      <c r="A31"/>
      <c r="B31" s="382"/>
      <c r="C31" s="387"/>
      <c r="D31" s="387"/>
      <c r="E31" s="387"/>
      <c r="F31" s="387"/>
      <c r="G31" s="387"/>
      <c r="H31" s="387"/>
      <c r="I31" s="388"/>
      <c r="J31"/>
      <c r="K31"/>
    </row>
    <row r="32" spans="1:11" customFormat="1" ht="14.25"/>
    <row r="33" customFormat="1" ht="14.25"/>
    <row r="34" customFormat="1" ht="14.25"/>
    <row r="35" customFormat="1" ht="14.25"/>
    <row r="36" customFormat="1" ht="14.25"/>
    <row r="37" customFormat="1" ht="14.25"/>
    <row r="38" customFormat="1" ht="14.25"/>
  </sheetData>
  <mergeCells count="16">
    <mergeCell ref="B5:I6"/>
    <mergeCell ref="D8:E8"/>
    <mergeCell ref="D9:E9"/>
    <mergeCell ref="D10:E10"/>
    <mergeCell ref="D11:E11"/>
    <mergeCell ref="B14:I15"/>
    <mergeCell ref="C17:C18"/>
    <mergeCell ref="D17:D18"/>
    <mergeCell ref="E17:E18"/>
    <mergeCell ref="F17:G18"/>
    <mergeCell ref="H17:H18"/>
    <mergeCell ref="F19:G19"/>
    <mergeCell ref="F20:G20"/>
    <mergeCell ref="F21:G21"/>
    <mergeCell ref="B24:I25"/>
    <mergeCell ref="E27:G2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9"/>
  </sheetPr>
  <dimension ref="A1:D52"/>
  <sheetViews>
    <sheetView workbookViewId="0"/>
  </sheetViews>
  <sheetFormatPr defaultRowHeight="14.25"/>
  <cols>
    <col min="1" max="1" width="11.75" customWidth="1"/>
    <col min="3" max="4" width="22.625" customWidth="1"/>
  </cols>
  <sheetData>
    <row r="1" spans="1:4" ht="15">
      <c r="A1" s="118" t="s">
        <v>4971</v>
      </c>
      <c r="B1" s="118" t="s">
        <v>4972</v>
      </c>
      <c r="C1" s="118" t="s">
        <v>4973</v>
      </c>
      <c r="D1" s="118" t="s">
        <v>4974</v>
      </c>
    </row>
    <row r="2" spans="1:4">
      <c r="A2" t="s">
        <v>735</v>
      </c>
      <c r="B2" t="s">
        <v>4975</v>
      </c>
      <c r="C2" t="s">
        <v>256</v>
      </c>
      <c r="D2" t="s">
        <v>528</v>
      </c>
    </row>
    <row r="3" spans="1:4">
      <c r="A3" t="s">
        <v>366</v>
      </c>
      <c r="B3" t="s">
        <v>604</v>
      </c>
      <c r="C3" t="s">
        <v>2357</v>
      </c>
      <c r="D3" t="s">
        <v>529</v>
      </c>
    </row>
    <row r="4" spans="1:4">
      <c r="A4" t="s">
        <v>739</v>
      </c>
      <c r="B4" s="132">
        <v>0</v>
      </c>
      <c r="C4" t="s">
        <v>2734</v>
      </c>
      <c r="D4" t="s">
        <v>515</v>
      </c>
    </row>
    <row r="5" spans="1:4">
      <c r="B5" s="132">
        <v>2.0833333333333332E-2</v>
      </c>
      <c r="C5" t="s">
        <v>533</v>
      </c>
      <c r="D5" t="s">
        <v>2679</v>
      </c>
    </row>
    <row r="6" spans="1:4">
      <c r="B6" s="132">
        <v>4.1666666666666699E-2</v>
      </c>
      <c r="C6" t="s">
        <v>3674</v>
      </c>
      <c r="D6" t="s">
        <v>523</v>
      </c>
    </row>
    <row r="7" spans="1:4">
      <c r="B7" s="132">
        <v>6.25E-2</v>
      </c>
      <c r="C7" t="s">
        <v>525</v>
      </c>
      <c r="D7" t="s">
        <v>532</v>
      </c>
    </row>
    <row r="8" spans="1:4">
      <c r="B8" s="132">
        <v>8.3333333333333301E-2</v>
      </c>
      <c r="C8" t="s">
        <v>526</v>
      </c>
      <c r="D8" t="s">
        <v>531</v>
      </c>
    </row>
    <row r="9" spans="1:4">
      <c r="B9" s="132">
        <v>0.104166666666667</v>
      </c>
      <c r="C9" t="s">
        <v>255</v>
      </c>
      <c r="D9" t="s">
        <v>3249</v>
      </c>
    </row>
    <row r="10" spans="1:4">
      <c r="B10" s="132">
        <v>0.125</v>
      </c>
      <c r="C10" t="s">
        <v>527</v>
      </c>
      <c r="D10" t="s">
        <v>3631</v>
      </c>
    </row>
    <row r="11" spans="1:4">
      <c r="B11" s="132">
        <v>0.14583333333333301</v>
      </c>
      <c r="C11" t="s">
        <v>4192</v>
      </c>
      <c r="D11" t="s">
        <v>533</v>
      </c>
    </row>
    <row r="12" spans="1:4">
      <c r="B12" s="132">
        <v>0.16666666666666699</v>
      </c>
      <c r="C12" t="s">
        <v>4436</v>
      </c>
      <c r="D12" t="s">
        <v>3674</v>
      </c>
    </row>
    <row r="13" spans="1:4">
      <c r="B13" s="132">
        <v>0.1875</v>
      </c>
      <c r="D13" t="s">
        <v>525</v>
      </c>
    </row>
    <row r="14" spans="1:4">
      <c r="B14" s="132">
        <v>0.20833333333333301</v>
      </c>
      <c r="D14" t="s">
        <v>526</v>
      </c>
    </row>
    <row r="15" spans="1:4">
      <c r="B15" s="132">
        <v>0.22916666666666699</v>
      </c>
      <c r="D15" t="s">
        <v>3806</v>
      </c>
    </row>
    <row r="16" spans="1:4">
      <c r="B16" s="132">
        <v>0.25</v>
      </c>
      <c r="D16" t="s">
        <v>4062</v>
      </c>
    </row>
    <row r="17" spans="2:4">
      <c r="B17" s="132">
        <v>0.27083333333333298</v>
      </c>
      <c r="D17" t="s">
        <v>527</v>
      </c>
    </row>
    <row r="18" spans="2:4">
      <c r="B18" s="132">
        <v>0.29166666666666702</v>
      </c>
      <c r="D18" t="s">
        <v>4193</v>
      </c>
    </row>
    <row r="19" spans="2:4">
      <c r="B19" s="132">
        <v>0.3125</v>
      </c>
      <c r="D19" t="s">
        <v>4252</v>
      </c>
    </row>
    <row r="20" spans="2:4">
      <c r="B20" s="132">
        <v>0.33333333333333298</v>
      </c>
      <c r="D20" t="s">
        <v>4312</v>
      </c>
    </row>
    <row r="21" spans="2:4">
      <c r="B21" s="132">
        <v>0.35416666666666702</v>
      </c>
      <c r="D21" t="s">
        <v>4355</v>
      </c>
    </row>
    <row r="22" spans="2:4">
      <c r="B22" s="132">
        <v>0.375</v>
      </c>
      <c r="D22" t="s">
        <v>4437</v>
      </c>
    </row>
    <row r="23" spans="2:4">
      <c r="B23" s="132">
        <v>0.39583333333333298</v>
      </c>
    </row>
    <row r="24" spans="2:4">
      <c r="B24" s="132">
        <v>0.41666666666666702</v>
      </c>
    </row>
    <row r="25" spans="2:4">
      <c r="B25" s="132">
        <v>0.4375</v>
      </c>
    </row>
    <row r="26" spans="2:4">
      <c r="B26" s="132">
        <v>0.45833333333333298</v>
      </c>
    </row>
    <row r="27" spans="2:4">
      <c r="B27" s="132">
        <v>0.47916666666666702</v>
      </c>
    </row>
    <row r="28" spans="2:4">
      <c r="B28" s="132">
        <v>0.5</v>
      </c>
    </row>
    <row r="29" spans="2:4">
      <c r="B29" s="132">
        <v>0.52083333333333304</v>
      </c>
    </row>
    <row r="30" spans="2:4">
      <c r="B30" s="132">
        <v>0.54166666666666696</v>
      </c>
    </row>
    <row r="31" spans="2:4">
      <c r="B31" s="132">
        <v>0.5625</v>
      </c>
    </row>
    <row r="32" spans="2:4">
      <c r="B32" s="132">
        <v>0.58333333333333304</v>
      </c>
    </row>
    <row r="33" spans="2:2">
      <c r="B33" s="132">
        <v>0.60416666666666696</v>
      </c>
    </row>
    <row r="34" spans="2:2">
      <c r="B34" s="132">
        <v>0.625</v>
      </c>
    </row>
    <row r="35" spans="2:2">
      <c r="B35" s="132">
        <v>0.64583333333333304</v>
      </c>
    </row>
    <row r="36" spans="2:2">
      <c r="B36" s="132">
        <v>0.66666666666666696</v>
      </c>
    </row>
    <row r="37" spans="2:2">
      <c r="B37" s="132">
        <v>0.6875</v>
      </c>
    </row>
    <row r="38" spans="2:2">
      <c r="B38" s="132">
        <v>0.70833333333333304</v>
      </c>
    </row>
    <row r="39" spans="2:2">
      <c r="B39" s="132">
        <v>0.72916666666666696</v>
      </c>
    </row>
    <row r="40" spans="2:2">
      <c r="B40" s="132">
        <v>0.75</v>
      </c>
    </row>
    <row r="41" spans="2:2">
      <c r="B41" s="132">
        <v>0.77083333333333304</v>
      </c>
    </row>
    <row r="42" spans="2:2">
      <c r="B42" s="132">
        <v>0.79166666666666696</v>
      </c>
    </row>
    <row r="43" spans="2:2">
      <c r="B43" s="132">
        <v>0.8125</v>
      </c>
    </row>
    <row r="44" spans="2:2">
      <c r="B44" s="132">
        <v>0.83333333333333304</v>
      </c>
    </row>
    <row r="45" spans="2:2">
      <c r="B45" s="132">
        <v>0.85416666666666696</v>
      </c>
    </row>
    <row r="46" spans="2:2">
      <c r="B46" s="132">
        <v>0.875</v>
      </c>
    </row>
    <row r="47" spans="2:2">
      <c r="B47" s="132">
        <v>0.89583333333333304</v>
      </c>
    </row>
    <row r="48" spans="2:2">
      <c r="B48" s="132">
        <v>0.91666666666666696</v>
      </c>
    </row>
    <row r="49" spans="2:2">
      <c r="B49" s="132">
        <v>0.9375</v>
      </c>
    </row>
    <row r="50" spans="2:2">
      <c r="B50" s="132">
        <v>0.95833333333333304</v>
      </c>
    </row>
    <row r="51" spans="2:2">
      <c r="B51" s="132">
        <v>0.97916666666666696</v>
      </c>
    </row>
    <row r="52" spans="2:2">
      <c r="B52" s="132"/>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9"/>
  </sheetPr>
  <dimension ref="A1:F36"/>
  <sheetViews>
    <sheetView workbookViewId="0">
      <selection activeCell="F37" sqref="F37"/>
    </sheetView>
  </sheetViews>
  <sheetFormatPr defaultColWidth="10.875" defaultRowHeight="14.25"/>
  <cols>
    <col min="1" max="1" width="4.625" style="119" customWidth="1"/>
    <col min="2" max="2" width="11" style="119" customWidth="1"/>
    <col min="3" max="3" width="12.875" style="119" customWidth="1"/>
    <col min="4" max="4" width="24.25" style="249" customWidth="1"/>
    <col min="5" max="5" width="118.75" style="124" customWidth="1"/>
    <col min="6" max="6" width="33.75" style="119" customWidth="1"/>
    <col min="7" max="16384" width="10.875" style="120"/>
  </cols>
  <sheetData>
    <row r="1" spans="1:6">
      <c r="D1" s="124"/>
    </row>
    <row r="2" spans="1:6" ht="20.25">
      <c r="B2" s="1260" t="s">
        <v>4976</v>
      </c>
      <c r="C2" s="1260"/>
      <c r="D2" s="1260"/>
      <c r="E2" s="1260"/>
      <c r="F2" s="1260"/>
    </row>
    <row r="3" spans="1:6">
      <c r="D3" s="124"/>
    </row>
    <row r="4" spans="1:6" ht="15">
      <c r="B4" s="121" t="s">
        <v>4977</v>
      </c>
      <c r="D4" s="800" t="s">
        <v>4978</v>
      </c>
      <c r="E4" s="122" t="s">
        <v>4979</v>
      </c>
      <c r="F4" s="801"/>
    </row>
    <row r="5" spans="1:6" ht="15">
      <c r="B5" s="121" t="s">
        <v>4980</v>
      </c>
      <c r="D5" s="802" t="s">
        <v>4981</v>
      </c>
      <c r="E5" s="123" t="s">
        <v>4982</v>
      </c>
      <c r="F5" s="803"/>
    </row>
    <row r="6" spans="1:6" ht="25.5" customHeight="1">
      <c r="D6" s="124"/>
    </row>
    <row r="7" spans="1:6" s="126" customFormat="1" ht="15">
      <c r="A7" s="125"/>
      <c r="B7" s="804" t="s">
        <v>4983</v>
      </c>
      <c r="C7" s="409" t="s">
        <v>4984</v>
      </c>
      <c r="D7" s="410" t="s">
        <v>4985</v>
      </c>
      <c r="E7" s="410" t="s">
        <v>4986</v>
      </c>
      <c r="F7" s="411" t="s">
        <v>4987</v>
      </c>
    </row>
    <row r="8" spans="1:6" ht="28.5" customHeight="1">
      <c r="B8" s="805">
        <v>0.1</v>
      </c>
      <c r="C8" s="806">
        <v>42489</v>
      </c>
      <c r="D8" s="807" t="s">
        <v>4988</v>
      </c>
      <c r="E8" s="808" t="s">
        <v>4989</v>
      </c>
      <c r="F8" s="809" t="s">
        <v>4990</v>
      </c>
    </row>
    <row r="9" spans="1:6" ht="36" customHeight="1">
      <c r="B9" s="805">
        <v>0.2</v>
      </c>
      <c r="C9" s="806">
        <v>42492</v>
      </c>
      <c r="D9" s="810" t="s">
        <v>4991</v>
      </c>
      <c r="E9" s="808" t="s">
        <v>4992</v>
      </c>
      <c r="F9" s="811" t="s">
        <v>4993</v>
      </c>
    </row>
    <row r="10" spans="1:6" ht="28.5" customHeight="1">
      <c r="B10" s="805">
        <v>0.3</v>
      </c>
      <c r="C10" s="806">
        <v>42500</v>
      </c>
      <c r="D10" s="810" t="s">
        <v>4994</v>
      </c>
      <c r="E10" s="808" t="s">
        <v>4995</v>
      </c>
      <c r="F10" s="809" t="s">
        <v>4990</v>
      </c>
    </row>
    <row r="11" spans="1:6" ht="28.5" customHeight="1">
      <c r="B11" s="805">
        <v>0.4</v>
      </c>
      <c r="C11" s="806">
        <v>42501</v>
      </c>
      <c r="D11" s="810" t="s">
        <v>4996</v>
      </c>
      <c r="E11" s="808" t="s">
        <v>4997</v>
      </c>
      <c r="F11" s="809" t="s">
        <v>4990</v>
      </c>
    </row>
    <row r="12" spans="1:6" ht="28.5" customHeight="1">
      <c r="B12" s="805">
        <v>0.5</v>
      </c>
      <c r="C12" s="806">
        <v>42507</v>
      </c>
      <c r="D12" s="810" t="s">
        <v>4998</v>
      </c>
      <c r="E12" s="808" t="s">
        <v>4999</v>
      </c>
      <c r="F12" s="809" t="s">
        <v>4990</v>
      </c>
    </row>
    <row r="13" spans="1:6" ht="28.5" customHeight="1">
      <c r="B13" s="805">
        <v>0.6</v>
      </c>
      <c r="C13" s="806">
        <v>42514</v>
      </c>
      <c r="D13" s="810" t="s">
        <v>5000</v>
      </c>
      <c r="E13" s="808" t="s">
        <v>5001</v>
      </c>
      <c r="F13" s="809" t="s">
        <v>4990</v>
      </c>
    </row>
    <row r="14" spans="1:6" ht="28.5" customHeight="1">
      <c r="B14" s="805">
        <v>0.7</v>
      </c>
      <c r="C14" s="806">
        <v>42514</v>
      </c>
      <c r="D14" s="810" t="s">
        <v>5002</v>
      </c>
      <c r="E14" s="808" t="s">
        <v>5003</v>
      </c>
      <c r="F14" s="809" t="s">
        <v>4990</v>
      </c>
    </row>
    <row r="15" spans="1:6" ht="28.5" customHeight="1">
      <c r="B15" s="805">
        <v>1</v>
      </c>
      <c r="C15" s="806">
        <v>42522</v>
      </c>
      <c r="D15" s="810" t="s">
        <v>5004</v>
      </c>
      <c r="E15" s="808" t="s">
        <v>5005</v>
      </c>
      <c r="F15" s="809" t="s">
        <v>4990</v>
      </c>
    </row>
    <row r="16" spans="1:6" ht="28.5" customHeight="1">
      <c r="B16" s="805">
        <v>1.1000000000000001</v>
      </c>
      <c r="C16" s="806">
        <v>42523</v>
      </c>
      <c r="D16" s="810" t="s">
        <v>5006</v>
      </c>
      <c r="E16" s="808" t="s">
        <v>5007</v>
      </c>
      <c r="F16" s="809" t="s">
        <v>5008</v>
      </c>
    </row>
    <row r="17" spans="2:6" ht="28.5" customHeight="1">
      <c r="B17" s="805">
        <v>1.2</v>
      </c>
      <c r="C17" s="806">
        <v>42523</v>
      </c>
      <c r="D17" s="810" t="s">
        <v>5009</v>
      </c>
      <c r="E17" s="808" t="s">
        <v>5010</v>
      </c>
      <c r="F17" s="809" t="s">
        <v>4990</v>
      </c>
    </row>
    <row r="18" spans="2:6" ht="28.5" customHeight="1">
      <c r="B18" s="805">
        <v>1.3</v>
      </c>
      <c r="C18" s="806">
        <v>42544</v>
      </c>
      <c r="D18" s="810" t="s">
        <v>5009</v>
      </c>
      <c r="E18" s="808" t="s">
        <v>5011</v>
      </c>
      <c r="F18" s="809" t="s">
        <v>4990</v>
      </c>
    </row>
    <row r="19" spans="2:6" ht="28.5" customHeight="1">
      <c r="B19" s="805">
        <v>1.4</v>
      </c>
      <c r="C19" s="806">
        <v>42544</v>
      </c>
      <c r="D19" s="810" t="s">
        <v>5009</v>
      </c>
      <c r="E19" s="808" t="s">
        <v>5011</v>
      </c>
      <c r="F19" s="809" t="s">
        <v>5012</v>
      </c>
    </row>
    <row r="20" spans="2:6" ht="28.5" customHeight="1">
      <c r="B20" s="805">
        <v>1.5</v>
      </c>
      <c r="C20" s="806">
        <v>42570</v>
      </c>
      <c r="D20" s="810" t="s">
        <v>5009</v>
      </c>
      <c r="E20" s="808" t="s">
        <v>5013</v>
      </c>
      <c r="F20" s="809" t="s">
        <v>4990</v>
      </c>
    </row>
    <row r="21" spans="2:6" ht="28.5" customHeight="1">
      <c r="B21" s="805">
        <v>1.6</v>
      </c>
      <c r="C21" s="806">
        <v>42604</v>
      </c>
      <c r="D21" s="810" t="s">
        <v>5009</v>
      </c>
      <c r="E21" s="808" t="s">
        <v>5014</v>
      </c>
      <c r="F21" s="809" t="s">
        <v>4990</v>
      </c>
    </row>
    <row r="22" spans="2:6" ht="28.5" customHeight="1">
      <c r="B22" s="805">
        <v>1.7</v>
      </c>
      <c r="C22" s="806">
        <v>42606</v>
      </c>
      <c r="D22" s="810" t="s">
        <v>5009</v>
      </c>
      <c r="E22" s="808" t="s">
        <v>5015</v>
      </c>
      <c r="F22" s="809" t="s">
        <v>4990</v>
      </c>
    </row>
    <row r="23" spans="2:6" ht="28.5" customHeight="1">
      <c r="B23" s="805">
        <v>1.8</v>
      </c>
      <c r="C23" s="812"/>
      <c r="D23" s="810" t="s">
        <v>5016</v>
      </c>
      <c r="E23" s="808" t="s">
        <v>5017</v>
      </c>
      <c r="F23" s="809" t="s">
        <v>5018</v>
      </c>
    </row>
    <row r="24" spans="2:6" ht="28.5" customHeight="1">
      <c r="B24" s="805" t="s">
        <v>5019</v>
      </c>
      <c r="C24" s="806">
        <v>42851</v>
      </c>
      <c r="D24" s="810" t="s">
        <v>5020</v>
      </c>
      <c r="E24" s="808" t="s">
        <v>5021</v>
      </c>
      <c r="F24" s="809" t="s">
        <v>4990</v>
      </c>
    </row>
    <row r="25" spans="2:6" ht="48" customHeight="1">
      <c r="B25" s="412">
        <v>2</v>
      </c>
      <c r="C25" s="813">
        <v>42859</v>
      </c>
      <c r="D25" s="814" t="s">
        <v>5020</v>
      </c>
      <c r="E25" s="815" t="s">
        <v>5022</v>
      </c>
      <c r="F25" s="256" t="s">
        <v>5023</v>
      </c>
    </row>
    <row r="26" spans="2:6" ht="285.60000000000002" customHeight="1">
      <c r="B26" s="257">
        <v>2.1</v>
      </c>
      <c r="C26" s="1265">
        <v>42886</v>
      </c>
      <c r="D26" s="1263" t="s">
        <v>5020</v>
      </c>
      <c r="E26" s="255" t="s">
        <v>5024</v>
      </c>
      <c r="F26" s="1261" t="s">
        <v>5023</v>
      </c>
    </row>
    <row r="27" spans="2:6" ht="128.25">
      <c r="B27" s="801"/>
      <c r="C27" s="1266"/>
      <c r="D27" s="1264"/>
      <c r="E27" s="413" t="s">
        <v>5025</v>
      </c>
      <c r="F27" s="1262"/>
    </row>
    <row r="28" spans="2:6" ht="48" customHeight="1">
      <c r="B28" s="412">
        <v>2.2000000000000002</v>
      </c>
      <c r="C28" s="813">
        <v>42894</v>
      </c>
      <c r="D28" s="814" t="s">
        <v>5026</v>
      </c>
      <c r="E28" s="815" t="s">
        <v>5027</v>
      </c>
      <c r="F28" s="256" t="s">
        <v>5028</v>
      </c>
    </row>
    <row r="29" spans="2:6" ht="48" customHeight="1">
      <c r="B29" s="412" t="s">
        <v>5029</v>
      </c>
      <c r="C29" s="813">
        <v>42944</v>
      </c>
      <c r="D29" s="814" t="s">
        <v>5030</v>
      </c>
      <c r="E29" s="815" t="s">
        <v>5031</v>
      </c>
      <c r="F29" s="256" t="s">
        <v>5032</v>
      </c>
    </row>
    <row r="30" spans="2:6" ht="48" customHeight="1">
      <c r="B30" s="412" t="s">
        <v>5033</v>
      </c>
      <c r="C30" s="813">
        <v>43052</v>
      </c>
      <c r="D30" s="814" t="s">
        <v>5034</v>
      </c>
      <c r="E30" s="815" t="s">
        <v>5035</v>
      </c>
      <c r="F30" s="256" t="s">
        <v>5036</v>
      </c>
    </row>
    <row r="31" spans="2:6" ht="48" customHeight="1">
      <c r="B31" s="412" t="s">
        <v>5037</v>
      </c>
      <c r="C31" s="813">
        <v>43249</v>
      </c>
      <c r="D31" s="814" t="s">
        <v>5038</v>
      </c>
      <c r="E31" s="815" t="s">
        <v>5039</v>
      </c>
      <c r="F31" s="256" t="s">
        <v>5018</v>
      </c>
    </row>
    <row r="32" spans="2:6" ht="48" customHeight="1">
      <c r="B32" s="412" t="s">
        <v>5040</v>
      </c>
      <c r="C32" s="813">
        <v>43510</v>
      </c>
      <c r="D32" s="814"/>
      <c r="E32" s="815" t="s">
        <v>5041</v>
      </c>
      <c r="F32" s="256" t="s">
        <v>5032</v>
      </c>
    </row>
    <row r="33" spans="2:6" ht="30">
      <c r="B33" s="816" t="s">
        <v>5042</v>
      </c>
      <c r="C33" s="817">
        <v>44273</v>
      </c>
      <c r="D33" s="818" t="s">
        <v>5043</v>
      </c>
      <c r="E33" s="819" t="s">
        <v>5044</v>
      </c>
      <c r="F33" s="820" t="s">
        <v>5053</v>
      </c>
    </row>
    <row r="34" spans="2:6" ht="48" customHeight="1">
      <c r="B34" s="412" t="s">
        <v>5049</v>
      </c>
      <c r="C34" s="813">
        <v>44348</v>
      </c>
      <c r="D34" s="821" t="s">
        <v>5050</v>
      </c>
      <c r="E34" s="815" t="s">
        <v>5051</v>
      </c>
      <c r="F34" s="256" t="s">
        <v>5036</v>
      </c>
    </row>
    <row r="35" spans="2:6">
      <c r="B35" s="412" t="s">
        <v>5055</v>
      </c>
      <c r="C35" s="813">
        <v>44363</v>
      </c>
      <c r="D35" s="882" t="s">
        <v>5009</v>
      </c>
      <c r="E35" s="815" t="s">
        <v>5056</v>
      </c>
      <c r="F35" s="256" t="s">
        <v>5036</v>
      </c>
    </row>
    <row r="36" spans="2:6">
      <c r="B36" s="412" t="s">
        <v>5057</v>
      </c>
      <c r="C36" s="813">
        <v>44378</v>
      </c>
      <c r="D36" s="883" t="s">
        <v>5058</v>
      </c>
      <c r="E36" s="815" t="s">
        <v>5059</v>
      </c>
      <c r="F36" s="884" t="s">
        <v>5036</v>
      </c>
    </row>
  </sheetData>
  <dataConsolidate/>
  <mergeCells count="4">
    <mergeCell ref="B2:F2"/>
    <mergeCell ref="F26:F27"/>
    <mergeCell ref="D26:D27"/>
    <mergeCell ref="C26:C27"/>
  </mergeCells>
  <phoneticPr fontId="22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539F"/>
    <pageSetUpPr fitToPage="1"/>
  </sheetPr>
  <dimension ref="A1:P39"/>
  <sheetViews>
    <sheetView tabSelected="1" workbookViewId="0">
      <selection activeCell="E10" sqref="E10"/>
    </sheetView>
  </sheetViews>
  <sheetFormatPr defaultColWidth="6.375" defaultRowHeight="12.75" zeroHeight="1"/>
  <cols>
    <col min="1" max="1" width="9.125" style="135" customWidth="1"/>
    <col min="2" max="2" width="38.875" style="136" bestFit="1" customWidth="1"/>
    <col min="3" max="3" width="38.875" style="135" customWidth="1"/>
    <col min="4" max="4" width="1.75" style="135" customWidth="1"/>
    <col min="5" max="6" width="8.75" style="135" customWidth="1"/>
    <col min="7" max="7" width="9.75" style="135" bestFit="1" customWidth="1"/>
    <col min="8" max="8" width="12" style="135" customWidth="1"/>
    <col min="9" max="9" width="14.875" style="135" customWidth="1"/>
    <col min="10" max="10" width="8.75" style="135" customWidth="1"/>
    <col min="11" max="11" width="8.75" style="137" customWidth="1"/>
    <col min="12" max="12" width="11.375" style="137" hidden="1" customWidth="1"/>
    <col min="13" max="16384" width="6.375" style="137"/>
  </cols>
  <sheetData>
    <row r="1" spans="1:16" s="281" customFormat="1" ht="15" customHeight="1">
      <c r="A1" s="278" t="str">
        <f>"Pennsylvania Lighting Form (PALF) "&amp;'Version Log'!B36&amp;" effective"</f>
        <v>Pennsylvania Lighting Form (PALF) 4.0.2 effective</v>
      </c>
      <c r="B1" s="279"/>
      <c r="C1" s="280">
        <f>MAX('Version Log'!C8:C50)</f>
        <v>44378</v>
      </c>
      <c r="D1" s="279"/>
      <c r="F1" s="279"/>
      <c r="G1" s="279"/>
      <c r="H1" s="279"/>
      <c r="I1" s="279"/>
      <c r="J1" s="279"/>
      <c r="K1" s="279"/>
      <c r="L1" s="279"/>
      <c r="N1" s="279"/>
      <c r="O1" s="279"/>
      <c r="P1" s="279"/>
    </row>
    <row r="2" spans="1:16" s="148" customFormat="1" ht="18">
      <c r="A2" s="925" t="s">
        <v>342</v>
      </c>
      <c r="B2" s="925"/>
      <c r="C2" s="925"/>
      <c r="D2" s="147"/>
      <c r="F2" s="826"/>
      <c r="G2" s="826"/>
      <c r="H2" s="929" t="s">
        <v>343</v>
      </c>
      <c r="I2" s="929"/>
      <c r="J2" s="929"/>
      <c r="K2" s="929"/>
    </row>
    <row r="3" spans="1:16" ht="27" customHeight="1">
      <c r="A3" s="920" t="s">
        <v>344</v>
      </c>
      <c r="B3" s="827" t="s">
        <v>23</v>
      </c>
      <c r="C3" s="438"/>
      <c r="E3" s="828"/>
      <c r="F3" s="828"/>
      <c r="G3" s="828"/>
      <c r="H3" s="926" t="s">
        <v>345</v>
      </c>
      <c r="I3" s="927"/>
      <c r="J3" s="924" t="s">
        <v>346</v>
      </c>
      <c r="K3" s="924"/>
      <c r="L3" s="924" t="s">
        <v>5052</v>
      </c>
    </row>
    <row r="4" spans="1:16" ht="27" customHeight="1">
      <c r="A4" s="921"/>
      <c r="B4" s="827" t="s">
        <v>25</v>
      </c>
      <c r="C4" s="438"/>
      <c r="E4" s="829"/>
      <c r="F4" s="829"/>
      <c r="G4" s="829"/>
      <c r="H4" s="830" t="s">
        <v>347</v>
      </c>
      <c r="I4" s="831" t="s">
        <v>348</v>
      </c>
      <c r="J4" s="924"/>
      <c r="K4" s="924"/>
      <c r="L4" s="924"/>
    </row>
    <row r="5" spans="1:16" ht="27" customHeight="1">
      <c r="A5" s="921"/>
      <c r="B5" s="827" t="s">
        <v>349</v>
      </c>
      <c r="C5" s="438"/>
      <c r="E5" s="832"/>
      <c r="F5" s="832"/>
      <c r="G5" s="833"/>
      <c r="H5" s="834">
        <f>'Lighting Inventory (Ref only)'!AF7</f>
        <v>0</v>
      </c>
      <c r="I5" s="835">
        <f>'Lighting Inventory (Ref only)'!AG7</f>
        <v>0</v>
      </c>
      <c r="J5" s="928">
        <f>MIN(Cost*0.5,L5,500000)</f>
        <v>0</v>
      </c>
      <c r="K5" s="928"/>
      <c r="L5" s="836">
        <f>IFERROR(SUM(Inventory!R10:R1009),"")</f>
        <v>0</v>
      </c>
    </row>
    <row r="6" spans="1:16" ht="27" customHeight="1">
      <c r="A6" s="921"/>
      <c r="B6" s="827" t="s">
        <v>350</v>
      </c>
      <c r="C6" s="439"/>
      <c r="E6" s="136"/>
      <c r="G6" s="137"/>
      <c r="H6" s="137"/>
      <c r="I6" s="138"/>
      <c r="J6" s="137"/>
    </row>
    <row r="7" spans="1:16" ht="27" customHeight="1">
      <c r="A7" s="921"/>
      <c r="B7" s="827" t="s">
        <v>351</v>
      </c>
      <c r="C7" s="438"/>
      <c r="D7" s="837"/>
      <c r="E7" s="923" t="s">
        <v>352</v>
      </c>
      <c r="F7" s="923"/>
      <c r="G7" s="923"/>
      <c r="H7" s="923"/>
      <c r="I7" s="923"/>
      <c r="J7" s="923"/>
      <c r="K7" s="923"/>
      <c r="L7" s="923"/>
    </row>
    <row r="8" spans="1:16" ht="27" customHeight="1">
      <c r="A8" s="921"/>
      <c r="B8" s="827" t="s">
        <v>353</v>
      </c>
      <c r="C8" s="438"/>
      <c r="D8" s="837"/>
      <c r="E8" s="923" t="s">
        <v>354</v>
      </c>
      <c r="F8" s="923"/>
      <c r="G8" s="923"/>
      <c r="H8" s="923"/>
      <c r="I8" s="923"/>
      <c r="J8" s="923"/>
      <c r="K8" s="923"/>
      <c r="L8" s="923"/>
    </row>
    <row r="9" spans="1:16" ht="27" customHeight="1">
      <c r="A9" s="921"/>
      <c r="B9" s="827" t="s">
        <v>33</v>
      </c>
      <c r="C9" s="438"/>
      <c r="D9" s="837"/>
      <c r="I9" s="138"/>
      <c r="J9" s="137"/>
    </row>
    <row r="10" spans="1:16" ht="27" customHeight="1">
      <c r="A10" s="921"/>
      <c r="B10" s="827" t="s">
        <v>35</v>
      </c>
      <c r="C10" s="440"/>
      <c r="E10" s="139"/>
      <c r="F10" s="139"/>
      <c r="G10" s="138"/>
      <c r="H10" s="138"/>
      <c r="I10" s="138"/>
      <c r="J10" s="137"/>
    </row>
    <row r="11" spans="1:16" ht="27" customHeight="1">
      <c r="A11" s="921"/>
      <c r="B11" s="444" t="s">
        <v>37</v>
      </c>
      <c r="C11" s="441"/>
      <c r="D11" s="138"/>
      <c r="E11" s="140"/>
      <c r="F11" s="838"/>
      <c r="G11" s="138"/>
      <c r="H11" s="138"/>
      <c r="I11" s="138"/>
      <c r="J11" s="137"/>
    </row>
    <row r="12" spans="1:16" ht="27" customHeight="1">
      <c r="A12" s="921"/>
      <c r="B12" s="444" t="s">
        <v>355</v>
      </c>
      <c r="C12" s="442"/>
      <c r="D12" s="138"/>
      <c r="E12" s="140"/>
      <c r="F12" s="838"/>
      <c r="G12" s="241"/>
      <c r="H12" s="138"/>
      <c r="I12" s="138"/>
      <c r="J12" s="137"/>
    </row>
    <row r="13" spans="1:16" ht="27" customHeight="1">
      <c r="A13" s="921"/>
      <c r="B13" s="443" t="s">
        <v>356</v>
      </c>
      <c r="C13" s="844"/>
      <c r="D13" s="137"/>
      <c r="E13" s="141"/>
      <c r="F13" s="839"/>
      <c r="G13" s="137"/>
      <c r="I13" s="138"/>
      <c r="J13" s="137"/>
    </row>
    <row r="14" spans="1:16" ht="27" customHeight="1">
      <c r="A14" s="921"/>
      <c r="B14" s="443" t="s">
        <v>357</v>
      </c>
      <c r="C14" s="844"/>
      <c r="D14" s="137"/>
      <c r="E14" s="260"/>
      <c r="F14" s="838"/>
      <c r="J14" s="137"/>
    </row>
    <row r="15" spans="1:16" ht="27" customHeight="1">
      <c r="A15" s="922"/>
      <c r="B15" s="444" t="s">
        <v>358</v>
      </c>
      <c r="C15" s="845"/>
      <c r="D15" s="137"/>
      <c r="E15" s="142"/>
      <c r="G15" s="143"/>
      <c r="H15" s="143"/>
      <c r="I15" s="143"/>
      <c r="J15" s="137"/>
    </row>
    <row r="16" spans="1:16" ht="7.15" customHeight="1">
      <c r="A16" s="445"/>
      <c r="B16" s="840"/>
      <c r="C16" s="841"/>
      <c r="D16" s="142"/>
      <c r="E16" s="142"/>
      <c r="G16" s="144"/>
      <c r="H16" s="144"/>
      <c r="I16" s="144"/>
      <c r="J16" s="137"/>
    </row>
    <row r="17" spans="1:11" ht="27" customHeight="1">
      <c r="A17" s="920" t="s">
        <v>359</v>
      </c>
      <c r="B17" s="446" t="s">
        <v>360</v>
      </c>
      <c r="C17" s="438"/>
      <c r="D17" s="142"/>
      <c r="J17" s="137"/>
    </row>
    <row r="18" spans="1:11" ht="27" customHeight="1">
      <c r="A18" s="921"/>
      <c r="B18" s="446" t="s">
        <v>362</v>
      </c>
      <c r="C18" s="846"/>
      <c r="D18" s="142"/>
      <c r="E18" s="842"/>
      <c r="J18" s="137"/>
    </row>
    <row r="19" spans="1:11" ht="27" customHeight="1">
      <c r="A19" s="921"/>
      <c r="B19" s="446" t="s">
        <v>363</v>
      </c>
      <c r="C19" s="438"/>
      <c r="D19" s="142"/>
      <c r="E19" s="142"/>
      <c r="J19" s="137"/>
    </row>
    <row r="20" spans="1:11" ht="27" customHeight="1">
      <c r="A20" s="921"/>
      <c r="B20" s="446" t="s">
        <v>365</v>
      </c>
      <c r="C20" s="438"/>
      <c r="D20" s="142"/>
      <c r="E20" s="923" t="s">
        <v>367</v>
      </c>
      <c r="F20" s="923"/>
      <c r="G20" s="923"/>
      <c r="H20" s="923"/>
      <c r="I20" s="923"/>
      <c r="J20" s="923"/>
      <c r="K20" s="923"/>
    </row>
    <row r="21" spans="1:11" ht="27" customHeight="1">
      <c r="A21" s="921"/>
      <c r="B21" s="446" t="s">
        <v>368</v>
      </c>
      <c r="C21" s="438"/>
      <c r="D21" s="142"/>
    </row>
    <row r="22" spans="1:11" ht="27" customHeight="1">
      <c r="A22" s="922"/>
      <c r="B22" s="447" t="s">
        <v>369</v>
      </c>
      <c r="C22" s="448"/>
    </row>
    <row r="23" spans="1:11"/>
    <row r="24" spans="1:11" hidden="1">
      <c r="D24" s="137"/>
      <c r="E24" s="145"/>
      <c r="F24" s="145"/>
      <c r="G24" s="145"/>
      <c r="H24" s="145"/>
      <c r="I24" s="145"/>
      <c r="J24" s="145"/>
    </row>
    <row r="25" spans="1:11" hidden="1">
      <c r="E25" s="146"/>
      <c r="F25" s="146"/>
      <c r="G25" s="146"/>
      <c r="H25" s="146"/>
      <c r="I25" s="146"/>
      <c r="J25" s="146"/>
    </row>
    <row r="26" spans="1:11" ht="14.45" hidden="1" customHeight="1">
      <c r="D26" s="145"/>
      <c r="E26" s="146"/>
      <c r="F26" s="146"/>
      <c r="G26" s="146"/>
      <c r="H26" s="146"/>
      <c r="I26" s="146"/>
      <c r="J26" s="146"/>
    </row>
    <row r="27" spans="1:11" hidden="1">
      <c r="D27" s="843"/>
      <c r="E27" s="146"/>
      <c r="F27" s="146"/>
      <c r="G27" s="146"/>
      <c r="H27" s="146"/>
      <c r="I27" s="146"/>
      <c r="J27" s="146"/>
    </row>
    <row r="28" spans="1:11" hidden="1">
      <c r="B28" s="145"/>
      <c r="C28" s="145"/>
      <c r="D28" s="137"/>
      <c r="E28" s="146"/>
      <c r="F28" s="146"/>
      <c r="G28" s="146"/>
      <c r="H28" s="146"/>
      <c r="I28" s="146"/>
      <c r="J28" s="146"/>
    </row>
    <row r="29" spans="1:11" hidden="1">
      <c r="C29" s="138"/>
      <c r="D29" s="138"/>
    </row>
    <row r="30" spans="1:11" hidden="1">
      <c r="C30" s="138"/>
      <c r="D30" s="138"/>
    </row>
    <row r="39"/>
  </sheetData>
  <sheetProtection algorithmName="SHA-512" hashValue="tQxPAKFW06WGAyQyDt/NQnfN0pH5/+kjmG0n4usMN+9twPHevbXpCuREEPhjtqaNREOAgR+y7EiyK2U3zkR0YA==" saltValue="Ivmjo2BBcBr9EL2m17rY8Q==" spinCount="100000" sheet="1" objects="1" scenarios="1"/>
  <protectedRanges>
    <protectedRange sqref="C3:C15" name="Project Info"/>
    <protectedRange sqref="C17:C22" name="Lighting Project Details"/>
  </protectedRanges>
  <mergeCells count="11">
    <mergeCell ref="A17:A22"/>
    <mergeCell ref="E20:K20"/>
    <mergeCell ref="L3:L4"/>
    <mergeCell ref="A2:C2"/>
    <mergeCell ref="H3:I3"/>
    <mergeCell ref="A3:A15"/>
    <mergeCell ref="J3:K4"/>
    <mergeCell ref="J5:K5"/>
    <mergeCell ref="E7:L7"/>
    <mergeCell ref="E8:L8"/>
    <mergeCell ref="H2:K2"/>
  </mergeCells>
  <conditionalFormatting sqref="B22:C22">
    <cfRule type="expression" dxfId="86" priority="7">
      <formula>NC_Type="Space by Space Method"</formula>
    </cfRule>
  </conditionalFormatting>
  <conditionalFormatting sqref="B21:C22">
    <cfRule type="expression" dxfId="85" priority="6">
      <formula>$C$17="Retrofit"</formula>
    </cfRule>
  </conditionalFormatting>
  <conditionalFormatting sqref="B21:B22">
    <cfRule type="expression" dxfId="84" priority="3">
      <formula>NC_Type="Space by Space Method"</formula>
    </cfRule>
    <cfRule type="expression" dxfId="83" priority="4">
      <formula>$C$17="Retrofit"</formula>
    </cfRule>
  </conditionalFormatting>
  <conditionalFormatting sqref="E20:K20">
    <cfRule type="expression" dxfId="82" priority="1">
      <formula>$C$20="Unknown"</formula>
    </cfRule>
  </conditionalFormatting>
  <conditionalFormatting sqref="E8:L8">
    <cfRule type="expression" dxfId="81" priority="190">
      <formula>#REF!&gt;=750000</formula>
    </cfRule>
  </conditionalFormatting>
  <dataValidations xWindow="713" yWindow="831" count="11">
    <dataValidation type="list" allowBlank="1" showInputMessage="1" showErrorMessage="1" prompt="Select the cooling type that occurs most throughout the building." sqref="C19" xr:uid="{00000000-0002-0000-0100-000000000000}">
      <formula1>yCooling_Type</formula1>
    </dataValidation>
    <dataValidation allowBlank="1" showErrorMessage="1" sqref="D27" xr:uid="{00000000-0002-0000-0100-000001000000}"/>
    <dataValidation type="list" allowBlank="1" showInputMessage="1" showErrorMessage="1" sqref="C17" xr:uid="{00000000-0002-0000-0100-000002000000}">
      <formula1>"Retrofit,New Construction"</formula1>
    </dataValidation>
    <dataValidation type="list" allowBlank="1" showErrorMessage="1" sqref="C18" xr:uid="{00000000-0002-0000-0100-000003000000}">
      <formula1>IF(PRJ_Type="New Construction",yNewConstructionBldgType,yBldgType)</formula1>
    </dataValidation>
    <dataValidation type="list" allowBlank="1" showInputMessage="1" showErrorMessage="1" prompt="Select the heating type that occurs most throughout the building. For exterior fixture select &quot;Unknown&quot;." sqref="C20" xr:uid="{00000000-0002-0000-0100-000004000000}">
      <formula1>yHFuel_Type</formula1>
    </dataValidation>
    <dataValidation type="list" allowBlank="1" showInputMessage="1" showErrorMessage="1" prompt="If you require this Space-by-Space method instead of the Building Area Method, please contact the program engineer." sqref="C21" xr:uid="{00000000-0002-0000-0100-000005000000}">
      <formula1>"Building Area Method"</formula1>
    </dataValidation>
    <dataValidation allowBlank="1" showInputMessage="1" showErrorMessage="1" prompt="Optional: If unknown, enter an Electric Rate only." sqref="C14" xr:uid="{00000000-0002-0000-0100-000006000000}"/>
    <dataValidation allowBlank="1" showInputMessage="1" showErrorMessage="1" prompt="Enter the Cost per kWh of electricity . This can be a blended rate." sqref="C13" xr:uid="{00000000-0002-0000-0100-000007000000}"/>
    <dataValidation type="date" allowBlank="1" showInputMessage="1" showErrorMessage="1" errorTitle="Installation Date" error="Invalid installation date. Project must be isntalled during Phase 3 (06/01/2016 - 05/31/2021)." sqref="C12" xr:uid="{E778DFCE-60A5-427B-877A-EC70434D2703}">
      <formula1>44348</formula1>
      <formula2>46173</formula2>
    </dataValidation>
    <dataValidation type="custom" allowBlank="1" showInputMessage="1" showErrorMessage="1" sqref="M1" xr:uid="{1BD3FFEA-9280-4F98-86AC-483FB5574B72}">
      <formula1>OR(M1=1,M1=4)</formula1>
    </dataValidation>
    <dataValidation allowBlank="1" showInputMessage="1" showErrorMessage="1" errorTitle="Installation Date" error="Invalid installation date. Project must be isntalled during Phase 3 (06/01/2016 - 05/31/2021)." sqref="C11" xr:uid="{09869BBA-87BD-4ACF-97A7-4C71668C2727}"/>
  </dataValidations>
  <hyperlinks>
    <hyperlink ref="E26:J26" r:id="rId1" display="Select to view DesignLights Consortium's (DLC) Qualified Product List…" xr:uid="{00000000-0004-0000-0100-000000000000}"/>
  </hyperlinks>
  <pageMargins left="0.7" right="0.7" top="0.75" bottom="0.75" header="0.51180555555555596" footer="0.51180555555555596"/>
  <pageSetup scale="58" firstPageNumber="0" orientation="portrait" horizontalDpi="300" verticalDpi="300" r:id="rId2"/>
  <headerFooter alignWithMargins="0"/>
  <drawing r:id="rId3"/>
  <extLst>
    <ext xmlns:x14="http://schemas.microsoft.com/office/spreadsheetml/2009/9/main" uri="{78C0D931-6437-407d-A8EE-F0AAD7539E65}">
      <x14:conditionalFormattings>
        <x14:conditionalFormatting xmlns:xm="http://schemas.microsoft.com/office/excel/2006/main">
          <x14:cfRule type="expression" priority="191" id="{CF1F1B4E-B270-40AD-806C-178472CF0C6E}">
            <xm:f>AND(#REF!&gt;120000,COUNTA('Usage Groups (&gt;120 MWh only)'!$B$8:$B$12)=0)</xm:f>
            <x14:dxf>
              <font>
                <b/>
                <i val="0"/>
                <color theme="0"/>
              </font>
              <fill>
                <patternFill>
                  <bgColor theme="4"/>
                </patternFill>
              </fill>
              <border>
                <left style="thin">
                  <color auto="1"/>
                </left>
                <right style="thin">
                  <color auto="1"/>
                </right>
                <top style="thin">
                  <color auto="1"/>
                </top>
                <bottom style="thin">
                  <color auto="1"/>
                </bottom>
              </border>
            </x14:dxf>
          </x14:cfRule>
          <xm:sqref>E7:L7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539F"/>
  </sheetPr>
  <dimension ref="A1:I144"/>
  <sheetViews>
    <sheetView workbookViewId="0">
      <pane ySplit="2" topLeftCell="A27" activePane="bottomLeft" state="frozen"/>
      <selection pane="bottomLeft" activeCell="A36" sqref="A36:A88"/>
    </sheetView>
  </sheetViews>
  <sheetFormatPr defaultColWidth="8.25" defaultRowHeight="12.75" zeroHeight="1"/>
  <cols>
    <col min="1" max="1" width="8.75" style="848" customWidth="1"/>
    <col min="2" max="2" width="2.875" style="848" customWidth="1"/>
    <col min="3" max="3" width="30.625" style="848" customWidth="1"/>
    <col min="4" max="4" width="20.25" style="848" customWidth="1"/>
    <col min="5" max="6" width="10.625" style="848" customWidth="1"/>
    <col min="7" max="7" width="16.125" style="848" customWidth="1"/>
    <col min="8" max="8" width="33.25" style="848" customWidth="1"/>
    <col min="9" max="9" width="40.625" style="848" customWidth="1"/>
    <col min="10" max="16384" width="8.25" style="847"/>
  </cols>
  <sheetData>
    <row r="1" spans="1:9" ht="28.15" customHeight="1">
      <c r="A1" s="942" t="s">
        <v>370</v>
      </c>
      <c r="B1" s="942"/>
      <c r="C1" s="942"/>
      <c r="D1" s="942"/>
      <c r="E1" s="942"/>
      <c r="F1" s="942"/>
      <c r="G1" s="942"/>
      <c r="H1" s="942"/>
      <c r="I1" s="942"/>
    </row>
    <row r="2" spans="1:9" ht="40.15" customHeight="1"/>
    <row r="3" spans="1:9" ht="18">
      <c r="A3" s="203" t="s">
        <v>371</v>
      </c>
      <c r="B3" s="131"/>
      <c r="C3" s="131"/>
      <c r="D3" s="131"/>
      <c r="E3" s="131"/>
      <c r="F3" s="131"/>
      <c r="G3" s="131"/>
      <c r="H3" s="131"/>
      <c r="I3" s="131"/>
    </row>
    <row r="4" spans="1:9" ht="15.6" customHeight="1">
      <c r="A4" s="937" t="s">
        <v>372</v>
      </c>
      <c r="B4" s="937"/>
      <c r="C4" s="937"/>
      <c r="D4" s="937"/>
      <c r="E4" s="937"/>
      <c r="F4" s="937"/>
      <c r="G4" s="937"/>
      <c r="H4" s="937"/>
      <c r="I4" s="823"/>
    </row>
    <row r="5" spans="1:9" ht="46.15" customHeight="1">
      <c r="A5" s="938"/>
      <c r="B5" s="938"/>
      <c r="C5" s="938"/>
      <c r="D5" s="938"/>
      <c r="E5" s="938"/>
      <c r="F5" s="938"/>
      <c r="G5" s="938"/>
      <c r="H5" s="938"/>
      <c r="I5" s="824"/>
    </row>
    <row r="6" spans="1:9" s="849" customFormat="1" ht="25.5">
      <c r="A6" s="939" t="s">
        <v>373</v>
      </c>
      <c r="B6" s="449" t="s">
        <v>374</v>
      </c>
      <c r="C6" s="450" t="s">
        <v>375</v>
      </c>
      <c r="D6" s="450" t="s">
        <v>376</v>
      </c>
      <c r="E6" s="451" t="s">
        <v>377</v>
      </c>
      <c r="F6" s="452" t="s">
        <v>378</v>
      </c>
      <c r="G6" s="935" t="s">
        <v>379</v>
      </c>
      <c r="H6" s="936"/>
      <c r="I6" s="936"/>
    </row>
    <row r="7" spans="1:9">
      <c r="A7" s="933"/>
      <c r="B7" s="453">
        <v>1</v>
      </c>
      <c r="C7" s="454"/>
      <c r="D7" s="455"/>
      <c r="E7" s="456" t="str">
        <f t="shared" ref="E7:E31" si="0">IF(D7&gt;0,VLOOKUP(D7,xyWattage_Table,10,0),"")</f>
        <v/>
      </c>
      <c r="F7" s="457" t="str">
        <f t="shared" ref="F7:F31" si="1">IF(D7&gt;0,VLOOKUP(D7,xyWattage_Table,8,0),"")</f>
        <v/>
      </c>
      <c r="G7" s="931"/>
      <c r="H7" s="931"/>
      <c r="I7" s="931"/>
    </row>
    <row r="8" spans="1:9">
      <c r="A8" s="933"/>
      <c r="B8" s="453">
        <v>2</v>
      </c>
      <c r="C8" s="454"/>
      <c r="D8" s="455"/>
      <c r="E8" s="242" t="str">
        <f t="shared" si="0"/>
        <v/>
      </c>
      <c r="F8" s="258" t="str">
        <f t="shared" si="1"/>
        <v/>
      </c>
      <c r="G8" s="931"/>
      <c r="H8" s="931"/>
      <c r="I8" s="931"/>
    </row>
    <row r="9" spans="1:9">
      <c r="A9" s="933"/>
      <c r="B9" s="453">
        <v>3</v>
      </c>
      <c r="C9" s="454"/>
      <c r="D9" s="455"/>
      <c r="E9" s="242" t="str">
        <f t="shared" si="0"/>
        <v/>
      </c>
      <c r="F9" s="258" t="str">
        <f t="shared" si="1"/>
        <v/>
      </c>
      <c r="G9" s="931"/>
      <c r="H9" s="931"/>
      <c r="I9" s="931"/>
    </row>
    <row r="10" spans="1:9">
      <c r="A10" s="933"/>
      <c r="B10" s="453">
        <v>4</v>
      </c>
      <c r="C10" s="454"/>
      <c r="D10" s="458"/>
      <c r="E10" s="242" t="str">
        <f t="shared" si="0"/>
        <v/>
      </c>
      <c r="F10" s="258" t="str">
        <f t="shared" si="1"/>
        <v/>
      </c>
      <c r="G10" s="931"/>
      <c r="H10" s="931"/>
      <c r="I10" s="931"/>
    </row>
    <row r="11" spans="1:9">
      <c r="A11" s="933"/>
      <c r="B11" s="453">
        <v>5</v>
      </c>
      <c r="C11" s="454"/>
      <c r="D11" s="458"/>
      <c r="E11" s="242" t="str">
        <f t="shared" si="0"/>
        <v/>
      </c>
      <c r="F11" s="258" t="str">
        <f t="shared" si="1"/>
        <v/>
      </c>
      <c r="G11" s="931"/>
      <c r="H11" s="931"/>
      <c r="I11" s="931"/>
    </row>
    <row r="12" spans="1:9">
      <c r="A12" s="933"/>
      <c r="B12" s="453">
        <v>6</v>
      </c>
      <c r="C12" s="454"/>
      <c r="D12" s="458"/>
      <c r="E12" s="242" t="str">
        <f t="shared" si="0"/>
        <v/>
      </c>
      <c r="F12" s="258" t="str">
        <f t="shared" si="1"/>
        <v/>
      </c>
      <c r="G12" s="931"/>
      <c r="H12" s="931"/>
      <c r="I12" s="931"/>
    </row>
    <row r="13" spans="1:9">
      <c r="A13" s="933"/>
      <c r="B13" s="453">
        <v>7</v>
      </c>
      <c r="C13" s="454"/>
      <c r="D13" s="458"/>
      <c r="E13" s="242" t="str">
        <f t="shared" si="0"/>
        <v/>
      </c>
      <c r="F13" s="258" t="str">
        <f t="shared" si="1"/>
        <v/>
      </c>
      <c r="G13" s="931"/>
      <c r="H13" s="931"/>
      <c r="I13" s="931"/>
    </row>
    <row r="14" spans="1:9">
      <c r="A14" s="933"/>
      <c r="B14" s="453">
        <v>8</v>
      </c>
      <c r="C14" s="454"/>
      <c r="D14" s="458"/>
      <c r="E14" s="242" t="str">
        <f t="shared" si="0"/>
        <v/>
      </c>
      <c r="F14" s="258" t="str">
        <f t="shared" si="1"/>
        <v/>
      </c>
      <c r="G14" s="931"/>
      <c r="H14" s="931"/>
      <c r="I14" s="931"/>
    </row>
    <row r="15" spans="1:9">
      <c r="A15" s="933"/>
      <c r="B15" s="453">
        <v>9</v>
      </c>
      <c r="C15" s="454"/>
      <c r="D15" s="458"/>
      <c r="E15" s="242" t="str">
        <f t="shared" si="0"/>
        <v/>
      </c>
      <c r="F15" s="258" t="str">
        <f t="shared" si="1"/>
        <v/>
      </c>
      <c r="G15" s="931"/>
      <c r="H15" s="931"/>
      <c r="I15" s="931"/>
    </row>
    <row r="16" spans="1:9">
      <c r="A16" s="933"/>
      <c r="B16" s="453">
        <v>10</v>
      </c>
      <c r="C16" s="454"/>
      <c r="D16" s="458"/>
      <c r="E16" s="242" t="str">
        <f t="shared" si="0"/>
        <v/>
      </c>
      <c r="F16" s="258" t="str">
        <f t="shared" si="1"/>
        <v/>
      </c>
      <c r="G16" s="931"/>
      <c r="H16" s="931"/>
      <c r="I16" s="931"/>
    </row>
    <row r="17" spans="1:9">
      <c r="A17" s="933"/>
      <c r="B17" s="453">
        <v>11</v>
      </c>
      <c r="C17" s="454"/>
      <c r="D17" s="458"/>
      <c r="E17" s="242" t="str">
        <f t="shared" si="0"/>
        <v/>
      </c>
      <c r="F17" s="258" t="str">
        <f t="shared" si="1"/>
        <v/>
      </c>
      <c r="G17" s="931"/>
      <c r="H17" s="931"/>
      <c r="I17" s="931"/>
    </row>
    <row r="18" spans="1:9">
      <c r="A18" s="933"/>
      <c r="B18" s="453">
        <v>12</v>
      </c>
      <c r="C18" s="454"/>
      <c r="D18" s="458"/>
      <c r="E18" s="242" t="str">
        <f t="shared" si="0"/>
        <v/>
      </c>
      <c r="F18" s="258" t="str">
        <f t="shared" si="1"/>
        <v/>
      </c>
      <c r="G18" s="931"/>
      <c r="H18" s="931"/>
      <c r="I18" s="931"/>
    </row>
    <row r="19" spans="1:9">
      <c r="A19" s="933"/>
      <c r="B19" s="453">
        <v>13</v>
      </c>
      <c r="C19" s="454"/>
      <c r="D19" s="458"/>
      <c r="E19" s="242" t="str">
        <f t="shared" si="0"/>
        <v/>
      </c>
      <c r="F19" s="258" t="str">
        <f t="shared" si="1"/>
        <v/>
      </c>
      <c r="G19" s="931"/>
      <c r="H19" s="931"/>
      <c r="I19" s="931"/>
    </row>
    <row r="20" spans="1:9">
      <c r="A20" s="933"/>
      <c r="B20" s="453">
        <v>14</v>
      </c>
      <c r="C20" s="454"/>
      <c r="D20" s="458"/>
      <c r="E20" s="242" t="str">
        <f t="shared" si="0"/>
        <v/>
      </c>
      <c r="F20" s="258" t="str">
        <f t="shared" si="1"/>
        <v/>
      </c>
      <c r="G20" s="931"/>
      <c r="H20" s="931"/>
      <c r="I20" s="931"/>
    </row>
    <row r="21" spans="1:9">
      <c r="A21" s="933"/>
      <c r="B21" s="453">
        <v>15</v>
      </c>
      <c r="C21" s="454"/>
      <c r="D21" s="458"/>
      <c r="E21" s="242" t="str">
        <f t="shared" si="0"/>
        <v/>
      </c>
      <c r="F21" s="258" t="str">
        <f t="shared" si="1"/>
        <v/>
      </c>
      <c r="G21" s="931"/>
      <c r="H21" s="931"/>
      <c r="I21" s="931"/>
    </row>
    <row r="22" spans="1:9">
      <c r="A22" s="933"/>
      <c r="B22" s="453">
        <v>16</v>
      </c>
      <c r="C22" s="454"/>
      <c r="D22" s="458"/>
      <c r="E22" s="242" t="str">
        <f t="shared" si="0"/>
        <v/>
      </c>
      <c r="F22" s="258" t="str">
        <f t="shared" si="1"/>
        <v/>
      </c>
      <c r="G22" s="931"/>
      <c r="H22" s="931"/>
      <c r="I22" s="931"/>
    </row>
    <row r="23" spans="1:9">
      <c r="A23" s="933"/>
      <c r="B23" s="453">
        <v>17</v>
      </c>
      <c r="C23" s="454"/>
      <c r="D23" s="458"/>
      <c r="E23" s="242" t="str">
        <f t="shared" si="0"/>
        <v/>
      </c>
      <c r="F23" s="258" t="str">
        <f t="shared" si="1"/>
        <v/>
      </c>
      <c r="G23" s="931"/>
      <c r="H23" s="931"/>
      <c r="I23" s="931"/>
    </row>
    <row r="24" spans="1:9">
      <c r="A24" s="933"/>
      <c r="B24" s="453">
        <v>18</v>
      </c>
      <c r="C24" s="454"/>
      <c r="D24" s="458"/>
      <c r="E24" s="242" t="str">
        <f t="shared" si="0"/>
        <v/>
      </c>
      <c r="F24" s="258" t="str">
        <f t="shared" si="1"/>
        <v/>
      </c>
      <c r="G24" s="931"/>
      <c r="H24" s="931"/>
      <c r="I24" s="931"/>
    </row>
    <row r="25" spans="1:9">
      <c r="A25" s="933"/>
      <c r="B25" s="453">
        <v>19</v>
      </c>
      <c r="C25" s="454"/>
      <c r="D25" s="458"/>
      <c r="E25" s="242" t="str">
        <f t="shared" si="0"/>
        <v/>
      </c>
      <c r="F25" s="258" t="str">
        <f t="shared" si="1"/>
        <v/>
      </c>
      <c r="G25" s="931"/>
      <c r="H25" s="931"/>
      <c r="I25" s="931"/>
    </row>
    <row r="26" spans="1:9">
      <c r="A26" s="933"/>
      <c r="B26" s="453">
        <v>20</v>
      </c>
      <c r="C26" s="454"/>
      <c r="D26" s="458"/>
      <c r="E26" s="242" t="str">
        <f t="shared" si="0"/>
        <v/>
      </c>
      <c r="F26" s="258" t="str">
        <f t="shared" si="1"/>
        <v/>
      </c>
      <c r="G26" s="931"/>
      <c r="H26" s="931"/>
      <c r="I26" s="931"/>
    </row>
    <row r="27" spans="1:9">
      <c r="A27" s="933"/>
      <c r="B27" s="453">
        <v>21</v>
      </c>
      <c r="C27" s="454"/>
      <c r="D27" s="458"/>
      <c r="E27" s="242" t="str">
        <f t="shared" si="0"/>
        <v/>
      </c>
      <c r="F27" s="258" t="str">
        <f t="shared" si="1"/>
        <v/>
      </c>
      <c r="G27" s="931"/>
      <c r="H27" s="931"/>
      <c r="I27" s="931"/>
    </row>
    <row r="28" spans="1:9">
      <c r="A28" s="933"/>
      <c r="B28" s="453">
        <v>22</v>
      </c>
      <c r="C28" s="454"/>
      <c r="D28" s="458"/>
      <c r="E28" s="242" t="str">
        <f t="shared" si="0"/>
        <v/>
      </c>
      <c r="F28" s="258" t="str">
        <f t="shared" si="1"/>
        <v/>
      </c>
      <c r="G28" s="931"/>
      <c r="H28" s="931"/>
      <c r="I28" s="931"/>
    </row>
    <row r="29" spans="1:9">
      <c r="A29" s="933"/>
      <c r="B29" s="453">
        <v>23</v>
      </c>
      <c r="C29" s="454"/>
      <c r="D29" s="458"/>
      <c r="E29" s="242" t="str">
        <f t="shared" si="0"/>
        <v/>
      </c>
      <c r="F29" s="258" t="str">
        <f t="shared" si="1"/>
        <v/>
      </c>
      <c r="G29" s="931"/>
      <c r="H29" s="931"/>
      <c r="I29" s="931"/>
    </row>
    <row r="30" spans="1:9">
      <c r="A30" s="933"/>
      <c r="B30" s="453">
        <v>24</v>
      </c>
      <c r="C30" s="454"/>
      <c r="D30" s="458"/>
      <c r="E30" s="242" t="str">
        <f t="shared" si="0"/>
        <v/>
      </c>
      <c r="F30" s="258" t="str">
        <f t="shared" si="1"/>
        <v/>
      </c>
      <c r="G30" s="931"/>
      <c r="H30" s="931"/>
      <c r="I30" s="931"/>
    </row>
    <row r="31" spans="1:9">
      <c r="A31" s="934"/>
      <c r="B31" s="453">
        <v>25</v>
      </c>
      <c r="C31" s="454"/>
      <c r="D31" s="458"/>
      <c r="E31" s="459" t="str">
        <f t="shared" si="0"/>
        <v/>
      </c>
      <c r="F31" s="460" t="str">
        <f t="shared" si="1"/>
        <v/>
      </c>
      <c r="G31" s="931"/>
      <c r="H31" s="931"/>
      <c r="I31" s="931"/>
    </row>
    <row r="32" spans="1:9" ht="11.45" customHeight="1"/>
    <row r="33" spans="1:9" ht="18">
      <c r="A33" s="203" t="s">
        <v>381</v>
      </c>
    </row>
    <row r="34" spans="1:9" ht="14.45" customHeight="1">
      <c r="A34" s="937" t="s">
        <v>382</v>
      </c>
      <c r="B34" s="937"/>
      <c r="C34" s="937"/>
      <c r="D34" s="937"/>
      <c r="E34" s="937"/>
      <c r="F34" s="937"/>
      <c r="G34" s="937"/>
      <c r="H34" s="937"/>
      <c r="I34" s="823"/>
    </row>
    <row r="35" spans="1:9" ht="26.45" customHeight="1">
      <c r="A35" s="938"/>
      <c r="B35" s="938"/>
      <c r="C35" s="938"/>
      <c r="D35" s="938"/>
      <c r="E35" s="938"/>
      <c r="F35" s="938"/>
      <c r="G35" s="938"/>
      <c r="H35" s="938"/>
      <c r="I35" s="824"/>
    </row>
    <row r="36" spans="1:9" s="849" customFormat="1" ht="25.9" customHeight="1">
      <c r="A36" s="940" t="s">
        <v>383</v>
      </c>
      <c r="B36" s="461" t="s">
        <v>374</v>
      </c>
      <c r="C36" s="462" t="s">
        <v>384</v>
      </c>
      <c r="D36" s="452" t="s">
        <v>385</v>
      </c>
      <c r="E36" s="822" t="s">
        <v>386</v>
      </c>
      <c r="F36" s="450" t="s">
        <v>387</v>
      </c>
      <c r="G36" s="450" t="s">
        <v>388</v>
      </c>
      <c r="H36" s="450" t="s">
        <v>389</v>
      </c>
      <c r="I36" s="248" t="s">
        <v>379</v>
      </c>
    </row>
    <row r="37" spans="1:9">
      <c r="A37" s="941"/>
      <c r="B37" s="463" t="s">
        <v>390</v>
      </c>
      <c r="C37" s="850" t="s">
        <v>391</v>
      </c>
      <c r="D37" s="464" t="s">
        <v>392</v>
      </c>
      <c r="E37" s="850">
        <v>35</v>
      </c>
      <c r="F37" s="464">
        <v>1</v>
      </c>
      <c r="G37" s="464" t="s">
        <v>393</v>
      </c>
      <c r="H37" s="851" t="s">
        <v>394</v>
      </c>
      <c r="I37" s="851" t="s">
        <v>395</v>
      </c>
    </row>
    <row r="38" spans="1:9">
      <c r="A38" s="941"/>
      <c r="B38" s="463" t="s">
        <v>390</v>
      </c>
      <c r="C38" s="850" t="s">
        <v>396</v>
      </c>
      <c r="D38" s="850" t="s">
        <v>397</v>
      </c>
      <c r="E38" s="850">
        <v>150</v>
      </c>
      <c r="F38" s="464">
        <v>2</v>
      </c>
      <c r="G38" s="464" t="s">
        <v>393</v>
      </c>
      <c r="H38" s="851" t="s">
        <v>398</v>
      </c>
      <c r="I38" s="851" t="s">
        <v>399</v>
      </c>
    </row>
    <row r="39" spans="1:9">
      <c r="A39" s="941"/>
      <c r="B39" s="453">
        <v>1</v>
      </c>
      <c r="C39" s="465"/>
      <c r="D39" s="204" t="str">
        <f>IF(AND(E39="",F39="",G39="",H39=""),"",IF(OR(E39="",F39="",G39="",H39=""),"Complete info in cols. E-H",'Fixture Identities'!B9))</f>
        <v/>
      </c>
      <c r="E39" s="465"/>
      <c r="F39" s="466"/>
      <c r="G39" s="466"/>
      <c r="H39" s="825"/>
      <c r="I39" s="825"/>
    </row>
    <row r="40" spans="1:9">
      <c r="A40" s="941"/>
      <c r="B40" s="453">
        <v>2</v>
      </c>
      <c r="C40" s="465"/>
      <c r="D40" s="204" t="str">
        <f>IF(AND(E40="",F40="",G40="",H40=""),"",IF(OR(E40="",F40="",G40="",H40=""),"Complete info in cols. E-H",'Fixture Identities'!B10))</f>
        <v/>
      </c>
      <c r="E40" s="465"/>
      <c r="F40" s="466"/>
      <c r="G40" s="466"/>
      <c r="H40" s="825"/>
      <c r="I40" s="825"/>
    </row>
    <row r="41" spans="1:9">
      <c r="A41" s="941"/>
      <c r="B41" s="453">
        <f>B40+1</f>
        <v>3</v>
      </c>
      <c r="C41" s="465"/>
      <c r="D41" s="204" t="str">
        <f>IF(AND(E41="",F41="",G41="",H41=""),"",IF(OR(E41="",F41="",G41="",H41=""),"Complete info in cols. E-H",'Fixture Identities'!B11))</f>
        <v/>
      </c>
      <c r="E41" s="465"/>
      <c r="F41" s="466"/>
      <c r="G41" s="466"/>
      <c r="H41" s="825"/>
      <c r="I41" s="825"/>
    </row>
    <row r="42" spans="1:9">
      <c r="A42" s="941"/>
      <c r="B42" s="453">
        <f t="shared" ref="B42:B88" si="2">B41+1</f>
        <v>4</v>
      </c>
      <c r="C42" s="465"/>
      <c r="D42" s="204" t="str">
        <f>IF(AND(E42="",F42="",G42="",H42=""),"",IF(OR(E42="",F42="",G42="",H42=""),"Complete info in cols. E-H",'Fixture Identities'!B12))</f>
        <v/>
      </c>
      <c r="E42" s="465"/>
      <c r="F42" s="466"/>
      <c r="G42" s="466"/>
      <c r="H42" s="825"/>
      <c r="I42" s="825"/>
    </row>
    <row r="43" spans="1:9">
      <c r="A43" s="941"/>
      <c r="B43" s="453">
        <f t="shared" si="2"/>
        <v>5</v>
      </c>
      <c r="C43" s="465"/>
      <c r="D43" s="204" t="str">
        <f>IF(AND(E43="",F43="",G43="",H43=""),"",IF(OR(E43="",F43="",G43="",H43=""),"Complete info in cols. E-H",'Fixture Identities'!B13))</f>
        <v/>
      </c>
      <c r="E43" s="465"/>
      <c r="F43" s="466"/>
      <c r="G43" s="466"/>
      <c r="H43" s="825"/>
      <c r="I43" s="825"/>
    </row>
    <row r="44" spans="1:9">
      <c r="A44" s="941"/>
      <c r="B44" s="453">
        <f t="shared" si="2"/>
        <v>6</v>
      </c>
      <c r="C44" s="465"/>
      <c r="D44" s="204" t="str">
        <f>IF(AND(E44="",F44="",G44="",H44=""),"",IF(OR(E44="",F44="",G44="",H44=""),"Complete info in cols. E-H",'Fixture Identities'!B14))</f>
        <v/>
      </c>
      <c r="E44" s="465"/>
      <c r="F44" s="466"/>
      <c r="G44" s="466"/>
      <c r="H44" s="825"/>
      <c r="I44" s="825"/>
    </row>
    <row r="45" spans="1:9">
      <c r="A45" s="941"/>
      <c r="B45" s="453">
        <f t="shared" si="2"/>
        <v>7</v>
      </c>
      <c r="C45" s="465"/>
      <c r="D45" s="204" t="str">
        <f>IF(AND(E45="",F45="",G45="",H45=""),"",IF(OR(E45="",F45="",G45="",H45=""),"Complete info in cols. E-H",'Fixture Identities'!B15))</f>
        <v/>
      </c>
      <c r="E45" s="465"/>
      <c r="F45" s="466"/>
      <c r="G45" s="466"/>
      <c r="H45" s="825"/>
      <c r="I45" s="825"/>
    </row>
    <row r="46" spans="1:9">
      <c r="A46" s="941"/>
      <c r="B46" s="453">
        <f t="shared" si="2"/>
        <v>8</v>
      </c>
      <c r="C46" s="465"/>
      <c r="D46" s="204" t="str">
        <f>IF(AND(E46="",F46="",G46="",H46=""),"",IF(OR(E46="",F46="",G46="",H46=""),"Complete info in cols. E-H",'Fixture Identities'!B16))</f>
        <v/>
      </c>
      <c r="E46" s="465"/>
      <c r="F46" s="466"/>
      <c r="G46" s="466"/>
      <c r="H46" s="825"/>
      <c r="I46" s="825"/>
    </row>
    <row r="47" spans="1:9">
      <c r="A47" s="941"/>
      <c r="B47" s="453">
        <f t="shared" si="2"/>
        <v>9</v>
      </c>
      <c r="C47" s="465"/>
      <c r="D47" s="204" t="str">
        <f>IF(AND(E47="",F47="",G47="",H47=""),"",IF(OR(E47="",F47="",G47="",H47=""),"Complete info in cols. E-H",'Fixture Identities'!B17))</f>
        <v/>
      </c>
      <c r="E47" s="465"/>
      <c r="F47" s="466"/>
      <c r="G47" s="466"/>
      <c r="H47" s="825"/>
      <c r="I47" s="825"/>
    </row>
    <row r="48" spans="1:9">
      <c r="A48" s="941"/>
      <c r="B48" s="453">
        <f t="shared" si="2"/>
        <v>10</v>
      </c>
      <c r="C48" s="465"/>
      <c r="D48" s="204" t="str">
        <f>IF(AND(E48="",F48="",G48="",H48=""),"",IF(OR(E48="",F48="",G48="",H48=""),"Complete info in cols. E-H",'Fixture Identities'!B18))</f>
        <v/>
      </c>
      <c r="E48" s="465"/>
      <c r="F48" s="466"/>
      <c r="G48" s="466"/>
      <c r="H48" s="825"/>
      <c r="I48" s="825"/>
    </row>
    <row r="49" spans="1:9">
      <c r="A49" s="941"/>
      <c r="B49" s="453">
        <f t="shared" si="2"/>
        <v>11</v>
      </c>
      <c r="C49" s="465"/>
      <c r="D49" s="204" t="str">
        <f>IF(AND(E49="",F49="",G49="",H49=""),"",IF(OR(E49="",F49="",G49="",H49=""),"Complete info in cols. E-H",'Fixture Identities'!B19))</f>
        <v/>
      </c>
      <c r="E49" s="465"/>
      <c r="F49" s="466"/>
      <c r="G49" s="466"/>
      <c r="H49" s="825"/>
      <c r="I49" s="825"/>
    </row>
    <row r="50" spans="1:9">
      <c r="A50" s="941"/>
      <c r="B50" s="453">
        <f t="shared" si="2"/>
        <v>12</v>
      </c>
      <c r="C50" s="465"/>
      <c r="D50" s="204" t="str">
        <f>IF(AND(E50="",F50="",G50="",H50=""),"",IF(OR(E50="",F50="",G50="",H50=""),"Complete info in cols. E-H",'Fixture Identities'!B20))</f>
        <v/>
      </c>
      <c r="E50" s="465"/>
      <c r="F50" s="466"/>
      <c r="G50" s="466"/>
      <c r="H50" s="825"/>
      <c r="I50" s="825"/>
    </row>
    <row r="51" spans="1:9">
      <c r="A51" s="941"/>
      <c r="B51" s="453">
        <f t="shared" si="2"/>
        <v>13</v>
      </c>
      <c r="C51" s="465"/>
      <c r="D51" s="204" t="str">
        <f>IF(AND(E51="",F51="",G51="",H51=""),"",IF(OR(E51="",F51="",G51="",H51=""),"Complete info in cols. E-H",'Fixture Identities'!B21))</f>
        <v/>
      </c>
      <c r="E51" s="465"/>
      <c r="F51" s="466"/>
      <c r="G51" s="466"/>
      <c r="H51" s="825"/>
      <c r="I51" s="825"/>
    </row>
    <row r="52" spans="1:9">
      <c r="A52" s="941"/>
      <c r="B52" s="453">
        <f t="shared" si="2"/>
        <v>14</v>
      </c>
      <c r="C52" s="465"/>
      <c r="D52" s="204" t="str">
        <f>IF(AND(E52="",F52="",G52="",H52=""),"",IF(OR(E52="",F52="",G52="",H52=""),"Complete info in cols. E-H",'Fixture Identities'!B22))</f>
        <v/>
      </c>
      <c r="E52" s="465"/>
      <c r="F52" s="466"/>
      <c r="G52" s="466"/>
      <c r="H52" s="825"/>
      <c r="I52" s="825"/>
    </row>
    <row r="53" spans="1:9">
      <c r="A53" s="941"/>
      <c r="B53" s="453">
        <f t="shared" si="2"/>
        <v>15</v>
      </c>
      <c r="C53" s="465"/>
      <c r="D53" s="204" t="str">
        <f>IF(AND(E53="",F53="",G53="",H53=""),"",IF(OR(E53="",F53="",G53="",H53=""),"Complete info in cols. E-H",'Fixture Identities'!B23))</f>
        <v/>
      </c>
      <c r="E53" s="465"/>
      <c r="F53" s="466"/>
      <c r="G53" s="466"/>
      <c r="H53" s="825"/>
      <c r="I53" s="825"/>
    </row>
    <row r="54" spans="1:9">
      <c r="A54" s="941"/>
      <c r="B54" s="453">
        <f t="shared" si="2"/>
        <v>16</v>
      </c>
      <c r="C54" s="465"/>
      <c r="D54" s="204" t="str">
        <f>IF(AND(E54="",F54="",G54="",H54=""),"",IF(OR(E54="",F54="",G54="",H54=""),"Complete info in cols. E-H",'Fixture Identities'!B24))</f>
        <v/>
      </c>
      <c r="E54" s="465"/>
      <c r="F54" s="466"/>
      <c r="G54" s="466"/>
      <c r="H54" s="825"/>
      <c r="I54" s="825"/>
    </row>
    <row r="55" spans="1:9">
      <c r="A55" s="941"/>
      <c r="B55" s="453">
        <f t="shared" si="2"/>
        <v>17</v>
      </c>
      <c r="C55" s="465"/>
      <c r="D55" s="204" t="str">
        <f>IF(AND(E55="",F55="",G55="",H55=""),"",IF(OR(E55="",F55="",G55="",H55=""),"Complete info in cols. E-H",'Fixture Identities'!B25))</f>
        <v/>
      </c>
      <c r="E55" s="465"/>
      <c r="F55" s="466"/>
      <c r="G55" s="466"/>
      <c r="H55" s="825"/>
      <c r="I55" s="825"/>
    </row>
    <row r="56" spans="1:9">
      <c r="A56" s="941"/>
      <c r="B56" s="453">
        <f t="shared" si="2"/>
        <v>18</v>
      </c>
      <c r="C56" s="465"/>
      <c r="D56" s="204" t="str">
        <f>IF(AND(E56="",F56="",G56="",H56=""),"",IF(OR(E56="",F56="",G56="",H56=""),"Complete info in cols. E-H",'Fixture Identities'!B26))</f>
        <v/>
      </c>
      <c r="E56" s="465"/>
      <c r="F56" s="466"/>
      <c r="G56" s="466"/>
      <c r="H56" s="825"/>
      <c r="I56" s="825"/>
    </row>
    <row r="57" spans="1:9">
      <c r="A57" s="941"/>
      <c r="B57" s="453">
        <f t="shared" si="2"/>
        <v>19</v>
      </c>
      <c r="C57" s="465"/>
      <c r="D57" s="204" t="str">
        <f>IF(AND(E57="",F57="",G57="",H57=""),"",IF(OR(E57="",F57="",G57="",H57=""),"Complete info in cols. E-H",'Fixture Identities'!B27))</f>
        <v/>
      </c>
      <c r="E57" s="465"/>
      <c r="F57" s="466"/>
      <c r="G57" s="466"/>
      <c r="H57" s="825"/>
      <c r="I57" s="825"/>
    </row>
    <row r="58" spans="1:9">
      <c r="A58" s="941"/>
      <c r="B58" s="453">
        <f t="shared" si="2"/>
        <v>20</v>
      </c>
      <c r="C58" s="465"/>
      <c r="D58" s="204" t="str">
        <f>IF(AND(E58="",F58="",G58="",H58=""),"",IF(OR(E58="",F58="",G58="",H58=""),"Complete info in cols. E-H",'Fixture Identities'!B28))</f>
        <v/>
      </c>
      <c r="E58" s="465"/>
      <c r="F58" s="466"/>
      <c r="G58" s="466"/>
      <c r="H58" s="825"/>
      <c r="I58" s="825"/>
    </row>
    <row r="59" spans="1:9">
      <c r="A59" s="941"/>
      <c r="B59" s="453">
        <f t="shared" si="2"/>
        <v>21</v>
      </c>
      <c r="C59" s="465"/>
      <c r="D59" s="204" t="str">
        <f>IF(AND(E59="",F59="",G59="",H59=""),"",IF(OR(E59="",F59="",G59="",H59=""),"Complete info in cols. E-H",'Fixture Identities'!B932))</f>
        <v/>
      </c>
      <c r="E59" s="465"/>
      <c r="F59" s="466"/>
      <c r="G59" s="466"/>
      <c r="H59" s="825"/>
      <c r="I59" s="825"/>
    </row>
    <row r="60" spans="1:9">
      <c r="A60" s="941"/>
      <c r="B60" s="453">
        <f t="shared" si="2"/>
        <v>22</v>
      </c>
      <c r="C60" s="465"/>
      <c r="D60" s="204" t="str">
        <f>IF(AND(E60="",F60="",G60="",H60=""),"",IF(OR(E60="",F60="",G60="",H60=""),"Complete info in cols. E-H",'Fixture Identities'!B933))</f>
        <v/>
      </c>
      <c r="E60" s="465"/>
      <c r="F60" s="466"/>
      <c r="G60" s="466"/>
      <c r="H60" s="825"/>
      <c r="I60" s="825"/>
    </row>
    <row r="61" spans="1:9">
      <c r="A61" s="941"/>
      <c r="B61" s="453">
        <f t="shared" si="2"/>
        <v>23</v>
      </c>
      <c r="C61" s="465"/>
      <c r="D61" s="204" t="str">
        <f>IF(AND(E61="",F61="",G61="",H61=""),"",IF(OR(E61="",F61="",G61="",H61=""),"Complete info in cols. E-H",'Fixture Identities'!B934))</f>
        <v/>
      </c>
      <c r="E61" s="465"/>
      <c r="F61" s="466"/>
      <c r="G61" s="466"/>
      <c r="H61" s="825"/>
      <c r="I61" s="825"/>
    </row>
    <row r="62" spans="1:9">
      <c r="A62" s="941"/>
      <c r="B62" s="453">
        <f t="shared" si="2"/>
        <v>24</v>
      </c>
      <c r="C62" s="465"/>
      <c r="D62" s="204" t="str">
        <f>IF(AND(E62="",F62="",G62="",H62=""),"",IF(OR(E62="",F62="",G62="",H62=""),"Complete info in cols. E-H",'Fixture Identities'!B935))</f>
        <v/>
      </c>
      <c r="E62" s="465"/>
      <c r="F62" s="466"/>
      <c r="G62" s="466"/>
      <c r="H62" s="825"/>
      <c r="I62" s="825"/>
    </row>
    <row r="63" spans="1:9">
      <c r="A63" s="941"/>
      <c r="B63" s="453">
        <f t="shared" si="2"/>
        <v>25</v>
      </c>
      <c r="C63" s="465"/>
      <c r="D63" s="204" t="str">
        <f>IF(AND(E63="",F63="",G63="",H63=""),"",IF(OR(E63="",F63="",G63="",H63=""),"Complete info in cols. E-H",'Fixture Identities'!B936))</f>
        <v/>
      </c>
      <c r="E63" s="465"/>
      <c r="F63" s="466"/>
      <c r="G63" s="466"/>
      <c r="H63" s="825"/>
      <c r="I63" s="825"/>
    </row>
    <row r="64" spans="1:9">
      <c r="A64" s="941"/>
      <c r="B64" s="453">
        <f t="shared" si="2"/>
        <v>26</v>
      </c>
      <c r="C64" s="465"/>
      <c r="D64" s="204" t="str">
        <f>IF(AND(E64="",F64="",G64="",H64=""),"",IF(OR(E64="",F64="",G64="",H64=""),"Complete info in cols. E-H",'Fixture Identities'!B937))</f>
        <v/>
      </c>
      <c r="E64" s="465"/>
      <c r="F64" s="466"/>
      <c r="G64" s="466"/>
      <c r="H64" s="825"/>
      <c r="I64" s="825"/>
    </row>
    <row r="65" spans="1:9">
      <c r="A65" s="941"/>
      <c r="B65" s="453">
        <f t="shared" si="2"/>
        <v>27</v>
      </c>
      <c r="C65" s="465"/>
      <c r="D65" s="204" t="str">
        <f>IF(AND(E65="",F65="",G65="",H65=""),"",IF(OR(E65="",F65="",G65="",H65=""),"Complete info in cols. E-H",'Fixture Identities'!B938))</f>
        <v/>
      </c>
      <c r="E65" s="465"/>
      <c r="F65" s="466"/>
      <c r="G65" s="466"/>
      <c r="H65" s="825"/>
      <c r="I65" s="825"/>
    </row>
    <row r="66" spans="1:9">
      <c r="A66" s="941"/>
      <c r="B66" s="453">
        <f t="shared" si="2"/>
        <v>28</v>
      </c>
      <c r="C66" s="465"/>
      <c r="D66" s="204" t="str">
        <f>IF(AND(E66="",F66="",G66="",H66=""),"",IF(OR(E66="",F66="",G66="",H66=""),"Complete info in cols. E-H",'Fixture Identities'!B939))</f>
        <v/>
      </c>
      <c r="E66" s="465"/>
      <c r="F66" s="466"/>
      <c r="G66" s="466"/>
      <c r="H66" s="825"/>
      <c r="I66" s="825"/>
    </row>
    <row r="67" spans="1:9">
      <c r="A67" s="941"/>
      <c r="B67" s="453">
        <f t="shared" si="2"/>
        <v>29</v>
      </c>
      <c r="C67" s="465"/>
      <c r="D67" s="204" t="str">
        <f>IF(AND(E67="",F67="",G67="",H67=""),"",IF(OR(E67="",F67="",G67="",H67=""),"Complete info in cols. E-H",'Fixture Identities'!B940))</f>
        <v/>
      </c>
      <c r="E67" s="465"/>
      <c r="F67" s="466"/>
      <c r="G67" s="466"/>
      <c r="H67" s="825"/>
      <c r="I67" s="825"/>
    </row>
    <row r="68" spans="1:9">
      <c r="A68" s="941"/>
      <c r="B68" s="453">
        <f t="shared" si="2"/>
        <v>30</v>
      </c>
      <c r="C68" s="465"/>
      <c r="D68" s="204" t="str">
        <f>IF(AND(E68="",F68="",G68="",H68=""),"",IF(OR(E68="",F68="",G68="",H68=""),"Complete info in cols. E-H",'Fixture Identities'!B941))</f>
        <v/>
      </c>
      <c r="E68" s="465"/>
      <c r="F68" s="466"/>
      <c r="G68" s="466"/>
      <c r="H68" s="825"/>
      <c r="I68" s="825"/>
    </row>
    <row r="69" spans="1:9">
      <c r="A69" s="941"/>
      <c r="B69" s="453">
        <f t="shared" si="2"/>
        <v>31</v>
      </c>
      <c r="C69" s="465"/>
      <c r="D69" s="204" t="str">
        <f>IF(AND(E69="",F69="",G69="",H69=""),"",IF(OR(E69="",F69="",G69="",H69=""),"Complete info in cols. E-H",'Fixture Identities'!B942))</f>
        <v/>
      </c>
      <c r="E69" s="465"/>
      <c r="F69" s="466"/>
      <c r="G69" s="466"/>
      <c r="H69" s="825"/>
      <c r="I69" s="825"/>
    </row>
    <row r="70" spans="1:9">
      <c r="A70" s="941"/>
      <c r="B70" s="453">
        <f t="shared" si="2"/>
        <v>32</v>
      </c>
      <c r="C70" s="465"/>
      <c r="D70" s="204" t="str">
        <f>IF(AND(E70="",F70="",G70="",H70=""),"",IF(OR(E70="",F70="",G70="",H70=""),"Complete info in cols. E-H",'Fixture Identities'!B943))</f>
        <v/>
      </c>
      <c r="E70" s="465"/>
      <c r="F70" s="466"/>
      <c r="G70" s="466"/>
      <c r="H70" s="825"/>
      <c r="I70" s="825"/>
    </row>
    <row r="71" spans="1:9">
      <c r="A71" s="941"/>
      <c r="B71" s="453">
        <f t="shared" si="2"/>
        <v>33</v>
      </c>
      <c r="C71" s="465"/>
      <c r="D71" s="204" t="str">
        <f>IF(AND(E71="",F71="",G71="",H71=""),"",IF(OR(E71="",F71="",G71="",H71=""),"Complete info in cols. E-H",'Fixture Identities'!B944))</f>
        <v/>
      </c>
      <c r="E71" s="465"/>
      <c r="F71" s="466"/>
      <c r="G71" s="466"/>
      <c r="H71" s="825"/>
      <c r="I71" s="825"/>
    </row>
    <row r="72" spans="1:9">
      <c r="A72" s="941"/>
      <c r="B72" s="453">
        <f t="shared" si="2"/>
        <v>34</v>
      </c>
      <c r="C72" s="465"/>
      <c r="D72" s="204" t="str">
        <f>IF(AND(E72="",F72="",G72="",H72=""),"",IF(OR(E72="",F72="",G72="",H72=""),"Complete info in cols. E-H",'Fixture Identities'!B945))</f>
        <v/>
      </c>
      <c r="E72" s="465"/>
      <c r="F72" s="466"/>
      <c r="G72" s="466"/>
      <c r="H72" s="825"/>
      <c r="I72" s="825"/>
    </row>
    <row r="73" spans="1:9">
      <c r="A73" s="941"/>
      <c r="B73" s="453">
        <f t="shared" si="2"/>
        <v>35</v>
      </c>
      <c r="C73" s="465"/>
      <c r="D73" s="204" t="str">
        <f>IF(AND(E73="",F73="",G73="",H73=""),"",IF(OR(E73="",F73="",G73="",H73=""),"Complete info in cols. E-H",'Fixture Identities'!B946))</f>
        <v/>
      </c>
      <c r="E73" s="465"/>
      <c r="F73" s="466"/>
      <c r="G73" s="466"/>
      <c r="H73" s="825"/>
      <c r="I73" s="825"/>
    </row>
    <row r="74" spans="1:9">
      <c r="A74" s="941"/>
      <c r="B74" s="453">
        <f t="shared" si="2"/>
        <v>36</v>
      </c>
      <c r="C74" s="465"/>
      <c r="D74" s="204" t="str">
        <f>IF(AND(E74="",F74="",G74="",H74=""),"",IF(OR(E74="",F74="",G74="",H74=""),"Complete info in cols. E-H",'Fixture Identities'!B947))</f>
        <v/>
      </c>
      <c r="E74" s="465"/>
      <c r="F74" s="466"/>
      <c r="G74" s="466"/>
      <c r="H74" s="825"/>
      <c r="I74" s="825"/>
    </row>
    <row r="75" spans="1:9">
      <c r="A75" s="941"/>
      <c r="B75" s="453">
        <f t="shared" si="2"/>
        <v>37</v>
      </c>
      <c r="C75" s="465"/>
      <c r="D75" s="204" t="str">
        <f>IF(AND(E75="",F75="",G75="",H75=""),"",IF(OR(E75="",F75="",G75="",H75=""),"Complete info in cols. E-H",'Fixture Identities'!B948))</f>
        <v/>
      </c>
      <c r="E75" s="465"/>
      <c r="F75" s="466"/>
      <c r="G75" s="466"/>
      <c r="H75" s="825"/>
      <c r="I75" s="825"/>
    </row>
    <row r="76" spans="1:9">
      <c r="A76" s="941"/>
      <c r="B76" s="453">
        <f t="shared" si="2"/>
        <v>38</v>
      </c>
      <c r="C76" s="465"/>
      <c r="D76" s="204" t="str">
        <f>IF(AND(E76="",F76="",G76="",H76=""),"",IF(OR(E76="",F76="",G76="",H76=""),"Complete info in cols. E-H",'Fixture Identities'!B949))</f>
        <v/>
      </c>
      <c r="E76" s="465"/>
      <c r="F76" s="466"/>
      <c r="G76" s="466"/>
      <c r="H76" s="825"/>
      <c r="I76" s="825"/>
    </row>
    <row r="77" spans="1:9">
      <c r="A77" s="941"/>
      <c r="B77" s="453">
        <f t="shared" si="2"/>
        <v>39</v>
      </c>
      <c r="C77" s="465"/>
      <c r="D77" s="204" t="str">
        <f>IF(AND(E77="",F77="",G77="",H77=""),"",IF(OR(E77="",F77="",G77="",H77=""),"Complete info in cols. E-H",'Fixture Identities'!B950))</f>
        <v/>
      </c>
      <c r="E77" s="465"/>
      <c r="F77" s="466"/>
      <c r="G77" s="466"/>
      <c r="H77" s="825"/>
      <c r="I77" s="825"/>
    </row>
    <row r="78" spans="1:9">
      <c r="A78" s="941"/>
      <c r="B78" s="453">
        <f t="shared" si="2"/>
        <v>40</v>
      </c>
      <c r="C78" s="465"/>
      <c r="D78" s="204" t="str">
        <f>IF(AND(E78="",F78="",G78="",H78=""),"",IF(OR(E78="",F78="",G78="",H78=""),"Complete info in cols. E-H",'Fixture Identities'!B951))</f>
        <v/>
      </c>
      <c r="E78" s="465"/>
      <c r="F78" s="466"/>
      <c r="G78" s="466"/>
      <c r="H78" s="825"/>
      <c r="I78" s="825"/>
    </row>
    <row r="79" spans="1:9">
      <c r="A79" s="941"/>
      <c r="B79" s="453">
        <f t="shared" si="2"/>
        <v>41</v>
      </c>
      <c r="C79" s="465"/>
      <c r="D79" s="204" t="str">
        <f>IF(AND(E79="",F79="",G79="",H79=""),"",IF(OR(E79="",F79="",G79="",H79=""),"Complete info in cols. E-H",'Fixture Identities'!B952))</f>
        <v/>
      </c>
      <c r="E79" s="465"/>
      <c r="F79" s="466"/>
      <c r="G79" s="466"/>
      <c r="H79" s="825"/>
      <c r="I79" s="825"/>
    </row>
    <row r="80" spans="1:9">
      <c r="A80" s="941"/>
      <c r="B80" s="453">
        <f t="shared" si="2"/>
        <v>42</v>
      </c>
      <c r="C80" s="465"/>
      <c r="D80" s="204" t="str">
        <f>IF(AND(E80="",F80="",G80="",H80=""),"",IF(OR(E80="",F80="",G80="",H80=""),"Complete info in cols. E-H",'Fixture Identities'!B953))</f>
        <v/>
      </c>
      <c r="E80" s="465"/>
      <c r="F80" s="466"/>
      <c r="G80" s="466"/>
      <c r="H80" s="825"/>
      <c r="I80" s="825"/>
    </row>
    <row r="81" spans="1:9">
      <c r="A81" s="941"/>
      <c r="B81" s="453">
        <f t="shared" si="2"/>
        <v>43</v>
      </c>
      <c r="C81" s="465"/>
      <c r="D81" s="204" t="str">
        <f>IF(AND(E81="",F81="",G81="",H81=""),"",IF(OR(E81="",F81="",G81="",H81=""),"Complete info in cols. E-H",'Fixture Identities'!B954))</f>
        <v/>
      </c>
      <c r="E81" s="465"/>
      <c r="F81" s="466"/>
      <c r="G81" s="466"/>
      <c r="H81" s="825"/>
      <c r="I81" s="825"/>
    </row>
    <row r="82" spans="1:9">
      <c r="A82" s="941"/>
      <c r="B82" s="453">
        <f t="shared" si="2"/>
        <v>44</v>
      </c>
      <c r="C82" s="465"/>
      <c r="D82" s="204" t="str">
        <f>IF(AND(E82="",F82="",G82="",H82=""),"",IF(OR(E82="",F82="",G82="",H82=""),"Complete info in cols. E-H",'Fixture Identities'!B955))</f>
        <v/>
      </c>
      <c r="E82" s="465"/>
      <c r="F82" s="466"/>
      <c r="G82" s="466"/>
      <c r="H82" s="825"/>
      <c r="I82" s="825"/>
    </row>
    <row r="83" spans="1:9">
      <c r="A83" s="941"/>
      <c r="B83" s="453">
        <f t="shared" si="2"/>
        <v>45</v>
      </c>
      <c r="C83" s="465"/>
      <c r="D83" s="204" t="str">
        <f>IF(AND(E83="",F83="",G83="",H83=""),"",IF(OR(E83="",F83="",G83="",H83=""),"Complete info in cols. E-H",'Fixture Identities'!B956))</f>
        <v/>
      </c>
      <c r="E83" s="465"/>
      <c r="F83" s="466"/>
      <c r="G83" s="466"/>
      <c r="H83" s="825"/>
      <c r="I83" s="825"/>
    </row>
    <row r="84" spans="1:9">
      <c r="A84" s="941"/>
      <c r="B84" s="453">
        <f t="shared" si="2"/>
        <v>46</v>
      </c>
      <c r="C84" s="465"/>
      <c r="D84" s="204" t="str">
        <f>IF(AND(E84="",F84="",G84="",H84=""),"",IF(OR(E84="",F84="",G84="",H84=""),"Complete info in cols. E-H",'Fixture Identities'!B957))</f>
        <v/>
      </c>
      <c r="E84" s="465"/>
      <c r="F84" s="466"/>
      <c r="G84" s="466"/>
      <c r="H84" s="825"/>
      <c r="I84" s="825"/>
    </row>
    <row r="85" spans="1:9">
      <c r="A85" s="941"/>
      <c r="B85" s="453">
        <f t="shared" si="2"/>
        <v>47</v>
      </c>
      <c r="C85" s="465"/>
      <c r="D85" s="204" t="str">
        <f>IF(AND(E85="",F85="",G85="",H85=""),"",IF(OR(E85="",F85="",G85="",H85=""),"Complete info in cols. E-H",'Fixture Identities'!B958))</f>
        <v/>
      </c>
      <c r="E85" s="465"/>
      <c r="F85" s="466"/>
      <c r="G85" s="466"/>
      <c r="H85" s="825"/>
      <c r="I85" s="825"/>
    </row>
    <row r="86" spans="1:9">
      <c r="A86" s="941"/>
      <c r="B86" s="453">
        <f t="shared" si="2"/>
        <v>48</v>
      </c>
      <c r="C86" s="465"/>
      <c r="D86" s="204" t="str">
        <f>IF(AND(E86="",F86="",G86="",H86=""),"",IF(OR(E86="",F86="",G86="",H86=""),"Complete info in cols. E-H",'Fixture Identities'!B959))</f>
        <v/>
      </c>
      <c r="E86" s="465"/>
      <c r="F86" s="466"/>
      <c r="G86" s="466"/>
      <c r="H86" s="825"/>
      <c r="I86" s="825"/>
    </row>
    <row r="87" spans="1:9">
      <c r="A87" s="941"/>
      <c r="B87" s="453">
        <f t="shared" si="2"/>
        <v>49</v>
      </c>
      <c r="C87" s="465"/>
      <c r="D87" s="204" t="str">
        <f>IF(AND(E87="",F87="",G87="",H87=""),"",IF(OR(E87="",F87="",G87="",H87=""),"Complete info in cols. E-H",'Fixture Identities'!B960))</f>
        <v/>
      </c>
      <c r="E87" s="465"/>
      <c r="F87" s="466"/>
      <c r="G87" s="466"/>
      <c r="H87" s="825"/>
      <c r="I87" s="825"/>
    </row>
    <row r="88" spans="1:9">
      <c r="A88" s="941"/>
      <c r="B88" s="453">
        <f t="shared" si="2"/>
        <v>50</v>
      </c>
      <c r="C88" s="465"/>
      <c r="D88" s="204" t="str">
        <f>IF(AND(E88="",F88="",G88="",H88=""),"",IF(OR(E88="",F88="",G88="",H88=""),"Complete info in cols. E-H",'Fixture Identities'!B961))</f>
        <v/>
      </c>
      <c r="E88" s="465"/>
      <c r="F88" s="466"/>
      <c r="G88" s="466"/>
      <c r="H88" s="825"/>
      <c r="I88" s="825"/>
    </row>
    <row r="89" spans="1:9" ht="19.149999999999999" customHeight="1">
      <c r="A89" s="203" t="s">
        <v>402</v>
      </c>
    </row>
    <row r="90" spans="1:9" ht="13.9" customHeight="1">
      <c r="A90" s="937" t="s">
        <v>403</v>
      </c>
      <c r="B90" s="937"/>
      <c r="C90" s="937"/>
      <c r="D90" s="937"/>
      <c r="E90" s="937"/>
      <c r="F90" s="937"/>
      <c r="G90" s="937"/>
      <c r="H90" s="937"/>
      <c r="I90" s="823"/>
    </row>
    <row r="91" spans="1:9">
      <c r="A91" s="938"/>
      <c r="B91" s="938"/>
      <c r="C91" s="938"/>
      <c r="D91" s="938"/>
      <c r="E91" s="938"/>
      <c r="F91" s="938"/>
      <c r="G91" s="938"/>
      <c r="H91" s="938"/>
      <c r="I91" s="823"/>
    </row>
    <row r="92" spans="1:9" ht="39.6" customHeight="1">
      <c r="A92" s="932" t="s">
        <v>404</v>
      </c>
      <c r="B92" s="449" t="s">
        <v>374</v>
      </c>
      <c r="C92" s="450" t="s">
        <v>405</v>
      </c>
      <c r="D92" s="452" t="s">
        <v>406</v>
      </c>
      <c r="E92" s="822" t="s">
        <v>386</v>
      </c>
      <c r="F92" s="450" t="s">
        <v>389</v>
      </c>
      <c r="G92" s="935" t="s">
        <v>379</v>
      </c>
      <c r="H92" s="936"/>
      <c r="I92" s="847"/>
    </row>
    <row r="93" spans="1:9">
      <c r="A93" s="933"/>
      <c r="B93" s="453">
        <v>1</v>
      </c>
      <c r="C93" s="465"/>
      <c r="D93" s="467" t="str">
        <f>IF(E93="","","Cut Sheet "&amp;B93)</f>
        <v/>
      </c>
      <c r="E93" s="465"/>
      <c r="F93" s="468"/>
      <c r="G93" s="930"/>
      <c r="H93" s="931"/>
      <c r="I93" s="847" t="str">
        <f>IF(F93="Screw-In","**Do not this area for screw-in LEDs of 26W and less","")</f>
        <v/>
      </c>
    </row>
    <row r="94" spans="1:9">
      <c r="A94" s="933"/>
      <c r="B94" s="453">
        <v>2</v>
      </c>
      <c r="C94" s="465"/>
      <c r="D94" s="204" t="str">
        <f>IF(E94="","","Cut Sheet "&amp;B94)</f>
        <v/>
      </c>
      <c r="E94" s="465"/>
      <c r="F94" s="468"/>
      <c r="G94" s="930"/>
      <c r="H94" s="931"/>
      <c r="I94" s="847" t="str">
        <f t="shared" ref="I94:I120" si="3">IF(F94="Screw-In","**Do not this area for screw-in LEDs of 26W and less","")</f>
        <v/>
      </c>
    </row>
    <row r="95" spans="1:9">
      <c r="A95" s="933"/>
      <c r="B95" s="453">
        <v>3</v>
      </c>
      <c r="C95" s="465"/>
      <c r="D95" s="204" t="str">
        <f t="shared" ref="D95:D120" si="4">IF(E95="","","Cut Sheet "&amp;B95)</f>
        <v/>
      </c>
      <c r="E95" s="465"/>
      <c r="F95" s="468"/>
      <c r="G95" s="930"/>
      <c r="H95" s="931"/>
      <c r="I95" s="847" t="str">
        <f t="shared" si="3"/>
        <v/>
      </c>
    </row>
    <row r="96" spans="1:9">
      <c r="A96" s="933"/>
      <c r="B96" s="453">
        <v>4</v>
      </c>
      <c r="C96" s="465"/>
      <c r="D96" s="204" t="str">
        <f t="shared" si="4"/>
        <v/>
      </c>
      <c r="E96" s="465"/>
      <c r="F96" s="468"/>
      <c r="G96" s="930"/>
      <c r="H96" s="931"/>
      <c r="I96" s="847" t="str">
        <f t="shared" si="3"/>
        <v/>
      </c>
    </row>
    <row r="97" spans="1:9">
      <c r="A97" s="933"/>
      <c r="B97" s="453">
        <v>5</v>
      </c>
      <c r="C97" s="465"/>
      <c r="D97" s="204" t="str">
        <f t="shared" si="4"/>
        <v/>
      </c>
      <c r="E97" s="465"/>
      <c r="F97" s="468"/>
      <c r="G97" s="930"/>
      <c r="H97" s="931"/>
      <c r="I97" s="847" t="str">
        <f t="shared" si="3"/>
        <v/>
      </c>
    </row>
    <row r="98" spans="1:9">
      <c r="A98" s="933"/>
      <c r="B98" s="453">
        <v>6</v>
      </c>
      <c r="C98" s="465"/>
      <c r="D98" s="204" t="str">
        <f t="shared" si="4"/>
        <v/>
      </c>
      <c r="E98" s="465"/>
      <c r="F98" s="468"/>
      <c r="G98" s="930"/>
      <c r="H98" s="931"/>
      <c r="I98" s="847" t="str">
        <f t="shared" si="3"/>
        <v/>
      </c>
    </row>
    <row r="99" spans="1:9">
      <c r="A99" s="933"/>
      <c r="B99" s="453">
        <v>7</v>
      </c>
      <c r="C99" s="465"/>
      <c r="D99" s="204" t="str">
        <f t="shared" si="4"/>
        <v/>
      </c>
      <c r="E99" s="465"/>
      <c r="F99" s="468"/>
      <c r="G99" s="930"/>
      <c r="H99" s="931"/>
      <c r="I99" s="847" t="str">
        <f t="shared" si="3"/>
        <v/>
      </c>
    </row>
    <row r="100" spans="1:9">
      <c r="A100" s="933"/>
      <c r="B100" s="453">
        <v>8</v>
      </c>
      <c r="C100" s="465"/>
      <c r="D100" s="204" t="str">
        <f t="shared" si="4"/>
        <v/>
      </c>
      <c r="E100" s="465"/>
      <c r="F100" s="468"/>
      <c r="G100" s="930"/>
      <c r="H100" s="931"/>
      <c r="I100" s="847" t="str">
        <f t="shared" si="3"/>
        <v/>
      </c>
    </row>
    <row r="101" spans="1:9">
      <c r="A101" s="933"/>
      <c r="B101" s="453">
        <v>9</v>
      </c>
      <c r="C101" s="465"/>
      <c r="D101" s="204" t="str">
        <f t="shared" si="4"/>
        <v/>
      </c>
      <c r="E101" s="465"/>
      <c r="F101" s="468"/>
      <c r="G101" s="930"/>
      <c r="H101" s="931"/>
      <c r="I101" s="847" t="str">
        <f t="shared" si="3"/>
        <v/>
      </c>
    </row>
    <row r="102" spans="1:9">
      <c r="A102" s="933"/>
      <c r="B102" s="453">
        <v>10</v>
      </c>
      <c r="C102" s="465"/>
      <c r="D102" s="204" t="str">
        <f t="shared" si="4"/>
        <v/>
      </c>
      <c r="E102" s="465"/>
      <c r="F102" s="468"/>
      <c r="G102" s="930"/>
      <c r="H102" s="931"/>
      <c r="I102" s="847" t="str">
        <f t="shared" si="3"/>
        <v/>
      </c>
    </row>
    <row r="103" spans="1:9">
      <c r="A103" s="933"/>
      <c r="B103" s="453">
        <v>11</v>
      </c>
      <c r="C103" s="465"/>
      <c r="D103" s="204" t="str">
        <f t="shared" si="4"/>
        <v/>
      </c>
      <c r="E103" s="465"/>
      <c r="F103" s="468"/>
      <c r="G103" s="930"/>
      <c r="H103" s="931"/>
      <c r="I103" s="847" t="str">
        <f t="shared" si="3"/>
        <v/>
      </c>
    </row>
    <row r="104" spans="1:9">
      <c r="A104" s="933"/>
      <c r="B104" s="453">
        <v>12</v>
      </c>
      <c r="C104" s="465"/>
      <c r="D104" s="204" t="str">
        <f t="shared" si="4"/>
        <v/>
      </c>
      <c r="E104" s="465"/>
      <c r="F104" s="468"/>
      <c r="G104" s="930"/>
      <c r="H104" s="931"/>
      <c r="I104" s="847" t="str">
        <f t="shared" si="3"/>
        <v/>
      </c>
    </row>
    <row r="105" spans="1:9">
      <c r="A105" s="933"/>
      <c r="B105" s="453">
        <v>13</v>
      </c>
      <c r="C105" s="465"/>
      <c r="D105" s="204" t="str">
        <f t="shared" si="4"/>
        <v/>
      </c>
      <c r="E105" s="465"/>
      <c r="F105" s="468"/>
      <c r="G105" s="930"/>
      <c r="H105" s="931"/>
      <c r="I105" s="847" t="str">
        <f t="shared" si="3"/>
        <v/>
      </c>
    </row>
    <row r="106" spans="1:9">
      <c r="A106" s="933"/>
      <c r="B106" s="453">
        <v>14</v>
      </c>
      <c r="C106" s="465"/>
      <c r="D106" s="204" t="str">
        <f t="shared" si="4"/>
        <v/>
      </c>
      <c r="E106" s="465"/>
      <c r="F106" s="468"/>
      <c r="G106" s="930"/>
      <c r="H106" s="931"/>
      <c r="I106" s="847" t="str">
        <f t="shared" si="3"/>
        <v/>
      </c>
    </row>
    <row r="107" spans="1:9">
      <c r="A107" s="933"/>
      <c r="B107" s="453">
        <v>15</v>
      </c>
      <c r="C107" s="465"/>
      <c r="D107" s="204" t="str">
        <f t="shared" si="4"/>
        <v/>
      </c>
      <c r="E107" s="465"/>
      <c r="F107" s="468"/>
      <c r="G107" s="930"/>
      <c r="H107" s="931"/>
      <c r="I107" s="847" t="str">
        <f t="shared" si="3"/>
        <v/>
      </c>
    </row>
    <row r="108" spans="1:9">
      <c r="A108" s="933"/>
      <c r="B108" s="453">
        <v>16</v>
      </c>
      <c r="C108" s="465"/>
      <c r="D108" s="204" t="str">
        <f t="shared" si="4"/>
        <v/>
      </c>
      <c r="E108" s="465"/>
      <c r="F108" s="468"/>
      <c r="G108" s="930"/>
      <c r="H108" s="931"/>
      <c r="I108" s="847" t="str">
        <f t="shared" si="3"/>
        <v/>
      </c>
    </row>
    <row r="109" spans="1:9">
      <c r="A109" s="933"/>
      <c r="B109" s="453">
        <v>17</v>
      </c>
      <c r="C109" s="465"/>
      <c r="D109" s="204" t="str">
        <f t="shared" si="4"/>
        <v/>
      </c>
      <c r="E109" s="465"/>
      <c r="F109" s="468"/>
      <c r="G109" s="930"/>
      <c r="H109" s="931"/>
      <c r="I109" s="847" t="str">
        <f t="shared" si="3"/>
        <v/>
      </c>
    </row>
    <row r="110" spans="1:9">
      <c r="A110" s="933"/>
      <c r="B110" s="453">
        <v>18</v>
      </c>
      <c r="C110" s="465"/>
      <c r="D110" s="204" t="str">
        <f t="shared" si="4"/>
        <v/>
      </c>
      <c r="E110" s="465"/>
      <c r="F110" s="468"/>
      <c r="G110" s="930"/>
      <c r="H110" s="931"/>
      <c r="I110" s="847" t="str">
        <f t="shared" si="3"/>
        <v/>
      </c>
    </row>
    <row r="111" spans="1:9">
      <c r="A111" s="933"/>
      <c r="B111" s="453">
        <v>19</v>
      </c>
      <c r="C111" s="465"/>
      <c r="D111" s="204" t="str">
        <f t="shared" si="4"/>
        <v/>
      </c>
      <c r="E111" s="465"/>
      <c r="F111" s="468"/>
      <c r="G111" s="930"/>
      <c r="H111" s="931"/>
      <c r="I111" s="847" t="str">
        <f t="shared" si="3"/>
        <v/>
      </c>
    </row>
    <row r="112" spans="1:9">
      <c r="A112" s="933"/>
      <c r="B112" s="453">
        <v>20</v>
      </c>
      <c r="C112" s="465"/>
      <c r="D112" s="204" t="str">
        <f t="shared" si="4"/>
        <v/>
      </c>
      <c r="E112" s="465"/>
      <c r="F112" s="468"/>
      <c r="G112" s="930"/>
      <c r="H112" s="931"/>
      <c r="I112" s="847" t="str">
        <f t="shared" si="3"/>
        <v/>
      </c>
    </row>
    <row r="113" spans="1:9">
      <c r="A113" s="933"/>
      <c r="B113" s="453">
        <v>21</v>
      </c>
      <c r="C113" s="465"/>
      <c r="D113" s="204" t="str">
        <f t="shared" si="4"/>
        <v/>
      </c>
      <c r="E113" s="465"/>
      <c r="F113" s="468"/>
      <c r="G113" s="930"/>
      <c r="H113" s="931"/>
      <c r="I113" s="847" t="str">
        <f t="shared" si="3"/>
        <v/>
      </c>
    </row>
    <row r="114" spans="1:9">
      <c r="A114" s="933"/>
      <c r="B114" s="453">
        <v>22</v>
      </c>
      <c r="C114" s="465"/>
      <c r="D114" s="204" t="str">
        <f t="shared" si="4"/>
        <v/>
      </c>
      <c r="E114" s="465"/>
      <c r="F114" s="468"/>
      <c r="G114" s="930"/>
      <c r="H114" s="931"/>
      <c r="I114" s="847" t="str">
        <f t="shared" si="3"/>
        <v/>
      </c>
    </row>
    <row r="115" spans="1:9">
      <c r="A115" s="933"/>
      <c r="B115" s="453">
        <v>23</v>
      </c>
      <c r="C115" s="465"/>
      <c r="D115" s="204" t="str">
        <f t="shared" si="4"/>
        <v/>
      </c>
      <c r="E115" s="465"/>
      <c r="F115" s="468"/>
      <c r="G115" s="930"/>
      <c r="H115" s="931"/>
      <c r="I115" s="847" t="str">
        <f t="shared" si="3"/>
        <v/>
      </c>
    </row>
    <row r="116" spans="1:9">
      <c r="A116" s="933"/>
      <c r="B116" s="453">
        <v>24</v>
      </c>
      <c r="C116" s="465"/>
      <c r="D116" s="204" t="str">
        <f t="shared" si="4"/>
        <v/>
      </c>
      <c r="E116" s="465"/>
      <c r="F116" s="468"/>
      <c r="G116" s="930"/>
      <c r="H116" s="931"/>
      <c r="I116" s="847" t="str">
        <f t="shared" si="3"/>
        <v/>
      </c>
    </row>
    <row r="117" spans="1:9">
      <c r="A117" s="933"/>
      <c r="B117" s="453">
        <v>25</v>
      </c>
      <c r="C117" s="465"/>
      <c r="D117" s="204" t="str">
        <f t="shared" si="4"/>
        <v/>
      </c>
      <c r="E117" s="465"/>
      <c r="F117" s="468"/>
      <c r="G117" s="930"/>
      <c r="H117" s="931"/>
      <c r="I117" s="847" t="str">
        <f t="shared" si="3"/>
        <v/>
      </c>
    </row>
    <row r="118" spans="1:9">
      <c r="A118" s="933"/>
      <c r="B118" s="453">
        <v>26</v>
      </c>
      <c r="C118" s="465"/>
      <c r="D118" s="204" t="str">
        <f t="shared" si="4"/>
        <v/>
      </c>
      <c r="E118" s="465"/>
      <c r="F118" s="468"/>
      <c r="G118" s="930"/>
      <c r="H118" s="931"/>
      <c r="I118" s="847" t="str">
        <f t="shared" si="3"/>
        <v/>
      </c>
    </row>
    <row r="119" spans="1:9">
      <c r="A119" s="933"/>
      <c r="B119" s="453">
        <v>27</v>
      </c>
      <c r="C119" s="465"/>
      <c r="D119" s="204" t="str">
        <f t="shared" si="4"/>
        <v/>
      </c>
      <c r="E119" s="465"/>
      <c r="F119" s="468"/>
      <c r="G119" s="930"/>
      <c r="H119" s="931"/>
      <c r="I119" s="847" t="str">
        <f t="shared" si="3"/>
        <v/>
      </c>
    </row>
    <row r="120" spans="1:9">
      <c r="A120" s="934"/>
      <c r="B120" s="453">
        <v>28</v>
      </c>
      <c r="C120" s="465"/>
      <c r="D120" s="204" t="str">
        <f t="shared" si="4"/>
        <v/>
      </c>
      <c r="E120" s="465"/>
      <c r="F120" s="468"/>
      <c r="G120" s="930"/>
      <c r="H120" s="931"/>
      <c r="I120" s="847" t="str">
        <f t="shared" si="3"/>
        <v/>
      </c>
    </row>
    <row r="121" spans="1:9">
      <c r="D121" s="852"/>
    </row>
    <row r="122" spans="1:9"/>
    <row r="123" spans="1:9"/>
    <row r="124" spans="1:9"/>
    <row r="125" spans="1:9"/>
    <row r="126" spans="1:9"/>
    <row r="127" spans="1:9"/>
    <row r="128" spans="1:9"/>
    <row r="129"/>
    <row r="130"/>
    <row r="131"/>
    <row r="132"/>
    <row r="133"/>
    <row r="134"/>
    <row r="135"/>
    <row r="136"/>
    <row r="137"/>
    <row r="138"/>
    <row r="139"/>
    <row r="140"/>
    <row r="141"/>
    <row r="142"/>
    <row r="143"/>
    <row r="144"/>
  </sheetData>
  <sheetProtection algorithmName="SHA-512" hashValue="AXl6yBqaCemT5p3n9bF9G93j086ijbPtyhc7jODFsydczQqn0rN82niTtlwH5D9zeDxifGjm4j33gl4GIxqUZA==" saltValue="XcyFM0mIbNi5U1W365lkXw==" spinCount="100000" sheet="1" objects="1" scenarios="1"/>
  <protectedRanges>
    <protectedRange sqref="C37:C88 E37:I88" name="LED Schedule"/>
    <protectedRange sqref="G7:I31 C7:D31" name="Fixture Schedule"/>
    <protectedRange sqref="C93:C120 E93:G120" name="Range3"/>
  </protectedRanges>
  <mergeCells count="62">
    <mergeCell ref="A1:I1"/>
    <mergeCell ref="G31:I31"/>
    <mergeCell ref="G26:I26"/>
    <mergeCell ref="G27:I27"/>
    <mergeCell ref="G28:I28"/>
    <mergeCell ref="G29:I29"/>
    <mergeCell ref="G30:I30"/>
    <mergeCell ref="G21:I21"/>
    <mergeCell ref="G22:I22"/>
    <mergeCell ref="G23:I23"/>
    <mergeCell ref="G24:I24"/>
    <mergeCell ref="G25:I25"/>
    <mergeCell ref="G6:I6"/>
    <mergeCell ref="G7:I7"/>
    <mergeCell ref="G8:I8"/>
    <mergeCell ref="G9:I9"/>
    <mergeCell ref="G20:I20"/>
    <mergeCell ref="A4:H5"/>
    <mergeCell ref="A6:A31"/>
    <mergeCell ref="A34:H35"/>
    <mergeCell ref="A90:H91"/>
    <mergeCell ref="G15:I15"/>
    <mergeCell ref="G16:I16"/>
    <mergeCell ref="G17:I17"/>
    <mergeCell ref="G18:I18"/>
    <mergeCell ref="G19:I19"/>
    <mergeCell ref="G10:I10"/>
    <mergeCell ref="G11:I11"/>
    <mergeCell ref="G12:I12"/>
    <mergeCell ref="G13:I13"/>
    <mergeCell ref="G14:I14"/>
    <mergeCell ref="A36:A88"/>
    <mergeCell ref="A92:A120"/>
    <mergeCell ref="G92:H92"/>
    <mergeCell ref="G93:H93"/>
    <mergeCell ref="G94:H94"/>
    <mergeCell ref="G95:H95"/>
    <mergeCell ref="G96:H96"/>
    <mergeCell ref="G97:H97"/>
    <mergeCell ref="G98:H98"/>
    <mergeCell ref="G99:H99"/>
    <mergeCell ref="G100:H100"/>
    <mergeCell ref="G101:H101"/>
    <mergeCell ref="G102:H102"/>
    <mergeCell ref="G103:H103"/>
    <mergeCell ref="G104:H104"/>
    <mergeCell ref="G105:H105"/>
    <mergeCell ref="G106:H106"/>
    <mergeCell ref="G107:H107"/>
    <mergeCell ref="G108:H108"/>
    <mergeCell ref="G109:H109"/>
    <mergeCell ref="G110:H110"/>
    <mergeCell ref="G111:H111"/>
    <mergeCell ref="G117:H117"/>
    <mergeCell ref="G118:H118"/>
    <mergeCell ref="G119:H119"/>
    <mergeCell ref="G120:H120"/>
    <mergeCell ref="G112:H112"/>
    <mergeCell ref="G113:H113"/>
    <mergeCell ref="G114:H114"/>
    <mergeCell ref="G115:H115"/>
    <mergeCell ref="G116:H116"/>
  </mergeCells>
  <dataValidations xWindow="600" yWindow="553" count="14">
    <dataValidation allowBlank="1" showInputMessage="1" showErrorMessage="1" promptTitle="Fixture Comments (Not Required)" prompt="This field can be used to add additional information about the proposed fixture." sqref="H8:I31" xr:uid="{00000000-0002-0000-0200-000000000000}"/>
    <dataValidation type="custom" allowBlank="1" showInputMessage="1" showErrorMessage="1" errorTitle="Fixture Code Not Found" error="Fixture Code Not Found. Please enter a different fixture code." prompt="Custom Fixture Codes can be added on the Utility Fixture Codes List starting on row 932." sqref="D7" xr:uid="{00000000-0002-0000-0200-000001000000}">
      <formula1>ISERROR(MATCH(D7,yFixture_Code,0))=FALSE</formula1>
    </dataValidation>
    <dataValidation type="list" allowBlank="1" showInputMessage="1" showErrorMessage="1" promptTitle="Fixture Description" prompt="Select the description which best matches the LED fixture." sqref="H39:H88" xr:uid="{00000000-0002-0000-0200-000002000000}">
      <formula1>yLED_Codes</formula1>
    </dataValidation>
    <dataValidation allowBlank="1" showErrorMessage="1" promptTitle="Fixture Description" prompt="Select the description which best matches the LED fixture." sqref="I39:I88" xr:uid="{00000000-0002-0000-0200-000003000000}"/>
    <dataValidation type="list" allowBlank="1" showInputMessage="1" showErrorMessage="1" sqref="F93:F120" xr:uid="{00000000-0002-0000-0200-000004000000}">
      <formula1>"General,Screw-In"</formula1>
    </dataValidation>
    <dataValidation allowBlank="1" showInputMessage="1" showErrorMessage="1" promptTitle="Fixture Identifier" sqref="C8:C31 C40:C88" xr:uid="{00000000-0002-0000-0200-000005000000}"/>
    <dataValidation allowBlank="1" showInputMessage="1" showErrorMessage="1" promptTitle="Fixture Identifier" prompt="Enter a unique fixture identifier (UFI) for this item; cross reference this UFI on the invoice and spec sheets to faciliate communication regarding scope of work." sqref="C7" xr:uid="{00000000-0002-0000-0200-000006000000}"/>
    <dataValidation allowBlank="1" showInputMessage="1" showErrorMessage="1" promptTitle="Fixture Identifier" prompt="(Optional) Enter a unique LED fixture identifier for this item; use this to label invoices and spec sheets and facilitate communication regarding the scope of work. " sqref="C39" xr:uid="{00000000-0002-0000-0200-000007000000}"/>
    <dataValidation type="list" allowBlank="1" showInputMessage="1" showErrorMessage="1" promptTitle="Note: SLED Codes" prompt="For screw-in LED &lt;= 26W, use &quot;Standard Fixtures&quot; area above." sqref="G39:G88" xr:uid="{00000000-0002-0000-0200-000008000000}">
      <formula1>"Yes,No"</formula1>
    </dataValidation>
    <dataValidation allowBlank="1" showInputMessage="1" showErrorMessage="1" promptTitle="Fixture Comments (Optional)" prompt="This field can be used to add additional information about the proposed Custom LED fixture or other fixture." sqref="G93:H93" xr:uid="{00000000-0002-0000-0200-000009000000}"/>
    <dataValidation type="custom" allowBlank="1" showInputMessage="1" showErrorMessage="1" errorTitle="Fixture Code Not Found" error="Fixture Code Not Found. Please enter a different fixture code." sqref="D8:D31" xr:uid="{00000000-0002-0000-0200-00000A000000}">
      <formula1>ISERROR(MATCH(D8,yFixture_Code,0))=FALSE</formula1>
    </dataValidation>
    <dataValidation allowBlank="1" showInputMessage="1" showErrorMessage="1" promptTitle="Fixture Comments (Not Required)" sqref="G94:H120" xr:uid="{00000000-0002-0000-0200-00000B000000}"/>
    <dataValidation allowBlank="1" showInputMessage="1" showErrorMessage="1" prompt="Use Input or System watts from manufacturer's spec sheet. " sqref="E39" xr:uid="{00000000-0002-0000-0200-00000C000000}"/>
    <dataValidation allowBlank="1" showInputMessage="1" showErrorMessage="1" prompt="Number of lamps per LED fixture, except for tubular LEDs, will typically be 1. " sqref="F39" xr:uid="{00000000-0002-0000-0200-00000D000000}"/>
  </dataValidations>
  <hyperlinks>
    <hyperlink ref="C36" location="Instructions!B317:B342" tooltip=" " display="LED Fixture Identifier (Click for Explanation)*"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539F"/>
    <pageSetUpPr fitToPage="1"/>
  </sheetPr>
  <dimension ref="A1:S1010"/>
  <sheetViews>
    <sheetView zoomScale="90" zoomScaleNormal="90" workbookViewId="0">
      <selection activeCell="A3" sqref="A3"/>
    </sheetView>
  </sheetViews>
  <sheetFormatPr defaultColWidth="8.25" defaultRowHeight="0" customHeight="1" zeroHeight="1"/>
  <cols>
    <col min="1" max="1" width="8.75" style="859" customWidth="1"/>
    <col min="2" max="3" width="6.875" style="859" customWidth="1"/>
    <col min="4" max="4" width="34.25" style="859" customWidth="1"/>
    <col min="5" max="5" width="22" style="859" customWidth="1"/>
    <col min="6" max="6" width="14.75" style="859" customWidth="1"/>
    <col min="7" max="7" width="8.875" style="859" customWidth="1"/>
    <col min="8" max="8" width="30.75" style="859" customWidth="1"/>
    <col min="9" max="9" width="10.125" style="859" hidden="1" customWidth="1"/>
    <col min="10" max="10" width="17" style="859" hidden="1" customWidth="1"/>
    <col min="11" max="11" width="18.25" style="859" customWidth="1"/>
    <col min="12" max="12" width="7.625" style="859" bestFit="1" customWidth="1"/>
    <col min="13" max="13" width="30.75" style="859" customWidth="1"/>
    <col min="14" max="14" width="13" style="859" hidden="1" customWidth="1"/>
    <col min="15" max="15" width="7.625" style="859" hidden="1" customWidth="1"/>
    <col min="16" max="16" width="16.625" style="859" customWidth="1"/>
    <col min="17" max="17" width="14.625" style="859" customWidth="1"/>
    <col min="18" max="18" width="9.25" style="859" hidden="1" customWidth="1"/>
    <col min="19" max="19" width="9.375" style="859" hidden="1" customWidth="1"/>
    <col min="20" max="16384" width="8.25" style="859"/>
  </cols>
  <sheetData>
    <row r="1" spans="1:19" s="127" customFormat="1" ht="30" customHeight="1">
      <c r="A1" s="277" t="str">
        <f>"Pennsylvania Lighting Form (PALF) "&amp;'Version Log'!B36&amp;" effective"</f>
        <v>Pennsylvania Lighting Form (PALF) 4.0.2 effective</v>
      </c>
      <c r="B1" s="128"/>
      <c r="C1" s="128"/>
      <c r="D1" s="128"/>
      <c r="E1" s="276">
        <f>MAX('Version Log'!C8:C50)</f>
        <v>44378</v>
      </c>
      <c r="F1" s="128"/>
      <c r="G1" s="128"/>
      <c r="H1" s="128"/>
      <c r="I1" s="128"/>
      <c r="J1" s="128"/>
      <c r="K1" s="128"/>
      <c r="L1" s="128"/>
      <c r="N1" s="128"/>
      <c r="O1" s="128"/>
      <c r="P1" s="128"/>
    </row>
    <row r="2" spans="1:19" s="129" customFormat="1" ht="30" customHeight="1">
      <c r="A2" s="252" t="str">
        <f>IF(PRJ_Type=""," Before completing this section, select Project Type (New Construction or Retrofit) from Project Info Tab",PRJ_Type)</f>
        <v xml:space="preserve"> Before completing this section, select Project Type (New Construction or Retrofit) from Project Info Tab</v>
      </c>
      <c r="B2" s="130"/>
      <c r="C2" s="130"/>
      <c r="D2" s="130"/>
      <c r="F2" s="130"/>
      <c r="G2" s="130"/>
      <c r="H2" s="130"/>
      <c r="I2" s="130"/>
      <c r="J2" s="130"/>
      <c r="K2" s="130"/>
      <c r="L2" s="130"/>
      <c r="M2" s="130"/>
      <c r="N2" s="130"/>
      <c r="O2" s="130"/>
      <c r="P2" s="130"/>
    </row>
    <row r="3" spans="1:19" s="102" customFormat="1" ht="30" customHeight="1">
      <c r="A3" s="105"/>
      <c r="B3" s="105"/>
      <c r="C3" s="105"/>
      <c r="D3" s="105"/>
      <c r="F3" s="206" t="str">
        <f>'Project Info and Summary'!E7</f>
        <v>Warning: 
Savings exceed 120,000 kWh. Go to Usage Groups tab to assign actual hours of operation.</v>
      </c>
      <c r="G3" s="105"/>
      <c r="H3" s="105"/>
      <c r="I3" s="105"/>
      <c r="J3" s="107"/>
      <c r="K3" s="105"/>
      <c r="L3" s="105"/>
      <c r="M3" s="105"/>
      <c r="N3" s="105"/>
      <c r="O3" s="107"/>
      <c r="P3" s="107"/>
    </row>
    <row r="4" spans="1:19" s="102" customFormat="1" ht="30" customHeight="1">
      <c r="A4" s="133"/>
      <c r="B4" s="104"/>
      <c r="C4" s="104"/>
      <c r="D4" s="104"/>
      <c r="F4" s="206" t="str">
        <f>'Project Info and Summary'!E8</f>
        <v>Warning: Savings exceed 750,000 kWh. Contact the program representative. Metering is required.</v>
      </c>
      <c r="G4" s="104"/>
      <c r="H4" s="104"/>
      <c r="I4" s="104"/>
      <c r="J4" s="104"/>
      <c r="K4" s="104"/>
      <c r="L4" s="104"/>
      <c r="M4" s="104"/>
      <c r="N4" s="104"/>
      <c r="O4" s="104"/>
      <c r="P4" s="104"/>
    </row>
    <row r="5" spans="1:19" s="102" customFormat="1" ht="17.25" customHeight="1">
      <c r="B5" s="151"/>
      <c r="C5" s="151"/>
      <c r="D5" s="103"/>
      <c r="E5" s="103"/>
      <c r="F5" s="149">
        <f>'Lighting Inventory (Ref only)'!E9</f>
        <v>0</v>
      </c>
      <c r="G5" s="103"/>
      <c r="H5" s="103"/>
      <c r="I5" s="103"/>
      <c r="J5" s="103"/>
      <c r="K5" s="103"/>
      <c r="L5" s="103"/>
      <c r="M5" s="103"/>
      <c r="N5" s="103"/>
      <c r="O5" s="103"/>
      <c r="P5" s="103"/>
    </row>
    <row r="6" spans="1:19" s="106" customFormat="1" ht="30" customHeight="1" thickBot="1">
      <c r="A6" s="947" t="s">
        <v>407</v>
      </c>
      <c r="B6" s="945" t="s">
        <v>374</v>
      </c>
      <c r="C6" s="950" t="s">
        <v>408</v>
      </c>
      <c r="D6" s="951"/>
      <c r="E6" s="952"/>
      <c r="F6" s="469" t="s">
        <v>409</v>
      </c>
      <c r="G6" s="470"/>
      <c r="H6" s="471"/>
      <c r="I6" s="472"/>
      <c r="J6" s="470"/>
      <c r="K6" s="473" t="str">
        <f>IF($A$2="New Construction","New Construction Equipment","Post-Retrofit Equipment")</f>
        <v>Post-Retrofit Equipment</v>
      </c>
      <c r="L6" s="379"/>
      <c r="M6" s="474"/>
      <c r="N6" s="472"/>
      <c r="O6" s="470"/>
      <c r="P6" s="943" t="s">
        <v>410</v>
      </c>
      <c r="Q6" s="943" t="s">
        <v>411</v>
      </c>
      <c r="R6" s="943" t="s">
        <v>412</v>
      </c>
      <c r="S6" s="943" t="s">
        <v>413</v>
      </c>
    </row>
    <row r="7" spans="1:19" s="102" customFormat="1" ht="55.15" customHeight="1">
      <c r="A7" s="948"/>
      <c r="B7" s="946"/>
      <c r="C7" s="475" t="s">
        <v>414</v>
      </c>
      <c r="D7" s="476" t="s">
        <v>415</v>
      </c>
      <c r="E7" s="477" t="s">
        <v>416</v>
      </c>
      <c r="F7" s="478" t="s">
        <v>417</v>
      </c>
      <c r="G7" s="479" t="s">
        <v>418</v>
      </c>
      <c r="H7" s="480" t="str">
        <f>IF(PRJ_Type="New Construction","Exterior Type*","Control Device Description"&amp;CHAR(10)&amp;"(select from drop-down list, click here for description)")</f>
        <v>Control Device Description
(select from drop-down list, click here for description)</v>
      </c>
      <c r="I7" s="481"/>
      <c r="J7" s="481"/>
      <c r="K7" s="482" t="s">
        <v>419</v>
      </c>
      <c r="L7" s="483" t="s">
        <v>418</v>
      </c>
      <c r="M7" s="480" t="s">
        <v>420</v>
      </c>
      <c r="N7" s="481" t="s">
        <v>417</v>
      </c>
      <c r="O7" s="481"/>
      <c r="P7" s="944"/>
      <c r="Q7" s="944"/>
      <c r="R7" s="944"/>
      <c r="S7" s="944"/>
    </row>
    <row r="8" spans="1:19" s="102" customFormat="1" ht="30" customHeight="1">
      <c r="A8" s="949"/>
      <c r="B8" s="484" t="s">
        <v>421</v>
      </c>
      <c r="C8" s="485" t="s">
        <v>422</v>
      </c>
      <c r="D8" s="486" t="s">
        <v>423</v>
      </c>
      <c r="E8" s="486" t="str">
        <f>IF(PRJ_Type="New Construction","School/University","Education")</f>
        <v>Education</v>
      </c>
      <c r="F8" s="487" t="s">
        <v>424</v>
      </c>
      <c r="G8" s="486">
        <v>10</v>
      </c>
      <c r="H8" s="488" t="s">
        <v>425</v>
      </c>
      <c r="I8" s="488" t="s">
        <v>426</v>
      </c>
      <c r="J8" s="488" t="s">
        <v>427</v>
      </c>
      <c r="K8" s="489" t="s">
        <v>426</v>
      </c>
      <c r="L8" s="486">
        <v>10</v>
      </c>
      <c r="M8" s="488" t="str">
        <f>IF(AND(PRJ_Type="New Construction",C8="Y"),"","None")</f>
        <v>None</v>
      </c>
      <c r="N8" s="488" t="s">
        <v>426</v>
      </c>
      <c r="O8" s="488" t="s">
        <v>427</v>
      </c>
      <c r="P8" s="853">
        <f>IF(PRJ_Type="New Construction",30672,1078.18854)</f>
        <v>1078.1885400000001</v>
      </c>
      <c r="Q8" s="853"/>
      <c r="R8" s="853"/>
      <c r="S8" s="853"/>
    </row>
    <row r="9" spans="1:19" s="854" customFormat="1" ht="30" customHeight="1">
      <c r="A9" s="949"/>
      <c r="B9" s="484" t="s">
        <v>421</v>
      </c>
      <c r="C9" s="485" t="s">
        <v>428</v>
      </c>
      <c r="D9" s="486" t="s">
        <v>186</v>
      </c>
      <c r="E9" s="486" t="s">
        <v>429</v>
      </c>
      <c r="F9" s="487" t="s">
        <v>430</v>
      </c>
      <c r="G9" s="486">
        <v>10</v>
      </c>
      <c r="H9" s="488" t="str">
        <f>IF(PRJ_Type="New Construction","Building Facade","None")</f>
        <v>None</v>
      </c>
      <c r="I9" s="488" t="s">
        <v>431</v>
      </c>
      <c r="J9" s="488" t="s">
        <v>427</v>
      </c>
      <c r="K9" s="489" t="s">
        <v>431</v>
      </c>
      <c r="L9" s="486">
        <v>10</v>
      </c>
      <c r="M9" s="488" t="s">
        <v>425</v>
      </c>
      <c r="N9" s="488" t="s">
        <v>431</v>
      </c>
      <c r="O9" s="488" t="s">
        <v>427</v>
      </c>
      <c r="P9" s="853">
        <f>IF(PRJ_Type="New Construction",1763,9236.325)</f>
        <v>9236.3250000000007</v>
      </c>
      <c r="Q9" s="853"/>
      <c r="R9" s="853"/>
      <c r="S9" s="853"/>
    </row>
    <row r="10" spans="1:19" s="102" customFormat="1" ht="30" customHeight="1">
      <c r="A10" s="948"/>
      <c r="B10" s="380">
        <v>1</v>
      </c>
      <c r="C10" s="862"/>
      <c r="D10" s="381"/>
      <c r="E10" s="863"/>
      <c r="F10" s="490"/>
      <c r="G10" s="491"/>
      <c r="H10" s="492"/>
      <c r="I10" s="855">
        <f>IFERROR(IFERROR(INDEX('Fixture and LED Schedule'!D:D,MATCH(F10,'Fixture and LED Schedule'!C:C,""),1),F10),"")</f>
        <v>0</v>
      </c>
      <c r="J10" s="855" t="str">
        <f>IFERROR(IF(PRJ_Type="New Construction",H10,INDEX(yControl_Code,MATCH(Inventory!H10,yControlTypes,0),1)),"")</f>
        <v/>
      </c>
      <c r="K10" s="493"/>
      <c r="L10" s="494"/>
      <c r="M10" s="495"/>
      <c r="N10" s="855">
        <f>IFERROR(IFERROR(INDEX('Fixture and LED Schedule'!D:D,MATCH(K10,'Fixture and LED Schedule'!C:C,0),1),K10),"")</f>
        <v>0</v>
      </c>
      <c r="O10" s="855" t="str">
        <f>IFERROR(INDEX(yControl_Code,MATCH(Inventory!M10,yControlTypes,0),1),"")</f>
        <v/>
      </c>
      <c r="P10" s="856" t="str">
        <f>'Lighting Inventory (Ref only)'!AG13</f>
        <v/>
      </c>
      <c r="Q10" s="856" t="str">
        <f>'Lighting Inventory (Ref only)'!AF13</f>
        <v/>
      </c>
      <c r="R10" s="856" t="str">
        <f>IFERROR(P10*0.02+Q10*185,"")</f>
        <v/>
      </c>
      <c r="S10" s="856" t="str">
        <f>IFERROR(ROUND(R10*'Project Info and Summary'!$J$5/'Project Info and Summary'!$L$5,2),"")</f>
        <v/>
      </c>
    </row>
    <row r="11" spans="1:19" s="102" customFormat="1" ht="30" customHeight="1">
      <c r="A11" s="948"/>
      <c r="B11" s="496">
        <f>B10+1</f>
        <v>2</v>
      </c>
      <c r="C11" s="864"/>
      <c r="D11" s="497"/>
      <c r="E11" s="865"/>
      <c r="F11" s="498"/>
      <c r="G11" s="499"/>
      <c r="H11" s="492"/>
      <c r="I11" s="855">
        <f>IFERROR(IFERROR(INDEX('Fixture and LED Schedule'!D:D,MATCH(F11,'Fixture and LED Schedule'!C:C,""),1),F11),"")</f>
        <v>0</v>
      </c>
      <c r="J11" s="855" t="str">
        <f>IFERROR(IF(PRJ_Type="New Construction",H11,INDEX(yControl_Code,MATCH(Inventory!H11,yControlTypes,0),1)),"")</f>
        <v/>
      </c>
      <c r="K11" s="500"/>
      <c r="L11" s="501"/>
      <c r="M11" s="502"/>
      <c r="N11" s="855">
        <f>IFERROR(IFERROR(INDEX('Fixture and LED Schedule'!D:D,MATCH(K11,'Fixture and LED Schedule'!C:C,0),1),K11),"")</f>
        <v>0</v>
      </c>
      <c r="O11" s="855" t="str">
        <f>IFERROR(INDEX(yControl_Code,MATCH(Inventory!M11,yControlTypes,0),1),"")</f>
        <v/>
      </c>
      <c r="P11" s="857" t="str">
        <f>'Lighting Inventory (Ref only)'!AG14</f>
        <v/>
      </c>
      <c r="Q11" s="856" t="str">
        <f>'Lighting Inventory (Ref only)'!AF14</f>
        <v/>
      </c>
      <c r="R11" s="856" t="str">
        <f t="shared" ref="R11:R74" si="0">IFERROR(P11*0.02+Q11*185,"")</f>
        <v/>
      </c>
      <c r="S11" s="856" t="str">
        <f>IFERROR(ROUND(R11*'Project Info and Summary'!$J$5/'Project Info and Summary'!$L$5,2),"")</f>
        <v/>
      </c>
    </row>
    <row r="12" spans="1:19" s="102" customFormat="1" ht="30" customHeight="1">
      <c r="A12" s="948"/>
      <c r="B12" s="496">
        <f t="shared" ref="B12:B75" si="1">B11+1</f>
        <v>3</v>
      </c>
      <c r="C12" s="864"/>
      <c r="D12" s="503"/>
      <c r="E12" s="865"/>
      <c r="F12" s="498"/>
      <c r="G12" s="499"/>
      <c r="H12" s="492"/>
      <c r="I12" s="855">
        <f>IFERROR(IFERROR(INDEX('Fixture and LED Schedule'!D:D,MATCH(F12,'Fixture and LED Schedule'!C:C,""),1),F12),"")</f>
        <v>0</v>
      </c>
      <c r="J12" s="855" t="str">
        <f>IFERROR(IF(PRJ_Type="New Construction",H12,INDEX(yControl_Code,MATCH(Inventory!H12,yControlTypes,0),1)),"")</f>
        <v/>
      </c>
      <c r="K12" s="500"/>
      <c r="L12" s="501"/>
      <c r="M12" s="502"/>
      <c r="N12" s="855">
        <f>IFERROR(IFERROR(INDEX('Fixture and LED Schedule'!D:D,MATCH(K12,'Fixture and LED Schedule'!C:C,0),1),K12),"")</f>
        <v>0</v>
      </c>
      <c r="O12" s="855" t="str">
        <f>IFERROR(INDEX(yControl_Code,MATCH(Inventory!M12,yControlTypes,0),1),"")</f>
        <v/>
      </c>
      <c r="P12" s="857" t="str">
        <f>'Lighting Inventory (Ref only)'!AG15</f>
        <v/>
      </c>
      <c r="Q12" s="856" t="str">
        <f>'Lighting Inventory (Ref only)'!AF15</f>
        <v/>
      </c>
      <c r="R12" s="856" t="str">
        <f t="shared" si="0"/>
        <v/>
      </c>
      <c r="S12" s="856" t="str">
        <f>IFERROR(ROUND(R12*'Project Info and Summary'!$J$5/'Project Info and Summary'!$L$5,2),"")</f>
        <v/>
      </c>
    </row>
    <row r="13" spans="1:19" s="102" customFormat="1" ht="30" customHeight="1">
      <c r="A13" s="948"/>
      <c r="B13" s="496">
        <f t="shared" si="1"/>
        <v>4</v>
      </c>
      <c r="C13" s="864"/>
      <c r="D13" s="504"/>
      <c r="E13" s="865"/>
      <c r="F13" s="498"/>
      <c r="G13" s="499"/>
      <c r="H13" s="492"/>
      <c r="I13" s="855">
        <f>IFERROR(IFERROR(INDEX('Fixture and LED Schedule'!D:D,MATCH(F13,'Fixture and LED Schedule'!C:C,""),1),F13),"")</f>
        <v>0</v>
      </c>
      <c r="J13" s="855" t="str">
        <f>IFERROR(IF(PRJ_Type="New Construction",H13,INDEX(yControl_Code,MATCH(Inventory!H13,yControlTypes,0),1)),"")</f>
        <v/>
      </c>
      <c r="K13" s="500"/>
      <c r="L13" s="501"/>
      <c r="M13" s="502"/>
      <c r="N13" s="855">
        <f>IFERROR(IFERROR(INDEX('Fixture and LED Schedule'!D:D,MATCH(K13,'Fixture and LED Schedule'!C:C,0),1),K13),"")</f>
        <v>0</v>
      </c>
      <c r="O13" s="855" t="str">
        <f>IFERROR(INDEX(yControl_Code,MATCH(Inventory!M13,yControlTypes,0),1),"")</f>
        <v/>
      </c>
      <c r="P13" s="857" t="str">
        <f>'Lighting Inventory (Ref only)'!AG16</f>
        <v/>
      </c>
      <c r="Q13" s="856" t="str">
        <f>'Lighting Inventory (Ref only)'!AF16</f>
        <v/>
      </c>
      <c r="R13" s="856" t="str">
        <f t="shared" si="0"/>
        <v/>
      </c>
      <c r="S13" s="856" t="str">
        <f>IFERROR(ROUND(R13*'Project Info and Summary'!$J$5/'Project Info and Summary'!$L$5,2),"")</f>
        <v/>
      </c>
    </row>
    <row r="14" spans="1:19" s="102" customFormat="1" ht="30" customHeight="1">
      <c r="A14" s="948"/>
      <c r="B14" s="496">
        <f t="shared" si="1"/>
        <v>5</v>
      </c>
      <c r="C14" s="864"/>
      <c r="D14" s="504"/>
      <c r="E14" s="865"/>
      <c r="F14" s="498"/>
      <c r="G14" s="499"/>
      <c r="H14" s="492"/>
      <c r="I14" s="855">
        <f>IFERROR(IFERROR(INDEX('Fixture and LED Schedule'!D:D,MATCH(F14,'Fixture and LED Schedule'!C:C,""),1),F14),"")</f>
        <v>0</v>
      </c>
      <c r="J14" s="855" t="str">
        <f>IFERROR(IF(PRJ_Type="New Construction",H14,INDEX(yControl_Code,MATCH(Inventory!H14,yControlTypes,0),1)),"")</f>
        <v/>
      </c>
      <c r="K14" s="493"/>
      <c r="L14" s="501"/>
      <c r="M14" s="502"/>
      <c r="N14" s="855">
        <f>IFERROR(IFERROR(INDEX('Fixture and LED Schedule'!D:D,MATCH(K14,'Fixture and LED Schedule'!C:C,0),1),K14),"")</f>
        <v>0</v>
      </c>
      <c r="O14" s="855" t="str">
        <f>IFERROR(INDEX(yControl_Code,MATCH(Inventory!M14,yControlTypes,0),1),"")</f>
        <v/>
      </c>
      <c r="P14" s="857" t="str">
        <f>'Lighting Inventory (Ref only)'!AG17</f>
        <v/>
      </c>
      <c r="Q14" s="856" t="str">
        <f>'Lighting Inventory (Ref only)'!AF17</f>
        <v/>
      </c>
      <c r="R14" s="856" t="str">
        <f t="shared" si="0"/>
        <v/>
      </c>
      <c r="S14" s="856" t="str">
        <f>IFERROR(ROUND(R14*'Project Info and Summary'!$J$5/'Project Info and Summary'!$L$5,2),"")</f>
        <v/>
      </c>
    </row>
    <row r="15" spans="1:19" s="102" customFormat="1" ht="30" customHeight="1">
      <c r="A15" s="948"/>
      <c r="B15" s="496">
        <f t="shared" si="1"/>
        <v>6</v>
      </c>
      <c r="C15" s="864"/>
      <c r="D15" s="504"/>
      <c r="E15" s="866"/>
      <c r="F15" s="498"/>
      <c r="G15" s="499"/>
      <c r="H15" s="492"/>
      <c r="I15" s="855">
        <f>IFERROR(IFERROR(INDEX('Fixture and LED Schedule'!D:D,MATCH(F15,'Fixture and LED Schedule'!C:C,""),1),F15),"")</f>
        <v>0</v>
      </c>
      <c r="J15" s="855" t="str">
        <f>IFERROR(IF(PRJ_Type="New Construction",H15,INDEX(yControl_Code,MATCH(Inventory!H15,yControlTypes,0),1)),"")</f>
        <v/>
      </c>
      <c r="K15" s="493"/>
      <c r="L15" s="501"/>
      <c r="M15" s="502"/>
      <c r="N15" s="855">
        <f>IFERROR(IFERROR(INDEX('Fixture and LED Schedule'!D:D,MATCH(K15,'Fixture and LED Schedule'!C:C,0),1),K15),"")</f>
        <v>0</v>
      </c>
      <c r="O15" s="855" t="str">
        <f>IFERROR(INDEX(yControl_Code,MATCH(Inventory!M15,yControlTypes,0),1),"")</f>
        <v/>
      </c>
      <c r="P15" s="857" t="str">
        <f>'Lighting Inventory (Ref only)'!AG18</f>
        <v/>
      </c>
      <c r="Q15" s="856" t="str">
        <f>'Lighting Inventory (Ref only)'!AF18</f>
        <v/>
      </c>
      <c r="R15" s="856" t="str">
        <f t="shared" si="0"/>
        <v/>
      </c>
      <c r="S15" s="856" t="str">
        <f>IFERROR(ROUND(R15*'Project Info and Summary'!$J$5/'Project Info and Summary'!$L$5,2),"")</f>
        <v/>
      </c>
    </row>
    <row r="16" spans="1:19" s="102" customFormat="1" ht="30" customHeight="1">
      <c r="A16" s="948"/>
      <c r="B16" s="496">
        <f t="shared" si="1"/>
        <v>7</v>
      </c>
      <c r="C16" s="864"/>
      <c r="D16" s="503"/>
      <c r="E16" s="866"/>
      <c r="F16" s="498"/>
      <c r="G16" s="499"/>
      <c r="H16" s="492"/>
      <c r="I16" s="855">
        <f>IFERROR(IFERROR(INDEX('Fixture and LED Schedule'!D:D,MATCH(F16,'Fixture and LED Schedule'!C:C,""),1),F16),"")</f>
        <v>0</v>
      </c>
      <c r="J16" s="855" t="str">
        <f>IFERROR(IF(PRJ_Type="New Construction",H16,INDEX(yControl_Code,MATCH(Inventory!H16,yControlTypes,0),1)),"")</f>
        <v/>
      </c>
      <c r="K16" s="493"/>
      <c r="L16" s="501"/>
      <c r="M16" s="502"/>
      <c r="N16" s="855">
        <f>IFERROR(IFERROR(INDEX('Fixture and LED Schedule'!D:D,MATCH(K16,'Fixture and LED Schedule'!C:C,0),1),K16),"")</f>
        <v>0</v>
      </c>
      <c r="O16" s="855" t="str">
        <f>IFERROR(INDEX(yControl_Code,MATCH(Inventory!M16,yControlTypes,0),1),"")</f>
        <v/>
      </c>
      <c r="P16" s="857" t="str">
        <f>'Lighting Inventory (Ref only)'!AG19</f>
        <v/>
      </c>
      <c r="Q16" s="856" t="str">
        <f>'Lighting Inventory (Ref only)'!AF19</f>
        <v/>
      </c>
      <c r="R16" s="856" t="str">
        <f t="shared" si="0"/>
        <v/>
      </c>
      <c r="S16" s="856" t="str">
        <f>IFERROR(ROUND(R16*'Project Info and Summary'!$J$5/'Project Info and Summary'!$L$5,2),"")</f>
        <v/>
      </c>
    </row>
    <row r="17" spans="1:19" s="102" customFormat="1" ht="30" customHeight="1">
      <c r="A17" s="948"/>
      <c r="B17" s="496">
        <f t="shared" si="1"/>
        <v>8</v>
      </c>
      <c r="C17" s="864"/>
      <c r="D17" s="504"/>
      <c r="E17" s="866"/>
      <c r="F17" s="498"/>
      <c r="G17" s="499"/>
      <c r="H17" s="492"/>
      <c r="I17" s="855">
        <f>IFERROR(IFERROR(INDEX('Fixture and LED Schedule'!D:D,MATCH(F17,'Fixture and LED Schedule'!C:C,""),1),F17),"")</f>
        <v>0</v>
      </c>
      <c r="J17" s="855" t="str">
        <f>IFERROR(IF(PRJ_Type="New Construction",H17,INDEX(yControl_Code,MATCH(Inventory!H17,yControlTypes,0),1)),"")</f>
        <v/>
      </c>
      <c r="K17" s="493"/>
      <c r="L17" s="501"/>
      <c r="M17" s="502"/>
      <c r="N17" s="855">
        <f>IFERROR(IFERROR(INDEX('Fixture and LED Schedule'!D:D,MATCH(K17,'Fixture and LED Schedule'!C:C,0),1),K17),"")</f>
        <v>0</v>
      </c>
      <c r="O17" s="855" t="str">
        <f>IFERROR(INDEX(yControl_Code,MATCH(Inventory!M17,yControlTypes,0),1),"")</f>
        <v/>
      </c>
      <c r="P17" s="857" t="str">
        <f>'Lighting Inventory (Ref only)'!AG20</f>
        <v/>
      </c>
      <c r="Q17" s="856" t="str">
        <f>'Lighting Inventory (Ref only)'!AF20</f>
        <v/>
      </c>
      <c r="R17" s="856" t="str">
        <f t="shared" si="0"/>
        <v/>
      </c>
      <c r="S17" s="856" t="str">
        <f>IFERROR(ROUND(R17*'Project Info and Summary'!$J$5/'Project Info and Summary'!$L$5,2),"")</f>
        <v/>
      </c>
    </row>
    <row r="18" spans="1:19" s="102" customFormat="1" ht="30" customHeight="1">
      <c r="A18" s="948"/>
      <c r="B18" s="496">
        <f t="shared" si="1"/>
        <v>9</v>
      </c>
      <c r="C18" s="864"/>
      <c r="D18" s="503"/>
      <c r="E18" s="866"/>
      <c r="F18" s="498"/>
      <c r="G18" s="499"/>
      <c r="H18" s="492"/>
      <c r="I18" s="855">
        <f>IFERROR(IFERROR(INDEX('Fixture and LED Schedule'!D:D,MATCH(F18,'Fixture and LED Schedule'!C:C,""),1),F18),"")</f>
        <v>0</v>
      </c>
      <c r="J18" s="855" t="str">
        <f>IFERROR(IF(PRJ_Type="New Construction",H18,INDEX(yControl_Code,MATCH(Inventory!H18,yControlTypes,0),1)),"")</f>
        <v/>
      </c>
      <c r="K18" s="493"/>
      <c r="L18" s="501"/>
      <c r="M18" s="502"/>
      <c r="N18" s="855">
        <f>IFERROR(IFERROR(INDEX('Fixture and LED Schedule'!D:D,MATCH(K18,'Fixture and LED Schedule'!C:C,0),1),K18),"")</f>
        <v>0</v>
      </c>
      <c r="O18" s="855" t="str">
        <f>IFERROR(INDEX(yControl_Code,MATCH(Inventory!M18,yControlTypes,0),1),"")</f>
        <v/>
      </c>
      <c r="P18" s="857" t="str">
        <f>'Lighting Inventory (Ref only)'!AG21</f>
        <v/>
      </c>
      <c r="Q18" s="856" t="str">
        <f>'Lighting Inventory (Ref only)'!AF21</f>
        <v/>
      </c>
      <c r="R18" s="856" t="str">
        <f t="shared" si="0"/>
        <v/>
      </c>
      <c r="S18" s="856" t="str">
        <f>IFERROR(ROUND(R18*'Project Info and Summary'!$J$5/'Project Info and Summary'!$L$5,2),"")</f>
        <v/>
      </c>
    </row>
    <row r="19" spans="1:19" s="102" customFormat="1" ht="30" customHeight="1">
      <c r="A19" s="948"/>
      <c r="B19" s="496">
        <f t="shared" si="1"/>
        <v>10</v>
      </c>
      <c r="C19" s="864"/>
      <c r="D19" s="504"/>
      <c r="E19" s="866"/>
      <c r="F19" s="498"/>
      <c r="G19" s="499"/>
      <c r="H19" s="492"/>
      <c r="I19" s="855">
        <f>IFERROR(IFERROR(INDEX('Fixture and LED Schedule'!D:D,MATCH(F19,'Fixture and LED Schedule'!C:C,""),1),F19),"")</f>
        <v>0</v>
      </c>
      <c r="J19" s="855" t="str">
        <f>IFERROR(IF(PRJ_Type="New Construction",H19,INDEX(yControl_Code,MATCH(Inventory!H19,yControlTypes,0),1)),"")</f>
        <v/>
      </c>
      <c r="K19" s="493"/>
      <c r="L19" s="501"/>
      <c r="M19" s="502"/>
      <c r="N19" s="855">
        <f>IFERROR(IFERROR(INDEX('Fixture and LED Schedule'!D:D,MATCH(K19,'Fixture and LED Schedule'!C:C,0),1),K19),"")</f>
        <v>0</v>
      </c>
      <c r="O19" s="855" t="str">
        <f>IFERROR(INDEX(yControl_Code,MATCH(Inventory!M19,yControlTypes,0),1),"")</f>
        <v/>
      </c>
      <c r="P19" s="857" t="str">
        <f>'Lighting Inventory (Ref only)'!AG22</f>
        <v/>
      </c>
      <c r="Q19" s="856" t="str">
        <f>'Lighting Inventory (Ref only)'!AF22</f>
        <v/>
      </c>
      <c r="R19" s="856" t="str">
        <f t="shared" si="0"/>
        <v/>
      </c>
      <c r="S19" s="856" t="str">
        <f>IFERROR(ROUND(R19*'Project Info and Summary'!$J$5/'Project Info and Summary'!$L$5,2),"")</f>
        <v/>
      </c>
    </row>
    <row r="20" spans="1:19" s="102" customFormat="1" ht="30" customHeight="1">
      <c r="A20" s="948"/>
      <c r="B20" s="496">
        <f t="shared" si="1"/>
        <v>11</v>
      </c>
      <c r="C20" s="864"/>
      <c r="D20" s="503"/>
      <c r="E20" s="866"/>
      <c r="F20" s="498"/>
      <c r="G20" s="499"/>
      <c r="H20" s="492"/>
      <c r="I20" s="855">
        <f>IFERROR(IFERROR(INDEX('Fixture and LED Schedule'!D:D,MATCH(F20,'Fixture and LED Schedule'!C:C,""),1),F20),"")</f>
        <v>0</v>
      </c>
      <c r="J20" s="855" t="str">
        <f>IFERROR(IF(PRJ_Type="New Construction",H20,INDEX(yControl_Code,MATCH(Inventory!H20,yControlTypes,0),1)),"")</f>
        <v/>
      </c>
      <c r="K20" s="493"/>
      <c r="L20" s="501"/>
      <c r="M20" s="502"/>
      <c r="N20" s="855">
        <f>IFERROR(IFERROR(INDEX('Fixture and LED Schedule'!D:D,MATCH(K20,'Fixture and LED Schedule'!C:C,0),1),K20),"")</f>
        <v>0</v>
      </c>
      <c r="O20" s="855" t="str">
        <f>IFERROR(INDEX(yControl_Code,MATCH(Inventory!M20,yControlTypes,0),1),"")</f>
        <v/>
      </c>
      <c r="P20" s="857" t="str">
        <f>'Lighting Inventory (Ref only)'!AG23</f>
        <v/>
      </c>
      <c r="Q20" s="856" t="str">
        <f>'Lighting Inventory (Ref only)'!AF23</f>
        <v/>
      </c>
      <c r="R20" s="856" t="str">
        <f t="shared" si="0"/>
        <v/>
      </c>
      <c r="S20" s="856" t="str">
        <f>IFERROR(ROUND(R20*'Project Info and Summary'!$J$5/'Project Info and Summary'!$L$5,2),"")</f>
        <v/>
      </c>
    </row>
    <row r="21" spans="1:19" s="102" customFormat="1" ht="30" customHeight="1">
      <c r="A21" s="948"/>
      <c r="B21" s="496">
        <f t="shared" si="1"/>
        <v>12</v>
      </c>
      <c r="C21" s="864"/>
      <c r="D21" s="504"/>
      <c r="E21" s="866"/>
      <c r="F21" s="498"/>
      <c r="G21" s="499"/>
      <c r="H21" s="492"/>
      <c r="I21" s="855">
        <f>IFERROR(IFERROR(INDEX('Fixture and LED Schedule'!D:D,MATCH(F21,'Fixture and LED Schedule'!C:C,""),1),F21),"")</f>
        <v>0</v>
      </c>
      <c r="J21" s="855" t="str">
        <f>IFERROR(IF(PRJ_Type="New Construction",H21,INDEX(yControl_Code,MATCH(Inventory!H21,yControlTypes,0),1)),"")</f>
        <v/>
      </c>
      <c r="K21" s="493"/>
      <c r="L21" s="501"/>
      <c r="M21" s="502"/>
      <c r="N21" s="855">
        <f>IFERROR(IFERROR(INDEX('Fixture and LED Schedule'!D:D,MATCH(K21,'Fixture and LED Schedule'!C:C,0),1),K21),"")</f>
        <v>0</v>
      </c>
      <c r="O21" s="855" t="str">
        <f>IFERROR(INDEX(yControl_Code,MATCH(Inventory!M21,yControlTypes,0),1),"")</f>
        <v/>
      </c>
      <c r="P21" s="857" t="str">
        <f>'Lighting Inventory (Ref only)'!AG24</f>
        <v/>
      </c>
      <c r="Q21" s="856" t="str">
        <f>'Lighting Inventory (Ref only)'!AF24</f>
        <v/>
      </c>
      <c r="R21" s="856" t="str">
        <f t="shared" si="0"/>
        <v/>
      </c>
      <c r="S21" s="856" t="str">
        <f>IFERROR(ROUND(R21*'Project Info and Summary'!$J$5/'Project Info and Summary'!$L$5,2),"")</f>
        <v/>
      </c>
    </row>
    <row r="22" spans="1:19" s="102" customFormat="1" ht="30" customHeight="1">
      <c r="A22" s="948"/>
      <c r="B22" s="496">
        <f t="shared" si="1"/>
        <v>13</v>
      </c>
      <c r="C22" s="864"/>
      <c r="D22" s="503"/>
      <c r="E22" s="866"/>
      <c r="F22" s="498"/>
      <c r="G22" s="499"/>
      <c r="H22" s="492"/>
      <c r="I22" s="855">
        <f>IFERROR(IFERROR(INDEX('Fixture and LED Schedule'!D:D,MATCH(F22,'Fixture and LED Schedule'!C:C,""),1),F22),"")</f>
        <v>0</v>
      </c>
      <c r="J22" s="855" t="str">
        <f>IFERROR(IF(PRJ_Type="New Construction",H22,INDEX(yControl_Code,MATCH(Inventory!H22,yControlTypes,0),1)),"")</f>
        <v/>
      </c>
      <c r="K22" s="493"/>
      <c r="L22" s="501"/>
      <c r="M22" s="502"/>
      <c r="N22" s="855">
        <f>IFERROR(IFERROR(INDEX('Fixture and LED Schedule'!D:D,MATCH(K22,'Fixture and LED Schedule'!C:C,0),1),K22),"")</f>
        <v>0</v>
      </c>
      <c r="O22" s="855" t="str">
        <f>IFERROR(INDEX(yControl_Code,MATCH(Inventory!M22,yControlTypes,0),1),"")</f>
        <v/>
      </c>
      <c r="P22" s="857" t="str">
        <f>'Lighting Inventory (Ref only)'!AG25</f>
        <v/>
      </c>
      <c r="Q22" s="856" t="str">
        <f>'Lighting Inventory (Ref only)'!AF25</f>
        <v/>
      </c>
      <c r="R22" s="856" t="str">
        <f t="shared" si="0"/>
        <v/>
      </c>
      <c r="S22" s="856" t="str">
        <f>IFERROR(ROUND(R22*'Project Info and Summary'!$J$5/'Project Info and Summary'!$L$5,2),"")</f>
        <v/>
      </c>
    </row>
    <row r="23" spans="1:19" s="102" customFormat="1" ht="30" customHeight="1">
      <c r="A23" s="948"/>
      <c r="B23" s="496">
        <f t="shared" si="1"/>
        <v>14</v>
      </c>
      <c r="C23" s="864"/>
      <c r="D23" s="504"/>
      <c r="E23" s="866"/>
      <c r="F23" s="498"/>
      <c r="G23" s="499"/>
      <c r="H23" s="492"/>
      <c r="I23" s="855">
        <f>IFERROR(IFERROR(INDEX('Fixture and LED Schedule'!D:D,MATCH(F23,'Fixture and LED Schedule'!C:C,""),1),F23),"")</f>
        <v>0</v>
      </c>
      <c r="J23" s="855" t="str">
        <f>IFERROR(IF(PRJ_Type="New Construction",H23,INDEX(yControl_Code,MATCH(Inventory!H23,yControlTypes,0),1)),"")</f>
        <v/>
      </c>
      <c r="K23" s="493"/>
      <c r="L23" s="501"/>
      <c r="M23" s="502"/>
      <c r="N23" s="855">
        <f>IFERROR(IFERROR(INDEX('Fixture and LED Schedule'!D:D,MATCH(K23,'Fixture and LED Schedule'!C:C,0),1),K23),"")</f>
        <v>0</v>
      </c>
      <c r="O23" s="855" t="str">
        <f>IFERROR(INDEX(yControl_Code,MATCH(Inventory!M23,yControlTypes,0),1),"")</f>
        <v/>
      </c>
      <c r="P23" s="857" t="str">
        <f>'Lighting Inventory (Ref only)'!AG26</f>
        <v/>
      </c>
      <c r="Q23" s="856" t="str">
        <f>'Lighting Inventory (Ref only)'!AF26</f>
        <v/>
      </c>
      <c r="R23" s="856" t="str">
        <f t="shared" si="0"/>
        <v/>
      </c>
      <c r="S23" s="856" t="str">
        <f>IFERROR(ROUND(R23*'Project Info and Summary'!$J$5/'Project Info and Summary'!$L$5,2),"")</f>
        <v/>
      </c>
    </row>
    <row r="24" spans="1:19" s="102" customFormat="1" ht="30" customHeight="1">
      <c r="A24" s="948"/>
      <c r="B24" s="496">
        <f t="shared" si="1"/>
        <v>15</v>
      </c>
      <c r="C24" s="864"/>
      <c r="D24" s="503"/>
      <c r="E24" s="866"/>
      <c r="F24" s="498"/>
      <c r="G24" s="499"/>
      <c r="H24" s="492"/>
      <c r="I24" s="855">
        <f>IFERROR(IFERROR(INDEX('Fixture and LED Schedule'!D:D,MATCH(F24,'Fixture and LED Schedule'!C:C,""),1),F24),"")</f>
        <v>0</v>
      </c>
      <c r="J24" s="855" t="str">
        <f>IFERROR(IF(PRJ_Type="New Construction",H24,INDEX(yControl_Code,MATCH(Inventory!H24,yControlTypes,0),1)),"")</f>
        <v/>
      </c>
      <c r="K24" s="493"/>
      <c r="L24" s="501"/>
      <c r="M24" s="502"/>
      <c r="N24" s="855">
        <f>IFERROR(IFERROR(INDEX('Fixture and LED Schedule'!D:D,MATCH(K24,'Fixture and LED Schedule'!C:C,0),1),K24),"")</f>
        <v>0</v>
      </c>
      <c r="O24" s="855" t="str">
        <f>IFERROR(INDEX(yControl_Code,MATCH(Inventory!M24,yControlTypes,0),1),"")</f>
        <v/>
      </c>
      <c r="P24" s="857" t="str">
        <f>'Lighting Inventory (Ref only)'!AG27</f>
        <v/>
      </c>
      <c r="Q24" s="856" t="str">
        <f>'Lighting Inventory (Ref only)'!AF27</f>
        <v/>
      </c>
      <c r="R24" s="856" t="str">
        <f t="shared" si="0"/>
        <v/>
      </c>
      <c r="S24" s="856" t="str">
        <f>IFERROR(ROUND(R24*'Project Info and Summary'!$J$5/'Project Info and Summary'!$L$5,2),"")</f>
        <v/>
      </c>
    </row>
    <row r="25" spans="1:19" s="102" customFormat="1" ht="30" customHeight="1">
      <c r="A25" s="948"/>
      <c r="B25" s="496">
        <f t="shared" si="1"/>
        <v>16</v>
      </c>
      <c r="C25" s="864"/>
      <c r="D25" s="504"/>
      <c r="E25" s="866"/>
      <c r="F25" s="498"/>
      <c r="G25" s="499"/>
      <c r="H25" s="492"/>
      <c r="I25" s="855">
        <f>IFERROR(IFERROR(INDEX('Fixture and LED Schedule'!D:D,MATCH(F25,'Fixture and LED Schedule'!C:C,""),1),F25),"")</f>
        <v>0</v>
      </c>
      <c r="J25" s="855" t="str">
        <f>IFERROR(IF(PRJ_Type="New Construction",H25,INDEX(yControl_Code,MATCH(Inventory!H25,yControlTypes,0),1)),"")</f>
        <v/>
      </c>
      <c r="K25" s="493"/>
      <c r="L25" s="501"/>
      <c r="M25" s="502"/>
      <c r="N25" s="855">
        <f>IFERROR(IFERROR(INDEX('Fixture and LED Schedule'!D:D,MATCH(K25,'Fixture and LED Schedule'!C:C,0),1),K25),"")</f>
        <v>0</v>
      </c>
      <c r="O25" s="855" t="str">
        <f>IFERROR(INDEX(yControl_Code,MATCH(Inventory!M25,yControlTypes,0),1),"")</f>
        <v/>
      </c>
      <c r="P25" s="857" t="str">
        <f>'Lighting Inventory (Ref only)'!AG28</f>
        <v/>
      </c>
      <c r="Q25" s="856" t="str">
        <f>'Lighting Inventory (Ref only)'!AF28</f>
        <v/>
      </c>
      <c r="R25" s="856" t="str">
        <f t="shared" si="0"/>
        <v/>
      </c>
      <c r="S25" s="856" t="str">
        <f>IFERROR(ROUND(R25*'Project Info and Summary'!$J$5/'Project Info and Summary'!$L$5,2),"")</f>
        <v/>
      </c>
    </row>
    <row r="26" spans="1:19" s="102" customFormat="1" ht="30" customHeight="1">
      <c r="A26" s="948"/>
      <c r="B26" s="496">
        <f t="shared" si="1"/>
        <v>17</v>
      </c>
      <c r="C26" s="864"/>
      <c r="D26" s="503"/>
      <c r="E26" s="866"/>
      <c r="F26" s="498"/>
      <c r="G26" s="499"/>
      <c r="H26" s="492"/>
      <c r="I26" s="855">
        <f>IFERROR(IFERROR(INDEX('Fixture and LED Schedule'!D:D,MATCH(F26,'Fixture and LED Schedule'!C:C,""),1),F26),"")</f>
        <v>0</v>
      </c>
      <c r="J26" s="855" t="str">
        <f>IFERROR(IF(PRJ_Type="New Construction",H26,INDEX(yControl_Code,MATCH(Inventory!H26,yControlTypes,0),1)),"")</f>
        <v/>
      </c>
      <c r="K26" s="493"/>
      <c r="L26" s="501"/>
      <c r="M26" s="502"/>
      <c r="N26" s="855">
        <f>IFERROR(IFERROR(INDEX('Fixture and LED Schedule'!D:D,MATCH(K26,'Fixture and LED Schedule'!C:C,0),1),K26),"")</f>
        <v>0</v>
      </c>
      <c r="O26" s="855" t="str">
        <f>IFERROR(INDEX(yControl_Code,MATCH(Inventory!M26,yControlTypes,0),1),"")</f>
        <v/>
      </c>
      <c r="P26" s="857" t="str">
        <f>'Lighting Inventory (Ref only)'!AG29</f>
        <v/>
      </c>
      <c r="Q26" s="856" t="str">
        <f>'Lighting Inventory (Ref only)'!AF29</f>
        <v/>
      </c>
      <c r="R26" s="856" t="str">
        <f t="shared" si="0"/>
        <v/>
      </c>
      <c r="S26" s="856" t="str">
        <f>IFERROR(ROUND(R26*'Project Info and Summary'!$J$5/'Project Info and Summary'!$L$5,2),"")</f>
        <v/>
      </c>
    </row>
    <row r="27" spans="1:19" s="102" customFormat="1" ht="30" customHeight="1">
      <c r="A27" s="948"/>
      <c r="B27" s="496">
        <f t="shared" si="1"/>
        <v>18</v>
      </c>
      <c r="C27" s="864"/>
      <c r="D27" s="504"/>
      <c r="E27" s="866"/>
      <c r="F27" s="498"/>
      <c r="G27" s="499"/>
      <c r="H27" s="492"/>
      <c r="I27" s="855">
        <f>IFERROR(IFERROR(INDEX('Fixture and LED Schedule'!D:D,MATCH(F27,'Fixture and LED Schedule'!C:C,""),1),F27),"")</f>
        <v>0</v>
      </c>
      <c r="J27" s="855" t="str">
        <f>IFERROR(IF(PRJ_Type="New Construction",H27,INDEX(yControl_Code,MATCH(Inventory!H27,yControlTypes,0),1)),"")</f>
        <v/>
      </c>
      <c r="K27" s="493"/>
      <c r="L27" s="501"/>
      <c r="M27" s="502"/>
      <c r="N27" s="855">
        <f>IFERROR(IFERROR(INDEX('Fixture and LED Schedule'!D:D,MATCH(K27,'Fixture and LED Schedule'!C:C,0),1),K27),"")</f>
        <v>0</v>
      </c>
      <c r="O27" s="855" t="str">
        <f>IFERROR(INDEX(yControl_Code,MATCH(Inventory!M27,yControlTypes,0),1),"")</f>
        <v/>
      </c>
      <c r="P27" s="857" t="str">
        <f>'Lighting Inventory (Ref only)'!AG30</f>
        <v/>
      </c>
      <c r="Q27" s="856" t="str">
        <f>'Lighting Inventory (Ref only)'!AF30</f>
        <v/>
      </c>
      <c r="R27" s="856" t="str">
        <f t="shared" si="0"/>
        <v/>
      </c>
      <c r="S27" s="856" t="str">
        <f>IFERROR(ROUND(R27*'Project Info and Summary'!$J$5/'Project Info and Summary'!$L$5,2),"")</f>
        <v/>
      </c>
    </row>
    <row r="28" spans="1:19" s="102" customFormat="1" ht="30" customHeight="1">
      <c r="A28" s="948"/>
      <c r="B28" s="496">
        <f t="shared" si="1"/>
        <v>19</v>
      </c>
      <c r="C28" s="864"/>
      <c r="D28" s="503"/>
      <c r="E28" s="866"/>
      <c r="F28" s="498"/>
      <c r="G28" s="499"/>
      <c r="H28" s="492"/>
      <c r="I28" s="855">
        <f>IFERROR(IFERROR(INDEX('Fixture and LED Schedule'!D:D,MATCH(F28,'Fixture and LED Schedule'!C:C,""),1),F28),"")</f>
        <v>0</v>
      </c>
      <c r="J28" s="855" t="str">
        <f>IFERROR(IF(PRJ_Type="New Construction",H28,INDEX(yControl_Code,MATCH(Inventory!H28,yControlTypes,0),1)),"")</f>
        <v/>
      </c>
      <c r="K28" s="493"/>
      <c r="L28" s="501"/>
      <c r="M28" s="502"/>
      <c r="N28" s="855">
        <f>IFERROR(IFERROR(INDEX('Fixture and LED Schedule'!D:D,MATCH(K28,'Fixture and LED Schedule'!C:C,0),1),K28),"")</f>
        <v>0</v>
      </c>
      <c r="O28" s="855" t="str">
        <f>IFERROR(INDEX(yControl_Code,MATCH(Inventory!M28,yControlTypes,0),1),"")</f>
        <v/>
      </c>
      <c r="P28" s="857" t="str">
        <f>'Lighting Inventory (Ref only)'!AG31</f>
        <v/>
      </c>
      <c r="Q28" s="856" t="str">
        <f>'Lighting Inventory (Ref only)'!AF31</f>
        <v/>
      </c>
      <c r="R28" s="856" t="str">
        <f t="shared" si="0"/>
        <v/>
      </c>
      <c r="S28" s="856" t="str">
        <f>IFERROR(ROUND(R28*'Project Info and Summary'!$J$5/'Project Info and Summary'!$L$5,2),"")</f>
        <v/>
      </c>
    </row>
    <row r="29" spans="1:19" s="102" customFormat="1" ht="30" customHeight="1">
      <c r="A29" s="948"/>
      <c r="B29" s="496">
        <f t="shared" si="1"/>
        <v>20</v>
      </c>
      <c r="C29" s="864"/>
      <c r="D29" s="504"/>
      <c r="E29" s="866"/>
      <c r="F29" s="498"/>
      <c r="G29" s="499"/>
      <c r="H29" s="492"/>
      <c r="I29" s="855">
        <f>IFERROR(IFERROR(INDEX('Fixture and LED Schedule'!D:D,MATCH(F29,'Fixture and LED Schedule'!C:C,""),1),F29),"")</f>
        <v>0</v>
      </c>
      <c r="J29" s="855" t="str">
        <f>IFERROR(IF(PRJ_Type="New Construction",H29,INDEX(yControl_Code,MATCH(Inventory!H29,yControlTypes,0),1)),"")</f>
        <v/>
      </c>
      <c r="K29" s="493"/>
      <c r="L29" s="501"/>
      <c r="M29" s="502"/>
      <c r="N29" s="855">
        <f>IFERROR(IFERROR(INDEX('Fixture and LED Schedule'!D:D,MATCH(K29,'Fixture and LED Schedule'!C:C,0),1),K29),"")</f>
        <v>0</v>
      </c>
      <c r="O29" s="855" t="str">
        <f>IFERROR(INDEX(yControl_Code,MATCH(Inventory!M29,yControlTypes,0),1),"")</f>
        <v/>
      </c>
      <c r="P29" s="857" t="str">
        <f>'Lighting Inventory (Ref only)'!AG32</f>
        <v/>
      </c>
      <c r="Q29" s="856" t="str">
        <f>'Lighting Inventory (Ref only)'!AF32</f>
        <v/>
      </c>
      <c r="R29" s="856" t="str">
        <f t="shared" si="0"/>
        <v/>
      </c>
      <c r="S29" s="856" t="str">
        <f>IFERROR(ROUND(R29*'Project Info and Summary'!$J$5/'Project Info and Summary'!$L$5,2),"")</f>
        <v/>
      </c>
    </row>
    <row r="30" spans="1:19" s="102" customFormat="1" ht="30" customHeight="1">
      <c r="A30" s="948"/>
      <c r="B30" s="496">
        <f t="shared" si="1"/>
        <v>21</v>
      </c>
      <c r="C30" s="864"/>
      <c r="D30" s="503"/>
      <c r="E30" s="866"/>
      <c r="F30" s="498"/>
      <c r="G30" s="499"/>
      <c r="H30" s="492"/>
      <c r="I30" s="855">
        <f>IFERROR(IFERROR(INDEX('Fixture and LED Schedule'!D:D,MATCH(F30,'Fixture and LED Schedule'!C:C,""),1),F30),"")</f>
        <v>0</v>
      </c>
      <c r="J30" s="855" t="str">
        <f>IFERROR(IF(PRJ_Type="New Construction",H30,INDEX(yControl_Code,MATCH(Inventory!H30,yControlTypes,0),1)),"")</f>
        <v/>
      </c>
      <c r="K30" s="493"/>
      <c r="L30" s="501"/>
      <c r="M30" s="502"/>
      <c r="N30" s="855">
        <f>IFERROR(IFERROR(INDEX('Fixture and LED Schedule'!D:D,MATCH(K30,'Fixture and LED Schedule'!C:C,0),1),K30),"")</f>
        <v>0</v>
      </c>
      <c r="O30" s="855" t="str">
        <f>IFERROR(INDEX(yControl_Code,MATCH(Inventory!M30,yControlTypes,0),1),"")</f>
        <v/>
      </c>
      <c r="P30" s="857" t="str">
        <f>'Lighting Inventory (Ref only)'!AG33</f>
        <v/>
      </c>
      <c r="Q30" s="856" t="str">
        <f>'Lighting Inventory (Ref only)'!AF33</f>
        <v/>
      </c>
      <c r="R30" s="856" t="str">
        <f t="shared" si="0"/>
        <v/>
      </c>
      <c r="S30" s="856" t="str">
        <f>IFERROR(ROUND(R30*'Project Info and Summary'!$J$5/'Project Info and Summary'!$L$5,2),"")</f>
        <v/>
      </c>
    </row>
    <row r="31" spans="1:19" s="102" customFormat="1" ht="30" customHeight="1">
      <c r="A31" s="948"/>
      <c r="B31" s="496">
        <f t="shared" si="1"/>
        <v>22</v>
      </c>
      <c r="C31" s="864"/>
      <c r="D31" s="504"/>
      <c r="E31" s="866"/>
      <c r="F31" s="498"/>
      <c r="G31" s="499"/>
      <c r="H31" s="492"/>
      <c r="I31" s="855">
        <f>IFERROR(IFERROR(INDEX('Fixture and LED Schedule'!D:D,MATCH(F31,'Fixture and LED Schedule'!C:C,""),1),F31),"")</f>
        <v>0</v>
      </c>
      <c r="J31" s="855" t="str">
        <f>IFERROR(IF(PRJ_Type="New Construction",H31,INDEX(yControl_Code,MATCH(Inventory!H31,yControlTypes,0),1)),"")</f>
        <v/>
      </c>
      <c r="K31" s="493"/>
      <c r="L31" s="501"/>
      <c r="M31" s="502"/>
      <c r="N31" s="855">
        <f>IFERROR(IFERROR(INDEX('Fixture and LED Schedule'!D:D,MATCH(K31,'Fixture and LED Schedule'!C:C,0),1),K31),"")</f>
        <v>0</v>
      </c>
      <c r="O31" s="855" t="str">
        <f>IFERROR(INDEX(yControl_Code,MATCH(Inventory!M31,yControlTypes,0),1),"")</f>
        <v/>
      </c>
      <c r="P31" s="857" t="str">
        <f>'Lighting Inventory (Ref only)'!AG34</f>
        <v/>
      </c>
      <c r="Q31" s="856" t="str">
        <f>'Lighting Inventory (Ref only)'!AF34</f>
        <v/>
      </c>
      <c r="R31" s="856" t="str">
        <f t="shared" si="0"/>
        <v/>
      </c>
      <c r="S31" s="856" t="str">
        <f>IFERROR(ROUND(R31*'Project Info and Summary'!$J$5/'Project Info and Summary'!$L$5,2),"")</f>
        <v/>
      </c>
    </row>
    <row r="32" spans="1:19" s="102" customFormat="1" ht="30" customHeight="1">
      <c r="A32" s="948"/>
      <c r="B32" s="496">
        <f t="shared" si="1"/>
        <v>23</v>
      </c>
      <c r="C32" s="864"/>
      <c r="D32" s="503"/>
      <c r="E32" s="866"/>
      <c r="F32" s="498"/>
      <c r="G32" s="499"/>
      <c r="H32" s="492"/>
      <c r="I32" s="855">
        <f>IFERROR(IFERROR(INDEX('Fixture and LED Schedule'!D:D,MATCH(F32,'Fixture and LED Schedule'!C:C,""),1),F32),"")</f>
        <v>0</v>
      </c>
      <c r="J32" s="855" t="str">
        <f>IFERROR(IF(PRJ_Type="New Construction",H32,INDEX(yControl_Code,MATCH(Inventory!H32,yControlTypes,0),1)),"")</f>
        <v/>
      </c>
      <c r="K32" s="493"/>
      <c r="L32" s="501"/>
      <c r="M32" s="502"/>
      <c r="N32" s="855">
        <f>IFERROR(IFERROR(INDEX('Fixture and LED Schedule'!D:D,MATCH(K32,'Fixture and LED Schedule'!C:C,0),1),K32),"")</f>
        <v>0</v>
      </c>
      <c r="O32" s="855" t="str">
        <f>IFERROR(INDEX(yControl_Code,MATCH(Inventory!M32,yControlTypes,0),1),"")</f>
        <v/>
      </c>
      <c r="P32" s="857" t="str">
        <f>'Lighting Inventory (Ref only)'!AG35</f>
        <v/>
      </c>
      <c r="Q32" s="856" t="str">
        <f>'Lighting Inventory (Ref only)'!AF35</f>
        <v/>
      </c>
      <c r="R32" s="856" t="str">
        <f t="shared" si="0"/>
        <v/>
      </c>
      <c r="S32" s="856" t="str">
        <f>IFERROR(ROUND(R32*'Project Info and Summary'!$J$5/'Project Info and Summary'!$L$5,2),"")</f>
        <v/>
      </c>
    </row>
    <row r="33" spans="1:19" s="102" customFormat="1" ht="30" customHeight="1">
      <c r="A33" s="948"/>
      <c r="B33" s="496">
        <f t="shared" si="1"/>
        <v>24</v>
      </c>
      <c r="C33" s="864"/>
      <c r="D33" s="504"/>
      <c r="E33" s="866"/>
      <c r="F33" s="498"/>
      <c r="G33" s="499"/>
      <c r="H33" s="492"/>
      <c r="I33" s="855">
        <f>IFERROR(IFERROR(INDEX('Fixture and LED Schedule'!D:D,MATCH(F33,'Fixture and LED Schedule'!C:C,""),1),F33),"")</f>
        <v>0</v>
      </c>
      <c r="J33" s="855" t="str">
        <f>IFERROR(IF(PRJ_Type="New Construction",H33,INDEX(yControl_Code,MATCH(Inventory!H33,yControlTypes,0),1)),"")</f>
        <v/>
      </c>
      <c r="K33" s="493"/>
      <c r="L33" s="501"/>
      <c r="M33" s="502"/>
      <c r="N33" s="855">
        <f>IFERROR(IFERROR(INDEX('Fixture and LED Schedule'!D:D,MATCH(K33,'Fixture and LED Schedule'!C:C,0),1),K33),"")</f>
        <v>0</v>
      </c>
      <c r="O33" s="855" t="str">
        <f>IFERROR(INDEX(yControl_Code,MATCH(Inventory!M33,yControlTypes,0),1),"")</f>
        <v/>
      </c>
      <c r="P33" s="857" t="str">
        <f>'Lighting Inventory (Ref only)'!AG36</f>
        <v/>
      </c>
      <c r="Q33" s="856" t="str">
        <f>'Lighting Inventory (Ref only)'!AF36</f>
        <v/>
      </c>
      <c r="R33" s="856" t="str">
        <f t="shared" si="0"/>
        <v/>
      </c>
      <c r="S33" s="856" t="str">
        <f>IFERROR(ROUND(R33*'Project Info and Summary'!$J$5/'Project Info and Summary'!$L$5,2),"")</f>
        <v/>
      </c>
    </row>
    <row r="34" spans="1:19" s="102" customFormat="1" ht="30" customHeight="1">
      <c r="A34" s="948"/>
      <c r="B34" s="496">
        <f t="shared" si="1"/>
        <v>25</v>
      </c>
      <c r="C34" s="864"/>
      <c r="D34" s="503"/>
      <c r="E34" s="866"/>
      <c r="F34" s="498"/>
      <c r="G34" s="499"/>
      <c r="H34" s="492"/>
      <c r="I34" s="855">
        <f>IFERROR(IFERROR(INDEX('Fixture and LED Schedule'!D:D,MATCH(F34,'Fixture and LED Schedule'!C:C,""),1),F34),"")</f>
        <v>0</v>
      </c>
      <c r="J34" s="855" t="str">
        <f>IFERROR(IF(PRJ_Type="New Construction",H34,INDEX(yControl_Code,MATCH(Inventory!H34,yControlTypes,0),1)),"")</f>
        <v/>
      </c>
      <c r="K34" s="493"/>
      <c r="L34" s="501"/>
      <c r="M34" s="502"/>
      <c r="N34" s="855">
        <f>IFERROR(IFERROR(INDEX('Fixture and LED Schedule'!D:D,MATCH(K34,'Fixture and LED Schedule'!C:C,0),1),K34),"")</f>
        <v>0</v>
      </c>
      <c r="O34" s="855" t="str">
        <f>IFERROR(INDEX(yControl_Code,MATCH(Inventory!M34,yControlTypes,0),1),"")</f>
        <v/>
      </c>
      <c r="P34" s="857" t="str">
        <f>'Lighting Inventory (Ref only)'!AG37</f>
        <v/>
      </c>
      <c r="Q34" s="856" t="str">
        <f>'Lighting Inventory (Ref only)'!AF37</f>
        <v/>
      </c>
      <c r="R34" s="856" t="str">
        <f t="shared" si="0"/>
        <v/>
      </c>
      <c r="S34" s="856" t="str">
        <f>IFERROR(ROUND(R34*'Project Info and Summary'!$J$5/'Project Info and Summary'!$L$5,2),"")</f>
        <v/>
      </c>
    </row>
    <row r="35" spans="1:19" s="102" customFormat="1" ht="30" customHeight="1">
      <c r="A35" s="948"/>
      <c r="B35" s="496">
        <f t="shared" si="1"/>
        <v>26</v>
      </c>
      <c r="C35" s="864"/>
      <c r="D35" s="504"/>
      <c r="E35" s="866"/>
      <c r="F35" s="498"/>
      <c r="G35" s="499"/>
      <c r="H35" s="492"/>
      <c r="I35" s="855">
        <f>IFERROR(IFERROR(INDEX('Fixture and LED Schedule'!D:D,MATCH(F35,'Fixture and LED Schedule'!C:C,""),1),F35),"")</f>
        <v>0</v>
      </c>
      <c r="J35" s="855" t="str">
        <f>IFERROR(IF(PRJ_Type="New Construction",H35,INDEX(yControl_Code,MATCH(Inventory!H35,yControlTypes,0),1)),"")</f>
        <v/>
      </c>
      <c r="K35" s="493"/>
      <c r="L35" s="501"/>
      <c r="M35" s="502"/>
      <c r="N35" s="855">
        <f>IFERROR(IFERROR(INDEX('Fixture and LED Schedule'!D:D,MATCH(K35,'Fixture and LED Schedule'!C:C,0),1),K35),"")</f>
        <v>0</v>
      </c>
      <c r="O35" s="855" t="str">
        <f>IFERROR(INDEX(yControl_Code,MATCH(Inventory!M35,yControlTypes,0),1),"")</f>
        <v/>
      </c>
      <c r="P35" s="857" t="str">
        <f>'Lighting Inventory (Ref only)'!AG38</f>
        <v/>
      </c>
      <c r="Q35" s="856" t="str">
        <f>'Lighting Inventory (Ref only)'!AF38</f>
        <v/>
      </c>
      <c r="R35" s="856" t="str">
        <f t="shared" si="0"/>
        <v/>
      </c>
      <c r="S35" s="856" t="str">
        <f>IFERROR(ROUND(R35*'Project Info and Summary'!$J$5/'Project Info and Summary'!$L$5,2),"")</f>
        <v/>
      </c>
    </row>
    <row r="36" spans="1:19" s="102" customFormat="1" ht="30" customHeight="1">
      <c r="A36" s="948"/>
      <c r="B36" s="496">
        <f t="shared" si="1"/>
        <v>27</v>
      </c>
      <c r="C36" s="864"/>
      <c r="D36" s="503"/>
      <c r="E36" s="866"/>
      <c r="F36" s="498"/>
      <c r="G36" s="499"/>
      <c r="H36" s="492"/>
      <c r="I36" s="855">
        <f>IFERROR(IFERROR(INDEX('Fixture and LED Schedule'!D:D,MATCH(F36,'Fixture and LED Schedule'!C:C,""),1),F36),"")</f>
        <v>0</v>
      </c>
      <c r="J36" s="855" t="str">
        <f>IFERROR(IF(PRJ_Type="New Construction",H36,INDEX(yControl_Code,MATCH(Inventory!H36,yControlTypes,0),1)),"")</f>
        <v/>
      </c>
      <c r="K36" s="493"/>
      <c r="L36" s="501"/>
      <c r="M36" s="502"/>
      <c r="N36" s="855">
        <f>IFERROR(IFERROR(INDEX('Fixture and LED Schedule'!D:D,MATCH(K36,'Fixture and LED Schedule'!C:C,0),1),K36),"")</f>
        <v>0</v>
      </c>
      <c r="O36" s="855" t="str">
        <f>IFERROR(INDEX(yControl_Code,MATCH(Inventory!M36,yControlTypes,0),1),"")</f>
        <v/>
      </c>
      <c r="P36" s="857" t="str">
        <f>'Lighting Inventory (Ref only)'!AG39</f>
        <v/>
      </c>
      <c r="Q36" s="856" t="str">
        <f>'Lighting Inventory (Ref only)'!AF39</f>
        <v/>
      </c>
      <c r="R36" s="856" t="str">
        <f t="shared" si="0"/>
        <v/>
      </c>
      <c r="S36" s="856" t="str">
        <f>IFERROR(ROUND(R36*'Project Info and Summary'!$J$5/'Project Info and Summary'!$L$5,2),"")</f>
        <v/>
      </c>
    </row>
    <row r="37" spans="1:19" s="102" customFormat="1" ht="30" customHeight="1">
      <c r="A37" s="948"/>
      <c r="B37" s="496">
        <f t="shared" si="1"/>
        <v>28</v>
      </c>
      <c r="C37" s="864"/>
      <c r="D37" s="504"/>
      <c r="E37" s="866"/>
      <c r="F37" s="498"/>
      <c r="G37" s="499"/>
      <c r="H37" s="492"/>
      <c r="I37" s="855">
        <f>IFERROR(IFERROR(INDEX('Fixture and LED Schedule'!D:D,MATCH(F37,'Fixture and LED Schedule'!C:C,""),1),F37),"")</f>
        <v>0</v>
      </c>
      <c r="J37" s="855" t="str">
        <f>IFERROR(IF(PRJ_Type="New Construction",H37,INDEX(yControl_Code,MATCH(Inventory!H37,yControlTypes,0),1)),"")</f>
        <v/>
      </c>
      <c r="K37" s="493"/>
      <c r="L37" s="501"/>
      <c r="M37" s="502"/>
      <c r="N37" s="855">
        <f>IFERROR(IFERROR(INDEX('Fixture and LED Schedule'!D:D,MATCH(K37,'Fixture and LED Schedule'!C:C,0),1),K37),"")</f>
        <v>0</v>
      </c>
      <c r="O37" s="855" t="str">
        <f>IFERROR(INDEX(yControl_Code,MATCH(Inventory!M37,yControlTypes,0),1),"")</f>
        <v/>
      </c>
      <c r="P37" s="857" t="str">
        <f>'Lighting Inventory (Ref only)'!AG40</f>
        <v/>
      </c>
      <c r="Q37" s="856" t="str">
        <f>'Lighting Inventory (Ref only)'!AF40</f>
        <v/>
      </c>
      <c r="R37" s="856" t="str">
        <f t="shared" si="0"/>
        <v/>
      </c>
      <c r="S37" s="856" t="str">
        <f>IFERROR(ROUND(R37*'Project Info and Summary'!$J$5/'Project Info and Summary'!$L$5,2),"")</f>
        <v/>
      </c>
    </row>
    <row r="38" spans="1:19" s="102" customFormat="1" ht="30" customHeight="1">
      <c r="A38" s="948"/>
      <c r="B38" s="496">
        <f t="shared" si="1"/>
        <v>29</v>
      </c>
      <c r="C38" s="864"/>
      <c r="D38" s="503"/>
      <c r="E38" s="866"/>
      <c r="F38" s="498"/>
      <c r="G38" s="499"/>
      <c r="H38" s="492"/>
      <c r="I38" s="855">
        <f>IFERROR(IFERROR(INDEX('Fixture and LED Schedule'!D:D,MATCH(F38,'Fixture and LED Schedule'!C:C,""),1),F38),"")</f>
        <v>0</v>
      </c>
      <c r="J38" s="855" t="str">
        <f>IFERROR(IF(PRJ_Type="New Construction",H38,INDEX(yControl_Code,MATCH(Inventory!H38,yControlTypes,0),1)),"")</f>
        <v/>
      </c>
      <c r="K38" s="493"/>
      <c r="L38" s="501"/>
      <c r="M38" s="502"/>
      <c r="N38" s="855">
        <f>IFERROR(IFERROR(INDEX('Fixture and LED Schedule'!D:D,MATCH(K38,'Fixture and LED Schedule'!C:C,0),1),K38),"")</f>
        <v>0</v>
      </c>
      <c r="O38" s="855" t="str">
        <f>IFERROR(INDEX(yControl_Code,MATCH(Inventory!M38,yControlTypes,0),1),"")</f>
        <v/>
      </c>
      <c r="P38" s="857" t="str">
        <f>'Lighting Inventory (Ref only)'!AG41</f>
        <v/>
      </c>
      <c r="Q38" s="856" t="str">
        <f>'Lighting Inventory (Ref only)'!AF41</f>
        <v/>
      </c>
      <c r="R38" s="856" t="str">
        <f t="shared" si="0"/>
        <v/>
      </c>
      <c r="S38" s="856" t="str">
        <f>IFERROR(ROUND(R38*'Project Info and Summary'!$J$5/'Project Info and Summary'!$L$5,2),"")</f>
        <v/>
      </c>
    </row>
    <row r="39" spans="1:19" s="102" customFormat="1" ht="30" customHeight="1">
      <c r="A39" s="948"/>
      <c r="B39" s="496">
        <f t="shared" si="1"/>
        <v>30</v>
      </c>
      <c r="C39" s="864"/>
      <c r="D39" s="504"/>
      <c r="E39" s="866"/>
      <c r="F39" s="498"/>
      <c r="G39" s="499"/>
      <c r="H39" s="492"/>
      <c r="I39" s="855">
        <f>IFERROR(IFERROR(INDEX('Fixture and LED Schedule'!D:D,MATCH(F39,'Fixture and LED Schedule'!C:C,""),1),F39),"")</f>
        <v>0</v>
      </c>
      <c r="J39" s="855" t="str">
        <f>IFERROR(IF(PRJ_Type="New Construction",H39,INDEX(yControl_Code,MATCH(Inventory!H39,yControlTypes,0),1)),"")</f>
        <v/>
      </c>
      <c r="K39" s="493"/>
      <c r="L39" s="501"/>
      <c r="M39" s="502"/>
      <c r="N39" s="855">
        <f>IFERROR(IFERROR(INDEX('Fixture and LED Schedule'!D:D,MATCH(K39,'Fixture and LED Schedule'!C:C,0),1),K39),"")</f>
        <v>0</v>
      </c>
      <c r="O39" s="855" t="str">
        <f>IFERROR(INDEX(yControl_Code,MATCH(Inventory!M39,yControlTypes,0),1),"")</f>
        <v/>
      </c>
      <c r="P39" s="857" t="str">
        <f>'Lighting Inventory (Ref only)'!AG42</f>
        <v/>
      </c>
      <c r="Q39" s="856" t="str">
        <f>'Lighting Inventory (Ref only)'!AF42</f>
        <v/>
      </c>
      <c r="R39" s="856" t="str">
        <f t="shared" si="0"/>
        <v/>
      </c>
      <c r="S39" s="856" t="str">
        <f>IFERROR(ROUND(R39*'Project Info and Summary'!$J$5/'Project Info and Summary'!$L$5,2),"")</f>
        <v/>
      </c>
    </row>
    <row r="40" spans="1:19" s="102" customFormat="1" ht="30" customHeight="1">
      <c r="A40" s="948"/>
      <c r="B40" s="496">
        <f t="shared" si="1"/>
        <v>31</v>
      </c>
      <c r="C40" s="864"/>
      <c r="D40" s="503"/>
      <c r="E40" s="866"/>
      <c r="F40" s="498"/>
      <c r="G40" s="499"/>
      <c r="H40" s="492"/>
      <c r="I40" s="855">
        <f>IFERROR(IFERROR(INDEX('Fixture and LED Schedule'!D:D,MATCH(F40,'Fixture and LED Schedule'!C:C,""),1),F40),"")</f>
        <v>0</v>
      </c>
      <c r="J40" s="855" t="str">
        <f>IFERROR(IF(PRJ_Type="New Construction",H40,INDEX(yControl_Code,MATCH(Inventory!H40,yControlTypes,0),1)),"")</f>
        <v/>
      </c>
      <c r="K40" s="493"/>
      <c r="L40" s="501"/>
      <c r="M40" s="502"/>
      <c r="N40" s="855">
        <f>IFERROR(IFERROR(INDEX('Fixture and LED Schedule'!D:D,MATCH(K40,'Fixture and LED Schedule'!C:C,0),1),K40),"")</f>
        <v>0</v>
      </c>
      <c r="O40" s="855" t="str">
        <f>IFERROR(INDEX(yControl_Code,MATCH(Inventory!M40,yControlTypes,0),1),"")</f>
        <v/>
      </c>
      <c r="P40" s="857" t="str">
        <f>'Lighting Inventory (Ref only)'!AG43</f>
        <v/>
      </c>
      <c r="Q40" s="856" t="str">
        <f>'Lighting Inventory (Ref only)'!AF43</f>
        <v/>
      </c>
      <c r="R40" s="856" t="str">
        <f t="shared" si="0"/>
        <v/>
      </c>
      <c r="S40" s="856" t="str">
        <f>IFERROR(ROUND(R40*'Project Info and Summary'!$J$5/'Project Info and Summary'!$L$5,2),"")</f>
        <v/>
      </c>
    </row>
    <row r="41" spans="1:19" s="102" customFormat="1" ht="30" customHeight="1">
      <c r="A41" s="948"/>
      <c r="B41" s="496">
        <f t="shared" si="1"/>
        <v>32</v>
      </c>
      <c r="C41" s="864"/>
      <c r="D41" s="504"/>
      <c r="E41" s="866"/>
      <c r="F41" s="498"/>
      <c r="G41" s="499"/>
      <c r="H41" s="492"/>
      <c r="I41" s="855">
        <f>IFERROR(IFERROR(INDEX('Fixture and LED Schedule'!D:D,MATCH(F41,'Fixture and LED Schedule'!C:C,""),1),F41),"")</f>
        <v>0</v>
      </c>
      <c r="J41" s="855" t="str">
        <f>IFERROR(IF(PRJ_Type="New Construction",H41,INDEX(yControl_Code,MATCH(Inventory!H41,yControlTypes,0),1)),"")</f>
        <v/>
      </c>
      <c r="K41" s="493"/>
      <c r="L41" s="501"/>
      <c r="M41" s="502"/>
      <c r="N41" s="855">
        <f>IFERROR(IFERROR(INDEX('Fixture and LED Schedule'!D:D,MATCH(K41,'Fixture and LED Schedule'!C:C,0),1),K41),"")</f>
        <v>0</v>
      </c>
      <c r="O41" s="855" t="str">
        <f>IFERROR(INDEX(yControl_Code,MATCH(Inventory!M41,yControlTypes,0),1),"")</f>
        <v/>
      </c>
      <c r="P41" s="857" t="str">
        <f>'Lighting Inventory (Ref only)'!AG44</f>
        <v/>
      </c>
      <c r="Q41" s="856" t="str">
        <f>'Lighting Inventory (Ref only)'!AF44</f>
        <v/>
      </c>
      <c r="R41" s="856" t="str">
        <f t="shared" si="0"/>
        <v/>
      </c>
      <c r="S41" s="856" t="str">
        <f>IFERROR(ROUND(R41*'Project Info and Summary'!$J$5/'Project Info and Summary'!$L$5,2),"")</f>
        <v/>
      </c>
    </row>
    <row r="42" spans="1:19" s="102" customFormat="1" ht="30" customHeight="1">
      <c r="A42" s="948"/>
      <c r="B42" s="496">
        <f t="shared" si="1"/>
        <v>33</v>
      </c>
      <c r="C42" s="864"/>
      <c r="D42" s="503"/>
      <c r="E42" s="866"/>
      <c r="F42" s="498"/>
      <c r="G42" s="499"/>
      <c r="H42" s="492"/>
      <c r="I42" s="855">
        <f>IFERROR(IFERROR(INDEX('Fixture and LED Schedule'!D:D,MATCH(F42,'Fixture and LED Schedule'!C:C,""),1),F42),"")</f>
        <v>0</v>
      </c>
      <c r="J42" s="855" t="str">
        <f>IFERROR(IF(PRJ_Type="New Construction",H42,INDEX(yControl_Code,MATCH(Inventory!H42,yControlTypes,0),1)),"")</f>
        <v/>
      </c>
      <c r="K42" s="493"/>
      <c r="L42" s="501"/>
      <c r="M42" s="502"/>
      <c r="N42" s="855">
        <f>IFERROR(IFERROR(INDEX('Fixture and LED Schedule'!D:D,MATCH(K42,'Fixture and LED Schedule'!C:C,0),1),K42),"")</f>
        <v>0</v>
      </c>
      <c r="O42" s="855" t="str">
        <f>IFERROR(INDEX(yControl_Code,MATCH(Inventory!M42,yControlTypes,0),1),"")</f>
        <v/>
      </c>
      <c r="P42" s="857" t="str">
        <f>'Lighting Inventory (Ref only)'!AG45</f>
        <v/>
      </c>
      <c r="Q42" s="856" t="str">
        <f>'Lighting Inventory (Ref only)'!AF45</f>
        <v/>
      </c>
      <c r="R42" s="856" t="str">
        <f t="shared" si="0"/>
        <v/>
      </c>
      <c r="S42" s="856" t="str">
        <f>IFERROR(ROUND(R42*'Project Info and Summary'!$J$5/'Project Info and Summary'!$L$5,2),"")</f>
        <v/>
      </c>
    </row>
    <row r="43" spans="1:19" s="102" customFormat="1" ht="30" customHeight="1">
      <c r="A43" s="948"/>
      <c r="B43" s="496">
        <f t="shared" si="1"/>
        <v>34</v>
      </c>
      <c r="C43" s="864"/>
      <c r="D43" s="504"/>
      <c r="E43" s="866"/>
      <c r="F43" s="498"/>
      <c r="G43" s="499"/>
      <c r="H43" s="492"/>
      <c r="I43" s="855">
        <f>IFERROR(IFERROR(INDEX('Fixture and LED Schedule'!D:D,MATCH(F43,'Fixture and LED Schedule'!C:C,""),1),F43),"")</f>
        <v>0</v>
      </c>
      <c r="J43" s="855" t="str">
        <f>IFERROR(IF(PRJ_Type="New Construction",H43,INDEX(yControl_Code,MATCH(Inventory!H43,yControlTypes,0),1)),"")</f>
        <v/>
      </c>
      <c r="K43" s="493"/>
      <c r="L43" s="501"/>
      <c r="M43" s="502"/>
      <c r="N43" s="855">
        <f>IFERROR(IFERROR(INDEX('Fixture and LED Schedule'!D:D,MATCH(K43,'Fixture and LED Schedule'!C:C,0),1),K43),"")</f>
        <v>0</v>
      </c>
      <c r="O43" s="855" t="str">
        <f>IFERROR(INDEX(yControl_Code,MATCH(Inventory!M43,yControlTypes,0),1),"")</f>
        <v/>
      </c>
      <c r="P43" s="857" t="str">
        <f>'Lighting Inventory (Ref only)'!AG46</f>
        <v/>
      </c>
      <c r="Q43" s="856" t="str">
        <f>'Lighting Inventory (Ref only)'!AF46</f>
        <v/>
      </c>
      <c r="R43" s="856" t="str">
        <f t="shared" si="0"/>
        <v/>
      </c>
      <c r="S43" s="856" t="str">
        <f>IFERROR(ROUND(R43*'Project Info and Summary'!$J$5/'Project Info and Summary'!$L$5,2),"")</f>
        <v/>
      </c>
    </row>
    <row r="44" spans="1:19" s="102" customFormat="1" ht="30" customHeight="1">
      <c r="A44" s="948"/>
      <c r="B44" s="496">
        <f t="shared" si="1"/>
        <v>35</v>
      </c>
      <c r="C44" s="864"/>
      <c r="D44" s="503"/>
      <c r="E44" s="866"/>
      <c r="F44" s="498"/>
      <c r="G44" s="499"/>
      <c r="H44" s="492"/>
      <c r="I44" s="855">
        <f>IFERROR(IFERROR(INDEX('Fixture and LED Schedule'!D:D,MATCH(F44,'Fixture and LED Schedule'!C:C,""),1),F44),"")</f>
        <v>0</v>
      </c>
      <c r="J44" s="855" t="str">
        <f>IFERROR(IF(PRJ_Type="New Construction",H44,INDEX(yControl_Code,MATCH(Inventory!H44,yControlTypes,0),1)),"")</f>
        <v/>
      </c>
      <c r="K44" s="493"/>
      <c r="L44" s="501"/>
      <c r="M44" s="502"/>
      <c r="N44" s="855">
        <f>IFERROR(IFERROR(INDEX('Fixture and LED Schedule'!D:D,MATCH(K44,'Fixture and LED Schedule'!C:C,0),1),K44),"")</f>
        <v>0</v>
      </c>
      <c r="O44" s="855" t="str">
        <f>IFERROR(INDEX(yControl_Code,MATCH(Inventory!M44,yControlTypes,0),1),"")</f>
        <v/>
      </c>
      <c r="P44" s="857" t="str">
        <f>'Lighting Inventory (Ref only)'!AG47</f>
        <v/>
      </c>
      <c r="Q44" s="856" t="str">
        <f>'Lighting Inventory (Ref only)'!AF47</f>
        <v/>
      </c>
      <c r="R44" s="856" t="str">
        <f t="shared" si="0"/>
        <v/>
      </c>
      <c r="S44" s="856" t="str">
        <f>IFERROR(ROUND(R44*'Project Info and Summary'!$J$5/'Project Info and Summary'!$L$5,2),"")</f>
        <v/>
      </c>
    </row>
    <row r="45" spans="1:19" s="102" customFormat="1" ht="30" customHeight="1">
      <c r="A45" s="948"/>
      <c r="B45" s="496">
        <f t="shared" si="1"/>
        <v>36</v>
      </c>
      <c r="C45" s="864"/>
      <c r="D45" s="504"/>
      <c r="E45" s="866"/>
      <c r="F45" s="498"/>
      <c r="G45" s="499"/>
      <c r="H45" s="492"/>
      <c r="I45" s="855">
        <f>IFERROR(IFERROR(INDEX('Fixture and LED Schedule'!D:D,MATCH(F45,'Fixture and LED Schedule'!C:C,""),1),F45),"")</f>
        <v>0</v>
      </c>
      <c r="J45" s="855" t="str">
        <f>IFERROR(IF(PRJ_Type="New Construction",H45,INDEX(yControl_Code,MATCH(Inventory!H45,yControlTypes,0),1)),"")</f>
        <v/>
      </c>
      <c r="K45" s="493"/>
      <c r="L45" s="501"/>
      <c r="M45" s="502"/>
      <c r="N45" s="855">
        <f>IFERROR(IFERROR(INDEX('Fixture and LED Schedule'!D:D,MATCH(K45,'Fixture and LED Schedule'!C:C,0),1),K45),"")</f>
        <v>0</v>
      </c>
      <c r="O45" s="855" t="str">
        <f>IFERROR(INDEX(yControl_Code,MATCH(Inventory!M45,yControlTypes,0),1),"")</f>
        <v/>
      </c>
      <c r="P45" s="857" t="str">
        <f>'Lighting Inventory (Ref only)'!AG48</f>
        <v/>
      </c>
      <c r="Q45" s="856" t="str">
        <f>'Lighting Inventory (Ref only)'!AF48</f>
        <v/>
      </c>
      <c r="R45" s="856" t="str">
        <f t="shared" si="0"/>
        <v/>
      </c>
      <c r="S45" s="856" t="str">
        <f>IFERROR(ROUND(R45*'Project Info and Summary'!$J$5/'Project Info and Summary'!$L$5,2),"")</f>
        <v/>
      </c>
    </row>
    <row r="46" spans="1:19" s="102" customFormat="1" ht="30" customHeight="1">
      <c r="A46" s="948"/>
      <c r="B46" s="496">
        <f t="shared" si="1"/>
        <v>37</v>
      </c>
      <c r="C46" s="864"/>
      <c r="D46" s="503"/>
      <c r="E46" s="866"/>
      <c r="F46" s="498"/>
      <c r="G46" s="499"/>
      <c r="H46" s="492"/>
      <c r="I46" s="855">
        <f>IFERROR(IFERROR(INDEX('Fixture and LED Schedule'!D:D,MATCH(F46,'Fixture and LED Schedule'!C:C,""),1),F46),"")</f>
        <v>0</v>
      </c>
      <c r="J46" s="855" t="str">
        <f>IFERROR(IF(PRJ_Type="New Construction",H46,INDEX(yControl_Code,MATCH(Inventory!H46,yControlTypes,0),1)),"")</f>
        <v/>
      </c>
      <c r="K46" s="493"/>
      <c r="L46" s="501"/>
      <c r="M46" s="502"/>
      <c r="N46" s="855">
        <f>IFERROR(IFERROR(INDEX('Fixture and LED Schedule'!D:D,MATCH(K46,'Fixture and LED Schedule'!C:C,0),1),K46),"")</f>
        <v>0</v>
      </c>
      <c r="O46" s="855" t="str">
        <f>IFERROR(INDEX(yControl_Code,MATCH(Inventory!M46,yControlTypes,0),1),"")</f>
        <v/>
      </c>
      <c r="P46" s="857" t="str">
        <f>'Lighting Inventory (Ref only)'!AG49</f>
        <v/>
      </c>
      <c r="Q46" s="856" t="str">
        <f>'Lighting Inventory (Ref only)'!AF49</f>
        <v/>
      </c>
      <c r="R46" s="856" t="str">
        <f t="shared" si="0"/>
        <v/>
      </c>
      <c r="S46" s="856" t="str">
        <f>IFERROR(ROUND(R46*'Project Info and Summary'!$J$5/'Project Info and Summary'!$L$5,2),"")</f>
        <v/>
      </c>
    </row>
    <row r="47" spans="1:19" s="102" customFormat="1" ht="30" customHeight="1">
      <c r="A47" s="948"/>
      <c r="B47" s="496">
        <f t="shared" si="1"/>
        <v>38</v>
      </c>
      <c r="C47" s="864"/>
      <c r="D47" s="504"/>
      <c r="E47" s="866"/>
      <c r="F47" s="498"/>
      <c r="G47" s="499"/>
      <c r="H47" s="492"/>
      <c r="I47" s="855">
        <f>IFERROR(IFERROR(INDEX('Fixture and LED Schedule'!D:D,MATCH(F47,'Fixture and LED Schedule'!C:C,""),1),F47),"")</f>
        <v>0</v>
      </c>
      <c r="J47" s="855" t="str">
        <f>IFERROR(IF(PRJ_Type="New Construction",H47,INDEX(yControl_Code,MATCH(Inventory!H47,yControlTypes,0),1)),"")</f>
        <v/>
      </c>
      <c r="K47" s="493"/>
      <c r="L47" s="501"/>
      <c r="M47" s="502"/>
      <c r="N47" s="855">
        <f>IFERROR(IFERROR(INDEX('Fixture and LED Schedule'!D:D,MATCH(K47,'Fixture and LED Schedule'!C:C,0),1),K47),"")</f>
        <v>0</v>
      </c>
      <c r="O47" s="855" t="str">
        <f>IFERROR(INDEX(yControl_Code,MATCH(Inventory!M47,yControlTypes,0),1),"")</f>
        <v/>
      </c>
      <c r="P47" s="857" t="str">
        <f>'Lighting Inventory (Ref only)'!AG50</f>
        <v/>
      </c>
      <c r="Q47" s="856" t="str">
        <f>'Lighting Inventory (Ref only)'!AF50</f>
        <v/>
      </c>
      <c r="R47" s="856" t="str">
        <f t="shared" si="0"/>
        <v/>
      </c>
      <c r="S47" s="856" t="str">
        <f>IFERROR(ROUND(R47*'Project Info and Summary'!$J$5/'Project Info and Summary'!$L$5,2),"")</f>
        <v/>
      </c>
    </row>
    <row r="48" spans="1:19" s="102" customFormat="1" ht="30" customHeight="1">
      <c r="A48" s="948"/>
      <c r="B48" s="496">
        <f t="shared" si="1"/>
        <v>39</v>
      </c>
      <c r="C48" s="864"/>
      <c r="D48" s="503"/>
      <c r="E48" s="866"/>
      <c r="F48" s="498"/>
      <c r="G48" s="499"/>
      <c r="H48" s="492"/>
      <c r="I48" s="855">
        <f>IFERROR(IFERROR(INDEX('Fixture and LED Schedule'!D:D,MATCH(F48,'Fixture and LED Schedule'!C:C,""),1),F48),"")</f>
        <v>0</v>
      </c>
      <c r="J48" s="855" t="str">
        <f>IFERROR(IF(PRJ_Type="New Construction",H48,INDEX(yControl_Code,MATCH(Inventory!H48,yControlTypes,0),1)),"")</f>
        <v/>
      </c>
      <c r="K48" s="493"/>
      <c r="L48" s="501"/>
      <c r="M48" s="502"/>
      <c r="N48" s="855">
        <f>IFERROR(IFERROR(INDEX('Fixture and LED Schedule'!D:D,MATCH(K48,'Fixture and LED Schedule'!C:C,0),1),K48),"")</f>
        <v>0</v>
      </c>
      <c r="O48" s="855" t="str">
        <f>IFERROR(INDEX(yControl_Code,MATCH(Inventory!M48,yControlTypes,0),1),"")</f>
        <v/>
      </c>
      <c r="P48" s="857" t="str">
        <f>'Lighting Inventory (Ref only)'!AG51</f>
        <v/>
      </c>
      <c r="Q48" s="856" t="str">
        <f>'Lighting Inventory (Ref only)'!AF51</f>
        <v/>
      </c>
      <c r="R48" s="856" t="str">
        <f t="shared" si="0"/>
        <v/>
      </c>
      <c r="S48" s="856" t="str">
        <f>IFERROR(ROUND(R48*'Project Info and Summary'!$J$5/'Project Info and Summary'!$L$5,2),"")</f>
        <v/>
      </c>
    </row>
    <row r="49" spans="1:19" s="102" customFormat="1" ht="30" customHeight="1">
      <c r="A49" s="948"/>
      <c r="B49" s="496">
        <f t="shared" si="1"/>
        <v>40</v>
      </c>
      <c r="C49" s="864"/>
      <c r="D49" s="504"/>
      <c r="E49" s="866"/>
      <c r="F49" s="498"/>
      <c r="G49" s="499"/>
      <c r="H49" s="492"/>
      <c r="I49" s="855">
        <f>IFERROR(IFERROR(INDEX('Fixture and LED Schedule'!D:D,MATCH(F49,'Fixture and LED Schedule'!C:C,""),1),F49),"")</f>
        <v>0</v>
      </c>
      <c r="J49" s="855" t="str">
        <f>IFERROR(IF(PRJ_Type="New Construction",H49,INDEX(yControl_Code,MATCH(Inventory!H49,yControlTypes,0),1)),"")</f>
        <v/>
      </c>
      <c r="K49" s="493"/>
      <c r="L49" s="501"/>
      <c r="M49" s="502"/>
      <c r="N49" s="855">
        <f>IFERROR(IFERROR(INDEX('Fixture and LED Schedule'!D:D,MATCH(K49,'Fixture and LED Schedule'!C:C,0),1),K49),"")</f>
        <v>0</v>
      </c>
      <c r="O49" s="855" t="str">
        <f>IFERROR(INDEX(yControl_Code,MATCH(Inventory!M49,yControlTypes,0),1),"")</f>
        <v/>
      </c>
      <c r="P49" s="857" t="str">
        <f>'Lighting Inventory (Ref only)'!AG52</f>
        <v/>
      </c>
      <c r="Q49" s="856" t="str">
        <f>'Lighting Inventory (Ref only)'!AF52</f>
        <v/>
      </c>
      <c r="R49" s="856" t="str">
        <f t="shared" si="0"/>
        <v/>
      </c>
      <c r="S49" s="856" t="str">
        <f>IFERROR(ROUND(R49*'Project Info and Summary'!$J$5/'Project Info and Summary'!$L$5,2),"")</f>
        <v/>
      </c>
    </row>
    <row r="50" spans="1:19" s="102" customFormat="1" ht="30" customHeight="1">
      <c r="A50" s="948"/>
      <c r="B50" s="496">
        <f t="shared" si="1"/>
        <v>41</v>
      </c>
      <c r="C50" s="864"/>
      <c r="D50" s="503"/>
      <c r="E50" s="866"/>
      <c r="F50" s="498"/>
      <c r="G50" s="499"/>
      <c r="H50" s="492"/>
      <c r="I50" s="855">
        <f>IFERROR(IFERROR(INDEX('Fixture and LED Schedule'!D:D,MATCH(F50,'Fixture and LED Schedule'!C:C,""),1),F50),"")</f>
        <v>0</v>
      </c>
      <c r="J50" s="855" t="str">
        <f>IFERROR(IF(PRJ_Type="New Construction",H50,INDEX(yControl_Code,MATCH(Inventory!H50,yControlTypes,0),1)),"")</f>
        <v/>
      </c>
      <c r="K50" s="493"/>
      <c r="L50" s="501"/>
      <c r="M50" s="502"/>
      <c r="N50" s="855">
        <f>IFERROR(IFERROR(INDEX('Fixture and LED Schedule'!D:D,MATCH(K50,'Fixture and LED Schedule'!C:C,0),1),K50),"")</f>
        <v>0</v>
      </c>
      <c r="O50" s="855" t="str">
        <f>IFERROR(INDEX(yControl_Code,MATCH(Inventory!M50,yControlTypes,0),1),"")</f>
        <v/>
      </c>
      <c r="P50" s="857" t="str">
        <f>'Lighting Inventory (Ref only)'!AG53</f>
        <v/>
      </c>
      <c r="Q50" s="856" t="str">
        <f>'Lighting Inventory (Ref only)'!AF53</f>
        <v/>
      </c>
      <c r="R50" s="856" t="str">
        <f t="shared" si="0"/>
        <v/>
      </c>
      <c r="S50" s="856" t="str">
        <f>IFERROR(ROUND(R50*'Project Info and Summary'!$J$5/'Project Info and Summary'!$L$5,2),"")</f>
        <v/>
      </c>
    </row>
    <row r="51" spans="1:19" s="102" customFormat="1" ht="30" customHeight="1">
      <c r="A51" s="948"/>
      <c r="B51" s="496">
        <f t="shared" si="1"/>
        <v>42</v>
      </c>
      <c r="C51" s="864"/>
      <c r="D51" s="504"/>
      <c r="E51" s="866"/>
      <c r="F51" s="498"/>
      <c r="G51" s="499"/>
      <c r="H51" s="492"/>
      <c r="I51" s="855">
        <f>IFERROR(IFERROR(INDEX('Fixture and LED Schedule'!D:D,MATCH(F51,'Fixture and LED Schedule'!C:C,""),1),F51),"")</f>
        <v>0</v>
      </c>
      <c r="J51" s="855" t="str">
        <f>IFERROR(IF(PRJ_Type="New Construction",H51,INDEX(yControl_Code,MATCH(Inventory!H51,yControlTypes,0),1)),"")</f>
        <v/>
      </c>
      <c r="K51" s="493"/>
      <c r="L51" s="501"/>
      <c r="M51" s="502"/>
      <c r="N51" s="855">
        <f>IFERROR(IFERROR(INDEX('Fixture and LED Schedule'!D:D,MATCH(K51,'Fixture and LED Schedule'!C:C,0),1),K51),"")</f>
        <v>0</v>
      </c>
      <c r="O51" s="855" t="str">
        <f>IFERROR(INDEX(yControl_Code,MATCH(Inventory!M51,yControlTypes,0),1),"")</f>
        <v/>
      </c>
      <c r="P51" s="857" t="str">
        <f>'Lighting Inventory (Ref only)'!AG54</f>
        <v/>
      </c>
      <c r="Q51" s="856" t="str">
        <f>'Lighting Inventory (Ref only)'!AF54</f>
        <v/>
      </c>
      <c r="R51" s="856" t="str">
        <f t="shared" si="0"/>
        <v/>
      </c>
      <c r="S51" s="856" t="str">
        <f>IFERROR(ROUND(R51*'Project Info and Summary'!$J$5/'Project Info and Summary'!$L$5,2),"")</f>
        <v/>
      </c>
    </row>
    <row r="52" spans="1:19" s="102" customFormat="1" ht="30" customHeight="1">
      <c r="A52" s="948"/>
      <c r="B52" s="496">
        <f t="shared" si="1"/>
        <v>43</v>
      </c>
      <c r="C52" s="864"/>
      <c r="D52" s="503"/>
      <c r="E52" s="866"/>
      <c r="F52" s="498"/>
      <c r="G52" s="499"/>
      <c r="H52" s="492"/>
      <c r="I52" s="855">
        <f>IFERROR(IFERROR(INDEX('Fixture and LED Schedule'!D:D,MATCH(F52,'Fixture and LED Schedule'!C:C,""),1),F52),"")</f>
        <v>0</v>
      </c>
      <c r="J52" s="855" t="str">
        <f>IFERROR(IF(PRJ_Type="New Construction",H52,INDEX(yControl_Code,MATCH(Inventory!H52,yControlTypes,0),1)),"")</f>
        <v/>
      </c>
      <c r="K52" s="493"/>
      <c r="L52" s="501"/>
      <c r="M52" s="502"/>
      <c r="N52" s="855">
        <f>IFERROR(IFERROR(INDEX('Fixture and LED Schedule'!D:D,MATCH(K52,'Fixture and LED Schedule'!C:C,0),1),K52),"")</f>
        <v>0</v>
      </c>
      <c r="O52" s="855" t="str">
        <f>IFERROR(INDEX(yControl_Code,MATCH(Inventory!M52,yControlTypes,0),1),"")</f>
        <v/>
      </c>
      <c r="P52" s="857" t="str">
        <f>'Lighting Inventory (Ref only)'!AG55</f>
        <v/>
      </c>
      <c r="Q52" s="856" t="str">
        <f>'Lighting Inventory (Ref only)'!AF55</f>
        <v/>
      </c>
      <c r="R52" s="856" t="str">
        <f t="shared" si="0"/>
        <v/>
      </c>
      <c r="S52" s="856" t="str">
        <f>IFERROR(ROUND(R52*'Project Info and Summary'!$J$5/'Project Info and Summary'!$L$5,2),"")</f>
        <v/>
      </c>
    </row>
    <row r="53" spans="1:19" s="102" customFormat="1" ht="30" customHeight="1">
      <c r="A53" s="948"/>
      <c r="B53" s="496">
        <f t="shared" si="1"/>
        <v>44</v>
      </c>
      <c r="C53" s="864"/>
      <c r="D53" s="504"/>
      <c r="E53" s="866"/>
      <c r="F53" s="498"/>
      <c r="G53" s="499"/>
      <c r="H53" s="492"/>
      <c r="I53" s="855">
        <f>IFERROR(IFERROR(INDEX('Fixture and LED Schedule'!D:D,MATCH(F53,'Fixture and LED Schedule'!C:C,""),1),F53),"")</f>
        <v>0</v>
      </c>
      <c r="J53" s="855" t="str">
        <f>IFERROR(IF(PRJ_Type="New Construction",H53,INDEX(yControl_Code,MATCH(Inventory!H53,yControlTypes,0),1)),"")</f>
        <v/>
      </c>
      <c r="K53" s="493"/>
      <c r="L53" s="501"/>
      <c r="M53" s="502"/>
      <c r="N53" s="855">
        <f>IFERROR(IFERROR(INDEX('Fixture and LED Schedule'!D:D,MATCH(K53,'Fixture and LED Schedule'!C:C,0),1),K53),"")</f>
        <v>0</v>
      </c>
      <c r="O53" s="855" t="str">
        <f>IFERROR(INDEX(yControl_Code,MATCH(Inventory!M53,yControlTypes,0),1),"")</f>
        <v/>
      </c>
      <c r="P53" s="857" t="str">
        <f>'Lighting Inventory (Ref only)'!AG56</f>
        <v/>
      </c>
      <c r="Q53" s="856" t="str">
        <f>'Lighting Inventory (Ref only)'!AF56</f>
        <v/>
      </c>
      <c r="R53" s="856" t="str">
        <f t="shared" si="0"/>
        <v/>
      </c>
      <c r="S53" s="856" t="str">
        <f>IFERROR(ROUND(R53*'Project Info and Summary'!$J$5/'Project Info and Summary'!$L$5,2),"")</f>
        <v/>
      </c>
    </row>
    <row r="54" spans="1:19" s="102" customFormat="1" ht="30" customHeight="1">
      <c r="A54" s="948"/>
      <c r="B54" s="496">
        <f t="shared" si="1"/>
        <v>45</v>
      </c>
      <c r="C54" s="864"/>
      <c r="D54" s="503"/>
      <c r="E54" s="866"/>
      <c r="F54" s="498"/>
      <c r="G54" s="499"/>
      <c r="H54" s="492"/>
      <c r="I54" s="855">
        <f>IFERROR(IFERROR(INDEX('Fixture and LED Schedule'!D:D,MATCH(F54,'Fixture and LED Schedule'!C:C,""),1),F54),"")</f>
        <v>0</v>
      </c>
      <c r="J54" s="855" t="str">
        <f>IFERROR(IF(PRJ_Type="New Construction",H54,INDEX(yControl_Code,MATCH(Inventory!H54,yControlTypes,0),1)),"")</f>
        <v/>
      </c>
      <c r="K54" s="493"/>
      <c r="L54" s="501"/>
      <c r="M54" s="502"/>
      <c r="N54" s="855">
        <f>IFERROR(IFERROR(INDEX('Fixture and LED Schedule'!D:D,MATCH(K54,'Fixture and LED Schedule'!C:C,0),1),K54),"")</f>
        <v>0</v>
      </c>
      <c r="O54" s="855" t="str">
        <f>IFERROR(INDEX(yControl_Code,MATCH(Inventory!M54,yControlTypes,0),1),"")</f>
        <v/>
      </c>
      <c r="P54" s="857" t="str">
        <f>'Lighting Inventory (Ref only)'!AG57</f>
        <v/>
      </c>
      <c r="Q54" s="856" t="str">
        <f>'Lighting Inventory (Ref only)'!AF57</f>
        <v/>
      </c>
      <c r="R54" s="856" t="str">
        <f t="shared" si="0"/>
        <v/>
      </c>
      <c r="S54" s="856" t="str">
        <f>IFERROR(ROUND(R54*'Project Info and Summary'!$J$5/'Project Info and Summary'!$L$5,2),"")</f>
        <v/>
      </c>
    </row>
    <row r="55" spans="1:19" s="102" customFormat="1" ht="30" customHeight="1">
      <c r="A55" s="948"/>
      <c r="B55" s="496">
        <f t="shared" si="1"/>
        <v>46</v>
      </c>
      <c r="C55" s="864"/>
      <c r="D55" s="504"/>
      <c r="E55" s="866"/>
      <c r="F55" s="498"/>
      <c r="G55" s="499"/>
      <c r="H55" s="492"/>
      <c r="I55" s="855">
        <f>IFERROR(IFERROR(INDEX('Fixture and LED Schedule'!D:D,MATCH(F55,'Fixture and LED Schedule'!C:C,""),1),F55),"")</f>
        <v>0</v>
      </c>
      <c r="J55" s="855" t="str">
        <f>IFERROR(IF(PRJ_Type="New Construction",H55,INDEX(yControl_Code,MATCH(Inventory!H55,yControlTypes,0),1)),"")</f>
        <v/>
      </c>
      <c r="K55" s="493"/>
      <c r="L55" s="501"/>
      <c r="M55" s="502"/>
      <c r="N55" s="855">
        <f>IFERROR(IFERROR(INDEX('Fixture and LED Schedule'!D:D,MATCH(K55,'Fixture and LED Schedule'!C:C,0),1),K55),"")</f>
        <v>0</v>
      </c>
      <c r="O55" s="855" t="str">
        <f>IFERROR(INDEX(yControl_Code,MATCH(Inventory!M55,yControlTypes,0),1),"")</f>
        <v/>
      </c>
      <c r="P55" s="857" t="str">
        <f>'Lighting Inventory (Ref only)'!AG58</f>
        <v/>
      </c>
      <c r="Q55" s="856" t="str">
        <f>'Lighting Inventory (Ref only)'!AF58</f>
        <v/>
      </c>
      <c r="R55" s="856" t="str">
        <f t="shared" si="0"/>
        <v/>
      </c>
      <c r="S55" s="856" t="str">
        <f>IFERROR(ROUND(R55*'Project Info and Summary'!$J$5/'Project Info and Summary'!$L$5,2),"")</f>
        <v/>
      </c>
    </row>
    <row r="56" spans="1:19" s="102" customFormat="1" ht="30" customHeight="1">
      <c r="A56" s="948"/>
      <c r="B56" s="496">
        <f t="shared" si="1"/>
        <v>47</v>
      </c>
      <c r="C56" s="864"/>
      <c r="D56" s="503"/>
      <c r="E56" s="866"/>
      <c r="F56" s="498"/>
      <c r="G56" s="499"/>
      <c r="H56" s="492"/>
      <c r="I56" s="855">
        <f>IFERROR(IFERROR(INDEX('Fixture and LED Schedule'!D:D,MATCH(F56,'Fixture and LED Schedule'!C:C,""),1),F56),"")</f>
        <v>0</v>
      </c>
      <c r="J56" s="855" t="str">
        <f>IFERROR(IF(PRJ_Type="New Construction",H56,INDEX(yControl_Code,MATCH(Inventory!H56,yControlTypes,0),1)),"")</f>
        <v/>
      </c>
      <c r="K56" s="493"/>
      <c r="L56" s="501"/>
      <c r="M56" s="502"/>
      <c r="N56" s="855">
        <f>IFERROR(IFERROR(INDEX('Fixture and LED Schedule'!D:D,MATCH(K56,'Fixture and LED Schedule'!C:C,0),1),K56),"")</f>
        <v>0</v>
      </c>
      <c r="O56" s="855" t="str">
        <f>IFERROR(INDEX(yControl_Code,MATCH(Inventory!M56,yControlTypes,0),1),"")</f>
        <v/>
      </c>
      <c r="P56" s="857" t="str">
        <f>'Lighting Inventory (Ref only)'!AG59</f>
        <v/>
      </c>
      <c r="Q56" s="856" t="str">
        <f>'Lighting Inventory (Ref only)'!AF59</f>
        <v/>
      </c>
      <c r="R56" s="856" t="str">
        <f t="shared" si="0"/>
        <v/>
      </c>
      <c r="S56" s="856" t="str">
        <f>IFERROR(ROUND(R56*'Project Info and Summary'!$J$5/'Project Info and Summary'!$L$5,2),"")</f>
        <v/>
      </c>
    </row>
    <row r="57" spans="1:19" s="102" customFormat="1" ht="30" customHeight="1">
      <c r="A57" s="948"/>
      <c r="B57" s="496">
        <f t="shared" si="1"/>
        <v>48</v>
      </c>
      <c r="C57" s="864"/>
      <c r="D57" s="504"/>
      <c r="E57" s="866"/>
      <c r="F57" s="498"/>
      <c r="G57" s="499"/>
      <c r="H57" s="492"/>
      <c r="I57" s="855">
        <f>IFERROR(IFERROR(INDEX('Fixture and LED Schedule'!D:D,MATCH(F57,'Fixture and LED Schedule'!C:C,""),1),F57),"")</f>
        <v>0</v>
      </c>
      <c r="J57" s="855" t="str">
        <f>IFERROR(IF(PRJ_Type="New Construction",H57,INDEX(yControl_Code,MATCH(Inventory!H57,yControlTypes,0),1)),"")</f>
        <v/>
      </c>
      <c r="K57" s="493"/>
      <c r="L57" s="501"/>
      <c r="M57" s="502"/>
      <c r="N57" s="855">
        <f>IFERROR(IFERROR(INDEX('Fixture and LED Schedule'!D:D,MATCH(K57,'Fixture and LED Schedule'!C:C,0),1),K57),"")</f>
        <v>0</v>
      </c>
      <c r="O57" s="855" t="str">
        <f>IFERROR(INDEX(yControl_Code,MATCH(Inventory!M57,yControlTypes,0),1),"")</f>
        <v/>
      </c>
      <c r="P57" s="857" t="str">
        <f>'Lighting Inventory (Ref only)'!AG60</f>
        <v/>
      </c>
      <c r="Q57" s="856" t="str">
        <f>'Lighting Inventory (Ref only)'!AF60</f>
        <v/>
      </c>
      <c r="R57" s="856" t="str">
        <f t="shared" si="0"/>
        <v/>
      </c>
      <c r="S57" s="856" t="str">
        <f>IFERROR(ROUND(R57*'Project Info and Summary'!$J$5/'Project Info and Summary'!$L$5,2),"")</f>
        <v/>
      </c>
    </row>
    <row r="58" spans="1:19" s="102" customFormat="1" ht="30" customHeight="1">
      <c r="A58" s="948"/>
      <c r="B58" s="496">
        <f t="shared" si="1"/>
        <v>49</v>
      </c>
      <c r="C58" s="864"/>
      <c r="D58" s="503"/>
      <c r="E58" s="866"/>
      <c r="F58" s="498"/>
      <c r="G58" s="499"/>
      <c r="H58" s="492"/>
      <c r="I58" s="855">
        <f>IFERROR(IFERROR(INDEX('Fixture and LED Schedule'!D:D,MATCH(F58,'Fixture and LED Schedule'!C:C,""),1),F58),"")</f>
        <v>0</v>
      </c>
      <c r="J58" s="855" t="str">
        <f>IFERROR(IF(PRJ_Type="New Construction",H58,INDEX(yControl_Code,MATCH(Inventory!H58,yControlTypes,0),1)),"")</f>
        <v/>
      </c>
      <c r="K58" s="493"/>
      <c r="L58" s="501"/>
      <c r="M58" s="502"/>
      <c r="N58" s="855">
        <f>IFERROR(IFERROR(INDEX('Fixture and LED Schedule'!D:D,MATCH(K58,'Fixture and LED Schedule'!C:C,0),1),K58),"")</f>
        <v>0</v>
      </c>
      <c r="O58" s="855" t="str">
        <f>IFERROR(INDEX(yControl_Code,MATCH(Inventory!M58,yControlTypes,0),1),"")</f>
        <v/>
      </c>
      <c r="P58" s="857" t="str">
        <f>'Lighting Inventory (Ref only)'!AG61</f>
        <v/>
      </c>
      <c r="Q58" s="856" t="str">
        <f>'Lighting Inventory (Ref only)'!AF61</f>
        <v/>
      </c>
      <c r="R58" s="856" t="str">
        <f t="shared" si="0"/>
        <v/>
      </c>
      <c r="S58" s="856" t="str">
        <f>IFERROR(ROUND(R58*'Project Info and Summary'!$J$5/'Project Info and Summary'!$L$5,2),"")</f>
        <v/>
      </c>
    </row>
    <row r="59" spans="1:19" s="102" customFormat="1" ht="30" customHeight="1">
      <c r="A59" s="948"/>
      <c r="B59" s="496">
        <f t="shared" si="1"/>
        <v>50</v>
      </c>
      <c r="C59" s="864"/>
      <c r="D59" s="504"/>
      <c r="E59" s="866"/>
      <c r="F59" s="498"/>
      <c r="G59" s="499"/>
      <c r="H59" s="492"/>
      <c r="I59" s="855">
        <f>IFERROR(IFERROR(INDEX('Fixture and LED Schedule'!D:D,MATCH(F59,'Fixture and LED Schedule'!C:C,""),1),F59),"")</f>
        <v>0</v>
      </c>
      <c r="J59" s="855" t="str">
        <f>IFERROR(IF(PRJ_Type="New Construction",H59,INDEX(yControl_Code,MATCH(Inventory!H59,yControlTypes,0),1)),"")</f>
        <v/>
      </c>
      <c r="K59" s="493"/>
      <c r="L59" s="501"/>
      <c r="M59" s="502"/>
      <c r="N59" s="855">
        <f>IFERROR(IFERROR(INDEX('Fixture and LED Schedule'!D:D,MATCH(K59,'Fixture and LED Schedule'!C:C,0),1),K59),"")</f>
        <v>0</v>
      </c>
      <c r="O59" s="855" t="str">
        <f>IFERROR(INDEX(yControl_Code,MATCH(Inventory!M59,yControlTypes,0),1),"")</f>
        <v/>
      </c>
      <c r="P59" s="857" t="str">
        <f>'Lighting Inventory (Ref only)'!AG62</f>
        <v/>
      </c>
      <c r="Q59" s="856" t="str">
        <f>'Lighting Inventory (Ref only)'!AF62</f>
        <v/>
      </c>
      <c r="R59" s="856" t="str">
        <f t="shared" si="0"/>
        <v/>
      </c>
      <c r="S59" s="856" t="str">
        <f>IFERROR(ROUND(R59*'Project Info and Summary'!$J$5/'Project Info and Summary'!$L$5,2),"")</f>
        <v/>
      </c>
    </row>
    <row r="60" spans="1:19" s="102" customFormat="1" ht="30" customHeight="1">
      <c r="A60" s="948"/>
      <c r="B60" s="496">
        <f t="shared" si="1"/>
        <v>51</v>
      </c>
      <c r="C60" s="864"/>
      <c r="D60" s="503"/>
      <c r="E60" s="866"/>
      <c r="F60" s="498"/>
      <c r="G60" s="499"/>
      <c r="H60" s="492"/>
      <c r="I60" s="855">
        <f>IFERROR(IFERROR(INDEX('Fixture and LED Schedule'!D:D,MATCH(F60,'Fixture and LED Schedule'!C:C,""),1),F60),"")</f>
        <v>0</v>
      </c>
      <c r="J60" s="855" t="str">
        <f>IFERROR(IF(PRJ_Type="New Construction",H60,INDEX(yControl_Code,MATCH(Inventory!H60,yControlTypes,0),1)),"")</f>
        <v/>
      </c>
      <c r="K60" s="493"/>
      <c r="L60" s="501"/>
      <c r="M60" s="502"/>
      <c r="N60" s="855">
        <f>IFERROR(IFERROR(INDEX('Fixture and LED Schedule'!D:D,MATCH(K60,'Fixture and LED Schedule'!C:C,0),1),K60),"")</f>
        <v>0</v>
      </c>
      <c r="O60" s="855" t="str">
        <f>IFERROR(INDEX(yControl_Code,MATCH(Inventory!M60,yControlTypes,0),1),"")</f>
        <v/>
      </c>
      <c r="P60" s="857" t="str">
        <f>'Lighting Inventory (Ref only)'!AG63</f>
        <v/>
      </c>
      <c r="Q60" s="856" t="str">
        <f>'Lighting Inventory (Ref only)'!AF63</f>
        <v/>
      </c>
      <c r="R60" s="856" t="str">
        <f t="shared" si="0"/>
        <v/>
      </c>
      <c r="S60" s="856" t="str">
        <f>IFERROR(ROUND(R60*'Project Info and Summary'!$J$5/'Project Info and Summary'!$L$5,2),"")</f>
        <v/>
      </c>
    </row>
    <row r="61" spans="1:19" s="102" customFormat="1" ht="30" customHeight="1">
      <c r="A61" s="948"/>
      <c r="B61" s="496">
        <f t="shared" si="1"/>
        <v>52</v>
      </c>
      <c r="C61" s="864"/>
      <c r="D61" s="504"/>
      <c r="E61" s="866"/>
      <c r="F61" s="498"/>
      <c r="G61" s="499"/>
      <c r="H61" s="492"/>
      <c r="I61" s="855">
        <f>IFERROR(IFERROR(INDEX('Fixture and LED Schedule'!D:D,MATCH(F61,'Fixture and LED Schedule'!C:C,""),1),F61),"")</f>
        <v>0</v>
      </c>
      <c r="J61" s="855" t="str">
        <f>IFERROR(IF(PRJ_Type="New Construction",H61,INDEX(yControl_Code,MATCH(Inventory!H61,yControlTypes,0),1)),"")</f>
        <v/>
      </c>
      <c r="K61" s="493"/>
      <c r="L61" s="501"/>
      <c r="M61" s="502"/>
      <c r="N61" s="855">
        <f>IFERROR(IFERROR(INDEX('Fixture and LED Schedule'!D:D,MATCH(K61,'Fixture and LED Schedule'!C:C,0),1),K61),"")</f>
        <v>0</v>
      </c>
      <c r="O61" s="855" t="str">
        <f>IFERROR(INDEX(yControl_Code,MATCH(Inventory!M61,yControlTypes,0),1),"")</f>
        <v/>
      </c>
      <c r="P61" s="857" t="str">
        <f>'Lighting Inventory (Ref only)'!AG64</f>
        <v/>
      </c>
      <c r="Q61" s="856" t="str">
        <f>'Lighting Inventory (Ref only)'!AF64</f>
        <v/>
      </c>
      <c r="R61" s="856" t="str">
        <f t="shared" si="0"/>
        <v/>
      </c>
      <c r="S61" s="856" t="str">
        <f>IFERROR(ROUND(R61*'Project Info and Summary'!$J$5/'Project Info and Summary'!$L$5,2),"")</f>
        <v/>
      </c>
    </row>
    <row r="62" spans="1:19" s="102" customFormat="1" ht="30" customHeight="1">
      <c r="A62" s="948"/>
      <c r="B62" s="496">
        <f t="shared" si="1"/>
        <v>53</v>
      </c>
      <c r="C62" s="864"/>
      <c r="D62" s="503"/>
      <c r="E62" s="866"/>
      <c r="F62" s="498"/>
      <c r="G62" s="499"/>
      <c r="H62" s="492"/>
      <c r="I62" s="855">
        <f>IFERROR(IFERROR(INDEX('Fixture and LED Schedule'!D:D,MATCH(F62,'Fixture and LED Schedule'!C:C,""),1),F62),"")</f>
        <v>0</v>
      </c>
      <c r="J62" s="855" t="str">
        <f>IFERROR(IF(PRJ_Type="New Construction",H62,INDEX(yControl_Code,MATCH(Inventory!H62,yControlTypes,0),1)),"")</f>
        <v/>
      </c>
      <c r="K62" s="493"/>
      <c r="L62" s="501"/>
      <c r="M62" s="502"/>
      <c r="N62" s="855">
        <f>IFERROR(IFERROR(INDEX('Fixture and LED Schedule'!D:D,MATCH(K62,'Fixture and LED Schedule'!C:C,0),1),K62),"")</f>
        <v>0</v>
      </c>
      <c r="O62" s="855" t="str">
        <f>IFERROR(INDEX(yControl_Code,MATCH(Inventory!M62,yControlTypes,0),1),"")</f>
        <v/>
      </c>
      <c r="P62" s="857" t="str">
        <f>'Lighting Inventory (Ref only)'!AG65</f>
        <v/>
      </c>
      <c r="Q62" s="856" t="str">
        <f>'Lighting Inventory (Ref only)'!AF65</f>
        <v/>
      </c>
      <c r="R62" s="856" t="str">
        <f t="shared" si="0"/>
        <v/>
      </c>
      <c r="S62" s="856" t="str">
        <f>IFERROR(ROUND(R62*'Project Info and Summary'!$J$5/'Project Info and Summary'!$L$5,2),"")</f>
        <v/>
      </c>
    </row>
    <row r="63" spans="1:19" s="102" customFormat="1" ht="30" customHeight="1">
      <c r="A63" s="948"/>
      <c r="B63" s="496">
        <f t="shared" si="1"/>
        <v>54</v>
      </c>
      <c r="C63" s="864"/>
      <c r="D63" s="504"/>
      <c r="E63" s="866"/>
      <c r="F63" s="498"/>
      <c r="G63" s="499"/>
      <c r="H63" s="492"/>
      <c r="I63" s="855">
        <f>IFERROR(IFERROR(INDEX('Fixture and LED Schedule'!D:D,MATCH(F63,'Fixture and LED Schedule'!C:C,""),1),F63),"")</f>
        <v>0</v>
      </c>
      <c r="J63" s="855" t="str">
        <f>IFERROR(IF(PRJ_Type="New Construction",H63,INDEX(yControl_Code,MATCH(Inventory!H63,yControlTypes,0),1)),"")</f>
        <v/>
      </c>
      <c r="K63" s="493"/>
      <c r="L63" s="501"/>
      <c r="M63" s="502"/>
      <c r="N63" s="855">
        <f>IFERROR(IFERROR(INDEX('Fixture and LED Schedule'!D:D,MATCH(K63,'Fixture and LED Schedule'!C:C,0),1),K63),"")</f>
        <v>0</v>
      </c>
      <c r="O63" s="855" t="str">
        <f>IFERROR(INDEX(yControl_Code,MATCH(Inventory!M63,yControlTypes,0),1),"")</f>
        <v/>
      </c>
      <c r="P63" s="857" t="str">
        <f>'Lighting Inventory (Ref only)'!AG66</f>
        <v/>
      </c>
      <c r="Q63" s="856" t="str">
        <f>'Lighting Inventory (Ref only)'!AF66</f>
        <v/>
      </c>
      <c r="R63" s="856" t="str">
        <f t="shared" si="0"/>
        <v/>
      </c>
      <c r="S63" s="856" t="str">
        <f>IFERROR(ROUND(R63*'Project Info and Summary'!$J$5/'Project Info and Summary'!$L$5,2),"")</f>
        <v/>
      </c>
    </row>
    <row r="64" spans="1:19" s="102" customFormat="1" ht="30" customHeight="1">
      <c r="A64" s="948"/>
      <c r="B64" s="496">
        <f t="shared" si="1"/>
        <v>55</v>
      </c>
      <c r="C64" s="864"/>
      <c r="D64" s="503"/>
      <c r="E64" s="866"/>
      <c r="F64" s="498"/>
      <c r="G64" s="499"/>
      <c r="H64" s="492"/>
      <c r="I64" s="855">
        <f>IFERROR(IFERROR(INDEX('Fixture and LED Schedule'!D:D,MATCH(F64,'Fixture and LED Schedule'!C:C,""),1),F64),"")</f>
        <v>0</v>
      </c>
      <c r="J64" s="855" t="str">
        <f>IFERROR(IF(PRJ_Type="New Construction",H64,INDEX(yControl_Code,MATCH(Inventory!H64,yControlTypes,0),1)),"")</f>
        <v/>
      </c>
      <c r="K64" s="493"/>
      <c r="L64" s="501"/>
      <c r="M64" s="502"/>
      <c r="N64" s="855">
        <f>IFERROR(IFERROR(INDEX('Fixture and LED Schedule'!D:D,MATCH(K64,'Fixture and LED Schedule'!C:C,0),1),K64),"")</f>
        <v>0</v>
      </c>
      <c r="O64" s="855" t="str">
        <f>IFERROR(INDEX(yControl_Code,MATCH(Inventory!M64,yControlTypes,0),1),"")</f>
        <v/>
      </c>
      <c r="P64" s="857" t="str">
        <f>'Lighting Inventory (Ref only)'!AG67</f>
        <v/>
      </c>
      <c r="Q64" s="856" t="str">
        <f>'Lighting Inventory (Ref only)'!AF67</f>
        <v/>
      </c>
      <c r="R64" s="856" t="str">
        <f t="shared" si="0"/>
        <v/>
      </c>
      <c r="S64" s="856" t="str">
        <f>IFERROR(ROUND(R64*'Project Info and Summary'!$J$5/'Project Info and Summary'!$L$5,2),"")</f>
        <v/>
      </c>
    </row>
    <row r="65" spans="1:19" s="102" customFormat="1" ht="30" customHeight="1">
      <c r="A65" s="948"/>
      <c r="B65" s="496">
        <f t="shared" si="1"/>
        <v>56</v>
      </c>
      <c r="C65" s="864"/>
      <c r="D65" s="504"/>
      <c r="E65" s="866"/>
      <c r="F65" s="498"/>
      <c r="G65" s="499"/>
      <c r="H65" s="492"/>
      <c r="I65" s="855">
        <f>IFERROR(IFERROR(INDEX('Fixture and LED Schedule'!D:D,MATCH(F65,'Fixture and LED Schedule'!C:C,""),1),F65),"")</f>
        <v>0</v>
      </c>
      <c r="J65" s="855" t="str">
        <f>IFERROR(IF(PRJ_Type="New Construction",H65,INDEX(yControl_Code,MATCH(Inventory!H65,yControlTypes,0),1)),"")</f>
        <v/>
      </c>
      <c r="K65" s="493"/>
      <c r="L65" s="501"/>
      <c r="M65" s="502"/>
      <c r="N65" s="855">
        <f>IFERROR(IFERROR(INDEX('Fixture and LED Schedule'!D:D,MATCH(K65,'Fixture and LED Schedule'!C:C,0),1),K65),"")</f>
        <v>0</v>
      </c>
      <c r="O65" s="855" t="str">
        <f>IFERROR(INDEX(yControl_Code,MATCH(Inventory!M65,yControlTypes,0),1),"")</f>
        <v/>
      </c>
      <c r="P65" s="857" t="str">
        <f>'Lighting Inventory (Ref only)'!AG68</f>
        <v/>
      </c>
      <c r="Q65" s="856" t="str">
        <f>'Lighting Inventory (Ref only)'!AF68</f>
        <v/>
      </c>
      <c r="R65" s="856" t="str">
        <f t="shared" si="0"/>
        <v/>
      </c>
      <c r="S65" s="856" t="str">
        <f>IFERROR(ROUND(R65*'Project Info and Summary'!$J$5/'Project Info and Summary'!$L$5,2),"")</f>
        <v/>
      </c>
    </row>
    <row r="66" spans="1:19" s="102" customFormat="1" ht="30" customHeight="1">
      <c r="A66" s="948"/>
      <c r="B66" s="496">
        <f t="shared" si="1"/>
        <v>57</v>
      </c>
      <c r="C66" s="864"/>
      <c r="D66" s="503"/>
      <c r="E66" s="866"/>
      <c r="F66" s="498"/>
      <c r="G66" s="499"/>
      <c r="H66" s="492"/>
      <c r="I66" s="855">
        <f>IFERROR(IFERROR(INDEX('Fixture and LED Schedule'!D:D,MATCH(F66,'Fixture and LED Schedule'!C:C,""),1),F66),"")</f>
        <v>0</v>
      </c>
      <c r="J66" s="855" t="str">
        <f>IFERROR(IF(PRJ_Type="New Construction",H66,INDEX(yControl_Code,MATCH(Inventory!H66,yControlTypes,0),1)),"")</f>
        <v/>
      </c>
      <c r="K66" s="493"/>
      <c r="L66" s="501"/>
      <c r="M66" s="502"/>
      <c r="N66" s="855">
        <f>IFERROR(IFERROR(INDEX('Fixture and LED Schedule'!D:D,MATCH(K66,'Fixture and LED Schedule'!C:C,0),1),K66),"")</f>
        <v>0</v>
      </c>
      <c r="O66" s="855" t="str">
        <f>IFERROR(INDEX(yControl_Code,MATCH(Inventory!M66,yControlTypes,0),1),"")</f>
        <v/>
      </c>
      <c r="P66" s="857" t="str">
        <f>'Lighting Inventory (Ref only)'!AG69</f>
        <v/>
      </c>
      <c r="Q66" s="856" t="str">
        <f>'Lighting Inventory (Ref only)'!AF69</f>
        <v/>
      </c>
      <c r="R66" s="856" t="str">
        <f t="shared" si="0"/>
        <v/>
      </c>
      <c r="S66" s="856" t="str">
        <f>IFERROR(ROUND(R66*'Project Info and Summary'!$J$5/'Project Info and Summary'!$L$5,2),"")</f>
        <v/>
      </c>
    </row>
    <row r="67" spans="1:19" s="102" customFormat="1" ht="30" customHeight="1">
      <c r="A67" s="948"/>
      <c r="B67" s="496">
        <f t="shared" si="1"/>
        <v>58</v>
      </c>
      <c r="C67" s="864"/>
      <c r="D67" s="504"/>
      <c r="E67" s="866"/>
      <c r="F67" s="498"/>
      <c r="G67" s="499"/>
      <c r="H67" s="492"/>
      <c r="I67" s="855">
        <f>IFERROR(IFERROR(INDEX('Fixture and LED Schedule'!D:D,MATCH(F67,'Fixture and LED Schedule'!C:C,""),1),F67),"")</f>
        <v>0</v>
      </c>
      <c r="J67" s="855" t="str">
        <f>IFERROR(IF(PRJ_Type="New Construction",H67,INDEX(yControl_Code,MATCH(Inventory!H67,yControlTypes,0),1)),"")</f>
        <v/>
      </c>
      <c r="K67" s="493"/>
      <c r="L67" s="501"/>
      <c r="M67" s="502"/>
      <c r="N67" s="855">
        <f>IFERROR(IFERROR(INDEX('Fixture and LED Schedule'!D:D,MATCH(K67,'Fixture and LED Schedule'!C:C,0),1),K67),"")</f>
        <v>0</v>
      </c>
      <c r="O67" s="855" t="str">
        <f>IFERROR(INDEX(yControl_Code,MATCH(Inventory!M67,yControlTypes,0),1),"")</f>
        <v/>
      </c>
      <c r="P67" s="857" t="str">
        <f>'Lighting Inventory (Ref only)'!AG70</f>
        <v/>
      </c>
      <c r="Q67" s="856" t="str">
        <f>'Lighting Inventory (Ref only)'!AF70</f>
        <v/>
      </c>
      <c r="R67" s="856" t="str">
        <f t="shared" si="0"/>
        <v/>
      </c>
      <c r="S67" s="856" t="str">
        <f>IFERROR(ROUND(R67*'Project Info and Summary'!$J$5/'Project Info and Summary'!$L$5,2),"")</f>
        <v/>
      </c>
    </row>
    <row r="68" spans="1:19" s="102" customFormat="1" ht="30" customHeight="1">
      <c r="A68" s="948"/>
      <c r="B68" s="496">
        <f t="shared" si="1"/>
        <v>59</v>
      </c>
      <c r="C68" s="864"/>
      <c r="D68" s="503"/>
      <c r="E68" s="866"/>
      <c r="F68" s="498"/>
      <c r="G68" s="499"/>
      <c r="H68" s="492"/>
      <c r="I68" s="855">
        <f>IFERROR(IFERROR(INDEX('Fixture and LED Schedule'!D:D,MATCH(F68,'Fixture and LED Schedule'!C:C,""),1),F68),"")</f>
        <v>0</v>
      </c>
      <c r="J68" s="855" t="str">
        <f>IFERROR(IF(PRJ_Type="New Construction",H68,INDEX(yControl_Code,MATCH(Inventory!H68,yControlTypes,0),1)),"")</f>
        <v/>
      </c>
      <c r="K68" s="493"/>
      <c r="L68" s="501"/>
      <c r="M68" s="502"/>
      <c r="N68" s="855">
        <f>IFERROR(IFERROR(INDEX('Fixture and LED Schedule'!D:D,MATCH(K68,'Fixture and LED Schedule'!C:C,0),1),K68),"")</f>
        <v>0</v>
      </c>
      <c r="O68" s="855" t="str">
        <f>IFERROR(INDEX(yControl_Code,MATCH(Inventory!M68,yControlTypes,0),1),"")</f>
        <v/>
      </c>
      <c r="P68" s="857" t="str">
        <f>'Lighting Inventory (Ref only)'!AG71</f>
        <v/>
      </c>
      <c r="Q68" s="856" t="str">
        <f>'Lighting Inventory (Ref only)'!AF71</f>
        <v/>
      </c>
      <c r="R68" s="856" t="str">
        <f t="shared" si="0"/>
        <v/>
      </c>
      <c r="S68" s="856" t="str">
        <f>IFERROR(ROUND(R68*'Project Info and Summary'!$J$5/'Project Info and Summary'!$L$5,2),"")</f>
        <v/>
      </c>
    </row>
    <row r="69" spans="1:19" s="102" customFormat="1" ht="30" customHeight="1">
      <c r="A69" s="948"/>
      <c r="B69" s="496">
        <f t="shared" si="1"/>
        <v>60</v>
      </c>
      <c r="C69" s="864"/>
      <c r="D69" s="504"/>
      <c r="E69" s="866"/>
      <c r="F69" s="498"/>
      <c r="G69" s="499"/>
      <c r="H69" s="492"/>
      <c r="I69" s="855">
        <f>IFERROR(IFERROR(INDEX('Fixture and LED Schedule'!D:D,MATCH(F69,'Fixture and LED Schedule'!C:C,""),1),F69),"")</f>
        <v>0</v>
      </c>
      <c r="J69" s="855" t="str">
        <f>IFERROR(IF(PRJ_Type="New Construction",H69,INDEX(yControl_Code,MATCH(Inventory!H69,yControlTypes,0),1)),"")</f>
        <v/>
      </c>
      <c r="K69" s="493"/>
      <c r="L69" s="501"/>
      <c r="M69" s="502"/>
      <c r="N69" s="855">
        <f>IFERROR(IFERROR(INDEX('Fixture and LED Schedule'!D:D,MATCH(K69,'Fixture and LED Schedule'!C:C,0),1),K69),"")</f>
        <v>0</v>
      </c>
      <c r="O69" s="855" t="str">
        <f>IFERROR(INDEX(yControl_Code,MATCH(Inventory!M69,yControlTypes,0),1),"")</f>
        <v/>
      </c>
      <c r="P69" s="857" t="str">
        <f>'Lighting Inventory (Ref only)'!AG72</f>
        <v/>
      </c>
      <c r="Q69" s="856" t="str">
        <f>'Lighting Inventory (Ref only)'!AF72</f>
        <v/>
      </c>
      <c r="R69" s="856" t="str">
        <f t="shared" si="0"/>
        <v/>
      </c>
      <c r="S69" s="856" t="str">
        <f>IFERROR(ROUND(R69*'Project Info and Summary'!$J$5/'Project Info and Summary'!$L$5,2),"")</f>
        <v/>
      </c>
    </row>
    <row r="70" spans="1:19" s="102" customFormat="1" ht="30" customHeight="1">
      <c r="A70" s="948"/>
      <c r="B70" s="496">
        <f t="shared" si="1"/>
        <v>61</v>
      </c>
      <c r="C70" s="864"/>
      <c r="D70" s="503"/>
      <c r="E70" s="866"/>
      <c r="F70" s="498"/>
      <c r="G70" s="499"/>
      <c r="H70" s="492"/>
      <c r="I70" s="855">
        <f>IFERROR(IFERROR(INDEX('Fixture and LED Schedule'!D:D,MATCH(F70,'Fixture and LED Schedule'!C:C,""),1),F70),"")</f>
        <v>0</v>
      </c>
      <c r="J70" s="855" t="str">
        <f>IFERROR(IF(PRJ_Type="New Construction",H70,INDEX(yControl_Code,MATCH(Inventory!H70,yControlTypes,0),1)),"")</f>
        <v/>
      </c>
      <c r="K70" s="493"/>
      <c r="L70" s="501"/>
      <c r="M70" s="502"/>
      <c r="N70" s="855">
        <f>IFERROR(IFERROR(INDEX('Fixture and LED Schedule'!D:D,MATCH(K70,'Fixture and LED Schedule'!C:C,0),1),K70),"")</f>
        <v>0</v>
      </c>
      <c r="O70" s="855" t="str">
        <f>IFERROR(INDEX(yControl_Code,MATCH(Inventory!M70,yControlTypes,0),1),"")</f>
        <v/>
      </c>
      <c r="P70" s="857" t="str">
        <f>'Lighting Inventory (Ref only)'!AG73</f>
        <v/>
      </c>
      <c r="Q70" s="856" t="str">
        <f>'Lighting Inventory (Ref only)'!AF73</f>
        <v/>
      </c>
      <c r="R70" s="856" t="str">
        <f t="shared" si="0"/>
        <v/>
      </c>
      <c r="S70" s="856" t="str">
        <f>IFERROR(ROUND(R70*'Project Info and Summary'!$J$5/'Project Info and Summary'!$L$5,2),"")</f>
        <v/>
      </c>
    </row>
    <row r="71" spans="1:19" s="102" customFormat="1" ht="30" customHeight="1">
      <c r="A71" s="948"/>
      <c r="B71" s="496">
        <f t="shared" si="1"/>
        <v>62</v>
      </c>
      <c r="C71" s="864"/>
      <c r="D71" s="504"/>
      <c r="E71" s="866"/>
      <c r="F71" s="498"/>
      <c r="G71" s="499"/>
      <c r="H71" s="492"/>
      <c r="I71" s="855">
        <f>IFERROR(IFERROR(INDEX('Fixture and LED Schedule'!D:D,MATCH(F71,'Fixture and LED Schedule'!C:C,""),1),F71),"")</f>
        <v>0</v>
      </c>
      <c r="J71" s="855" t="str">
        <f>IFERROR(IF(PRJ_Type="New Construction",H71,INDEX(yControl_Code,MATCH(Inventory!H71,yControlTypes,0),1)),"")</f>
        <v/>
      </c>
      <c r="K71" s="493"/>
      <c r="L71" s="501"/>
      <c r="M71" s="502"/>
      <c r="N71" s="855">
        <f>IFERROR(IFERROR(INDEX('Fixture and LED Schedule'!D:D,MATCH(K71,'Fixture and LED Schedule'!C:C,0),1),K71),"")</f>
        <v>0</v>
      </c>
      <c r="O71" s="855" t="str">
        <f>IFERROR(INDEX(yControl_Code,MATCH(Inventory!M71,yControlTypes,0),1),"")</f>
        <v/>
      </c>
      <c r="P71" s="857" t="str">
        <f>'Lighting Inventory (Ref only)'!AG74</f>
        <v/>
      </c>
      <c r="Q71" s="856" t="str">
        <f>'Lighting Inventory (Ref only)'!AF74</f>
        <v/>
      </c>
      <c r="R71" s="856" t="str">
        <f t="shared" si="0"/>
        <v/>
      </c>
      <c r="S71" s="856" t="str">
        <f>IFERROR(ROUND(R71*'Project Info and Summary'!$J$5/'Project Info and Summary'!$L$5,2),"")</f>
        <v/>
      </c>
    </row>
    <row r="72" spans="1:19" s="102" customFormat="1" ht="30" customHeight="1">
      <c r="A72" s="948"/>
      <c r="B72" s="496">
        <f t="shared" si="1"/>
        <v>63</v>
      </c>
      <c r="C72" s="864"/>
      <c r="D72" s="503"/>
      <c r="E72" s="866"/>
      <c r="F72" s="498"/>
      <c r="G72" s="499"/>
      <c r="H72" s="492"/>
      <c r="I72" s="855">
        <f>IFERROR(IFERROR(INDEX('Fixture and LED Schedule'!D:D,MATCH(F72,'Fixture and LED Schedule'!C:C,""),1),F72),"")</f>
        <v>0</v>
      </c>
      <c r="J72" s="855" t="str">
        <f>IFERROR(IF(PRJ_Type="New Construction",H72,INDEX(yControl_Code,MATCH(Inventory!H72,yControlTypes,0),1)),"")</f>
        <v/>
      </c>
      <c r="K72" s="493"/>
      <c r="L72" s="501"/>
      <c r="M72" s="502"/>
      <c r="N72" s="855">
        <f>IFERROR(IFERROR(INDEX('Fixture and LED Schedule'!D:D,MATCH(K72,'Fixture and LED Schedule'!C:C,0),1),K72),"")</f>
        <v>0</v>
      </c>
      <c r="O72" s="855" t="str">
        <f>IFERROR(INDEX(yControl_Code,MATCH(Inventory!M72,yControlTypes,0),1),"")</f>
        <v/>
      </c>
      <c r="P72" s="857" t="str">
        <f>'Lighting Inventory (Ref only)'!AG75</f>
        <v/>
      </c>
      <c r="Q72" s="856" t="str">
        <f>'Lighting Inventory (Ref only)'!AF75</f>
        <v/>
      </c>
      <c r="R72" s="856" t="str">
        <f t="shared" si="0"/>
        <v/>
      </c>
      <c r="S72" s="856" t="str">
        <f>IFERROR(ROUND(R72*'Project Info and Summary'!$J$5/'Project Info and Summary'!$L$5,2),"")</f>
        <v/>
      </c>
    </row>
    <row r="73" spans="1:19" s="102" customFormat="1" ht="30" customHeight="1">
      <c r="A73" s="948"/>
      <c r="B73" s="496">
        <f t="shared" si="1"/>
        <v>64</v>
      </c>
      <c r="C73" s="864"/>
      <c r="D73" s="504"/>
      <c r="E73" s="866"/>
      <c r="F73" s="498"/>
      <c r="G73" s="499"/>
      <c r="H73" s="492"/>
      <c r="I73" s="855">
        <f>IFERROR(IFERROR(INDEX('Fixture and LED Schedule'!D:D,MATCH(F73,'Fixture and LED Schedule'!C:C,""),1),F73),"")</f>
        <v>0</v>
      </c>
      <c r="J73" s="855" t="str">
        <f>IFERROR(IF(PRJ_Type="New Construction",H73,INDEX(yControl_Code,MATCH(Inventory!H73,yControlTypes,0),1)),"")</f>
        <v/>
      </c>
      <c r="K73" s="493"/>
      <c r="L73" s="501"/>
      <c r="M73" s="502"/>
      <c r="N73" s="855">
        <f>IFERROR(IFERROR(INDEX('Fixture and LED Schedule'!D:D,MATCH(K73,'Fixture and LED Schedule'!C:C,0),1),K73),"")</f>
        <v>0</v>
      </c>
      <c r="O73" s="855" t="str">
        <f>IFERROR(INDEX(yControl_Code,MATCH(Inventory!M73,yControlTypes,0),1),"")</f>
        <v/>
      </c>
      <c r="P73" s="857" t="str">
        <f>'Lighting Inventory (Ref only)'!AG76</f>
        <v/>
      </c>
      <c r="Q73" s="856" t="str">
        <f>'Lighting Inventory (Ref only)'!AF76</f>
        <v/>
      </c>
      <c r="R73" s="856" t="str">
        <f t="shared" si="0"/>
        <v/>
      </c>
      <c r="S73" s="856" t="str">
        <f>IFERROR(ROUND(R73*'Project Info and Summary'!$J$5/'Project Info and Summary'!$L$5,2),"")</f>
        <v/>
      </c>
    </row>
    <row r="74" spans="1:19" s="102" customFormat="1" ht="30" customHeight="1">
      <c r="A74" s="948"/>
      <c r="B74" s="496">
        <f t="shared" si="1"/>
        <v>65</v>
      </c>
      <c r="C74" s="864"/>
      <c r="D74" s="503"/>
      <c r="E74" s="866"/>
      <c r="F74" s="498"/>
      <c r="G74" s="499"/>
      <c r="H74" s="492"/>
      <c r="I74" s="855">
        <f>IFERROR(IFERROR(INDEX('Fixture and LED Schedule'!D:D,MATCH(F74,'Fixture and LED Schedule'!C:C,""),1),F74),"")</f>
        <v>0</v>
      </c>
      <c r="J74" s="855" t="str">
        <f>IFERROR(IF(PRJ_Type="New Construction",H74,INDEX(yControl_Code,MATCH(Inventory!H74,yControlTypes,0),1)),"")</f>
        <v/>
      </c>
      <c r="K74" s="493"/>
      <c r="L74" s="501"/>
      <c r="M74" s="502"/>
      <c r="N74" s="855">
        <f>IFERROR(IFERROR(INDEX('Fixture and LED Schedule'!D:D,MATCH(K74,'Fixture and LED Schedule'!C:C,0),1),K74),"")</f>
        <v>0</v>
      </c>
      <c r="O74" s="855" t="str">
        <f>IFERROR(INDEX(yControl_Code,MATCH(Inventory!M74,yControlTypes,0),1),"")</f>
        <v/>
      </c>
      <c r="P74" s="857" t="str">
        <f>'Lighting Inventory (Ref only)'!AG77</f>
        <v/>
      </c>
      <c r="Q74" s="856" t="str">
        <f>'Lighting Inventory (Ref only)'!AF77</f>
        <v/>
      </c>
      <c r="R74" s="856" t="str">
        <f t="shared" si="0"/>
        <v/>
      </c>
      <c r="S74" s="856" t="str">
        <f>IFERROR(ROUND(R74*'Project Info and Summary'!$J$5/'Project Info and Summary'!$L$5,2),"")</f>
        <v/>
      </c>
    </row>
    <row r="75" spans="1:19" s="102" customFormat="1" ht="30" customHeight="1">
      <c r="A75" s="948"/>
      <c r="B75" s="496">
        <f t="shared" si="1"/>
        <v>66</v>
      </c>
      <c r="C75" s="864"/>
      <c r="D75" s="504"/>
      <c r="E75" s="866"/>
      <c r="F75" s="498"/>
      <c r="G75" s="499"/>
      <c r="H75" s="492"/>
      <c r="I75" s="855">
        <f>IFERROR(IFERROR(INDEX('Fixture and LED Schedule'!D:D,MATCH(F75,'Fixture and LED Schedule'!C:C,""),1),F75),"")</f>
        <v>0</v>
      </c>
      <c r="J75" s="855" t="str">
        <f>IFERROR(IF(PRJ_Type="New Construction",H75,INDEX(yControl_Code,MATCH(Inventory!H75,yControlTypes,0),1)),"")</f>
        <v/>
      </c>
      <c r="K75" s="493"/>
      <c r="L75" s="501"/>
      <c r="M75" s="502"/>
      <c r="N75" s="855">
        <f>IFERROR(IFERROR(INDEX('Fixture and LED Schedule'!D:D,MATCH(K75,'Fixture and LED Schedule'!C:C,0),1),K75),"")</f>
        <v>0</v>
      </c>
      <c r="O75" s="855" t="str">
        <f>IFERROR(INDEX(yControl_Code,MATCH(Inventory!M75,yControlTypes,0),1),"")</f>
        <v/>
      </c>
      <c r="P75" s="857" t="str">
        <f>'Lighting Inventory (Ref only)'!AG78</f>
        <v/>
      </c>
      <c r="Q75" s="856" t="str">
        <f>'Lighting Inventory (Ref only)'!AF78</f>
        <v/>
      </c>
      <c r="R75" s="856" t="str">
        <f t="shared" ref="R75:R138" si="2">IFERROR(P75*0.02+Q75*185,"")</f>
        <v/>
      </c>
      <c r="S75" s="856" t="str">
        <f>IFERROR(ROUND(R75*'Project Info and Summary'!$J$5/'Project Info and Summary'!$L$5,2),"")</f>
        <v/>
      </c>
    </row>
    <row r="76" spans="1:19" s="102" customFormat="1" ht="30" customHeight="1">
      <c r="A76" s="948"/>
      <c r="B76" s="496">
        <f t="shared" ref="B76:B139" si="3">B75+1</f>
        <v>67</v>
      </c>
      <c r="C76" s="864"/>
      <c r="D76" s="503"/>
      <c r="E76" s="866"/>
      <c r="F76" s="498"/>
      <c r="G76" s="499"/>
      <c r="H76" s="492"/>
      <c r="I76" s="855">
        <f>IFERROR(IFERROR(INDEX('Fixture and LED Schedule'!D:D,MATCH(F76,'Fixture and LED Schedule'!C:C,""),1),F76),"")</f>
        <v>0</v>
      </c>
      <c r="J76" s="855" t="str">
        <f>IFERROR(IF(PRJ_Type="New Construction",H76,INDEX(yControl_Code,MATCH(Inventory!H76,yControlTypes,0),1)),"")</f>
        <v/>
      </c>
      <c r="K76" s="493"/>
      <c r="L76" s="501"/>
      <c r="M76" s="502"/>
      <c r="N76" s="855">
        <f>IFERROR(IFERROR(INDEX('Fixture and LED Schedule'!D:D,MATCH(K76,'Fixture and LED Schedule'!C:C,0),1),K76),"")</f>
        <v>0</v>
      </c>
      <c r="O76" s="855" t="str">
        <f>IFERROR(INDEX(yControl_Code,MATCH(Inventory!M76,yControlTypes,0),1),"")</f>
        <v/>
      </c>
      <c r="P76" s="857" t="str">
        <f>'Lighting Inventory (Ref only)'!AG79</f>
        <v/>
      </c>
      <c r="Q76" s="856" t="str">
        <f>'Lighting Inventory (Ref only)'!AF79</f>
        <v/>
      </c>
      <c r="R76" s="856" t="str">
        <f t="shared" si="2"/>
        <v/>
      </c>
      <c r="S76" s="856" t="str">
        <f>IFERROR(ROUND(R76*'Project Info and Summary'!$J$5/'Project Info and Summary'!$L$5,2),"")</f>
        <v/>
      </c>
    </row>
    <row r="77" spans="1:19" s="102" customFormat="1" ht="30" customHeight="1">
      <c r="A77" s="948"/>
      <c r="B77" s="496">
        <f t="shared" si="3"/>
        <v>68</v>
      </c>
      <c r="C77" s="864"/>
      <c r="D77" s="504"/>
      <c r="E77" s="866"/>
      <c r="F77" s="498"/>
      <c r="G77" s="499"/>
      <c r="H77" s="492"/>
      <c r="I77" s="855">
        <f>IFERROR(IFERROR(INDEX('Fixture and LED Schedule'!D:D,MATCH(F77,'Fixture and LED Schedule'!C:C,""),1),F77),"")</f>
        <v>0</v>
      </c>
      <c r="J77" s="855" t="str">
        <f>IFERROR(IF(PRJ_Type="New Construction",H77,INDEX(yControl_Code,MATCH(Inventory!H77,yControlTypes,0),1)),"")</f>
        <v/>
      </c>
      <c r="K77" s="493"/>
      <c r="L77" s="501"/>
      <c r="M77" s="502"/>
      <c r="N77" s="855">
        <f>IFERROR(IFERROR(INDEX('Fixture and LED Schedule'!D:D,MATCH(K77,'Fixture and LED Schedule'!C:C,0),1),K77),"")</f>
        <v>0</v>
      </c>
      <c r="O77" s="855" t="str">
        <f>IFERROR(INDEX(yControl_Code,MATCH(Inventory!M77,yControlTypes,0),1),"")</f>
        <v/>
      </c>
      <c r="P77" s="857" t="str">
        <f>'Lighting Inventory (Ref only)'!AG80</f>
        <v/>
      </c>
      <c r="Q77" s="856" t="str">
        <f>'Lighting Inventory (Ref only)'!AF80</f>
        <v/>
      </c>
      <c r="R77" s="856" t="str">
        <f t="shared" si="2"/>
        <v/>
      </c>
      <c r="S77" s="856" t="str">
        <f>IFERROR(ROUND(R77*'Project Info and Summary'!$J$5/'Project Info and Summary'!$L$5,2),"")</f>
        <v/>
      </c>
    </row>
    <row r="78" spans="1:19" s="102" customFormat="1" ht="30" customHeight="1">
      <c r="A78" s="948"/>
      <c r="B78" s="496">
        <f t="shared" si="3"/>
        <v>69</v>
      </c>
      <c r="C78" s="864"/>
      <c r="D78" s="503"/>
      <c r="E78" s="866"/>
      <c r="F78" s="498"/>
      <c r="G78" s="499"/>
      <c r="H78" s="492"/>
      <c r="I78" s="855">
        <f>IFERROR(IFERROR(INDEX('Fixture and LED Schedule'!D:D,MATCH(F78,'Fixture and LED Schedule'!C:C,""),1),F78),"")</f>
        <v>0</v>
      </c>
      <c r="J78" s="855" t="str">
        <f>IFERROR(IF(PRJ_Type="New Construction",H78,INDEX(yControl_Code,MATCH(Inventory!H78,yControlTypes,0),1)),"")</f>
        <v/>
      </c>
      <c r="K78" s="493"/>
      <c r="L78" s="501"/>
      <c r="M78" s="502"/>
      <c r="N78" s="855">
        <f>IFERROR(IFERROR(INDEX('Fixture and LED Schedule'!D:D,MATCH(K78,'Fixture and LED Schedule'!C:C,0),1),K78),"")</f>
        <v>0</v>
      </c>
      <c r="O78" s="855" t="str">
        <f>IFERROR(INDEX(yControl_Code,MATCH(Inventory!M78,yControlTypes,0),1),"")</f>
        <v/>
      </c>
      <c r="P78" s="857" t="str">
        <f>'Lighting Inventory (Ref only)'!AG81</f>
        <v/>
      </c>
      <c r="Q78" s="856" t="str">
        <f>'Lighting Inventory (Ref only)'!AF81</f>
        <v/>
      </c>
      <c r="R78" s="856" t="str">
        <f t="shared" si="2"/>
        <v/>
      </c>
      <c r="S78" s="856" t="str">
        <f>IFERROR(ROUND(R78*'Project Info and Summary'!$J$5/'Project Info and Summary'!$L$5,2),"")</f>
        <v/>
      </c>
    </row>
    <row r="79" spans="1:19" s="102" customFormat="1" ht="30" customHeight="1">
      <c r="A79" s="948"/>
      <c r="B79" s="496">
        <f t="shared" si="3"/>
        <v>70</v>
      </c>
      <c r="C79" s="864"/>
      <c r="D79" s="505"/>
      <c r="E79" s="866"/>
      <c r="F79" s="498"/>
      <c r="G79" s="499"/>
      <c r="H79" s="492"/>
      <c r="I79" s="855">
        <f>IFERROR(IFERROR(INDEX('Fixture and LED Schedule'!D:D,MATCH(F79,'Fixture and LED Schedule'!C:C,""),1),F79),"")</f>
        <v>0</v>
      </c>
      <c r="J79" s="855" t="str">
        <f>IFERROR(IF(PRJ_Type="New Construction",H79,INDEX(yControl_Code,MATCH(Inventory!H79,yControlTypes,0),1)),"")</f>
        <v/>
      </c>
      <c r="K79" s="493"/>
      <c r="L79" s="501"/>
      <c r="M79" s="502"/>
      <c r="N79" s="855">
        <f>IFERROR(IFERROR(INDEX('Fixture and LED Schedule'!D:D,MATCH(K79,'Fixture and LED Schedule'!C:C,0),1),K79),"")</f>
        <v>0</v>
      </c>
      <c r="O79" s="858" t="str">
        <f>IFERROR(INDEX(yControl_Code,MATCH(Inventory!M79,yControlTypes,0),1),"")</f>
        <v/>
      </c>
      <c r="P79" s="857" t="str">
        <f>'Lighting Inventory (Ref only)'!AG82</f>
        <v/>
      </c>
      <c r="Q79" s="856" t="str">
        <f>'Lighting Inventory (Ref only)'!AF82</f>
        <v/>
      </c>
      <c r="R79" s="856" t="str">
        <f t="shared" si="2"/>
        <v/>
      </c>
      <c r="S79" s="856" t="str">
        <f>IFERROR(ROUND(R79*'Project Info and Summary'!$J$5/'Project Info and Summary'!$L$5,2),"")</f>
        <v/>
      </c>
    </row>
    <row r="80" spans="1:19" s="102" customFormat="1" ht="30" customHeight="1">
      <c r="A80" s="948"/>
      <c r="B80" s="496">
        <f t="shared" si="3"/>
        <v>71</v>
      </c>
      <c r="C80" s="864"/>
      <c r="D80" s="505"/>
      <c r="E80" s="866"/>
      <c r="F80" s="498"/>
      <c r="G80" s="499"/>
      <c r="H80" s="492"/>
      <c r="I80" s="855">
        <f>IFERROR(IFERROR(INDEX('Fixture and LED Schedule'!D:D,MATCH(F80,'Fixture and LED Schedule'!C:C,""),1),F80),"")</f>
        <v>0</v>
      </c>
      <c r="J80" s="855" t="str">
        <f>IFERROR(IF(PRJ_Type="New Construction",H80,INDEX(yControl_Code,MATCH(Inventory!H80,yControlTypes,0),1)),"")</f>
        <v/>
      </c>
      <c r="K80" s="493"/>
      <c r="L80" s="501"/>
      <c r="M80" s="502"/>
      <c r="N80" s="855">
        <f>IFERROR(IFERROR(INDEX('Fixture and LED Schedule'!D:D,MATCH(K80,'Fixture and LED Schedule'!C:C,0),1),K80),"")</f>
        <v>0</v>
      </c>
      <c r="O80" s="858" t="str">
        <f>IFERROR(INDEX(yControl_Code,MATCH(Inventory!M80,yControlTypes,0),1),"")</f>
        <v/>
      </c>
      <c r="P80" s="857" t="str">
        <f>'Lighting Inventory (Ref only)'!AG83</f>
        <v/>
      </c>
      <c r="Q80" s="856" t="str">
        <f>'Lighting Inventory (Ref only)'!AF83</f>
        <v/>
      </c>
      <c r="R80" s="856" t="str">
        <f t="shared" si="2"/>
        <v/>
      </c>
      <c r="S80" s="856" t="str">
        <f>IFERROR(ROUND(R80*'Project Info and Summary'!$J$5/'Project Info and Summary'!$L$5,2),"")</f>
        <v/>
      </c>
    </row>
    <row r="81" spans="1:19" s="102" customFormat="1" ht="30" customHeight="1">
      <c r="A81" s="948"/>
      <c r="B81" s="496">
        <f t="shared" si="3"/>
        <v>72</v>
      </c>
      <c r="C81" s="864"/>
      <c r="D81" s="505"/>
      <c r="E81" s="866"/>
      <c r="F81" s="498"/>
      <c r="G81" s="499"/>
      <c r="H81" s="492"/>
      <c r="I81" s="855">
        <f>IFERROR(IFERROR(INDEX('Fixture and LED Schedule'!D:D,MATCH(F81,'Fixture and LED Schedule'!C:C,""),1),F81),"")</f>
        <v>0</v>
      </c>
      <c r="J81" s="855" t="str">
        <f>IFERROR(IF(PRJ_Type="New Construction",H81,INDEX(yControl_Code,MATCH(Inventory!H81,yControlTypes,0),1)),"")</f>
        <v/>
      </c>
      <c r="K81" s="493"/>
      <c r="L81" s="501"/>
      <c r="M81" s="502"/>
      <c r="N81" s="855">
        <f>IFERROR(IFERROR(INDEX('Fixture and LED Schedule'!D:D,MATCH(K81,'Fixture and LED Schedule'!C:C,0),1),K81),"")</f>
        <v>0</v>
      </c>
      <c r="O81" s="858" t="str">
        <f>IFERROR(INDEX(yControl_Code,MATCH(Inventory!M81,yControlTypes,0),1),"")</f>
        <v/>
      </c>
      <c r="P81" s="857" t="str">
        <f>'Lighting Inventory (Ref only)'!AG84</f>
        <v/>
      </c>
      <c r="Q81" s="856" t="str">
        <f>'Lighting Inventory (Ref only)'!AF84</f>
        <v/>
      </c>
      <c r="R81" s="856" t="str">
        <f t="shared" si="2"/>
        <v/>
      </c>
      <c r="S81" s="856" t="str">
        <f>IFERROR(ROUND(R81*'Project Info and Summary'!$J$5/'Project Info and Summary'!$L$5,2),"")</f>
        <v/>
      </c>
    </row>
    <row r="82" spans="1:19" s="102" customFormat="1" ht="30" customHeight="1">
      <c r="A82" s="948"/>
      <c r="B82" s="496">
        <f t="shared" si="3"/>
        <v>73</v>
      </c>
      <c r="C82" s="864"/>
      <c r="D82" s="505"/>
      <c r="E82" s="866"/>
      <c r="F82" s="498"/>
      <c r="G82" s="499"/>
      <c r="H82" s="492"/>
      <c r="I82" s="855">
        <f>IFERROR(IFERROR(INDEX('Fixture and LED Schedule'!D:D,MATCH(F82,'Fixture and LED Schedule'!C:C,""),1),F82),"")</f>
        <v>0</v>
      </c>
      <c r="J82" s="855" t="str">
        <f>IFERROR(IF(PRJ_Type="New Construction",H82,INDEX(yControl_Code,MATCH(Inventory!H82,yControlTypes,0),1)),"")</f>
        <v/>
      </c>
      <c r="K82" s="493"/>
      <c r="L82" s="501"/>
      <c r="M82" s="502"/>
      <c r="N82" s="855">
        <f>IFERROR(IFERROR(INDEX('Fixture and LED Schedule'!D:D,MATCH(K82,'Fixture and LED Schedule'!C:C,0),1),K82),"")</f>
        <v>0</v>
      </c>
      <c r="O82" s="858" t="str">
        <f>IFERROR(INDEX(yControl_Code,MATCH(Inventory!M82,yControlTypes,0),1),"")</f>
        <v/>
      </c>
      <c r="P82" s="857" t="str">
        <f>'Lighting Inventory (Ref only)'!AG85</f>
        <v/>
      </c>
      <c r="Q82" s="856" t="str">
        <f>'Lighting Inventory (Ref only)'!AF85</f>
        <v/>
      </c>
      <c r="R82" s="856" t="str">
        <f t="shared" si="2"/>
        <v/>
      </c>
      <c r="S82" s="856" t="str">
        <f>IFERROR(ROUND(R82*'Project Info and Summary'!$J$5/'Project Info and Summary'!$L$5,2),"")</f>
        <v/>
      </c>
    </row>
    <row r="83" spans="1:19" s="102" customFormat="1" ht="30" customHeight="1">
      <c r="A83" s="948"/>
      <c r="B83" s="496">
        <f t="shared" si="3"/>
        <v>74</v>
      </c>
      <c r="C83" s="864"/>
      <c r="D83" s="505"/>
      <c r="E83" s="866"/>
      <c r="F83" s="498"/>
      <c r="G83" s="499"/>
      <c r="H83" s="492"/>
      <c r="I83" s="855">
        <f>IFERROR(IFERROR(INDEX('Fixture and LED Schedule'!D:D,MATCH(F83,'Fixture and LED Schedule'!C:C,""),1),F83),"")</f>
        <v>0</v>
      </c>
      <c r="J83" s="855" t="str">
        <f>IFERROR(IF(PRJ_Type="New Construction",H83,INDEX(yControl_Code,MATCH(Inventory!H83,yControlTypes,0),1)),"")</f>
        <v/>
      </c>
      <c r="K83" s="493"/>
      <c r="L83" s="501"/>
      <c r="M83" s="502"/>
      <c r="N83" s="855">
        <f>IFERROR(IFERROR(INDEX('Fixture and LED Schedule'!D:D,MATCH(K83,'Fixture and LED Schedule'!C:C,0),1),K83),"")</f>
        <v>0</v>
      </c>
      <c r="O83" s="858" t="str">
        <f>IFERROR(INDEX(yControl_Code,MATCH(Inventory!M83,yControlTypes,0),1),"")</f>
        <v/>
      </c>
      <c r="P83" s="857" t="str">
        <f>'Lighting Inventory (Ref only)'!AG86</f>
        <v/>
      </c>
      <c r="Q83" s="856" t="str">
        <f>'Lighting Inventory (Ref only)'!AF86</f>
        <v/>
      </c>
      <c r="R83" s="856" t="str">
        <f t="shared" si="2"/>
        <v/>
      </c>
      <c r="S83" s="856" t="str">
        <f>IFERROR(ROUND(R83*'Project Info and Summary'!$J$5/'Project Info and Summary'!$L$5,2),"")</f>
        <v/>
      </c>
    </row>
    <row r="84" spans="1:19" s="102" customFormat="1" ht="30" customHeight="1">
      <c r="A84" s="948"/>
      <c r="B84" s="496">
        <f t="shared" si="3"/>
        <v>75</v>
      </c>
      <c r="C84" s="864"/>
      <c r="D84" s="505"/>
      <c r="E84" s="866"/>
      <c r="F84" s="498"/>
      <c r="G84" s="499"/>
      <c r="H84" s="492"/>
      <c r="I84" s="855">
        <f>IFERROR(IFERROR(INDEX('Fixture and LED Schedule'!D:D,MATCH(F84,'Fixture and LED Schedule'!C:C,""),1),F84),"")</f>
        <v>0</v>
      </c>
      <c r="J84" s="855" t="str">
        <f>IFERROR(IF(PRJ_Type="New Construction",H84,INDEX(yControl_Code,MATCH(Inventory!H84,yControlTypes,0),1)),"")</f>
        <v/>
      </c>
      <c r="K84" s="493"/>
      <c r="L84" s="501"/>
      <c r="M84" s="502"/>
      <c r="N84" s="855">
        <f>IFERROR(IFERROR(INDEX('Fixture and LED Schedule'!D:D,MATCH(K84,'Fixture and LED Schedule'!C:C,0),1),K84),"")</f>
        <v>0</v>
      </c>
      <c r="O84" s="858" t="str">
        <f>IFERROR(INDEX(yControl_Code,MATCH(Inventory!M84,yControlTypes,0),1),"")</f>
        <v/>
      </c>
      <c r="P84" s="857" t="str">
        <f>'Lighting Inventory (Ref only)'!AG87</f>
        <v/>
      </c>
      <c r="Q84" s="856" t="str">
        <f>'Lighting Inventory (Ref only)'!AF87</f>
        <v/>
      </c>
      <c r="R84" s="856" t="str">
        <f t="shared" si="2"/>
        <v/>
      </c>
      <c r="S84" s="856" t="str">
        <f>IFERROR(ROUND(R84*'Project Info and Summary'!$J$5/'Project Info and Summary'!$L$5,2),"")</f>
        <v/>
      </c>
    </row>
    <row r="85" spans="1:19" s="102" customFormat="1" ht="30" customHeight="1">
      <c r="A85" s="948"/>
      <c r="B85" s="496">
        <f t="shared" si="3"/>
        <v>76</v>
      </c>
      <c r="C85" s="864"/>
      <c r="D85" s="505"/>
      <c r="E85" s="866"/>
      <c r="F85" s="498"/>
      <c r="G85" s="499"/>
      <c r="H85" s="492"/>
      <c r="I85" s="855">
        <f>IFERROR(IFERROR(INDEX('Fixture and LED Schedule'!D:D,MATCH(F85,'Fixture and LED Schedule'!C:C,""),1),F85),"")</f>
        <v>0</v>
      </c>
      <c r="J85" s="855" t="str">
        <f>IFERROR(IF(PRJ_Type="New Construction",H85,INDEX(yControl_Code,MATCH(Inventory!H85,yControlTypes,0),1)),"")</f>
        <v/>
      </c>
      <c r="K85" s="493"/>
      <c r="L85" s="501"/>
      <c r="M85" s="502"/>
      <c r="N85" s="855">
        <f>IFERROR(IFERROR(INDEX('Fixture and LED Schedule'!D:D,MATCH(K85,'Fixture and LED Schedule'!C:C,0),1),K85),"")</f>
        <v>0</v>
      </c>
      <c r="O85" s="858" t="str">
        <f>IFERROR(INDEX(yControl_Code,MATCH(Inventory!M85,yControlTypes,0),1),"")</f>
        <v/>
      </c>
      <c r="P85" s="857" t="str">
        <f>'Lighting Inventory (Ref only)'!AG88</f>
        <v/>
      </c>
      <c r="Q85" s="856" t="str">
        <f>'Lighting Inventory (Ref only)'!AF88</f>
        <v/>
      </c>
      <c r="R85" s="856" t="str">
        <f t="shared" si="2"/>
        <v/>
      </c>
      <c r="S85" s="856" t="str">
        <f>IFERROR(ROUND(R85*'Project Info and Summary'!$J$5/'Project Info and Summary'!$L$5,2),"")</f>
        <v/>
      </c>
    </row>
    <row r="86" spans="1:19" s="102" customFormat="1" ht="30" customHeight="1">
      <c r="A86" s="948"/>
      <c r="B86" s="496">
        <f t="shared" si="3"/>
        <v>77</v>
      </c>
      <c r="C86" s="864"/>
      <c r="D86" s="505"/>
      <c r="E86" s="866"/>
      <c r="F86" s="498"/>
      <c r="G86" s="499"/>
      <c r="H86" s="492"/>
      <c r="I86" s="855">
        <f>IFERROR(IFERROR(INDEX('Fixture and LED Schedule'!D:D,MATCH(F86,'Fixture and LED Schedule'!C:C,""),1),F86),"")</f>
        <v>0</v>
      </c>
      <c r="J86" s="855" t="str">
        <f>IFERROR(IF(PRJ_Type="New Construction",H86,INDEX(yControl_Code,MATCH(Inventory!H86,yControlTypes,0),1)),"")</f>
        <v/>
      </c>
      <c r="K86" s="493"/>
      <c r="L86" s="501"/>
      <c r="M86" s="502"/>
      <c r="N86" s="855">
        <f>IFERROR(IFERROR(INDEX('Fixture and LED Schedule'!D:D,MATCH(K86,'Fixture and LED Schedule'!C:C,0),1),K86),"")</f>
        <v>0</v>
      </c>
      <c r="O86" s="858" t="str">
        <f>IFERROR(INDEX(yControl_Code,MATCH(Inventory!M86,yControlTypes,0),1),"")</f>
        <v/>
      </c>
      <c r="P86" s="857" t="str">
        <f>'Lighting Inventory (Ref only)'!AG89</f>
        <v/>
      </c>
      <c r="Q86" s="856" t="str">
        <f>'Lighting Inventory (Ref only)'!AF89</f>
        <v/>
      </c>
      <c r="R86" s="856" t="str">
        <f t="shared" si="2"/>
        <v/>
      </c>
      <c r="S86" s="856" t="str">
        <f>IFERROR(ROUND(R86*'Project Info and Summary'!$J$5/'Project Info and Summary'!$L$5,2),"")</f>
        <v/>
      </c>
    </row>
    <row r="87" spans="1:19" s="102" customFormat="1" ht="30" customHeight="1">
      <c r="A87" s="948"/>
      <c r="B87" s="496">
        <f t="shared" si="3"/>
        <v>78</v>
      </c>
      <c r="C87" s="864"/>
      <c r="D87" s="505"/>
      <c r="E87" s="866"/>
      <c r="F87" s="498"/>
      <c r="G87" s="499"/>
      <c r="H87" s="492"/>
      <c r="I87" s="855">
        <f>IFERROR(IFERROR(INDEX('Fixture and LED Schedule'!D:D,MATCH(F87,'Fixture and LED Schedule'!C:C,""),1),F87),"")</f>
        <v>0</v>
      </c>
      <c r="J87" s="855" t="str">
        <f>IFERROR(IF(PRJ_Type="New Construction",H87,INDEX(yControl_Code,MATCH(Inventory!H87,yControlTypes,0),1)),"")</f>
        <v/>
      </c>
      <c r="K87" s="493"/>
      <c r="L87" s="501"/>
      <c r="M87" s="502"/>
      <c r="N87" s="855">
        <f>IFERROR(IFERROR(INDEX('Fixture and LED Schedule'!D:D,MATCH(K87,'Fixture and LED Schedule'!C:C,0),1),K87),"")</f>
        <v>0</v>
      </c>
      <c r="O87" s="858" t="str">
        <f>IFERROR(INDEX(yControl_Code,MATCH(Inventory!M87,yControlTypes,0),1),"")</f>
        <v/>
      </c>
      <c r="P87" s="857" t="str">
        <f>'Lighting Inventory (Ref only)'!AG90</f>
        <v/>
      </c>
      <c r="Q87" s="856" t="str">
        <f>'Lighting Inventory (Ref only)'!AF90</f>
        <v/>
      </c>
      <c r="R87" s="856" t="str">
        <f t="shared" si="2"/>
        <v/>
      </c>
      <c r="S87" s="856" t="str">
        <f>IFERROR(ROUND(R87*'Project Info and Summary'!$J$5/'Project Info and Summary'!$L$5,2),"")</f>
        <v/>
      </c>
    </row>
    <row r="88" spans="1:19" s="102" customFormat="1" ht="30" customHeight="1">
      <c r="A88" s="948"/>
      <c r="B88" s="496">
        <f t="shared" si="3"/>
        <v>79</v>
      </c>
      <c r="C88" s="864"/>
      <c r="D88" s="505"/>
      <c r="E88" s="866"/>
      <c r="F88" s="498"/>
      <c r="G88" s="499"/>
      <c r="H88" s="492"/>
      <c r="I88" s="855">
        <f>IFERROR(IFERROR(INDEX('Fixture and LED Schedule'!D:D,MATCH(F88,'Fixture and LED Schedule'!C:C,""),1),F88),"")</f>
        <v>0</v>
      </c>
      <c r="J88" s="855" t="str">
        <f>IFERROR(IF(PRJ_Type="New Construction",H88,INDEX(yControl_Code,MATCH(Inventory!H88,yControlTypes,0),1)),"")</f>
        <v/>
      </c>
      <c r="K88" s="493"/>
      <c r="L88" s="501"/>
      <c r="M88" s="502"/>
      <c r="N88" s="855">
        <f>IFERROR(IFERROR(INDEX('Fixture and LED Schedule'!D:D,MATCH(K88,'Fixture and LED Schedule'!C:C,0),1),K88),"")</f>
        <v>0</v>
      </c>
      <c r="O88" s="858" t="str">
        <f>IFERROR(INDEX(yControl_Code,MATCH(Inventory!M88,yControlTypes,0),1),"")</f>
        <v/>
      </c>
      <c r="P88" s="857" t="str">
        <f>'Lighting Inventory (Ref only)'!AG91</f>
        <v/>
      </c>
      <c r="Q88" s="856" t="str">
        <f>'Lighting Inventory (Ref only)'!AF91</f>
        <v/>
      </c>
      <c r="R88" s="856" t="str">
        <f t="shared" si="2"/>
        <v/>
      </c>
      <c r="S88" s="856" t="str">
        <f>IFERROR(ROUND(R88*'Project Info and Summary'!$J$5/'Project Info and Summary'!$L$5,2),"")</f>
        <v/>
      </c>
    </row>
    <row r="89" spans="1:19" s="102" customFormat="1" ht="30" customHeight="1">
      <c r="A89" s="948"/>
      <c r="B89" s="496">
        <f t="shared" si="3"/>
        <v>80</v>
      </c>
      <c r="C89" s="864"/>
      <c r="D89" s="505"/>
      <c r="E89" s="866"/>
      <c r="F89" s="498"/>
      <c r="G89" s="499"/>
      <c r="H89" s="492"/>
      <c r="I89" s="855">
        <f>IFERROR(IFERROR(INDEX('Fixture and LED Schedule'!D:D,MATCH(F89,'Fixture and LED Schedule'!C:C,""),1),F89),"")</f>
        <v>0</v>
      </c>
      <c r="J89" s="855" t="str">
        <f>IFERROR(IF(PRJ_Type="New Construction",H89,INDEX(yControl_Code,MATCH(Inventory!H89,yControlTypes,0),1)),"")</f>
        <v/>
      </c>
      <c r="K89" s="493"/>
      <c r="L89" s="501"/>
      <c r="M89" s="502"/>
      <c r="N89" s="855">
        <f>IFERROR(IFERROR(INDEX('Fixture and LED Schedule'!D:D,MATCH(K89,'Fixture and LED Schedule'!C:C,0),1),K89),"")</f>
        <v>0</v>
      </c>
      <c r="O89" s="858" t="str">
        <f>IFERROR(INDEX(yControl_Code,MATCH(Inventory!M89,yControlTypes,0),1),"")</f>
        <v/>
      </c>
      <c r="P89" s="857" t="str">
        <f>'Lighting Inventory (Ref only)'!AG92</f>
        <v/>
      </c>
      <c r="Q89" s="856" t="str">
        <f>'Lighting Inventory (Ref only)'!AF92</f>
        <v/>
      </c>
      <c r="R89" s="856" t="str">
        <f t="shared" si="2"/>
        <v/>
      </c>
      <c r="S89" s="856" t="str">
        <f>IFERROR(ROUND(R89*'Project Info and Summary'!$J$5/'Project Info and Summary'!$L$5,2),"")</f>
        <v/>
      </c>
    </row>
    <row r="90" spans="1:19" s="102" customFormat="1" ht="30" customHeight="1">
      <c r="A90" s="948"/>
      <c r="B90" s="496">
        <f t="shared" si="3"/>
        <v>81</v>
      </c>
      <c r="C90" s="864"/>
      <c r="D90" s="505"/>
      <c r="E90" s="866"/>
      <c r="F90" s="498"/>
      <c r="G90" s="499"/>
      <c r="H90" s="492"/>
      <c r="I90" s="855">
        <f>IFERROR(IFERROR(INDEX('Fixture and LED Schedule'!D:D,MATCH(F90,'Fixture and LED Schedule'!C:C,""),1),F90),"")</f>
        <v>0</v>
      </c>
      <c r="J90" s="855" t="str">
        <f>IFERROR(IF(PRJ_Type="New Construction",H90,INDEX(yControl_Code,MATCH(Inventory!H90,yControlTypes,0),1)),"")</f>
        <v/>
      </c>
      <c r="K90" s="493"/>
      <c r="L90" s="501"/>
      <c r="M90" s="502"/>
      <c r="N90" s="855">
        <f>IFERROR(IFERROR(INDEX('Fixture and LED Schedule'!D:D,MATCH(K90,'Fixture and LED Schedule'!C:C,0),1),K90),"")</f>
        <v>0</v>
      </c>
      <c r="O90" s="858" t="str">
        <f>IFERROR(INDEX(yControl_Code,MATCH(Inventory!M90,yControlTypes,0),1),"")</f>
        <v/>
      </c>
      <c r="P90" s="857" t="str">
        <f>'Lighting Inventory (Ref only)'!AG93</f>
        <v/>
      </c>
      <c r="Q90" s="856" t="str">
        <f>'Lighting Inventory (Ref only)'!AF93</f>
        <v/>
      </c>
      <c r="R90" s="856" t="str">
        <f t="shared" si="2"/>
        <v/>
      </c>
      <c r="S90" s="856" t="str">
        <f>IFERROR(ROUND(R90*'Project Info and Summary'!$J$5/'Project Info and Summary'!$L$5,2),"")</f>
        <v/>
      </c>
    </row>
    <row r="91" spans="1:19" s="102" customFormat="1" ht="30" customHeight="1">
      <c r="A91" s="948"/>
      <c r="B91" s="496">
        <f t="shared" si="3"/>
        <v>82</v>
      </c>
      <c r="C91" s="864"/>
      <c r="D91" s="505"/>
      <c r="E91" s="866"/>
      <c r="F91" s="498"/>
      <c r="G91" s="499"/>
      <c r="H91" s="492"/>
      <c r="I91" s="855">
        <f>IFERROR(IFERROR(INDEX('Fixture and LED Schedule'!D:D,MATCH(F91,'Fixture and LED Schedule'!C:C,""),1),F91),"")</f>
        <v>0</v>
      </c>
      <c r="J91" s="855" t="str">
        <f>IFERROR(IF(PRJ_Type="New Construction",H91,INDEX(yControl_Code,MATCH(Inventory!H91,yControlTypes,0),1)),"")</f>
        <v/>
      </c>
      <c r="K91" s="493"/>
      <c r="L91" s="501"/>
      <c r="M91" s="502"/>
      <c r="N91" s="855">
        <f>IFERROR(IFERROR(INDEX('Fixture and LED Schedule'!D:D,MATCH(K91,'Fixture and LED Schedule'!C:C,0),1),K91),"")</f>
        <v>0</v>
      </c>
      <c r="O91" s="858" t="str">
        <f>IFERROR(INDEX(yControl_Code,MATCH(Inventory!M91,yControlTypes,0),1),"")</f>
        <v/>
      </c>
      <c r="P91" s="857" t="str">
        <f>'Lighting Inventory (Ref only)'!AG94</f>
        <v/>
      </c>
      <c r="Q91" s="856" t="str">
        <f>'Lighting Inventory (Ref only)'!AF94</f>
        <v/>
      </c>
      <c r="R91" s="856" t="str">
        <f t="shared" si="2"/>
        <v/>
      </c>
      <c r="S91" s="856" t="str">
        <f>IFERROR(ROUND(R91*'Project Info and Summary'!$J$5/'Project Info and Summary'!$L$5,2),"")</f>
        <v/>
      </c>
    </row>
    <row r="92" spans="1:19" s="102" customFormat="1" ht="30" customHeight="1">
      <c r="A92" s="948"/>
      <c r="B92" s="496">
        <f t="shared" si="3"/>
        <v>83</v>
      </c>
      <c r="C92" s="864"/>
      <c r="D92" s="505"/>
      <c r="E92" s="866"/>
      <c r="F92" s="498"/>
      <c r="G92" s="499"/>
      <c r="H92" s="492"/>
      <c r="I92" s="855">
        <f>IFERROR(IFERROR(INDEX('Fixture and LED Schedule'!D:D,MATCH(F92,'Fixture and LED Schedule'!C:C,""),1),F92),"")</f>
        <v>0</v>
      </c>
      <c r="J92" s="855" t="str">
        <f>IFERROR(IF(PRJ_Type="New Construction",H92,INDEX(yControl_Code,MATCH(Inventory!H92,yControlTypes,0),1)),"")</f>
        <v/>
      </c>
      <c r="K92" s="493"/>
      <c r="L92" s="501"/>
      <c r="M92" s="502"/>
      <c r="N92" s="855">
        <f>IFERROR(IFERROR(INDEX('Fixture and LED Schedule'!D:D,MATCH(K92,'Fixture and LED Schedule'!C:C,0),1),K92),"")</f>
        <v>0</v>
      </c>
      <c r="O92" s="858" t="str">
        <f>IFERROR(INDEX(yControl_Code,MATCH(Inventory!M92,yControlTypes,0),1),"")</f>
        <v/>
      </c>
      <c r="P92" s="857" t="str">
        <f>'Lighting Inventory (Ref only)'!AG95</f>
        <v/>
      </c>
      <c r="Q92" s="856" t="str">
        <f>'Lighting Inventory (Ref only)'!AF95</f>
        <v/>
      </c>
      <c r="R92" s="856" t="str">
        <f t="shared" si="2"/>
        <v/>
      </c>
      <c r="S92" s="856" t="str">
        <f>IFERROR(ROUND(R92*'Project Info and Summary'!$J$5/'Project Info and Summary'!$L$5,2),"")</f>
        <v/>
      </c>
    </row>
    <row r="93" spans="1:19" s="102" customFormat="1" ht="30" customHeight="1">
      <c r="A93" s="948"/>
      <c r="B93" s="496">
        <f t="shared" si="3"/>
        <v>84</v>
      </c>
      <c r="C93" s="864"/>
      <c r="D93" s="505"/>
      <c r="E93" s="866"/>
      <c r="F93" s="498"/>
      <c r="G93" s="499"/>
      <c r="H93" s="492"/>
      <c r="I93" s="855">
        <f>IFERROR(IFERROR(INDEX('Fixture and LED Schedule'!D:D,MATCH(F93,'Fixture and LED Schedule'!C:C,""),1),F93),"")</f>
        <v>0</v>
      </c>
      <c r="J93" s="855" t="str">
        <f>IFERROR(IF(PRJ_Type="New Construction",H93,INDEX(yControl_Code,MATCH(Inventory!H93,yControlTypes,0),1)),"")</f>
        <v/>
      </c>
      <c r="K93" s="493"/>
      <c r="L93" s="501"/>
      <c r="M93" s="502"/>
      <c r="N93" s="855">
        <f>IFERROR(IFERROR(INDEX('Fixture and LED Schedule'!D:D,MATCH(K93,'Fixture and LED Schedule'!C:C,0),1),K93),"")</f>
        <v>0</v>
      </c>
      <c r="O93" s="858" t="str">
        <f>IFERROR(INDEX(yControl_Code,MATCH(Inventory!M93,yControlTypes,0),1),"")</f>
        <v/>
      </c>
      <c r="P93" s="857" t="str">
        <f>'Lighting Inventory (Ref only)'!AG96</f>
        <v/>
      </c>
      <c r="Q93" s="856" t="str">
        <f>'Lighting Inventory (Ref only)'!AF96</f>
        <v/>
      </c>
      <c r="R93" s="856" t="str">
        <f t="shared" si="2"/>
        <v/>
      </c>
      <c r="S93" s="856" t="str">
        <f>IFERROR(ROUND(R93*'Project Info and Summary'!$J$5/'Project Info and Summary'!$L$5,2),"")</f>
        <v/>
      </c>
    </row>
    <row r="94" spans="1:19" s="102" customFormat="1" ht="30" customHeight="1">
      <c r="A94" s="948"/>
      <c r="B94" s="496">
        <f t="shared" si="3"/>
        <v>85</v>
      </c>
      <c r="C94" s="864"/>
      <c r="D94" s="505"/>
      <c r="E94" s="866"/>
      <c r="F94" s="498"/>
      <c r="G94" s="499"/>
      <c r="H94" s="492"/>
      <c r="I94" s="855">
        <f>IFERROR(IFERROR(INDEX('Fixture and LED Schedule'!D:D,MATCH(F94,'Fixture and LED Schedule'!C:C,""),1),F94),"")</f>
        <v>0</v>
      </c>
      <c r="J94" s="855" t="str">
        <f>IFERROR(IF(PRJ_Type="New Construction",H94,INDEX(yControl_Code,MATCH(Inventory!H94,yControlTypes,0),1)),"")</f>
        <v/>
      </c>
      <c r="K94" s="493"/>
      <c r="L94" s="501"/>
      <c r="M94" s="502"/>
      <c r="N94" s="855">
        <f>IFERROR(IFERROR(INDEX('Fixture and LED Schedule'!D:D,MATCH(K94,'Fixture and LED Schedule'!C:C,0),1),K94),"")</f>
        <v>0</v>
      </c>
      <c r="O94" s="858" t="str">
        <f>IFERROR(INDEX(yControl_Code,MATCH(Inventory!M94,yControlTypes,0),1),"")</f>
        <v/>
      </c>
      <c r="P94" s="857" t="str">
        <f>'Lighting Inventory (Ref only)'!AG97</f>
        <v/>
      </c>
      <c r="Q94" s="856" t="str">
        <f>'Lighting Inventory (Ref only)'!AF97</f>
        <v/>
      </c>
      <c r="R94" s="856" t="str">
        <f t="shared" si="2"/>
        <v/>
      </c>
      <c r="S94" s="856" t="str">
        <f>IFERROR(ROUND(R94*'Project Info and Summary'!$J$5/'Project Info and Summary'!$L$5,2),"")</f>
        <v/>
      </c>
    </row>
    <row r="95" spans="1:19" s="102" customFormat="1" ht="30" customHeight="1">
      <c r="A95" s="948"/>
      <c r="B95" s="496">
        <f t="shared" si="3"/>
        <v>86</v>
      </c>
      <c r="C95" s="864"/>
      <c r="D95" s="505"/>
      <c r="E95" s="866"/>
      <c r="F95" s="498"/>
      <c r="G95" s="499"/>
      <c r="H95" s="492"/>
      <c r="I95" s="855">
        <f>IFERROR(IFERROR(INDEX('Fixture and LED Schedule'!D:D,MATCH(F95,'Fixture and LED Schedule'!C:C,""),1),F95),"")</f>
        <v>0</v>
      </c>
      <c r="J95" s="855" t="str">
        <f>IFERROR(IF(PRJ_Type="New Construction",H95,INDEX(yControl_Code,MATCH(Inventory!H95,yControlTypes,0),1)),"")</f>
        <v/>
      </c>
      <c r="K95" s="493"/>
      <c r="L95" s="501"/>
      <c r="M95" s="502"/>
      <c r="N95" s="855">
        <f>IFERROR(IFERROR(INDEX('Fixture and LED Schedule'!D:D,MATCH(K95,'Fixture and LED Schedule'!C:C,0),1),K95),"")</f>
        <v>0</v>
      </c>
      <c r="O95" s="858" t="str">
        <f>IFERROR(INDEX(yControl_Code,MATCH(Inventory!M95,yControlTypes,0),1),"")</f>
        <v/>
      </c>
      <c r="P95" s="857" t="str">
        <f>'Lighting Inventory (Ref only)'!AG98</f>
        <v/>
      </c>
      <c r="Q95" s="856" t="str">
        <f>'Lighting Inventory (Ref only)'!AF98</f>
        <v/>
      </c>
      <c r="R95" s="856" t="str">
        <f t="shared" si="2"/>
        <v/>
      </c>
      <c r="S95" s="856" t="str">
        <f>IFERROR(ROUND(R95*'Project Info and Summary'!$J$5/'Project Info and Summary'!$L$5,2),"")</f>
        <v/>
      </c>
    </row>
    <row r="96" spans="1:19" s="102" customFormat="1" ht="30" customHeight="1">
      <c r="A96" s="948"/>
      <c r="B96" s="496">
        <f t="shared" si="3"/>
        <v>87</v>
      </c>
      <c r="C96" s="864"/>
      <c r="D96" s="505"/>
      <c r="E96" s="866"/>
      <c r="F96" s="498"/>
      <c r="G96" s="499"/>
      <c r="H96" s="492"/>
      <c r="I96" s="855">
        <f>IFERROR(IFERROR(INDEX('Fixture and LED Schedule'!D:D,MATCH(F96,'Fixture and LED Schedule'!C:C,""),1),F96),"")</f>
        <v>0</v>
      </c>
      <c r="J96" s="855" t="str">
        <f>IFERROR(IF(PRJ_Type="New Construction",H96,INDEX(yControl_Code,MATCH(Inventory!H96,yControlTypes,0),1)),"")</f>
        <v/>
      </c>
      <c r="K96" s="493"/>
      <c r="L96" s="501"/>
      <c r="M96" s="502"/>
      <c r="N96" s="855">
        <f>IFERROR(IFERROR(INDEX('Fixture and LED Schedule'!D:D,MATCH(K96,'Fixture and LED Schedule'!C:C,0),1),K96),"")</f>
        <v>0</v>
      </c>
      <c r="O96" s="858" t="str">
        <f>IFERROR(INDEX(yControl_Code,MATCH(Inventory!M96,yControlTypes,0),1),"")</f>
        <v/>
      </c>
      <c r="P96" s="857" t="str">
        <f>'Lighting Inventory (Ref only)'!AG99</f>
        <v/>
      </c>
      <c r="Q96" s="856" t="str">
        <f>'Lighting Inventory (Ref only)'!AF99</f>
        <v/>
      </c>
      <c r="R96" s="856" t="str">
        <f t="shared" si="2"/>
        <v/>
      </c>
      <c r="S96" s="856" t="str">
        <f>IFERROR(ROUND(R96*'Project Info and Summary'!$J$5/'Project Info and Summary'!$L$5,2),"")</f>
        <v/>
      </c>
    </row>
    <row r="97" spans="1:19" s="102" customFormat="1" ht="30" customHeight="1">
      <c r="A97" s="948"/>
      <c r="B97" s="496">
        <f t="shared" si="3"/>
        <v>88</v>
      </c>
      <c r="C97" s="864"/>
      <c r="D97" s="505"/>
      <c r="E97" s="866"/>
      <c r="F97" s="498"/>
      <c r="G97" s="499"/>
      <c r="H97" s="492"/>
      <c r="I97" s="855">
        <f>IFERROR(IFERROR(INDEX('Fixture and LED Schedule'!D:D,MATCH(F97,'Fixture and LED Schedule'!C:C,""),1),F97),"")</f>
        <v>0</v>
      </c>
      <c r="J97" s="855" t="str">
        <f>IFERROR(IF(PRJ_Type="New Construction",H97,INDEX(yControl_Code,MATCH(Inventory!H97,yControlTypes,0),1)),"")</f>
        <v/>
      </c>
      <c r="K97" s="493"/>
      <c r="L97" s="501"/>
      <c r="M97" s="502"/>
      <c r="N97" s="855">
        <f>IFERROR(IFERROR(INDEX('Fixture and LED Schedule'!D:D,MATCH(K97,'Fixture and LED Schedule'!C:C,0),1),K97),"")</f>
        <v>0</v>
      </c>
      <c r="O97" s="858" t="str">
        <f>IFERROR(INDEX(yControl_Code,MATCH(Inventory!M97,yControlTypes,0),1),"")</f>
        <v/>
      </c>
      <c r="P97" s="857" t="str">
        <f>'Lighting Inventory (Ref only)'!AG100</f>
        <v/>
      </c>
      <c r="Q97" s="856" t="str">
        <f>'Lighting Inventory (Ref only)'!AF100</f>
        <v/>
      </c>
      <c r="R97" s="856" t="str">
        <f t="shared" si="2"/>
        <v/>
      </c>
      <c r="S97" s="856" t="str">
        <f>IFERROR(ROUND(R97*'Project Info and Summary'!$J$5/'Project Info and Summary'!$L$5,2),"")</f>
        <v/>
      </c>
    </row>
    <row r="98" spans="1:19" s="102" customFormat="1" ht="30" customHeight="1">
      <c r="A98" s="948"/>
      <c r="B98" s="496">
        <f t="shared" si="3"/>
        <v>89</v>
      </c>
      <c r="C98" s="864"/>
      <c r="D98" s="505"/>
      <c r="E98" s="866"/>
      <c r="F98" s="498"/>
      <c r="G98" s="499"/>
      <c r="H98" s="492"/>
      <c r="I98" s="855">
        <f>IFERROR(IFERROR(INDEX('Fixture and LED Schedule'!D:D,MATCH(F98,'Fixture and LED Schedule'!C:C,""),1),F98),"")</f>
        <v>0</v>
      </c>
      <c r="J98" s="855" t="str">
        <f>IFERROR(IF(PRJ_Type="New Construction",H98,INDEX(yControl_Code,MATCH(Inventory!H98,yControlTypes,0),1)),"")</f>
        <v/>
      </c>
      <c r="K98" s="493"/>
      <c r="L98" s="501"/>
      <c r="M98" s="502"/>
      <c r="N98" s="855">
        <f>IFERROR(IFERROR(INDEX('Fixture and LED Schedule'!D:D,MATCH(K98,'Fixture and LED Schedule'!C:C,0),1),K98),"")</f>
        <v>0</v>
      </c>
      <c r="O98" s="858" t="str">
        <f>IFERROR(INDEX(yControl_Code,MATCH(Inventory!M98,yControlTypes,0),1),"")</f>
        <v/>
      </c>
      <c r="P98" s="857" t="str">
        <f>'Lighting Inventory (Ref only)'!AG101</f>
        <v/>
      </c>
      <c r="Q98" s="856" t="str">
        <f>'Lighting Inventory (Ref only)'!AF101</f>
        <v/>
      </c>
      <c r="R98" s="856" t="str">
        <f t="shared" si="2"/>
        <v/>
      </c>
      <c r="S98" s="856" t="str">
        <f>IFERROR(ROUND(R98*'Project Info and Summary'!$J$5/'Project Info and Summary'!$L$5,2),"")</f>
        <v/>
      </c>
    </row>
    <row r="99" spans="1:19" s="102" customFormat="1" ht="30" customHeight="1">
      <c r="A99" s="948"/>
      <c r="B99" s="496">
        <f t="shared" si="3"/>
        <v>90</v>
      </c>
      <c r="C99" s="864"/>
      <c r="D99" s="505"/>
      <c r="E99" s="866"/>
      <c r="F99" s="498"/>
      <c r="G99" s="499"/>
      <c r="H99" s="492"/>
      <c r="I99" s="855">
        <f>IFERROR(IFERROR(INDEX('Fixture and LED Schedule'!D:D,MATCH(F99,'Fixture and LED Schedule'!C:C,""),1),F99),"")</f>
        <v>0</v>
      </c>
      <c r="J99" s="855" t="str">
        <f>IFERROR(IF(PRJ_Type="New Construction",H99,INDEX(yControl_Code,MATCH(Inventory!H99,yControlTypes,0),1)),"")</f>
        <v/>
      </c>
      <c r="K99" s="493"/>
      <c r="L99" s="501"/>
      <c r="M99" s="502"/>
      <c r="N99" s="855">
        <f>IFERROR(IFERROR(INDEX('Fixture and LED Schedule'!D:D,MATCH(K99,'Fixture and LED Schedule'!C:C,0),1),K99),"")</f>
        <v>0</v>
      </c>
      <c r="O99" s="858" t="str">
        <f>IFERROR(INDEX(yControl_Code,MATCH(Inventory!M99,yControlTypes,0),1),"")</f>
        <v/>
      </c>
      <c r="P99" s="857" t="str">
        <f>'Lighting Inventory (Ref only)'!AG102</f>
        <v/>
      </c>
      <c r="Q99" s="856" t="str">
        <f>'Lighting Inventory (Ref only)'!AF102</f>
        <v/>
      </c>
      <c r="R99" s="856" t="str">
        <f t="shared" si="2"/>
        <v/>
      </c>
      <c r="S99" s="856" t="str">
        <f>IFERROR(ROUND(R99*'Project Info and Summary'!$J$5/'Project Info and Summary'!$L$5,2),"")</f>
        <v/>
      </c>
    </row>
    <row r="100" spans="1:19" s="102" customFormat="1" ht="30" customHeight="1">
      <c r="A100" s="948"/>
      <c r="B100" s="496">
        <f t="shared" si="3"/>
        <v>91</v>
      </c>
      <c r="C100" s="864"/>
      <c r="D100" s="505"/>
      <c r="E100" s="866"/>
      <c r="F100" s="498"/>
      <c r="G100" s="499"/>
      <c r="H100" s="492"/>
      <c r="I100" s="855">
        <f>IFERROR(IFERROR(INDEX('Fixture and LED Schedule'!D:D,MATCH(F100,'Fixture and LED Schedule'!C:C,""),1),F100),"")</f>
        <v>0</v>
      </c>
      <c r="J100" s="855" t="str">
        <f>IFERROR(IF(PRJ_Type="New Construction",H100,INDEX(yControl_Code,MATCH(Inventory!H100,yControlTypes,0),1)),"")</f>
        <v/>
      </c>
      <c r="K100" s="493"/>
      <c r="L100" s="501"/>
      <c r="M100" s="502"/>
      <c r="N100" s="855">
        <f>IFERROR(IFERROR(INDEX('Fixture and LED Schedule'!D:D,MATCH(K100,'Fixture and LED Schedule'!C:C,0),1),K100),"")</f>
        <v>0</v>
      </c>
      <c r="O100" s="858" t="str">
        <f>IFERROR(INDEX(yControl_Code,MATCH(Inventory!M100,yControlTypes,0),1),"")</f>
        <v/>
      </c>
      <c r="P100" s="857" t="str">
        <f>'Lighting Inventory (Ref only)'!AG103</f>
        <v/>
      </c>
      <c r="Q100" s="856" t="str">
        <f>'Lighting Inventory (Ref only)'!AF103</f>
        <v/>
      </c>
      <c r="R100" s="856" t="str">
        <f t="shared" si="2"/>
        <v/>
      </c>
      <c r="S100" s="856" t="str">
        <f>IFERROR(ROUND(R100*'Project Info and Summary'!$J$5/'Project Info and Summary'!$L$5,2),"")</f>
        <v/>
      </c>
    </row>
    <row r="101" spans="1:19" s="102" customFormat="1" ht="30" customHeight="1">
      <c r="A101" s="948"/>
      <c r="B101" s="496">
        <f t="shared" si="3"/>
        <v>92</v>
      </c>
      <c r="C101" s="864"/>
      <c r="D101" s="505"/>
      <c r="E101" s="866"/>
      <c r="F101" s="498"/>
      <c r="G101" s="499"/>
      <c r="H101" s="492"/>
      <c r="I101" s="855">
        <f>IFERROR(IFERROR(INDEX('Fixture and LED Schedule'!D:D,MATCH(F101,'Fixture and LED Schedule'!C:C,""),1),F101),"")</f>
        <v>0</v>
      </c>
      <c r="J101" s="855" t="str">
        <f>IFERROR(IF(PRJ_Type="New Construction",H101,INDEX(yControl_Code,MATCH(Inventory!H101,yControlTypes,0),1)),"")</f>
        <v/>
      </c>
      <c r="K101" s="493"/>
      <c r="L101" s="501"/>
      <c r="M101" s="502"/>
      <c r="N101" s="855">
        <f>IFERROR(IFERROR(INDEX('Fixture and LED Schedule'!D:D,MATCH(K101,'Fixture and LED Schedule'!C:C,0),1),K101),"")</f>
        <v>0</v>
      </c>
      <c r="O101" s="858" t="str">
        <f>IFERROR(INDEX(yControl_Code,MATCH(Inventory!M101,yControlTypes,0),1),"")</f>
        <v/>
      </c>
      <c r="P101" s="857" t="str">
        <f>'Lighting Inventory (Ref only)'!AG104</f>
        <v/>
      </c>
      <c r="Q101" s="856" t="str">
        <f>'Lighting Inventory (Ref only)'!AF104</f>
        <v/>
      </c>
      <c r="R101" s="856" t="str">
        <f t="shared" si="2"/>
        <v/>
      </c>
      <c r="S101" s="856" t="str">
        <f>IFERROR(ROUND(R101*'Project Info and Summary'!$J$5/'Project Info and Summary'!$L$5,2),"")</f>
        <v/>
      </c>
    </row>
    <row r="102" spans="1:19" s="102" customFormat="1" ht="30" customHeight="1">
      <c r="A102" s="948"/>
      <c r="B102" s="496">
        <f t="shared" si="3"/>
        <v>93</v>
      </c>
      <c r="C102" s="864"/>
      <c r="D102" s="505"/>
      <c r="E102" s="866"/>
      <c r="F102" s="498"/>
      <c r="G102" s="499"/>
      <c r="H102" s="492"/>
      <c r="I102" s="855">
        <f>IFERROR(IFERROR(INDEX('Fixture and LED Schedule'!D:D,MATCH(F102,'Fixture and LED Schedule'!C:C,""),1),F102),"")</f>
        <v>0</v>
      </c>
      <c r="J102" s="855" t="str">
        <f>IFERROR(IF(PRJ_Type="New Construction",H102,INDEX(yControl_Code,MATCH(Inventory!H102,yControlTypes,0),1)),"")</f>
        <v/>
      </c>
      <c r="K102" s="493"/>
      <c r="L102" s="501"/>
      <c r="M102" s="502"/>
      <c r="N102" s="855">
        <f>IFERROR(IFERROR(INDEX('Fixture and LED Schedule'!D:D,MATCH(K102,'Fixture and LED Schedule'!C:C,0),1),K102),"")</f>
        <v>0</v>
      </c>
      <c r="O102" s="858" t="str">
        <f>IFERROR(INDEX(yControl_Code,MATCH(Inventory!M102,yControlTypes,0),1),"")</f>
        <v/>
      </c>
      <c r="P102" s="857" t="str">
        <f>'Lighting Inventory (Ref only)'!AG105</f>
        <v/>
      </c>
      <c r="Q102" s="856" t="str">
        <f>'Lighting Inventory (Ref only)'!AF105</f>
        <v/>
      </c>
      <c r="R102" s="856" t="str">
        <f t="shared" si="2"/>
        <v/>
      </c>
      <c r="S102" s="856" t="str">
        <f>IFERROR(ROUND(R102*'Project Info and Summary'!$J$5/'Project Info and Summary'!$L$5,2),"")</f>
        <v/>
      </c>
    </row>
    <row r="103" spans="1:19" s="102" customFormat="1" ht="30" customHeight="1">
      <c r="A103" s="948"/>
      <c r="B103" s="496">
        <f t="shared" si="3"/>
        <v>94</v>
      </c>
      <c r="C103" s="864"/>
      <c r="D103" s="505"/>
      <c r="E103" s="866"/>
      <c r="F103" s="498"/>
      <c r="G103" s="499"/>
      <c r="H103" s="492"/>
      <c r="I103" s="855">
        <f>IFERROR(IFERROR(INDEX('Fixture and LED Schedule'!D:D,MATCH(F103,'Fixture and LED Schedule'!C:C,""),1),F103),"")</f>
        <v>0</v>
      </c>
      <c r="J103" s="855" t="str">
        <f>IFERROR(IF(PRJ_Type="New Construction",H103,INDEX(yControl_Code,MATCH(Inventory!H103,yControlTypes,0),1)),"")</f>
        <v/>
      </c>
      <c r="K103" s="493"/>
      <c r="L103" s="501"/>
      <c r="M103" s="502"/>
      <c r="N103" s="855">
        <f>IFERROR(IFERROR(INDEX('Fixture and LED Schedule'!D:D,MATCH(K103,'Fixture and LED Schedule'!C:C,0),1),K103),"")</f>
        <v>0</v>
      </c>
      <c r="O103" s="858" t="str">
        <f>IFERROR(INDEX(yControl_Code,MATCH(Inventory!M103,yControlTypes,0),1),"")</f>
        <v/>
      </c>
      <c r="P103" s="857" t="str">
        <f>'Lighting Inventory (Ref only)'!AG106</f>
        <v/>
      </c>
      <c r="Q103" s="856" t="str">
        <f>'Lighting Inventory (Ref only)'!AF106</f>
        <v/>
      </c>
      <c r="R103" s="856" t="str">
        <f t="shared" si="2"/>
        <v/>
      </c>
      <c r="S103" s="856" t="str">
        <f>IFERROR(ROUND(R103*'Project Info and Summary'!$J$5/'Project Info and Summary'!$L$5,2),"")</f>
        <v/>
      </c>
    </row>
    <row r="104" spans="1:19" s="102" customFormat="1" ht="30" customHeight="1">
      <c r="A104" s="948"/>
      <c r="B104" s="496">
        <f t="shared" si="3"/>
        <v>95</v>
      </c>
      <c r="C104" s="864"/>
      <c r="D104" s="505"/>
      <c r="E104" s="866"/>
      <c r="F104" s="498"/>
      <c r="G104" s="499"/>
      <c r="H104" s="492"/>
      <c r="I104" s="855">
        <f>IFERROR(IFERROR(INDEX('Fixture and LED Schedule'!D:D,MATCH(F104,'Fixture and LED Schedule'!C:C,""),1),F104),"")</f>
        <v>0</v>
      </c>
      <c r="J104" s="855" t="str">
        <f>IFERROR(IF(PRJ_Type="New Construction",H104,INDEX(yControl_Code,MATCH(Inventory!H104,yControlTypes,0),1)),"")</f>
        <v/>
      </c>
      <c r="K104" s="493"/>
      <c r="L104" s="501"/>
      <c r="M104" s="502"/>
      <c r="N104" s="855">
        <f>IFERROR(IFERROR(INDEX('Fixture and LED Schedule'!D:D,MATCH(K104,'Fixture and LED Schedule'!C:C,0),1),K104),"")</f>
        <v>0</v>
      </c>
      <c r="O104" s="858" t="str">
        <f>IFERROR(INDEX(yControl_Code,MATCH(Inventory!M104,yControlTypes,0),1),"")</f>
        <v/>
      </c>
      <c r="P104" s="857" t="str">
        <f>'Lighting Inventory (Ref only)'!AG107</f>
        <v/>
      </c>
      <c r="Q104" s="856" t="str">
        <f>'Lighting Inventory (Ref only)'!AF107</f>
        <v/>
      </c>
      <c r="R104" s="856" t="str">
        <f t="shared" si="2"/>
        <v/>
      </c>
      <c r="S104" s="856" t="str">
        <f>IFERROR(ROUND(R104*'Project Info and Summary'!$J$5/'Project Info and Summary'!$L$5,2),"")</f>
        <v/>
      </c>
    </row>
    <row r="105" spans="1:19" s="102" customFormat="1" ht="30" customHeight="1">
      <c r="A105" s="948"/>
      <c r="B105" s="496">
        <f t="shared" si="3"/>
        <v>96</v>
      </c>
      <c r="C105" s="864"/>
      <c r="D105" s="505"/>
      <c r="E105" s="866"/>
      <c r="F105" s="498"/>
      <c r="G105" s="499"/>
      <c r="H105" s="492"/>
      <c r="I105" s="855">
        <f>IFERROR(IFERROR(INDEX('Fixture and LED Schedule'!D:D,MATCH(F105,'Fixture and LED Schedule'!C:C,""),1),F105),"")</f>
        <v>0</v>
      </c>
      <c r="J105" s="855" t="str">
        <f>IFERROR(IF(PRJ_Type="New Construction",H105,INDEX(yControl_Code,MATCH(Inventory!H105,yControlTypes,0),1)),"")</f>
        <v/>
      </c>
      <c r="K105" s="493"/>
      <c r="L105" s="501"/>
      <c r="M105" s="502"/>
      <c r="N105" s="855">
        <f>IFERROR(IFERROR(INDEX('Fixture and LED Schedule'!D:D,MATCH(K105,'Fixture and LED Schedule'!C:C,0),1),K105),"")</f>
        <v>0</v>
      </c>
      <c r="O105" s="858" t="str">
        <f>IFERROR(INDEX(yControl_Code,MATCH(Inventory!M105,yControlTypes,0),1),"")</f>
        <v/>
      </c>
      <c r="P105" s="857" t="str">
        <f>'Lighting Inventory (Ref only)'!AG108</f>
        <v/>
      </c>
      <c r="Q105" s="856" t="str">
        <f>'Lighting Inventory (Ref only)'!AF108</f>
        <v/>
      </c>
      <c r="R105" s="856" t="str">
        <f t="shared" si="2"/>
        <v/>
      </c>
      <c r="S105" s="856" t="str">
        <f>IFERROR(ROUND(R105*'Project Info and Summary'!$J$5/'Project Info and Summary'!$L$5,2),"")</f>
        <v/>
      </c>
    </row>
    <row r="106" spans="1:19" s="102" customFormat="1" ht="30" customHeight="1">
      <c r="A106" s="948"/>
      <c r="B106" s="496">
        <f t="shared" si="3"/>
        <v>97</v>
      </c>
      <c r="C106" s="864"/>
      <c r="D106" s="505"/>
      <c r="E106" s="866"/>
      <c r="F106" s="498"/>
      <c r="G106" s="499"/>
      <c r="H106" s="492"/>
      <c r="I106" s="855">
        <f>IFERROR(IFERROR(INDEX('Fixture and LED Schedule'!D:D,MATCH(F106,'Fixture and LED Schedule'!C:C,""),1),F106),"")</f>
        <v>0</v>
      </c>
      <c r="J106" s="855" t="str">
        <f>IFERROR(IF(PRJ_Type="New Construction",H106,INDEX(yControl_Code,MATCH(Inventory!H106,yControlTypes,0),1)),"")</f>
        <v/>
      </c>
      <c r="K106" s="493"/>
      <c r="L106" s="501"/>
      <c r="M106" s="502"/>
      <c r="N106" s="855">
        <f>IFERROR(IFERROR(INDEX('Fixture and LED Schedule'!D:D,MATCH(K106,'Fixture and LED Schedule'!C:C,0),1),K106),"")</f>
        <v>0</v>
      </c>
      <c r="O106" s="858" t="str">
        <f>IFERROR(INDEX(yControl_Code,MATCH(Inventory!M106,yControlTypes,0),1),"")</f>
        <v/>
      </c>
      <c r="P106" s="857" t="str">
        <f>'Lighting Inventory (Ref only)'!AG109</f>
        <v/>
      </c>
      <c r="Q106" s="856" t="str">
        <f>'Lighting Inventory (Ref only)'!AF109</f>
        <v/>
      </c>
      <c r="R106" s="856" t="str">
        <f t="shared" si="2"/>
        <v/>
      </c>
      <c r="S106" s="856" t="str">
        <f>IFERROR(ROUND(R106*'Project Info and Summary'!$J$5/'Project Info and Summary'!$L$5,2),"")</f>
        <v/>
      </c>
    </row>
    <row r="107" spans="1:19" s="102" customFormat="1" ht="30" customHeight="1">
      <c r="A107" s="948"/>
      <c r="B107" s="496">
        <f t="shared" si="3"/>
        <v>98</v>
      </c>
      <c r="C107" s="864"/>
      <c r="D107" s="505"/>
      <c r="E107" s="866"/>
      <c r="F107" s="498"/>
      <c r="G107" s="499"/>
      <c r="H107" s="492"/>
      <c r="I107" s="855">
        <f>IFERROR(IFERROR(INDEX('Fixture and LED Schedule'!D:D,MATCH(F107,'Fixture and LED Schedule'!C:C,""),1),F107),"")</f>
        <v>0</v>
      </c>
      <c r="J107" s="855" t="str">
        <f>IFERROR(IF(PRJ_Type="New Construction",H107,INDEX(yControl_Code,MATCH(Inventory!H107,yControlTypes,0),1)),"")</f>
        <v/>
      </c>
      <c r="K107" s="493"/>
      <c r="L107" s="501"/>
      <c r="M107" s="502"/>
      <c r="N107" s="855">
        <f>IFERROR(IFERROR(INDEX('Fixture and LED Schedule'!D:D,MATCH(K107,'Fixture and LED Schedule'!C:C,0),1),K107),"")</f>
        <v>0</v>
      </c>
      <c r="O107" s="858" t="str">
        <f>IFERROR(INDEX(yControl_Code,MATCH(Inventory!M107,yControlTypes,0),1),"")</f>
        <v/>
      </c>
      <c r="P107" s="857" t="str">
        <f>'Lighting Inventory (Ref only)'!AG110</f>
        <v/>
      </c>
      <c r="Q107" s="856" t="str">
        <f>'Lighting Inventory (Ref only)'!AF110</f>
        <v/>
      </c>
      <c r="R107" s="856" t="str">
        <f t="shared" si="2"/>
        <v/>
      </c>
      <c r="S107" s="856" t="str">
        <f>IFERROR(ROUND(R107*'Project Info and Summary'!$J$5/'Project Info and Summary'!$L$5,2),"")</f>
        <v/>
      </c>
    </row>
    <row r="108" spans="1:19" s="102" customFormat="1" ht="30" customHeight="1">
      <c r="A108" s="948"/>
      <c r="B108" s="496">
        <f t="shared" si="3"/>
        <v>99</v>
      </c>
      <c r="C108" s="864"/>
      <c r="D108" s="505"/>
      <c r="E108" s="866"/>
      <c r="F108" s="498"/>
      <c r="G108" s="499"/>
      <c r="H108" s="492"/>
      <c r="I108" s="855">
        <f>IFERROR(IFERROR(INDEX('Fixture and LED Schedule'!D:D,MATCH(F108,'Fixture and LED Schedule'!C:C,""),1),F108),"")</f>
        <v>0</v>
      </c>
      <c r="J108" s="855" t="str">
        <f>IFERROR(IF(PRJ_Type="New Construction",H108,INDEX(yControl_Code,MATCH(Inventory!H108,yControlTypes,0),1)),"")</f>
        <v/>
      </c>
      <c r="K108" s="493"/>
      <c r="L108" s="501"/>
      <c r="M108" s="502"/>
      <c r="N108" s="855">
        <f>IFERROR(IFERROR(INDEX('Fixture and LED Schedule'!D:D,MATCH(K108,'Fixture and LED Schedule'!C:C,0),1),K108),"")</f>
        <v>0</v>
      </c>
      <c r="O108" s="858" t="str">
        <f>IFERROR(INDEX(yControl_Code,MATCH(Inventory!M108,yControlTypes,0),1),"")</f>
        <v/>
      </c>
      <c r="P108" s="857" t="str">
        <f>'Lighting Inventory (Ref only)'!AG111</f>
        <v/>
      </c>
      <c r="Q108" s="856" t="str">
        <f>'Lighting Inventory (Ref only)'!AF111</f>
        <v/>
      </c>
      <c r="R108" s="856" t="str">
        <f t="shared" si="2"/>
        <v/>
      </c>
      <c r="S108" s="856" t="str">
        <f>IFERROR(ROUND(R108*'Project Info and Summary'!$J$5/'Project Info and Summary'!$L$5,2),"")</f>
        <v/>
      </c>
    </row>
    <row r="109" spans="1:19" s="102" customFormat="1" ht="30" customHeight="1">
      <c r="A109" s="948"/>
      <c r="B109" s="496">
        <f t="shared" si="3"/>
        <v>100</v>
      </c>
      <c r="C109" s="864"/>
      <c r="D109" s="505"/>
      <c r="E109" s="866"/>
      <c r="F109" s="498"/>
      <c r="G109" s="499"/>
      <c r="H109" s="492"/>
      <c r="I109" s="855">
        <f>IFERROR(IFERROR(INDEX('Fixture and LED Schedule'!D:D,MATCH(F109,'Fixture and LED Schedule'!C:C,""),1),F109),"")</f>
        <v>0</v>
      </c>
      <c r="J109" s="855" t="str">
        <f>IFERROR(IF(PRJ_Type="New Construction",H109,INDEX(yControl_Code,MATCH(Inventory!H109,yControlTypes,0),1)),"")</f>
        <v/>
      </c>
      <c r="K109" s="493"/>
      <c r="L109" s="501"/>
      <c r="M109" s="502"/>
      <c r="N109" s="855">
        <f>IFERROR(IFERROR(INDEX('Fixture and LED Schedule'!D:D,MATCH(K109,'Fixture and LED Schedule'!C:C,0),1),K109),"")</f>
        <v>0</v>
      </c>
      <c r="O109" s="858" t="str">
        <f>IFERROR(INDEX(yControl_Code,MATCH(Inventory!M109,yControlTypes,0),1),"")</f>
        <v/>
      </c>
      <c r="P109" s="857" t="str">
        <f>'Lighting Inventory (Ref only)'!AG112</f>
        <v/>
      </c>
      <c r="Q109" s="856" t="str">
        <f>'Lighting Inventory (Ref only)'!AF112</f>
        <v/>
      </c>
      <c r="R109" s="856" t="str">
        <f t="shared" si="2"/>
        <v/>
      </c>
      <c r="S109" s="856" t="str">
        <f>IFERROR(ROUND(R109*'Project Info and Summary'!$J$5/'Project Info and Summary'!$L$5,2),"")</f>
        <v/>
      </c>
    </row>
    <row r="110" spans="1:19" s="102" customFormat="1" ht="30" customHeight="1">
      <c r="A110" s="948"/>
      <c r="B110" s="496">
        <f t="shared" si="3"/>
        <v>101</v>
      </c>
      <c r="C110" s="864"/>
      <c r="D110" s="505"/>
      <c r="E110" s="866"/>
      <c r="F110" s="498"/>
      <c r="G110" s="499"/>
      <c r="H110" s="492"/>
      <c r="I110" s="855">
        <f>IFERROR(IFERROR(INDEX('Fixture and LED Schedule'!D:D,MATCH(F110,'Fixture and LED Schedule'!C:C,""),1),F110),"")</f>
        <v>0</v>
      </c>
      <c r="J110" s="855" t="str">
        <f>IFERROR(IF(PRJ_Type="New Construction",H110,INDEX(yControl_Code,MATCH(Inventory!H110,yControlTypes,0),1)),"")</f>
        <v/>
      </c>
      <c r="K110" s="493"/>
      <c r="L110" s="501"/>
      <c r="M110" s="502"/>
      <c r="N110" s="855">
        <f>IFERROR(IFERROR(INDEX('Fixture and LED Schedule'!D:D,MATCH(K110,'Fixture and LED Schedule'!C:C,0),1),K110),"")</f>
        <v>0</v>
      </c>
      <c r="O110" s="858" t="str">
        <f>IFERROR(INDEX(yControl_Code,MATCH(Inventory!M110,yControlTypes,0),1),"")</f>
        <v/>
      </c>
      <c r="P110" s="857" t="str">
        <f>'Lighting Inventory (Ref only)'!AG113</f>
        <v/>
      </c>
      <c r="Q110" s="856" t="str">
        <f>'Lighting Inventory (Ref only)'!AF113</f>
        <v/>
      </c>
      <c r="R110" s="856" t="str">
        <f t="shared" si="2"/>
        <v/>
      </c>
      <c r="S110" s="856" t="str">
        <f>IFERROR(ROUND(R110*'Project Info and Summary'!$J$5/'Project Info and Summary'!$L$5,2),"")</f>
        <v/>
      </c>
    </row>
    <row r="111" spans="1:19" s="102" customFormat="1" ht="30" customHeight="1">
      <c r="A111" s="948"/>
      <c r="B111" s="496">
        <f t="shared" si="3"/>
        <v>102</v>
      </c>
      <c r="C111" s="864"/>
      <c r="D111" s="505"/>
      <c r="E111" s="866"/>
      <c r="F111" s="498"/>
      <c r="G111" s="499"/>
      <c r="H111" s="492"/>
      <c r="I111" s="855">
        <f>IFERROR(IFERROR(INDEX('Fixture and LED Schedule'!D:D,MATCH(F111,'Fixture and LED Schedule'!C:C,""),1),F111),"")</f>
        <v>0</v>
      </c>
      <c r="J111" s="855" t="str">
        <f>IFERROR(IF(PRJ_Type="New Construction",H111,INDEX(yControl_Code,MATCH(Inventory!H111,yControlTypes,0),1)),"")</f>
        <v/>
      </c>
      <c r="K111" s="493"/>
      <c r="L111" s="501"/>
      <c r="M111" s="502"/>
      <c r="N111" s="855">
        <f>IFERROR(IFERROR(INDEX('Fixture and LED Schedule'!D:D,MATCH(K111,'Fixture and LED Schedule'!C:C,0),1),K111),"")</f>
        <v>0</v>
      </c>
      <c r="O111" s="858" t="str">
        <f>IFERROR(INDEX(yControl_Code,MATCH(Inventory!M111,yControlTypes,0),1),"")</f>
        <v/>
      </c>
      <c r="P111" s="857" t="str">
        <f>'Lighting Inventory (Ref only)'!AG114</f>
        <v/>
      </c>
      <c r="Q111" s="856" t="str">
        <f>'Lighting Inventory (Ref only)'!AF114</f>
        <v/>
      </c>
      <c r="R111" s="856" t="str">
        <f t="shared" si="2"/>
        <v/>
      </c>
      <c r="S111" s="856" t="str">
        <f>IFERROR(ROUND(R111*'Project Info and Summary'!$J$5/'Project Info and Summary'!$L$5,2),"")</f>
        <v/>
      </c>
    </row>
    <row r="112" spans="1:19" s="102" customFormat="1" ht="30" customHeight="1">
      <c r="A112" s="948"/>
      <c r="B112" s="496">
        <f t="shared" si="3"/>
        <v>103</v>
      </c>
      <c r="C112" s="864"/>
      <c r="D112" s="505"/>
      <c r="E112" s="866"/>
      <c r="F112" s="498"/>
      <c r="G112" s="499"/>
      <c r="H112" s="492"/>
      <c r="I112" s="855">
        <f>IFERROR(IFERROR(INDEX('Fixture and LED Schedule'!D:D,MATCH(F112,'Fixture and LED Schedule'!C:C,""),1),F112),"")</f>
        <v>0</v>
      </c>
      <c r="J112" s="855" t="str">
        <f>IFERROR(IF(PRJ_Type="New Construction",H112,INDEX(yControl_Code,MATCH(Inventory!H112,yControlTypes,0),1)),"")</f>
        <v/>
      </c>
      <c r="K112" s="493"/>
      <c r="L112" s="501"/>
      <c r="M112" s="502"/>
      <c r="N112" s="855">
        <f>IFERROR(IFERROR(INDEX('Fixture and LED Schedule'!D:D,MATCH(K112,'Fixture and LED Schedule'!C:C,0),1),K112),"")</f>
        <v>0</v>
      </c>
      <c r="O112" s="858" t="str">
        <f>IFERROR(INDEX(yControl_Code,MATCH(Inventory!M112,yControlTypes,0),1),"")</f>
        <v/>
      </c>
      <c r="P112" s="857" t="str">
        <f>'Lighting Inventory (Ref only)'!AG115</f>
        <v/>
      </c>
      <c r="Q112" s="856" t="str">
        <f>'Lighting Inventory (Ref only)'!AF115</f>
        <v/>
      </c>
      <c r="R112" s="856" t="str">
        <f t="shared" si="2"/>
        <v/>
      </c>
      <c r="S112" s="856" t="str">
        <f>IFERROR(ROUND(R112*'Project Info and Summary'!$J$5/'Project Info and Summary'!$L$5,2),"")</f>
        <v/>
      </c>
    </row>
    <row r="113" spans="1:19" s="102" customFormat="1" ht="30" customHeight="1">
      <c r="A113" s="948"/>
      <c r="B113" s="496">
        <f t="shared" si="3"/>
        <v>104</v>
      </c>
      <c r="C113" s="864"/>
      <c r="D113" s="505"/>
      <c r="E113" s="866"/>
      <c r="F113" s="498"/>
      <c r="G113" s="499"/>
      <c r="H113" s="492"/>
      <c r="I113" s="855">
        <f>IFERROR(IFERROR(INDEX('Fixture and LED Schedule'!D:D,MATCH(F113,'Fixture and LED Schedule'!C:C,""),1),F113),"")</f>
        <v>0</v>
      </c>
      <c r="J113" s="855" t="str">
        <f>IFERROR(IF(PRJ_Type="New Construction",H113,INDEX(yControl_Code,MATCH(Inventory!H113,yControlTypes,0),1)),"")</f>
        <v/>
      </c>
      <c r="K113" s="493"/>
      <c r="L113" s="501"/>
      <c r="M113" s="502"/>
      <c r="N113" s="855">
        <f>IFERROR(IFERROR(INDEX('Fixture and LED Schedule'!D:D,MATCH(K113,'Fixture and LED Schedule'!C:C,0),1),K113),"")</f>
        <v>0</v>
      </c>
      <c r="O113" s="858" t="str">
        <f>IFERROR(INDEX(yControl_Code,MATCH(Inventory!M113,yControlTypes,0),1),"")</f>
        <v/>
      </c>
      <c r="P113" s="857" t="str">
        <f>'Lighting Inventory (Ref only)'!AG116</f>
        <v/>
      </c>
      <c r="Q113" s="856" t="str">
        <f>'Lighting Inventory (Ref only)'!AF116</f>
        <v/>
      </c>
      <c r="R113" s="856" t="str">
        <f t="shared" si="2"/>
        <v/>
      </c>
      <c r="S113" s="856" t="str">
        <f>IFERROR(ROUND(R113*'Project Info and Summary'!$J$5/'Project Info and Summary'!$L$5,2),"")</f>
        <v/>
      </c>
    </row>
    <row r="114" spans="1:19" s="102" customFormat="1" ht="30" customHeight="1">
      <c r="A114" s="948"/>
      <c r="B114" s="496">
        <f t="shared" si="3"/>
        <v>105</v>
      </c>
      <c r="C114" s="864"/>
      <c r="D114" s="505"/>
      <c r="E114" s="866"/>
      <c r="F114" s="498"/>
      <c r="G114" s="499"/>
      <c r="H114" s="492"/>
      <c r="I114" s="855">
        <f>IFERROR(IFERROR(INDEX('Fixture and LED Schedule'!D:D,MATCH(F114,'Fixture and LED Schedule'!C:C,""),1),F114),"")</f>
        <v>0</v>
      </c>
      <c r="J114" s="855" t="str">
        <f>IFERROR(IF(PRJ_Type="New Construction",H114,INDEX(yControl_Code,MATCH(Inventory!H114,yControlTypes,0),1)),"")</f>
        <v/>
      </c>
      <c r="K114" s="493"/>
      <c r="L114" s="501"/>
      <c r="M114" s="502"/>
      <c r="N114" s="855">
        <f>IFERROR(IFERROR(INDEX('Fixture and LED Schedule'!D:D,MATCH(K114,'Fixture and LED Schedule'!C:C,0),1),K114),"")</f>
        <v>0</v>
      </c>
      <c r="O114" s="858" t="str">
        <f>IFERROR(INDEX(yControl_Code,MATCH(Inventory!M114,yControlTypes,0),1),"")</f>
        <v/>
      </c>
      <c r="P114" s="857" t="str">
        <f>'Lighting Inventory (Ref only)'!AG117</f>
        <v/>
      </c>
      <c r="Q114" s="856" t="str">
        <f>'Lighting Inventory (Ref only)'!AF117</f>
        <v/>
      </c>
      <c r="R114" s="856" t="str">
        <f t="shared" si="2"/>
        <v/>
      </c>
      <c r="S114" s="856" t="str">
        <f>IFERROR(ROUND(R114*'Project Info and Summary'!$J$5/'Project Info and Summary'!$L$5,2),"")</f>
        <v/>
      </c>
    </row>
    <row r="115" spans="1:19" s="102" customFormat="1" ht="30" customHeight="1">
      <c r="A115" s="948"/>
      <c r="B115" s="496">
        <f t="shared" si="3"/>
        <v>106</v>
      </c>
      <c r="C115" s="864"/>
      <c r="D115" s="505"/>
      <c r="E115" s="866"/>
      <c r="F115" s="498"/>
      <c r="G115" s="499"/>
      <c r="H115" s="492"/>
      <c r="I115" s="855">
        <f>IFERROR(IFERROR(INDEX('Fixture and LED Schedule'!D:D,MATCH(F115,'Fixture and LED Schedule'!C:C,""),1),F115),"")</f>
        <v>0</v>
      </c>
      <c r="J115" s="855" t="str">
        <f>IFERROR(IF(PRJ_Type="New Construction",H115,INDEX(yControl_Code,MATCH(Inventory!H115,yControlTypes,0),1)),"")</f>
        <v/>
      </c>
      <c r="K115" s="493"/>
      <c r="L115" s="501"/>
      <c r="M115" s="502"/>
      <c r="N115" s="855">
        <f>IFERROR(IFERROR(INDEX('Fixture and LED Schedule'!D:D,MATCH(K115,'Fixture and LED Schedule'!C:C,0),1),K115),"")</f>
        <v>0</v>
      </c>
      <c r="O115" s="858" t="str">
        <f>IFERROR(INDEX(yControl_Code,MATCH(Inventory!M115,yControlTypes,0),1),"")</f>
        <v/>
      </c>
      <c r="P115" s="857" t="str">
        <f>'Lighting Inventory (Ref only)'!AG118</f>
        <v/>
      </c>
      <c r="Q115" s="856" t="str">
        <f>'Lighting Inventory (Ref only)'!AF118</f>
        <v/>
      </c>
      <c r="R115" s="856" t="str">
        <f t="shared" si="2"/>
        <v/>
      </c>
      <c r="S115" s="856" t="str">
        <f>IFERROR(ROUND(R115*'Project Info and Summary'!$J$5/'Project Info and Summary'!$L$5,2),"")</f>
        <v/>
      </c>
    </row>
    <row r="116" spans="1:19" s="102" customFormat="1" ht="30" customHeight="1">
      <c r="A116" s="948"/>
      <c r="B116" s="496">
        <f t="shared" si="3"/>
        <v>107</v>
      </c>
      <c r="C116" s="864"/>
      <c r="D116" s="505"/>
      <c r="E116" s="866"/>
      <c r="F116" s="498"/>
      <c r="G116" s="499"/>
      <c r="H116" s="492"/>
      <c r="I116" s="855">
        <f>IFERROR(IFERROR(INDEX('Fixture and LED Schedule'!D:D,MATCH(F116,'Fixture and LED Schedule'!C:C,""),1),F116),"")</f>
        <v>0</v>
      </c>
      <c r="J116" s="855" t="str">
        <f>IFERROR(IF(PRJ_Type="New Construction",H116,INDEX(yControl_Code,MATCH(Inventory!H116,yControlTypes,0),1)),"")</f>
        <v/>
      </c>
      <c r="K116" s="493"/>
      <c r="L116" s="501"/>
      <c r="M116" s="502"/>
      <c r="N116" s="855">
        <f>IFERROR(IFERROR(INDEX('Fixture and LED Schedule'!D:D,MATCH(K116,'Fixture and LED Schedule'!C:C,0),1),K116),"")</f>
        <v>0</v>
      </c>
      <c r="O116" s="858" t="str">
        <f>IFERROR(INDEX(yControl_Code,MATCH(Inventory!M116,yControlTypes,0),1),"")</f>
        <v/>
      </c>
      <c r="P116" s="857" t="str">
        <f>'Lighting Inventory (Ref only)'!AG119</f>
        <v/>
      </c>
      <c r="Q116" s="856" t="str">
        <f>'Lighting Inventory (Ref only)'!AF119</f>
        <v/>
      </c>
      <c r="R116" s="856" t="str">
        <f t="shared" si="2"/>
        <v/>
      </c>
      <c r="S116" s="856" t="str">
        <f>IFERROR(ROUND(R116*'Project Info and Summary'!$J$5/'Project Info and Summary'!$L$5,2),"")</f>
        <v/>
      </c>
    </row>
    <row r="117" spans="1:19" s="102" customFormat="1" ht="30" customHeight="1">
      <c r="A117" s="948"/>
      <c r="B117" s="496">
        <f t="shared" si="3"/>
        <v>108</v>
      </c>
      <c r="C117" s="864"/>
      <c r="D117" s="505"/>
      <c r="E117" s="866"/>
      <c r="F117" s="498"/>
      <c r="G117" s="499"/>
      <c r="H117" s="492"/>
      <c r="I117" s="855">
        <f>IFERROR(IFERROR(INDEX('Fixture and LED Schedule'!D:D,MATCH(F117,'Fixture and LED Schedule'!C:C,""),1),F117),"")</f>
        <v>0</v>
      </c>
      <c r="J117" s="855" t="str">
        <f>IFERROR(IF(PRJ_Type="New Construction",H117,INDEX(yControl_Code,MATCH(Inventory!H117,yControlTypes,0),1)),"")</f>
        <v/>
      </c>
      <c r="K117" s="493"/>
      <c r="L117" s="501"/>
      <c r="M117" s="502"/>
      <c r="N117" s="855">
        <f>IFERROR(IFERROR(INDEX('Fixture and LED Schedule'!D:D,MATCH(K117,'Fixture and LED Schedule'!C:C,0),1),K117),"")</f>
        <v>0</v>
      </c>
      <c r="O117" s="858" t="str">
        <f>IFERROR(INDEX(yControl_Code,MATCH(Inventory!M117,yControlTypes,0),1),"")</f>
        <v/>
      </c>
      <c r="P117" s="857" t="str">
        <f>'Lighting Inventory (Ref only)'!AG120</f>
        <v/>
      </c>
      <c r="Q117" s="856" t="str">
        <f>'Lighting Inventory (Ref only)'!AF120</f>
        <v/>
      </c>
      <c r="R117" s="856" t="str">
        <f t="shared" si="2"/>
        <v/>
      </c>
      <c r="S117" s="856" t="str">
        <f>IFERROR(ROUND(R117*'Project Info and Summary'!$J$5/'Project Info and Summary'!$L$5,2),"")</f>
        <v/>
      </c>
    </row>
    <row r="118" spans="1:19" s="102" customFormat="1" ht="30" customHeight="1">
      <c r="A118" s="948"/>
      <c r="B118" s="496">
        <f t="shared" si="3"/>
        <v>109</v>
      </c>
      <c r="C118" s="864"/>
      <c r="D118" s="505"/>
      <c r="E118" s="866"/>
      <c r="F118" s="498"/>
      <c r="G118" s="499"/>
      <c r="H118" s="492"/>
      <c r="I118" s="855">
        <f>IFERROR(IFERROR(INDEX('Fixture and LED Schedule'!D:D,MATCH(F118,'Fixture and LED Schedule'!C:C,""),1),F118),"")</f>
        <v>0</v>
      </c>
      <c r="J118" s="855" t="str">
        <f>IFERROR(IF(PRJ_Type="New Construction",H118,INDEX(yControl_Code,MATCH(Inventory!H118,yControlTypes,0),1)),"")</f>
        <v/>
      </c>
      <c r="K118" s="493"/>
      <c r="L118" s="501"/>
      <c r="M118" s="502"/>
      <c r="N118" s="855">
        <f>IFERROR(IFERROR(INDEX('Fixture and LED Schedule'!D:D,MATCH(K118,'Fixture and LED Schedule'!C:C,0),1),K118),"")</f>
        <v>0</v>
      </c>
      <c r="O118" s="858" t="str">
        <f>IFERROR(INDEX(yControl_Code,MATCH(Inventory!M118,yControlTypes,0),1),"")</f>
        <v/>
      </c>
      <c r="P118" s="857" t="str">
        <f>'Lighting Inventory (Ref only)'!AG121</f>
        <v/>
      </c>
      <c r="Q118" s="856" t="str">
        <f>'Lighting Inventory (Ref only)'!AF121</f>
        <v/>
      </c>
      <c r="R118" s="856" t="str">
        <f t="shared" si="2"/>
        <v/>
      </c>
      <c r="S118" s="856" t="str">
        <f>IFERROR(ROUND(R118*'Project Info and Summary'!$J$5/'Project Info and Summary'!$L$5,2),"")</f>
        <v/>
      </c>
    </row>
    <row r="119" spans="1:19" s="102" customFormat="1" ht="30" customHeight="1">
      <c r="A119" s="948"/>
      <c r="B119" s="496">
        <f t="shared" si="3"/>
        <v>110</v>
      </c>
      <c r="C119" s="864"/>
      <c r="D119" s="505"/>
      <c r="E119" s="866"/>
      <c r="F119" s="498"/>
      <c r="G119" s="499"/>
      <c r="H119" s="492"/>
      <c r="I119" s="855">
        <f>IFERROR(IFERROR(INDEX('Fixture and LED Schedule'!D:D,MATCH(F119,'Fixture and LED Schedule'!C:C,""),1),F119),"")</f>
        <v>0</v>
      </c>
      <c r="J119" s="855" t="str">
        <f>IFERROR(IF(PRJ_Type="New Construction",H119,INDEX(yControl_Code,MATCH(Inventory!H119,yControlTypes,0),1)),"")</f>
        <v/>
      </c>
      <c r="K119" s="493"/>
      <c r="L119" s="501"/>
      <c r="M119" s="502"/>
      <c r="N119" s="855">
        <f>IFERROR(IFERROR(INDEX('Fixture and LED Schedule'!D:D,MATCH(K119,'Fixture and LED Schedule'!C:C,0),1),K119),"")</f>
        <v>0</v>
      </c>
      <c r="O119" s="858" t="str">
        <f>IFERROR(INDEX(yControl_Code,MATCH(Inventory!M119,yControlTypes,0),1),"")</f>
        <v/>
      </c>
      <c r="P119" s="857" t="str">
        <f>'Lighting Inventory (Ref only)'!AG122</f>
        <v/>
      </c>
      <c r="Q119" s="856" t="str">
        <f>'Lighting Inventory (Ref only)'!AF122</f>
        <v/>
      </c>
      <c r="R119" s="856" t="str">
        <f t="shared" si="2"/>
        <v/>
      </c>
      <c r="S119" s="856" t="str">
        <f>IFERROR(ROUND(R119*'Project Info and Summary'!$J$5/'Project Info and Summary'!$L$5,2),"")</f>
        <v/>
      </c>
    </row>
    <row r="120" spans="1:19" s="102" customFormat="1" ht="30" customHeight="1">
      <c r="A120" s="948"/>
      <c r="B120" s="496">
        <f t="shared" si="3"/>
        <v>111</v>
      </c>
      <c r="C120" s="864"/>
      <c r="D120" s="505"/>
      <c r="E120" s="866"/>
      <c r="F120" s="498"/>
      <c r="G120" s="499"/>
      <c r="H120" s="492"/>
      <c r="I120" s="855">
        <f>IFERROR(IFERROR(INDEX('Fixture and LED Schedule'!D:D,MATCH(F120,'Fixture and LED Schedule'!C:C,""),1),F120),"")</f>
        <v>0</v>
      </c>
      <c r="J120" s="855" t="str">
        <f>IFERROR(IF(PRJ_Type="New Construction",H120,INDEX(yControl_Code,MATCH(Inventory!H120,yControlTypes,0),1)),"")</f>
        <v/>
      </c>
      <c r="K120" s="493"/>
      <c r="L120" s="501"/>
      <c r="M120" s="502"/>
      <c r="N120" s="855">
        <f>IFERROR(IFERROR(INDEX('Fixture and LED Schedule'!D:D,MATCH(K120,'Fixture and LED Schedule'!C:C,0),1),K120),"")</f>
        <v>0</v>
      </c>
      <c r="O120" s="858" t="str">
        <f>IFERROR(INDEX(yControl_Code,MATCH(Inventory!M120,yControlTypes,0),1),"")</f>
        <v/>
      </c>
      <c r="P120" s="857" t="str">
        <f>'Lighting Inventory (Ref only)'!AG123</f>
        <v/>
      </c>
      <c r="Q120" s="856" t="str">
        <f>'Lighting Inventory (Ref only)'!AF123</f>
        <v/>
      </c>
      <c r="R120" s="856" t="str">
        <f t="shared" si="2"/>
        <v/>
      </c>
      <c r="S120" s="856" t="str">
        <f>IFERROR(ROUND(R120*'Project Info and Summary'!$J$5/'Project Info and Summary'!$L$5,2),"")</f>
        <v/>
      </c>
    </row>
    <row r="121" spans="1:19" s="102" customFormat="1" ht="30" customHeight="1">
      <c r="A121" s="948"/>
      <c r="B121" s="496">
        <f t="shared" si="3"/>
        <v>112</v>
      </c>
      <c r="C121" s="864"/>
      <c r="D121" s="505"/>
      <c r="E121" s="866"/>
      <c r="F121" s="498"/>
      <c r="G121" s="499"/>
      <c r="H121" s="492"/>
      <c r="I121" s="855">
        <f>IFERROR(IFERROR(INDEX('Fixture and LED Schedule'!D:D,MATCH(F121,'Fixture and LED Schedule'!C:C,""),1),F121),"")</f>
        <v>0</v>
      </c>
      <c r="J121" s="855" t="str">
        <f>IFERROR(IF(PRJ_Type="New Construction",H121,INDEX(yControl_Code,MATCH(Inventory!H121,yControlTypes,0),1)),"")</f>
        <v/>
      </c>
      <c r="K121" s="493"/>
      <c r="L121" s="501"/>
      <c r="M121" s="502"/>
      <c r="N121" s="855">
        <f>IFERROR(IFERROR(INDEX('Fixture and LED Schedule'!D:D,MATCH(K121,'Fixture and LED Schedule'!C:C,0),1),K121),"")</f>
        <v>0</v>
      </c>
      <c r="O121" s="858" t="str">
        <f>IFERROR(INDEX(yControl_Code,MATCH(Inventory!M121,yControlTypes,0),1),"")</f>
        <v/>
      </c>
      <c r="P121" s="857" t="str">
        <f>'Lighting Inventory (Ref only)'!AG124</f>
        <v/>
      </c>
      <c r="Q121" s="856" t="str">
        <f>'Lighting Inventory (Ref only)'!AF124</f>
        <v/>
      </c>
      <c r="R121" s="856" t="str">
        <f t="shared" si="2"/>
        <v/>
      </c>
      <c r="S121" s="856" t="str">
        <f>IFERROR(ROUND(R121*'Project Info and Summary'!$J$5/'Project Info and Summary'!$L$5,2),"")</f>
        <v/>
      </c>
    </row>
    <row r="122" spans="1:19" s="102" customFormat="1" ht="30" customHeight="1">
      <c r="A122" s="948"/>
      <c r="B122" s="496">
        <f t="shared" si="3"/>
        <v>113</v>
      </c>
      <c r="C122" s="864"/>
      <c r="D122" s="505"/>
      <c r="E122" s="866"/>
      <c r="F122" s="498"/>
      <c r="G122" s="499"/>
      <c r="H122" s="492"/>
      <c r="I122" s="855">
        <f>IFERROR(IFERROR(INDEX('Fixture and LED Schedule'!D:D,MATCH(F122,'Fixture and LED Schedule'!C:C,""),1),F122),"")</f>
        <v>0</v>
      </c>
      <c r="J122" s="855" t="str">
        <f>IFERROR(IF(PRJ_Type="New Construction",H122,INDEX(yControl_Code,MATCH(Inventory!H122,yControlTypes,0),1)),"")</f>
        <v/>
      </c>
      <c r="K122" s="493"/>
      <c r="L122" s="501"/>
      <c r="M122" s="502"/>
      <c r="N122" s="855">
        <f>IFERROR(IFERROR(INDEX('Fixture and LED Schedule'!D:D,MATCH(K122,'Fixture and LED Schedule'!C:C,0),1),K122),"")</f>
        <v>0</v>
      </c>
      <c r="O122" s="858" t="str">
        <f>IFERROR(INDEX(yControl_Code,MATCH(Inventory!M122,yControlTypes,0),1),"")</f>
        <v/>
      </c>
      <c r="P122" s="857" t="str">
        <f>'Lighting Inventory (Ref only)'!AG125</f>
        <v/>
      </c>
      <c r="Q122" s="856" t="str">
        <f>'Lighting Inventory (Ref only)'!AF125</f>
        <v/>
      </c>
      <c r="R122" s="856" t="str">
        <f t="shared" si="2"/>
        <v/>
      </c>
      <c r="S122" s="856" t="str">
        <f>IFERROR(ROUND(R122*'Project Info and Summary'!$J$5/'Project Info and Summary'!$L$5,2),"")</f>
        <v/>
      </c>
    </row>
    <row r="123" spans="1:19" s="102" customFormat="1" ht="30" customHeight="1">
      <c r="A123" s="948"/>
      <c r="B123" s="496">
        <f t="shared" si="3"/>
        <v>114</v>
      </c>
      <c r="C123" s="864"/>
      <c r="D123" s="505"/>
      <c r="E123" s="866"/>
      <c r="F123" s="498"/>
      <c r="G123" s="499"/>
      <c r="H123" s="492"/>
      <c r="I123" s="855">
        <f>IFERROR(IFERROR(INDEX('Fixture and LED Schedule'!D:D,MATCH(F123,'Fixture and LED Schedule'!C:C,""),1),F123),"")</f>
        <v>0</v>
      </c>
      <c r="J123" s="855" t="str">
        <f>IFERROR(IF(PRJ_Type="New Construction",H123,INDEX(yControl_Code,MATCH(Inventory!H123,yControlTypes,0),1)),"")</f>
        <v/>
      </c>
      <c r="K123" s="493"/>
      <c r="L123" s="501"/>
      <c r="M123" s="502"/>
      <c r="N123" s="855">
        <f>IFERROR(IFERROR(INDEX('Fixture and LED Schedule'!D:D,MATCH(K123,'Fixture and LED Schedule'!C:C,0),1),K123),"")</f>
        <v>0</v>
      </c>
      <c r="O123" s="858" t="str">
        <f>IFERROR(INDEX(yControl_Code,MATCH(Inventory!M123,yControlTypes,0),1),"")</f>
        <v/>
      </c>
      <c r="P123" s="857" t="str">
        <f>'Lighting Inventory (Ref only)'!AG126</f>
        <v/>
      </c>
      <c r="Q123" s="856" t="str">
        <f>'Lighting Inventory (Ref only)'!AF126</f>
        <v/>
      </c>
      <c r="R123" s="856" t="str">
        <f t="shared" si="2"/>
        <v/>
      </c>
      <c r="S123" s="856" t="str">
        <f>IFERROR(ROUND(R123*'Project Info and Summary'!$J$5/'Project Info and Summary'!$L$5,2),"")</f>
        <v/>
      </c>
    </row>
    <row r="124" spans="1:19" s="102" customFormat="1" ht="30" customHeight="1">
      <c r="A124" s="948"/>
      <c r="B124" s="496">
        <f t="shared" si="3"/>
        <v>115</v>
      </c>
      <c r="C124" s="864"/>
      <c r="D124" s="505"/>
      <c r="E124" s="866"/>
      <c r="F124" s="498"/>
      <c r="G124" s="499"/>
      <c r="H124" s="492"/>
      <c r="I124" s="855">
        <f>IFERROR(IFERROR(INDEX('Fixture and LED Schedule'!D:D,MATCH(F124,'Fixture and LED Schedule'!C:C,""),1),F124),"")</f>
        <v>0</v>
      </c>
      <c r="J124" s="855" t="str">
        <f>IFERROR(IF(PRJ_Type="New Construction",H124,INDEX(yControl_Code,MATCH(Inventory!H124,yControlTypes,0),1)),"")</f>
        <v/>
      </c>
      <c r="K124" s="493"/>
      <c r="L124" s="501"/>
      <c r="M124" s="502"/>
      <c r="N124" s="855">
        <f>IFERROR(IFERROR(INDEX('Fixture and LED Schedule'!D:D,MATCH(K124,'Fixture and LED Schedule'!C:C,0),1),K124),"")</f>
        <v>0</v>
      </c>
      <c r="O124" s="858" t="str">
        <f>IFERROR(INDEX(yControl_Code,MATCH(Inventory!M124,yControlTypes,0),1),"")</f>
        <v/>
      </c>
      <c r="P124" s="857" t="str">
        <f>'Lighting Inventory (Ref only)'!AG127</f>
        <v/>
      </c>
      <c r="Q124" s="856" t="str">
        <f>'Lighting Inventory (Ref only)'!AF127</f>
        <v/>
      </c>
      <c r="R124" s="856" t="str">
        <f t="shared" si="2"/>
        <v/>
      </c>
      <c r="S124" s="856" t="str">
        <f>IFERROR(ROUND(R124*'Project Info and Summary'!$J$5/'Project Info and Summary'!$L$5,2),"")</f>
        <v/>
      </c>
    </row>
    <row r="125" spans="1:19" s="102" customFormat="1" ht="30" customHeight="1">
      <c r="A125" s="948"/>
      <c r="B125" s="496">
        <f t="shared" si="3"/>
        <v>116</v>
      </c>
      <c r="C125" s="864"/>
      <c r="D125" s="505"/>
      <c r="E125" s="866"/>
      <c r="F125" s="498"/>
      <c r="G125" s="499"/>
      <c r="H125" s="492"/>
      <c r="I125" s="855">
        <f>IFERROR(IFERROR(INDEX('Fixture and LED Schedule'!D:D,MATCH(F125,'Fixture and LED Schedule'!C:C,""),1),F125),"")</f>
        <v>0</v>
      </c>
      <c r="J125" s="855" t="str">
        <f>IFERROR(IF(PRJ_Type="New Construction",H125,INDEX(yControl_Code,MATCH(Inventory!H125,yControlTypes,0),1)),"")</f>
        <v/>
      </c>
      <c r="K125" s="493"/>
      <c r="L125" s="501"/>
      <c r="M125" s="502"/>
      <c r="N125" s="855">
        <f>IFERROR(IFERROR(INDEX('Fixture and LED Schedule'!D:D,MATCH(K125,'Fixture and LED Schedule'!C:C,0),1),K125),"")</f>
        <v>0</v>
      </c>
      <c r="O125" s="858" t="str">
        <f>IFERROR(INDEX(yControl_Code,MATCH(Inventory!M125,yControlTypes,0),1),"")</f>
        <v/>
      </c>
      <c r="P125" s="857" t="str">
        <f>'Lighting Inventory (Ref only)'!AG128</f>
        <v/>
      </c>
      <c r="Q125" s="856" t="str">
        <f>'Lighting Inventory (Ref only)'!AF128</f>
        <v/>
      </c>
      <c r="R125" s="856" t="str">
        <f t="shared" si="2"/>
        <v/>
      </c>
      <c r="S125" s="856" t="str">
        <f>IFERROR(ROUND(R125*'Project Info and Summary'!$J$5/'Project Info and Summary'!$L$5,2),"")</f>
        <v/>
      </c>
    </row>
    <row r="126" spans="1:19" s="102" customFormat="1" ht="30" customHeight="1">
      <c r="A126" s="948"/>
      <c r="B126" s="496">
        <f t="shared" si="3"/>
        <v>117</v>
      </c>
      <c r="C126" s="864"/>
      <c r="D126" s="505"/>
      <c r="E126" s="866"/>
      <c r="F126" s="498"/>
      <c r="G126" s="499"/>
      <c r="H126" s="492"/>
      <c r="I126" s="855">
        <f>IFERROR(IFERROR(INDEX('Fixture and LED Schedule'!D:D,MATCH(F126,'Fixture and LED Schedule'!C:C,""),1),F126),"")</f>
        <v>0</v>
      </c>
      <c r="J126" s="855" t="str">
        <f>IFERROR(IF(PRJ_Type="New Construction",H126,INDEX(yControl_Code,MATCH(Inventory!H126,yControlTypes,0),1)),"")</f>
        <v/>
      </c>
      <c r="K126" s="493"/>
      <c r="L126" s="501"/>
      <c r="M126" s="502"/>
      <c r="N126" s="855">
        <f>IFERROR(IFERROR(INDEX('Fixture and LED Schedule'!D:D,MATCH(K126,'Fixture and LED Schedule'!C:C,0),1),K126),"")</f>
        <v>0</v>
      </c>
      <c r="O126" s="858" t="str">
        <f>IFERROR(INDEX(yControl_Code,MATCH(Inventory!M126,yControlTypes,0),1),"")</f>
        <v/>
      </c>
      <c r="P126" s="857" t="str">
        <f>'Lighting Inventory (Ref only)'!AG129</f>
        <v/>
      </c>
      <c r="Q126" s="856" t="str">
        <f>'Lighting Inventory (Ref only)'!AF129</f>
        <v/>
      </c>
      <c r="R126" s="856" t="str">
        <f t="shared" si="2"/>
        <v/>
      </c>
      <c r="S126" s="856" t="str">
        <f>IFERROR(ROUND(R126*'Project Info and Summary'!$J$5/'Project Info and Summary'!$L$5,2),"")</f>
        <v/>
      </c>
    </row>
    <row r="127" spans="1:19" s="102" customFormat="1" ht="30" customHeight="1">
      <c r="A127" s="948"/>
      <c r="B127" s="496">
        <f t="shared" si="3"/>
        <v>118</v>
      </c>
      <c r="C127" s="864"/>
      <c r="D127" s="505"/>
      <c r="E127" s="866"/>
      <c r="F127" s="498"/>
      <c r="G127" s="499"/>
      <c r="H127" s="492"/>
      <c r="I127" s="855">
        <f>IFERROR(IFERROR(INDEX('Fixture and LED Schedule'!D:D,MATCH(F127,'Fixture and LED Schedule'!C:C,""),1),F127),"")</f>
        <v>0</v>
      </c>
      <c r="J127" s="855" t="str">
        <f>IFERROR(IF(PRJ_Type="New Construction",H127,INDEX(yControl_Code,MATCH(Inventory!H127,yControlTypes,0),1)),"")</f>
        <v/>
      </c>
      <c r="K127" s="493"/>
      <c r="L127" s="501"/>
      <c r="M127" s="502"/>
      <c r="N127" s="855">
        <f>IFERROR(IFERROR(INDEX('Fixture and LED Schedule'!D:D,MATCH(K127,'Fixture and LED Schedule'!C:C,0),1),K127),"")</f>
        <v>0</v>
      </c>
      <c r="O127" s="858" t="str">
        <f>IFERROR(INDEX(yControl_Code,MATCH(Inventory!M127,yControlTypes,0),1),"")</f>
        <v/>
      </c>
      <c r="P127" s="857" t="str">
        <f>'Lighting Inventory (Ref only)'!AG130</f>
        <v/>
      </c>
      <c r="Q127" s="856" t="str">
        <f>'Lighting Inventory (Ref only)'!AF130</f>
        <v/>
      </c>
      <c r="R127" s="856" t="str">
        <f t="shared" si="2"/>
        <v/>
      </c>
      <c r="S127" s="856" t="str">
        <f>IFERROR(ROUND(R127*'Project Info and Summary'!$J$5/'Project Info and Summary'!$L$5,2),"")</f>
        <v/>
      </c>
    </row>
    <row r="128" spans="1:19" s="102" customFormat="1" ht="30" customHeight="1">
      <c r="A128" s="948"/>
      <c r="B128" s="496">
        <f t="shared" si="3"/>
        <v>119</v>
      </c>
      <c r="C128" s="864"/>
      <c r="D128" s="505"/>
      <c r="E128" s="866"/>
      <c r="F128" s="498"/>
      <c r="G128" s="499"/>
      <c r="H128" s="492"/>
      <c r="I128" s="855">
        <f>IFERROR(IFERROR(INDEX('Fixture and LED Schedule'!D:D,MATCH(F128,'Fixture and LED Schedule'!C:C,""),1),F128),"")</f>
        <v>0</v>
      </c>
      <c r="J128" s="855" t="str">
        <f>IFERROR(IF(PRJ_Type="New Construction",H128,INDEX(yControl_Code,MATCH(Inventory!H128,yControlTypes,0),1)),"")</f>
        <v/>
      </c>
      <c r="K128" s="493"/>
      <c r="L128" s="501"/>
      <c r="M128" s="502"/>
      <c r="N128" s="855">
        <f>IFERROR(IFERROR(INDEX('Fixture and LED Schedule'!D:D,MATCH(K128,'Fixture and LED Schedule'!C:C,0),1),K128),"")</f>
        <v>0</v>
      </c>
      <c r="O128" s="858" t="str">
        <f>IFERROR(INDEX(yControl_Code,MATCH(Inventory!M128,yControlTypes,0),1),"")</f>
        <v/>
      </c>
      <c r="P128" s="857" t="str">
        <f>'Lighting Inventory (Ref only)'!AG131</f>
        <v/>
      </c>
      <c r="Q128" s="856" t="str">
        <f>'Lighting Inventory (Ref only)'!AF131</f>
        <v/>
      </c>
      <c r="R128" s="856" t="str">
        <f t="shared" si="2"/>
        <v/>
      </c>
      <c r="S128" s="856" t="str">
        <f>IFERROR(ROUND(R128*'Project Info and Summary'!$J$5/'Project Info and Summary'!$L$5,2),"")</f>
        <v/>
      </c>
    </row>
    <row r="129" spans="1:19" s="102" customFormat="1" ht="30" customHeight="1">
      <c r="A129" s="948"/>
      <c r="B129" s="496">
        <f t="shared" si="3"/>
        <v>120</v>
      </c>
      <c r="C129" s="864"/>
      <c r="D129" s="505"/>
      <c r="E129" s="866"/>
      <c r="F129" s="498"/>
      <c r="G129" s="499"/>
      <c r="H129" s="492"/>
      <c r="I129" s="855">
        <f>IFERROR(IFERROR(INDEX('Fixture and LED Schedule'!D:D,MATCH(F129,'Fixture and LED Schedule'!C:C,""),1),F129),"")</f>
        <v>0</v>
      </c>
      <c r="J129" s="855" t="str">
        <f>IFERROR(IF(PRJ_Type="New Construction",H129,INDEX(yControl_Code,MATCH(Inventory!H129,yControlTypes,0),1)),"")</f>
        <v/>
      </c>
      <c r="K129" s="493"/>
      <c r="L129" s="501"/>
      <c r="M129" s="502"/>
      <c r="N129" s="855">
        <f>IFERROR(IFERROR(INDEX('Fixture and LED Schedule'!D:D,MATCH(K129,'Fixture and LED Schedule'!C:C,0),1),K129),"")</f>
        <v>0</v>
      </c>
      <c r="O129" s="858" t="str">
        <f>IFERROR(INDEX(yControl_Code,MATCH(Inventory!M129,yControlTypes,0),1),"")</f>
        <v/>
      </c>
      <c r="P129" s="857" t="str">
        <f>'Lighting Inventory (Ref only)'!AG132</f>
        <v/>
      </c>
      <c r="Q129" s="856" t="str">
        <f>'Lighting Inventory (Ref only)'!AF132</f>
        <v/>
      </c>
      <c r="R129" s="856" t="str">
        <f t="shared" si="2"/>
        <v/>
      </c>
      <c r="S129" s="856" t="str">
        <f>IFERROR(ROUND(R129*'Project Info and Summary'!$J$5/'Project Info and Summary'!$L$5,2),"")</f>
        <v/>
      </c>
    </row>
    <row r="130" spans="1:19" s="102" customFormat="1" ht="30" customHeight="1">
      <c r="A130" s="948"/>
      <c r="B130" s="496">
        <f t="shared" si="3"/>
        <v>121</v>
      </c>
      <c r="C130" s="864"/>
      <c r="D130" s="505"/>
      <c r="E130" s="866"/>
      <c r="F130" s="498"/>
      <c r="G130" s="499"/>
      <c r="H130" s="492"/>
      <c r="I130" s="855">
        <f>IFERROR(IFERROR(INDEX('Fixture and LED Schedule'!D:D,MATCH(F130,'Fixture and LED Schedule'!C:C,""),1),F130),"")</f>
        <v>0</v>
      </c>
      <c r="J130" s="855" t="str">
        <f>IFERROR(IF(PRJ_Type="New Construction",H130,INDEX(yControl_Code,MATCH(Inventory!H130,yControlTypes,0),1)),"")</f>
        <v/>
      </c>
      <c r="K130" s="493"/>
      <c r="L130" s="501"/>
      <c r="M130" s="502"/>
      <c r="N130" s="855">
        <f>IFERROR(IFERROR(INDEX('Fixture and LED Schedule'!D:D,MATCH(K130,'Fixture and LED Schedule'!C:C,0),1),K130),"")</f>
        <v>0</v>
      </c>
      <c r="O130" s="858" t="str">
        <f>IFERROR(INDEX(yControl_Code,MATCH(Inventory!M130,yControlTypes,0),1),"")</f>
        <v/>
      </c>
      <c r="P130" s="857" t="str">
        <f>'Lighting Inventory (Ref only)'!AG133</f>
        <v/>
      </c>
      <c r="Q130" s="856" t="str">
        <f>'Lighting Inventory (Ref only)'!AF133</f>
        <v/>
      </c>
      <c r="R130" s="856" t="str">
        <f t="shared" si="2"/>
        <v/>
      </c>
      <c r="S130" s="856" t="str">
        <f>IFERROR(ROUND(R130*'Project Info and Summary'!$J$5/'Project Info and Summary'!$L$5,2),"")</f>
        <v/>
      </c>
    </row>
    <row r="131" spans="1:19" s="102" customFormat="1" ht="30" customHeight="1">
      <c r="A131" s="948"/>
      <c r="B131" s="496">
        <f t="shared" si="3"/>
        <v>122</v>
      </c>
      <c r="C131" s="864"/>
      <c r="D131" s="505"/>
      <c r="E131" s="866"/>
      <c r="F131" s="498"/>
      <c r="G131" s="499"/>
      <c r="H131" s="492"/>
      <c r="I131" s="855">
        <f>IFERROR(IFERROR(INDEX('Fixture and LED Schedule'!D:D,MATCH(F131,'Fixture and LED Schedule'!C:C,""),1),F131),"")</f>
        <v>0</v>
      </c>
      <c r="J131" s="855" t="str">
        <f>IFERROR(IF(PRJ_Type="New Construction",H131,INDEX(yControl_Code,MATCH(Inventory!H131,yControlTypes,0),1)),"")</f>
        <v/>
      </c>
      <c r="K131" s="493"/>
      <c r="L131" s="501"/>
      <c r="M131" s="502"/>
      <c r="N131" s="855">
        <f>IFERROR(IFERROR(INDEX('Fixture and LED Schedule'!D:D,MATCH(K131,'Fixture and LED Schedule'!C:C,0),1),K131),"")</f>
        <v>0</v>
      </c>
      <c r="O131" s="858" t="str">
        <f>IFERROR(INDEX(yControl_Code,MATCH(Inventory!M131,yControlTypes,0),1),"")</f>
        <v/>
      </c>
      <c r="P131" s="857" t="str">
        <f>'Lighting Inventory (Ref only)'!AG134</f>
        <v/>
      </c>
      <c r="Q131" s="856" t="str">
        <f>'Lighting Inventory (Ref only)'!AF134</f>
        <v/>
      </c>
      <c r="R131" s="856" t="str">
        <f t="shared" si="2"/>
        <v/>
      </c>
      <c r="S131" s="856" t="str">
        <f>IFERROR(ROUND(R131*'Project Info and Summary'!$J$5/'Project Info and Summary'!$L$5,2),"")</f>
        <v/>
      </c>
    </row>
    <row r="132" spans="1:19" s="102" customFormat="1" ht="30" customHeight="1">
      <c r="A132" s="948"/>
      <c r="B132" s="496">
        <f t="shared" si="3"/>
        <v>123</v>
      </c>
      <c r="C132" s="864"/>
      <c r="D132" s="505"/>
      <c r="E132" s="866"/>
      <c r="F132" s="498"/>
      <c r="G132" s="499"/>
      <c r="H132" s="492"/>
      <c r="I132" s="855">
        <f>IFERROR(IFERROR(INDEX('Fixture and LED Schedule'!D:D,MATCH(F132,'Fixture and LED Schedule'!C:C,""),1),F132),"")</f>
        <v>0</v>
      </c>
      <c r="J132" s="855" t="str">
        <f>IFERROR(IF(PRJ_Type="New Construction",H132,INDEX(yControl_Code,MATCH(Inventory!H132,yControlTypes,0),1)),"")</f>
        <v/>
      </c>
      <c r="K132" s="493"/>
      <c r="L132" s="501"/>
      <c r="M132" s="502"/>
      <c r="N132" s="855">
        <f>IFERROR(IFERROR(INDEX('Fixture and LED Schedule'!D:D,MATCH(K132,'Fixture and LED Schedule'!C:C,0),1),K132),"")</f>
        <v>0</v>
      </c>
      <c r="O132" s="858" t="str">
        <f>IFERROR(INDEX(yControl_Code,MATCH(Inventory!M132,yControlTypes,0),1),"")</f>
        <v/>
      </c>
      <c r="P132" s="857" t="str">
        <f>'Lighting Inventory (Ref only)'!AG135</f>
        <v/>
      </c>
      <c r="Q132" s="856" t="str">
        <f>'Lighting Inventory (Ref only)'!AF135</f>
        <v/>
      </c>
      <c r="R132" s="856" t="str">
        <f t="shared" si="2"/>
        <v/>
      </c>
      <c r="S132" s="856" t="str">
        <f>IFERROR(ROUND(R132*'Project Info and Summary'!$J$5/'Project Info and Summary'!$L$5,2),"")</f>
        <v/>
      </c>
    </row>
    <row r="133" spans="1:19" s="102" customFormat="1" ht="30" customHeight="1">
      <c r="A133" s="948"/>
      <c r="B133" s="496">
        <f t="shared" si="3"/>
        <v>124</v>
      </c>
      <c r="C133" s="864"/>
      <c r="D133" s="505"/>
      <c r="E133" s="866"/>
      <c r="F133" s="498"/>
      <c r="G133" s="499"/>
      <c r="H133" s="492"/>
      <c r="I133" s="855">
        <f>IFERROR(IFERROR(INDEX('Fixture and LED Schedule'!D:D,MATCH(F133,'Fixture and LED Schedule'!C:C,""),1),F133),"")</f>
        <v>0</v>
      </c>
      <c r="J133" s="855" t="str">
        <f>IFERROR(IF(PRJ_Type="New Construction",H133,INDEX(yControl_Code,MATCH(Inventory!H133,yControlTypes,0),1)),"")</f>
        <v/>
      </c>
      <c r="K133" s="493"/>
      <c r="L133" s="501"/>
      <c r="M133" s="502"/>
      <c r="N133" s="855">
        <f>IFERROR(IFERROR(INDEX('Fixture and LED Schedule'!D:D,MATCH(K133,'Fixture and LED Schedule'!C:C,0),1),K133),"")</f>
        <v>0</v>
      </c>
      <c r="O133" s="858" t="str">
        <f>IFERROR(INDEX(yControl_Code,MATCH(Inventory!M133,yControlTypes,0),1),"")</f>
        <v/>
      </c>
      <c r="P133" s="857" t="str">
        <f>'Lighting Inventory (Ref only)'!AG136</f>
        <v/>
      </c>
      <c r="Q133" s="856" t="str">
        <f>'Lighting Inventory (Ref only)'!AF136</f>
        <v/>
      </c>
      <c r="R133" s="856" t="str">
        <f t="shared" si="2"/>
        <v/>
      </c>
      <c r="S133" s="856" t="str">
        <f>IFERROR(ROUND(R133*'Project Info and Summary'!$J$5/'Project Info and Summary'!$L$5,2),"")</f>
        <v/>
      </c>
    </row>
    <row r="134" spans="1:19" s="102" customFormat="1" ht="30" customHeight="1">
      <c r="A134" s="948"/>
      <c r="B134" s="496">
        <f t="shared" si="3"/>
        <v>125</v>
      </c>
      <c r="C134" s="864"/>
      <c r="D134" s="505"/>
      <c r="E134" s="866"/>
      <c r="F134" s="498"/>
      <c r="G134" s="499"/>
      <c r="H134" s="492"/>
      <c r="I134" s="855">
        <f>IFERROR(IFERROR(INDEX('Fixture and LED Schedule'!D:D,MATCH(F134,'Fixture and LED Schedule'!C:C,""),1),F134),"")</f>
        <v>0</v>
      </c>
      <c r="J134" s="855" t="str">
        <f>IFERROR(IF(PRJ_Type="New Construction",H134,INDEX(yControl_Code,MATCH(Inventory!H134,yControlTypes,0),1)),"")</f>
        <v/>
      </c>
      <c r="K134" s="493"/>
      <c r="L134" s="501"/>
      <c r="M134" s="502"/>
      <c r="N134" s="855">
        <f>IFERROR(IFERROR(INDEX('Fixture and LED Schedule'!D:D,MATCH(K134,'Fixture and LED Schedule'!C:C,0),1),K134),"")</f>
        <v>0</v>
      </c>
      <c r="O134" s="858" t="str">
        <f>IFERROR(INDEX(yControl_Code,MATCH(Inventory!M134,yControlTypes,0),1),"")</f>
        <v/>
      </c>
      <c r="P134" s="857" t="str">
        <f>'Lighting Inventory (Ref only)'!AG137</f>
        <v/>
      </c>
      <c r="Q134" s="856" t="str">
        <f>'Lighting Inventory (Ref only)'!AF137</f>
        <v/>
      </c>
      <c r="R134" s="856" t="str">
        <f t="shared" si="2"/>
        <v/>
      </c>
      <c r="S134" s="856" t="str">
        <f>IFERROR(ROUND(R134*'Project Info and Summary'!$J$5/'Project Info and Summary'!$L$5,2),"")</f>
        <v/>
      </c>
    </row>
    <row r="135" spans="1:19" s="102" customFormat="1" ht="30" customHeight="1">
      <c r="A135" s="948"/>
      <c r="B135" s="496">
        <f t="shared" si="3"/>
        <v>126</v>
      </c>
      <c r="C135" s="864"/>
      <c r="D135" s="505"/>
      <c r="E135" s="866"/>
      <c r="F135" s="498"/>
      <c r="G135" s="499"/>
      <c r="H135" s="492"/>
      <c r="I135" s="855">
        <f>IFERROR(IFERROR(INDEX('Fixture and LED Schedule'!D:D,MATCH(F135,'Fixture and LED Schedule'!C:C,""),1),F135),"")</f>
        <v>0</v>
      </c>
      <c r="J135" s="855" t="str">
        <f>IFERROR(IF(PRJ_Type="New Construction",H135,INDEX(yControl_Code,MATCH(Inventory!H135,yControlTypes,0),1)),"")</f>
        <v/>
      </c>
      <c r="K135" s="493"/>
      <c r="L135" s="501"/>
      <c r="M135" s="502"/>
      <c r="N135" s="855">
        <f>IFERROR(IFERROR(INDEX('Fixture and LED Schedule'!D:D,MATCH(K135,'Fixture and LED Schedule'!C:C,0),1),K135),"")</f>
        <v>0</v>
      </c>
      <c r="O135" s="858" t="str">
        <f>IFERROR(INDEX(yControl_Code,MATCH(Inventory!M135,yControlTypes,0),1),"")</f>
        <v/>
      </c>
      <c r="P135" s="857" t="str">
        <f>'Lighting Inventory (Ref only)'!AG138</f>
        <v/>
      </c>
      <c r="Q135" s="856" t="str">
        <f>'Lighting Inventory (Ref only)'!AF138</f>
        <v/>
      </c>
      <c r="R135" s="856" t="str">
        <f t="shared" si="2"/>
        <v/>
      </c>
      <c r="S135" s="856" t="str">
        <f>IFERROR(ROUND(R135*'Project Info and Summary'!$J$5/'Project Info and Summary'!$L$5,2),"")</f>
        <v/>
      </c>
    </row>
    <row r="136" spans="1:19" s="102" customFormat="1" ht="30" customHeight="1">
      <c r="A136" s="948"/>
      <c r="B136" s="496">
        <f t="shared" si="3"/>
        <v>127</v>
      </c>
      <c r="C136" s="864"/>
      <c r="D136" s="505"/>
      <c r="E136" s="866"/>
      <c r="F136" s="498"/>
      <c r="G136" s="499"/>
      <c r="H136" s="492"/>
      <c r="I136" s="855">
        <f>IFERROR(IFERROR(INDEX('Fixture and LED Schedule'!D:D,MATCH(F136,'Fixture and LED Schedule'!C:C,""),1),F136),"")</f>
        <v>0</v>
      </c>
      <c r="J136" s="855" t="str">
        <f>IFERROR(IF(PRJ_Type="New Construction",H136,INDEX(yControl_Code,MATCH(Inventory!H136,yControlTypes,0),1)),"")</f>
        <v/>
      </c>
      <c r="K136" s="493"/>
      <c r="L136" s="501"/>
      <c r="M136" s="502"/>
      <c r="N136" s="855">
        <f>IFERROR(IFERROR(INDEX('Fixture and LED Schedule'!D:D,MATCH(K136,'Fixture and LED Schedule'!C:C,0),1),K136),"")</f>
        <v>0</v>
      </c>
      <c r="O136" s="858" t="str">
        <f>IFERROR(INDEX(yControl_Code,MATCH(Inventory!M136,yControlTypes,0),1),"")</f>
        <v/>
      </c>
      <c r="P136" s="857" t="str">
        <f>'Lighting Inventory (Ref only)'!AG139</f>
        <v/>
      </c>
      <c r="Q136" s="856" t="str">
        <f>'Lighting Inventory (Ref only)'!AF139</f>
        <v/>
      </c>
      <c r="R136" s="856" t="str">
        <f t="shared" si="2"/>
        <v/>
      </c>
      <c r="S136" s="856" t="str">
        <f>IFERROR(ROUND(R136*'Project Info and Summary'!$J$5/'Project Info and Summary'!$L$5,2),"")</f>
        <v/>
      </c>
    </row>
    <row r="137" spans="1:19" s="102" customFormat="1" ht="30" customHeight="1">
      <c r="A137" s="948"/>
      <c r="B137" s="496">
        <f t="shared" si="3"/>
        <v>128</v>
      </c>
      <c r="C137" s="864"/>
      <c r="D137" s="505"/>
      <c r="E137" s="866"/>
      <c r="F137" s="498"/>
      <c r="G137" s="499"/>
      <c r="H137" s="492"/>
      <c r="I137" s="855">
        <f>IFERROR(IFERROR(INDEX('Fixture and LED Schedule'!D:D,MATCH(F137,'Fixture and LED Schedule'!C:C,""),1),F137),"")</f>
        <v>0</v>
      </c>
      <c r="J137" s="855" t="str">
        <f>IFERROR(IF(PRJ_Type="New Construction",H137,INDEX(yControl_Code,MATCH(Inventory!H137,yControlTypes,0),1)),"")</f>
        <v/>
      </c>
      <c r="K137" s="493"/>
      <c r="L137" s="501"/>
      <c r="M137" s="502"/>
      <c r="N137" s="855">
        <f>IFERROR(IFERROR(INDEX('Fixture and LED Schedule'!D:D,MATCH(K137,'Fixture and LED Schedule'!C:C,0),1),K137),"")</f>
        <v>0</v>
      </c>
      <c r="O137" s="858" t="str">
        <f>IFERROR(INDEX(yControl_Code,MATCH(Inventory!M137,yControlTypes,0),1),"")</f>
        <v/>
      </c>
      <c r="P137" s="857" t="str">
        <f>'Lighting Inventory (Ref only)'!AG140</f>
        <v/>
      </c>
      <c r="Q137" s="856" t="str">
        <f>'Lighting Inventory (Ref only)'!AF140</f>
        <v/>
      </c>
      <c r="R137" s="856" t="str">
        <f t="shared" si="2"/>
        <v/>
      </c>
      <c r="S137" s="856" t="str">
        <f>IFERROR(ROUND(R137*'Project Info and Summary'!$J$5/'Project Info and Summary'!$L$5,2),"")</f>
        <v/>
      </c>
    </row>
    <row r="138" spans="1:19" s="102" customFormat="1" ht="30" customHeight="1">
      <c r="A138" s="948"/>
      <c r="B138" s="496">
        <f t="shared" si="3"/>
        <v>129</v>
      </c>
      <c r="C138" s="864"/>
      <c r="D138" s="505"/>
      <c r="E138" s="866"/>
      <c r="F138" s="498"/>
      <c r="G138" s="499"/>
      <c r="H138" s="492"/>
      <c r="I138" s="855">
        <f>IFERROR(IFERROR(INDEX('Fixture and LED Schedule'!D:D,MATCH(F138,'Fixture and LED Schedule'!C:C,""),1),F138),"")</f>
        <v>0</v>
      </c>
      <c r="J138" s="855" t="str">
        <f>IFERROR(IF(PRJ_Type="New Construction",H138,INDEX(yControl_Code,MATCH(Inventory!H138,yControlTypes,0),1)),"")</f>
        <v/>
      </c>
      <c r="K138" s="493"/>
      <c r="L138" s="501"/>
      <c r="M138" s="502"/>
      <c r="N138" s="855">
        <f>IFERROR(IFERROR(INDEX('Fixture and LED Schedule'!D:D,MATCH(K138,'Fixture and LED Schedule'!C:C,0),1),K138),"")</f>
        <v>0</v>
      </c>
      <c r="O138" s="858" t="str">
        <f>IFERROR(INDEX(yControl_Code,MATCH(Inventory!M138,yControlTypes,0),1),"")</f>
        <v/>
      </c>
      <c r="P138" s="857" t="str">
        <f>'Lighting Inventory (Ref only)'!AG141</f>
        <v/>
      </c>
      <c r="Q138" s="856" t="str">
        <f>'Lighting Inventory (Ref only)'!AF141</f>
        <v/>
      </c>
      <c r="R138" s="856" t="str">
        <f t="shared" si="2"/>
        <v/>
      </c>
      <c r="S138" s="856" t="str">
        <f>IFERROR(ROUND(R138*'Project Info and Summary'!$J$5/'Project Info and Summary'!$L$5,2),"")</f>
        <v/>
      </c>
    </row>
    <row r="139" spans="1:19" s="102" customFormat="1" ht="30" customHeight="1">
      <c r="A139" s="948"/>
      <c r="B139" s="496">
        <f t="shared" si="3"/>
        <v>130</v>
      </c>
      <c r="C139" s="864"/>
      <c r="D139" s="505"/>
      <c r="E139" s="866"/>
      <c r="F139" s="498"/>
      <c r="G139" s="499"/>
      <c r="H139" s="492"/>
      <c r="I139" s="855">
        <f>IFERROR(IFERROR(INDEX('Fixture and LED Schedule'!D:D,MATCH(F139,'Fixture and LED Schedule'!C:C,""),1),F139),"")</f>
        <v>0</v>
      </c>
      <c r="J139" s="855" t="str">
        <f>IFERROR(IF(PRJ_Type="New Construction",H139,INDEX(yControl_Code,MATCH(Inventory!H139,yControlTypes,0),1)),"")</f>
        <v/>
      </c>
      <c r="K139" s="493"/>
      <c r="L139" s="501"/>
      <c r="M139" s="502"/>
      <c r="N139" s="855">
        <f>IFERROR(IFERROR(INDEX('Fixture and LED Schedule'!D:D,MATCH(K139,'Fixture and LED Schedule'!C:C,0),1),K139),"")</f>
        <v>0</v>
      </c>
      <c r="O139" s="858" t="str">
        <f>IFERROR(INDEX(yControl_Code,MATCH(Inventory!M139,yControlTypes,0),1),"")</f>
        <v/>
      </c>
      <c r="P139" s="857" t="str">
        <f>'Lighting Inventory (Ref only)'!AG142</f>
        <v/>
      </c>
      <c r="Q139" s="856" t="str">
        <f>'Lighting Inventory (Ref only)'!AF142</f>
        <v/>
      </c>
      <c r="R139" s="856" t="str">
        <f t="shared" ref="R139:R202" si="4">IFERROR(P139*0.02+Q139*185,"")</f>
        <v/>
      </c>
      <c r="S139" s="856" t="str">
        <f>IFERROR(ROUND(R139*'Project Info and Summary'!$J$5/'Project Info and Summary'!$L$5,2),"")</f>
        <v/>
      </c>
    </row>
    <row r="140" spans="1:19" s="102" customFormat="1" ht="30" customHeight="1">
      <c r="A140" s="948"/>
      <c r="B140" s="496">
        <f t="shared" ref="B140:B203" si="5">B139+1</f>
        <v>131</v>
      </c>
      <c r="C140" s="864"/>
      <c r="D140" s="505"/>
      <c r="E140" s="866"/>
      <c r="F140" s="498"/>
      <c r="G140" s="499"/>
      <c r="H140" s="492"/>
      <c r="I140" s="855">
        <f>IFERROR(IFERROR(INDEX('Fixture and LED Schedule'!D:D,MATCH(F140,'Fixture and LED Schedule'!C:C,""),1),F140),"")</f>
        <v>0</v>
      </c>
      <c r="J140" s="855" t="str">
        <f>IFERROR(IF(PRJ_Type="New Construction",H140,INDEX(yControl_Code,MATCH(Inventory!H140,yControlTypes,0),1)),"")</f>
        <v/>
      </c>
      <c r="K140" s="493"/>
      <c r="L140" s="501"/>
      <c r="M140" s="502"/>
      <c r="N140" s="855">
        <f>IFERROR(IFERROR(INDEX('Fixture and LED Schedule'!D:D,MATCH(K140,'Fixture and LED Schedule'!C:C,0),1),K140),"")</f>
        <v>0</v>
      </c>
      <c r="O140" s="858" t="str">
        <f>IFERROR(INDEX(yControl_Code,MATCH(Inventory!M140,yControlTypes,0),1),"")</f>
        <v/>
      </c>
      <c r="P140" s="857" t="str">
        <f>'Lighting Inventory (Ref only)'!AG143</f>
        <v/>
      </c>
      <c r="Q140" s="856" t="str">
        <f>'Lighting Inventory (Ref only)'!AF143</f>
        <v/>
      </c>
      <c r="R140" s="856" t="str">
        <f t="shared" si="4"/>
        <v/>
      </c>
      <c r="S140" s="856" t="str">
        <f>IFERROR(ROUND(R140*'Project Info and Summary'!$J$5/'Project Info and Summary'!$L$5,2),"")</f>
        <v/>
      </c>
    </row>
    <row r="141" spans="1:19" s="102" customFormat="1" ht="30" customHeight="1">
      <c r="A141" s="948"/>
      <c r="B141" s="496">
        <f t="shared" si="5"/>
        <v>132</v>
      </c>
      <c r="C141" s="864"/>
      <c r="D141" s="505"/>
      <c r="E141" s="866"/>
      <c r="F141" s="498"/>
      <c r="G141" s="499"/>
      <c r="H141" s="492"/>
      <c r="I141" s="855">
        <f>IFERROR(IFERROR(INDEX('Fixture and LED Schedule'!D:D,MATCH(F141,'Fixture and LED Schedule'!C:C,""),1),F141),"")</f>
        <v>0</v>
      </c>
      <c r="J141" s="855" t="str">
        <f>IFERROR(IF(PRJ_Type="New Construction",H141,INDEX(yControl_Code,MATCH(Inventory!H141,yControlTypes,0),1)),"")</f>
        <v/>
      </c>
      <c r="K141" s="493"/>
      <c r="L141" s="501"/>
      <c r="M141" s="502"/>
      <c r="N141" s="855">
        <f>IFERROR(IFERROR(INDEX('Fixture and LED Schedule'!D:D,MATCH(K141,'Fixture and LED Schedule'!C:C,0),1),K141),"")</f>
        <v>0</v>
      </c>
      <c r="O141" s="858" t="str">
        <f>IFERROR(INDEX(yControl_Code,MATCH(Inventory!M141,yControlTypes,0),1),"")</f>
        <v/>
      </c>
      <c r="P141" s="857" t="str">
        <f>'Lighting Inventory (Ref only)'!AG144</f>
        <v/>
      </c>
      <c r="Q141" s="856" t="str">
        <f>'Lighting Inventory (Ref only)'!AF144</f>
        <v/>
      </c>
      <c r="R141" s="856" t="str">
        <f t="shared" si="4"/>
        <v/>
      </c>
      <c r="S141" s="856" t="str">
        <f>IFERROR(ROUND(R141*'Project Info and Summary'!$J$5/'Project Info and Summary'!$L$5,2),"")</f>
        <v/>
      </c>
    </row>
    <row r="142" spans="1:19" s="102" customFormat="1" ht="30" customHeight="1">
      <c r="A142" s="948"/>
      <c r="B142" s="496">
        <f t="shared" si="5"/>
        <v>133</v>
      </c>
      <c r="C142" s="864"/>
      <c r="D142" s="505"/>
      <c r="E142" s="866"/>
      <c r="F142" s="498"/>
      <c r="G142" s="499"/>
      <c r="H142" s="492"/>
      <c r="I142" s="855">
        <f>IFERROR(IFERROR(INDEX('Fixture and LED Schedule'!D:D,MATCH(F142,'Fixture and LED Schedule'!C:C,""),1),F142),"")</f>
        <v>0</v>
      </c>
      <c r="J142" s="855" t="str">
        <f>IFERROR(IF(PRJ_Type="New Construction",H142,INDEX(yControl_Code,MATCH(Inventory!H142,yControlTypes,0),1)),"")</f>
        <v/>
      </c>
      <c r="K142" s="493"/>
      <c r="L142" s="501"/>
      <c r="M142" s="502"/>
      <c r="N142" s="855">
        <f>IFERROR(IFERROR(INDEX('Fixture and LED Schedule'!D:D,MATCH(K142,'Fixture and LED Schedule'!C:C,0),1),K142),"")</f>
        <v>0</v>
      </c>
      <c r="O142" s="858" t="str">
        <f>IFERROR(INDEX(yControl_Code,MATCH(Inventory!M142,yControlTypes,0),1),"")</f>
        <v/>
      </c>
      <c r="P142" s="857" t="str">
        <f>'Lighting Inventory (Ref only)'!AG145</f>
        <v/>
      </c>
      <c r="Q142" s="856" t="str">
        <f>'Lighting Inventory (Ref only)'!AF145</f>
        <v/>
      </c>
      <c r="R142" s="856" t="str">
        <f t="shared" si="4"/>
        <v/>
      </c>
      <c r="S142" s="856" t="str">
        <f>IFERROR(ROUND(R142*'Project Info and Summary'!$J$5/'Project Info and Summary'!$L$5,2),"")</f>
        <v/>
      </c>
    </row>
    <row r="143" spans="1:19" s="102" customFormat="1" ht="30" customHeight="1">
      <c r="A143" s="948"/>
      <c r="B143" s="496">
        <f t="shared" si="5"/>
        <v>134</v>
      </c>
      <c r="C143" s="864"/>
      <c r="D143" s="505"/>
      <c r="E143" s="866"/>
      <c r="F143" s="498"/>
      <c r="G143" s="499"/>
      <c r="H143" s="492"/>
      <c r="I143" s="855">
        <f>IFERROR(IFERROR(INDEX('Fixture and LED Schedule'!D:D,MATCH(F143,'Fixture and LED Schedule'!C:C,""),1),F143),"")</f>
        <v>0</v>
      </c>
      <c r="J143" s="855" t="str">
        <f>IFERROR(IF(PRJ_Type="New Construction",H143,INDEX(yControl_Code,MATCH(Inventory!H143,yControlTypes,0),1)),"")</f>
        <v/>
      </c>
      <c r="K143" s="493"/>
      <c r="L143" s="501"/>
      <c r="M143" s="502"/>
      <c r="N143" s="855">
        <f>IFERROR(IFERROR(INDEX('Fixture and LED Schedule'!D:D,MATCH(K143,'Fixture and LED Schedule'!C:C,0),1),K143),"")</f>
        <v>0</v>
      </c>
      <c r="O143" s="858" t="str">
        <f>IFERROR(INDEX(yControl_Code,MATCH(Inventory!M143,yControlTypes,0),1),"")</f>
        <v/>
      </c>
      <c r="P143" s="857" t="str">
        <f>'Lighting Inventory (Ref only)'!AG146</f>
        <v/>
      </c>
      <c r="Q143" s="856" t="str">
        <f>'Lighting Inventory (Ref only)'!AF146</f>
        <v/>
      </c>
      <c r="R143" s="856" t="str">
        <f t="shared" si="4"/>
        <v/>
      </c>
      <c r="S143" s="856" t="str">
        <f>IFERROR(ROUND(R143*'Project Info and Summary'!$J$5/'Project Info and Summary'!$L$5,2),"")</f>
        <v/>
      </c>
    </row>
    <row r="144" spans="1:19" s="102" customFormat="1" ht="30" customHeight="1">
      <c r="A144" s="948"/>
      <c r="B144" s="496">
        <f t="shared" si="5"/>
        <v>135</v>
      </c>
      <c r="C144" s="864"/>
      <c r="D144" s="505"/>
      <c r="E144" s="866"/>
      <c r="F144" s="498"/>
      <c r="G144" s="499"/>
      <c r="H144" s="492"/>
      <c r="I144" s="855">
        <f>IFERROR(IFERROR(INDEX('Fixture and LED Schedule'!D:D,MATCH(F144,'Fixture and LED Schedule'!C:C,""),1),F144),"")</f>
        <v>0</v>
      </c>
      <c r="J144" s="855" t="str">
        <f>IFERROR(IF(PRJ_Type="New Construction",H144,INDEX(yControl_Code,MATCH(Inventory!H144,yControlTypes,0),1)),"")</f>
        <v/>
      </c>
      <c r="K144" s="493"/>
      <c r="L144" s="501"/>
      <c r="M144" s="502"/>
      <c r="N144" s="855">
        <f>IFERROR(IFERROR(INDEX('Fixture and LED Schedule'!D:D,MATCH(K144,'Fixture and LED Schedule'!C:C,0),1),K144),"")</f>
        <v>0</v>
      </c>
      <c r="O144" s="858" t="str">
        <f>IFERROR(INDEX(yControl_Code,MATCH(Inventory!M144,yControlTypes,0),1),"")</f>
        <v/>
      </c>
      <c r="P144" s="857" t="str">
        <f>'Lighting Inventory (Ref only)'!AG147</f>
        <v/>
      </c>
      <c r="Q144" s="856" t="str">
        <f>'Lighting Inventory (Ref only)'!AF147</f>
        <v/>
      </c>
      <c r="R144" s="856" t="str">
        <f t="shared" si="4"/>
        <v/>
      </c>
      <c r="S144" s="856" t="str">
        <f>IFERROR(ROUND(R144*'Project Info and Summary'!$J$5/'Project Info and Summary'!$L$5,2),"")</f>
        <v/>
      </c>
    </row>
    <row r="145" spans="1:19" s="102" customFormat="1" ht="30" customHeight="1">
      <c r="A145" s="948"/>
      <c r="B145" s="496">
        <f t="shared" si="5"/>
        <v>136</v>
      </c>
      <c r="C145" s="864"/>
      <c r="D145" s="505"/>
      <c r="E145" s="866"/>
      <c r="F145" s="498"/>
      <c r="G145" s="499"/>
      <c r="H145" s="492"/>
      <c r="I145" s="855">
        <f>IFERROR(IFERROR(INDEX('Fixture and LED Schedule'!D:D,MATCH(F145,'Fixture and LED Schedule'!C:C,""),1),F145),"")</f>
        <v>0</v>
      </c>
      <c r="J145" s="855" t="str">
        <f>IFERROR(IF(PRJ_Type="New Construction",H145,INDEX(yControl_Code,MATCH(Inventory!H145,yControlTypes,0),1)),"")</f>
        <v/>
      </c>
      <c r="K145" s="493"/>
      <c r="L145" s="501"/>
      <c r="M145" s="502"/>
      <c r="N145" s="855">
        <f>IFERROR(IFERROR(INDEX('Fixture and LED Schedule'!D:D,MATCH(K145,'Fixture and LED Schedule'!C:C,0),1),K145),"")</f>
        <v>0</v>
      </c>
      <c r="O145" s="858" t="str">
        <f>IFERROR(INDEX(yControl_Code,MATCH(Inventory!M145,yControlTypes,0),1),"")</f>
        <v/>
      </c>
      <c r="P145" s="857" t="str">
        <f>'Lighting Inventory (Ref only)'!AG148</f>
        <v/>
      </c>
      <c r="Q145" s="856" t="str">
        <f>'Lighting Inventory (Ref only)'!AF148</f>
        <v/>
      </c>
      <c r="R145" s="856" t="str">
        <f t="shared" si="4"/>
        <v/>
      </c>
      <c r="S145" s="856" t="str">
        <f>IFERROR(ROUND(R145*'Project Info and Summary'!$J$5/'Project Info and Summary'!$L$5,2),"")</f>
        <v/>
      </c>
    </row>
    <row r="146" spans="1:19" s="102" customFormat="1" ht="30" customHeight="1">
      <c r="A146" s="948"/>
      <c r="B146" s="496">
        <f t="shared" si="5"/>
        <v>137</v>
      </c>
      <c r="C146" s="864"/>
      <c r="D146" s="505"/>
      <c r="E146" s="866"/>
      <c r="F146" s="498"/>
      <c r="G146" s="499"/>
      <c r="H146" s="492"/>
      <c r="I146" s="855">
        <f>IFERROR(IFERROR(INDEX('Fixture and LED Schedule'!D:D,MATCH(F146,'Fixture and LED Schedule'!C:C,""),1),F146),"")</f>
        <v>0</v>
      </c>
      <c r="J146" s="855" t="str">
        <f>IFERROR(IF(PRJ_Type="New Construction",H146,INDEX(yControl_Code,MATCH(Inventory!H146,yControlTypes,0),1)),"")</f>
        <v/>
      </c>
      <c r="K146" s="493"/>
      <c r="L146" s="501"/>
      <c r="M146" s="502"/>
      <c r="N146" s="855">
        <f>IFERROR(IFERROR(INDEX('Fixture and LED Schedule'!D:D,MATCH(K146,'Fixture and LED Schedule'!C:C,0),1),K146),"")</f>
        <v>0</v>
      </c>
      <c r="O146" s="858" t="str">
        <f>IFERROR(INDEX(yControl_Code,MATCH(Inventory!M146,yControlTypes,0),1),"")</f>
        <v/>
      </c>
      <c r="P146" s="857" t="str">
        <f>'Lighting Inventory (Ref only)'!AG149</f>
        <v/>
      </c>
      <c r="Q146" s="856" t="str">
        <f>'Lighting Inventory (Ref only)'!AF149</f>
        <v/>
      </c>
      <c r="R146" s="856" t="str">
        <f t="shared" si="4"/>
        <v/>
      </c>
      <c r="S146" s="856" t="str">
        <f>IFERROR(ROUND(R146*'Project Info and Summary'!$J$5/'Project Info and Summary'!$L$5,2),"")</f>
        <v/>
      </c>
    </row>
    <row r="147" spans="1:19" s="102" customFormat="1" ht="30" customHeight="1">
      <c r="A147" s="948"/>
      <c r="B147" s="496">
        <f t="shared" si="5"/>
        <v>138</v>
      </c>
      <c r="C147" s="864"/>
      <c r="D147" s="505"/>
      <c r="E147" s="866"/>
      <c r="F147" s="498"/>
      <c r="G147" s="499"/>
      <c r="H147" s="492"/>
      <c r="I147" s="855">
        <f>IFERROR(IFERROR(INDEX('Fixture and LED Schedule'!D:D,MATCH(F147,'Fixture and LED Schedule'!C:C,""),1),F147),"")</f>
        <v>0</v>
      </c>
      <c r="J147" s="855" t="str">
        <f>IFERROR(IF(PRJ_Type="New Construction",H147,INDEX(yControl_Code,MATCH(Inventory!H147,yControlTypes,0),1)),"")</f>
        <v/>
      </c>
      <c r="K147" s="493"/>
      <c r="L147" s="501"/>
      <c r="M147" s="502"/>
      <c r="N147" s="855">
        <f>IFERROR(IFERROR(INDEX('Fixture and LED Schedule'!D:D,MATCH(K147,'Fixture and LED Schedule'!C:C,0),1),K147),"")</f>
        <v>0</v>
      </c>
      <c r="O147" s="858" t="str">
        <f>IFERROR(INDEX(yControl_Code,MATCH(Inventory!M147,yControlTypes,0),1),"")</f>
        <v/>
      </c>
      <c r="P147" s="857" t="str">
        <f>'Lighting Inventory (Ref only)'!AG150</f>
        <v/>
      </c>
      <c r="Q147" s="856" t="str">
        <f>'Lighting Inventory (Ref only)'!AF150</f>
        <v/>
      </c>
      <c r="R147" s="856" t="str">
        <f t="shared" si="4"/>
        <v/>
      </c>
      <c r="S147" s="856" t="str">
        <f>IFERROR(ROUND(R147*'Project Info and Summary'!$J$5/'Project Info and Summary'!$L$5,2),"")</f>
        <v/>
      </c>
    </row>
    <row r="148" spans="1:19" s="102" customFormat="1" ht="30" customHeight="1">
      <c r="A148" s="948"/>
      <c r="B148" s="496">
        <f t="shared" si="5"/>
        <v>139</v>
      </c>
      <c r="C148" s="864"/>
      <c r="D148" s="505"/>
      <c r="E148" s="866"/>
      <c r="F148" s="498"/>
      <c r="G148" s="499"/>
      <c r="H148" s="492"/>
      <c r="I148" s="855">
        <f>IFERROR(IFERROR(INDEX('Fixture and LED Schedule'!D:D,MATCH(F148,'Fixture and LED Schedule'!C:C,""),1),F148),"")</f>
        <v>0</v>
      </c>
      <c r="J148" s="855" t="str">
        <f>IFERROR(IF(PRJ_Type="New Construction",H148,INDEX(yControl_Code,MATCH(Inventory!H148,yControlTypes,0),1)),"")</f>
        <v/>
      </c>
      <c r="K148" s="493"/>
      <c r="L148" s="501"/>
      <c r="M148" s="502"/>
      <c r="N148" s="855">
        <f>IFERROR(IFERROR(INDEX('Fixture and LED Schedule'!D:D,MATCH(K148,'Fixture and LED Schedule'!C:C,0),1),K148),"")</f>
        <v>0</v>
      </c>
      <c r="O148" s="858" t="str">
        <f>IFERROR(INDEX(yControl_Code,MATCH(Inventory!M148,yControlTypes,0),1),"")</f>
        <v/>
      </c>
      <c r="P148" s="857" t="str">
        <f>'Lighting Inventory (Ref only)'!AG151</f>
        <v/>
      </c>
      <c r="Q148" s="856" t="str">
        <f>'Lighting Inventory (Ref only)'!AF151</f>
        <v/>
      </c>
      <c r="R148" s="856" t="str">
        <f t="shared" si="4"/>
        <v/>
      </c>
      <c r="S148" s="856" t="str">
        <f>IFERROR(ROUND(R148*'Project Info and Summary'!$J$5/'Project Info and Summary'!$L$5,2),"")</f>
        <v/>
      </c>
    </row>
    <row r="149" spans="1:19" s="102" customFormat="1" ht="30" customHeight="1">
      <c r="A149" s="948"/>
      <c r="B149" s="496">
        <f t="shared" si="5"/>
        <v>140</v>
      </c>
      <c r="C149" s="864"/>
      <c r="D149" s="505"/>
      <c r="E149" s="866"/>
      <c r="F149" s="498"/>
      <c r="G149" s="499"/>
      <c r="H149" s="492"/>
      <c r="I149" s="855">
        <f>IFERROR(IFERROR(INDEX('Fixture and LED Schedule'!D:D,MATCH(F149,'Fixture and LED Schedule'!C:C,""),1),F149),"")</f>
        <v>0</v>
      </c>
      <c r="J149" s="855" t="str">
        <f>IFERROR(IF(PRJ_Type="New Construction",H149,INDEX(yControl_Code,MATCH(Inventory!H149,yControlTypes,0),1)),"")</f>
        <v/>
      </c>
      <c r="K149" s="493"/>
      <c r="L149" s="501"/>
      <c r="M149" s="502"/>
      <c r="N149" s="855">
        <f>IFERROR(IFERROR(INDEX('Fixture and LED Schedule'!D:D,MATCH(K149,'Fixture and LED Schedule'!C:C,0),1),K149),"")</f>
        <v>0</v>
      </c>
      <c r="O149" s="858" t="str">
        <f>IFERROR(INDEX(yControl_Code,MATCH(Inventory!M149,yControlTypes,0),1),"")</f>
        <v/>
      </c>
      <c r="P149" s="857" t="str">
        <f>'Lighting Inventory (Ref only)'!AG152</f>
        <v/>
      </c>
      <c r="Q149" s="856" t="str">
        <f>'Lighting Inventory (Ref only)'!AF152</f>
        <v/>
      </c>
      <c r="R149" s="856" t="str">
        <f t="shared" si="4"/>
        <v/>
      </c>
      <c r="S149" s="856" t="str">
        <f>IFERROR(ROUND(R149*'Project Info and Summary'!$J$5/'Project Info and Summary'!$L$5,2),"")</f>
        <v/>
      </c>
    </row>
    <row r="150" spans="1:19" s="102" customFormat="1" ht="30" customHeight="1">
      <c r="A150" s="948"/>
      <c r="B150" s="496">
        <f t="shared" si="5"/>
        <v>141</v>
      </c>
      <c r="C150" s="864"/>
      <c r="D150" s="505"/>
      <c r="E150" s="866"/>
      <c r="F150" s="498"/>
      <c r="G150" s="499"/>
      <c r="H150" s="492"/>
      <c r="I150" s="855">
        <f>IFERROR(IFERROR(INDEX('Fixture and LED Schedule'!D:D,MATCH(F150,'Fixture and LED Schedule'!C:C,""),1),F150),"")</f>
        <v>0</v>
      </c>
      <c r="J150" s="855" t="str">
        <f>IFERROR(IF(PRJ_Type="New Construction",H150,INDEX(yControl_Code,MATCH(Inventory!H150,yControlTypes,0),1)),"")</f>
        <v/>
      </c>
      <c r="K150" s="493"/>
      <c r="L150" s="501"/>
      <c r="M150" s="502"/>
      <c r="N150" s="855">
        <f>IFERROR(IFERROR(INDEX('Fixture and LED Schedule'!D:D,MATCH(K150,'Fixture and LED Schedule'!C:C,0),1),K150),"")</f>
        <v>0</v>
      </c>
      <c r="O150" s="858" t="str">
        <f>IFERROR(INDEX(yControl_Code,MATCH(Inventory!M150,yControlTypes,0),1),"")</f>
        <v/>
      </c>
      <c r="P150" s="857" t="str">
        <f>'Lighting Inventory (Ref only)'!AG153</f>
        <v/>
      </c>
      <c r="Q150" s="856" t="str">
        <f>'Lighting Inventory (Ref only)'!AF153</f>
        <v/>
      </c>
      <c r="R150" s="856" t="str">
        <f t="shared" si="4"/>
        <v/>
      </c>
      <c r="S150" s="856" t="str">
        <f>IFERROR(ROUND(R150*'Project Info and Summary'!$J$5/'Project Info and Summary'!$L$5,2),"")</f>
        <v/>
      </c>
    </row>
    <row r="151" spans="1:19" s="102" customFormat="1" ht="30" customHeight="1">
      <c r="A151" s="948"/>
      <c r="B151" s="496">
        <f t="shared" si="5"/>
        <v>142</v>
      </c>
      <c r="C151" s="864"/>
      <c r="D151" s="505"/>
      <c r="E151" s="866"/>
      <c r="F151" s="498"/>
      <c r="G151" s="499"/>
      <c r="H151" s="492"/>
      <c r="I151" s="855">
        <f>IFERROR(IFERROR(INDEX('Fixture and LED Schedule'!D:D,MATCH(F151,'Fixture and LED Schedule'!C:C,""),1),F151),"")</f>
        <v>0</v>
      </c>
      <c r="J151" s="855" t="str">
        <f>IFERROR(IF(PRJ_Type="New Construction",H151,INDEX(yControl_Code,MATCH(Inventory!H151,yControlTypes,0),1)),"")</f>
        <v/>
      </c>
      <c r="K151" s="493"/>
      <c r="L151" s="501"/>
      <c r="M151" s="502"/>
      <c r="N151" s="855">
        <f>IFERROR(IFERROR(INDEX('Fixture and LED Schedule'!D:D,MATCH(K151,'Fixture and LED Schedule'!C:C,0),1),K151),"")</f>
        <v>0</v>
      </c>
      <c r="O151" s="858" t="str">
        <f>IFERROR(INDEX(yControl_Code,MATCH(Inventory!M151,yControlTypes,0),1),"")</f>
        <v/>
      </c>
      <c r="P151" s="857" t="str">
        <f>'Lighting Inventory (Ref only)'!AG154</f>
        <v/>
      </c>
      <c r="Q151" s="856" t="str">
        <f>'Lighting Inventory (Ref only)'!AF154</f>
        <v/>
      </c>
      <c r="R151" s="856" t="str">
        <f t="shared" si="4"/>
        <v/>
      </c>
      <c r="S151" s="856" t="str">
        <f>IFERROR(ROUND(R151*'Project Info and Summary'!$J$5/'Project Info and Summary'!$L$5,2),"")</f>
        <v/>
      </c>
    </row>
    <row r="152" spans="1:19" s="102" customFormat="1" ht="30" customHeight="1">
      <c r="A152" s="948"/>
      <c r="B152" s="496">
        <f t="shared" si="5"/>
        <v>143</v>
      </c>
      <c r="C152" s="864"/>
      <c r="D152" s="505"/>
      <c r="E152" s="866"/>
      <c r="F152" s="498"/>
      <c r="G152" s="499"/>
      <c r="H152" s="492"/>
      <c r="I152" s="855">
        <f>IFERROR(IFERROR(INDEX('Fixture and LED Schedule'!D:D,MATCH(F152,'Fixture and LED Schedule'!C:C,""),1),F152),"")</f>
        <v>0</v>
      </c>
      <c r="J152" s="855" t="str">
        <f>IFERROR(IF(PRJ_Type="New Construction",H152,INDEX(yControl_Code,MATCH(Inventory!H152,yControlTypes,0),1)),"")</f>
        <v/>
      </c>
      <c r="K152" s="493"/>
      <c r="L152" s="501"/>
      <c r="M152" s="502"/>
      <c r="N152" s="855">
        <f>IFERROR(IFERROR(INDEX('Fixture and LED Schedule'!D:D,MATCH(K152,'Fixture and LED Schedule'!C:C,0),1),K152),"")</f>
        <v>0</v>
      </c>
      <c r="O152" s="858" t="str">
        <f>IFERROR(INDEX(yControl_Code,MATCH(Inventory!M152,yControlTypes,0),1),"")</f>
        <v/>
      </c>
      <c r="P152" s="857" t="str">
        <f>'Lighting Inventory (Ref only)'!AG155</f>
        <v/>
      </c>
      <c r="Q152" s="856" t="str">
        <f>'Lighting Inventory (Ref only)'!AF155</f>
        <v/>
      </c>
      <c r="R152" s="856" t="str">
        <f t="shared" si="4"/>
        <v/>
      </c>
      <c r="S152" s="856" t="str">
        <f>IFERROR(ROUND(R152*'Project Info and Summary'!$J$5/'Project Info and Summary'!$L$5,2),"")</f>
        <v/>
      </c>
    </row>
    <row r="153" spans="1:19" s="102" customFormat="1" ht="30" customHeight="1">
      <c r="A153" s="948"/>
      <c r="B153" s="496">
        <f t="shared" si="5"/>
        <v>144</v>
      </c>
      <c r="C153" s="864"/>
      <c r="D153" s="505"/>
      <c r="E153" s="866"/>
      <c r="F153" s="498"/>
      <c r="G153" s="499"/>
      <c r="H153" s="492"/>
      <c r="I153" s="855">
        <f>IFERROR(IFERROR(INDEX('Fixture and LED Schedule'!D:D,MATCH(F153,'Fixture and LED Schedule'!C:C,""),1),F153),"")</f>
        <v>0</v>
      </c>
      <c r="J153" s="855" t="str">
        <f>IFERROR(IF(PRJ_Type="New Construction",H153,INDEX(yControl_Code,MATCH(Inventory!H153,yControlTypes,0),1)),"")</f>
        <v/>
      </c>
      <c r="K153" s="493"/>
      <c r="L153" s="501"/>
      <c r="M153" s="502"/>
      <c r="N153" s="855">
        <f>IFERROR(IFERROR(INDEX('Fixture and LED Schedule'!D:D,MATCH(K153,'Fixture and LED Schedule'!C:C,0),1),K153),"")</f>
        <v>0</v>
      </c>
      <c r="O153" s="858" t="str">
        <f>IFERROR(INDEX(yControl_Code,MATCH(Inventory!M153,yControlTypes,0),1),"")</f>
        <v/>
      </c>
      <c r="P153" s="857" t="str">
        <f>'Lighting Inventory (Ref only)'!AG156</f>
        <v/>
      </c>
      <c r="Q153" s="856" t="str">
        <f>'Lighting Inventory (Ref only)'!AF156</f>
        <v/>
      </c>
      <c r="R153" s="856" t="str">
        <f t="shared" si="4"/>
        <v/>
      </c>
      <c r="S153" s="856" t="str">
        <f>IFERROR(ROUND(R153*'Project Info and Summary'!$J$5/'Project Info and Summary'!$L$5,2),"")</f>
        <v/>
      </c>
    </row>
    <row r="154" spans="1:19" s="102" customFormat="1" ht="30" customHeight="1">
      <c r="A154" s="948"/>
      <c r="B154" s="496">
        <f t="shared" si="5"/>
        <v>145</v>
      </c>
      <c r="C154" s="864"/>
      <c r="D154" s="505"/>
      <c r="E154" s="866"/>
      <c r="F154" s="498"/>
      <c r="G154" s="499"/>
      <c r="H154" s="492"/>
      <c r="I154" s="855">
        <f>IFERROR(IFERROR(INDEX('Fixture and LED Schedule'!D:D,MATCH(F154,'Fixture and LED Schedule'!C:C,""),1),F154),"")</f>
        <v>0</v>
      </c>
      <c r="J154" s="855" t="str">
        <f>IFERROR(IF(PRJ_Type="New Construction",H154,INDEX(yControl_Code,MATCH(Inventory!H154,yControlTypes,0),1)),"")</f>
        <v/>
      </c>
      <c r="K154" s="493"/>
      <c r="L154" s="501"/>
      <c r="M154" s="502"/>
      <c r="N154" s="855">
        <f>IFERROR(IFERROR(INDEX('Fixture and LED Schedule'!D:D,MATCH(K154,'Fixture and LED Schedule'!C:C,0),1),K154),"")</f>
        <v>0</v>
      </c>
      <c r="O154" s="858" t="str">
        <f>IFERROR(INDEX(yControl_Code,MATCH(Inventory!M154,yControlTypes,0),1),"")</f>
        <v/>
      </c>
      <c r="P154" s="857" t="str">
        <f>'Lighting Inventory (Ref only)'!AG157</f>
        <v/>
      </c>
      <c r="Q154" s="856" t="str">
        <f>'Lighting Inventory (Ref only)'!AF157</f>
        <v/>
      </c>
      <c r="R154" s="856" t="str">
        <f t="shared" si="4"/>
        <v/>
      </c>
      <c r="S154" s="856" t="str">
        <f>IFERROR(ROUND(R154*'Project Info and Summary'!$J$5/'Project Info and Summary'!$L$5,2),"")</f>
        <v/>
      </c>
    </row>
    <row r="155" spans="1:19" s="102" customFormat="1" ht="30" customHeight="1">
      <c r="A155" s="948"/>
      <c r="B155" s="496">
        <f t="shared" si="5"/>
        <v>146</v>
      </c>
      <c r="C155" s="864"/>
      <c r="D155" s="505"/>
      <c r="E155" s="866"/>
      <c r="F155" s="498"/>
      <c r="G155" s="499"/>
      <c r="H155" s="492"/>
      <c r="I155" s="855">
        <f>IFERROR(IFERROR(INDEX('Fixture and LED Schedule'!D:D,MATCH(F155,'Fixture and LED Schedule'!C:C,""),1),F155),"")</f>
        <v>0</v>
      </c>
      <c r="J155" s="855" t="str">
        <f>IFERROR(IF(PRJ_Type="New Construction",H155,INDEX(yControl_Code,MATCH(Inventory!H155,yControlTypes,0),1)),"")</f>
        <v/>
      </c>
      <c r="K155" s="493"/>
      <c r="L155" s="501"/>
      <c r="M155" s="502"/>
      <c r="N155" s="855">
        <f>IFERROR(IFERROR(INDEX('Fixture and LED Schedule'!D:D,MATCH(K155,'Fixture and LED Schedule'!C:C,0),1),K155),"")</f>
        <v>0</v>
      </c>
      <c r="O155" s="858" t="str">
        <f>IFERROR(INDEX(yControl_Code,MATCH(Inventory!M155,yControlTypes,0),1),"")</f>
        <v/>
      </c>
      <c r="P155" s="857" t="str">
        <f>'Lighting Inventory (Ref only)'!AG158</f>
        <v/>
      </c>
      <c r="Q155" s="856" t="str">
        <f>'Lighting Inventory (Ref only)'!AF158</f>
        <v/>
      </c>
      <c r="R155" s="856" t="str">
        <f t="shared" si="4"/>
        <v/>
      </c>
      <c r="S155" s="856" t="str">
        <f>IFERROR(ROUND(R155*'Project Info and Summary'!$J$5/'Project Info and Summary'!$L$5,2),"")</f>
        <v/>
      </c>
    </row>
    <row r="156" spans="1:19" s="102" customFormat="1" ht="30" customHeight="1">
      <c r="A156" s="948"/>
      <c r="B156" s="496">
        <f t="shared" si="5"/>
        <v>147</v>
      </c>
      <c r="C156" s="864"/>
      <c r="D156" s="505"/>
      <c r="E156" s="866"/>
      <c r="F156" s="498"/>
      <c r="G156" s="499"/>
      <c r="H156" s="492"/>
      <c r="I156" s="855">
        <f>IFERROR(IFERROR(INDEX('Fixture and LED Schedule'!D:D,MATCH(F156,'Fixture and LED Schedule'!C:C,""),1),F156),"")</f>
        <v>0</v>
      </c>
      <c r="J156" s="855" t="str">
        <f>IFERROR(IF(PRJ_Type="New Construction",H156,INDEX(yControl_Code,MATCH(Inventory!H156,yControlTypes,0),1)),"")</f>
        <v/>
      </c>
      <c r="K156" s="493"/>
      <c r="L156" s="501"/>
      <c r="M156" s="502"/>
      <c r="N156" s="855">
        <f>IFERROR(IFERROR(INDEX('Fixture and LED Schedule'!D:D,MATCH(K156,'Fixture and LED Schedule'!C:C,0),1),K156),"")</f>
        <v>0</v>
      </c>
      <c r="O156" s="858" t="str">
        <f>IFERROR(INDEX(yControl_Code,MATCH(Inventory!M156,yControlTypes,0),1),"")</f>
        <v/>
      </c>
      <c r="P156" s="857" t="str">
        <f>'Lighting Inventory (Ref only)'!AG159</f>
        <v/>
      </c>
      <c r="Q156" s="856" t="str">
        <f>'Lighting Inventory (Ref only)'!AF159</f>
        <v/>
      </c>
      <c r="R156" s="856" t="str">
        <f t="shared" si="4"/>
        <v/>
      </c>
      <c r="S156" s="856" t="str">
        <f>IFERROR(ROUND(R156*'Project Info and Summary'!$J$5/'Project Info and Summary'!$L$5,2),"")</f>
        <v/>
      </c>
    </row>
    <row r="157" spans="1:19" s="102" customFormat="1" ht="30" customHeight="1">
      <c r="A157" s="948"/>
      <c r="B157" s="496">
        <f t="shared" si="5"/>
        <v>148</v>
      </c>
      <c r="C157" s="864"/>
      <c r="D157" s="505"/>
      <c r="E157" s="866"/>
      <c r="F157" s="498"/>
      <c r="G157" s="499"/>
      <c r="H157" s="492"/>
      <c r="I157" s="855">
        <f>IFERROR(IFERROR(INDEX('Fixture and LED Schedule'!D:D,MATCH(F157,'Fixture and LED Schedule'!C:C,""),1),F157),"")</f>
        <v>0</v>
      </c>
      <c r="J157" s="855" t="str">
        <f>IFERROR(IF(PRJ_Type="New Construction",H157,INDEX(yControl_Code,MATCH(Inventory!H157,yControlTypes,0),1)),"")</f>
        <v/>
      </c>
      <c r="K157" s="493"/>
      <c r="L157" s="501"/>
      <c r="M157" s="502"/>
      <c r="N157" s="855">
        <f>IFERROR(IFERROR(INDEX('Fixture and LED Schedule'!D:D,MATCH(K157,'Fixture and LED Schedule'!C:C,0),1),K157),"")</f>
        <v>0</v>
      </c>
      <c r="O157" s="858" t="str">
        <f>IFERROR(INDEX(yControl_Code,MATCH(Inventory!M157,yControlTypes,0),1),"")</f>
        <v/>
      </c>
      <c r="P157" s="857" t="str">
        <f>'Lighting Inventory (Ref only)'!AG160</f>
        <v/>
      </c>
      <c r="Q157" s="856" t="str">
        <f>'Lighting Inventory (Ref only)'!AF160</f>
        <v/>
      </c>
      <c r="R157" s="856" t="str">
        <f t="shared" si="4"/>
        <v/>
      </c>
      <c r="S157" s="856" t="str">
        <f>IFERROR(ROUND(R157*'Project Info and Summary'!$J$5/'Project Info and Summary'!$L$5,2),"")</f>
        <v/>
      </c>
    </row>
    <row r="158" spans="1:19" s="102" customFormat="1" ht="30" customHeight="1">
      <c r="A158" s="948"/>
      <c r="B158" s="496">
        <f t="shared" si="5"/>
        <v>149</v>
      </c>
      <c r="C158" s="864"/>
      <c r="D158" s="505"/>
      <c r="E158" s="866"/>
      <c r="F158" s="498"/>
      <c r="G158" s="499"/>
      <c r="H158" s="492"/>
      <c r="I158" s="855">
        <f>IFERROR(IFERROR(INDEX('Fixture and LED Schedule'!D:D,MATCH(F158,'Fixture and LED Schedule'!C:C,""),1),F158),"")</f>
        <v>0</v>
      </c>
      <c r="J158" s="855" t="str">
        <f>IFERROR(IF(PRJ_Type="New Construction",H158,INDEX(yControl_Code,MATCH(Inventory!H158,yControlTypes,0),1)),"")</f>
        <v/>
      </c>
      <c r="K158" s="493"/>
      <c r="L158" s="501"/>
      <c r="M158" s="502"/>
      <c r="N158" s="855">
        <f>IFERROR(IFERROR(INDEX('Fixture and LED Schedule'!D:D,MATCH(K158,'Fixture and LED Schedule'!C:C,0),1),K158),"")</f>
        <v>0</v>
      </c>
      <c r="O158" s="858" t="str">
        <f>IFERROR(INDEX(yControl_Code,MATCH(Inventory!M158,yControlTypes,0),1),"")</f>
        <v/>
      </c>
      <c r="P158" s="857" t="str">
        <f>'Lighting Inventory (Ref only)'!AG161</f>
        <v/>
      </c>
      <c r="Q158" s="856" t="str">
        <f>'Lighting Inventory (Ref only)'!AF161</f>
        <v/>
      </c>
      <c r="R158" s="856" t="str">
        <f t="shared" si="4"/>
        <v/>
      </c>
      <c r="S158" s="856" t="str">
        <f>IFERROR(ROUND(R158*'Project Info and Summary'!$J$5/'Project Info and Summary'!$L$5,2),"")</f>
        <v/>
      </c>
    </row>
    <row r="159" spans="1:19" s="102" customFormat="1" ht="30" customHeight="1">
      <c r="A159" s="948"/>
      <c r="B159" s="496">
        <f t="shared" si="5"/>
        <v>150</v>
      </c>
      <c r="C159" s="864"/>
      <c r="D159" s="505"/>
      <c r="E159" s="866"/>
      <c r="F159" s="498"/>
      <c r="G159" s="499"/>
      <c r="H159" s="492"/>
      <c r="I159" s="855">
        <f>IFERROR(IFERROR(INDEX('Fixture and LED Schedule'!D:D,MATCH(F159,'Fixture and LED Schedule'!C:C,""),1),F159),"")</f>
        <v>0</v>
      </c>
      <c r="J159" s="855" t="str">
        <f>IFERROR(IF(PRJ_Type="New Construction",H159,INDEX(yControl_Code,MATCH(Inventory!H159,yControlTypes,0),1)),"")</f>
        <v/>
      </c>
      <c r="K159" s="493"/>
      <c r="L159" s="501"/>
      <c r="M159" s="502"/>
      <c r="N159" s="855">
        <f>IFERROR(IFERROR(INDEX('Fixture and LED Schedule'!D:D,MATCH(K159,'Fixture and LED Schedule'!C:C,0),1),K159),"")</f>
        <v>0</v>
      </c>
      <c r="O159" s="858" t="str">
        <f>IFERROR(INDEX(yControl_Code,MATCH(Inventory!M159,yControlTypes,0),1),"")</f>
        <v/>
      </c>
      <c r="P159" s="857" t="str">
        <f>'Lighting Inventory (Ref only)'!AG162</f>
        <v/>
      </c>
      <c r="Q159" s="856" t="str">
        <f>'Lighting Inventory (Ref only)'!AF162</f>
        <v/>
      </c>
      <c r="R159" s="856" t="str">
        <f t="shared" si="4"/>
        <v/>
      </c>
      <c r="S159" s="856" t="str">
        <f>IFERROR(ROUND(R159*'Project Info and Summary'!$J$5/'Project Info and Summary'!$L$5,2),"")</f>
        <v/>
      </c>
    </row>
    <row r="160" spans="1:19" s="102" customFormat="1" ht="30" customHeight="1">
      <c r="A160" s="948"/>
      <c r="B160" s="496">
        <f t="shared" si="5"/>
        <v>151</v>
      </c>
      <c r="C160" s="864"/>
      <c r="D160" s="505"/>
      <c r="E160" s="866"/>
      <c r="F160" s="498"/>
      <c r="G160" s="499"/>
      <c r="H160" s="492"/>
      <c r="I160" s="855">
        <f>IFERROR(IFERROR(INDEX('Fixture and LED Schedule'!D:D,MATCH(F160,'Fixture and LED Schedule'!C:C,""),1),F160),"")</f>
        <v>0</v>
      </c>
      <c r="J160" s="855" t="str">
        <f>IFERROR(IF(PRJ_Type="New Construction",H160,INDEX(yControl_Code,MATCH(Inventory!H160,yControlTypes,0),1)),"")</f>
        <v/>
      </c>
      <c r="K160" s="493"/>
      <c r="L160" s="501"/>
      <c r="M160" s="502"/>
      <c r="N160" s="855">
        <f>IFERROR(IFERROR(INDEX('Fixture and LED Schedule'!D:D,MATCH(K160,'Fixture and LED Schedule'!C:C,0),1),K160),"")</f>
        <v>0</v>
      </c>
      <c r="O160" s="858" t="str">
        <f>IFERROR(INDEX(yControl_Code,MATCH(Inventory!M160,yControlTypes,0),1),"")</f>
        <v/>
      </c>
      <c r="P160" s="857" t="str">
        <f>'Lighting Inventory (Ref only)'!AG163</f>
        <v/>
      </c>
      <c r="Q160" s="856" t="str">
        <f>'Lighting Inventory (Ref only)'!AF163</f>
        <v/>
      </c>
      <c r="R160" s="856" t="str">
        <f t="shared" si="4"/>
        <v/>
      </c>
      <c r="S160" s="856" t="str">
        <f>IFERROR(ROUND(R160*'Project Info and Summary'!$J$5/'Project Info and Summary'!$L$5,2),"")</f>
        <v/>
      </c>
    </row>
    <row r="161" spans="1:19" s="102" customFormat="1" ht="30" customHeight="1">
      <c r="A161" s="948"/>
      <c r="B161" s="496">
        <f t="shared" si="5"/>
        <v>152</v>
      </c>
      <c r="C161" s="864"/>
      <c r="D161" s="505"/>
      <c r="E161" s="866"/>
      <c r="F161" s="498"/>
      <c r="G161" s="499"/>
      <c r="H161" s="492"/>
      <c r="I161" s="855">
        <f>IFERROR(IFERROR(INDEX('Fixture and LED Schedule'!D:D,MATCH(F161,'Fixture and LED Schedule'!C:C,""),1),F161),"")</f>
        <v>0</v>
      </c>
      <c r="J161" s="855" t="str">
        <f>IFERROR(IF(PRJ_Type="New Construction",H161,INDEX(yControl_Code,MATCH(Inventory!H161,yControlTypes,0),1)),"")</f>
        <v/>
      </c>
      <c r="K161" s="493"/>
      <c r="L161" s="501"/>
      <c r="M161" s="502"/>
      <c r="N161" s="855">
        <f>IFERROR(IFERROR(INDEX('Fixture and LED Schedule'!D:D,MATCH(K161,'Fixture and LED Schedule'!C:C,0),1),K161),"")</f>
        <v>0</v>
      </c>
      <c r="O161" s="858" t="str">
        <f>IFERROR(INDEX(yControl_Code,MATCH(Inventory!M161,yControlTypes,0),1),"")</f>
        <v/>
      </c>
      <c r="P161" s="857" t="str">
        <f>'Lighting Inventory (Ref only)'!AG164</f>
        <v/>
      </c>
      <c r="Q161" s="856" t="str">
        <f>'Lighting Inventory (Ref only)'!AF164</f>
        <v/>
      </c>
      <c r="R161" s="856" t="str">
        <f t="shared" si="4"/>
        <v/>
      </c>
      <c r="S161" s="856" t="str">
        <f>IFERROR(ROUND(R161*'Project Info and Summary'!$J$5/'Project Info and Summary'!$L$5,2),"")</f>
        <v/>
      </c>
    </row>
    <row r="162" spans="1:19" s="102" customFormat="1" ht="30" customHeight="1">
      <c r="A162" s="948"/>
      <c r="B162" s="496">
        <f t="shared" si="5"/>
        <v>153</v>
      </c>
      <c r="C162" s="864"/>
      <c r="D162" s="505"/>
      <c r="E162" s="866"/>
      <c r="F162" s="498"/>
      <c r="G162" s="499"/>
      <c r="H162" s="492"/>
      <c r="I162" s="855">
        <f>IFERROR(IFERROR(INDEX('Fixture and LED Schedule'!D:D,MATCH(F162,'Fixture and LED Schedule'!C:C,""),1),F162),"")</f>
        <v>0</v>
      </c>
      <c r="J162" s="855" t="str">
        <f>IFERROR(IF(PRJ_Type="New Construction",H162,INDEX(yControl_Code,MATCH(Inventory!H162,yControlTypes,0),1)),"")</f>
        <v/>
      </c>
      <c r="K162" s="493"/>
      <c r="L162" s="501"/>
      <c r="M162" s="502"/>
      <c r="N162" s="855">
        <f>IFERROR(IFERROR(INDEX('Fixture and LED Schedule'!D:D,MATCH(K162,'Fixture and LED Schedule'!C:C,0),1),K162),"")</f>
        <v>0</v>
      </c>
      <c r="O162" s="858" t="str">
        <f>IFERROR(INDEX(yControl_Code,MATCH(Inventory!M162,yControlTypes,0),1),"")</f>
        <v/>
      </c>
      <c r="P162" s="857" t="str">
        <f>'Lighting Inventory (Ref only)'!AG165</f>
        <v/>
      </c>
      <c r="Q162" s="856" t="str">
        <f>'Lighting Inventory (Ref only)'!AF165</f>
        <v/>
      </c>
      <c r="R162" s="856" t="str">
        <f t="shared" si="4"/>
        <v/>
      </c>
      <c r="S162" s="856" t="str">
        <f>IFERROR(ROUND(R162*'Project Info and Summary'!$J$5/'Project Info and Summary'!$L$5,2),"")</f>
        <v/>
      </c>
    </row>
    <row r="163" spans="1:19" s="102" customFormat="1" ht="30" customHeight="1">
      <c r="A163" s="948"/>
      <c r="B163" s="496">
        <f t="shared" si="5"/>
        <v>154</v>
      </c>
      <c r="C163" s="864"/>
      <c r="D163" s="505"/>
      <c r="E163" s="866"/>
      <c r="F163" s="498"/>
      <c r="G163" s="499"/>
      <c r="H163" s="492"/>
      <c r="I163" s="855">
        <f>IFERROR(IFERROR(INDEX('Fixture and LED Schedule'!D:D,MATCH(F163,'Fixture and LED Schedule'!C:C,""),1),F163),"")</f>
        <v>0</v>
      </c>
      <c r="J163" s="855" t="str">
        <f>IFERROR(IF(PRJ_Type="New Construction",H163,INDEX(yControl_Code,MATCH(Inventory!H163,yControlTypes,0),1)),"")</f>
        <v/>
      </c>
      <c r="K163" s="493"/>
      <c r="L163" s="501"/>
      <c r="M163" s="502"/>
      <c r="N163" s="855">
        <f>IFERROR(IFERROR(INDEX('Fixture and LED Schedule'!D:D,MATCH(K163,'Fixture and LED Schedule'!C:C,0),1),K163),"")</f>
        <v>0</v>
      </c>
      <c r="O163" s="858" t="str">
        <f>IFERROR(INDEX(yControl_Code,MATCH(Inventory!M163,yControlTypes,0),1),"")</f>
        <v/>
      </c>
      <c r="P163" s="857" t="str">
        <f>'Lighting Inventory (Ref only)'!AG166</f>
        <v/>
      </c>
      <c r="Q163" s="856" t="str">
        <f>'Lighting Inventory (Ref only)'!AF166</f>
        <v/>
      </c>
      <c r="R163" s="856" t="str">
        <f t="shared" si="4"/>
        <v/>
      </c>
      <c r="S163" s="856" t="str">
        <f>IFERROR(ROUND(R163*'Project Info and Summary'!$J$5/'Project Info and Summary'!$L$5,2),"")</f>
        <v/>
      </c>
    </row>
    <row r="164" spans="1:19" s="102" customFormat="1" ht="30" customHeight="1">
      <c r="A164" s="948"/>
      <c r="B164" s="496">
        <f t="shared" si="5"/>
        <v>155</v>
      </c>
      <c r="C164" s="864"/>
      <c r="D164" s="505"/>
      <c r="E164" s="866"/>
      <c r="F164" s="498"/>
      <c r="G164" s="499"/>
      <c r="H164" s="492"/>
      <c r="I164" s="855">
        <f>IFERROR(IFERROR(INDEX('Fixture and LED Schedule'!D:D,MATCH(F164,'Fixture and LED Schedule'!C:C,""),1),F164),"")</f>
        <v>0</v>
      </c>
      <c r="J164" s="855" t="str">
        <f>IFERROR(IF(PRJ_Type="New Construction",H164,INDEX(yControl_Code,MATCH(Inventory!H164,yControlTypes,0),1)),"")</f>
        <v/>
      </c>
      <c r="K164" s="493"/>
      <c r="L164" s="501"/>
      <c r="M164" s="502"/>
      <c r="N164" s="855">
        <f>IFERROR(IFERROR(INDEX('Fixture and LED Schedule'!D:D,MATCH(K164,'Fixture and LED Schedule'!C:C,0),1),K164),"")</f>
        <v>0</v>
      </c>
      <c r="O164" s="858" t="str">
        <f>IFERROR(INDEX(yControl_Code,MATCH(Inventory!M164,yControlTypes,0),1),"")</f>
        <v/>
      </c>
      <c r="P164" s="857" t="str">
        <f>'Lighting Inventory (Ref only)'!AG167</f>
        <v/>
      </c>
      <c r="Q164" s="856" t="str">
        <f>'Lighting Inventory (Ref only)'!AF167</f>
        <v/>
      </c>
      <c r="R164" s="856" t="str">
        <f t="shared" si="4"/>
        <v/>
      </c>
      <c r="S164" s="856" t="str">
        <f>IFERROR(ROUND(R164*'Project Info and Summary'!$J$5/'Project Info and Summary'!$L$5,2),"")</f>
        <v/>
      </c>
    </row>
    <row r="165" spans="1:19" s="102" customFormat="1" ht="30" customHeight="1">
      <c r="A165" s="948"/>
      <c r="B165" s="496">
        <f t="shared" si="5"/>
        <v>156</v>
      </c>
      <c r="C165" s="864"/>
      <c r="D165" s="505"/>
      <c r="E165" s="866"/>
      <c r="F165" s="498"/>
      <c r="G165" s="499"/>
      <c r="H165" s="492"/>
      <c r="I165" s="855">
        <f>IFERROR(IFERROR(INDEX('Fixture and LED Schedule'!D:D,MATCH(F165,'Fixture and LED Schedule'!C:C,""),1),F165),"")</f>
        <v>0</v>
      </c>
      <c r="J165" s="855" t="str">
        <f>IFERROR(IF(PRJ_Type="New Construction",H165,INDEX(yControl_Code,MATCH(Inventory!H165,yControlTypes,0),1)),"")</f>
        <v/>
      </c>
      <c r="K165" s="493"/>
      <c r="L165" s="501"/>
      <c r="M165" s="502"/>
      <c r="N165" s="855">
        <f>IFERROR(IFERROR(INDEX('Fixture and LED Schedule'!D:D,MATCH(K165,'Fixture and LED Schedule'!C:C,0),1),K165),"")</f>
        <v>0</v>
      </c>
      <c r="O165" s="858" t="str">
        <f>IFERROR(INDEX(yControl_Code,MATCH(Inventory!M165,yControlTypes,0),1),"")</f>
        <v/>
      </c>
      <c r="P165" s="857" t="str">
        <f>'Lighting Inventory (Ref only)'!AG168</f>
        <v/>
      </c>
      <c r="Q165" s="856" t="str">
        <f>'Lighting Inventory (Ref only)'!AF168</f>
        <v/>
      </c>
      <c r="R165" s="856" t="str">
        <f t="shared" si="4"/>
        <v/>
      </c>
      <c r="S165" s="856" t="str">
        <f>IFERROR(ROUND(R165*'Project Info and Summary'!$J$5/'Project Info and Summary'!$L$5,2),"")</f>
        <v/>
      </c>
    </row>
    <row r="166" spans="1:19" s="102" customFormat="1" ht="30" customHeight="1">
      <c r="A166" s="948"/>
      <c r="B166" s="496">
        <f t="shared" si="5"/>
        <v>157</v>
      </c>
      <c r="C166" s="864"/>
      <c r="D166" s="505"/>
      <c r="E166" s="866"/>
      <c r="F166" s="498"/>
      <c r="G166" s="499"/>
      <c r="H166" s="492"/>
      <c r="I166" s="855">
        <f>IFERROR(IFERROR(INDEX('Fixture and LED Schedule'!D:D,MATCH(F166,'Fixture and LED Schedule'!C:C,""),1),F166),"")</f>
        <v>0</v>
      </c>
      <c r="J166" s="855" t="str">
        <f>IFERROR(IF(PRJ_Type="New Construction",H166,INDEX(yControl_Code,MATCH(Inventory!H166,yControlTypes,0),1)),"")</f>
        <v/>
      </c>
      <c r="K166" s="493"/>
      <c r="L166" s="501"/>
      <c r="M166" s="502"/>
      <c r="N166" s="855">
        <f>IFERROR(IFERROR(INDEX('Fixture and LED Schedule'!D:D,MATCH(K166,'Fixture and LED Schedule'!C:C,0),1),K166),"")</f>
        <v>0</v>
      </c>
      <c r="O166" s="858" t="str">
        <f>IFERROR(INDEX(yControl_Code,MATCH(Inventory!M166,yControlTypes,0),1),"")</f>
        <v/>
      </c>
      <c r="P166" s="857" t="str">
        <f>'Lighting Inventory (Ref only)'!AG169</f>
        <v/>
      </c>
      <c r="Q166" s="856" t="str">
        <f>'Lighting Inventory (Ref only)'!AF169</f>
        <v/>
      </c>
      <c r="R166" s="856" t="str">
        <f t="shared" si="4"/>
        <v/>
      </c>
      <c r="S166" s="856" t="str">
        <f>IFERROR(ROUND(R166*'Project Info and Summary'!$J$5/'Project Info and Summary'!$L$5,2),"")</f>
        <v/>
      </c>
    </row>
    <row r="167" spans="1:19" s="102" customFormat="1" ht="30" customHeight="1">
      <c r="A167" s="948"/>
      <c r="B167" s="496">
        <f t="shared" si="5"/>
        <v>158</v>
      </c>
      <c r="C167" s="864"/>
      <c r="D167" s="505"/>
      <c r="E167" s="866"/>
      <c r="F167" s="498"/>
      <c r="G167" s="499"/>
      <c r="H167" s="492"/>
      <c r="I167" s="855">
        <f>IFERROR(IFERROR(INDEX('Fixture and LED Schedule'!D:D,MATCH(F167,'Fixture and LED Schedule'!C:C,""),1),F167),"")</f>
        <v>0</v>
      </c>
      <c r="J167" s="855" t="str">
        <f>IFERROR(IF(PRJ_Type="New Construction",H167,INDEX(yControl_Code,MATCH(Inventory!H167,yControlTypes,0),1)),"")</f>
        <v/>
      </c>
      <c r="K167" s="493"/>
      <c r="L167" s="501"/>
      <c r="M167" s="502"/>
      <c r="N167" s="855">
        <f>IFERROR(IFERROR(INDEX('Fixture and LED Schedule'!D:D,MATCH(K167,'Fixture and LED Schedule'!C:C,0),1),K167),"")</f>
        <v>0</v>
      </c>
      <c r="O167" s="858" t="str">
        <f>IFERROR(INDEX(yControl_Code,MATCH(Inventory!M167,yControlTypes,0),1),"")</f>
        <v/>
      </c>
      <c r="P167" s="857" t="str">
        <f>'Lighting Inventory (Ref only)'!AG170</f>
        <v/>
      </c>
      <c r="Q167" s="856" t="str">
        <f>'Lighting Inventory (Ref only)'!AF170</f>
        <v/>
      </c>
      <c r="R167" s="856" t="str">
        <f t="shared" si="4"/>
        <v/>
      </c>
      <c r="S167" s="856" t="str">
        <f>IFERROR(ROUND(R167*'Project Info and Summary'!$J$5/'Project Info and Summary'!$L$5,2),"")</f>
        <v/>
      </c>
    </row>
    <row r="168" spans="1:19" s="102" customFormat="1" ht="30" customHeight="1">
      <c r="A168" s="948"/>
      <c r="B168" s="496">
        <f t="shared" si="5"/>
        <v>159</v>
      </c>
      <c r="C168" s="864"/>
      <c r="D168" s="505"/>
      <c r="E168" s="866"/>
      <c r="F168" s="498"/>
      <c r="G168" s="499"/>
      <c r="H168" s="492"/>
      <c r="I168" s="855">
        <f>IFERROR(IFERROR(INDEX('Fixture and LED Schedule'!D:D,MATCH(F168,'Fixture and LED Schedule'!C:C,""),1),F168),"")</f>
        <v>0</v>
      </c>
      <c r="J168" s="855" t="str">
        <f>IFERROR(IF(PRJ_Type="New Construction",H168,INDEX(yControl_Code,MATCH(Inventory!H168,yControlTypes,0),1)),"")</f>
        <v/>
      </c>
      <c r="K168" s="493"/>
      <c r="L168" s="501"/>
      <c r="M168" s="502"/>
      <c r="N168" s="855">
        <f>IFERROR(IFERROR(INDEX('Fixture and LED Schedule'!D:D,MATCH(K168,'Fixture and LED Schedule'!C:C,0),1),K168),"")</f>
        <v>0</v>
      </c>
      <c r="O168" s="858" t="str">
        <f>IFERROR(INDEX(yControl_Code,MATCH(Inventory!M168,yControlTypes,0),1),"")</f>
        <v/>
      </c>
      <c r="P168" s="857" t="str">
        <f>'Lighting Inventory (Ref only)'!AG171</f>
        <v/>
      </c>
      <c r="Q168" s="856" t="str">
        <f>'Lighting Inventory (Ref only)'!AF171</f>
        <v/>
      </c>
      <c r="R168" s="856" t="str">
        <f t="shared" si="4"/>
        <v/>
      </c>
      <c r="S168" s="856" t="str">
        <f>IFERROR(ROUND(R168*'Project Info and Summary'!$J$5/'Project Info and Summary'!$L$5,2),"")</f>
        <v/>
      </c>
    </row>
    <row r="169" spans="1:19" s="102" customFormat="1" ht="30" customHeight="1">
      <c r="A169" s="948"/>
      <c r="B169" s="496">
        <f t="shared" si="5"/>
        <v>160</v>
      </c>
      <c r="C169" s="864"/>
      <c r="D169" s="505"/>
      <c r="E169" s="866"/>
      <c r="F169" s="498"/>
      <c r="G169" s="499"/>
      <c r="H169" s="492"/>
      <c r="I169" s="855">
        <f>IFERROR(IFERROR(INDEX('Fixture and LED Schedule'!D:D,MATCH(F169,'Fixture and LED Schedule'!C:C,""),1),F169),"")</f>
        <v>0</v>
      </c>
      <c r="J169" s="855" t="str">
        <f>IFERROR(IF(PRJ_Type="New Construction",H169,INDEX(yControl_Code,MATCH(Inventory!H169,yControlTypes,0),1)),"")</f>
        <v/>
      </c>
      <c r="K169" s="493"/>
      <c r="L169" s="501"/>
      <c r="M169" s="502"/>
      <c r="N169" s="855">
        <f>IFERROR(IFERROR(INDEX('Fixture and LED Schedule'!D:D,MATCH(K169,'Fixture and LED Schedule'!C:C,0),1),K169),"")</f>
        <v>0</v>
      </c>
      <c r="O169" s="858" t="str">
        <f>IFERROR(INDEX(yControl_Code,MATCH(Inventory!M169,yControlTypes,0),1),"")</f>
        <v/>
      </c>
      <c r="P169" s="857" t="str">
        <f>'Lighting Inventory (Ref only)'!AG172</f>
        <v/>
      </c>
      <c r="Q169" s="856" t="str">
        <f>'Lighting Inventory (Ref only)'!AF172</f>
        <v/>
      </c>
      <c r="R169" s="856" t="str">
        <f t="shared" si="4"/>
        <v/>
      </c>
      <c r="S169" s="856" t="str">
        <f>IFERROR(ROUND(R169*'Project Info and Summary'!$J$5/'Project Info and Summary'!$L$5,2),"")</f>
        <v/>
      </c>
    </row>
    <row r="170" spans="1:19" s="102" customFormat="1" ht="30" customHeight="1">
      <c r="A170" s="948"/>
      <c r="B170" s="496">
        <f t="shared" si="5"/>
        <v>161</v>
      </c>
      <c r="C170" s="864"/>
      <c r="D170" s="505"/>
      <c r="E170" s="866"/>
      <c r="F170" s="498"/>
      <c r="G170" s="499"/>
      <c r="H170" s="492"/>
      <c r="I170" s="855">
        <f>IFERROR(IFERROR(INDEX('Fixture and LED Schedule'!D:D,MATCH(F170,'Fixture and LED Schedule'!C:C,""),1),F170),"")</f>
        <v>0</v>
      </c>
      <c r="J170" s="855" t="str">
        <f>IFERROR(IF(PRJ_Type="New Construction",H170,INDEX(yControl_Code,MATCH(Inventory!H170,yControlTypes,0),1)),"")</f>
        <v/>
      </c>
      <c r="K170" s="493"/>
      <c r="L170" s="501"/>
      <c r="M170" s="502"/>
      <c r="N170" s="855">
        <f>IFERROR(IFERROR(INDEX('Fixture and LED Schedule'!D:D,MATCH(K170,'Fixture and LED Schedule'!C:C,0),1),K170),"")</f>
        <v>0</v>
      </c>
      <c r="O170" s="858" t="str">
        <f>IFERROR(INDEX(yControl_Code,MATCH(Inventory!M170,yControlTypes,0),1),"")</f>
        <v/>
      </c>
      <c r="P170" s="857" t="str">
        <f>'Lighting Inventory (Ref only)'!AG173</f>
        <v/>
      </c>
      <c r="Q170" s="856" t="str">
        <f>'Lighting Inventory (Ref only)'!AF173</f>
        <v/>
      </c>
      <c r="R170" s="856" t="str">
        <f t="shared" si="4"/>
        <v/>
      </c>
      <c r="S170" s="856" t="str">
        <f>IFERROR(ROUND(R170*'Project Info and Summary'!$J$5/'Project Info and Summary'!$L$5,2),"")</f>
        <v/>
      </c>
    </row>
    <row r="171" spans="1:19" s="102" customFormat="1" ht="30" customHeight="1">
      <c r="A171" s="948"/>
      <c r="B171" s="496">
        <f t="shared" si="5"/>
        <v>162</v>
      </c>
      <c r="C171" s="864"/>
      <c r="D171" s="505"/>
      <c r="E171" s="866"/>
      <c r="F171" s="498"/>
      <c r="G171" s="499"/>
      <c r="H171" s="492"/>
      <c r="I171" s="855">
        <f>IFERROR(IFERROR(INDEX('Fixture and LED Schedule'!D:D,MATCH(F171,'Fixture and LED Schedule'!C:C,""),1),F171),"")</f>
        <v>0</v>
      </c>
      <c r="J171" s="855" t="str">
        <f>IFERROR(IF(PRJ_Type="New Construction",H171,INDEX(yControl_Code,MATCH(Inventory!H171,yControlTypes,0),1)),"")</f>
        <v/>
      </c>
      <c r="K171" s="493"/>
      <c r="L171" s="501"/>
      <c r="M171" s="502"/>
      <c r="N171" s="855">
        <f>IFERROR(IFERROR(INDEX('Fixture and LED Schedule'!D:D,MATCH(K171,'Fixture and LED Schedule'!C:C,0),1),K171),"")</f>
        <v>0</v>
      </c>
      <c r="O171" s="858" t="str">
        <f>IFERROR(INDEX(yControl_Code,MATCH(Inventory!M171,yControlTypes,0),1),"")</f>
        <v/>
      </c>
      <c r="P171" s="857" t="str">
        <f>'Lighting Inventory (Ref only)'!AG174</f>
        <v/>
      </c>
      <c r="Q171" s="856" t="str">
        <f>'Lighting Inventory (Ref only)'!AF174</f>
        <v/>
      </c>
      <c r="R171" s="856" t="str">
        <f t="shared" si="4"/>
        <v/>
      </c>
      <c r="S171" s="856" t="str">
        <f>IFERROR(ROUND(R171*'Project Info and Summary'!$J$5/'Project Info and Summary'!$L$5,2),"")</f>
        <v/>
      </c>
    </row>
    <row r="172" spans="1:19" s="102" customFormat="1" ht="30" customHeight="1">
      <c r="A172" s="948"/>
      <c r="B172" s="496">
        <f t="shared" si="5"/>
        <v>163</v>
      </c>
      <c r="C172" s="864"/>
      <c r="D172" s="505"/>
      <c r="E172" s="866"/>
      <c r="F172" s="498"/>
      <c r="G172" s="499"/>
      <c r="H172" s="492"/>
      <c r="I172" s="855">
        <f>IFERROR(IFERROR(INDEX('Fixture and LED Schedule'!D:D,MATCH(F172,'Fixture and LED Schedule'!C:C,""),1),F172),"")</f>
        <v>0</v>
      </c>
      <c r="J172" s="855" t="str">
        <f>IFERROR(IF(PRJ_Type="New Construction",H172,INDEX(yControl_Code,MATCH(Inventory!H172,yControlTypes,0),1)),"")</f>
        <v/>
      </c>
      <c r="K172" s="493"/>
      <c r="L172" s="501"/>
      <c r="M172" s="502"/>
      <c r="N172" s="855">
        <f>IFERROR(IFERROR(INDEX('Fixture and LED Schedule'!D:D,MATCH(K172,'Fixture and LED Schedule'!C:C,0),1),K172),"")</f>
        <v>0</v>
      </c>
      <c r="O172" s="858" t="str">
        <f>IFERROR(INDEX(yControl_Code,MATCH(Inventory!M172,yControlTypes,0),1),"")</f>
        <v/>
      </c>
      <c r="P172" s="857" t="str">
        <f>'Lighting Inventory (Ref only)'!AG175</f>
        <v/>
      </c>
      <c r="Q172" s="856" t="str">
        <f>'Lighting Inventory (Ref only)'!AF175</f>
        <v/>
      </c>
      <c r="R172" s="856" t="str">
        <f t="shared" si="4"/>
        <v/>
      </c>
      <c r="S172" s="856" t="str">
        <f>IFERROR(ROUND(R172*'Project Info and Summary'!$J$5/'Project Info and Summary'!$L$5,2),"")</f>
        <v/>
      </c>
    </row>
    <row r="173" spans="1:19" s="102" customFormat="1" ht="30" customHeight="1">
      <c r="A173" s="948"/>
      <c r="B173" s="496">
        <f t="shared" si="5"/>
        <v>164</v>
      </c>
      <c r="C173" s="864"/>
      <c r="D173" s="505"/>
      <c r="E173" s="866"/>
      <c r="F173" s="498"/>
      <c r="G173" s="499"/>
      <c r="H173" s="492"/>
      <c r="I173" s="855">
        <f>IFERROR(IFERROR(INDEX('Fixture and LED Schedule'!D:D,MATCH(F173,'Fixture and LED Schedule'!C:C,""),1),F173),"")</f>
        <v>0</v>
      </c>
      <c r="J173" s="855" t="str">
        <f>IFERROR(IF(PRJ_Type="New Construction",H173,INDEX(yControl_Code,MATCH(Inventory!H173,yControlTypes,0),1)),"")</f>
        <v/>
      </c>
      <c r="K173" s="493"/>
      <c r="L173" s="501"/>
      <c r="M173" s="502"/>
      <c r="N173" s="855">
        <f>IFERROR(IFERROR(INDEX('Fixture and LED Schedule'!D:D,MATCH(K173,'Fixture and LED Schedule'!C:C,0),1),K173),"")</f>
        <v>0</v>
      </c>
      <c r="O173" s="858" t="str">
        <f>IFERROR(INDEX(yControl_Code,MATCH(Inventory!M173,yControlTypes,0),1),"")</f>
        <v/>
      </c>
      <c r="P173" s="857" t="str">
        <f>'Lighting Inventory (Ref only)'!AG176</f>
        <v/>
      </c>
      <c r="Q173" s="856" t="str">
        <f>'Lighting Inventory (Ref only)'!AF176</f>
        <v/>
      </c>
      <c r="R173" s="856" t="str">
        <f t="shared" si="4"/>
        <v/>
      </c>
      <c r="S173" s="856" t="str">
        <f>IFERROR(ROUND(R173*'Project Info and Summary'!$J$5/'Project Info and Summary'!$L$5,2),"")</f>
        <v/>
      </c>
    </row>
    <row r="174" spans="1:19" s="102" customFormat="1" ht="30" customHeight="1">
      <c r="A174" s="948"/>
      <c r="B174" s="496">
        <f t="shared" si="5"/>
        <v>165</v>
      </c>
      <c r="C174" s="864"/>
      <c r="D174" s="505"/>
      <c r="E174" s="866"/>
      <c r="F174" s="498"/>
      <c r="G174" s="499"/>
      <c r="H174" s="492"/>
      <c r="I174" s="855">
        <f>IFERROR(IFERROR(INDEX('Fixture and LED Schedule'!D:D,MATCH(F174,'Fixture and LED Schedule'!C:C,""),1),F174),"")</f>
        <v>0</v>
      </c>
      <c r="J174" s="855" t="str">
        <f>IFERROR(IF(PRJ_Type="New Construction",H174,INDEX(yControl_Code,MATCH(Inventory!H174,yControlTypes,0),1)),"")</f>
        <v/>
      </c>
      <c r="K174" s="493"/>
      <c r="L174" s="501"/>
      <c r="M174" s="502"/>
      <c r="N174" s="855">
        <f>IFERROR(IFERROR(INDEX('Fixture and LED Schedule'!D:D,MATCH(K174,'Fixture and LED Schedule'!C:C,0),1),K174),"")</f>
        <v>0</v>
      </c>
      <c r="O174" s="858" t="str">
        <f>IFERROR(INDEX(yControl_Code,MATCH(Inventory!M174,yControlTypes,0),1),"")</f>
        <v/>
      </c>
      <c r="P174" s="857" t="str">
        <f>'Lighting Inventory (Ref only)'!AG177</f>
        <v/>
      </c>
      <c r="Q174" s="856" t="str">
        <f>'Lighting Inventory (Ref only)'!AF177</f>
        <v/>
      </c>
      <c r="R174" s="856" t="str">
        <f t="shared" si="4"/>
        <v/>
      </c>
      <c r="S174" s="856" t="str">
        <f>IFERROR(ROUND(R174*'Project Info and Summary'!$J$5/'Project Info and Summary'!$L$5,2),"")</f>
        <v/>
      </c>
    </row>
    <row r="175" spans="1:19" s="102" customFormat="1" ht="30" customHeight="1">
      <c r="A175" s="948"/>
      <c r="B175" s="496">
        <f t="shared" si="5"/>
        <v>166</v>
      </c>
      <c r="C175" s="864"/>
      <c r="D175" s="505"/>
      <c r="E175" s="866"/>
      <c r="F175" s="498"/>
      <c r="G175" s="499"/>
      <c r="H175" s="492"/>
      <c r="I175" s="855">
        <f>IFERROR(IFERROR(INDEX('Fixture and LED Schedule'!D:D,MATCH(F175,'Fixture and LED Schedule'!C:C,""),1),F175),"")</f>
        <v>0</v>
      </c>
      <c r="J175" s="855" t="str">
        <f>IFERROR(IF(PRJ_Type="New Construction",H175,INDEX(yControl_Code,MATCH(Inventory!H175,yControlTypes,0),1)),"")</f>
        <v/>
      </c>
      <c r="K175" s="493"/>
      <c r="L175" s="501"/>
      <c r="M175" s="502"/>
      <c r="N175" s="855">
        <f>IFERROR(IFERROR(INDEX('Fixture and LED Schedule'!D:D,MATCH(K175,'Fixture and LED Schedule'!C:C,0),1),K175),"")</f>
        <v>0</v>
      </c>
      <c r="O175" s="858" t="str">
        <f>IFERROR(INDEX(yControl_Code,MATCH(Inventory!M175,yControlTypes,0),1),"")</f>
        <v/>
      </c>
      <c r="P175" s="857" t="str">
        <f>'Lighting Inventory (Ref only)'!AG178</f>
        <v/>
      </c>
      <c r="Q175" s="856" t="str">
        <f>'Lighting Inventory (Ref only)'!AF178</f>
        <v/>
      </c>
      <c r="R175" s="856" t="str">
        <f t="shared" si="4"/>
        <v/>
      </c>
      <c r="S175" s="856" t="str">
        <f>IFERROR(ROUND(R175*'Project Info and Summary'!$J$5/'Project Info and Summary'!$L$5,2),"")</f>
        <v/>
      </c>
    </row>
    <row r="176" spans="1:19" s="102" customFormat="1" ht="30" customHeight="1">
      <c r="A176" s="948"/>
      <c r="B176" s="496">
        <f t="shared" si="5"/>
        <v>167</v>
      </c>
      <c r="C176" s="864"/>
      <c r="D176" s="505"/>
      <c r="E176" s="866"/>
      <c r="F176" s="498"/>
      <c r="G176" s="499"/>
      <c r="H176" s="492"/>
      <c r="I176" s="855">
        <f>IFERROR(IFERROR(INDEX('Fixture and LED Schedule'!D:D,MATCH(F176,'Fixture and LED Schedule'!C:C,""),1),F176),"")</f>
        <v>0</v>
      </c>
      <c r="J176" s="855" t="str">
        <f>IFERROR(IF(PRJ_Type="New Construction",H176,INDEX(yControl_Code,MATCH(Inventory!H176,yControlTypes,0),1)),"")</f>
        <v/>
      </c>
      <c r="K176" s="493"/>
      <c r="L176" s="501"/>
      <c r="M176" s="502"/>
      <c r="N176" s="855">
        <f>IFERROR(IFERROR(INDEX('Fixture and LED Schedule'!D:D,MATCH(K176,'Fixture and LED Schedule'!C:C,0),1),K176),"")</f>
        <v>0</v>
      </c>
      <c r="O176" s="858" t="str">
        <f>IFERROR(INDEX(yControl_Code,MATCH(Inventory!M176,yControlTypes,0),1),"")</f>
        <v/>
      </c>
      <c r="P176" s="857" t="str">
        <f>'Lighting Inventory (Ref only)'!AG179</f>
        <v/>
      </c>
      <c r="Q176" s="856" t="str">
        <f>'Lighting Inventory (Ref only)'!AF179</f>
        <v/>
      </c>
      <c r="R176" s="856" t="str">
        <f t="shared" si="4"/>
        <v/>
      </c>
      <c r="S176" s="856" t="str">
        <f>IFERROR(ROUND(R176*'Project Info and Summary'!$J$5/'Project Info and Summary'!$L$5,2),"")</f>
        <v/>
      </c>
    </row>
    <row r="177" spans="1:19" s="102" customFormat="1" ht="30" customHeight="1">
      <c r="A177" s="948"/>
      <c r="B177" s="496">
        <f t="shared" si="5"/>
        <v>168</v>
      </c>
      <c r="C177" s="864"/>
      <c r="D177" s="505"/>
      <c r="E177" s="866"/>
      <c r="F177" s="498"/>
      <c r="G177" s="499"/>
      <c r="H177" s="492"/>
      <c r="I177" s="855">
        <f>IFERROR(IFERROR(INDEX('Fixture and LED Schedule'!D:D,MATCH(F177,'Fixture and LED Schedule'!C:C,""),1),F177),"")</f>
        <v>0</v>
      </c>
      <c r="J177" s="855" t="str">
        <f>IFERROR(IF(PRJ_Type="New Construction",H177,INDEX(yControl_Code,MATCH(Inventory!H177,yControlTypes,0),1)),"")</f>
        <v/>
      </c>
      <c r="K177" s="493"/>
      <c r="L177" s="501"/>
      <c r="M177" s="502"/>
      <c r="N177" s="855">
        <f>IFERROR(IFERROR(INDEX('Fixture and LED Schedule'!D:D,MATCH(K177,'Fixture and LED Schedule'!C:C,0),1),K177),"")</f>
        <v>0</v>
      </c>
      <c r="O177" s="858" t="str">
        <f>IFERROR(INDEX(yControl_Code,MATCH(Inventory!M177,yControlTypes,0),1),"")</f>
        <v/>
      </c>
      <c r="P177" s="857" t="str">
        <f>'Lighting Inventory (Ref only)'!AG180</f>
        <v/>
      </c>
      <c r="Q177" s="856" t="str">
        <f>'Lighting Inventory (Ref only)'!AF180</f>
        <v/>
      </c>
      <c r="R177" s="856" t="str">
        <f t="shared" si="4"/>
        <v/>
      </c>
      <c r="S177" s="856" t="str">
        <f>IFERROR(ROUND(R177*'Project Info and Summary'!$J$5/'Project Info and Summary'!$L$5,2),"")</f>
        <v/>
      </c>
    </row>
    <row r="178" spans="1:19" s="102" customFormat="1" ht="30" customHeight="1">
      <c r="A178" s="948"/>
      <c r="B178" s="496">
        <f t="shared" si="5"/>
        <v>169</v>
      </c>
      <c r="C178" s="864"/>
      <c r="D178" s="505"/>
      <c r="E178" s="866"/>
      <c r="F178" s="498"/>
      <c r="G178" s="499"/>
      <c r="H178" s="492"/>
      <c r="I178" s="855">
        <f>IFERROR(IFERROR(INDEX('Fixture and LED Schedule'!D:D,MATCH(F178,'Fixture and LED Schedule'!C:C,""),1),F178),"")</f>
        <v>0</v>
      </c>
      <c r="J178" s="855" t="str">
        <f>IFERROR(IF(PRJ_Type="New Construction",H178,INDEX(yControl_Code,MATCH(Inventory!H178,yControlTypes,0),1)),"")</f>
        <v/>
      </c>
      <c r="K178" s="493"/>
      <c r="L178" s="501"/>
      <c r="M178" s="502"/>
      <c r="N178" s="855">
        <f>IFERROR(IFERROR(INDEX('Fixture and LED Schedule'!D:D,MATCH(K178,'Fixture and LED Schedule'!C:C,0),1),K178),"")</f>
        <v>0</v>
      </c>
      <c r="O178" s="858" t="str">
        <f>IFERROR(INDEX(yControl_Code,MATCH(Inventory!M178,yControlTypes,0),1),"")</f>
        <v/>
      </c>
      <c r="P178" s="857" t="str">
        <f>'Lighting Inventory (Ref only)'!AG181</f>
        <v/>
      </c>
      <c r="Q178" s="856" t="str">
        <f>'Lighting Inventory (Ref only)'!AF181</f>
        <v/>
      </c>
      <c r="R178" s="856" t="str">
        <f t="shared" si="4"/>
        <v/>
      </c>
      <c r="S178" s="856" t="str">
        <f>IFERROR(ROUND(R178*'Project Info and Summary'!$J$5/'Project Info and Summary'!$L$5,2),"")</f>
        <v/>
      </c>
    </row>
    <row r="179" spans="1:19" s="102" customFormat="1" ht="30" customHeight="1">
      <c r="A179" s="948"/>
      <c r="B179" s="496">
        <f t="shared" si="5"/>
        <v>170</v>
      </c>
      <c r="C179" s="864"/>
      <c r="D179" s="505"/>
      <c r="E179" s="866"/>
      <c r="F179" s="498"/>
      <c r="G179" s="499"/>
      <c r="H179" s="492"/>
      <c r="I179" s="855">
        <f>IFERROR(IFERROR(INDEX('Fixture and LED Schedule'!D:D,MATCH(F179,'Fixture and LED Schedule'!C:C,""),1),F179),"")</f>
        <v>0</v>
      </c>
      <c r="J179" s="855" t="str">
        <f>IFERROR(IF(PRJ_Type="New Construction",H179,INDEX(yControl_Code,MATCH(Inventory!H179,yControlTypes,0),1)),"")</f>
        <v/>
      </c>
      <c r="K179" s="493"/>
      <c r="L179" s="501"/>
      <c r="M179" s="502"/>
      <c r="N179" s="855">
        <f>IFERROR(IFERROR(INDEX('Fixture and LED Schedule'!D:D,MATCH(K179,'Fixture and LED Schedule'!C:C,0),1),K179),"")</f>
        <v>0</v>
      </c>
      <c r="O179" s="858" t="str">
        <f>IFERROR(INDEX(yControl_Code,MATCH(Inventory!M179,yControlTypes,0),1),"")</f>
        <v/>
      </c>
      <c r="P179" s="857" t="str">
        <f>'Lighting Inventory (Ref only)'!AG182</f>
        <v/>
      </c>
      <c r="Q179" s="856" t="str">
        <f>'Lighting Inventory (Ref only)'!AF182</f>
        <v/>
      </c>
      <c r="R179" s="856" t="str">
        <f t="shared" si="4"/>
        <v/>
      </c>
      <c r="S179" s="856" t="str">
        <f>IFERROR(ROUND(R179*'Project Info and Summary'!$J$5/'Project Info and Summary'!$L$5,2),"")</f>
        <v/>
      </c>
    </row>
    <row r="180" spans="1:19" s="102" customFormat="1" ht="30" customHeight="1">
      <c r="A180" s="948"/>
      <c r="B180" s="496">
        <f t="shared" si="5"/>
        <v>171</v>
      </c>
      <c r="C180" s="864"/>
      <c r="D180" s="505"/>
      <c r="E180" s="866"/>
      <c r="F180" s="498"/>
      <c r="G180" s="499"/>
      <c r="H180" s="492"/>
      <c r="I180" s="855">
        <f>IFERROR(IFERROR(INDEX('Fixture and LED Schedule'!D:D,MATCH(F180,'Fixture and LED Schedule'!C:C,""),1),F180),"")</f>
        <v>0</v>
      </c>
      <c r="J180" s="855" t="str">
        <f>IFERROR(IF(PRJ_Type="New Construction",H180,INDEX(yControl_Code,MATCH(Inventory!H180,yControlTypes,0),1)),"")</f>
        <v/>
      </c>
      <c r="K180" s="493"/>
      <c r="L180" s="501"/>
      <c r="M180" s="502"/>
      <c r="N180" s="855">
        <f>IFERROR(IFERROR(INDEX('Fixture and LED Schedule'!D:D,MATCH(K180,'Fixture and LED Schedule'!C:C,0),1),K180),"")</f>
        <v>0</v>
      </c>
      <c r="O180" s="858" t="str">
        <f>IFERROR(INDEX(yControl_Code,MATCH(Inventory!M180,yControlTypes,0),1),"")</f>
        <v/>
      </c>
      <c r="P180" s="857" t="str">
        <f>'Lighting Inventory (Ref only)'!AG183</f>
        <v/>
      </c>
      <c r="Q180" s="856" t="str">
        <f>'Lighting Inventory (Ref only)'!AF183</f>
        <v/>
      </c>
      <c r="R180" s="856" t="str">
        <f t="shared" si="4"/>
        <v/>
      </c>
      <c r="S180" s="856" t="str">
        <f>IFERROR(ROUND(R180*'Project Info and Summary'!$J$5/'Project Info and Summary'!$L$5,2),"")</f>
        <v/>
      </c>
    </row>
    <row r="181" spans="1:19" s="102" customFormat="1" ht="30" customHeight="1">
      <c r="A181" s="948"/>
      <c r="B181" s="496">
        <f t="shared" si="5"/>
        <v>172</v>
      </c>
      <c r="C181" s="864"/>
      <c r="D181" s="505"/>
      <c r="E181" s="866"/>
      <c r="F181" s="498"/>
      <c r="G181" s="499"/>
      <c r="H181" s="492"/>
      <c r="I181" s="855">
        <f>IFERROR(IFERROR(INDEX('Fixture and LED Schedule'!D:D,MATCH(F181,'Fixture and LED Schedule'!C:C,""),1),F181),"")</f>
        <v>0</v>
      </c>
      <c r="J181" s="855" t="str">
        <f>IFERROR(IF(PRJ_Type="New Construction",H181,INDEX(yControl_Code,MATCH(Inventory!H181,yControlTypes,0),1)),"")</f>
        <v/>
      </c>
      <c r="K181" s="493"/>
      <c r="L181" s="501"/>
      <c r="M181" s="502"/>
      <c r="N181" s="855">
        <f>IFERROR(IFERROR(INDEX('Fixture and LED Schedule'!D:D,MATCH(K181,'Fixture and LED Schedule'!C:C,0),1),K181),"")</f>
        <v>0</v>
      </c>
      <c r="O181" s="858" t="str">
        <f>IFERROR(INDEX(yControl_Code,MATCH(Inventory!M181,yControlTypes,0),1),"")</f>
        <v/>
      </c>
      <c r="P181" s="857" t="str">
        <f>'Lighting Inventory (Ref only)'!AG184</f>
        <v/>
      </c>
      <c r="Q181" s="856" t="str">
        <f>'Lighting Inventory (Ref only)'!AF184</f>
        <v/>
      </c>
      <c r="R181" s="856" t="str">
        <f t="shared" si="4"/>
        <v/>
      </c>
      <c r="S181" s="856" t="str">
        <f>IFERROR(ROUND(R181*'Project Info and Summary'!$J$5/'Project Info and Summary'!$L$5,2),"")</f>
        <v/>
      </c>
    </row>
    <row r="182" spans="1:19" s="102" customFormat="1" ht="30" customHeight="1">
      <c r="A182" s="948"/>
      <c r="B182" s="496">
        <f t="shared" si="5"/>
        <v>173</v>
      </c>
      <c r="C182" s="864"/>
      <c r="D182" s="505"/>
      <c r="E182" s="866"/>
      <c r="F182" s="498"/>
      <c r="G182" s="499"/>
      <c r="H182" s="492"/>
      <c r="I182" s="855">
        <f>IFERROR(IFERROR(INDEX('Fixture and LED Schedule'!D:D,MATCH(F182,'Fixture and LED Schedule'!C:C,""),1),F182),"")</f>
        <v>0</v>
      </c>
      <c r="J182" s="855" t="str">
        <f>IFERROR(IF(PRJ_Type="New Construction",H182,INDEX(yControl_Code,MATCH(Inventory!H182,yControlTypes,0),1)),"")</f>
        <v/>
      </c>
      <c r="K182" s="493"/>
      <c r="L182" s="501"/>
      <c r="M182" s="502"/>
      <c r="N182" s="855">
        <f>IFERROR(IFERROR(INDEX('Fixture and LED Schedule'!D:D,MATCH(K182,'Fixture and LED Schedule'!C:C,0),1),K182),"")</f>
        <v>0</v>
      </c>
      <c r="O182" s="858" t="str">
        <f>IFERROR(INDEX(yControl_Code,MATCH(Inventory!M182,yControlTypes,0),1),"")</f>
        <v/>
      </c>
      <c r="P182" s="857" t="str">
        <f>'Lighting Inventory (Ref only)'!AG185</f>
        <v/>
      </c>
      <c r="Q182" s="856" t="str">
        <f>'Lighting Inventory (Ref only)'!AF185</f>
        <v/>
      </c>
      <c r="R182" s="856" t="str">
        <f t="shared" si="4"/>
        <v/>
      </c>
      <c r="S182" s="856" t="str">
        <f>IFERROR(ROUND(R182*'Project Info and Summary'!$J$5/'Project Info and Summary'!$L$5,2),"")</f>
        <v/>
      </c>
    </row>
    <row r="183" spans="1:19" s="102" customFormat="1" ht="30" customHeight="1">
      <c r="A183" s="948"/>
      <c r="B183" s="496">
        <f t="shared" si="5"/>
        <v>174</v>
      </c>
      <c r="C183" s="864"/>
      <c r="D183" s="505"/>
      <c r="E183" s="866"/>
      <c r="F183" s="498"/>
      <c r="G183" s="499"/>
      <c r="H183" s="492"/>
      <c r="I183" s="855">
        <f>IFERROR(IFERROR(INDEX('Fixture and LED Schedule'!D:D,MATCH(F183,'Fixture and LED Schedule'!C:C,""),1),F183),"")</f>
        <v>0</v>
      </c>
      <c r="J183" s="855" t="str">
        <f>IFERROR(IF(PRJ_Type="New Construction",H183,INDEX(yControl_Code,MATCH(Inventory!H183,yControlTypes,0),1)),"")</f>
        <v/>
      </c>
      <c r="K183" s="493"/>
      <c r="L183" s="501"/>
      <c r="M183" s="502"/>
      <c r="N183" s="855">
        <f>IFERROR(IFERROR(INDEX('Fixture and LED Schedule'!D:D,MATCH(K183,'Fixture and LED Schedule'!C:C,0),1),K183),"")</f>
        <v>0</v>
      </c>
      <c r="O183" s="858" t="str">
        <f>IFERROR(INDEX(yControl_Code,MATCH(Inventory!M183,yControlTypes,0),1),"")</f>
        <v/>
      </c>
      <c r="P183" s="857" t="str">
        <f>'Lighting Inventory (Ref only)'!AG186</f>
        <v/>
      </c>
      <c r="Q183" s="856" t="str">
        <f>'Lighting Inventory (Ref only)'!AF186</f>
        <v/>
      </c>
      <c r="R183" s="856" t="str">
        <f t="shared" si="4"/>
        <v/>
      </c>
      <c r="S183" s="856" t="str">
        <f>IFERROR(ROUND(R183*'Project Info and Summary'!$J$5/'Project Info and Summary'!$L$5,2),"")</f>
        <v/>
      </c>
    </row>
    <row r="184" spans="1:19" s="102" customFormat="1" ht="30" customHeight="1">
      <c r="A184" s="948"/>
      <c r="B184" s="496">
        <f t="shared" si="5"/>
        <v>175</v>
      </c>
      <c r="C184" s="864"/>
      <c r="D184" s="505"/>
      <c r="E184" s="866"/>
      <c r="F184" s="498"/>
      <c r="G184" s="499"/>
      <c r="H184" s="492"/>
      <c r="I184" s="855">
        <f>IFERROR(IFERROR(INDEX('Fixture and LED Schedule'!D:D,MATCH(F184,'Fixture and LED Schedule'!C:C,""),1),F184),"")</f>
        <v>0</v>
      </c>
      <c r="J184" s="855" t="str">
        <f>IFERROR(IF(PRJ_Type="New Construction",H184,INDEX(yControl_Code,MATCH(Inventory!H184,yControlTypes,0),1)),"")</f>
        <v/>
      </c>
      <c r="K184" s="493"/>
      <c r="L184" s="501"/>
      <c r="M184" s="502"/>
      <c r="N184" s="855">
        <f>IFERROR(IFERROR(INDEX('Fixture and LED Schedule'!D:D,MATCH(K184,'Fixture and LED Schedule'!C:C,0),1),K184),"")</f>
        <v>0</v>
      </c>
      <c r="O184" s="858" t="str">
        <f>IFERROR(INDEX(yControl_Code,MATCH(Inventory!M184,yControlTypes,0),1),"")</f>
        <v/>
      </c>
      <c r="P184" s="857" t="str">
        <f>'Lighting Inventory (Ref only)'!AG187</f>
        <v/>
      </c>
      <c r="Q184" s="856" t="str">
        <f>'Lighting Inventory (Ref only)'!AF187</f>
        <v/>
      </c>
      <c r="R184" s="856" t="str">
        <f t="shared" si="4"/>
        <v/>
      </c>
      <c r="S184" s="856" t="str">
        <f>IFERROR(ROUND(R184*'Project Info and Summary'!$J$5/'Project Info and Summary'!$L$5,2),"")</f>
        <v/>
      </c>
    </row>
    <row r="185" spans="1:19" s="102" customFormat="1" ht="30" customHeight="1">
      <c r="A185" s="948"/>
      <c r="B185" s="496">
        <f t="shared" si="5"/>
        <v>176</v>
      </c>
      <c r="C185" s="864"/>
      <c r="D185" s="505"/>
      <c r="E185" s="866"/>
      <c r="F185" s="498"/>
      <c r="G185" s="499"/>
      <c r="H185" s="492"/>
      <c r="I185" s="855">
        <f>IFERROR(IFERROR(INDEX('Fixture and LED Schedule'!D:D,MATCH(F185,'Fixture and LED Schedule'!C:C,""),1),F185),"")</f>
        <v>0</v>
      </c>
      <c r="J185" s="855" t="str">
        <f>IFERROR(IF(PRJ_Type="New Construction",H185,INDEX(yControl_Code,MATCH(Inventory!H185,yControlTypes,0),1)),"")</f>
        <v/>
      </c>
      <c r="K185" s="493"/>
      <c r="L185" s="501"/>
      <c r="M185" s="502"/>
      <c r="N185" s="855">
        <f>IFERROR(IFERROR(INDEX('Fixture and LED Schedule'!D:D,MATCH(K185,'Fixture and LED Schedule'!C:C,0),1),K185),"")</f>
        <v>0</v>
      </c>
      <c r="O185" s="858" t="str">
        <f>IFERROR(INDEX(yControl_Code,MATCH(Inventory!M185,yControlTypes,0),1),"")</f>
        <v/>
      </c>
      <c r="P185" s="857" t="str">
        <f>'Lighting Inventory (Ref only)'!AG188</f>
        <v/>
      </c>
      <c r="Q185" s="856" t="str">
        <f>'Lighting Inventory (Ref only)'!AF188</f>
        <v/>
      </c>
      <c r="R185" s="856" t="str">
        <f t="shared" si="4"/>
        <v/>
      </c>
      <c r="S185" s="856" t="str">
        <f>IFERROR(ROUND(R185*'Project Info and Summary'!$J$5/'Project Info and Summary'!$L$5,2),"")</f>
        <v/>
      </c>
    </row>
    <row r="186" spans="1:19" s="102" customFormat="1" ht="30" customHeight="1">
      <c r="A186" s="948"/>
      <c r="B186" s="496">
        <f t="shared" si="5"/>
        <v>177</v>
      </c>
      <c r="C186" s="864"/>
      <c r="D186" s="505"/>
      <c r="E186" s="866"/>
      <c r="F186" s="498"/>
      <c r="G186" s="499"/>
      <c r="H186" s="492"/>
      <c r="I186" s="855">
        <f>IFERROR(IFERROR(INDEX('Fixture and LED Schedule'!D:D,MATCH(F186,'Fixture and LED Schedule'!C:C,""),1),F186),"")</f>
        <v>0</v>
      </c>
      <c r="J186" s="855" t="str">
        <f>IFERROR(IF(PRJ_Type="New Construction",H186,INDEX(yControl_Code,MATCH(Inventory!H186,yControlTypes,0),1)),"")</f>
        <v/>
      </c>
      <c r="K186" s="493"/>
      <c r="L186" s="501"/>
      <c r="M186" s="502"/>
      <c r="N186" s="855">
        <f>IFERROR(IFERROR(INDEX('Fixture and LED Schedule'!D:D,MATCH(K186,'Fixture and LED Schedule'!C:C,0),1),K186),"")</f>
        <v>0</v>
      </c>
      <c r="O186" s="858" t="str">
        <f>IFERROR(INDEX(yControl_Code,MATCH(Inventory!M186,yControlTypes,0),1),"")</f>
        <v/>
      </c>
      <c r="P186" s="857" t="str">
        <f>'Lighting Inventory (Ref only)'!AG189</f>
        <v/>
      </c>
      <c r="Q186" s="856" t="str">
        <f>'Lighting Inventory (Ref only)'!AF189</f>
        <v/>
      </c>
      <c r="R186" s="856" t="str">
        <f t="shared" si="4"/>
        <v/>
      </c>
      <c r="S186" s="856" t="str">
        <f>IFERROR(ROUND(R186*'Project Info and Summary'!$J$5/'Project Info and Summary'!$L$5,2),"")</f>
        <v/>
      </c>
    </row>
    <row r="187" spans="1:19" s="102" customFormat="1" ht="30" customHeight="1">
      <c r="A187" s="948"/>
      <c r="B187" s="496">
        <f t="shared" si="5"/>
        <v>178</v>
      </c>
      <c r="C187" s="864"/>
      <c r="D187" s="505"/>
      <c r="E187" s="866"/>
      <c r="F187" s="498"/>
      <c r="G187" s="499"/>
      <c r="H187" s="492"/>
      <c r="I187" s="855">
        <f>IFERROR(IFERROR(INDEX('Fixture and LED Schedule'!D:D,MATCH(F187,'Fixture and LED Schedule'!C:C,""),1),F187),"")</f>
        <v>0</v>
      </c>
      <c r="J187" s="855" t="str">
        <f>IFERROR(IF(PRJ_Type="New Construction",H187,INDEX(yControl_Code,MATCH(Inventory!H187,yControlTypes,0),1)),"")</f>
        <v/>
      </c>
      <c r="K187" s="493"/>
      <c r="L187" s="501"/>
      <c r="M187" s="502"/>
      <c r="N187" s="855">
        <f>IFERROR(IFERROR(INDEX('Fixture and LED Schedule'!D:D,MATCH(K187,'Fixture and LED Schedule'!C:C,0),1),K187),"")</f>
        <v>0</v>
      </c>
      <c r="O187" s="858" t="str">
        <f>IFERROR(INDEX(yControl_Code,MATCH(Inventory!M187,yControlTypes,0),1),"")</f>
        <v/>
      </c>
      <c r="P187" s="857" t="str">
        <f>'Lighting Inventory (Ref only)'!AG190</f>
        <v/>
      </c>
      <c r="Q187" s="856" t="str">
        <f>'Lighting Inventory (Ref only)'!AF190</f>
        <v/>
      </c>
      <c r="R187" s="856" t="str">
        <f t="shared" si="4"/>
        <v/>
      </c>
      <c r="S187" s="856" t="str">
        <f>IFERROR(ROUND(R187*'Project Info and Summary'!$J$5/'Project Info and Summary'!$L$5,2),"")</f>
        <v/>
      </c>
    </row>
    <row r="188" spans="1:19" s="102" customFormat="1" ht="30" customHeight="1">
      <c r="A188" s="948"/>
      <c r="B188" s="496">
        <f t="shared" si="5"/>
        <v>179</v>
      </c>
      <c r="C188" s="864"/>
      <c r="D188" s="505"/>
      <c r="E188" s="866"/>
      <c r="F188" s="498"/>
      <c r="G188" s="499"/>
      <c r="H188" s="492"/>
      <c r="I188" s="855">
        <f>IFERROR(IFERROR(INDEX('Fixture and LED Schedule'!D:D,MATCH(F188,'Fixture and LED Schedule'!C:C,""),1),F188),"")</f>
        <v>0</v>
      </c>
      <c r="J188" s="855" t="str">
        <f>IFERROR(IF(PRJ_Type="New Construction",H188,INDEX(yControl_Code,MATCH(Inventory!H188,yControlTypes,0),1)),"")</f>
        <v/>
      </c>
      <c r="K188" s="493"/>
      <c r="L188" s="501"/>
      <c r="M188" s="502"/>
      <c r="N188" s="855">
        <f>IFERROR(IFERROR(INDEX('Fixture and LED Schedule'!D:D,MATCH(K188,'Fixture and LED Schedule'!C:C,0),1),K188),"")</f>
        <v>0</v>
      </c>
      <c r="O188" s="858" t="str">
        <f>IFERROR(INDEX(yControl_Code,MATCH(Inventory!M188,yControlTypes,0),1),"")</f>
        <v/>
      </c>
      <c r="P188" s="857" t="str">
        <f>'Lighting Inventory (Ref only)'!AG191</f>
        <v/>
      </c>
      <c r="Q188" s="856" t="str">
        <f>'Lighting Inventory (Ref only)'!AF191</f>
        <v/>
      </c>
      <c r="R188" s="856" t="str">
        <f t="shared" si="4"/>
        <v/>
      </c>
      <c r="S188" s="856" t="str">
        <f>IFERROR(ROUND(R188*'Project Info and Summary'!$J$5/'Project Info and Summary'!$L$5,2),"")</f>
        <v/>
      </c>
    </row>
    <row r="189" spans="1:19" s="102" customFormat="1" ht="30" customHeight="1">
      <c r="A189" s="948"/>
      <c r="B189" s="496">
        <f t="shared" si="5"/>
        <v>180</v>
      </c>
      <c r="C189" s="864"/>
      <c r="D189" s="505"/>
      <c r="E189" s="866"/>
      <c r="F189" s="498"/>
      <c r="G189" s="499"/>
      <c r="H189" s="492"/>
      <c r="I189" s="855">
        <f>IFERROR(IFERROR(INDEX('Fixture and LED Schedule'!D:D,MATCH(F189,'Fixture and LED Schedule'!C:C,""),1),F189),"")</f>
        <v>0</v>
      </c>
      <c r="J189" s="855" t="str">
        <f>IFERROR(IF(PRJ_Type="New Construction",H189,INDEX(yControl_Code,MATCH(Inventory!H189,yControlTypes,0),1)),"")</f>
        <v/>
      </c>
      <c r="K189" s="493"/>
      <c r="L189" s="501"/>
      <c r="M189" s="502"/>
      <c r="N189" s="855">
        <f>IFERROR(IFERROR(INDEX('Fixture and LED Schedule'!D:D,MATCH(K189,'Fixture and LED Schedule'!C:C,0),1),K189),"")</f>
        <v>0</v>
      </c>
      <c r="O189" s="858" t="str">
        <f>IFERROR(INDEX(yControl_Code,MATCH(Inventory!M189,yControlTypes,0),1),"")</f>
        <v/>
      </c>
      <c r="P189" s="857" t="str">
        <f>'Lighting Inventory (Ref only)'!AG192</f>
        <v/>
      </c>
      <c r="Q189" s="856" t="str">
        <f>'Lighting Inventory (Ref only)'!AF192</f>
        <v/>
      </c>
      <c r="R189" s="856" t="str">
        <f t="shared" si="4"/>
        <v/>
      </c>
      <c r="S189" s="856" t="str">
        <f>IFERROR(ROUND(R189*'Project Info and Summary'!$J$5/'Project Info and Summary'!$L$5,2),"")</f>
        <v/>
      </c>
    </row>
    <row r="190" spans="1:19" s="102" customFormat="1" ht="30" customHeight="1">
      <c r="A190" s="948"/>
      <c r="B190" s="496">
        <f t="shared" si="5"/>
        <v>181</v>
      </c>
      <c r="C190" s="864"/>
      <c r="D190" s="505"/>
      <c r="E190" s="866"/>
      <c r="F190" s="498"/>
      <c r="G190" s="499"/>
      <c r="H190" s="492"/>
      <c r="I190" s="855">
        <f>IFERROR(IFERROR(INDEX('Fixture and LED Schedule'!D:D,MATCH(F190,'Fixture and LED Schedule'!C:C,""),1),F190),"")</f>
        <v>0</v>
      </c>
      <c r="J190" s="855" t="str">
        <f>IFERROR(IF(PRJ_Type="New Construction",H190,INDEX(yControl_Code,MATCH(Inventory!H190,yControlTypes,0),1)),"")</f>
        <v/>
      </c>
      <c r="K190" s="493"/>
      <c r="L190" s="501"/>
      <c r="M190" s="502"/>
      <c r="N190" s="855">
        <f>IFERROR(IFERROR(INDEX('Fixture and LED Schedule'!D:D,MATCH(K190,'Fixture and LED Schedule'!C:C,0),1),K190),"")</f>
        <v>0</v>
      </c>
      <c r="O190" s="858" t="str">
        <f>IFERROR(INDEX(yControl_Code,MATCH(Inventory!M190,yControlTypes,0),1),"")</f>
        <v/>
      </c>
      <c r="P190" s="857" t="str">
        <f>'Lighting Inventory (Ref only)'!AG193</f>
        <v/>
      </c>
      <c r="Q190" s="856" t="str">
        <f>'Lighting Inventory (Ref only)'!AF193</f>
        <v/>
      </c>
      <c r="R190" s="856" t="str">
        <f t="shared" si="4"/>
        <v/>
      </c>
      <c r="S190" s="856" t="str">
        <f>IFERROR(ROUND(R190*'Project Info and Summary'!$J$5/'Project Info and Summary'!$L$5,2),"")</f>
        <v/>
      </c>
    </row>
    <row r="191" spans="1:19" s="102" customFormat="1" ht="30" customHeight="1">
      <c r="A191" s="948"/>
      <c r="B191" s="496">
        <f t="shared" si="5"/>
        <v>182</v>
      </c>
      <c r="C191" s="864"/>
      <c r="D191" s="505"/>
      <c r="E191" s="866"/>
      <c r="F191" s="498"/>
      <c r="G191" s="499"/>
      <c r="H191" s="492"/>
      <c r="I191" s="855">
        <f>IFERROR(IFERROR(INDEX('Fixture and LED Schedule'!D:D,MATCH(F191,'Fixture and LED Schedule'!C:C,""),1),F191),"")</f>
        <v>0</v>
      </c>
      <c r="J191" s="855" t="str">
        <f>IFERROR(IF(PRJ_Type="New Construction",H191,INDEX(yControl_Code,MATCH(Inventory!H191,yControlTypes,0),1)),"")</f>
        <v/>
      </c>
      <c r="K191" s="493"/>
      <c r="L191" s="501"/>
      <c r="M191" s="502"/>
      <c r="N191" s="855">
        <f>IFERROR(IFERROR(INDEX('Fixture and LED Schedule'!D:D,MATCH(K191,'Fixture and LED Schedule'!C:C,0),1),K191),"")</f>
        <v>0</v>
      </c>
      <c r="O191" s="858" t="str">
        <f>IFERROR(INDEX(yControl_Code,MATCH(Inventory!M191,yControlTypes,0),1),"")</f>
        <v/>
      </c>
      <c r="P191" s="857" t="str">
        <f>'Lighting Inventory (Ref only)'!AG194</f>
        <v/>
      </c>
      <c r="Q191" s="856" t="str">
        <f>'Lighting Inventory (Ref only)'!AF194</f>
        <v/>
      </c>
      <c r="R191" s="856" t="str">
        <f t="shared" si="4"/>
        <v/>
      </c>
      <c r="S191" s="856" t="str">
        <f>IFERROR(ROUND(R191*'Project Info and Summary'!$J$5/'Project Info and Summary'!$L$5,2),"")</f>
        <v/>
      </c>
    </row>
    <row r="192" spans="1:19" s="102" customFormat="1" ht="30" customHeight="1">
      <c r="A192" s="948"/>
      <c r="B192" s="496">
        <f t="shared" si="5"/>
        <v>183</v>
      </c>
      <c r="C192" s="864"/>
      <c r="D192" s="505"/>
      <c r="E192" s="866"/>
      <c r="F192" s="498"/>
      <c r="G192" s="499"/>
      <c r="H192" s="492"/>
      <c r="I192" s="855">
        <f>IFERROR(IFERROR(INDEX('Fixture and LED Schedule'!D:D,MATCH(F192,'Fixture and LED Schedule'!C:C,""),1),F192),"")</f>
        <v>0</v>
      </c>
      <c r="J192" s="855" t="str">
        <f>IFERROR(IF(PRJ_Type="New Construction",H192,INDEX(yControl_Code,MATCH(Inventory!H192,yControlTypes,0),1)),"")</f>
        <v/>
      </c>
      <c r="K192" s="493"/>
      <c r="L192" s="501"/>
      <c r="M192" s="502"/>
      <c r="N192" s="855">
        <f>IFERROR(IFERROR(INDEX('Fixture and LED Schedule'!D:D,MATCH(K192,'Fixture and LED Schedule'!C:C,0),1),K192),"")</f>
        <v>0</v>
      </c>
      <c r="O192" s="858" t="str">
        <f>IFERROR(INDEX(yControl_Code,MATCH(Inventory!M192,yControlTypes,0),1),"")</f>
        <v/>
      </c>
      <c r="P192" s="857" t="str">
        <f>'Lighting Inventory (Ref only)'!AG195</f>
        <v/>
      </c>
      <c r="Q192" s="856" t="str">
        <f>'Lighting Inventory (Ref only)'!AF195</f>
        <v/>
      </c>
      <c r="R192" s="856" t="str">
        <f t="shared" si="4"/>
        <v/>
      </c>
      <c r="S192" s="856" t="str">
        <f>IFERROR(ROUND(R192*'Project Info and Summary'!$J$5/'Project Info and Summary'!$L$5,2),"")</f>
        <v/>
      </c>
    </row>
    <row r="193" spans="1:19" s="102" customFormat="1" ht="30" customHeight="1">
      <c r="A193" s="948"/>
      <c r="B193" s="496">
        <f t="shared" si="5"/>
        <v>184</v>
      </c>
      <c r="C193" s="864"/>
      <c r="D193" s="505"/>
      <c r="E193" s="866"/>
      <c r="F193" s="498"/>
      <c r="G193" s="499"/>
      <c r="H193" s="492"/>
      <c r="I193" s="855">
        <f>IFERROR(IFERROR(INDEX('Fixture and LED Schedule'!D:D,MATCH(F193,'Fixture and LED Schedule'!C:C,""),1),F193),"")</f>
        <v>0</v>
      </c>
      <c r="J193" s="855" t="str">
        <f>IFERROR(IF(PRJ_Type="New Construction",H193,INDEX(yControl_Code,MATCH(Inventory!H193,yControlTypes,0),1)),"")</f>
        <v/>
      </c>
      <c r="K193" s="493"/>
      <c r="L193" s="501"/>
      <c r="M193" s="502"/>
      <c r="N193" s="855">
        <f>IFERROR(IFERROR(INDEX('Fixture and LED Schedule'!D:D,MATCH(K193,'Fixture and LED Schedule'!C:C,0),1),K193),"")</f>
        <v>0</v>
      </c>
      <c r="O193" s="858" t="str">
        <f>IFERROR(INDEX(yControl_Code,MATCH(Inventory!M193,yControlTypes,0),1),"")</f>
        <v/>
      </c>
      <c r="P193" s="857" t="str">
        <f>'Lighting Inventory (Ref only)'!AG196</f>
        <v/>
      </c>
      <c r="Q193" s="856" t="str">
        <f>'Lighting Inventory (Ref only)'!AF196</f>
        <v/>
      </c>
      <c r="R193" s="856" t="str">
        <f t="shared" si="4"/>
        <v/>
      </c>
      <c r="S193" s="856" t="str">
        <f>IFERROR(ROUND(R193*'Project Info and Summary'!$J$5/'Project Info and Summary'!$L$5,2),"")</f>
        <v/>
      </c>
    </row>
    <row r="194" spans="1:19" s="102" customFormat="1" ht="30" customHeight="1">
      <c r="A194" s="948"/>
      <c r="B194" s="496">
        <f t="shared" si="5"/>
        <v>185</v>
      </c>
      <c r="C194" s="864"/>
      <c r="D194" s="505"/>
      <c r="E194" s="866"/>
      <c r="F194" s="498"/>
      <c r="G194" s="499"/>
      <c r="H194" s="492"/>
      <c r="I194" s="855">
        <f>IFERROR(IFERROR(INDEX('Fixture and LED Schedule'!D:D,MATCH(F194,'Fixture and LED Schedule'!C:C,""),1),F194),"")</f>
        <v>0</v>
      </c>
      <c r="J194" s="855" t="str">
        <f>IFERROR(IF(PRJ_Type="New Construction",H194,INDEX(yControl_Code,MATCH(Inventory!H194,yControlTypes,0),1)),"")</f>
        <v/>
      </c>
      <c r="K194" s="493"/>
      <c r="L194" s="501"/>
      <c r="M194" s="502"/>
      <c r="N194" s="855">
        <f>IFERROR(IFERROR(INDEX('Fixture and LED Schedule'!D:D,MATCH(K194,'Fixture and LED Schedule'!C:C,0),1),K194),"")</f>
        <v>0</v>
      </c>
      <c r="O194" s="858" t="str">
        <f>IFERROR(INDEX(yControl_Code,MATCH(Inventory!M194,yControlTypes,0),1),"")</f>
        <v/>
      </c>
      <c r="P194" s="857" t="str">
        <f>'Lighting Inventory (Ref only)'!AG197</f>
        <v/>
      </c>
      <c r="Q194" s="856" t="str">
        <f>'Lighting Inventory (Ref only)'!AF197</f>
        <v/>
      </c>
      <c r="R194" s="856" t="str">
        <f t="shared" si="4"/>
        <v/>
      </c>
      <c r="S194" s="856" t="str">
        <f>IFERROR(ROUND(R194*'Project Info and Summary'!$J$5/'Project Info and Summary'!$L$5,2),"")</f>
        <v/>
      </c>
    </row>
    <row r="195" spans="1:19" s="102" customFormat="1" ht="30" customHeight="1">
      <c r="A195" s="948"/>
      <c r="B195" s="496">
        <f t="shared" si="5"/>
        <v>186</v>
      </c>
      <c r="C195" s="864"/>
      <c r="D195" s="505"/>
      <c r="E195" s="866"/>
      <c r="F195" s="498"/>
      <c r="G195" s="499"/>
      <c r="H195" s="492"/>
      <c r="I195" s="855">
        <f>IFERROR(IFERROR(INDEX('Fixture and LED Schedule'!D:D,MATCH(F195,'Fixture and LED Schedule'!C:C,""),1),F195),"")</f>
        <v>0</v>
      </c>
      <c r="J195" s="855" t="str">
        <f>IFERROR(IF(PRJ_Type="New Construction",H195,INDEX(yControl_Code,MATCH(Inventory!H195,yControlTypes,0),1)),"")</f>
        <v/>
      </c>
      <c r="K195" s="493"/>
      <c r="L195" s="501"/>
      <c r="M195" s="502"/>
      <c r="N195" s="855">
        <f>IFERROR(IFERROR(INDEX('Fixture and LED Schedule'!D:D,MATCH(K195,'Fixture and LED Schedule'!C:C,0),1),K195),"")</f>
        <v>0</v>
      </c>
      <c r="O195" s="858" t="str">
        <f>IFERROR(INDEX(yControl_Code,MATCH(Inventory!M195,yControlTypes,0),1),"")</f>
        <v/>
      </c>
      <c r="P195" s="857" t="str">
        <f>'Lighting Inventory (Ref only)'!AG198</f>
        <v/>
      </c>
      <c r="Q195" s="856" t="str">
        <f>'Lighting Inventory (Ref only)'!AF198</f>
        <v/>
      </c>
      <c r="R195" s="856" t="str">
        <f t="shared" si="4"/>
        <v/>
      </c>
      <c r="S195" s="856" t="str">
        <f>IFERROR(ROUND(R195*'Project Info and Summary'!$J$5/'Project Info and Summary'!$L$5,2),"")</f>
        <v/>
      </c>
    </row>
    <row r="196" spans="1:19" s="102" customFormat="1" ht="30" customHeight="1">
      <c r="A196" s="948"/>
      <c r="B196" s="496">
        <f t="shared" si="5"/>
        <v>187</v>
      </c>
      <c r="C196" s="864"/>
      <c r="D196" s="505"/>
      <c r="E196" s="866"/>
      <c r="F196" s="498"/>
      <c r="G196" s="499"/>
      <c r="H196" s="492"/>
      <c r="I196" s="855">
        <f>IFERROR(IFERROR(INDEX('Fixture and LED Schedule'!D:D,MATCH(F196,'Fixture and LED Schedule'!C:C,""),1),F196),"")</f>
        <v>0</v>
      </c>
      <c r="J196" s="855" t="str">
        <f>IFERROR(IF(PRJ_Type="New Construction",H196,INDEX(yControl_Code,MATCH(Inventory!H196,yControlTypes,0),1)),"")</f>
        <v/>
      </c>
      <c r="K196" s="493"/>
      <c r="L196" s="501"/>
      <c r="M196" s="502"/>
      <c r="N196" s="855">
        <f>IFERROR(IFERROR(INDEX('Fixture and LED Schedule'!D:D,MATCH(K196,'Fixture and LED Schedule'!C:C,0),1),K196),"")</f>
        <v>0</v>
      </c>
      <c r="O196" s="858" t="str">
        <f>IFERROR(INDEX(yControl_Code,MATCH(Inventory!M196,yControlTypes,0),1),"")</f>
        <v/>
      </c>
      <c r="P196" s="857" t="str">
        <f>'Lighting Inventory (Ref only)'!AG199</f>
        <v/>
      </c>
      <c r="Q196" s="856" t="str">
        <f>'Lighting Inventory (Ref only)'!AF199</f>
        <v/>
      </c>
      <c r="R196" s="856" t="str">
        <f t="shared" si="4"/>
        <v/>
      </c>
      <c r="S196" s="856" t="str">
        <f>IFERROR(ROUND(R196*'Project Info and Summary'!$J$5/'Project Info and Summary'!$L$5,2),"")</f>
        <v/>
      </c>
    </row>
    <row r="197" spans="1:19" s="102" customFormat="1" ht="30" customHeight="1">
      <c r="A197" s="948"/>
      <c r="B197" s="496">
        <f t="shared" si="5"/>
        <v>188</v>
      </c>
      <c r="C197" s="864"/>
      <c r="D197" s="505"/>
      <c r="E197" s="866"/>
      <c r="F197" s="498"/>
      <c r="G197" s="499"/>
      <c r="H197" s="492"/>
      <c r="I197" s="855">
        <f>IFERROR(IFERROR(INDEX('Fixture and LED Schedule'!D:D,MATCH(F197,'Fixture and LED Schedule'!C:C,""),1),F197),"")</f>
        <v>0</v>
      </c>
      <c r="J197" s="855" t="str">
        <f>IFERROR(IF(PRJ_Type="New Construction",H197,INDEX(yControl_Code,MATCH(Inventory!H197,yControlTypes,0),1)),"")</f>
        <v/>
      </c>
      <c r="K197" s="493"/>
      <c r="L197" s="501"/>
      <c r="M197" s="502"/>
      <c r="N197" s="855">
        <f>IFERROR(IFERROR(INDEX('Fixture and LED Schedule'!D:D,MATCH(K197,'Fixture and LED Schedule'!C:C,0),1),K197),"")</f>
        <v>0</v>
      </c>
      <c r="O197" s="858" t="str">
        <f>IFERROR(INDEX(yControl_Code,MATCH(Inventory!M197,yControlTypes,0),1),"")</f>
        <v/>
      </c>
      <c r="P197" s="857" t="str">
        <f>'Lighting Inventory (Ref only)'!AG200</f>
        <v/>
      </c>
      <c r="Q197" s="856" t="str">
        <f>'Lighting Inventory (Ref only)'!AF200</f>
        <v/>
      </c>
      <c r="R197" s="856" t="str">
        <f t="shared" si="4"/>
        <v/>
      </c>
      <c r="S197" s="856" t="str">
        <f>IFERROR(ROUND(R197*'Project Info and Summary'!$J$5/'Project Info and Summary'!$L$5,2),"")</f>
        <v/>
      </c>
    </row>
    <row r="198" spans="1:19" s="102" customFormat="1" ht="30" customHeight="1">
      <c r="A198" s="948"/>
      <c r="B198" s="496">
        <f t="shared" si="5"/>
        <v>189</v>
      </c>
      <c r="C198" s="864"/>
      <c r="D198" s="505"/>
      <c r="E198" s="866"/>
      <c r="F198" s="498"/>
      <c r="G198" s="499"/>
      <c r="H198" s="492"/>
      <c r="I198" s="855">
        <f>IFERROR(IFERROR(INDEX('Fixture and LED Schedule'!D:D,MATCH(F198,'Fixture and LED Schedule'!C:C,""),1),F198),"")</f>
        <v>0</v>
      </c>
      <c r="J198" s="855" t="str">
        <f>IFERROR(IF(PRJ_Type="New Construction",H198,INDEX(yControl_Code,MATCH(Inventory!H198,yControlTypes,0),1)),"")</f>
        <v/>
      </c>
      <c r="K198" s="493"/>
      <c r="L198" s="501"/>
      <c r="M198" s="502"/>
      <c r="N198" s="855">
        <f>IFERROR(IFERROR(INDEX('Fixture and LED Schedule'!D:D,MATCH(K198,'Fixture and LED Schedule'!C:C,0),1),K198),"")</f>
        <v>0</v>
      </c>
      <c r="O198" s="858" t="str">
        <f>IFERROR(INDEX(yControl_Code,MATCH(Inventory!M198,yControlTypes,0),1),"")</f>
        <v/>
      </c>
      <c r="P198" s="857" t="str">
        <f>'Lighting Inventory (Ref only)'!AG201</f>
        <v/>
      </c>
      <c r="Q198" s="856" t="str">
        <f>'Lighting Inventory (Ref only)'!AF201</f>
        <v/>
      </c>
      <c r="R198" s="856" t="str">
        <f t="shared" si="4"/>
        <v/>
      </c>
      <c r="S198" s="856" t="str">
        <f>IFERROR(ROUND(R198*'Project Info and Summary'!$J$5/'Project Info and Summary'!$L$5,2),"")</f>
        <v/>
      </c>
    </row>
    <row r="199" spans="1:19" s="102" customFormat="1" ht="30" customHeight="1">
      <c r="A199" s="948"/>
      <c r="B199" s="496">
        <f t="shared" si="5"/>
        <v>190</v>
      </c>
      <c r="C199" s="864"/>
      <c r="D199" s="505"/>
      <c r="E199" s="866"/>
      <c r="F199" s="498"/>
      <c r="G199" s="499"/>
      <c r="H199" s="492"/>
      <c r="I199" s="855">
        <f>IFERROR(IFERROR(INDEX('Fixture and LED Schedule'!D:D,MATCH(F199,'Fixture and LED Schedule'!C:C,""),1),F199),"")</f>
        <v>0</v>
      </c>
      <c r="J199" s="855" t="str">
        <f>IFERROR(IF(PRJ_Type="New Construction",H199,INDEX(yControl_Code,MATCH(Inventory!H199,yControlTypes,0),1)),"")</f>
        <v/>
      </c>
      <c r="K199" s="493"/>
      <c r="L199" s="501"/>
      <c r="M199" s="502"/>
      <c r="N199" s="855">
        <f>IFERROR(IFERROR(INDEX('Fixture and LED Schedule'!D:D,MATCH(K199,'Fixture and LED Schedule'!C:C,0),1),K199),"")</f>
        <v>0</v>
      </c>
      <c r="O199" s="858" t="str">
        <f>IFERROR(INDEX(yControl_Code,MATCH(Inventory!M199,yControlTypes,0),1),"")</f>
        <v/>
      </c>
      <c r="P199" s="857" t="str">
        <f>'Lighting Inventory (Ref only)'!AG202</f>
        <v/>
      </c>
      <c r="Q199" s="856" t="str">
        <f>'Lighting Inventory (Ref only)'!AF202</f>
        <v/>
      </c>
      <c r="R199" s="856" t="str">
        <f t="shared" si="4"/>
        <v/>
      </c>
      <c r="S199" s="856" t="str">
        <f>IFERROR(ROUND(R199*'Project Info and Summary'!$J$5/'Project Info and Summary'!$L$5,2),"")</f>
        <v/>
      </c>
    </row>
    <row r="200" spans="1:19" s="102" customFormat="1" ht="30" customHeight="1">
      <c r="A200" s="948"/>
      <c r="B200" s="496">
        <f t="shared" si="5"/>
        <v>191</v>
      </c>
      <c r="C200" s="864"/>
      <c r="D200" s="505"/>
      <c r="E200" s="866"/>
      <c r="F200" s="498"/>
      <c r="G200" s="499"/>
      <c r="H200" s="492"/>
      <c r="I200" s="855">
        <f>IFERROR(IFERROR(INDEX('Fixture and LED Schedule'!D:D,MATCH(F200,'Fixture and LED Schedule'!C:C,""),1),F200),"")</f>
        <v>0</v>
      </c>
      <c r="J200" s="855" t="str">
        <f>IFERROR(IF(PRJ_Type="New Construction",H200,INDEX(yControl_Code,MATCH(Inventory!H200,yControlTypes,0),1)),"")</f>
        <v/>
      </c>
      <c r="K200" s="493"/>
      <c r="L200" s="501"/>
      <c r="M200" s="502"/>
      <c r="N200" s="855">
        <f>IFERROR(IFERROR(INDEX('Fixture and LED Schedule'!D:D,MATCH(K200,'Fixture and LED Schedule'!C:C,0),1),K200),"")</f>
        <v>0</v>
      </c>
      <c r="O200" s="858" t="str">
        <f>IFERROR(INDEX(yControl_Code,MATCH(Inventory!M200,yControlTypes,0),1),"")</f>
        <v/>
      </c>
      <c r="P200" s="857" t="str">
        <f>'Lighting Inventory (Ref only)'!AG203</f>
        <v/>
      </c>
      <c r="Q200" s="856" t="str">
        <f>'Lighting Inventory (Ref only)'!AF203</f>
        <v/>
      </c>
      <c r="R200" s="856" t="str">
        <f t="shared" si="4"/>
        <v/>
      </c>
      <c r="S200" s="856" t="str">
        <f>IFERROR(ROUND(R200*'Project Info and Summary'!$J$5/'Project Info and Summary'!$L$5,2),"")</f>
        <v/>
      </c>
    </row>
    <row r="201" spans="1:19" s="102" customFormat="1" ht="30" customHeight="1">
      <c r="A201" s="948"/>
      <c r="B201" s="496">
        <f t="shared" si="5"/>
        <v>192</v>
      </c>
      <c r="C201" s="864"/>
      <c r="D201" s="505"/>
      <c r="E201" s="866"/>
      <c r="F201" s="498"/>
      <c r="G201" s="499"/>
      <c r="H201" s="492"/>
      <c r="I201" s="855">
        <f>IFERROR(IFERROR(INDEX('Fixture and LED Schedule'!D:D,MATCH(F201,'Fixture and LED Schedule'!C:C,""),1),F201),"")</f>
        <v>0</v>
      </c>
      <c r="J201" s="855" t="str">
        <f>IFERROR(IF(PRJ_Type="New Construction",H201,INDEX(yControl_Code,MATCH(Inventory!H201,yControlTypes,0),1)),"")</f>
        <v/>
      </c>
      <c r="K201" s="493"/>
      <c r="L201" s="501"/>
      <c r="M201" s="502"/>
      <c r="N201" s="855">
        <f>IFERROR(IFERROR(INDEX('Fixture and LED Schedule'!D:D,MATCH(K201,'Fixture and LED Schedule'!C:C,0),1),K201),"")</f>
        <v>0</v>
      </c>
      <c r="O201" s="858" t="str">
        <f>IFERROR(INDEX(yControl_Code,MATCH(Inventory!M201,yControlTypes,0),1),"")</f>
        <v/>
      </c>
      <c r="P201" s="857" t="str">
        <f>'Lighting Inventory (Ref only)'!AG204</f>
        <v/>
      </c>
      <c r="Q201" s="856" t="str">
        <f>'Lighting Inventory (Ref only)'!AF204</f>
        <v/>
      </c>
      <c r="R201" s="856" t="str">
        <f t="shared" si="4"/>
        <v/>
      </c>
      <c r="S201" s="856" t="str">
        <f>IFERROR(ROUND(R201*'Project Info and Summary'!$J$5/'Project Info and Summary'!$L$5,2),"")</f>
        <v/>
      </c>
    </row>
    <row r="202" spans="1:19" s="102" customFormat="1" ht="30" customHeight="1">
      <c r="A202" s="948"/>
      <c r="B202" s="496">
        <f t="shared" si="5"/>
        <v>193</v>
      </c>
      <c r="C202" s="864"/>
      <c r="D202" s="505"/>
      <c r="E202" s="866"/>
      <c r="F202" s="498"/>
      <c r="G202" s="499"/>
      <c r="H202" s="492"/>
      <c r="I202" s="855">
        <f>IFERROR(IFERROR(INDEX('Fixture and LED Schedule'!D:D,MATCH(F202,'Fixture and LED Schedule'!C:C,""),1),F202),"")</f>
        <v>0</v>
      </c>
      <c r="J202" s="855" t="str">
        <f>IFERROR(IF(PRJ_Type="New Construction",H202,INDEX(yControl_Code,MATCH(Inventory!H202,yControlTypes,0),1)),"")</f>
        <v/>
      </c>
      <c r="K202" s="493"/>
      <c r="L202" s="501"/>
      <c r="M202" s="502"/>
      <c r="N202" s="855">
        <f>IFERROR(IFERROR(INDEX('Fixture and LED Schedule'!D:D,MATCH(K202,'Fixture and LED Schedule'!C:C,0),1),K202),"")</f>
        <v>0</v>
      </c>
      <c r="O202" s="858" t="str">
        <f>IFERROR(INDEX(yControl_Code,MATCH(Inventory!M202,yControlTypes,0),1),"")</f>
        <v/>
      </c>
      <c r="P202" s="857" t="str">
        <f>'Lighting Inventory (Ref only)'!AG205</f>
        <v/>
      </c>
      <c r="Q202" s="856" t="str">
        <f>'Lighting Inventory (Ref only)'!AF205</f>
        <v/>
      </c>
      <c r="R202" s="856" t="str">
        <f t="shared" si="4"/>
        <v/>
      </c>
      <c r="S202" s="856" t="str">
        <f>IFERROR(ROUND(R202*'Project Info and Summary'!$J$5/'Project Info and Summary'!$L$5,2),"")</f>
        <v/>
      </c>
    </row>
    <row r="203" spans="1:19" s="102" customFormat="1" ht="30" customHeight="1">
      <c r="A203" s="948"/>
      <c r="B203" s="496">
        <f t="shared" si="5"/>
        <v>194</v>
      </c>
      <c r="C203" s="864"/>
      <c r="D203" s="505"/>
      <c r="E203" s="866"/>
      <c r="F203" s="498"/>
      <c r="G203" s="499"/>
      <c r="H203" s="492"/>
      <c r="I203" s="855">
        <f>IFERROR(IFERROR(INDEX('Fixture and LED Schedule'!D:D,MATCH(F203,'Fixture and LED Schedule'!C:C,""),1),F203),"")</f>
        <v>0</v>
      </c>
      <c r="J203" s="855" t="str">
        <f>IFERROR(IF(PRJ_Type="New Construction",H203,INDEX(yControl_Code,MATCH(Inventory!H203,yControlTypes,0),1)),"")</f>
        <v/>
      </c>
      <c r="K203" s="493"/>
      <c r="L203" s="501"/>
      <c r="M203" s="502"/>
      <c r="N203" s="855">
        <f>IFERROR(IFERROR(INDEX('Fixture and LED Schedule'!D:D,MATCH(K203,'Fixture and LED Schedule'!C:C,0),1),K203),"")</f>
        <v>0</v>
      </c>
      <c r="O203" s="858" t="str">
        <f>IFERROR(INDEX(yControl_Code,MATCH(Inventory!M203,yControlTypes,0),1),"")</f>
        <v/>
      </c>
      <c r="P203" s="857" t="str">
        <f>'Lighting Inventory (Ref only)'!AG206</f>
        <v/>
      </c>
      <c r="Q203" s="856" t="str">
        <f>'Lighting Inventory (Ref only)'!AF206</f>
        <v/>
      </c>
      <c r="R203" s="856" t="str">
        <f t="shared" ref="R203:R266" si="6">IFERROR(P203*0.02+Q203*185,"")</f>
        <v/>
      </c>
      <c r="S203" s="856" t="str">
        <f>IFERROR(ROUND(R203*'Project Info and Summary'!$J$5/'Project Info and Summary'!$L$5,2),"")</f>
        <v/>
      </c>
    </row>
    <row r="204" spans="1:19" s="102" customFormat="1" ht="30" customHeight="1">
      <c r="A204" s="948"/>
      <c r="B204" s="496">
        <f t="shared" ref="B204:B252" si="7">B203+1</f>
        <v>195</v>
      </c>
      <c r="C204" s="864"/>
      <c r="D204" s="505"/>
      <c r="E204" s="866"/>
      <c r="F204" s="498"/>
      <c r="G204" s="499"/>
      <c r="H204" s="492"/>
      <c r="I204" s="855">
        <f>IFERROR(IFERROR(INDEX('Fixture and LED Schedule'!D:D,MATCH(F204,'Fixture and LED Schedule'!C:C,""),1),F204),"")</f>
        <v>0</v>
      </c>
      <c r="J204" s="855" t="str">
        <f>IFERROR(IF(PRJ_Type="New Construction",H204,INDEX(yControl_Code,MATCH(Inventory!H204,yControlTypes,0),1)),"")</f>
        <v/>
      </c>
      <c r="K204" s="493"/>
      <c r="L204" s="501"/>
      <c r="M204" s="502"/>
      <c r="N204" s="855">
        <f>IFERROR(IFERROR(INDEX('Fixture and LED Schedule'!D:D,MATCH(K204,'Fixture and LED Schedule'!C:C,0),1),K204),"")</f>
        <v>0</v>
      </c>
      <c r="O204" s="858" t="str">
        <f>IFERROR(INDEX(yControl_Code,MATCH(Inventory!M204,yControlTypes,0),1),"")</f>
        <v/>
      </c>
      <c r="P204" s="857" t="str">
        <f>'Lighting Inventory (Ref only)'!AG207</f>
        <v/>
      </c>
      <c r="Q204" s="856" t="str">
        <f>'Lighting Inventory (Ref only)'!AF207</f>
        <v/>
      </c>
      <c r="R204" s="856" t="str">
        <f t="shared" si="6"/>
        <v/>
      </c>
      <c r="S204" s="856" t="str">
        <f>IFERROR(ROUND(R204*'Project Info and Summary'!$J$5/'Project Info and Summary'!$L$5,2),"")</f>
        <v/>
      </c>
    </row>
    <row r="205" spans="1:19" s="102" customFormat="1" ht="30" customHeight="1">
      <c r="A205" s="948"/>
      <c r="B205" s="496">
        <f t="shared" si="7"/>
        <v>196</v>
      </c>
      <c r="C205" s="864"/>
      <c r="D205" s="505"/>
      <c r="E205" s="866"/>
      <c r="F205" s="498"/>
      <c r="G205" s="499"/>
      <c r="H205" s="492"/>
      <c r="I205" s="855">
        <f>IFERROR(IFERROR(INDEX('Fixture and LED Schedule'!D:D,MATCH(F205,'Fixture and LED Schedule'!C:C,""),1),F205),"")</f>
        <v>0</v>
      </c>
      <c r="J205" s="855" t="str">
        <f>IFERROR(IF(PRJ_Type="New Construction",H205,INDEX(yControl_Code,MATCH(Inventory!H205,yControlTypes,0),1)),"")</f>
        <v/>
      </c>
      <c r="K205" s="493"/>
      <c r="L205" s="501"/>
      <c r="M205" s="502"/>
      <c r="N205" s="855">
        <f>IFERROR(IFERROR(INDEX('Fixture and LED Schedule'!D:D,MATCH(K205,'Fixture and LED Schedule'!C:C,0),1),K205),"")</f>
        <v>0</v>
      </c>
      <c r="O205" s="858" t="str">
        <f>IFERROR(INDEX(yControl_Code,MATCH(Inventory!M205,yControlTypes,0),1),"")</f>
        <v/>
      </c>
      <c r="P205" s="857" t="str">
        <f>'Lighting Inventory (Ref only)'!AG208</f>
        <v/>
      </c>
      <c r="Q205" s="856" t="str">
        <f>'Lighting Inventory (Ref only)'!AF208</f>
        <v/>
      </c>
      <c r="R205" s="856" t="str">
        <f t="shared" si="6"/>
        <v/>
      </c>
      <c r="S205" s="856" t="str">
        <f>IFERROR(ROUND(R205*'Project Info and Summary'!$J$5/'Project Info and Summary'!$L$5,2),"")</f>
        <v/>
      </c>
    </row>
    <row r="206" spans="1:19" s="102" customFormat="1" ht="30" customHeight="1">
      <c r="A206" s="948"/>
      <c r="B206" s="496">
        <f t="shared" si="7"/>
        <v>197</v>
      </c>
      <c r="C206" s="864"/>
      <c r="D206" s="505"/>
      <c r="E206" s="866"/>
      <c r="F206" s="498"/>
      <c r="G206" s="499"/>
      <c r="H206" s="492"/>
      <c r="I206" s="855">
        <f>IFERROR(IFERROR(INDEX('Fixture and LED Schedule'!D:D,MATCH(F206,'Fixture and LED Schedule'!C:C,""),1),F206),"")</f>
        <v>0</v>
      </c>
      <c r="J206" s="855" t="str">
        <f>IFERROR(IF(PRJ_Type="New Construction",H206,INDEX(yControl_Code,MATCH(Inventory!H206,yControlTypes,0),1)),"")</f>
        <v/>
      </c>
      <c r="K206" s="493"/>
      <c r="L206" s="501"/>
      <c r="M206" s="502"/>
      <c r="N206" s="855">
        <f>IFERROR(IFERROR(INDEX('Fixture and LED Schedule'!D:D,MATCH(K206,'Fixture and LED Schedule'!C:C,0),1),K206),"")</f>
        <v>0</v>
      </c>
      <c r="O206" s="858" t="str">
        <f>IFERROR(INDEX(yControl_Code,MATCH(Inventory!M206,yControlTypes,0),1),"")</f>
        <v/>
      </c>
      <c r="P206" s="857" t="str">
        <f>'Lighting Inventory (Ref only)'!AG209</f>
        <v/>
      </c>
      <c r="Q206" s="856" t="str">
        <f>'Lighting Inventory (Ref only)'!AF209</f>
        <v/>
      </c>
      <c r="R206" s="856" t="str">
        <f t="shared" si="6"/>
        <v/>
      </c>
      <c r="S206" s="856" t="str">
        <f>IFERROR(ROUND(R206*'Project Info and Summary'!$J$5/'Project Info and Summary'!$L$5,2),"")</f>
        <v/>
      </c>
    </row>
    <row r="207" spans="1:19" s="102" customFormat="1" ht="30" customHeight="1">
      <c r="A207" s="948"/>
      <c r="B207" s="496">
        <f t="shared" si="7"/>
        <v>198</v>
      </c>
      <c r="C207" s="864"/>
      <c r="D207" s="505"/>
      <c r="E207" s="866"/>
      <c r="F207" s="498"/>
      <c r="G207" s="499"/>
      <c r="H207" s="492"/>
      <c r="I207" s="855">
        <f>IFERROR(IFERROR(INDEX('Fixture and LED Schedule'!D:D,MATCH(F207,'Fixture and LED Schedule'!C:C,""),1),F207),"")</f>
        <v>0</v>
      </c>
      <c r="J207" s="855" t="str">
        <f>IFERROR(IF(PRJ_Type="New Construction",H207,INDEX(yControl_Code,MATCH(Inventory!H207,yControlTypes,0),1)),"")</f>
        <v/>
      </c>
      <c r="K207" s="493"/>
      <c r="L207" s="501"/>
      <c r="M207" s="502"/>
      <c r="N207" s="855">
        <f>IFERROR(IFERROR(INDEX('Fixture and LED Schedule'!D:D,MATCH(K207,'Fixture and LED Schedule'!C:C,0),1),K207),"")</f>
        <v>0</v>
      </c>
      <c r="O207" s="858" t="str">
        <f>IFERROR(INDEX(yControl_Code,MATCH(Inventory!M207,yControlTypes,0),1),"")</f>
        <v/>
      </c>
      <c r="P207" s="857" t="str">
        <f>'Lighting Inventory (Ref only)'!AG210</f>
        <v/>
      </c>
      <c r="Q207" s="856" t="str">
        <f>'Lighting Inventory (Ref only)'!AF210</f>
        <v/>
      </c>
      <c r="R207" s="856" t="str">
        <f t="shared" si="6"/>
        <v/>
      </c>
      <c r="S207" s="856" t="str">
        <f>IFERROR(ROUND(R207*'Project Info and Summary'!$J$5/'Project Info and Summary'!$L$5,2),"")</f>
        <v/>
      </c>
    </row>
    <row r="208" spans="1:19" s="102" customFormat="1" ht="30" customHeight="1">
      <c r="A208" s="948"/>
      <c r="B208" s="496">
        <f t="shared" si="7"/>
        <v>199</v>
      </c>
      <c r="C208" s="864"/>
      <c r="D208" s="505"/>
      <c r="E208" s="866"/>
      <c r="F208" s="498"/>
      <c r="G208" s="499"/>
      <c r="H208" s="492"/>
      <c r="I208" s="855">
        <f>IFERROR(IFERROR(INDEX('Fixture and LED Schedule'!D:D,MATCH(F208,'Fixture and LED Schedule'!C:C,""),1),F208),"")</f>
        <v>0</v>
      </c>
      <c r="J208" s="855" t="str">
        <f>IFERROR(IF(PRJ_Type="New Construction",H208,INDEX(yControl_Code,MATCH(Inventory!H208,yControlTypes,0),1)),"")</f>
        <v/>
      </c>
      <c r="K208" s="493"/>
      <c r="L208" s="501"/>
      <c r="M208" s="502"/>
      <c r="N208" s="855">
        <f>IFERROR(IFERROR(INDEX('Fixture and LED Schedule'!D:D,MATCH(K208,'Fixture and LED Schedule'!C:C,0),1),K208),"")</f>
        <v>0</v>
      </c>
      <c r="O208" s="858" t="str">
        <f>IFERROR(INDEX(yControl_Code,MATCH(Inventory!M208,yControlTypes,0),1),"")</f>
        <v/>
      </c>
      <c r="P208" s="857" t="str">
        <f>'Lighting Inventory (Ref only)'!AG211</f>
        <v/>
      </c>
      <c r="Q208" s="856" t="str">
        <f>'Lighting Inventory (Ref only)'!AF211</f>
        <v/>
      </c>
      <c r="R208" s="856" t="str">
        <f t="shared" si="6"/>
        <v/>
      </c>
      <c r="S208" s="856" t="str">
        <f>IFERROR(ROUND(R208*'Project Info and Summary'!$J$5/'Project Info and Summary'!$L$5,2),"")</f>
        <v/>
      </c>
    </row>
    <row r="209" spans="1:19" s="102" customFormat="1" ht="30" customHeight="1">
      <c r="A209" s="948"/>
      <c r="B209" s="496">
        <f t="shared" si="7"/>
        <v>200</v>
      </c>
      <c r="C209" s="864"/>
      <c r="D209" s="505"/>
      <c r="E209" s="866"/>
      <c r="F209" s="498"/>
      <c r="G209" s="499"/>
      <c r="H209" s="492"/>
      <c r="I209" s="855">
        <f>IFERROR(IFERROR(INDEX('Fixture and LED Schedule'!D:D,MATCH(F209,'Fixture and LED Schedule'!C:C,""),1),F209),"")</f>
        <v>0</v>
      </c>
      <c r="J209" s="855" t="str">
        <f>IFERROR(IF(PRJ_Type="New Construction",H209,INDEX(yControl_Code,MATCH(Inventory!H209,yControlTypes,0),1)),"")</f>
        <v/>
      </c>
      <c r="K209" s="493"/>
      <c r="L209" s="501"/>
      <c r="M209" s="502"/>
      <c r="N209" s="855">
        <f>IFERROR(IFERROR(INDEX('Fixture and LED Schedule'!D:D,MATCH(K209,'Fixture and LED Schedule'!C:C,0),1),K209),"")</f>
        <v>0</v>
      </c>
      <c r="O209" s="858" t="str">
        <f>IFERROR(INDEX(yControl_Code,MATCH(Inventory!M209,yControlTypes,0),1),"")</f>
        <v/>
      </c>
      <c r="P209" s="857" t="str">
        <f>'Lighting Inventory (Ref only)'!AG212</f>
        <v/>
      </c>
      <c r="Q209" s="856" t="str">
        <f>'Lighting Inventory (Ref only)'!AF212</f>
        <v/>
      </c>
      <c r="R209" s="856" t="str">
        <f t="shared" si="6"/>
        <v/>
      </c>
      <c r="S209" s="856" t="str">
        <f>IFERROR(ROUND(R209*'Project Info and Summary'!$J$5/'Project Info and Summary'!$L$5,2),"")</f>
        <v/>
      </c>
    </row>
    <row r="210" spans="1:19" s="102" customFormat="1" ht="30" customHeight="1">
      <c r="A210" s="948"/>
      <c r="B210" s="496">
        <f t="shared" si="7"/>
        <v>201</v>
      </c>
      <c r="C210" s="864"/>
      <c r="D210" s="505"/>
      <c r="E210" s="866"/>
      <c r="F210" s="498"/>
      <c r="G210" s="499"/>
      <c r="H210" s="492"/>
      <c r="I210" s="855">
        <f>IFERROR(IFERROR(INDEX('Fixture and LED Schedule'!D:D,MATCH(F210,'Fixture and LED Schedule'!C:C,""),1),F210),"")</f>
        <v>0</v>
      </c>
      <c r="J210" s="855" t="str">
        <f>IFERROR(IF(PRJ_Type="New Construction",H210,INDEX(yControl_Code,MATCH(Inventory!H210,yControlTypes,0),1)),"")</f>
        <v/>
      </c>
      <c r="K210" s="493"/>
      <c r="L210" s="501"/>
      <c r="M210" s="502"/>
      <c r="N210" s="855">
        <f>IFERROR(IFERROR(INDEX('Fixture and LED Schedule'!D:D,MATCH(K210,'Fixture and LED Schedule'!C:C,0),1),K210),"")</f>
        <v>0</v>
      </c>
      <c r="O210" s="858" t="str">
        <f>IFERROR(INDEX(yControl_Code,MATCH(Inventory!M210,yControlTypes,0),1),"")</f>
        <v/>
      </c>
      <c r="P210" s="857" t="str">
        <f>'Lighting Inventory (Ref only)'!AG213</f>
        <v/>
      </c>
      <c r="Q210" s="856" t="str">
        <f>'Lighting Inventory (Ref only)'!AF213</f>
        <v/>
      </c>
      <c r="R210" s="856" t="str">
        <f t="shared" si="6"/>
        <v/>
      </c>
      <c r="S210" s="856" t="str">
        <f>IFERROR(ROUND(R210*'Project Info and Summary'!$J$5/'Project Info and Summary'!$L$5,2),"")</f>
        <v/>
      </c>
    </row>
    <row r="211" spans="1:19" s="102" customFormat="1" ht="30" customHeight="1">
      <c r="A211" s="948"/>
      <c r="B211" s="496">
        <f t="shared" si="7"/>
        <v>202</v>
      </c>
      <c r="C211" s="864"/>
      <c r="D211" s="505"/>
      <c r="E211" s="866"/>
      <c r="F211" s="498"/>
      <c r="G211" s="499"/>
      <c r="H211" s="492"/>
      <c r="I211" s="855">
        <f>IFERROR(IFERROR(INDEX('Fixture and LED Schedule'!D:D,MATCH(F211,'Fixture and LED Schedule'!C:C,""),1),F211),"")</f>
        <v>0</v>
      </c>
      <c r="J211" s="855" t="str">
        <f>IFERROR(IF(PRJ_Type="New Construction",H211,INDEX(yControl_Code,MATCH(Inventory!H211,yControlTypes,0),1)),"")</f>
        <v/>
      </c>
      <c r="K211" s="493"/>
      <c r="L211" s="501"/>
      <c r="M211" s="502"/>
      <c r="N211" s="855">
        <f>IFERROR(IFERROR(INDEX('Fixture and LED Schedule'!D:D,MATCH(K211,'Fixture and LED Schedule'!C:C,0),1),K211),"")</f>
        <v>0</v>
      </c>
      <c r="O211" s="858" t="str">
        <f>IFERROR(INDEX(yControl_Code,MATCH(Inventory!M211,yControlTypes,0),1),"")</f>
        <v/>
      </c>
      <c r="P211" s="857" t="str">
        <f>'Lighting Inventory (Ref only)'!AG214</f>
        <v/>
      </c>
      <c r="Q211" s="856" t="str">
        <f>'Lighting Inventory (Ref only)'!AF214</f>
        <v/>
      </c>
      <c r="R211" s="856" t="str">
        <f t="shared" si="6"/>
        <v/>
      </c>
      <c r="S211" s="856" t="str">
        <f>IFERROR(ROUND(R211*'Project Info and Summary'!$J$5/'Project Info and Summary'!$L$5,2),"")</f>
        <v/>
      </c>
    </row>
    <row r="212" spans="1:19" s="102" customFormat="1" ht="30" customHeight="1">
      <c r="A212" s="948"/>
      <c r="B212" s="496">
        <f t="shared" si="7"/>
        <v>203</v>
      </c>
      <c r="C212" s="864"/>
      <c r="D212" s="505"/>
      <c r="E212" s="866"/>
      <c r="F212" s="498"/>
      <c r="G212" s="499"/>
      <c r="H212" s="492"/>
      <c r="I212" s="855">
        <f>IFERROR(IFERROR(INDEX('Fixture and LED Schedule'!D:D,MATCH(F212,'Fixture and LED Schedule'!C:C,""),1),F212),"")</f>
        <v>0</v>
      </c>
      <c r="J212" s="855" t="str">
        <f>IFERROR(IF(PRJ_Type="New Construction",H212,INDEX(yControl_Code,MATCH(Inventory!H212,yControlTypes,0),1)),"")</f>
        <v/>
      </c>
      <c r="K212" s="493"/>
      <c r="L212" s="501"/>
      <c r="M212" s="502"/>
      <c r="N212" s="855">
        <f>IFERROR(IFERROR(INDEX('Fixture and LED Schedule'!D:D,MATCH(K212,'Fixture and LED Schedule'!C:C,0),1),K212),"")</f>
        <v>0</v>
      </c>
      <c r="O212" s="858" t="str">
        <f>IFERROR(INDEX(yControl_Code,MATCH(Inventory!M212,yControlTypes,0),1),"")</f>
        <v/>
      </c>
      <c r="P212" s="857" t="str">
        <f>'Lighting Inventory (Ref only)'!AG215</f>
        <v/>
      </c>
      <c r="Q212" s="856" t="str">
        <f>'Lighting Inventory (Ref only)'!AF215</f>
        <v/>
      </c>
      <c r="R212" s="856" t="str">
        <f t="shared" si="6"/>
        <v/>
      </c>
      <c r="S212" s="856" t="str">
        <f>IFERROR(ROUND(R212*'Project Info and Summary'!$J$5/'Project Info and Summary'!$L$5,2),"")</f>
        <v/>
      </c>
    </row>
    <row r="213" spans="1:19" s="102" customFormat="1" ht="30" customHeight="1">
      <c r="A213" s="948"/>
      <c r="B213" s="496">
        <f t="shared" si="7"/>
        <v>204</v>
      </c>
      <c r="C213" s="864"/>
      <c r="D213" s="505"/>
      <c r="E213" s="866"/>
      <c r="F213" s="498"/>
      <c r="G213" s="499"/>
      <c r="H213" s="492"/>
      <c r="I213" s="855">
        <f>IFERROR(IFERROR(INDEX('Fixture and LED Schedule'!D:D,MATCH(F213,'Fixture and LED Schedule'!C:C,""),1),F213),"")</f>
        <v>0</v>
      </c>
      <c r="J213" s="855" t="str">
        <f>IFERROR(IF(PRJ_Type="New Construction",H213,INDEX(yControl_Code,MATCH(Inventory!H213,yControlTypes,0),1)),"")</f>
        <v/>
      </c>
      <c r="K213" s="493"/>
      <c r="L213" s="501"/>
      <c r="M213" s="502"/>
      <c r="N213" s="855">
        <f>IFERROR(IFERROR(INDEX('Fixture and LED Schedule'!D:D,MATCH(K213,'Fixture and LED Schedule'!C:C,0),1),K213),"")</f>
        <v>0</v>
      </c>
      <c r="O213" s="858" t="str">
        <f>IFERROR(INDEX(yControl_Code,MATCH(Inventory!M213,yControlTypes,0),1),"")</f>
        <v/>
      </c>
      <c r="P213" s="857" t="str">
        <f>'Lighting Inventory (Ref only)'!AG216</f>
        <v/>
      </c>
      <c r="Q213" s="856" t="str">
        <f>'Lighting Inventory (Ref only)'!AF216</f>
        <v/>
      </c>
      <c r="R213" s="856" t="str">
        <f t="shared" si="6"/>
        <v/>
      </c>
      <c r="S213" s="856" t="str">
        <f>IFERROR(ROUND(R213*'Project Info and Summary'!$J$5/'Project Info and Summary'!$L$5,2),"")</f>
        <v/>
      </c>
    </row>
    <row r="214" spans="1:19" s="102" customFormat="1" ht="30" customHeight="1">
      <c r="A214" s="948"/>
      <c r="B214" s="496">
        <f t="shared" si="7"/>
        <v>205</v>
      </c>
      <c r="C214" s="864"/>
      <c r="D214" s="505"/>
      <c r="E214" s="866"/>
      <c r="F214" s="498"/>
      <c r="G214" s="499"/>
      <c r="H214" s="492"/>
      <c r="I214" s="855">
        <f>IFERROR(IFERROR(INDEX('Fixture and LED Schedule'!D:D,MATCH(F214,'Fixture and LED Schedule'!C:C,""),1),F214),"")</f>
        <v>0</v>
      </c>
      <c r="J214" s="855" t="str">
        <f>IFERROR(IF(PRJ_Type="New Construction",H214,INDEX(yControl_Code,MATCH(Inventory!H214,yControlTypes,0),1)),"")</f>
        <v/>
      </c>
      <c r="K214" s="493"/>
      <c r="L214" s="501"/>
      <c r="M214" s="502"/>
      <c r="N214" s="855">
        <f>IFERROR(IFERROR(INDEX('Fixture and LED Schedule'!D:D,MATCH(K214,'Fixture and LED Schedule'!C:C,0),1),K214),"")</f>
        <v>0</v>
      </c>
      <c r="O214" s="858" t="str">
        <f>IFERROR(INDEX(yControl_Code,MATCH(Inventory!M214,yControlTypes,0),1),"")</f>
        <v/>
      </c>
      <c r="P214" s="857" t="str">
        <f>'Lighting Inventory (Ref only)'!AG217</f>
        <v/>
      </c>
      <c r="Q214" s="856" t="str">
        <f>'Lighting Inventory (Ref only)'!AF217</f>
        <v/>
      </c>
      <c r="R214" s="856" t="str">
        <f t="shared" si="6"/>
        <v/>
      </c>
      <c r="S214" s="856" t="str">
        <f>IFERROR(ROUND(R214*'Project Info and Summary'!$J$5/'Project Info and Summary'!$L$5,2),"")</f>
        <v/>
      </c>
    </row>
    <row r="215" spans="1:19" s="102" customFormat="1" ht="30" customHeight="1">
      <c r="A215" s="948"/>
      <c r="B215" s="496">
        <f t="shared" si="7"/>
        <v>206</v>
      </c>
      <c r="C215" s="864"/>
      <c r="D215" s="505"/>
      <c r="E215" s="866"/>
      <c r="F215" s="498"/>
      <c r="G215" s="499"/>
      <c r="H215" s="492"/>
      <c r="I215" s="855">
        <f>IFERROR(IFERROR(INDEX('Fixture and LED Schedule'!D:D,MATCH(F215,'Fixture and LED Schedule'!C:C,""),1),F215),"")</f>
        <v>0</v>
      </c>
      <c r="J215" s="855" t="str">
        <f>IFERROR(IF(PRJ_Type="New Construction",H215,INDEX(yControl_Code,MATCH(Inventory!H215,yControlTypes,0),1)),"")</f>
        <v/>
      </c>
      <c r="K215" s="493"/>
      <c r="L215" s="501"/>
      <c r="M215" s="502"/>
      <c r="N215" s="855">
        <f>IFERROR(IFERROR(INDEX('Fixture and LED Schedule'!D:D,MATCH(K215,'Fixture and LED Schedule'!C:C,0),1),K215),"")</f>
        <v>0</v>
      </c>
      <c r="O215" s="858" t="str">
        <f>IFERROR(INDEX(yControl_Code,MATCH(Inventory!M215,yControlTypes,0),1),"")</f>
        <v/>
      </c>
      <c r="P215" s="857" t="str">
        <f>'Lighting Inventory (Ref only)'!AG218</f>
        <v/>
      </c>
      <c r="Q215" s="856" t="str">
        <f>'Lighting Inventory (Ref only)'!AF218</f>
        <v/>
      </c>
      <c r="R215" s="856" t="str">
        <f t="shared" si="6"/>
        <v/>
      </c>
      <c r="S215" s="856" t="str">
        <f>IFERROR(ROUND(R215*'Project Info and Summary'!$J$5/'Project Info and Summary'!$L$5,2),"")</f>
        <v/>
      </c>
    </row>
    <row r="216" spans="1:19" s="102" customFormat="1" ht="30" customHeight="1">
      <c r="A216" s="948"/>
      <c r="B216" s="496">
        <f t="shared" si="7"/>
        <v>207</v>
      </c>
      <c r="C216" s="864"/>
      <c r="D216" s="505"/>
      <c r="E216" s="866"/>
      <c r="F216" s="498"/>
      <c r="G216" s="499"/>
      <c r="H216" s="492"/>
      <c r="I216" s="855">
        <f>IFERROR(IFERROR(INDEX('Fixture and LED Schedule'!D:D,MATCH(F216,'Fixture and LED Schedule'!C:C,""),1),F216),"")</f>
        <v>0</v>
      </c>
      <c r="J216" s="855" t="str">
        <f>IFERROR(IF(PRJ_Type="New Construction",H216,INDEX(yControl_Code,MATCH(Inventory!H216,yControlTypes,0),1)),"")</f>
        <v/>
      </c>
      <c r="K216" s="493"/>
      <c r="L216" s="501"/>
      <c r="M216" s="502"/>
      <c r="N216" s="855">
        <f>IFERROR(IFERROR(INDEX('Fixture and LED Schedule'!D:D,MATCH(K216,'Fixture and LED Schedule'!C:C,0),1),K216),"")</f>
        <v>0</v>
      </c>
      <c r="O216" s="858" t="str">
        <f>IFERROR(INDEX(yControl_Code,MATCH(Inventory!M216,yControlTypes,0),1),"")</f>
        <v/>
      </c>
      <c r="P216" s="857" t="str">
        <f>'Lighting Inventory (Ref only)'!AG219</f>
        <v/>
      </c>
      <c r="Q216" s="856" t="str">
        <f>'Lighting Inventory (Ref only)'!AF219</f>
        <v/>
      </c>
      <c r="R216" s="856" t="str">
        <f t="shared" si="6"/>
        <v/>
      </c>
      <c r="S216" s="856" t="str">
        <f>IFERROR(ROUND(R216*'Project Info and Summary'!$J$5/'Project Info and Summary'!$L$5,2),"")</f>
        <v/>
      </c>
    </row>
    <row r="217" spans="1:19" s="102" customFormat="1" ht="30" customHeight="1">
      <c r="A217" s="948"/>
      <c r="B217" s="496">
        <f t="shared" si="7"/>
        <v>208</v>
      </c>
      <c r="C217" s="864"/>
      <c r="D217" s="505"/>
      <c r="E217" s="866"/>
      <c r="F217" s="498"/>
      <c r="G217" s="499"/>
      <c r="H217" s="492"/>
      <c r="I217" s="855">
        <f>IFERROR(IFERROR(INDEX('Fixture and LED Schedule'!D:D,MATCH(F217,'Fixture and LED Schedule'!C:C,""),1),F217),"")</f>
        <v>0</v>
      </c>
      <c r="J217" s="855" t="str">
        <f>IFERROR(IF(PRJ_Type="New Construction",H217,INDEX(yControl_Code,MATCH(Inventory!H217,yControlTypes,0),1)),"")</f>
        <v/>
      </c>
      <c r="K217" s="493"/>
      <c r="L217" s="501"/>
      <c r="M217" s="502"/>
      <c r="N217" s="855">
        <f>IFERROR(IFERROR(INDEX('Fixture and LED Schedule'!D:D,MATCH(K217,'Fixture and LED Schedule'!C:C,0),1),K217),"")</f>
        <v>0</v>
      </c>
      <c r="O217" s="858" t="str">
        <f>IFERROR(INDEX(yControl_Code,MATCH(Inventory!M217,yControlTypes,0),1),"")</f>
        <v/>
      </c>
      <c r="P217" s="857" t="str">
        <f>'Lighting Inventory (Ref only)'!AG220</f>
        <v/>
      </c>
      <c r="Q217" s="856" t="str">
        <f>'Lighting Inventory (Ref only)'!AF220</f>
        <v/>
      </c>
      <c r="R217" s="856" t="str">
        <f t="shared" si="6"/>
        <v/>
      </c>
      <c r="S217" s="856" t="str">
        <f>IFERROR(ROUND(R217*'Project Info and Summary'!$J$5/'Project Info and Summary'!$L$5,2),"")</f>
        <v/>
      </c>
    </row>
    <row r="218" spans="1:19" s="102" customFormat="1" ht="30" customHeight="1">
      <c r="A218" s="948"/>
      <c r="B218" s="496">
        <f t="shared" si="7"/>
        <v>209</v>
      </c>
      <c r="C218" s="864"/>
      <c r="D218" s="505"/>
      <c r="E218" s="866"/>
      <c r="F218" s="498"/>
      <c r="G218" s="499"/>
      <c r="H218" s="492"/>
      <c r="I218" s="855">
        <f>IFERROR(IFERROR(INDEX('Fixture and LED Schedule'!D:D,MATCH(F218,'Fixture and LED Schedule'!C:C,""),1),F218),"")</f>
        <v>0</v>
      </c>
      <c r="J218" s="855" t="str">
        <f>IFERROR(IF(PRJ_Type="New Construction",H218,INDEX(yControl_Code,MATCH(Inventory!H218,yControlTypes,0),1)),"")</f>
        <v/>
      </c>
      <c r="K218" s="493"/>
      <c r="L218" s="501"/>
      <c r="M218" s="502"/>
      <c r="N218" s="855">
        <f>IFERROR(IFERROR(INDEX('Fixture and LED Schedule'!D:D,MATCH(K218,'Fixture and LED Schedule'!C:C,0),1),K218),"")</f>
        <v>0</v>
      </c>
      <c r="O218" s="858" t="str">
        <f>IFERROR(INDEX(yControl_Code,MATCH(Inventory!M218,yControlTypes,0),1),"")</f>
        <v/>
      </c>
      <c r="P218" s="857" t="str">
        <f>'Lighting Inventory (Ref only)'!AG221</f>
        <v/>
      </c>
      <c r="Q218" s="856" t="str">
        <f>'Lighting Inventory (Ref only)'!AF221</f>
        <v/>
      </c>
      <c r="R218" s="856" t="str">
        <f t="shared" si="6"/>
        <v/>
      </c>
      <c r="S218" s="856" t="str">
        <f>IFERROR(ROUND(R218*'Project Info and Summary'!$J$5/'Project Info and Summary'!$L$5,2),"")</f>
        <v/>
      </c>
    </row>
    <row r="219" spans="1:19" s="102" customFormat="1" ht="30" customHeight="1">
      <c r="A219" s="948"/>
      <c r="B219" s="496">
        <f t="shared" si="7"/>
        <v>210</v>
      </c>
      <c r="C219" s="864"/>
      <c r="D219" s="505"/>
      <c r="E219" s="866"/>
      <c r="F219" s="498"/>
      <c r="G219" s="499"/>
      <c r="H219" s="492"/>
      <c r="I219" s="855">
        <f>IFERROR(IFERROR(INDEX('Fixture and LED Schedule'!D:D,MATCH(F219,'Fixture and LED Schedule'!C:C,""),1),F219),"")</f>
        <v>0</v>
      </c>
      <c r="J219" s="855" t="str">
        <f>IFERROR(IF(PRJ_Type="New Construction",H219,INDEX(yControl_Code,MATCH(Inventory!H219,yControlTypes,0),1)),"")</f>
        <v/>
      </c>
      <c r="K219" s="493"/>
      <c r="L219" s="501"/>
      <c r="M219" s="502"/>
      <c r="N219" s="855">
        <f>IFERROR(IFERROR(INDEX('Fixture and LED Schedule'!D:D,MATCH(K219,'Fixture and LED Schedule'!C:C,0),1),K219),"")</f>
        <v>0</v>
      </c>
      <c r="O219" s="858" t="str">
        <f>IFERROR(INDEX(yControl_Code,MATCH(Inventory!M219,yControlTypes,0),1),"")</f>
        <v/>
      </c>
      <c r="P219" s="857" t="str">
        <f>'Lighting Inventory (Ref only)'!AG222</f>
        <v/>
      </c>
      <c r="Q219" s="856" t="str">
        <f>'Lighting Inventory (Ref only)'!AF222</f>
        <v/>
      </c>
      <c r="R219" s="856" t="str">
        <f t="shared" si="6"/>
        <v/>
      </c>
      <c r="S219" s="856" t="str">
        <f>IFERROR(ROUND(R219*'Project Info and Summary'!$J$5/'Project Info and Summary'!$L$5,2),"")</f>
        <v/>
      </c>
    </row>
    <row r="220" spans="1:19" s="102" customFormat="1" ht="30" customHeight="1">
      <c r="A220" s="948"/>
      <c r="B220" s="496">
        <f t="shared" si="7"/>
        <v>211</v>
      </c>
      <c r="C220" s="864"/>
      <c r="D220" s="505"/>
      <c r="E220" s="866"/>
      <c r="F220" s="498"/>
      <c r="G220" s="499"/>
      <c r="H220" s="492"/>
      <c r="I220" s="855">
        <f>IFERROR(IFERROR(INDEX('Fixture and LED Schedule'!D:D,MATCH(F220,'Fixture and LED Schedule'!C:C,""),1),F220),"")</f>
        <v>0</v>
      </c>
      <c r="J220" s="855" t="str">
        <f>IFERROR(IF(PRJ_Type="New Construction",H220,INDEX(yControl_Code,MATCH(Inventory!H220,yControlTypes,0),1)),"")</f>
        <v/>
      </c>
      <c r="K220" s="493"/>
      <c r="L220" s="501"/>
      <c r="M220" s="502"/>
      <c r="N220" s="855">
        <f>IFERROR(IFERROR(INDEX('Fixture and LED Schedule'!D:D,MATCH(K220,'Fixture and LED Schedule'!C:C,0),1),K220),"")</f>
        <v>0</v>
      </c>
      <c r="O220" s="858" t="str">
        <f>IFERROR(INDEX(yControl_Code,MATCH(Inventory!M220,yControlTypes,0),1),"")</f>
        <v/>
      </c>
      <c r="P220" s="857" t="str">
        <f>'Lighting Inventory (Ref only)'!AG223</f>
        <v/>
      </c>
      <c r="Q220" s="856" t="str">
        <f>'Lighting Inventory (Ref only)'!AF223</f>
        <v/>
      </c>
      <c r="R220" s="856" t="str">
        <f t="shared" si="6"/>
        <v/>
      </c>
      <c r="S220" s="856" t="str">
        <f>IFERROR(ROUND(R220*'Project Info and Summary'!$J$5/'Project Info and Summary'!$L$5,2),"")</f>
        <v/>
      </c>
    </row>
    <row r="221" spans="1:19" s="102" customFormat="1" ht="30" customHeight="1">
      <c r="A221" s="948"/>
      <c r="B221" s="496">
        <f t="shared" si="7"/>
        <v>212</v>
      </c>
      <c r="C221" s="864"/>
      <c r="D221" s="505"/>
      <c r="E221" s="866"/>
      <c r="F221" s="498"/>
      <c r="G221" s="499"/>
      <c r="H221" s="492"/>
      <c r="I221" s="855">
        <f>IFERROR(IFERROR(INDEX('Fixture and LED Schedule'!D:D,MATCH(F221,'Fixture and LED Schedule'!C:C,""),1),F221),"")</f>
        <v>0</v>
      </c>
      <c r="J221" s="855" t="str">
        <f>IFERROR(IF(PRJ_Type="New Construction",H221,INDEX(yControl_Code,MATCH(Inventory!H221,yControlTypes,0),1)),"")</f>
        <v/>
      </c>
      <c r="K221" s="493"/>
      <c r="L221" s="501"/>
      <c r="M221" s="502"/>
      <c r="N221" s="855">
        <f>IFERROR(IFERROR(INDEX('Fixture and LED Schedule'!D:D,MATCH(K221,'Fixture and LED Schedule'!C:C,0),1),K221),"")</f>
        <v>0</v>
      </c>
      <c r="O221" s="858" t="str">
        <f>IFERROR(INDEX(yControl_Code,MATCH(Inventory!M221,yControlTypes,0),1),"")</f>
        <v/>
      </c>
      <c r="P221" s="857" t="str">
        <f>'Lighting Inventory (Ref only)'!AG224</f>
        <v/>
      </c>
      <c r="Q221" s="856" t="str">
        <f>'Lighting Inventory (Ref only)'!AF224</f>
        <v/>
      </c>
      <c r="R221" s="856" t="str">
        <f t="shared" si="6"/>
        <v/>
      </c>
      <c r="S221" s="856" t="str">
        <f>IFERROR(ROUND(R221*'Project Info and Summary'!$J$5/'Project Info and Summary'!$L$5,2),"")</f>
        <v/>
      </c>
    </row>
    <row r="222" spans="1:19" s="102" customFormat="1" ht="30" customHeight="1">
      <c r="A222" s="948"/>
      <c r="B222" s="496">
        <f t="shared" si="7"/>
        <v>213</v>
      </c>
      <c r="C222" s="864"/>
      <c r="D222" s="505"/>
      <c r="E222" s="866"/>
      <c r="F222" s="498"/>
      <c r="G222" s="499"/>
      <c r="H222" s="492"/>
      <c r="I222" s="855">
        <f>IFERROR(IFERROR(INDEX('Fixture and LED Schedule'!D:D,MATCH(F222,'Fixture and LED Schedule'!C:C,""),1),F222),"")</f>
        <v>0</v>
      </c>
      <c r="J222" s="855" t="str">
        <f>IFERROR(IF(PRJ_Type="New Construction",H222,INDEX(yControl_Code,MATCH(Inventory!H222,yControlTypes,0),1)),"")</f>
        <v/>
      </c>
      <c r="K222" s="493"/>
      <c r="L222" s="501"/>
      <c r="M222" s="502"/>
      <c r="N222" s="855">
        <f>IFERROR(IFERROR(INDEX('Fixture and LED Schedule'!D:D,MATCH(K222,'Fixture and LED Schedule'!C:C,0),1),K222),"")</f>
        <v>0</v>
      </c>
      <c r="O222" s="858" t="str">
        <f>IFERROR(INDEX(yControl_Code,MATCH(Inventory!M222,yControlTypes,0),1),"")</f>
        <v/>
      </c>
      <c r="P222" s="857" t="str">
        <f>'Lighting Inventory (Ref only)'!AG225</f>
        <v/>
      </c>
      <c r="Q222" s="856" t="str">
        <f>'Lighting Inventory (Ref only)'!AF225</f>
        <v/>
      </c>
      <c r="R222" s="856" t="str">
        <f t="shared" si="6"/>
        <v/>
      </c>
      <c r="S222" s="856" t="str">
        <f>IFERROR(ROUND(R222*'Project Info and Summary'!$J$5/'Project Info and Summary'!$L$5,2),"")</f>
        <v/>
      </c>
    </row>
    <row r="223" spans="1:19" s="102" customFormat="1" ht="30" customHeight="1">
      <c r="A223" s="948"/>
      <c r="B223" s="496">
        <f t="shared" si="7"/>
        <v>214</v>
      </c>
      <c r="C223" s="864"/>
      <c r="D223" s="505"/>
      <c r="E223" s="866"/>
      <c r="F223" s="498"/>
      <c r="G223" s="499"/>
      <c r="H223" s="492"/>
      <c r="I223" s="855">
        <f>IFERROR(IFERROR(INDEX('Fixture and LED Schedule'!D:D,MATCH(F223,'Fixture and LED Schedule'!C:C,""),1),F223),"")</f>
        <v>0</v>
      </c>
      <c r="J223" s="855" t="str">
        <f>IFERROR(IF(PRJ_Type="New Construction",H223,INDEX(yControl_Code,MATCH(Inventory!H223,yControlTypes,0),1)),"")</f>
        <v/>
      </c>
      <c r="K223" s="493"/>
      <c r="L223" s="501"/>
      <c r="M223" s="502"/>
      <c r="N223" s="855">
        <f>IFERROR(IFERROR(INDEX('Fixture and LED Schedule'!D:D,MATCH(K223,'Fixture and LED Schedule'!C:C,0),1),K223),"")</f>
        <v>0</v>
      </c>
      <c r="O223" s="858" t="str">
        <f>IFERROR(INDEX(yControl_Code,MATCH(Inventory!M223,yControlTypes,0),1),"")</f>
        <v/>
      </c>
      <c r="P223" s="857" t="str">
        <f>'Lighting Inventory (Ref only)'!AG226</f>
        <v/>
      </c>
      <c r="Q223" s="856" t="str">
        <f>'Lighting Inventory (Ref only)'!AF226</f>
        <v/>
      </c>
      <c r="R223" s="856" t="str">
        <f t="shared" si="6"/>
        <v/>
      </c>
      <c r="S223" s="856" t="str">
        <f>IFERROR(ROUND(R223*'Project Info and Summary'!$J$5/'Project Info and Summary'!$L$5,2),"")</f>
        <v/>
      </c>
    </row>
    <row r="224" spans="1:19" s="102" customFormat="1" ht="30" customHeight="1">
      <c r="A224" s="948"/>
      <c r="B224" s="496">
        <f t="shared" si="7"/>
        <v>215</v>
      </c>
      <c r="C224" s="864"/>
      <c r="D224" s="505"/>
      <c r="E224" s="866"/>
      <c r="F224" s="498"/>
      <c r="G224" s="499"/>
      <c r="H224" s="492"/>
      <c r="I224" s="855">
        <f>IFERROR(IFERROR(INDEX('Fixture and LED Schedule'!D:D,MATCH(F224,'Fixture and LED Schedule'!C:C,""),1),F224),"")</f>
        <v>0</v>
      </c>
      <c r="J224" s="855" t="str">
        <f>IFERROR(IF(PRJ_Type="New Construction",H224,INDEX(yControl_Code,MATCH(Inventory!H224,yControlTypes,0),1)),"")</f>
        <v/>
      </c>
      <c r="K224" s="493"/>
      <c r="L224" s="501"/>
      <c r="M224" s="502"/>
      <c r="N224" s="855">
        <f>IFERROR(IFERROR(INDEX('Fixture and LED Schedule'!D:D,MATCH(K224,'Fixture and LED Schedule'!C:C,0),1),K224),"")</f>
        <v>0</v>
      </c>
      <c r="O224" s="858" t="str">
        <f>IFERROR(INDEX(yControl_Code,MATCH(Inventory!M224,yControlTypes,0),1),"")</f>
        <v/>
      </c>
      <c r="P224" s="857" t="str">
        <f>'Lighting Inventory (Ref only)'!AG227</f>
        <v/>
      </c>
      <c r="Q224" s="856" t="str">
        <f>'Lighting Inventory (Ref only)'!AF227</f>
        <v/>
      </c>
      <c r="R224" s="856" t="str">
        <f t="shared" si="6"/>
        <v/>
      </c>
      <c r="S224" s="856" t="str">
        <f>IFERROR(ROUND(R224*'Project Info and Summary'!$J$5/'Project Info and Summary'!$L$5,2),"")</f>
        <v/>
      </c>
    </row>
    <row r="225" spans="1:19" s="102" customFormat="1" ht="30" customHeight="1">
      <c r="A225" s="948"/>
      <c r="B225" s="496">
        <f t="shared" si="7"/>
        <v>216</v>
      </c>
      <c r="C225" s="864"/>
      <c r="D225" s="505"/>
      <c r="E225" s="866"/>
      <c r="F225" s="498"/>
      <c r="G225" s="499"/>
      <c r="H225" s="492"/>
      <c r="I225" s="855">
        <f>IFERROR(IFERROR(INDEX('Fixture and LED Schedule'!D:D,MATCH(F225,'Fixture and LED Schedule'!C:C,""),1),F225),"")</f>
        <v>0</v>
      </c>
      <c r="J225" s="855" t="str">
        <f>IFERROR(IF(PRJ_Type="New Construction",H225,INDEX(yControl_Code,MATCH(Inventory!H225,yControlTypes,0),1)),"")</f>
        <v/>
      </c>
      <c r="K225" s="493"/>
      <c r="L225" s="501"/>
      <c r="M225" s="502"/>
      <c r="N225" s="855">
        <f>IFERROR(IFERROR(INDEX('Fixture and LED Schedule'!D:D,MATCH(K225,'Fixture and LED Schedule'!C:C,0),1),K225),"")</f>
        <v>0</v>
      </c>
      <c r="O225" s="858" t="str">
        <f>IFERROR(INDEX(yControl_Code,MATCH(Inventory!M225,yControlTypes,0),1),"")</f>
        <v/>
      </c>
      <c r="P225" s="857" t="str">
        <f>'Lighting Inventory (Ref only)'!AG228</f>
        <v/>
      </c>
      <c r="Q225" s="856" t="str">
        <f>'Lighting Inventory (Ref only)'!AF228</f>
        <v/>
      </c>
      <c r="R225" s="856" t="str">
        <f t="shared" si="6"/>
        <v/>
      </c>
      <c r="S225" s="856" t="str">
        <f>IFERROR(ROUND(R225*'Project Info and Summary'!$J$5/'Project Info and Summary'!$L$5,2),"")</f>
        <v/>
      </c>
    </row>
    <row r="226" spans="1:19" s="102" customFormat="1" ht="30" customHeight="1">
      <c r="A226" s="948"/>
      <c r="B226" s="496">
        <f t="shared" si="7"/>
        <v>217</v>
      </c>
      <c r="C226" s="864"/>
      <c r="D226" s="505"/>
      <c r="E226" s="866"/>
      <c r="F226" s="498"/>
      <c r="G226" s="499"/>
      <c r="H226" s="492"/>
      <c r="I226" s="855">
        <f>IFERROR(IFERROR(INDEX('Fixture and LED Schedule'!D:D,MATCH(F226,'Fixture and LED Schedule'!C:C,""),1),F226),"")</f>
        <v>0</v>
      </c>
      <c r="J226" s="855" t="str">
        <f>IFERROR(IF(PRJ_Type="New Construction",H226,INDEX(yControl_Code,MATCH(Inventory!H226,yControlTypes,0),1)),"")</f>
        <v/>
      </c>
      <c r="K226" s="493"/>
      <c r="L226" s="501"/>
      <c r="M226" s="502"/>
      <c r="N226" s="855">
        <f>IFERROR(IFERROR(INDEX('Fixture and LED Schedule'!D:D,MATCH(K226,'Fixture and LED Schedule'!C:C,0),1),K226),"")</f>
        <v>0</v>
      </c>
      <c r="O226" s="858" t="str">
        <f>IFERROR(INDEX(yControl_Code,MATCH(Inventory!M226,yControlTypes,0),1),"")</f>
        <v/>
      </c>
      <c r="P226" s="857" t="str">
        <f>'Lighting Inventory (Ref only)'!AG229</f>
        <v/>
      </c>
      <c r="Q226" s="856" t="str">
        <f>'Lighting Inventory (Ref only)'!AF229</f>
        <v/>
      </c>
      <c r="R226" s="856" t="str">
        <f t="shared" si="6"/>
        <v/>
      </c>
      <c r="S226" s="856" t="str">
        <f>IFERROR(ROUND(R226*'Project Info and Summary'!$J$5/'Project Info and Summary'!$L$5,2),"")</f>
        <v/>
      </c>
    </row>
    <row r="227" spans="1:19" s="102" customFormat="1" ht="30" customHeight="1">
      <c r="A227" s="948"/>
      <c r="B227" s="496">
        <f t="shared" si="7"/>
        <v>218</v>
      </c>
      <c r="C227" s="864"/>
      <c r="D227" s="505"/>
      <c r="E227" s="866"/>
      <c r="F227" s="498"/>
      <c r="G227" s="499"/>
      <c r="H227" s="492"/>
      <c r="I227" s="855">
        <f>IFERROR(IFERROR(INDEX('Fixture and LED Schedule'!D:D,MATCH(F227,'Fixture and LED Schedule'!C:C,""),1),F227),"")</f>
        <v>0</v>
      </c>
      <c r="J227" s="855" t="str">
        <f>IFERROR(IF(PRJ_Type="New Construction",H227,INDEX(yControl_Code,MATCH(Inventory!H227,yControlTypes,0),1)),"")</f>
        <v/>
      </c>
      <c r="K227" s="493"/>
      <c r="L227" s="501"/>
      <c r="M227" s="502"/>
      <c r="N227" s="855">
        <f>IFERROR(IFERROR(INDEX('Fixture and LED Schedule'!D:D,MATCH(K227,'Fixture and LED Schedule'!C:C,0),1),K227),"")</f>
        <v>0</v>
      </c>
      <c r="O227" s="858" t="str">
        <f>IFERROR(INDEX(yControl_Code,MATCH(Inventory!M227,yControlTypes,0),1),"")</f>
        <v/>
      </c>
      <c r="P227" s="857" t="str">
        <f>'Lighting Inventory (Ref only)'!AG230</f>
        <v/>
      </c>
      <c r="Q227" s="856" t="str">
        <f>'Lighting Inventory (Ref only)'!AF230</f>
        <v/>
      </c>
      <c r="R227" s="856" t="str">
        <f t="shared" si="6"/>
        <v/>
      </c>
      <c r="S227" s="856" t="str">
        <f>IFERROR(ROUND(R227*'Project Info and Summary'!$J$5/'Project Info and Summary'!$L$5,2),"")</f>
        <v/>
      </c>
    </row>
    <row r="228" spans="1:19" s="102" customFormat="1" ht="30" customHeight="1">
      <c r="A228" s="948"/>
      <c r="B228" s="496">
        <f t="shared" si="7"/>
        <v>219</v>
      </c>
      <c r="C228" s="864"/>
      <c r="D228" s="505"/>
      <c r="E228" s="866"/>
      <c r="F228" s="498"/>
      <c r="G228" s="499"/>
      <c r="H228" s="492"/>
      <c r="I228" s="855">
        <f>IFERROR(IFERROR(INDEX('Fixture and LED Schedule'!D:D,MATCH(F228,'Fixture and LED Schedule'!C:C,""),1),F228),"")</f>
        <v>0</v>
      </c>
      <c r="J228" s="855" t="str">
        <f>IFERROR(IF(PRJ_Type="New Construction",H228,INDEX(yControl_Code,MATCH(Inventory!H228,yControlTypes,0),1)),"")</f>
        <v/>
      </c>
      <c r="K228" s="493"/>
      <c r="L228" s="501"/>
      <c r="M228" s="502"/>
      <c r="N228" s="855">
        <f>IFERROR(IFERROR(INDEX('Fixture and LED Schedule'!D:D,MATCH(K228,'Fixture and LED Schedule'!C:C,0),1),K228),"")</f>
        <v>0</v>
      </c>
      <c r="O228" s="858" t="str">
        <f>IFERROR(INDEX(yControl_Code,MATCH(Inventory!M228,yControlTypes,0),1),"")</f>
        <v/>
      </c>
      <c r="P228" s="857" t="str">
        <f>'Lighting Inventory (Ref only)'!AG231</f>
        <v/>
      </c>
      <c r="Q228" s="856" t="str">
        <f>'Lighting Inventory (Ref only)'!AF231</f>
        <v/>
      </c>
      <c r="R228" s="856" t="str">
        <f t="shared" si="6"/>
        <v/>
      </c>
      <c r="S228" s="856" t="str">
        <f>IFERROR(ROUND(R228*'Project Info and Summary'!$J$5/'Project Info and Summary'!$L$5,2),"")</f>
        <v/>
      </c>
    </row>
    <row r="229" spans="1:19" s="102" customFormat="1" ht="30" customHeight="1">
      <c r="A229" s="948"/>
      <c r="B229" s="496">
        <f t="shared" si="7"/>
        <v>220</v>
      </c>
      <c r="C229" s="864"/>
      <c r="D229" s="505"/>
      <c r="E229" s="866"/>
      <c r="F229" s="498"/>
      <c r="G229" s="499"/>
      <c r="H229" s="492"/>
      <c r="I229" s="855">
        <f>IFERROR(IFERROR(INDEX('Fixture and LED Schedule'!D:D,MATCH(F229,'Fixture and LED Schedule'!C:C,""),1),F229),"")</f>
        <v>0</v>
      </c>
      <c r="J229" s="855" t="str">
        <f>IFERROR(IF(PRJ_Type="New Construction",H229,INDEX(yControl_Code,MATCH(Inventory!H229,yControlTypes,0),1)),"")</f>
        <v/>
      </c>
      <c r="K229" s="493"/>
      <c r="L229" s="501"/>
      <c r="M229" s="502"/>
      <c r="N229" s="855">
        <f>IFERROR(IFERROR(INDEX('Fixture and LED Schedule'!D:D,MATCH(K229,'Fixture and LED Schedule'!C:C,0),1),K229),"")</f>
        <v>0</v>
      </c>
      <c r="O229" s="858" t="str">
        <f>IFERROR(INDEX(yControl_Code,MATCH(Inventory!M229,yControlTypes,0),1),"")</f>
        <v/>
      </c>
      <c r="P229" s="857" t="str">
        <f>'Lighting Inventory (Ref only)'!AG232</f>
        <v/>
      </c>
      <c r="Q229" s="856" t="str">
        <f>'Lighting Inventory (Ref only)'!AF232</f>
        <v/>
      </c>
      <c r="R229" s="856" t="str">
        <f t="shared" si="6"/>
        <v/>
      </c>
      <c r="S229" s="856" t="str">
        <f>IFERROR(ROUND(R229*'Project Info and Summary'!$J$5/'Project Info and Summary'!$L$5,2),"")</f>
        <v/>
      </c>
    </row>
    <row r="230" spans="1:19" s="102" customFormat="1" ht="30" customHeight="1">
      <c r="A230" s="948"/>
      <c r="B230" s="496">
        <f t="shared" si="7"/>
        <v>221</v>
      </c>
      <c r="C230" s="864"/>
      <c r="D230" s="505"/>
      <c r="E230" s="866"/>
      <c r="F230" s="498"/>
      <c r="G230" s="499"/>
      <c r="H230" s="492"/>
      <c r="I230" s="855">
        <f>IFERROR(IFERROR(INDEX('Fixture and LED Schedule'!D:D,MATCH(F230,'Fixture and LED Schedule'!C:C,""),1),F230),"")</f>
        <v>0</v>
      </c>
      <c r="J230" s="855" t="str">
        <f>IFERROR(IF(PRJ_Type="New Construction",H230,INDEX(yControl_Code,MATCH(Inventory!H230,yControlTypes,0),1)),"")</f>
        <v/>
      </c>
      <c r="K230" s="493"/>
      <c r="L230" s="501"/>
      <c r="M230" s="502"/>
      <c r="N230" s="855">
        <f>IFERROR(IFERROR(INDEX('Fixture and LED Schedule'!D:D,MATCH(K230,'Fixture and LED Schedule'!C:C,0),1),K230),"")</f>
        <v>0</v>
      </c>
      <c r="O230" s="858" t="str">
        <f>IFERROR(INDEX(yControl_Code,MATCH(Inventory!M230,yControlTypes,0),1),"")</f>
        <v/>
      </c>
      <c r="P230" s="857" t="str">
        <f>'Lighting Inventory (Ref only)'!AG233</f>
        <v/>
      </c>
      <c r="Q230" s="856" t="str">
        <f>'Lighting Inventory (Ref only)'!AF233</f>
        <v/>
      </c>
      <c r="R230" s="856" t="str">
        <f t="shared" si="6"/>
        <v/>
      </c>
      <c r="S230" s="856" t="str">
        <f>IFERROR(ROUND(R230*'Project Info and Summary'!$J$5/'Project Info and Summary'!$L$5,2),"")</f>
        <v/>
      </c>
    </row>
    <row r="231" spans="1:19" s="102" customFormat="1" ht="30" customHeight="1">
      <c r="A231" s="948"/>
      <c r="B231" s="496">
        <f t="shared" si="7"/>
        <v>222</v>
      </c>
      <c r="C231" s="864"/>
      <c r="D231" s="505"/>
      <c r="E231" s="866"/>
      <c r="F231" s="498"/>
      <c r="G231" s="499"/>
      <c r="H231" s="492"/>
      <c r="I231" s="855">
        <f>IFERROR(IFERROR(INDEX('Fixture and LED Schedule'!D:D,MATCH(F231,'Fixture and LED Schedule'!C:C,""),1),F231),"")</f>
        <v>0</v>
      </c>
      <c r="J231" s="855" t="str">
        <f>IFERROR(IF(PRJ_Type="New Construction",H231,INDEX(yControl_Code,MATCH(Inventory!H231,yControlTypes,0),1)),"")</f>
        <v/>
      </c>
      <c r="K231" s="493"/>
      <c r="L231" s="501"/>
      <c r="M231" s="502"/>
      <c r="N231" s="855">
        <f>IFERROR(IFERROR(INDEX('Fixture and LED Schedule'!D:D,MATCH(K231,'Fixture and LED Schedule'!C:C,0),1),K231),"")</f>
        <v>0</v>
      </c>
      <c r="O231" s="858" t="str">
        <f>IFERROR(INDEX(yControl_Code,MATCH(Inventory!M231,yControlTypes,0),1),"")</f>
        <v/>
      </c>
      <c r="P231" s="857" t="str">
        <f>'Lighting Inventory (Ref only)'!AG234</f>
        <v/>
      </c>
      <c r="Q231" s="856" t="str">
        <f>'Lighting Inventory (Ref only)'!AF234</f>
        <v/>
      </c>
      <c r="R231" s="856" t="str">
        <f t="shared" si="6"/>
        <v/>
      </c>
      <c r="S231" s="856" t="str">
        <f>IFERROR(ROUND(R231*'Project Info and Summary'!$J$5/'Project Info and Summary'!$L$5,2),"")</f>
        <v/>
      </c>
    </row>
    <row r="232" spans="1:19" s="102" customFormat="1" ht="30" customHeight="1">
      <c r="A232" s="948"/>
      <c r="B232" s="496">
        <f t="shared" si="7"/>
        <v>223</v>
      </c>
      <c r="C232" s="864"/>
      <c r="D232" s="505"/>
      <c r="E232" s="866"/>
      <c r="F232" s="498"/>
      <c r="G232" s="499"/>
      <c r="H232" s="492"/>
      <c r="I232" s="855">
        <f>IFERROR(IFERROR(INDEX('Fixture and LED Schedule'!D:D,MATCH(F232,'Fixture and LED Schedule'!C:C,""),1),F232),"")</f>
        <v>0</v>
      </c>
      <c r="J232" s="855" t="str">
        <f>IFERROR(IF(PRJ_Type="New Construction",H232,INDEX(yControl_Code,MATCH(Inventory!H232,yControlTypes,0),1)),"")</f>
        <v/>
      </c>
      <c r="K232" s="493"/>
      <c r="L232" s="501"/>
      <c r="M232" s="502"/>
      <c r="N232" s="855">
        <f>IFERROR(IFERROR(INDEX('Fixture and LED Schedule'!D:D,MATCH(K232,'Fixture and LED Schedule'!C:C,0),1),K232),"")</f>
        <v>0</v>
      </c>
      <c r="O232" s="858" t="str">
        <f>IFERROR(INDEX(yControl_Code,MATCH(Inventory!M232,yControlTypes,0),1),"")</f>
        <v/>
      </c>
      <c r="P232" s="857" t="str">
        <f>'Lighting Inventory (Ref only)'!AG235</f>
        <v/>
      </c>
      <c r="Q232" s="856" t="str">
        <f>'Lighting Inventory (Ref only)'!AF235</f>
        <v/>
      </c>
      <c r="R232" s="856" t="str">
        <f t="shared" si="6"/>
        <v/>
      </c>
      <c r="S232" s="856" t="str">
        <f>IFERROR(ROUND(R232*'Project Info and Summary'!$J$5/'Project Info and Summary'!$L$5,2),"")</f>
        <v/>
      </c>
    </row>
    <row r="233" spans="1:19" s="102" customFormat="1" ht="30" customHeight="1">
      <c r="A233" s="948"/>
      <c r="B233" s="496">
        <f t="shared" si="7"/>
        <v>224</v>
      </c>
      <c r="C233" s="864"/>
      <c r="D233" s="505"/>
      <c r="E233" s="866"/>
      <c r="F233" s="498"/>
      <c r="G233" s="499"/>
      <c r="H233" s="492"/>
      <c r="I233" s="855">
        <f>IFERROR(IFERROR(INDEX('Fixture and LED Schedule'!D:D,MATCH(F233,'Fixture and LED Schedule'!C:C,""),1),F233),"")</f>
        <v>0</v>
      </c>
      <c r="J233" s="855" t="str">
        <f>IFERROR(IF(PRJ_Type="New Construction",H233,INDEX(yControl_Code,MATCH(Inventory!H233,yControlTypes,0),1)),"")</f>
        <v/>
      </c>
      <c r="K233" s="493"/>
      <c r="L233" s="501"/>
      <c r="M233" s="502"/>
      <c r="N233" s="855">
        <f>IFERROR(IFERROR(INDEX('Fixture and LED Schedule'!D:D,MATCH(K233,'Fixture and LED Schedule'!C:C,0),1),K233),"")</f>
        <v>0</v>
      </c>
      <c r="O233" s="858" t="str">
        <f>IFERROR(INDEX(yControl_Code,MATCH(Inventory!M233,yControlTypes,0),1),"")</f>
        <v/>
      </c>
      <c r="P233" s="857" t="str">
        <f>'Lighting Inventory (Ref only)'!AG236</f>
        <v/>
      </c>
      <c r="Q233" s="856" t="str">
        <f>'Lighting Inventory (Ref only)'!AF236</f>
        <v/>
      </c>
      <c r="R233" s="856" t="str">
        <f t="shared" si="6"/>
        <v/>
      </c>
      <c r="S233" s="856" t="str">
        <f>IFERROR(ROUND(R233*'Project Info and Summary'!$J$5/'Project Info and Summary'!$L$5,2),"")</f>
        <v/>
      </c>
    </row>
    <row r="234" spans="1:19" s="102" customFormat="1" ht="30" customHeight="1">
      <c r="A234" s="948"/>
      <c r="B234" s="496">
        <f t="shared" si="7"/>
        <v>225</v>
      </c>
      <c r="C234" s="864"/>
      <c r="D234" s="505"/>
      <c r="E234" s="866"/>
      <c r="F234" s="498"/>
      <c r="G234" s="499"/>
      <c r="H234" s="492"/>
      <c r="I234" s="855">
        <f>IFERROR(IFERROR(INDEX('Fixture and LED Schedule'!D:D,MATCH(F234,'Fixture and LED Schedule'!C:C,""),1),F234),"")</f>
        <v>0</v>
      </c>
      <c r="J234" s="855" t="str">
        <f>IFERROR(IF(PRJ_Type="New Construction",H234,INDEX(yControl_Code,MATCH(Inventory!H234,yControlTypes,0),1)),"")</f>
        <v/>
      </c>
      <c r="K234" s="493"/>
      <c r="L234" s="501"/>
      <c r="M234" s="502"/>
      <c r="N234" s="855">
        <f>IFERROR(IFERROR(INDEX('Fixture and LED Schedule'!D:D,MATCH(K234,'Fixture and LED Schedule'!C:C,0),1),K234),"")</f>
        <v>0</v>
      </c>
      <c r="O234" s="858" t="str">
        <f>IFERROR(INDEX(yControl_Code,MATCH(Inventory!M234,yControlTypes,0),1),"")</f>
        <v/>
      </c>
      <c r="P234" s="857" t="str">
        <f>'Lighting Inventory (Ref only)'!AG237</f>
        <v/>
      </c>
      <c r="Q234" s="856" t="str">
        <f>'Lighting Inventory (Ref only)'!AF237</f>
        <v/>
      </c>
      <c r="R234" s="856" t="str">
        <f t="shared" si="6"/>
        <v/>
      </c>
      <c r="S234" s="856" t="str">
        <f>IFERROR(ROUND(R234*'Project Info and Summary'!$J$5/'Project Info and Summary'!$L$5,2),"")</f>
        <v/>
      </c>
    </row>
    <row r="235" spans="1:19" s="102" customFormat="1" ht="30" customHeight="1">
      <c r="A235" s="948"/>
      <c r="B235" s="496">
        <f t="shared" si="7"/>
        <v>226</v>
      </c>
      <c r="C235" s="864"/>
      <c r="D235" s="505"/>
      <c r="E235" s="866"/>
      <c r="F235" s="498"/>
      <c r="G235" s="499"/>
      <c r="H235" s="492"/>
      <c r="I235" s="855">
        <f>IFERROR(IFERROR(INDEX('Fixture and LED Schedule'!D:D,MATCH(F235,'Fixture and LED Schedule'!C:C,""),1),F235),"")</f>
        <v>0</v>
      </c>
      <c r="J235" s="855" t="str">
        <f>IFERROR(IF(PRJ_Type="New Construction",H235,INDEX(yControl_Code,MATCH(Inventory!H235,yControlTypes,0),1)),"")</f>
        <v/>
      </c>
      <c r="K235" s="493"/>
      <c r="L235" s="501"/>
      <c r="M235" s="502"/>
      <c r="N235" s="855">
        <f>IFERROR(IFERROR(INDEX('Fixture and LED Schedule'!D:D,MATCH(K235,'Fixture and LED Schedule'!C:C,0),1),K235),"")</f>
        <v>0</v>
      </c>
      <c r="O235" s="858" t="str">
        <f>IFERROR(INDEX(yControl_Code,MATCH(Inventory!M235,yControlTypes,0),1),"")</f>
        <v/>
      </c>
      <c r="P235" s="857" t="str">
        <f>'Lighting Inventory (Ref only)'!AG238</f>
        <v/>
      </c>
      <c r="Q235" s="856" t="str">
        <f>'Lighting Inventory (Ref only)'!AF238</f>
        <v/>
      </c>
      <c r="R235" s="856" t="str">
        <f t="shared" si="6"/>
        <v/>
      </c>
      <c r="S235" s="856" t="str">
        <f>IFERROR(ROUND(R235*'Project Info and Summary'!$J$5/'Project Info and Summary'!$L$5,2),"")</f>
        <v/>
      </c>
    </row>
    <row r="236" spans="1:19" s="102" customFormat="1" ht="30" customHeight="1">
      <c r="A236" s="948"/>
      <c r="B236" s="496">
        <f t="shared" si="7"/>
        <v>227</v>
      </c>
      <c r="C236" s="864"/>
      <c r="D236" s="505"/>
      <c r="E236" s="866"/>
      <c r="F236" s="498"/>
      <c r="G236" s="499"/>
      <c r="H236" s="492"/>
      <c r="I236" s="855">
        <f>IFERROR(IFERROR(INDEX('Fixture and LED Schedule'!D:D,MATCH(F236,'Fixture and LED Schedule'!C:C,""),1),F236),"")</f>
        <v>0</v>
      </c>
      <c r="J236" s="855" t="str">
        <f>IFERROR(IF(PRJ_Type="New Construction",H236,INDEX(yControl_Code,MATCH(Inventory!H236,yControlTypes,0),1)),"")</f>
        <v/>
      </c>
      <c r="K236" s="493"/>
      <c r="L236" s="501"/>
      <c r="M236" s="502"/>
      <c r="N236" s="855">
        <f>IFERROR(IFERROR(INDEX('Fixture and LED Schedule'!D:D,MATCH(K236,'Fixture and LED Schedule'!C:C,0),1),K236),"")</f>
        <v>0</v>
      </c>
      <c r="O236" s="858" t="str">
        <f>IFERROR(INDEX(yControl_Code,MATCH(Inventory!M236,yControlTypes,0),1),"")</f>
        <v/>
      </c>
      <c r="P236" s="857" t="str">
        <f>'Lighting Inventory (Ref only)'!AG239</f>
        <v/>
      </c>
      <c r="Q236" s="856" t="str">
        <f>'Lighting Inventory (Ref only)'!AF239</f>
        <v/>
      </c>
      <c r="R236" s="856" t="str">
        <f t="shared" si="6"/>
        <v/>
      </c>
      <c r="S236" s="856" t="str">
        <f>IFERROR(ROUND(R236*'Project Info and Summary'!$J$5/'Project Info and Summary'!$L$5,2),"")</f>
        <v/>
      </c>
    </row>
    <row r="237" spans="1:19" s="102" customFormat="1" ht="30" customHeight="1">
      <c r="A237" s="948"/>
      <c r="B237" s="496">
        <f t="shared" si="7"/>
        <v>228</v>
      </c>
      <c r="C237" s="864"/>
      <c r="D237" s="505"/>
      <c r="E237" s="866"/>
      <c r="F237" s="498"/>
      <c r="G237" s="499"/>
      <c r="H237" s="492"/>
      <c r="I237" s="855">
        <f>IFERROR(IFERROR(INDEX('Fixture and LED Schedule'!D:D,MATCH(F237,'Fixture and LED Schedule'!C:C,""),1),F237),"")</f>
        <v>0</v>
      </c>
      <c r="J237" s="855" t="str">
        <f>IFERROR(IF(PRJ_Type="New Construction",H237,INDEX(yControl_Code,MATCH(Inventory!H237,yControlTypes,0),1)),"")</f>
        <v/>
      </c>
      <c r="K237" s="493"/>
      <c r="L237" s="501"/>
      <c r="M237" s="502"/>
      <c r="N237" s="855">
        <f>IFERROR(IFERROR(INDEX('Fixture and LED Schedule'!D:D,MATCH(K237,'Fixture and LED Schedule'!C:C,0),1),K237),"")</f>
        <v>0</v>
      </c>
      <c r="O237" s="858" t="str">
        <f>IFERROR(INDEX(yControl_Code,MATCH(Inventory!M237,yControlTypes,0),1),"")</f>
        <v/>
      </c>
      <c r="P237" s="857" t="str">
        <f>'Lighting Inventory (Ref only)'!AG240</f>
        <v/>
      </c>
      <c r="Q237" s="856" t="str">
        <f>'Lighting Inventory (Ref only)'!AF240</f>
        <v/>
      </c>
      <c r="R237" s="856" t="str">
        <f t="shared" si="6"/>
        <v/>
      </c>
      <c r="S237" s="856" t="str">
        <f>IFERROR(ROUND(R237*'Project Info and Summary'!$J$5/'Project Info and Summary'!$L$5,2),"")</f>
        <v/>
      </c>
    </row>
    <row r="238" spans="1:19" s="102" customFormat="1" ht="30" customHeight="1">
      <c r="A238" s="948"/>
      <c r="B238" s="496">
        <f t="shared" si="7"/>
        <v>229</v>
      </c>
      <c r="C238" s="864"/>
      <c r="D238" s="505"/>
      <c r="E238" s="866"/>
      <c r="F238" s="498"/>
      <c r="G238" s="499"/>
      <c r="H238" s="492"/>
      <c r="I238" s="855">
        <f>IFERROR(IFERROR(INDEX('Fixture and LED Schedule'!D:D,MATCH(F238,'Fixture and LED Schedule'!C:C,""),1),F238),"")</f>
        <v>0</v>
      </c>
      <c r="J238" s="855" t="str">
        <f>IFERROR(IF(PRJ_Type="New Construction",H238,INDEX(yControl_Code,MATCH(Inventory!H238,yControlTypes,0),1)),"")</f>
        <v/>
      </c>
      <c r="K238" s="493"/>
      <c r="L238" s="501"/>
      <c r="M238" s="502"/>
      <c r="N238" s="855">
        <f>IFERROR(IFERROR(INDEX('Fixture and LED Schedule'!D:D,MATCH(K238,'Fixture and LED Schedule'!C:C,0),1),K238),"")</f>
        <v>0</v>
      </c>
      <c r="O238" s="858" t="str">
        <f>IFERROR(INDEX(yControl_Code,MATCH(Inventory!M238,yControlTypes,0),1),"")</f>
        <v/>
      </c>
      <c r="P238" s="857" t="str">
        <f>'Lighting Inventory (Ref only)'!AG241</f>
        <v/>
      </c>
      <c r="Q238" s="856" t="str">
        <f>'Lighting Inventory (Ref only)'!AF241</f>
        <v/>
      </c>
      <c r="R238" s="856" t="str">
        <f t="shared" si="6"/>
        <v/>
      </c>
      <c r="S238" s="856" t="str">
        <f>IFERROR(ROUND(R238*'Project Info and Summary'!$J$5/'Project Info and Summary'!$L$5,2),"")</f>
        <v/>
      </c>
    </row>
    <row r="239" spans="1:19" s="102" customFormat="1" ht="30" customHeight="1">
      <c r="A239" s="948"/>
      <c r="B239" s="496">
        <f t="shared" si="7"/>
        <v>230</v>
      </c>
      <c r="C239" s="864"/>
      <c r="D239" s="505"/>
      <c r="E239" s="866"/>
      <c r="F239" s="498"/>
      <c r="G239" s="499"/>
      <c r="H239" s="492"/>
      <c r="I239" s="855">
        <f>IFERROR(IFERROR(INDEX('Fixture and LED Schedule'!D:D,MATCH(F239,'Fixture and LED Schedule'!C:C,""),1),F239),"")</f>
        <v>0</v>
      </c>
      <c r="J239" s="855" t="str">
        <f>IFERROR(IF(PRJ_Type="New Construction",H239,INDEX(yControl_Code,MATCH(Inventory!H239,yControlTypes,0),1)),"")</f>
        <v/>
      </c>
      <c r="K239" s="493"/>
      <c r="L239" s="501"/>
      <c r="M239" s="502"/>
      <c r="N239" s="855">
        <f>IFERROR(IFERROR(INDEX('Fixture and LED Schedule'!D:D,MATCH(K239,'Fixture and LED Schedule'!C:C,0),1),K239),"")</f>
        <v>0</v>
      </c>
      <c r="O239" s="858" t="str">
        <f>IFERROR(INDEX(yControl_Code,MATCH(Inventory!M239,yControlTypes,0),1),"")</f>
        <v/>
      </c>
      <c r="P239" s="857" t="str">
        <f>'Lighting Inventory (Ref only)'!AG242</f>
        <v/>
      </c>
      <c r="Q239" s="856" t="str">
        <f>'Lighting Inventory (Ref only)'!AF242</f>
        <v/>
      </c>
      <c r="R239" s="856" t="str">
        <f t="shared" si="6"/>
        <v/>
      </c>
      <c r="S239" s="856" t="str">
        <f>IFERROR(ROUND(R239*'Project Info and Summary'!$J$5/'Project Info and Summary'!$L$5,2),"")</f>
        <v/>
      </c>
    </row>
    <row r="240" spans="1:19" s="102" customFormat="1" ht="30" customHeight="1">
      <c r="A240" s="948"/>
      <c r="B240" s="496">
        <f t="shared" si="7"/>
        <v>231</v>
      </c>
      <c r="C240" s="864"/>
      <c r="D240" s="505"/>
      <c r="E240" s="866"/>
      <c r="F240" s="498"/>
      <c r="G240" s="499"/>
      <c r="H240" s="492"/>
      <c r="I240" s="855">
        <f>IFERROR(IFERROR(INDEX('Fixture and LED Schedule'!D:D,MATCH(F240,'Fixture and LED Schedule'!C:C,""),1),F240),"")</f>
        <v>0</v>
      </c>
      <c r="J240" s="855" t="str">
        <f>IFERROR(IF(PRJ_Type="New Construction",H240,INDEX(yControl_Code,MATCH(Inventory!H240,yControlTypes,0),1)),"")</f>
        <v/>
      </c>
      <c r="K240" s="493"/>
      <c r="L240" s="501"/>
      <c r="M240" s="502"/>
      <c r="N240" s="855">
        <f>IFERROR(IFERROR(INDEX('Fixture and LED Schedule'!D:D,MATCH(K240,'Fixture and LED Schedule'!C:C,0),1),K240),"")</f>
        <v>0</v>
      </c>
      <c r="O240" s="858" t="str">
        <f>IFERROR(INDEX(yControl_Code,MATCH(Inventory!M240,yControlTypes,0),1),"")</f>
        <v/>
      </c>
      <c r="P240" s="857" t="str">
        <f>'Lighting Inventory (Ref only)'!AG243</f>
        <v/>
      </c>
      <c r="Q240" s="856" t="str">
        <f>'Lighting Inventory (Ref only)'!AF243</f>
        <v/>
      </c>
      <c r="R240" s="856" t="str">
        <f t="shared" si="6"/>
        <v/>
      </c>
      <c r="S240" s="856" t="str">
        <f>IFERROR(ROUND(R240*'Project Info and Summary'!$J$5/'Project Info and Summary'!$L$5,2),"")</f>
        <v/>
      </c>
    </row>
    <row r="241" spans="1:19" s="102" customFormat="1" ht="30" customHeight="1">
      <c r="A241" s="948"/>
      <c r="B241" s="496">
        <f t="shared" si="7"/>
        <v>232</v>
      </c>
      <c r="C241" s="864"/>
      <c r="D241" s="505"/>
      <c r="E241" s="866"/>
      <c r="F241" s="498"/>
      <c r="G241" s="499"/>
      <c r="H241" s="492"/>
      <c r="I241" s="855">
        <f>IFERROR(IFERROR(INDEX('Fixture and LED Schedule'!D:D,MATCH(F241,'Fixture and LED Schedule'!C:C,""),1),F241),"")</f>
        <v>0</v>
      </c>
      <c r="J241" s="855" t="str">
        <f>IFERROR(IF(PRJ_Type="New Construction",H241,INDEX(yControl_Code,MATCH(Inventory!H241,yControlTypes,0),1)),"")</f>
        <v/>
      </c>
      <c r="K241" s="493"/>
      <c r="L241" s="501"/>
      <c r="M241" s="502"/>
      <c r="N241" s="855">
        <f>IFERROR(IFERROR(INDEX('Fixture and LED Schedule'!D:D,MATCH(K241,'Fixture and LED Schedule'!C:C,0),1),K241),"")</f>
        <v>0</v>
      </c>
      <c r="O241" s="858" t="str">
        <f>IFERROR(INDEX(yControl_Code,MATCH(Inventory!M241,yControlTypes,0),1),"")</f>
        <v/>
      </c>
      <c r="P241" s="857" t="str">
        <f>'Lighting Inventory (Ref only)'!AG244</f>
        <v/>
      </c>
      <c r="Q241" s="856" t="str">
        <f>'Lighting Inventory (Ref only)'!AF244</f>
        <v/>
      </c>
      <c r="R241" s="856" t="str">
        <f t="shared" si="6"/>
        <v/>
      </c>
      <c r="S241" s="856" t="str">
        <f>IFERROR(ROUND(R241*'Project Info and Summary'!$J$5/'Project Info and Summary'!$L$5,2),"")</f>
        <v/>
      </c>
    </row>
    <row r="242" spans="1:19" s="102" customFormat="1" ht="30" customHeight="1">
      <c r="A242" s="948"/>
      <c r="B242" s="496">
        <f t="shared" si="7"/>
        <v>233</v>
      </c>
      <c r="C242" s="864"/>
      <c r="D242" s="505"/>
      <c r="E242" s="866"/>
      <c r="F242" s="498"/>
      <c r="G242" s="499"/>
      <c r="H242" s="492"/>
      <c r="I242" s="855">
        <f>IFERROR(IFERROR(INDEX('Fixture and LED Schedule'!D:D,MATCH(F242,'Fixture and LED Schedule'!C:C,""),1),F242),"")</f>
        <v>0</v>
      </c>
      <c r="J242" s="855" t="str">
        <f>IFERROR(IF(PRJ_Type="New Construction",H242,INDEX(yControl_Code,MATCH(Inventory!H242,yControlTypes,0),1)),"")</f>
        <v/>
      </c>
      <c r="K242" s="493"/>
      <c r="L242" s="501"/>
      <c r="M242" s="502"/>
      <c r="N242" s="855">
        <f>IFERROR(IFERROR(INDEX('Fixture and LED Schedule'!D:D,MATCH(K242,'Fixture and LED Schedule'!C:C,0),1),K242),"")</f>
        <v>0</v>
      </c>
      <c r="O242" s="858" t="str">
        <f>IFERROR(INDEX(yControl_Code,MATCH(Inventory!M242,yControlTypes,0),1),"")</f>
        <v/>
      </c>
      <c r="P242" s="857" t="str">
        <f>'Lighting Inventory (Ref only)'!AG245</f>
        <v/>
      </c>
      <c r="Q242" s="856" t="str">
        <f>'Lighting Inventory (Ref only)'!AF245</f>
        <v/>
      </c>
      <c r="R242" s="856" t="str">
        <f t="shared" si="6"/>
        <v/>
      </c>
      <c r="S242" s="856" t="str">
        <f>IFERROR(ROUND(R242*'Project Info and Summary'!$J$5/'Project Info and Summary'!$L$5,2),"")</f>
        <v/>
      </c>
    </row>
    <row r="243" spans="1:19" s="102" customFormat="1" ht="30" customHeight="1">
      <c r="A243" s="948"/>
      <c r="B243" s="496">
        <f t="shared" si="7"/>
        <v>234</v>
      </c>
      <c r="C243" s="864"/>
      <c r="D243" s="505"/>
      <c r="E243" s="866"/>
      <c r="F243" s="498"/>
      <c r="G243" s="499"/>
      <c r="H243" s="492"/>
      <c r="I243" s="855">
        <f>IFERROR(IFERROR(INDEX('Fixture and LED Schedule'!D:D,MATCH(F243,'Fixture and LED Schedule'!C:C,""),1),F243),"")</f>
        <v>0</v>
      </c>
      <c r="J243" s="855" t="str">
        <f>IFERROR(IF(PRJ_Type="New Construction",H243,INDEX(yControl_Code,MATCH(Inventory!H243,yControlTypes,0),1)),"")</f>
        <v/>
      </c>
      <c r="K243" s="493"/>
      <c r="L243" s="501"/>
      <c r="M243" s="502"/>
      <c r="N243" s="855">
        <f>IFERROR(IFERROR(INDEX('Fixture and LED Schedule'!D:D,MATCH(K243,'Fixture and LED Schedule'!C:C,0),1),K243),"")</f>
        <v>0</v>
      </c>
      <c r="O243" s="858" t="str">
        <f>IFERROR(INDEX(yControl_Code,MATCH(Inventory!M243,yControlTypes,0),1),"")</f>
        <v/>
      </c>
      <c r="P243" s="857" t="str">
        <f>'Lighting Inventory (Ref only)'!AG246</f>
        <v/>
      </c>
      <c r="Q243" s="856" t="str">
        <f>'Lighting Inventory (Ref only)'!AF246</f>
        <v/>
      </c>
      <c r="R243" s="856" t="str">
        <f t="shared" si="6"/>
        <v/>
      </c>
      <c r="S243" s="856" t="str">
        <f>IFERROR(ROUND(R243*'Project Info and Summary'!$J$5/'Project Info and Summary'!$L$5,2),"")</f>
        <v/>
      </c>
    </row>
    <row r="244" spans="1:19" s="102" customFormat="1" ht="30" customHeight="1">
      <c r="A244" s="948"/>
      <c r="B244" s="496">
        <f t="shared" si="7"/>
        <v>235</v>
      </c>
      <c r="C244" s="864"/>
      <c r="D244" s="505"/>
      <c r="E244" s="866"/>
      <c r="F244" s="498"/>
      <c r="G244" s="499"/>
      <c r="H244" s="492"/>
      <c r="I244" s="855">
        <f>IFERROR(IFERROR(INDEX('Fixture and LED Schedule'!D:D,MATCH(F244,'Fixture and LED Schedule'!C:C,""),1),F244),"")</f>
        <v>0</v>
      </c>
      <c r="J244" s="855" t="str">
        <f>IFERROR(IF(PRJ_Type="New Construction",H244,INDEX(yControl_Code,MATCH(Inventory!H244,yControlTypes,0),1)),"")</f>
        <v/>
      </c>
      <c r="K244" s="493"/>
      <c r="L244" s="501"/>
      <c r="M244" s="502"/>
      <c r="N244" s="855">
        <f>IFERROR(IFERROR(INDEX('Fixture and LED Schedule'!D:D,MATCH(K244,'Fixture and LED Schedule'!C:C,0),1),K244),"")</f>
        <v>0</v>
      </c>
      <c r="O244" s="858" t="str">
        <f>IFERROR(INDEX(yControl_Code,MATCH(Inventory!M244,yControlTypes,0),1),"")</f>
        <v/>
      </c>
      <c r="P244" s="857" t="str">
        <f>'Lighting Inventory (Ref only)'!AG247</f>
        <v/>
      </c>
      <c r="Q244" s="856" t="str">
        <f>'Lighting Inventory (Ref only)'!AF247</f>
        <v/>
      </c>
      <c r="R244" s="856" t="str">
        <f t="shared" si="6"/>
        <v/>
      </c>
      <c r="S244" s="856" t="str">
        <f>IFERROR(ROUND(R244*'Project Info and Summary'!$J$5/'Project Info and Summary'!$L$5,2),"")</f>
        <v/>
      </c>
    </row>
    <row r="245" spans="1:19" s="102" customFormat="1" ht="30" customHeight="1">
      <c r="A245" s="948"/>
      <c r="B245" s="496">
        <f t="shared" si="7"/>
        <v>236</v>
      </c>
      <c r="C245" s="864"/>
      <c r="D245" s="505"/>
      <c r="E245" s="866"/>
      <c r="F245" s="498"/>
      <c r="G245" s="499"/>
      <c r="H245" s="492"/>
      <c r="I245" s="855">
        <f>IFERROR(IFERROR(INDEX('Fixture and LED Schedule'!D:D,MATCH(F245,'Fixture and LED Schedule'!C:C,""),1),F245),"")</f>
        <v>0</v>
      </c>
      <c r="J245" s="855" t="str">
        <f>IFERROR(IF(PRJ_Type="New Construction",H245,INDEX(yControl_Code,MATCH(Inventory!H245,yControlTypes,0),1)),"")</f>
        <v/>
      </c>
      <c r="K245" s="493"/>
      <c r="L245" s="501"/>
      <c r="M245" s="502"/>
      <c r="N245" s="855">
        <f>IFERROR(IFERROR(INDEX('Fixture and LED Schedule'!D:D,MATCH(K245,'Fixture and LED Schedule'!C:C,0),1),K245),"")</f>
        <v>0</v>
      </c>
      <c r="O245" s="858" t="str">
        <f>IFERROR(INDEX(yControl_Code,MATCH(Inventory!M245,yControlTypes,0),1),"")</f>
        <v/>
      </c>
      <c r="P245" s="857" t="str">
        <f>'Lighting Inventory (Ref only)'!AG248</f>
        <v/>
      </c>
      <c r="Q245" s="856" t="str">
        <f>'Lighting Inventory (Ref only)'!AF248</f>
        <v/>
      </c>
      <c r="R245" s="856" t="str">
        <f t="shared" si="6"/>
        <v/>
      </c>
      <c r="S245" s="856" t="str">
        <f>IFERROR(ROUND(R245*'Project Info and Summary'!$J$5/'Project Info and Summary'!$L$5,2),"")</f>
        <v/>
      </c>
    </row>
    <row r="246" spans="1:19" s="102" customFormat="1" ht="30" customHeight="1">
      <c r="A246" s="948"/>
      <c r="B246" s="496">
        <f t="shared" si="7"/>
        <v>237</v>
      </c>
      <c r="C246" s="864"/>
      <c r="D246" s="505"/>
      <c r="E246" s="866"/>
      <c r="F246" s="498"/>
      <c r="G246" s="499"/>
      <c r="H246" s="492"/>
      <c r="I246" s="855">
        <f>IFERROR(IFERROR(INDEX('Fixture and LED Schedule'!D:D,MATCH(F246,'Fixture and LED Schedule'!C:C,""),1),F246),"")</f>
        <v>0</v>
      </c>
      <c r="J246" s="855" t="str">
        <f>IFERROR(IF(PRJ_Type="New Construction",H246,INDEX(yControl_Code,MATCH(Inventory!H246,yControlTypes,0),1)),"")</f>
        <v/>
      </c>
      <c r="K246" s="493"/>
      <c r="L246" s="501"/>
      <c r="M246" s="502"/>
      <c r="N246" s="855">
        <f>IFERROR(IFERROR(INDEX('Fixture and LED Schedule'!D:D,MATCH(K246,'Fixture and LED Schedule'!C:C,0),1),K246),"")</f>
        <v>0</v>
      </c>
      <c r="O246" s="858" t="str">
        <f>IFERROR(INDEX(yControl_Code,MATCH(Inventory!M246,yControlTypes,0),1),"")</f>
        <v/>
      </c>
      <c r="P246" s="857" t="str">
        <f>'Lighting Inventory (Ref only)'!AG249</f>
        <v/>
      </c>
      <c r="Q246" s="856" t="str">
        <f>'Lighting Inventory (Ref only)'!AF249</f>
        <v/>
      </c>
      <c r="R246" s="856" t="str">
        <f t="shared" si="6"/>
        <v/>
      </c>
      <c r="S246" s="856" t="str">
        <f>IFERROR(ROUND(R246*'Project Info and Summary'!$J$5/'Project Info and Summary'!$L$5,2),"")</f>
        <v/>
      </c>
    </row>
    <row r="247" spans="1:19" s="102" customFormat="1" ht="30" customHeight="1">
      <c r="A247" s="948"/>
      <c r="B247" s="496">
        <f t="shared" si="7"/>
        <v>238</v>
      </c>
      <c r="C247" s="864"/>
      <c r="D247" s="505"/>
      <c r="E247" s="866"/>
      <c r="F247" s="498"/>
      <c r="G247" s="499"/>
      <c r="H247" s="492"/>
      <c r="I247" s="855">
        <f>IFERROR(IFERROR(INDEX('Fixture and LED Schedule'!D:D,MATCH(F247,'Fixture and LED Schedule'!C:C,""),1),F247),"")</f>
        <v>0</v>
      </c>
      <c r="J247" s="855" t="str">
        <f>IFERROR(IF(PRJ_Type="New Construction",H247,INDEX(yControl_Code,MATCH(Inventory!H247,yControlTypes,0),1)),"")</f>
        <v/>
      </c>
      <c r="K247" s="493"/>
      <c r="L247" s="501"/>
      <c r="M247" s="502"/>
      <c r="N247" s="855">
        <f>IFERROR(IFERROR(INDEX('Fixture and LED Schedule'!D:D,MATCH(K247,'Fixture and LED Schedule'!C:C,0),1),K247),"")</f>
        <v>0</v>
      </c>
      <c r="O247" s="858" t="str">
        <f>IFERROR(INDEX(yControl_Code,MATCH(Inventory!M247,yControlTypes,0),1),"")</f>
        <v/>
      </c>
      <c r="P247" s="857" t="str">
        <f>'Lighting Inventory (Ref only)'!AG250</f>
        <v/>
      </c>
      <c r="Q247" s="856" t="str">
        <f>'Lighting Inventory (Ref only)'!AF250</f>
        <v/>
      </c>
      <c r="R247" s="856" t="str">
        <f t="shared" si="6"/>
        <v/>
      </c>
      <c r="S247" s="856" t="str">
        <f>IFERROR(ROUND(R247*'Project Info and Summary'!$J$5/'Project Info and Summary'!$L$5,2),"")</f>
        <v/>
      </c>
    </row>
    <row r="248" spans="1:19" s="102" customFormat="1" ht="30" customHeight="1">
      <c r="A248" s="948"/>
      <c r="B248" s="496">
        <f t="shared" si="7"/>
        <v>239</v>
      </c>
      <c r="C248" s="864"/>
      <c r="D248" s="505"/>
      <c r="E248" s="866"/>
      <c r="F248" s="498"/>
      <c r="G248" s="499"/>
      <c r="H248" s="492"/>
      <c r="I248" s="855">
        <f>IFERROR(IFERROR(INDEX('Fixture and LED Schedule'!D:D,MATCH(F248,'Fixture and LED Schedule'!C:C,""),1),F248),"")</f>
        <v>0</v>
      </c>
      <c r="J248" s="855" t="str">
        <f>IFERROR(IF(PRJ_Type="New Construction",H248,INDEX(yControl_Code,MATCH(Inventory!H248,yControlTypes,0),1)),"")</f>
        <v/>
      </c>
      <c r="K248" s="493"/>
      <c r="L248" s="501"/>
      <c r="M248" s="502"/>
      <c r="N248" s="855">
        <f>IFERROR(IFERROR(INDEX('Fixture and LED Schedule'!D:D,MATCH(K248,'Fixture and LED Schedule'!C:C,0),1),K248),"")</f>
        <v>0</v>
      </c>
      <c r="O248" s="858" t="str">
        <f>IFERROR(INDEX(yControl_Code,MATCH(Inventory!M248,yControlTypes,0),1),"")</f>
        <v/>
      </c>
      <c r="P248" s="857" t="str">
        <f>'Lighting Inventory (Ref only)'!AG251</f>
        <v/>
      </c>
      <c r="Q248" s="856" t="str">
        <f>'Lighting Inventory (Ref only)'!AF251</f>
        <v/>
      </c>
      <c r="R248" s="856" t="str">
        <f t="shared" si="6"/>
        <v/>
      </c>
      <c r="S248" s="856" t="str">
        <f>IFERROR(ROUND(R248*'Project Info and Summary'!$J$5/'Project Info and Summary'!$L$5,2),"")</f>
        <v/>
      </c>
    </row>
    <row r="249" spans="1:19" s="102" customFormat="1" ht="30" customHeight="1">
      <c r="A249" s="948"/>
      <c r="B249" s="496">
        <f t="shared" si="7"/>
        <v>240</v>
      </c>
      <c r="C249" s="864"/>
      <c r="D249" s="505"/>
      <c r="E249" s="866"/>
      <c r="F249" s="498"/>
      <c r="G249" s="499"/>
      <c r="H249" s="492"/>
      <c r="I249" s="855">
        <f>IFERROR(IFERROR(INDEX('Fixture and LED Schedule'!D:D,MATCH(F249,'Fixture and LED Schedule'!C:C,""),1),F249),"")</f>
        <v>0</v>
      </c>
      <c r="J249" s="855" t="str">
        <f>IFERROR(IF(PRJ_Type="New Construction",H249,INDEX(yControl_Code,MATCH(Inventory!H249,yControlTypes,0),1)),"")</f>
        <v/>
      </c>
      <c r="K249" s="493"/>
      <c r="L249" s="501"/>
      <c r="M249" s="502"/>
      <c r="N249" s="855">
        <f>IFERROR(IFERROR(INDEX('Fixture and LED Schedule'!D:D,MATCH(K249,'Fixture and LED Schedule'!C:C,0),1),K249),"")</f>
        <v>0</v>
      </c>
      <c r="O249" s="858" t="str">
        <f>IFERROR(INDEX(yControl_Code,MATCH(Inventory!M249,yControlTypes,0),1),"")</f>
        <v/>
      </c>
      <c r="P249" s="857" t="str">
        <f>'Lighting Inventory (Ref only)'!AG252</f>
        <v/>
      </c>
      <c r="Q249" s="856" t="str">
        <f>'Lighting Inventory (Ref only)'!AF252</f>
        <v/>
      </c>
      <c r="R249" s="856" t="str">
        <f t="shared" si="6"/>
        <v/>
      </c>
      <c r="S249" s="856" t="str">
        <f>IFERROR(ROUND(R249*'Project Info and Summary'!$J$5/'Project Info and Summary'!$L$5,2),"")</f>
        <v/>
      </c>
    </row>
    <row r="250" spans="1:19" s="102" customFormat="1" ht="30" customHeight="1">
      <c r="A250" s="948"/>
      <c r="B250" s="496">
        <f t="shared" si="7"/>
        <v>241</v>
      </c>
      <c r="C250" s="864"/>
      <c r="D250" s="505"/>
      <c r="E250" s="866"/>
      <c r="F250" s="498"/>
      <c r="G250" s="499"/>
      <c r="H250" s="492"/>
      <c r="I250" s="855">
        <f>IFERROR(IFERROR(INDEX('Fixture and LED Schedule'!D:D,MATCH(F250,'Fixture and LED Schedule'!C:C,""),1),F250),"")</f>
        <v>0</v>
      </c>
      <c r="J250" s="855" t="str">
        <f>IFERROR(IF(PRJ_Type="New Construction",H250,INDEX(yControl_Code,MATCH(Inventory!H250,yControlTypes,0),1)),"")</f>
        <v/>
      </c>
      <c r="K250" s="493"/>
      <c r="L250" s="501"/>
      <c r="M250" s="502"/>
      <c r="N250" s="855">
        <f>IFERROR(IFERROR(INDEX('Fixture and LED Schedule'!D:D,MATCH(K250,'Fixture and LED Schedule'!C:C,0),1),K250),"")</f>
        <v>0</v>
      </c>
      <c r="O250" s="858" t="str">
        <f>IFERROR(INDEX(yControl_Code,MATCH(Inventory!M250,yControlTypes,0),1),"")</f>
        <v/>
      </c>
      <c r="P250" s="857" t="str">
        <f>'Lighting Inventory (Ref only)'!AG253</f>
        <v/>
      </c>
      <c r="Q250" s="856" t="str">
        <f>'Lighting Inventory (Ref only)'!AF253</f>
        <v/>
      </c>
      <c r="R250" s="856" t="str">
        <f t="shared" si="6"/>
        <v/>
      </c>
      <c r="S250" s="856" t="str">
        <f>IFERROR(ROUND(R250*'Project Info and Summary'!$J$5/'Project Info and Summary'!$L$5,2),"")</f>
        <v/>
      </c>
    </row>
    <row r="251" spans="1:19" s="102" customFormat="1" ht="30" customHeight="1">
      <c r="A251" s="948"/>
      <c r="B251" s="496">
        <f t="shared" si="7"/>
        <v>242</v>
      </c>
      <c r="C251" s="864"/>
      <c r="D251" s="505"/>
      <c r="E251" s="866"/>
      <c r="F251" s="498"/>
      <c r="G251" s="499"/>
      <c r="H251" s="492"/>
      <c r="I251" s="855">
        <f>IFERROR(IFERROR(INDEX('Fixture and LED Schedule'!D:D,MATCH(F251,'Fixture and LED Schedule'!C:C,""),1),F251),"")</f>
        <v>0</v>
      </c>
      <c r="J251" s="855" t="str">
        <f>IFERROR(IF(PRJ_Type="New Construction",H251,INDEX(yControl_Code,MATCH(Inventory!H251,yControlTypes,0),1)),"")</f>
        <v/>
      </c>
      <c r="K251" s="493"/>
      <c r="L251" s="501"/>
      <c r="M251" s="502"/>
      <c r="N251" s="855">
        <f>IFERROR(IFERROR(INDEX('Fixture and LED Schedule'!D:D,MATCH(K251,'Fixture and LED Schedule'!C:C,0),1),K251),"")</f>
        <v>0</v>
      </c>
      <c r="O251" s="858" t="str">
        <f>IFERROR(INDEX(yControl_Code,MATCH(Inventory!M251,yControlTypes,0),1),"")</f>
        <v/>
      </c>
      <c r="P251" s="857" t="str">
        <f>'Lighting Inventory (Ref only)'!AG254</f>
        <v/>
      </c>
      <c r="Q251" s="856" t="str">
        <f>'Lighting Inventory (Ref only)'!AF254</f>
        <v/>
      </c>
      <c r="R251" s="856" t="str">
        <f t="shared" si="6"/>
        <v/>
      </c>
      <c r="S251" s="856" t="str">
        <f>IFERROR(ROUND(R251*'Project Info and Summary'!$J$5/'Project Info and Summary'!$L$5,2),"")</f>
        <v/>
      </c>
    </row>
    <row r="252" spans="1:19" s="102" customFormat="1" ht="30" customHeight="1">
      <c r="A252" s="948"/>
      <c r="B252" s="496">
        <f t="shared" si="7"/>
        <v>243</v>
      </c>
      <c r="C252" s="864"/>
      <c r="D252" s="505"/>
      <c r="E252" s="866"/>
      <c r="F252" s="498"/>
      <c r="G252" s="499"/>
      <c r="H252" s="492"/>
      <c r="I252" s="855">
        <f>IFERROR(IFERROR(INDEX('Fixture and LED Schedule'!D:D,MATCH(F252,'Fixture and LED Schedule'!C:C,""),1),F252),"")</f>
        <v>0</v>
      </c>
      <c r="J252" s="855" t="str">
        <f>IFERROR(IF(PRJ_Type="New Construction",H252,INDEX(yControl_Code,MATCH(Inventory!H252,yControlTypes,0),1)),"")</f>
        <v/>
      </c>
      <c r="K252" s="493"/>
      <c r="L252" s="501"/>
      <c r="M252" s="502"/>
      <c r="N252" s="855">
        <f>IFERROR(IFERROR(INDEX('Fixture and LED Schedule'!D:D,MATCH(K252,'Fixture and LED Schedule'!C:C,0),1),K252),"")</f>
        <v>0</v>
      </c>
      <c r="O252" s="858" t="str">
        <f>IFERROR(INDEX(yControl_Code,MATCH(Inventory!M252,yControlTypes,0),1),"")</f>
        <v/>
      </c>
      <c r="P252" s="857" t="str">
        <f>'Lighting Inventory (Ref only)'!AG255</f>
        <v/>
      </c>
      <c r="Q252" s="856" t="str">
        <f>'Lighting Inventory (Ref only)'!AF255</f>
        <v/>
      </c>
      <c r="R252" s="856" t="str">
        <f t="shared" si="6"/>
        <v/>
      </c>
      <c r="S252" s="856" t="str">
        <f>IFERROR(ROUND(R252*'Project Info and Summary'!$J$5/'Project Info and Summary'!$L$5,2),"")</f>
        <v/>
      </c>
    </row>
    <row r="253" spans="1:19" ht="30" customHeight="1">
      <c r="A253" s="948"/>
      <c r="B253" s="496">
        <f t="shared" ref="B253:B316" si="8">B252+1</f>
        <v>244</v>
      </c>
      <c r="C253" s="864"/>
      <c r="D253" s="505"/>
      <c r="E253" s="866"/>
      <c r="F253" s="498"/>
      <c r="G253" s="499"/>
      <c r="H253" s="492"/>
      <c r="I253" s="855">
        <f>IFERROR(IFERROR(INDEX('Fixture and LED Schedule'!D:D,MATCH(F253,'Fixture and LED Schedule'!C:C,""),1),F253),"")</f>
        <v>0</v>
      </c>
      <c r="J253" s="855" t="str">
        <f>IFERROR(IF(PRJ_Type="New Construction",H253,INDEX(yControl_Code,MATCH(Inventory!H253,yControlTypes,0),1)),"")</f>
        <v/>
      </c>
      <c r="K253" s="493"/>
      <c r="L253" s="501"/>
      <c r="M253" s="502"/>
      <c r="N253" s="855">
        <f>IFERROR(IFERROR(INDEX('Fixture and LED Schedule'!D:D,MATCH(K253,'Fixture and LED Schedule'!C:C,0),1),K253),"")</f>
        <v>0</v>
      </c>
      <c r="O253" s="858" t="str">
        <f>IFERROR(INDEX(yControl_Code,MATCH(Inventory!M253,yControlTypes,0),1),"")</f>
        <v/>
      </c>
      <c r="P253" s="857" t="str">
        <f>'Lighting Inventory (Ref only)'!AG256</f>
        <v/>
      </c>
      <c r="Q253" s="856" t="str">
        <f>'Lighting Inventory (Ref only)'!AF256</f>
        <v/>
      </c>
      <c r="R253" s="856" t="str">
        <f t="shared" si="6"/>
        <v/>
      </c>
      <c r="S253" s="856" t="str">
        <f>IFERROR(ROUND(R253*'Project Info and Summary'!$J$5/'Project Info and Summary'!$L$5,2),"")</f>
        <v/>
      </c>
    </row>
    <row r="254" spans="1:19" ht="30" customHeight="1">
      <c r="A254" s="948"/>
      <c r="B254" s="496">
        <f t="shared" si="8"/>
        <v>245</v>
      </c>
      <c r="C254" s="864"/>
      <c r="D254" s="505"/>
      <c r="E254" s="866"/>
      <c r="F254" s="498"/>
      <c r="G254" s="499"/>
      <c r="H254" s="492"/>
      <c r="I254" s="855">
        <f>IFERROR(IFERROR(INDEX('Fixture and LED Schedule'!D:D,MATCH(F254,'Fixture and LED Schedule'!C:C,""),1),F254),"")</f>
        <v>0</v>
      </c>
      <c r="J254" s="855" t="str">
        <f>IFERROR(IF(PRJ_Type="New Construction",H254,INDEX(yControl_Code,MATCH(Inventory!H254,yControlTypes,0),1)),"")</f>
        <v/>
      </c>
      <c r="K254" s="493"/>
      <c r="L254" s="501"/>
      <c r="M254" s="502"/>
      <c r="N254" s="855">
        <f>IFERROR(IFERROR(INDEX('Fixture and LED Schedule'!D:D,MATCH(K254,'Fixture and LED Schedule'!C:C,0),1),K254),"")</f>
        <v>0</v>
      </c>
      <c r="O254" s="858" t="str">
        <f>IFERROR(INDEX(yControl_Code,MATCH(Inventory!M254,yControlTypes,0),1),"")</f>
        <v/>
      </c>
      <c r="P254" s="857" t="str">
        <f>'Lighting Inventory (Ref only)'!AG257</f>
        <v/>
      </c>
      <c r="Q254" s="856" t="str">
        <f>'Lighting Inventory (Ref only)'!AF257</f>
        <v/>
      </c>
      <c r="R254" s="856" t="str">
        <f t="shared" si="6"/>
        <v/>
      </c>
      <c r="S254" s="856" t="str">
        <f>IFERROR(ROUND(R254*'Project Info and Summary'!$J$5/'Project Info and Summary'!$L$5,2),"")</f>
        <v/>
      </c>
    </row>
    <row r="255" spans="1:19" ht="30" customHeight="1">
      <c r="A255" s="948"/>
      <c r="B255" s="496">
        <f t="shared" si="8"/>
        <v>246</v>
      </c>
      <c r="C255" s="864"/>
      <c r="D255" s="505"/>
      <c r="E255" s="866"/>
      <c r="F255" s="498"/>
      <c r="G255" s="499"/>
      <c r="H255" s="492"/>
      <c r="I255" s="855">
        <f>IFERROR(IFERROR(INDEX('Fixture and LED Schedule'!D:D,MATCH(F255,'Fixture and LED Schedule'!C:C,""),1),F255),"")</f>
        <v>0</v>
      </c>
      <c r="J255" s="855" t="str">
        <f>IFERROR(IF(PRJ_Type="New Construction",H255,INDEX(yControl_Code,MATCH(Inventory!H255,yControlTypes,0),1)),"")</f>
        <v/>
      </c>
      <c r="K255" s="493"/>
      <c r="L255" s="501"/>
      <c r="M255" s="502"/>
      <c r="N255" s="855">
        <f>IFERROR(IFERROR(INDEX('Fixture and LED Schedule'!D:D,MATCH(K255,'Fixture and LED Schedule'!C:C,0),1),K255),"")</f>
        <v>0</v>
      </c>
      <c r="O255" s="858" t="str">
        <f>IFERROR(INDEX(yControl_Code,MATCH(Inventory!M255,yControlTypes,0),1),"")</f>
        <v/>
      </c>
      <c r="P255" s="857" t="str">
        <f>'Lighting Inventory (Ref only)'!AG258</f>
        <v/>
      </c>
      <c r="Q255" s="856" t="str">
        <f>'Lighting Inventory (Ref only)'!AF258</f>
        <v/>
      </c>
      <c r="R255" s="856" t="str">
        <f t="shared" si="6"/>
        <v/>
      </c>
      <c r="S255" s="856" t="str">
        <f>IFERROR(ROUND(R255*'Project Info and Summary'!$J$5/'Project Info and Summary'!$L$5,2),"")</f>
        <v/>
      </c>
    </row>
    <row r="256" spans="1:19" ht="30" customHeight="1">
      <c r="A256" s="948"/>
      <c r="B256" s="496">
        <f t="shared" si="8"/>
        <v>247</v>
      </c>
      <c r="C256" s="864"/>
      <c r="D256" s="505"/>
      <c r="E256" s="866"/>
      <c r="F256" s="498"/>
      <c r="G256" s="499"/>
      <c r="H256" s="492"/>
      <c r="I256" s="855">
        <f>IFERROR(IFERROR(INDEX('Fixture and LED Schedule'!D:D,MATCH(F256,'Fixture and LED Schedule'!C:C,""),1),F256),"")</f>
        <v>0</v>
      </c>
      <c r="J256" s="855" t="str">
        <f>IFERROR(IF(PRJ_Type="New Construction",H256,INDEX(yControl_Code,MATCH(Inventory!H256,yControlTypes,0),1)),"")</f>
        <v/>
      </c>
      <c r="K256" s="493"/>
      <c r="L256" s="501"/>
      <c r="M256" s="502"/>
      <c r="N256" s="855">
        <f>IFERROR(IFERROR(INDEX('Fixture and LED Schedule'!D:D,MATCH(K256,'Fixture and LED Schedule'!C:C,0),1),K256),"")</f>
        <v>0</v>
      </c>
      <c r="O256" s="858" t="str">
        <f>IFERROR(INDEX(yControl_Code,MATCH(Inventory!M256,yControlTypes,0),1),"")</f>
        <v/>
      </c>
      <c r="P256" s="857" t="str">
        <f>'Lighting Inventory (Ref only)'!AG259</f>
        <v/>
      </c>
      <c r="Q256" s="856" t="str">
        <f>'Lighting Inventory (Ref only)'!AF259</f>
        <v/>
      </c>
      <c r="R256" s="856" t="str">
        <f t="shared" si="6"/>
        <v/>
      </c>
      <c r="S256" s="856" t="str">
        <f>IFERROR(ROUND(R256*'Project Info and Summary'!$J$5/'Project Info and Summary'!$L$5,2),"")</f>
        <v/>
      </c>
    </row>
    <row r="257" spans="1:19" ht="30" customHeight="1">
      <c r="A257" s="948"/>
      <c r="B257" s="496">
        <f t="shared" si="8"/>
        <v>248</v>
      </c>
      <c r="C257" s="864"/>
      <c r="D257" s="505"/>
      <c r="E257" s="866"/>
      <c r="F257" s="498"/>
      <c r="G257" s="499"/>
      <c r="H257" s="492"/>
      <c r="I257" s="855">
        <f>IFERROR(IFERROR(INDEX('Fixture and LED Schedule'!D:D,MATCH(F257,'Fixture and LED Schedule'!C:C,""),1),F257),"")</f>
        <v>0</v>
      </c>
      <c r="J257" s="855" t="str">
        <f>IFERROR(IF(PRJ_Type="New Construction",H257,INDEX(yControl_Code,MATCH(Inventory!H257,yControlTypes,0),1)),"")</f>
        <v/>
      </c>
      <c r="K257" s="493"/>
      <c r="L257" s="501"/>
      <c r="M257" s="502"/>
      <c r="N257" s="855">
        <f>IFERROR(IFERROR(INDEX('Fixture and LED Schedule'!D:D,MATCH(K257,'Fixture and LED Schedule'!C:C,0),1),K257),"")</f>
        <v>0</v>
      </c>
      <c r="O257" s="858" t="str">
        <f>IFERROR(INDEX(yControl_Code,MATCH(Inventory!M257,yControlTypes,0),1),"")</f>
        <v/>
      </c>
      <c r="P257" s="857" t="str">
        <f>'Lighting Inventory (Ref only)'!AG260</f>
        <v/>
      </c>
      <c r="Q257" s="856" t="str">
        <f>'Lighting Inventory (Ref only)'!AF260</f>
        <v/>
      </c>
      <c r="R257" s="856" t="str">
        <f t="shared" si="6"/>
        <v/>
      </c>
      <c r="S257" s="856" t="str">
        <f>IFERROR(ROUND(R257*'Project Info and Summary'!$J$5/'Project Info and Summary'!$L$5,2),"")</f>
        <v/>
      </c>
    </row>
    <row r="258" spans="1:19" ht="30" customHeight="1">
      <c r="A258" s="948"/>
      <c r="B258" s="496">
        <f t="shared" si="8"/>
        <v>249</v>
      </c>
      <c r="C258" s="864"/>
      <c r="D258" s="505"/>
      <c r="E258" s="866"/>
      <c r="F258" s="498"/>
      <c r="G258" s="499"/>
      <c r="H258" s="492"/>
      <c r="I258" s="855">
        <f>IFERROR(IFERROR(INDEX('Fixture and LED Schedule'!D:D,MATCH(F258,'Fixture and LED Schedule'!C:C,""),1),F258),"")</f>
        <v>0</v>
      </c>
      <c r="J258" s="855" t="str">
        <f>IFERROR(IF(PRJ_Type="New Construction",H258,INDEX(yControl_Code,MATCH(Inventory!H258,yControlTypes,0),1)),"")</f>
        <v/>
      </c>
      <c r="K258" s="493"/>
      <c r="L258" s="501"/>
      <c r="M258" s="502"/>
      <c r="N258" s="855">
        <f>IFERROR(IFERROR(INDEX('Fixture and LED Schedule'!D:D,MATCH(K258,'Fixture and LED Schedule'!C:C,0),1),K258),"")</f>
        <v>0</v>
      </c>
      <c r="O258" s="858" t="str">
        <f>IFERROR(INDEX(yControl_Code,MATCH(Inventory!M258,yControlTypes,0),1),"")</f>
        <v/>
      </c>
      <c r="P258" s="857" t="str">
        <f>'Lighting Inventory (Ref only)'!AG261</f>
        <v/>
      </c>
      <c r="Q258" s="856" t="str">
        <f>'Lighting Inventory (Ref only)'!AF261</f>
        <v/>
      </c>
      <c r="R258" s="856" t="str">
        <f t="shared" si="6"/>
        <v/>
      </c>
      <c r="S258" s="856" t="str">
        <f>IFERROR(ROUND(R258*'Project Info and Summary'!$J$5/'Project Info and Summary'!$L$5,2),"")</f>
        <v/>
      </c>
    </row>
    <row r="259" spans="1:19" ht="30" customHeight="1">
      <c r="A259" s="948"/>
      <c r="B259" s="496">
        <f t="shared" si="8"/>
        <v>250</v>
      </c>
      <c r="C259" s="864"/>
      <c r="D259" s="505"/>
      <c r="E259" s="866"/>
      <c r="F259" s="498"/>
      <c r="G259" s="499"/>
      <c r="H259" s="492"/>
      <c r="I259" s="855">
        <f>IFERROR(IFERROR(INDEX('Fixture and LED Schedule'!D:D,MATCH(F259,'Fixture and LED Schedule'!C:C,""),1),F259),"")</f>
        <v>0</v>
      </c>
      <c r="J259" s="855" t="str">
        <f>IFERROR(IF(PRJ_Type="New Construction",H259,INDEX(yControl_Code,MATCH(Inventory!H259,yControlTypes,0),1)),"")</f>
        <v/>
      </c>
      <c r="K259" s="493"/>
      <c r="L259" s="501"/>
      <c r="M259" s="502"/>
      <c r="N259" s="855">
        <f>IFERROR(IFERROR(INDEX('Fixture and LED Schedule'!D:D,MATCH(K259,'Fixture and LED Schedule'!C:C,0),1),K259),"")</f>
        <v>0</v>
      </c>
      <c r="O259" s="858" t="str">
        <f>IFERROR(INDEX(yControl_Code,MATCH(Inventory!M259,yControlTypes,0),1),"")</f>
        <v/>
      </c>
      <c r="P259" s="860" t="str">
        <f>'Lighting Inventory (Ref only)'!AG262</f>
        <v/>
      </c>
      <c r="Q259" s="861" t="str">
        <f>'Lighting Inventory (Ref only)'!AF262</f>
        <v/>
      </c>
      <c r="R259" s="856" t="str">
        <f t="shared" si="6"/>
        <v/>
      </c>
      <c r="S259" s="856" t="str">
        <f>IFERROR(ROUND(R259*'Project Info and Summary'!$J$5/'Project Info and Summary'!$L$5,2),"")</f>
        <v/>
      </c>
    </row>
    <row r="260" spans="1:19" ht="30" customHeight="1">
      <c r="A260" s="948"/>
      <c r="B260" s="496">
        <f t="shared" si="8"/>
        <v>251</v>
      </c>
      <c r="C260" s="864"/>
      <c r="D260" s="505"/>
      <c r="E260" s="866"/>
      <c r="F260" s="498"/>
      <c r="G260" s="499"/>
      <c r="H260" s="492"/>
      <c r="I260" s="855">
        <f>IFERROR(IFERROR(INDEX('Fixture and LED Schedule'!D:D,MATCH(F260,'Fixture and LED Schedule'!C:C,""),1),F260),"")</f>
        <v>0</v>
      </c>
      <c r="J260" s="855" t="str">
        <f>IFERROR(IF(PRJ_Type="New Construction",H260,INDEX(yControl_Code,MATCH(Inventory!H260,yControlTypes,0),1)),"")</f>
        <v/>
      </c>
      <c r="K260" s="493"/>
      <c r="L260" s="501"/>
      <c r="M260" s="502"/>
      <c r="N260" s="855">
        <f>IFERROR(IFERROR(INDEX('Fixture and LED Schedule'!D:D,MATCH(K260,'Fixture and LED Schedule'!C:C,0),1),K260),"")</f>
        <v>0</v>
      </c>
      <c r="O260" s="858" t="str">
        <f>IFERROR(INDEX(yControl_Code,MATCH(Inventory!M260,yControlTypes,0),1),"")</f>
        <v/>
      </c>
      <c r="P260" s="860" t="str">
        <f>'Lighting Inventory (Ref only)'!AG263</f>
        <v/>
      </c>
      <c r="Q260" s="861" t="str">
        <f>'Lighting Inventory (Ref only)'!AF263</f>
        <v/>
      </c>
      <c r="R260" s="856" t="str">
        <f t="shared" si="6"/>
        <v/>
      </c>
      <c r="S260" s="856" t="str">
        <f>IFERROR(ROUND(R260*'Project Info and Summary'!$J$5/'Project Info and Summary'!$L$5,2),"")</f>
        <v/>
      </c>
    </row>
    <row r="261" spans="1:19" ht="30" customHeight="1">
      <c r="A261" s="948"/>
      <c r="B261" s="496">
        <f t="shared" si="8"/>
        <v>252</v>
      </c>
      <c r="C261" s="864"/>
      <c r="D261" s="505"/>
      <c r="E261" s="866"/>
      <c r="F261" s="498"/>
      <c r="G261" s="499"/>
      <c r="H261" s="492"/>
      <c r="I261" s="855">
        <f>IFERROR(IFERROR(INDEX('Fixture and LED Schedule'!D:D,MATCH(F261,'Fixture and LED Schedule'!C:C,""),1),F261),"")</f>
        <v>0</v>
      </c>
      <c r="J261" s="855" t="str">
        <f>IFERROR(IF(PRJ_Type="New Construction",H261,INDEX(yControl_Code,MATCH(Inventory!H261,yControlTypes,0),1)),"")</f>
        <v/>
      </c>
      <c r="K261" s="493"/>
      <c r="L261" s="501"/>
      <c r="M261" s="502"/>
      <c r="N261" s="855">
        <f>IFERROR(IFERROR(INDEX('Fixture and LED Schedule'!D:D,MATCH(K261,'Fixture and LED Schedule'!C:C,0),1),K261),"")</f>
        <v>0</v>
      </c>
      <c r="O261" s="858" t="str">
        <f>IFERROR(INDEX(yControl_Code,MATCH(Inventory!M261,yControlTypes,0),1),"")</f>
        <v/>
      </c>
      <c r="P261" s="860" t="str">
        <f>'Lighting Inventory (Ref only)'!AG264</f>
        <v/>
      </c>
      <c r="Q261" s="861" t="str">
        <f>'Lighting Inventory (Ref only)'!AF264</f>
        <v/>
      </c>
      <c r="R261" s="856" t="str">
        <f t="shared" si="6"/>
        <v/>
      </c>
      <c r="S261" s="856" t="str">
        <f>IFERROR(ROUND(R261*'Project Info and Summary'!$J$5/'Project Info and Summary'!$L$5,2),"")</f>
        <v/>
      </c>
    </row>
    <row r="262" spans="1:19" ht="30" customHeight="1">
      <c r="A262" s="948"/>
      <c r="B262" s="496">
        <f t="shared" si="8"/>
        <v>253</v>
      </c>
      <c r="C262" s="864"/>
      <c r="D262" s="505"/>
      <c r="E262" s="866"/>
      <c r="F262" s="498"/>
      <c r="G262" s="499"/>
      <c r="H262" s="492"/>
      <c r="I262" s="855">
        <f>IFERROR(IFERROR(INDEX('Fixture and LED Schedule'!D:D,MATCH(F262,'Fixture and LED Schedule'!C:C,""),1),F262),"")</f>
        <v>0</v>
      </c>
      <c r="J262" s="855" t="str">
        <f>IFERROR(IF(PRJ_Type="New Construction",H262,INDEX(yControl_Code,MATCH(Inventory!H262,yControlTypes,0),1)),"")</f>
        <v/>
      </c>
      <c r="K262" s="493"/>
      <c r="L262" s="501"/>
      <c r="M262" s="502"/>
      <c r="N262" s="855">
        <f>IFERROR(IFERROR(INDEX('Fixture and LED Schedule'!D:D,MATCH(K262,'Fixture and LED Schedule'!C:C,0),1),K262),"")</f>
        <v>0</v>
      </c>
      <c r="O262" s="858" t="str">
        <f>IFERROR(INDEX(yControl_Code,MATCH(Inventory!M262,yControlTypes,0),1),"")</f>
        <v/>
      </c>
      <c r="P262" s="860" t="str">
        <f>'Lighting Inventory (Ref only)'!AG265</f>
        <v/>
      </c>
      <c r="Q262" s="861" t="str">
        <f>'Lighting Inventory (Ref only)'!AF265</f>
        <v/>
      </c>
      <c r="R262" s="856" t="str">
        <f t="shared" si="6"/>
        <v/>
      </c>
      <c r="S262" s="856" t="str">
        <f>IFERROR(ROUND(R262*'Project Info and Summary'!$J$5/'Project Info and Summary'!$L$5,2),"")</f>
        <v/>
      </c>
    </row>
    <row r="263" spans="1:19" ht="30" customHeight="1">
      <c r="A263" s="948"/>
      <c r="B263" s="496">
        <f t="shared" si="8"/>
        <v>254</v>
      </c>
      <c r="C263" s="864"/>
      <c r="D263" s="505"/>
      <c r="E263" s="866"/>
      <c r="F263" s="498"/>
      <c r="G263" s="499"/>
      <c r="H263" s="492"/>
      <c r="I263" s="855">
        <f>IFERROR(IFERROR(INDEX('Fixture and LED Schedule'!D:D,MATCH(F263,'Fixture and LED Schedule'!C:C,""),1),F263),"")</f>
        <v>0</v>
      </c>
      <c r="J263" s="855" t="str">
        <f>IFERROR(IF(PRJ_Type="New Construction",H263,INDEX(yControl_Code,MATCH(Inventory!H263,yControlTypes,0),1)),"")</f>
        <v/>
      </c>
      <c r="K263" s="493"/>
      <c r="L263" s="501"/>
      <c r="M263" s="502"/>
      <c r="N263" s="855">
        <f>IFERROR(IFERROR(INDEX('Fixture and LED Schedule'!D:D,MATCH(K263,'Fixture and LED Schedule'!C:C,0),1),K263),"")</f>
        <v>0</v>
      </c>
      <c r="O263" s="858" t="str">
        <f>IFERROR(INDEX(yControl_Code,MATCH(Inventory!M263,yControlTypes,0),1),"")</f>
        <v/>
      </c>
      <c r="P263" s="860" t="str">
        <f>'Lighting Inventory (Ref only)'!AG266</f>
        <v/>
      </c>
      <c r="Q263" s="861" t="str">
        <f>'Lighting Inventory (Ref only)'!AF266</f>
        <v/>
      </c>
      <c r="R263" s="856" t="str">
        <f t="shared" si="6"/>
        <v/>
      </c>
      <c r="S263" s="856" t="str">
        <f>IFERROR(ROUND(R263*'Project Info and Summary'!$J$5/'Project Info and Summary'!$L$5,2),"")</f>
        <v/>
      </c>
    </row>
    <row r="264" spans="1:19" ht="30" customHeight="1">
      <c r="A264" s="948"/>
      <c r="B264" s="496">
        <f t="shared" si="8"/>
        <v>255</v>
      </c>
      <c r="C264" s="864"/>
      <c r="D264" s="505"/>
      <c r="E264" s="866"/>
      <c r="F264" s="498"/>
      <c r="G264" s="499"/>
      <c r="H264" s="492"/>
      <c r="I264" s="855">
        <f>IFERROR(IFERROR(INDEX('Fixture and LED Schedule'!D:D,MATCH(F264,'Fixture and LED Schedule'!C:C,""),1),F264),"")</f>
        <v>0</v>
      </c>
      <c r="J264" s="855" t="str">
        <f>IFERROR(IF(PRJ_Type="New Construction",H264,INDEX(yControl_Code,MATCH(Inventory!H264,yControlTypes,0),1)),"")</f>
        <v/>
      </c>
      <c r="K264" s="493"/>
      <c r="L264" s="501"/>
      <c r="M264" s="502"/>
      <c r="N264" s="855">
        <f>IFERROR(IFERROR(INDEX('Fixture and LED Schedule'!D:D,MATCH(K264,'Fixture and LED Schedule'!C:C,0),1),K264),"")</f>
        <v>0</v>
      </c>
      <c r="O264" s="858" t="str">
        <f>IFERROR(INDEX(yControl_Code,MATCH(Inventory!M264,yControlTypes,0),1),"")</f>
        <v/>
      </c>
      <c r="P264" s="860" t="str">
        <f>'Lighting Inventory (Ref only)'!AG267</f>
        <v/>
      </c>
      <c r="Q264" s="861" t="str">
        <f>'Lighting Inventory (Ref only)'!AF267</f>
        <v/>
      </c>
      <c r="R264" s="856" t="str">
        <f t="shared" si="6"/>
        <v/>
      </c>
      <c r="S264" s="856" t="str">
        <f>IFERROR(ROUND(R264*'Project Info and Summary'!$J$5/'Project Info and Summary'!$L$5,2),"")</f>
        <v/>
      </c>
    </row>
    <row r="265" spans="1:19" ht="30" customHeight="1">
      <c r="A265" s="948"/>
      <c r="B265" s="496">
        <f t="shared" si="8"/>
        <v>256</v>
      </c>
      <c r="C265" s="864"/>
      <c r="D265" s="505"/>
      <c r="E265" s="866"/>
      <c r="F265" s="498"/>
      <c r="G265" s="499"/>
      <c r="H265" s="492"/>
      <c r="I265" s="855">
        <f>IFERROR(IFERROR(INDEX('Fixture and LED Schedule'!D:D,MATCH(F265,'Fixture and LED Schedule'!C:C,""),1),F265),"")</f>
        <v>0</v>
      </c>
      <c r="J265" s="855" t="str">
        <f>IFERROR(IF(PRJ_Type="New Construction",H265,INDEX(yControl_Code,MATCH(Inventory!H265,yControlTypes,0),1)),"")</f>
        <v/>
      </c>
      <c r="K265" s="493"/>
      <c r="L265" s="501"/>
      <c r="M265" s="502"/>
      <c r="N265" s="855">
        <f>IFERROR(IFERROR(INDEX('Fixture and LED Schedule'!D:D,MATCH(K265,'Fixture and LED Schedule'!C:C,0),1),K265),"")</f>
        <v>0</v>
      </c>
      <c r="O265" s="858" t="str">
        <f>IFERROR(INDEX(yControl_Code,MATCH(Inventory!M265,yControlTypes,0),1),"")</f>
        <v/>
      </c>
      <c r="P265" s="860" t="str">
        <f>'Lighting Inventory (Ref only)'!AG268</f>
        <v/>
      </c>
      <c r="Q265" s="861" t="str">
        <f>'Lighting Inventory (Ref only)'!AF268</f>
        <v/>
      </c>
      <c r="R265" s="856" t="str">
        <f t="shared" si="6"/>
        <v/>
      </c>
      <c r="S265" s="856" t="str">
        <f>IFERROR(ROUND(R265*'Project Info and Summary'!$J$5/'Project Info and Summary'!$L$5,2),"")</f>
        <v/>
      </c>
    </row>
    <row r="266" spans="1:19" ht="30" customHeight="1">
      <c r="A266" s="948"/>
      <c r="B266" s="496">
        <f t="shared" si="8"/>
        <v>257</v>
      </c>
      <c r="C266" s="864"/>
      <c r="D266" s="505"/>
      <c r="E266" s="866"/>
      <c r="F266" s="498"/>
      <c r="G266" s="499"/>
      <c r="H266" s="492"/>
      <c r="I266" s="855">
        <f>IFERROR(IFERROR(INDEX('Fixture and LED Schedule'!D:D,MATCH(F266,'Fixture and LED Schedule'!C:C,""),1),F266),"")</f>
        <v>0</v>
      </c>
      <c r="J266" s="855" t="str">
        <f>IFERROR(IF(PRJ_Type="New Construction",H266,INDEX(yControl_Code,MATCH(Inventory!H266,yControlTypes,0),1)),"")</f>
        <v/>
      </c>
      <c r="K266" s="493"/>
      <c r="L266" s="501"/>
      <c r="M266" s="502"/>
      <c r="N266" s="855">
        <f>IFERROR(IFERROR(INDEX('Fixture and LED Schedule'!D:D,MATCH(K266,'Fixture and LED Schedule'!C:C,0),1),K266),"")</f>
        <v>0</v>
      </c>
      <c r="O266" s="858" t="str">
        <f>IFERROR(INDEX(yControl_Code,MATCH(Inventory!M266,yControlTypes,0),1),"")</f>
        <v/>
      </c>
      <c r="P266" s="860" t="str">
        <f>'Lighting Inventory (Ref only)'!AG269</f>
        <v/>
      </c>
      <c r="Q266" s="861" t="str">
        <f>'Lighting Inventory (Ref only)'!AF269</f>
        <v/>
      </c>
      <c r="R266" s="856" t="str">
        <f t="shared" si="6"/>
        <v/>
      </c>
      <c r="S266" s="856" t="str">
        <f>IFERROR(ROUND(R266*'Project Info and Summary'!$J$5/'Project Info and Summary'!$L$5,2),"")</f>
        <v/>
      </c>
    </row>
    <row r="267" spans="1:19" ht="30" customHeight="1">
      <c r="A267" s="948"/>
      <c r="B267" s="496">
        <f t="shared" si="8"/>
        <v>258</v>
      </c>
      <c r="C267" s="864"/>
      <c r="D267" s="505"/>
      <c r="E267" s="866"/>
      <c r="F267" s="498"/>
      <c r="G267" s="499"/>
      <c r="H267" s="492"/>
      <c r="I267" s="855">
        <f>IFERROR(IFERROR(INDEX('Fixture and LED Schedule'!D:D,MATCH(F267,'Fixture and LED Schedule'!C:C,""),1),F267),"")</f>
        <v>0</v>
      </c>
      <c r="J267" s="855" t="str">
        <f>IFERROR(IF(PRJ_Type="New Construction",H267,INDEX(yControl_Code,MATCH(Inventory!H267,yControlTypes,0),1)),"")</f>
        <v/>
      </c>
      <c r="K267" s="493"/>
      <c r="L267" s="501"/>
      <c r="M267" s="502"/>
      <c r="N267" s="855">
        <f>IFERROR(IFERROR(INDEX('Fixture and LED Schedule'!D:D,MATCH(K267,'Fixture and LED Schedule'!C:C,0),1),K267),"")</f>
        <v>0</v>
      </c>
      <c r="O267" s="858" t="str">
        <f>IFERROR(INDEX(yControl_Code,MATCH(Inventory!M267,yControlTypes,0),1),"")</f>
        <v/>
      </c>
      <c r="P267" s="860" t="str">
        <f>'Lighting Inventory (Ref only)'!AG270</f>
        <v/>
      </c>
      <c r="Q267" s="861" t="str">
        <f>'Lighting Inventory (Ref only)'!AF270</f>
        <v/>
      </c>
      <c r="R267" s="856" t="str">
        <f t="shared" ref="R267:R330" si="9">IFERROR(P267*0.02+Q267*185,"")</f>
        <v/>
      </c>
      <c r="S267" s="856" t="str">
        <f>IFERROR(ROUND(R267*'Project Info and Summary'!$J$5/'Project Info and Summary'!$L$5,2),"")</f>
        <v/>
      </c>
    </row>
    <row r="268" spans="1:19" ht="30" customHeight="1">
      <c r="A268" s="948"/>
      <c r="B268" s="496">
        <f t="shared" si="8"/>
        <v>259</v>
      </c>
      <c r="C268" s="864"/>
      <c r="D268" s="505"/>
      <c r="E268" s="866"/>
      <c r="F268" s="498"/>
      <c r="G268" s="499"/>
      <c r="H268" s="492"/>
      <c r="I268" s="855">
        <f>IFERROR(IFERROR(INDEX('Fixture and LED Schedule'!D:D,MATCH(F268,'Fixture and LED Schedule'!C:C,""),1),F268),"")</f>
        <v>0</v>
      </c>
      <c r="J268" s="855" t="str">
        <f>IFERROR(IF(PRJ_Type="New Construction",H268,INDEX(yControl_Code,MATCH(Inventory!H268,yControlTypes,0),1)),"")</f>
        <v/>
      </c>
      <c r="K268" s="493"/>
      <c r="L268" s="501"/>
      <c r="M268" s="502"/>
      <c r="N268" s="855">
        <f>IFERROR(IFERROR(INDEX('Fixture and LED Schedule'!D:D,MATCH(K268,'Fixture and LED Schedule'!C:C,0),1),K268),"")</f>
        <v>0</v>
      </c>
      <c r="O268" s="858" t="str">
        <f>IFERROR(INDEX(yControl_Code,MATCH(Inventory!M268,yControlTypes,0),1),"")</f>
        <v/>
      </c>
      <c r="P268" s="860" t="str">
        <f>'Lighting Inventory (Ref only)'!AG271</f>
        <v/>
      </c>
      <c r="Q268" s="861" t="str">
        <f>'Lighting Inventory (Ref only)'!AF271</f>
        <v/>
      </c>
      <c r="R268" s="856" t="str">
        <f t="shared" si="9"/>
        <v/>
      </c>
      <c r="S268" s="856" t="str">
        <f>IFERROR(ROUND(R268*'Project Info and Summary'!$J$5/'Project Info and Summary'!$L$5,2),"")</f>
        <v/>
      </c>
    </row>
    <row r="269" spans="1:19" ht="30" customHeight="1">
      <c r="A269" s="948"/>
      <c r="B269" s="496">
        <f t="shared" si="8"/>
        <v>260</v>
      </c>
      <c r="C269" s="864"/>
      <c r="D269" s="505"/>
      <c r="E269" s="866"/>
      <c r="F269" s="498"/>
      <c r="G269" s="499"/>
      <c r="H269" s="492"/>
      <c r="I269" s="855">
        <f>IFERROR(IFERROR(INDEX('Fixture and LED Schedule'!D:D,MATCH(F269,'Fixture and LED Schedule'!C:C,""),1),F269),"")</f>
        <v>0</v>
      </c>
      <c r="J269" s="855" t="str">
        <f>IFERROR(IF(PRJ_Type="New Construction",H269,INDEX(yControl_Code,MATCH(Inventory!H269,yControlTypes,0),1)),"")</f>
        <v/>
      </c>
      <c r="K269" s="493"/>
      <c r="L269" s="501"/>
      <c r="M269" s="502"/>
      <c r="N269" s="855">
        <f>IFERROR(IFERROR(INDEX('Fixture and LED Schedule'!D:D,MATCH(K269,'Fixture and LED Schedule'!C:C,0),1),K269),"")</f>
        <v>0</v>
      </c>
      <c r="O269" s="858" t="str">
        <f>IFERROR(INDEX(yControl_Code,MATCH(Inventory!M269,yControlTypes,0),1),"")</f>
        <v/>
      </c>
      <c r="P269" s="860" t="str">
        <f>'Lighting Inventory (Ref only)'!AG272</f>
        <v/>
      </c>
      <c r="Q269" s="861" t="str">
        <f>'Lighting Inventory (Ref only)'!AF272</f>
        <v/>
      </c>
      <c r="R269" s="856" t="str">
        <f t="shared" si="9"/>
        <v/>
      </c>
      <c r="S269" s="856" t="str">
        <f>IFERROR(ROUND(R269*'Project Info and Summary'!$J$5/'Project Info and Summary'!$L$5,2),"")</f>
        <v/>
      </c>
    </row>
    <row r="270" spans="1:19" ht="30" customHeight="1">
      <c r="A270" s="948"/>
      <c r="B270" s="496">
        <f t="shared" si="8"/>
        <v>261</v>
      </c>
      <c r="C270" s="864"/>
      <c r="D270" s="505"/>
      <c r="E270" s="866"/>
      <c r="F270" s="498"/>
      <c r="G270" s="499"/>
      <c r="H270" s="492"/>
      <c r="I270" s="855">
        <f>IFERROR(IFERROR(INDEX('Fixture and LED Schedule'!D:D,MATCH(F270,'Fixture and LED Schedule'!C:C,""),1),F270),"")</f>
        <v>0</v>
      </c>
      <c r="J270" s="855" t="str">
        <f>IFERROR(IF(PRJ_Type="New Construction",H270,INDEX(yControl_Code,MATCH(Inventory!H270,yControlTypes,0),1)),"")</f>
        <v/>
      </c>
      <c r="K270" s="493"/>
      <c r="L270" s="501"/>
      <c r="M270" s="502"/>
      <c r="N270" s="855">
        <f>IFERROR(IFERROR(INDEX('Fixture and LED Schedule'!D:D,MATCH(K270,'Fixture and LED Schedule'!C:C,0),1),K270),"")</f>
        <v>0</v>
      </c>
      <c r="O270" s="858" t="str">
        <f>IFERROR(INDEX(yControl_Code,MATCH(Inventory!M270,yControlTypes,0),1),"")</f>
        <v/>
      </c>
      <c r="P270" s="860" t="str">
        <f>'Lighting Inventory (Ref only)'!AG273</f>
        <v/>
      </c>
      <c r="Q270" s="861" t="str">
        <f>'Lighting Inventory (Ref only)'!AF273</f>
        <v/>
      </c>
      <c r="R270" s="856" t="str">
        <f t="shared" si="9"/>
        <v/>
      </c>
      <c r="S270" s="856" t="str">
        <f>IFERROR(ROUND(R270*'Project Info and Summary'!$J$5/'Project Info and Summary'!$L$5,2),"")</f>
        <v/>
      </c>
    </row>
    <row r="271" spans="1:19" ht="30" customHeight="1">
      <c r="A271" s="948"/>
      <c r="B271" s="496">
        <f t="shared" si="8"/>
        <v>262</v>
      </c>
      <c r="C271" s="864"/>
      <c r="D271" s="505"/>
      <c r="E271" s="866"/>
      <c r="F271" s="498"/>
      <c r="G271" s="499"/>
      <c r="H271" s="492"/>
      <c r="I271" s="855">
        <f>IFERROR(IFERROR(INDEX('Fixture and LED Schedule'!D:D,MATCH(F271,'Fixture and LED Schedule'!C:C,""),1),F271),"")</f>
        <v>0</v>
      </c>
      <c r="J271" s="855" t="str">
        <f>IFERROR(IF(PRJ_Type="New Construction",H271,INDEX(yControl_Code,MATCH(Inventory!H271,yControlTypes,0),1)),"")</f>
        <v/>
      </c>
      <c r="K271" s="493"/>
      <c r="L271" s="501"/>
      <c r="M271" s="502"/>
      <c r="N271" s="855">
        <f>IFERROR(IFERROR(INDEX('Fixture and LED Schedule'!D:D,MATCH(K271,'Fixture and LED Schedule'!C:C,0),1),K271),"")</f>
        <v>0</v>
      </c>
      <c r="O271" s="858" t="str">
        <f>IFERROR(INDEX(yControl_Code,MATCH(Inventory!M271,yControlTypes,0),1),"")</f>
        <v/>
      </c>
      <c r="P271" s="860" t="str">
        <f>'Lighting Inventory (Ref only)'!AG274</f>
        <v/>
      </c>
      <c r="Q271" s="861" t="str">
        <f>'Lighting Inventory (Ref only)'!AF274</f>
        <v/>
      </c>
      <c r="R271" s="856" t="str">
        <f t="shared" si="9"/>
        <v/>
      </c>
      <c r="S271" s="856" t="str">
        <f>IFERROR(ROUND(R271*'Project Info and Summary'!$J$5/'Project Info and Summary'!$L$5,2),"")</f>
        <v/>
      </c>
    </row>
    <row r="272" spans="1:19" ht="30" customHeight="1">
      <c r="A272" s="948"/>
      <c r="B272" s="496">
        <f t="shared" si="8"/>
        <v>263</v>
      </c>
      <c r="C272" s="864"/>
      <c r="D272" s="505"/>
      <c r="E272" s="866"/>
      <c r="F272" s="498"/>
      <c r="G272" s="499"/>
      <c r="H272" s="492"/>
      <c r="I272" s="855">
        <f>IFERROR(IFERROR(INDEX('Fixture and LED Schedule'!D:D,MATCH(F272,'Fixture and LED Schedule'!C:C,""),1),F272),"")</f>
        <v>0</v>
      </c>
      <c r="J272" s="855" t="str">
        <f>IFERROR(IF(PRJ_Type="New Construction",H272,INDEX(yControl_Code,MATCH(Inventory!H272,yControlTypes,0),1)),"")</f>
        <v/>
      </c>
      <c r="K272" s="493"/>
      <c r="L272" s="501"/>
      <c r="M272" s="502"/>
      <c r="N272" s="855">
        <f>IFERROR(IFERROR(INDEX('Fixture and LED Schedule'!D:D,MATCH(K272,'Fixture and LED Schedule'!C:C,0),1),K272),"")</f>
        <v>0</v>
      </c>
      <c r="O272" s="858" t="str">
        <f>IFERROR(INDEX(yControl_Code,MATCH(Inventory!M272,yControlTypes,0),1),"")</f>
        <v/>
      </c>
      <c r="P272" s="860" t="str">
        <f>'Lighting Inventory (Ref only)'!AG275</f>
        <v/>
      </c>
      <c r="Q272" s="861" t="str">
        <f>'Lighting Inventory (Ref only)'!AF275</f>
        <v/>
      </c>
      <c r="R272" s="856" t="str">
        <f t="shared" si="9"/>
        <v/>
      </c>
      <c r="S272" s="856" t="str">
        <f>IFERROR(ROUND(R272*'Project Info and Summary'!$J$5/'Project Info and Summary'!$L$5,2),"")</f>
        <v/>
      </c>
    </row>
    <row r="273" spans="1:19" ht="30" customHeight="1">
      <c r="A273" s="948"/>
      <c r="B273" s="496">
        <f t="shared" si="8"/>
        <v>264</v>
      </c>
      <c r="C273" s="864"/>
      <c r="D273" s="505"/>
      <c r="E273" s="866"/>
      <c r="F273" s="498"/>
      <c r="G273" s="499"/>
      <c r="H273" s="492"/>
      <c r="I273" s="855">
        <f>IFERROR(IFERROR(INDEX('Fixture and LED Schedule'!D:D,MATCH(F273,'Fixture and LED Schedule'!C:C,""),1),F273),"")</f>
        <v>0</v>
      </c>
      <c r="J273" s="855" t="str">
        <f>IFERROR(IF(PRJ_Type="New Construction",H273,INDEX(yControl_Code,MATCH(Inventory!H273,yControlTypes,0),1)),"")</f>
        <v/>
      </c>
      <c r="K273" s="493"/>
      <c r="L273" s="501"/>
      <c r="M273" s="502"/>
      <c r="N273" s="855">
        <f>IFERROR(IFERROR(INDEX('Fixture and LED Schedule'!D:D,MATCH(K273,'Fixture and LED Schedule'!C:C,0),1),K273),"")</f>
        <v>0</v>
      </c>
      <c r="O273" s="858" t="str">
        <f>IFERROR(INDEX(yControl_Code,MATCH(Inventory!M273,yControlTypes,0),1),"")</f>
        <v/>
      </c>
      <c r="P273" s="860" t="str">
        <f>'Lighting Inventory (Ref only)'!AG276</f>
        <v/>
      </c>
      <c r="Q273" s="861" t="str">
        <f>'Lighting Inventory (Ref only)'!AF276</f>
        <v/>
      </c>
      <c r="R273" s="856" t="str">
        <f t="shared" si="9"/>
        <v/>
      </c>
      <c r="S273" s="856" t="str">
        <f>IFERROR(ROUND(R273*'Project Info and Summary'!$J$5/'Project Info and Summary'!$L$5,2),"")</f>
        <v/>
      </c>
    </row>
    <row r="274" spans="1:19" ht="30" customHeight="1">
      <c r="A274" s="948"/>
      <c r="B274" s="496">
        <f t="shared" si="8"/>
        <v>265</v>
      </c>
      <c r="C274" s="864"/>
      <c r="D274" s="505"/>
      <c r="E274" s="866"/>
      <c r="F274" s="498"/>
      <c r="G274" s="499"/>
      <c r="H274" s="492"/>
      <c r="I274" s="855">
        <f>IFERROR(IFERROR(INDEX('Fixture and LED Schedule'!D:D,MATCH(F274,'Fixture and LED Schedule'!C:C,""),1),F274),"")</f>
        <v>0</v>
      </c>
      <c r="J274" s="855" t="str">
        <f>IFERROR(IF(PRJ_Type="New Construction",H274,INDEX(yControl_Code,MATCH(Inventory!H274,yControlTypes,0),1)),"")</f>
        <v/>
      </c>
      <c r="K274" s="493"/>
      <c r="L274" s="501"/>
      <c r="M274" s="502"/>
      <c r="N274" s="855">
        <f>IFERROR(IFERROR(INDEX('Fixture and LED Schedule'!D:D,MATCH(K274,'Fixture and LED Schedule'!C:C,0),1),K274),"")</f>
        <v>0</v>
      </c>
      <c r="O274" s="858" t="str">
        <f>IFERROR(INDEX(yControl_Code,MATCH(Inventory!M274,yControlTypes,0),1),"")</f>
        <v/>
      </c>
      <c r="P274" s="860" t="str">
        <f>'Lighting Inventory (Ref only)'!AG277</f>
        <v/>
      </c>
      <c r="Q274" s="861" t="str">
        <f>'Lighting Inventory (Ref only)'!AF277</f>
        <v/>
      </c>
      <c r="R274" s="856" t="str">
        <f t="shared" si="9"/>
        <v/>
      </c>
      <c r="S274" s="856" t="str">
        <f>IFERROR(ROUND(R274*'Project Info and Summary'!$J$5/'Project Info and Summary'!$L$5,2),"")</f>
        <v/>
      </c>
    </row>
    <row r="275" spans="1:19" ht="30" customHeight="1">
      <c r="A275" s="948"/>
      <c r="B275" s="496">
        <f t="shared" si="8"/>
        <v>266</v>
      </c>
      <c r="C275" s="864"/>
      <c r="D275" s="505"/>
      <c r="E275" s="866"/>
      <c r="F275" s="498"/>
      <c r="G275" s="499"/>
      <c r="H275" s="492"/>
      <c r="I275" s="855">
        <f>IFERROR(IFERROR(INDEX('Fixture and LED Schedule'!D:D,MATCH(F275,'Fixture and LED Schedule'!C:C,""),1),F275),"")</f>
        <v>0</v>
      </c>
      <c r="J275" s="855" t="str">
        <f>IFERROR(IF(PRJ_Type="New Construction",H275,INDEX(yControl_Code,MATCH(Inventory!H275,yControlTypes,0),1)),"")</f>
        <v/>
      </c>
      <c r="K275" s="493"/>
      <c r="L275" s="501"/>
      <c r="M275" s="502"/>
      <c r="N275" s="855">
        <f>IFERROR(IFERROR(INDEX('Fixture and LED Schedule'!D:D,MATCH(K275,'Fixture and LED Schedule'!C:C,0),1),K275),"")</f>
        <v>0</v>
      </c>
      <c r="O275" s="858" t="str">
        <f>IFERROR(INDEX(yControl_Code,MATCH(Inventory!M275,yControlTypes,0),1),"")</f>
        <v/>
      </c>
      <c r="P275" s="860" t="str">
        <f>'Lighting Inventory (Ref only)'!AG278</f>
        <v/>
      </c>
      <c r="Q275" s="861" t="str">
        <f>'Lighting Inventory (Ref only)'!AF278</f>
        <v/>
      </c>
      <c r="R275" s="856" t="str">
        <f t="shared" si="9"/>
        <v/>
      </c>
      <c r="S275" s="856" t="str">
        <f>IFERROR(ROUND(R275*'Project Info and Summary'!$J$5/'Project Info and Summary'!$L$5,2),"")</f>
        <v/>
      </c>
    </row>
    <row r="276" spans="1:19" ht="30" customHeight="1">
      <c r="A276" s="948"/>
      <c r="B276" s="496">
        <f t="shared" si="8"/>
        <v>267</v>
      </c>
      <c r="C276" s="864"/>
      <c r="D276" s="505"/>
      <c r="E276" s="866"/>
      <c r="F276" s="498"/>
      <c r="G276" s="499"/>
      <c r="H276" s="492"/>
      <c r="I276" s="855">
        <f>IFERROR(IFERROR(INDEX('Fixture and LED Schedule'!D:D,MATCH(F276,'Fixture and LED Schedule'!C:C,""),1),F276),"")</f>
        <v>0</v>
      </c>
      <c r="J276" s="855" t="str">
        <f>IFERROR(IF(PRJ_Type="New Construction",H276,INDEX(yControl_Code,MATCH(Inventory!H276,yControlTypes,0),1)),"")</f>
        <v/>
      </c>
      <c r="K276" s="493"/>
      <c r="L276" s="501"/>
      <c r="M276" s="502"/>
      <c r="N276" s="855">
        <f>IFERROR(IFERROR(INDEX('Fixture and LED Schedule'!D:D,MATCH(K276,'Fixture and LED Schedule'!C:C,0),1),K276),"")</f>
        <v>0</v>
      </c>
      <c r="O276" s="858" t="str">
        <f>IFERROR(INDEX(yControl_Code,MATCH(Inventory!M276,yControlTypes,0),1),"")</f>
        <v/>
      </c>
      <c r="P276" s="860" t="str">
        <f>'Lighting Inventory (Ref only)'!AG279</f>
        <v/>
      </c>
      <c r="Q276" s="861" t="str">
        <f>'Lighting Inventory (Ref only)'!AF279</f>
        <v/>
      </c>
      <c r="R276" s="856" t="str">
        <f t="shared" si="9"/>
        <v/>
      </c>
      <c r="S276" s="856" t="str">
        <f>IFERROR(ROUND(R276*'Project Info and Summary'!$J$5/'Project Info and Summary'!$L$5,2),"")</f>
        <v/>
      </c>
    </row>
    <row r="277" spans="1:19" ht="30" customHeight="1">
      <c r="A277" s="948"/>
      <c r="B277" s="496">
        <f t="shared" si="8"/>
        <v>268</v>
      </c>
      <c r="C277" s="864"/>
      <c r="D277" s="505"/>
      <c r="E277" s="866"/>
      <c r="F277" s="498"/>
      <c r="G277" s="499"/>
      <c r="H277" s="492"/>
      <c r="I277" s="855">
        <f>IFERROR(IFERROR(INDEX('Fixture and LED Schedule'!D:D,MATCH(F277,'Fixture and LED Schedule'!C:C,""),1),F277),"")</f>
        <v>0</v>
      </c>
      <c r="J277" s="855" t="str">
        <f>IFERROR(IF(PRJ_Type="New Construction",H277,INDEX(yControl_Code,MATCH(Inventory!H277,yControlTypes,0),1)),"")</f>
        <v/>
      </c>
      <c r="K277" s="493"/>
      <c r="L277" s="501"/>
      <c r="M277" s="502"/>
      <c r="N277" s="855">
        <f>IFERROR(IFERROR(INDEX('Fixture and LED Schedule'!D:D,MATCH(K277,'Fixture and LED Schedule'!C:C,0),1),K277),"")</f>
        <v>0</v>
      </c>
      <c r="O277" s="858" t="str">
        <f>IFERROR(INDEX(yControl_Code,MATCH(Inventory!M277,yControlTypes,0),1),"")</f>
        <v/>
      </c>
      <c r="P277" s="860" t="str">
        <f>'Lighting Inventory (Ref only)'!AG280</f>
        <v/>
      </c>
      <c r="Q277" s="861" t="str">
        <f>'Lighting Inventory (Ref only)'!AF280</f>
        <v/>
      </c>
      <c r="R277" s="856" t="str">
        <f t="shared" si="9"/>
        <v/>
      </c>
      <c r="S277" s="856" t="str">
        <f>IFERROR(ROUND(R277*'Project Info and Summary'!$J$5/'Project Info and Summary'!$L$5,2),"")</f>
        <v/>
      </c>
    </row>
    <row r="278" spans="1:19" ht="30" customHeight="1">
      <c r="A278" s="948"/>
      <c r="B278" s="496">
        <f t="shared" si="8"/>
        <v>269</v>
      </c>
      <c r="C278" s="864"/>
      <c r="D278" s="505"/>
      <c r="E278" s="866"/>
      <c r="F278" s="498"/>
      <c r="G278" s="499"/>
      <c r="H278" s="492"/>
      <c r="I278" s="855">
        <f>IFERROR(IFERROR(INDEX('Fixture and LED Schedule'!D:D,MATCH(F278,'Fixture and LED Schedule'!C:C,""),1),F278),"")</f>
        <v>0</v>
      </c>
      <c r="J278" s="855" t="str">
        <f>IFERROR(IF(PRJ_Type="New Construction",H278,INDEX(yControl_Code,MATCH(Inventory!H278,yControlTypes,0),1)),"")</f>
        <v/>
      </c>
      <c r="K278" s="493"/>
      <c r="L278" s="501"/>
      <c r="M278" s="502"/>
      <c r="N278" s="855">
        <f>IFERROR(IFERROR(INDEX('Fixture and LED Schedule'!D:D,MATCH(K278,'Fixture and LED Schedule'!C:C,0),1),K278),"")</f>
        <v>0</v>
      </c>
      <c r="O278" s="858" t="str">
        <f>IFERROR(INDEX(yControl_Code,MATCH(Inventory!M278,yControlTypes,0),1),"")</f>
        <v/>
      </c>
      <c r="P278" s="860" t="str">
        <f>'Lighting Inventory (Ref only)'!AG281</f>
        <v/>
      </c>
      <c r="Q278" s="861" t="str">
        <f>'Lighting Inventory (Ref only)'!AF281</f>
        <v/>
      </c>
      <c r="R278" s="856" t="str">
        <f t="shared" si="9"/>
        <v/>
      </c>
      <c r="S278" s="856" t="str">
        <f>IFERROR(ROUND(R278*'Project Info and Summary'!$J$5/'Project Info and Summary'!$L$5,2),"")</f>
        <v/>
      </c>
    </row>
    <row r="279" spans="1:19" ht="30" customHeight="1">
      <c r="A279" s="948"/>
      <c r="B279" s="496">
        <f t="shared" si="8"/>
        <v>270</v>
      </c>
      <c r="C279" s="864"/>
      <c r="D279" s="505"/>
      <c r="E279" s="866"/>
      <c r="F279" s="498"/>
      <c r="G279" s="499"/>
      <c r="H279" s="492"/>
      <c r="I279" s="855">
        <f>IFERROR(IFERROR(INDEX('Fixture and LED Schedule'!D:D,MATCH(F279,'Fixture and LED Schedule'!C:C,""),1),F279),"")</f>
        <v>0</v>
      </c>
      <c r="J279" s="855" t="str">
        <f>IFERROR(IF(PRJ_Type="New Construction",H279,INDEX(yControl_Code,MATCH(Inventory!H279,yControlTypes,0),1)),"")</f>
        <v/>
      </c>
      <c r="K279" s="493"/>
      <c r="L279" s="501"/>
      <c r="M279" s="502"/>
      <c r="N279" s="855">
        <f>IFERROR(IFERROR(INDEX('Fixture and LED Schedule'!D:D,MATCH(K279,'Fixture and LED Schedule'!C:C,0),1),K279),"")</f>
        <v>0</v>
      </c>
      <c r="O279" s="858" t="str">
        <f>IFERROR(INDEX(yControl_Code,MATCH(Inventory!M279,yControlTypes,0),1),"")</f>
        <v/>
      </c>
      <c r="P279" s="860" t="str">
        <f>'Lighting Inventory (Ref only)'!AG282</f>
        <v/>
      </c>
      <c r="Q279" s="861" t="str">
        <f>'Lighting Inventory (Ref only)'!AF282</f>
        <v/>
      </c>
      <c r="R279" s="856" t="str">
        <f t="shared" si="9"/>
        <v/>
      </c>
      <c r="S279" s="856" t="str">
        <f>IFERROR(ROUND(R279*'Project Info and Summary'!$J$5/'Project Info and Summary'!$L$5,2),"")</f>
        <v/>
      </c>
    </row>
    <row r="280" spans="1:19" ht="30" customHeight="1">
      <c r="A280" s="948"/>
      <c r="B280" s="496">
        <f t="shared" si="8"/>
        <v>271</v>
      </c>
      <c r="C280" s="864"/>
      <c r="D280" s="505"/>
      <c r="E280" s="866"/>
      <c r="F280" s="498"/>
      <c r="G280" s="499"/>
      <c r="H280" s="492"/>
      <c r="I280" s="855">
        <f>IFERROR(IFERROR(INDEX('Fixture and LED Schedule'!D:D,MATCH(F280,'Fixture and LED Schedule'!C:C,""),1),F280),"")</f>
        <v>0</v>
      </c>
      <c r="J280" s="855" t="str">
        <f>IFERROR(IF(PRJ_Type="New Construction",H280,INDEX(yControl_Code,MATCH(Inventory!H280,yControlTypes,0),1)),"")</f>
        <v/>
      </c>
      <c r="K280" s="493"/>
      <c r="L280" s="501"/>
      <c r="M280" s="502"/>
      <c r="N280" s="855">
        <f>IFERROR(IFERROR(INDEX('Fixture and LED Schedule'!D:D,MATCH(K280,'Fixture and LED Schedule'!C:C,0),1),K280),"")</f>
        <v>0</v>
      </c>
      <c r="O280" s="858" t="str">
        <f>IFERROR(INDEX(yControl_Code,MATCH(Inventory!M280,yControlTypes,0),1),"")</f>
        <v/>
      </c>
      <c r="P280" s="860" t="str">
        <f>'Lighting Inventory (Ref only)'!AG283</f>
        <v/>
      </c>
      <c r="Q280" s="861" t="str">
        <f>'Lighting Inventory (Ref only)'!AF283</f>
        <v/>
      </c>
      <c r="R280" s="856" t="str">
        <f t="shared" si="9"/>
        <v/>
      </c>
      <c r="S280" s="856" t="str">
        <f>IFERROR(ROUND(R280*'Project Info and Summary'!$J$5/'Project Info and Summary'!$L$5,2),"")</f>
        <v/>
      </c>
    </row>
    <row r="281" spans="1:19" ht="30" customHeight="1">
      <c r="A281" s="948"/>
      <c r="B281" s="496">
        <f t="shared" si="8"/>
        <v>272</v>
      </c>
      <c r="C281" s="864"/>
      <c r="D281" s="505"/>
      <c r="E281" s="866"/>
      <c r="F281" s="498"/>
      <c r="G281" s="499"/>
      <c r="H281" s="492"/>
      <c r="I281" s="855">
        <f>IFERROR(IFERROR(INDEX('Fixture and LED Schedule'!D:D,MATCH(F281,'Fixture and LED Schedule'!C:C,""),1),F281),"")</f>
        <v>0</v>
      </c>
      <c r="J281" s="855" t="str">
        <f>IFERROR(IF(PRJ_Type="New Construction",H281,INDEX(yControl_Code,MATCH(Inventory!H281,yControlTypes,0),1)),"")</f>
        <v/>
      </c>
      <c r="K281" s="493"/>
      <c r="L281" s="501"/>
      <c r="M281" s="502"/>
      <c r="N281" s="855">
        <f>IFERROR(IFERROR(INDEX('Fixture and LED Schedule'!D:D,MATCH(K281,'Fixture and LED Schedule'!C:C,0),1),K281),"")</f>
        <v>0</v>
      </c>
      <c r="O281" s="858" t="str">
        <f>IFERROR(INDEX(yControl_Code,MATCH(Inventory!M281,yControlTypes,0),1),"")</f>
        <v/>
      </c>
      <c r="P281" s="860" t="str">
        <f>'Lighting Inventory (Ref only)'!AG284</f>
        <v/>
      </c>
      <c r="Q281" s="861" t="str">
        <f>'Lighting Inventory (Ref only)'!AF284</f>
        <v/>
      </c>
      <c r="R281" s="856" t="str">
        <f t="shared" si="9"/>
        <v/>
      </c>
      <c r="S281" s="856" t="str">
        <f>IFERROR(ROUND(R281*'Project Info and Summary'!$J$5/'Project Info and Summary'!$L$5,2),"")</f>
        <v/>
      </c>
    </row>
    <row r="282" spans="1:19" ht="30" customHeight="1">
      <c r="A282" s="948"/>
      <c r="B282" s="496">
        <f t="shared" si="8"/>
        <v>273</v>
      </c>
      <c r="C282" s="864"/>
      <c r="D282" s="505"/>
      <c r="E282" s="866"/>
      <c r="F282" s="498"/>
      <c r="G282" s="499"/>
      <c r="H282" s="492"/>
      <c r="I282" s="855">
        <f>IFERROR(IFERROR(INDEX('Fixture and LED Schedule'!D:D,MATCH(F282,'Fixture and LED Schedule'!C:C,""),1),F282),"")</f>
        <v>0</v>
      </c>
      <c r="J282" s="855" t="str">
        <f>IFERROR(IF(PRJ_Type="New Construction",H282,INDEX(yControl_Code,MATCH(Inventory!H282,yControlTypes,0),1)),"")</f>
        <v/>
      </c>
      <c r="K282" s="493"/>
      <c r="L282" s="501"/>
      <c r="M282" s="502"/>
      <c r="N282" s="855">
        <f>IFERROR(IFERROR(INDEX('Fixture and LED Schedule'!D:D,MATCH(K282,'Fixture and LED Schedule'!C:C,0),1),K282),"")</f>
        <v>0</v>
      </c>
      <c r="O282" s="858" t="str">
        <f>IFERROR(INDEX(yControl_Code,MATCH(Inventory!M282,yControlTypes,0),1),"")</f>
        <v/>
      </c>
      <c r="P282" s="860" t="str">
        <f>'Lighting Inventory (Ref only)'!AG285</f>
        <v/>
      </c>
      <c r="Q282" s="861" t="str">
        <f>'Lighting Inventory (Ref only)'!AF285</f>
        <v/>
      </c>
      <c r="R282" s="856" t="str">
        <f t="shared" si="9"/>
        <v/>
      </c>
      <c r="S282" s="856" t="str">
        <f>IFERROR(ROUND(R282*'Project Info and Summary'!$J$5/'Project Info and Summary'!$L$5,2),"")</f>
        <v/>
      </c>
    </row>
    <row r="283" spans="1:19" ht="30" customHeight="1">
      <c r="A283" s="948"/>
      <c r="B283" s="496">
        <f t="shared" si="8"/>
        <v>274</v>
      </c>
      <c r="C283" s="864"/>
      <c r="D283" s="505"/>
      <c r="E283" s="866"/>
      <c r="F283" s="498"/>
      <c r="G283" s="499"/>
      <c r="H283" s="492"/>
      <c r="I283" s="855">
        <f>IFERROR(IFERROR(INDEX('Fixture and LED Schedule'!D:D,MATCH(F283,'Fixture and LED Schedule'!C:C,""),1),F283),"")</f>
        <v>0</v>
      </c>
      <c r="J283" s="855" t="str">
        <f>IFERROR(IF(PRJ_Type="New Construction",H283,INDEX(yControl_Code,MATCH(Inventory!H283,yControlTypes,0),1)),"")</f>
        <v/>
      </c>
      <c r="K283" s="493"/>
      <c r="L283" s="501"/>
      <c r="M283" s="502"/>
      <c r="N283" s="855">
        <f>IFERROR(IFERROR(INDEX('Fixture and LED Schedule'!D:D,MATCH(K283,'Fixture and LED Schedule'!C:C,0),1),K283),"")</f>
        <v>0</v>
      </c>
      <c r="O283" s="858" t="str">
        <f>IFERROR(INDEX(yControl_Code,MATCH(Inventory!M283,yControlTypes,0),1),"")</f>
        <v/>
      </c>
      <c r="P283" s="860" t="str">
        <f>'Lighting Inventory (Ref only)'!AG286</f>
        <v/>
      </c>
      <c r="Q283" s="861" t="str">
        <f>'Lighting Inventory (Ref only)'!AF286</f>
        <v/>
      </c>
      <c r="R283" s="856" t="str">
        <f t="shared" si="9"/>
        <v/>
      </c>
      <c r="S283" s="856" t="str">
        <f>IFERROR(ROUND(R283*'Project Info and Summary'!$J$5/'Project Info and Summary'!$L$5,2),"")</f>
        <v/>
      </c>
    </row>
    <row r="284" spans="1:19" ht="30" customHeight="1">
      <c r="A284" s="948"/>
      <c r="B284" s="496">
        <f t="shared" si="8"/>
        <v>275</v>
      </c>
      <c r="C284" s="864"/>
      <c r="D284" s="505"/>
      <c r="E284" s="866"/>
      <c r="F284" s="498"/>
      <c r="G284" s="499"/>
      <c r="H284" s="492"/>
      <c r="I284" s="855">
        <f>IFERROR(IFERROR(INDEX('Fixture and LED Schedule'!D:D,MATCH(F284,'Fixture and LED Schedule'!C:C,""),1),F284),"")</f>
        <v>0</v>
      </c>
      <c r="J284" s="855" t="str">
        <f>IFERROR(IF(PRJ_Type="New Construction",H284,INDEX(yControl_Code,MATCH(Inventory!H284,yControlTypes,0),1)),"")</f>
        <v/>
      </c>
      <c r="K284" s="493"/>
      <c r="L284" s="501"/>
      <c r="M284" s="502"/>
      <c r="N284" s="855">
        <f>IFERROR(IFERROR(INDEX('Fixture and LED Schedule'!D:D,MATCH(K284,'Fixture and LED Schedule'!C:C,0),1),K284),"")</f>
        <v>0</v>
      </c>
      <c r="O284" s="858" t="str">
        <f>IFERROR(INDEX(yControl_Code,MATCH(Inventory!M284,yControlTypes,0),1),"")</f>
        <v/>
      </c>
      <c r="P284" s="860" t="str">
        <f>'Lighting Inventory (Ref only)'!AG287</f>
        <v/>
      </c>
      <c r="Q284" s="861" t="str">
        <f>'Lighting Inventory (Ref only)'!AF287</f>
        <v/>
      </c>
      <c r="R284" s="856" t="str">
        <f t="shared" si="9"/>
        <v/>
      </c>
      <c r="S284" s="856" t="str">
        <f>IFERROR(ROUND(R284*'Project Info and Summary'!$J$5/'Project Info and Summary'!$L$5,2),"")</f>
        <v/>
      </c>
    </row>
    <row r="285" spans="1:19" ht="30" customHeight="1">
      <c r="A285" s="948"/>
      <c r="B285" s="496">
        <f t="shared" si="8"/>
        <v>276</v>
      </c>
      <c r="C285" s="864"/>
      <c r="D285" s="505"/>
      <c r="E285" s="866"/>
      <c r="F285" s="498"/>
      <c r="G285" s="499"/>
      <c r="H285" s="492"/>
      <c r="I285" s="855">
        <f>IFERROR(IFERROR(INDEX('Fixture and LED Schedule'!D:D,MATCH(F285,'Fixture and LED Schedule'!C:C,""),1),F285),"")</f>
        <v>0</v>
      </c>
      <c r="J285" s="855" t="str">
        <f>IFERROR(IF(PRJ_Type="New Construction",H285,INDEX(yControl_Code,MATCH(Inventory!H285,yControlTypes,0),1)),"")</f>
        <v/>
      </c>
      <c r="K285" s="493"/>
      <c r="L285" s="501"/>
      <c r="M285" s="502"/>
      <c r="N285" s="855">
        <f>IFERROR(IFERROR(INDEX('Fixture and LED Schedule'!D:D,MATCH(K285,'Fixture and LED Schedule'!C:C,0),1),K285),"")</f>
        <v>0</v>
      </c>
      <c r="O285" s="858" t="str">
        <f>IFERROR(INDEX(yControl_Code,MATCH(Inventory!M285,yControlTypes,0),1),"")</f>
        <v/>
      </c>
      <c r="P285" s="860" t="str">
        <f>'Lighting Inventory (Ref only)'!AG288</f>
        <v/>
      </c>
      <c r="Q285" s="861" t="str">
        <f>'Lighting Inventory (Ref only)'!AF288</f>
        <v/>
      </c>
      <c r="R285" s="856" t="str">
        <f t="shared" si="9"/>
        <v/>
      </c>
      <c r="S285" s="856" t="str">
        <f>IFERROR(ROUND(R285*'Project Info and Summary'!$J$5/'Project Info and Summary'!$L$5,2),"")</f>
        <v/>
      </c>
    </row>
    <row r="286" spans="1:19" ht="30" customHeight="1">
      <c r="A286" s="948"/>
      <c r="B286" s="496">
        <f t="shared" si="8"/>
        <v>277</v>
      </c>
      <c r="C286" s="864"/>
      <c r="D286" s="505"/>
      <c r="E286" s="866"/>
      <c r="F286" s="498"/>
      <c r="G286" s="499"/>
      <c r="H286" s="492"/>
      <c r="I286" s="855">
        <f>IFERROR(IFERROR(INDEX('Fixture and LED Schedule'!D:D,MATCH(F286,'Fixture and LED Schedule'!C:C,""),1),F286),"")</f>
        <v>0</v>
      </c>
      <c r="J286" s="855" t="str">
        <f>IFERROR(IF(PRJ_Type="New Construction",H286,INDEX(yControl_Code,MATCH(Inventory!H286,yControlTypes,0),1)),"")</f>
        <v/>
      </c>
      <c r="K286" s="493"/>
      <c r="L286" s="501"/>
      <c r="M286" s="502"/>
      <c r="N286" s="855">
        <f>IFERROR(IFERROR(INDEX('Fixture and LED Schedule'!D:D,MATCH(K286,'Fixture and LED Schedule'!C:C,0),1),K286),"")</f>
        <v>0</v>
      </c>
      <c r="O286" s="858" t="str">
        <f>IFERROR(INDEX(yControl_Code,MATCH(Inventory!M286,yControlTypes,0),1),"")</f>
        <v/>
      </c>
      <c r="P286" s="860" t="str">
        <f>'Lighting Inventory (Ref only)'!AG289</f>
        <v/>
      </c>
      <c r="Q286" s="861" t="str">
        <f>'Lighting Inventory (Ref only)'!AF289</f>
        <v/>
      </c>
      <c r="R286" s="856" t="str">
        <f t="shared" si="9"/>
        <v/>
      </c>
      <c r="S286" s="856" t="str">
        <f>IFERROR(ROUND(R286*'Project Info and Summary'!$J$5/'Project Info and Summary'!$L$5,2),"")</f>
        <v/>
      </c>
    </row>
    <row r="287" spans="1:19" ht="30" customHeight="1">
      <c r="A287" s="948"/>
      <c r="B287" s="496">
        <f t="shared" si="8"/>
        <v>278</v>
      </c>
      <c r="C287" s="864"/>
      <c r="D287" s="505"/>
      <c r="E287" s="866"/>
      <c r="F287" s="498"/>
      <c r="G287" s="499"/>
      <c r="H287" s="492"/>
      <c r="I287" s="855">
        <f>IFERROR(IFERROR(INDEX('Fixture and LED Schedule'!D:D,MATCH(F287,'Fixture and LED Schedule'!C:C,""),1),F287),"")</f>
        <v>0</v>
      </c>
      <c r="J287" s="855" t="str">
        <f>IFERROR(IF(PRJ_Type="New Construction",H287,INDEX(yControl_Code,MATCH(Inventory!H287,yControlTypes,0),1)),"")</f>
        <v/>
      </c>
      <c r="K287" s="493"/>
      <c r="L287" s="501"/>
      <c r="M287" s="502"/>
      <c r="N287" s="855">
        <f>IFERROR(IFERROR(INDEX('Fixture and LED Schedule'!D:D,MATCH(K287,'Fixture and LED Schedule'!C:C,0),1),K287),"")</f>
        <v>0</v>
      </c>
      <c r="O287" s="858" t="str">
        <f>IFERROR(INDEX(yControl_Code,MATCH(Inventory!M287,yControlTypes,0),1),"")</f>
        <v/>
      </c>
      <c r="P287" s="860" t="str">
        <f>'Lighting Inventory (Ref only)'!AG290</f>
        <v/>
      </c>
      <c r="Q287" s="861" t="str">
        <f>'Lighting Inventory (Ref only)'!AF290</f>
        <v/>
      </c>
      <c r="R287" s="856" t="str">
        <f t="shared" si="9"/>
        <v/>
      </c>
      <c r="S287" s="856" t="str">
        <f>IFERROR(ROUND(R287*'Project Info and Summary'!$J$5/'Project Info and Summary'!$L$5,2),"")</f>
        <v/>
      </c>
    </row>
    <row r="288" spans="1:19" ht="30" customHeight="1">
      <c r="A288" s="948"/>
      <c r="B288" s="496">
        <f t="shared" si="8"/>
        <v>279</v>
      </c>
      <c r="C288" s="864"/>
      <c r="D288" s="505"/>
      <c r="E288" s="866"/>
      <c r="F288" s="498"/>
      <c r="G288" s="499"/>
      <c r="H288" s="492"/>
      <c r="I288" s="855">
        <f>IFERROR(IFERROR(INDEX('Fixture and LED Schedule'!D:D,MATCH(F288,'Fixture and LED Schedule'!C:C,""),1),F288),"")</f>
        <v>0</v>
      </c>
      <c r="J288" s="855" t="str">
        <f>IFERROR(IF(PRJ_Type="New Construction",H288,INDEX(yControl_Code,MATCH(Inventory!H288,yControlTypes,0),1)),"")</f>
        <v/>
      </c>
      <c r="K288" s="493"/>
      <c r="L288" s="501"/>
      <c r="M288" s="502"/>
      <c r="N288" s="855">
        <f>IFERROR(IFERROR(INDEX('Fixture and LED Schedule'!D:D,MATCH(K288,'Fixture and LED Schedule'!C:C,0),1),K288),"")</f>
        <v>0</v>
      </c>
      <c r="O288" s="858" t="str">
        <f>IFERROR(INDEX(yControl_Code,MATCH(Inventory!M288,yControlTypes,0),1),"")</f>
        <v/>
      </c>
      <c r="P288" s="860" t="str">
        <f>'Lighting Inventory (Ref only)'!AG291</f>
        <v/>
      </c>
      <c r="Q288" s="861" t="str">
        <f>'Lighting Inventory (Ref only)'!AF291</f>
        <v/>
      </c>
      <c r="R288" s="856" t="str">
        <f t="shared" si="9"/>
        <v/>
      </c>
      <c r="S288" s="856" t="str">
        <f>IFERROR(ROUND(R288*'Project Info and Summary'!$J$5/'Project Info and Summary'!$L$5,2),"")</f>
        <v/>
      </c>
    </row>
    <row r="289" spans="1:19" ht="30" customHeight="1">
      <c r="A289" s="948"/>
      <c r="B289" s="496">
        <f t="shared" si="8"/>
        <v>280</v>
      </c>
      <c r="C289" s="864"/>
      <c r="D289" s="505"/>
      <c r="E289" s="866"/>
      <c r="F289" s="498"/>
      <c r="G289" s="499"/>
      <c r="H289" s="492"/>
      <c r="I289" s="855">
        <f>IFERROR(IFERROR(INDEX('Fixture and LED Schedule'!D:D,MATCH(F289,'Fixture and LED Schedule'!C:C,""),1),F289),"")</f>
        <v>0</v>
      </c>
      <c r="J289" s="855" t="str">
        <f>IFERROR(IF(PRJ_Type="New Construction",H289,INDEX(yControl_Code,MATCH(Inventory!H289,yControlTypes,0),1)),"")</f>
        <v/>
      </c>
      <c r="K289" s="493"/>
      <c r="L289" s="501"/>
      <c r="M289" s="502"/>
      <c r="N289" s="855">
        <f>IFERROR(IFERROR(INDEX('Fixture and LED Schedule'!D:D,MATCH(K289,'Fixture and LED Schedule'!C:C,0),1),K289),"")</f>
        <v>0</v>
      </c>
      <c r="O289" s="858" t="str">
        <f>IFERROR(INDEX(yControl_Code,MATCH(Inventory!M289,yControlTypes,0),1),"")</f>
        <v/>
      </c>
      <c r="P289" s="860" t="str">
        <f>'Lighting Inventory (Ref only)'!AG292</f>
        <v/>
      </c>
      <c r="Q289" s="861" t="str">
        <f>'Lighting Inventory (Ref only)'!AF292</f>
        <v/>
      </c>
      <c r="R289" s="856" t="str">
        <f t="shared" si="9"/>
        <v/>
      </c>
      <c r="S289" s="856" t="str">
        <f>IFERROR(ROUND(R289*'Project Info and Summary'!$J$5/'Project Info and Summary'!$L$5,2),"")</f>
        <v/>
      </c>
    </row>
    <row r="290" spans="1:19" ht="30" customHeight="1">
      <c r="A290" s="948"/>
      <c r="B290" s="496">
        <f t="shared" si="8"/>
        <v>281</v>
      </c>
      <c r="C290" s="864"/>
      <c r="D290" s="505"/>
      <c r="E290" s="866"/>
      <c r="F290" s="498"/>
      <c r="G290" s="499"/>
      <c r="H290" s="492"/>
      <c r="I290" s="855">
        <f>IFERROR(IFERROR(INDEX('Fixture and LED Schedule'!D:D,MATCH(F290,'Fixture and LED Schedule'!C:C,""),1),F290),"")</f>
        <v>0</v>
      </c>
      <c r="J290" s="855" t="str">
        <f>IFERROR(IF(PRJ_Type="New Construction",H290,INDEX(yControl_Code,MATCH(Inventory!H290,yControlTypes,0),1)),"")</f>
        <v/>
      </c>
      <c r="K290" s="493"/>
      <c r="L290" s="501"/>
      <c r="M290" s="502"/>
      <c r="N290" s="855">
        <f>IFERROR(IFERROR(INDEX('Fixture and LED Schedule'!D:D,MATCH(K290,'Fixture and LED Schedule'!C:C,0),1),K290),"")</f>
        <v>0</v>
      </c>
      <c r="O290" s="858" t="str">
        <f>IFERROR(INDEX(yControl_Code,MATCH(Inventory!M290,yControlTypes,0),1),"")</f>
        <v/>
      </c>
      <c r="P290" s="860" t="str">
        <f>'Lighting Inventory (Ref only)'!AG293</f>
        <v/>
      </c>
      <c r="Q290" s="861" t="str">
        <f>'Lighting Inventory (Ref only)'!AF293</f>
        <v/>
      </c>
      <c r="R290" s="856" t="str">
        <f t="shared" si="9"/>
        <v/>
      </c>
      <c r="S290" s="856" t="str">
        <f>IFERROR(ROUND(R290*'Project Info and Summary'!$J$5/'Project Info and Summary'!$L$5,2),"")</f>
        <v/>
      </c>
    </row>
    <row r="291" spans="1:19" ht="30" customHeight="1">
      <c r="A291" s="948"/>
      <c r="B291" s="496">
        <f t="shared" si="8"/>
        <v>282</v>
      </c>
      <c r="C291" s="864"/>
      <c r="D291" s="505"/>
      <c r="E291" s="866"/>
      <c r="F291" s="498"/>
      <c r="G291" s="499"/>
      <c r="H291" s="492"/>
      <c r="I291" s="855">
        <f>IFERROR(IFERROR(INDEX('Fixture and LED Schedule'!D:D,MATCH(F291,'Fixture and LED Schedule'!C:C,""),1),F291),"")</f>
        <v>0</v>
      </c>
      <c r="J291" s="855" t="str">
        <f>IFERROR(IF(PRJ_Type="New Construction",H291,INDEX(yControl_Code,MATCH(Inventory!H291,yControlTypes,0),1)),"")</f>
        <v/>
      </c>
      <c r="K291" s="493"/>
      <c r="L291" s="501"/>
      <c r="M291" s="502"/>
      <c r="N291" s="855">
        <f>IFERROR(IFERROR(INDEX('Fixture and LED Schedule'!D:D,MATCH(K291,'Fixture and LED Schedule'!C:C,0),1),K291),"")</f>
        <v>0</v>
      </c>
      <c r="O291" s="858" t="str">
        <f>IFERROR(INDEX(yControl_Code,MATCH(Inventory!M291,yControlTypes,0),1),"")</f>
        <v/>
      </c>
      <c r="P291" s="860" t="str">
        <f>'Lighting Inventory (Ref only)'!AG294</f>
        <v/>
      </c>
      <c r="Q291" s="861" t="str">
        <f>'Lighting Inventory (Ref only)'!AF294</f>
        <v/>
      </c>
      <c r="R291" s="856" t="str">
        <f t="shared" si="9"/>
        <v/>
      </c>
      <c r="S291" s="856" t="str">
        <f>IFERROR(ROUND(R291*'Project Info and Summary'!$J$5/'Project Info and Summary'!$L$5,2),"")</f>
        <v/>
      </c>
    </row>
    <row r="292" spans="1:19" ht="30" customHeight="1">
      <c r="A292" s="948"/>
      <c r="B292" s="496">
        <f t="shared" si="8"/>
        <v>283</v>
      </c>
      <c r="C292" s="864"/>
      <c r="D292" s="505"/>
      <c r="E292" s="866"/>
      <c r="F292" s="498"/>
      <c r="G292" s="499"/>
      <c r="H292" s="492"/>
      <c r="I292" s="855">
        <f>IFERROR(IFERROR(INDEX('Fixture and LED Schedule'!D:D,MATCH(F292,'Fixture and LED Schedule'!C:C,""),1),F292),"")</f>
        <v>0</v>
      </c>
      <c r="J292" s="855" t="str">
        <f>IFERROR(IF(PRJ_Type="New Construction",H292,INDEX(yControl_Code,MATCH(Inventory!H292,yControlTypes,0),1)),"")</f>
        <v/>
      </c>
      <c r="K292" s="493"/>
      <c r="L292" s="501"/>
      <c r="M292" s="502"/>
      <c r="N292" s="855">
        <f>IFERROR(IFERROR(INDEX('Fixture and LED Schedule'!D:D,MATCH(K292,'Fixture and LED Schedule'!C:C,0),1),K292),"")</f>
        <v>0</v>
      </c>
      <c r="O292" s="858" t="str">
        <f>IFERROR(INDEX(yControl_Code,MATCH(Inventory!M292,yControlTypes,0),1),"")</f>
        <v/>
      </c>
      <c r="P292" s="860" t="str">
        <f>'Lighting Inventory (Ref only)'!AG295</f>
        <v/>
      </c>
      <c r="Q292" s="861" t="str">
        <f>'Lighting Inventory (Ref only)'!AF295</f>
        <v/>
      </c>
      <c r="R292" s="856" t="str">
        <f t="shared" si="9"/>
        <v/>
      </c>
      <c r="S292" s="856" t="str">
        <f>IFERROR(ROUND(R292*'Project Info and Summary'!$J$5/'Project Info and Summary'!$L$5,2),"")</f>
        <v/>
      </c>
    </row>
    <row r="293" spans="1:19" ht="30" customHeight="1">
      <c r="A293" s="948"/>
      <c r="B293" s="496">
        <f t="shared" si="8"/>
        <v>284</v>
      </c>
      <c r="C293" s="864"/>
      <c r="D293" s="505"/>
      <c r="E293" s="866"/>
      <c r="F293" s="498"/>
      <c r="G293" s="499"/>
      <c r="H293" s="492"/>
      <c r="I293" s="855">
        <f>IFERROR(IFERROR(INDEX('Fixture and LED Schedule'!D:D,MATCH(F293,'Fixture and LED Schedule'!C:C,""),1),F293),"")</f>
        <v>0</v>
      </c>
      <c r="J293" s="855" t="str">
        <f>IFERROR(IF(PRJ_Type="New Construction",H293,INDEX(yControl_Code,MATCH(Inventory!H293,yControlTypes,0),1)),"")</f>
        <v/>
      </c>
      <c r="K293" s="493"/>
      <c r="L293" s="501"/>
      <c r="M293" s="502"/>
      <c r="N293" s="855">
        <f>IFERROR(IFERROR(INDEX('Fixture and LED Schedule'!D:D,MATCH(K293,'Fixture and LED Schedule'!C:C,0),1),K293),"")</f>
        <v>0</v>
      </c>
      <c r="O293" s="858" t="str">
        <f>IFERROR(INDEX(yControl_Code,MATCH(Inventory!M293,yControlTypes,0),1),"")</f>
        <v/>
      </c>
      <c r="P293" s="860" t="str">
        <f>'Lighting Inventory (Ref only)'!AG296</f>
        <v/>
      </c>
      <c r="Q293" s="861" t="str">
        <f>'Lighting Inventory (Ref only)'!AF296</f>
        <v/>
      </c>
      <c r="R293" s="856" t="str">
        <f t="shared" si="9"/>
        <v/>
      </c>
      <c r="S293" s="856" t="str">
        <f>IFERROR(ROUND(R293*'Project Info and Summary'!$J$5/'Project Info and Summary'!$L$5,2),"")</f>
        <v/>
      </c>
    </row>
    <row r="294" spans="1:19" ht="30" customHeight="1">
      <c r="A294" s="948"/>
      <c r="B294" s="496">
        <f t="shared" si="8"/>
        <v>285</v>
      </c>
      <c r="C294" s="864"/>
      <c r="D294" s="505"/>
      <c r="E294" s="866"/>
      <c r="F294" s="498"/>
      <c r="G294" s="499"/>
      <c r="H294" s="492"/>
      <c r="I294" s="855">
        <f>IFERROR(IFERROR(INDEX('Fixture and LED Schedule'!D:D,MATCH(F294,'Fixture and LED Schedule'!C:C,""),1),F294),"")</f>
        <v>0</v>
      </c>
      <c r="J294" s="855" t="str">
        <f>IFERROR(IF(PRJ_Type="New Construction",H294,INDEX(yControl_Code,MATCH(Inventory!H294,yControlTypes,0),1)),"")</f>
        <v/>
      </c>
      <c r="K294" s="493"/>
      <c r="L294" s="501"/>
      <c r="M294" s="502"/>
      <c r="N294" s="855">
        <f>IFERROR(IFERROR(INDEX('Fixture and LED Schedule'!D:D,MATCH(K294,'Fixture and LED Schedule'!C:C,0),1),K294),"")</f>
        <v>0</v>
      </c>
      <c r="O294" s="858" t="str">
        <f>IFERROR(INDEX(yControl_Code,MATCH(Inventory!M294,yControlTypes,0),1),"")</f>
        <v/>
      </c>
      <c r="P294" s="860" t="str">
        <f>'Lighting Inventory (Ref only)'!AG297</f>
        <v/>
      </c>
      <c r="Q294" s="861" t="str">
        <f>'Lighting Inventory (Ref only)'!AF297</f>
        <v/>
      </c>
      <c r="R294" s="856" t="str">
        <f t="shared" si="9"/>
        <v/>
      </c>
      <c r="S294" s="856" t="str">
        <f>IFERROR(ROUND(R294*'Project Info and Summary'!$J$5/'Project Info and Summary'!$L$5,2),"")</f>
        <v/>
      </c>
    </row>
    <row r="295" spans="1:19" ht="30" customHeight="1">
      <c r="A295" s="948"/>
      <c r="B295" s="496">
        <f t="shared" si="8"/>
        <v>286</v>
      </c>
      <c r="C295" s="864"/>
      <c r="D295" s="505"/>
      <c r="E295" s="866"/>
      <c r="F295" s="498"/>
      <c r="G295" s="499"/>
      <c r="H295" s="492"/>
      <c r="I295" s="855">
        <f>IFERROR(IFERROR(INDEX('Fixture and LED Schedule'!D:D,MATCH(F295,'Fixture and LED Schedule'!C:C,""),1),F295),"")</f>
        <v>0</v>
      </c>
      <c r="J295" s="855" t="str">
        <f>IFERROR(IF(PRJ_Type="New Construction",H295,INDEX(yControl_Code,MATCH(Inventory!H295,yControlTypes,0),1)),"")</f>
        <v/>
      </c>
      <c r="K295" s="493"/>
      <c r="L295" s="501"/>
      <c r="M295" s="502"/>
      <c r="N295" s="855">
        <f>IFERROR(IFERROR(INDEX('Fixture and LED Schedule'!D:D,MATCH(K295,'Fixture and LED Schedule'!C:C,0),1),K295),"")</f>
        <v>0</v>
      </c>
      <c r="O295" s="858" t="str">
        <f>IFERROR(INDEX(yControl_Code,MATCH(Inventory!M295,yControlTypes,0),1),"")</f>
        <v/>
      </c>
      <c r="P295" s="860" t="str">
        <f>'Lighting Inventory (Ref only)'!AG298</f>
        <v/>
      </c>
      <c r="Q295" s="861" t="str">
        <f>'Lighting Inventory (Ref only)'!AF298</f>
        <v/>
      </c>
      <c r="R295" s="856" t="str">
        <f t="shared" si="9"/>
        <v/>
      </c>
      <c r="S295" s="856" t="str">
        <f>IFERROR(ROUND(R295*'Project Info and Summary'!$J$5/'Project Info and Summary'!$L$5,2),"")</f>
        <v/>
      </c>
    </row>
    <row r="296" spans="1:19" ht="30" customHeight="1">
      <c r="A296" s="948"/>
      <c r="B296" s="496">
        <f t="shared" si="8"/>
        <v>287</v>
      </c>
      <c r="C296" s="864"/>
      <c r="D296" s="505"/>
      <c r="E296" s="866"/>
      <c r="F296" s="498"/>
      <c r="G296" s="499"/>
      <c r="H296" s="492"/>
      <c r="I296" s="855">
        <f>IFERROR(IFERROR(INDEX('Fixture and LED Schedule'!D:D,MATCH(F296,'Fixture and LED Schedule'!C:C,""),1),F296),"")</f>
        <v>0</v>
      </c>
      <c r="J296" s="855" t="str">
        <f>IFERROR(IF(PRJ_Type="New Construction",H296,INDEX(yControl_Code,MATCH(Inventory!H296,yControlTypes,0),1)),"")</f>
        <v/>
      </c>
      <c r="K296" s="493"/>
      <c r="L296" s="501"/>
      <c r="M296" s="502"/>
      <c r="N296" s="855">
        <f>IFERROR(IFERROR(INDEX('Fixture and LED Schedule'!D:D,MATCH(K296,'Fixture and LED Schedule'!C:C,0),1),K296),"")</f>
        <v>0</v>
      </c>
      <c r="O296" s="858" t="str">
        <f>IFERROR(INDEX(yControl_Code,MATCH(Inventory!M296,yControlTypes,0),1),"")</f>
        <v/>
      </c>
      <c r="P296" s="860" t="str">
        <f>'Lighting Inventory (Ref only)'!AG299</f>
        <v/>
      </c>
      <c r="Q296" s="861" t="str">
        <f>'Lighting Inventory (Ref only)'!AF299</f>
        <v/>
      </c>
      <c r="R296" s="856" t="str">
        <f t="shared" si="9"/>
        <v/>
      </c>
      <c r="S296" s="856" t="str">
        <f>IFERROR(ROUND(R296*'Project Info and Summary'!$J$5/'Project Info and Summary'!$L$5,2),"")</f>
        <v/>
      </c>
    </row>
    <row r="297" spans="1:19" ht="30" customHeight="1">
      <c r="A297" s="948"/>
      <c r="B297" s="496">
        <f t="shared" si="8"/>
        <v>288</v>
      </c>
      <c r="C297" s="864"/>
      <c r="D297" s="505"/>
      <c r="E297" s="866"/>
      <c r="F297" s="498"/>
      <c r="G297" s="499"/>
      <c r="H297" s="492"/>
      <c r="I297" s="855">
        <f>IFERROR(IFERROR(INDEX('Fixture and LED Schedule'!D:D,MATCH(F297,'Fixture and LED Schedule'!C:C,""),1),F297),"")</f>
        <v>0</v>
      </c>
      <c r="J297" s="855" t="str">
        <f>IFERROR(IF(PRJ_Type="New Construction",H297,INDEX(yControl_Code,MATCH(Inventory!H297,yControlTypes,0),1)),"")</f>
        <v/>
      </c>
      <c r="K297" s="493"/>
      <c r="L297" s="501"/>
      <c r="M297" s="502"/>
      <c r="N297" s="855">
        <f>IFERROR(IFERROR(INDEX('Fixture and LED Schedule'!D:D,MATCH(K297,'Fixture and LED Schedule'!C:C,0),1),K297),"")</f>
        <v>0</v>
      </c>
      <c r="O297" s="858" t="str">
        <f>IFERROR(INDEX(yControl_Code,MATCH(Inventory!M297,yControlTypes,0),1),"")</f>
        <v/>
      </c>
      <c r="P297" s="860" t="str">
        <f>'Lighting Inventory (Ref only)'!AG300</f>
        <v/>
      </c>
      <c r="Q297" s="861" t="str">
        <f>'Lighting Inventory (Ref only)'!AF300</f>
        <v/>
      </c>
      <c r="R297" s="856" t="str">
        <f t="shared" si="9"/>
        <v/>
      </c>
      <c r="S297" s="856" t="str">
        <f>IFERROR(ROUND(R297*'Project Info and Summary'!$J$5/'Project Info and Summary'!$L$5,2),"")</f>
        <v/>
      </c>
    </row>
    <row r="298" spans="1:19" ht="30" customHeight="1">
      <c r="A298" s="948"/>
      <c r="B298" s="496">
        <f t="shared" si="8"/>
        <v>289</v>
      </c>
      <c r="C298" s="864"/>
      <c r="D298" s="505"/>
      <c r="E298" s="866"/>
      <c r="F298" s="498"/>
      <c r="G298" s="499"/>
      <c r="H298" s="492"/>
      <c r="I298" s="855">
        <f>IFERROR(IFERROR(INDEX('Fixture and LED Schedule'!D:D,MATCH(F298,'Fixture and LED Schedule'!C:C,""),1),F298),"")</f>
        <v>0</v>
      </c>
      <c r="J298" s="855" t="str">
        <f>IFERROR(IF(PRJ_Type="New Construction",H298,INDEX(yControl_Code,MATCH(Inventory!H298,yControlTypes,0),1)),"")</f>
        <v/>
      </c>
      <c r="K298" s="493"/>
      <c r="L298" s="501"/>
      <c r="M298" s="502"/>
      <c r="N298" s="855">
        <f>IFERROR(IFERROR(INDEX('Fixture and LED Schedule'!D:D,MATCH(K298,'Fixture and LED Schedule'!C:C,0),1),K298),"")</f>
        <v>0</v>
      </c>
      <c r="O298" s="858" t="str">
        <f>IFERROR(INDEX(yControl_Code,MATCH(Inventory!M298,yControlTypes,0),1),"")</f>
        <v/>
      </c>
      <c r="P298" s="860" t="str">
        <f>'Lighting Inventory (Ref only)'!AG301</f>
        <v/>
      </c>
      <c r="Q298" s="861" t="str">
        <f>'Lighting Inventory (Ref only)'!AF301</f>
        <v/>
      </c>
      <c r="R298" s="856" t="str">
        <f t="shared" si="9"/>
        <v/>
      </c>
      <c r="S298" s="856" t="str">
        <f>IFERROR(ROUND(R298*'Project Info and Summary'!$J$5/'Project Info and Summary'!$L$5,2),"")</f>
        <v/>
      </c>
    </row>
    <row r="299" spans="1:19" ht="30" customHeight="1">
      <c r="A299" s="948"/>
      <c r="B299" s="496">
        <f t="shared" si="8"/>
        <v>290</v>
      </c>
      <c r="C299" s="864"/>
      <c r="D299" s="505"/>
      <c r="E299" s="866"/>
      <c r="F299" s="498"/>
      <c r="G299" s="499"/>
      <c r="H299" s="492"/>
      <c r="I299" s="855">
        <f>IFERROR(IFERROR(INDEX('Fixture and LED Schedule'!D:D,MATCH(F299,'Fixture and LED Schedule'!C:C,""),1),F299),"")</f>
        <v>0</v>
      </c>
      <c r="J299" s="855" t="str">
        <f>IFERROR(IF(PRJ_Type="New Construction",H299,INDEX(yControl_Code,MATCH(Inventory!H299,yControlTypes,0),1)),"")</f>
        <v/>
      </c>
      <c r="K299" s="493"/>
      <c r="L299" s="501"/>
      <c r="M299" s="502"/>
      <c r="N299" s="855">
        <f>IFERROR(IFERROR(INDEX('Fixture and LED Schedule'!D:D,MATCH(K299,'Fixture and LED Schedule'!C:C,0),1),K299),"")</f>
        <v>0</v>
      </c>
      <c r="O299" s="858" t="str">
        <f>IFERROR(INDEX(yControl_Code,MATCH(Inventory!M299,yControlTypes,0),1),"")</f>
        <v/>
      </c>
      <c r="P299" s="860" t="str">
        <f>'Lighting Inventory (Ref only)'!AG302</f>
        <v/>
      </c>
      <c r="Q299" s="861" t="str">
        <f>'Lighting Inventory (Ref only)'!AF302</f>
        <v/>
      </c>
      <c r="R299" s="856" t="str">
        <f t="shared" si="9"/>
        <v/>
      </c>
      <c r="S299" s="856" t="str">
        <f>IFERROR(ROUND(R299*'Project Info and Summary'!$J$5/'Project Info and Summary'!$L$5,2),"")</f>
        <v/>
      </c>
    </row>
    <row r="300" spans="1:19" ht="30" customHeight="1">
      <c r="A300" s="948"/>
      <c r="B300" s="496">
        <f t="shared" si="8"/>
        <v>291</v>
      </c>
      <c r="C300" s="864"/>
      <c r="D300" s="505"/>
      <c r="E300" s="866"/>
      <c r="F300" s="498"/>
      <c r="G300" s="499"/>
      <c r="H300" s="492"/>
      <c r="I300" s="855">
        <f>IFERROR(IFERROR(INDEX('Fixture and LED Schedule'!D:D,MATCH(F300,'Fixture and LED Schedule'!C:C,""),1),F300),"")</f>
        <v>0</v>
      </c>
      <c r="J300" s="855" t="str">
        <f>IFERROR(IF(PRJ_Type="New Construction",H300,INDEX(yControl_Code,MATCH(Inventory!H300,yControlTypes,0),1)),"")</f>
        <v/>
      </c>
      <c r="K300" s="493"/>
      <c r="L300" s="501"/>
      <c r="M300" s="502"/>
      <c r="N300" s="855">
        <f>IFERROR(IFERROR(INDEX('Fixture and LED Schedule'!D:D,MATCH(K300,'Fixture and LED Schedule'!C:C,0),1),K300),"")</f>
        <v>0</v>
      </c>
      <c r="O300" s="858" t="str">
        <f>IFERROR(INDEX(yControl_Code,MATCH(Inventory!M300,yControlTypes,0),1),"")</f>
        <v/>
      </c>
      <c r="P300" s="860" t="str">
        <f>'Lighting Inventory (Ref only)'!AG303</f>
        <v/>
      </c>
      <c r="Q300" s="861" t="str">
        <f>'Lighting Inventory (Ref only)'!AF303</f>
        <v/>
      </c>
      <c r="R300" s="856" t="str">
        <f t="shared" si="9"/>
        <v/>
      </c>
      <c r="S300" s="856" t="str">
        <f>IFERROR(ROUND(R300*'Project Info and Summary'!$J$5/'Project Info and Summary'!$L$5,2),"")</f>
        <v/>
      </c>
    </row>
    <row r="301" spans="1:19" ht="30" customHeight="1">
      <c r="A301" s="948"/>
      <c r="B301" s="496">
        <f t="shared" si="8"/>
        <v>292</v>
      </c>
      <c r="C301" s="864"/>
      <c r="D301" s="505"/>
      <c r="E301" s="866"/>
      <c r="F301" s="498"/>
      <c r="G301" s="499"/>
      <c r="H301" s="492"/>
      <c r="I301" s="855">
        <f>IFERROR(IFERROR(INDEX('Fixture and LED Schedule'!D:D,MATCH(F301,'Fixture and LED Schedule'!C:C,""),1),F301),"")</f>
        <v>0</v>
      </c>
      <c r="J301" s="855" t="str">
        <f>IFERROR(IF(PRJ_Type="New Construction",H301,INDEX(yControl_Code,MATCH(Inventory!H301,yControlTypes,0),1)),"")</f>
        <v/>
      </c>
      <c r="K301" s="493"/>
      <c r="L301" s="501"/>
      <c r="M301" s="502"/>
      <c r="N301" s="855">
        <f>IFERROR(IFERROR(INDEX('Fixture and LED Schedule'!D:D,MATCH(K301,'Fixture and LED Schedule'!C:C,0),1),K301),"")</f>
        <v>0</v>
      </c>
      <c r="O301" s="858" t="str">
        <f>IFERROR(INDEX(yControl_Code,MATCH(Inventory!M301,yControlTypes,0),1),"")</f>
        <v/>
      </c>
      <c r="P301" s="860" t="str">
        <f>'Lighting Inventory (Ref only)'!AG304</f>
        <v/>
      </c>
      <c r="Q301" s="861" t="str">
        <f>'Lighting Inventory (Ref only)'!AF304</f>
        <v/>
      </c>
      <c r="R301" s="856" t="str">
        <f t="shared" si="9"/>
        <v/>
      </c>
      <c r="S301" s="856" t="str">
        <f>IFERROR(ROUND(R301*'Project Info and Summary'!$J$5/'Project Info and Summary'!$L$5,2),"")</f>
        <v/>
      </c>
    </row>
    <row r="302" spans="1:19" ht="30" customHeight="1">
      <c r="A302" s="948"/>
      <c r="B302" s="496">
        <f t="shared" si="8"/>
        <v>293</v>
      </c>
      <c r="C302" s="864"/>
      <c r="D302" s="505"/>
      <c r="E302" s="866"/>
      <c r="F302" s="498"/>
      <c r="G302" s="499"/>
      <c r="H302" s="492"/>
      <c r="I302" s="855">
        <f>IFERROR(IFERROR(INDEX('Fixture and LED Schedule'!D:D,MATCH(F302,'Fixture and LED Schedule'!C:C,""),1),F302),"")</f>
        <v>0</v>
      </c>
      <c r="J302" s="855" t="str">
        <f>IFERROR(IF(PRJ_Type="New Construction",H302,INDEX(yControl_Code,MATCH(Inventory!H302,yControlTypes,0),1)),"")</f>
        <v/>
      </c>
      <c r="K302" s="493"/>
      <c r="L302" s="501"/>
      <c r="M302" s="502"/>
      <c r="N302" s="855">
        <f>IFERROR(IFERROR(INDEX('Fixture and LED Schedule'!D:D,MATCH(K302,'Fixture and LED Schedule'!C:C,0),1),K302),"")</f>
        <v>0</v>
      </c>
      <c r="O302" s="858" t="str">
        <f>IFERROR(INDEX(yControl_Code,MATCH(Inventory!M302,yControlTypes,0),1),"")</f>
        <v/>
      </c>
      <c r="P302" s="860" t="str">
        <f>'Lighting Inventory (Ref only)'!AG305</f>
        <v/>
      </c>
      <c r="Q302" s="861" t="str">
        <f>'Lighting Inventory (Ref only)'!AF305</f>
        <v/>
      </c>
      <c r="R302" s="856" t="str">
        <f t="shared" si="9"/>
        <v/>
      </c>
      <c r="S302" s="856" t="str">
        <f>IFERROR(ROUND(R302*'Project Info and Summary'!$J$5/'Project Info and Summary'!$L$5,2),"")</f>
        <v/>
      </c>
    </row>
    <row r="303" spans="1:19" ht="30" customHeight="1">
      <c r="A303" s="948"/>
      <c r="B303" s="496">
        <f t="shared" si="8"/>
        <v>294</v>
      </c>
      <c r="C303" s="864"/>
      <c r="D303" s="505"/>
      <c r="E303" s="866"/>
      <c r="F303" s="498"/>
      <c r="G303" s="499"/>
      <c r="H303" s="492"/>
      <c r="I303" s="855">
        <f>IFERROR(IFERROR(INDEX('Fixture and LED Schedule'!D:D,MATCH(F303,'Fixture and LED Schedule'!C:C,""),1),F303),"")</f>
        <v>0</v>
      </c>
      <c r="J303" s="855" t="str">
        <f>IFERROR(IF(PRJ_Type="New Construction",H303,INDEX(yControl_Code,MATCH(Inventory!H303,yControlTypes,0),1)),"")</f>
        <v/>
      </c>
      <c r="K303" s="493"/>
      <c r="L303" s="501"/>
      <c r="M303" s="502"/>
      <c r="N303" s="855">
        <f>IFERROR(IFERROR(INDEX('Fixture and LED Schedule'!D:D,MATCH(K303,'Fixture and LED Schedule'!C:C,0),1),K303),"")</f>
        <v>0</v>
      </c>
      <c r="O303" s="858" t="str">
        <f>IFERROR(INDEX(yControl_Code,MATCH(Inventory!M303,yControlTypes,0),1),"")</f>
        <v/>
      </c>
      <c r="P303" s="860" t="str">
        <f>'Lighting Inventory (Ref only)'!AG306</f>
        <v/>
      </c>
      <c r="Q303" s="861" t="str">
        <f>'Lighting Inventory (Ref only)'!AF306</f>
        <v/>
      </c>
      <c r="R303" s="856" t="str">
        <f t="shared" si="9"/>
        <v/>
      </c>
      <c r="S303" s="856" t="str">
        <f>IFERROR(ROUND(R303*'Project Info and Summary'!$J$5/'Project Info and Summary'!$L$5,2),"")</f>
        <v/>
      </c>
    </row>
    <row r="304" spans="1:19" ht="30" customHeight="1">
      <c r="A304" s="948"/>
      <c r="B304" s="496">
        <f t="shared" si="8"/>
        <v>295</v>
      </c>
      <c r="C304" s="864"/>
      <c r="D304" s="505"/>
      <c r="E304" s="866"/>
      <c r="F304" s="498"/>
      <c r="G304" s="499"/>
      <c r="H304" s="492"/>
      <c r="I304" s="855">
        <f>IFERROR(IFERROR(INDEX('Fixture and LED Schedule'!D:D,MATCH(F304,'Fixture and LED Schedule'!C:C,""),1),F304),"")</f>
        <v>0</v>
      </c>
      <c r="J304" s="855" t="str">
        <f>IFERROR(IF(PRJ_Type="New Construction",H304,INDEX(yControl_Code,MATCH(Inventory!H304,yControlTypes,0),1)),"")</f>
        <v/>
      </c>
      <c r="K304" s="493"/>
      <c r="L304" s="501"/>
      <c r="M304" s="502"/>
      <c r="N304" s="855">
        <f>IFERROR(IFERROR(INDEX('Fixture and LED Schedule'!D:D,MATCH(K304,'Fixture and LED Schedule'!C:C,0),1),K304),"")</f>
        <v>0</v>
      </c>
      <c r="O304" s="858" t="str">
        <f>IFERROR(INDEX(yControl_Code,MATCH(Inventory!M304,yControlTypes,0),1),"")</f>
        <v/>
      </c>
      <c r="P304" s="860" t="str">
        <f>'Lighting Inventory (Ref only)'!AG307</f>
        <v/>
      </c>
      <c r="Q304" s="861" t="str">
        <f>'Lighting Inventory (Ref only)'!AF307</f>
        <v/>
      </c>
      <c r="R304" s="856" t="str">
        <f t="shared" si="9"/>
        <v/>
      </c>
      <c r="S304" s="856" t="str">
        <f>IFERROR(ROUND(R304*'Project Info and Summary'!$J$5/'Project Info and Summary'!$L$5,2),"")</f>
        <v/>
      </c>
    </row>
    <row r="305" spans="1:19" ht="30" customHeight="1">
      <c r="A305" s="948"/>
      <c r="B305" s="496">
        <f t="shared" si="8"/>
        <v>296</v>
      </c>
      <c r="C305" s="864"/>
      <c r="D305" s="505"/>
      <c r="E305" s="866"/>
      <c r="F305" s="498"/>
      <c r="G305" s="499"/>
      <c r="H305" s="492"/>
      <c r="I305" s="855">
        <f>IFERROR(IFERROR(INDEX('Fixture and LED Schedule'!D:D,MATCH(F305,'Fixture and LED Schedule'!C:C,""),1),F305),"")</f>
        <v>0</v>
      </c>
      <c r="J305" s="855" t="str">
        <f>IFERROR(IF(PRJ_Type="New Construction",H305,INDEX(yControl_Code,MATCH(Inventory!H305,yControlTypes,0),1)),"")</f>
        <v/>
      </c>
      <c r="K305" s="493"/>
      <c r="L305" s="501"/>
      <c r="M305" s="502"/>
      <c r="N305" s="855">
        <f>IFERROR(IFERROR(INDEX('Fixture and LED Schedule'!D:D,MATCH(K305,'Fixture and LED Schedule'!C:C,0),1),K305),"")</f>
        <v>0</v>
      </c>
      <c r="O305" s="858" t="str">
        <f>IFERROR(INDEX(yControl_Code,MATCH(Inventory!M305,yControlTypes,0),1),"")</f>
        <v/>
      </c>
      <c r="P305" s="860" t="str">
        <f>'Lighting Inventory (Ref only)'!AG308</f>
        <v/>
      </c>
      <c r="Q305" s="861" t="str">
        <f>'Lighting Inventory (Ref only)'!AF308</f>
        <v/>
      </c>
      <c r="R305" s="856" t="str">
        <f t="shared" si="9"/>
        <v/>
      </c>
      <c r="S305" s="856" t="str">
        <f>IFERROR(ROUND(R305*'Project Info and Summary'!$J$5/'Project Info and Summary'!$L$5,2),"")</f>
        <v/>
      </c>
    </row>
    <row r="306" spans="1:19" ht="30" customHeight="1">
      <c r="A306" s="948"/>
      <c r="B306" s="496">
        <f t="shared" si="8"/>
        <v>297</v>
      </c>
      <c r="C306" s="864"/>
      <c r="D306" s="505"/>
      <c r="E306" s="866"/>
      <c r="F306" s="498"/>
      <c r="G306" s="499"/>
      <c r="H306" s="492"/>
      <c r="I306" s="855">
        <f>IFERROR(IFERROR(INDEX('Fixture and LED Schedule'!D:D,MATCH(F306,'Fixture and LED Schedule'!C:C,""),1),F306),"")</f>
        <v>0</v>
      </c>
      <c r="J306" s="855" t="str">
        <f>IFERROR(IF(PRJ_Type="New Construction",H306,INDEX(yControl_Code,MATCH(Inventory!H306,yControlTypes,0),1)),"")</f>
        <v/>
      </c>
      <c r="K306" s="493"/>
      <c r="L306" s="501"/>
      <c r="M306" s="502"/>
      <c r="N306" s="855">
        <f>IFERROR(IFERROR(INDEX('Fixture and LED Schedule'!D:D,MATCH(K306,'Fixture and LED Schedule'!C:C,0),1),K306),"")</f>
        <v>0</v>
      </c>
      <c r="O306" s="858" t="str">
        <f>IFERROR(INDEX(yControl_Code,MATCH(Inventory!M306,yControlTypes,0),1),"")</f>
        <v/>
      </c>
      <c r="P306" s="860" t="str">
        <f>'Lighting Inventory (Ref only)'!AG309</f>
        <v/>
      </c>
      <c r="Q306" s="861" t="str">
        <f>'Lighting Inventory (Ref only)'!AF309</f>
        <v/>
      </c>
      <c r="R306" s="856" t="str">
        <f t="shared" si="9"/>
        <v/>
      </c>
      <c r="S306" s="856" t="str">
        <f>IFERROR(ROUND(R306*'Project Info and Summary'!$J$5/'Project Info and Summary'!$L$5,2),"")</f>
        <v/>
      </c>
    </row>
    <row r="307" spans="1:19" ht="30" customHeight="1">
      <c r="A307" s="948"/>
      <c r="B307" s="496">
        <f t="shared" si="8"/>
        <v>298</v>
      </c>
      <c r="C307" s="864"/>
      <c r="D307" s="505"/>
      <c r="E307" s="866"/>
      <c r="F307" s="498"/>
      <c r="G307" s="499"/>
      <c r="H307" s="492"/>
      <c r="I307" s="855">
        <f>IFERROR(IFERROR(INDEX('Fixture and LED Schedule'!D:D,MATCH(F307,'Fixture and LED Schedule'!C:C,""),1),F307),"")</f>
        <v>0</v>
      </c>
      <c r="J307" s="855" t="str">
        <f>IFERROR(IF(PRJ_Type="New Construction",H307,INDEX(yControl_Code,MATCH(Inventory!H307,yControlTypes,0),1)),"")</f>
        <v/>
      </c>
      <c r="K307" s="493"/>
      <c r="L307" s="501"/>
      <c r="M307" s="502"/>
      <c r="N307" s="855">
        <f>IFERROR(IFERROR(INDEX('Fixture and LED Schedule'!D:D,MATCH(K307,'Fixture and LED Schedule'!C:C,0),1),K307),"")</f>
        <v>0</v>
      </c>
      <c r="O307" s="858" t="str">
        <f>IFERROR(INDEX(yControl_Code,MATCH(Inventory!M307,yControlTypes,0),1),"")</f>
        <v/>
      </c>
      <c r="P307" s="860" t="str">
        <f>'Lighting Inventory (Ref only)'!AG310</f>
        <v/>
      </c>
      <c r="Q307" s="861" t="str">
        <f>'Lighting Inventory (Ref only)'!AF310</f>
        <v/>
      </c>
      <c r="R307" s="856" t="str">
        <f t="shared" si="9"/>
        <v/>
      </c>
      <c r="S307" s="856" t="str">
        <f>IFERROR(ROUND(R307*'Project Info and Summary'!$J$5/'Project Info and Summary'!$L$5,2),"")</f>
        <v/>
      </c>
    </row>
    <row r="308" spans="1:19" ht="30" customHeight="1">
      <c r="A308" s="948"/>
      <c r="B308" s="496">
        <f t="shared" si="8"/>
        <v>299</v>
      </c>
      <c r="C308" s="864"/>
      <c r="D308" s="505"/>
      <c r="E308" s="866"/>
      <c r="F308" s="498"/>
      <c r="G308" s="499"/>
      <c r="H308" s="492"/>
      <c r="I308" s="855">
        <f>IFERROR(IFERROR(INDEX('Fixture and LED Schedule'!D:D,MATCH(F308,'Fixture and LED Schedule'!C:C,""),1),F308),"")</f>
        <v>0</v>
      </c>
      <c r="J308" s="855" t="str">
        <f>IFERROR(IF(PRJ_Type="New Construction",H308,INDEX(yControl_Code,MATCH(Inventory!H308,yControlTypes,0),1)),"")</f>
        <v/>
      </c>
      <c r="K308" s="493"/>
      <c r="L308" s="501"/>
      <c r="M308" s="502"/>
      <c r="N308" s="855">
        <f>IFERROR(IFERROR(INDEX('Fixture and LED Schedule'!D:D,MATCH(K308,'Fixture and LED Schedule'!C:C,0),1),K308),"")</f>
        <v>0</v>
      </c>
      <c r="O308" s="858" t="str">
        <f>IFERROR(INDEX(yControl_Code,MATCH(Inventory!M308,yControlTypes,0),1),"")</f>
        <v/>
      </c>
      <c r="P308" s="860" t="str">
        <f>'Lighting Inventory (Ref only)'!AG311</f>
        <v/>
      </c>
      <c r="Q308" s="861" t="str">
        <f>'Lighting Inventory (Ref only)'!AF311</f>
        <v/>
      </c>
      <c r="R308" s="856" t="str">
        <f t="shared" si="9"/>
        <v/>
      </c>
      <c r="S308" s="856" t="str">
        <f>IFERROR(ROUND(R308*'Project Info and Summary'!$J$5/'Project Info and Summary'!$L$5,2),"")</f>
        <v/>
      </c>
    </row>
    <row r="309" spans="1:19" ht="30" customHeight="1">
      <c r="A309" s="948"/>
      <c r="B309" s="496">
        <f t="shared" si="8"/>
        <v>300</v>
      </c>
      <c r="C309" s="864"/>
      <c r="D309" s="505"/>
      <c r="E309" s="866"/>
      <c r="F309" s="498"/>
      <c r="G309" s="499"/>
      <c r="H309" s="492"/>
      <c r="I309" s="855">
        <f>IFERROR(IFERROR(INDEX('Fixture and LED Schedule'!D:D,MATCH(F309,'Fixture and LED Schedule'!C:C,""),1),F309),"")</f>
        <v>0</v>
      </c>
      <c r="J309" s="855" t="str">
        <f>IFERROR(IF(PRJ_Type="New Construction",H309,INDEX(yControl_Code,MATCH(Inventory!H309,yControlTypes,0),1)),"")</f>
        <v/>
      </c>
      <c r="K309" s="493"/>
      <c r="L309" s="501"/>
      <c r="M309" s="502"/>
      <c r="N309" s="855">
        <f>IFERROR(IFERROR(INDEX('Fixture and LED Schedule'!D:D,MATCH(K309,'Fixture and LED Schedule'!C:C,0),1),K309),"")</f>
        <v>0</v>
      </c>
      <c r="O309" s="858" t="str">
        <f>IFERROR(INDEX(yControl_Code,MATCH(Inventory!M309,yControlTypes,0),1),"")</f>
        <v/>
      </c>
      <c r="P309" s="860" t="str">
        <f>'Lighting Inventory (Ref only)'!AG312</f>
        <v/>
      </c>
      <c r="Q309" s="861" t="str">
        <f>'Lighting Inventory (Ref only)'!AF312</f>
        <v/>
      </c>
      <c r="R309" s="856" t="str">
        <f t="shared" si="9"/>
        <v/>
      </c>
      <c r="S309" s="856" t="str">
        <f>IFERROR(ROUND(R309*'Project Info and Summary'!$J$5/'Project Info and Summary'!$L$5,2),"")</f>
        <v/>
      </c>
    </row>
    <row r="310" spans="1:19" ht="30" customHeight="1">
      <c r="A310" s="948"/>
      <c r="B310" s="496">
        <f t="shared" si="8"/>
        <v>301</v>
      </c>
      <c r="C310" s="864"/>
      <c r="D310" s="505"/>
      <c r="E310" s="866"/>
      <c r="F310" s="498"/>
      <c r="G310" s="499"/>
      <c r="H310" s="492"/>
      <c r="I310" s="855">
        <f>IFERROR(IFERROR(INDEX('Fixture and LED Schedule'!D:D,MATCH(F310,'Fixture and LED Schedule'!C:C,""),1),F310),"")</f>
        <v>0</v>
      </c>
      <c r="J310" s="855" t="str">
        <f>IFERROR(IF(PRJ_Type="New Construction",H310,INDEX(yControl_Code,MATCH(Inventory!H310,yControlTypes,0),1)),"")</f>
        <v/>
      </c>
      <c r="K310" s="493"/>
      <c r="L310" s="501"/>
      <c r="M310" s="502"/>
      <c r="N310" s="855">
        <f>IFERROR(IFERROR(INDEX('Fixture and LED Schedule'!D:D,MATCH(K310,'Fixture and LED Schedule'!C:C,0),1),K310),"")</f>
        <v>0</v>
      </c>
      <c r="O310" s="858" t="str">
        <f>IFERROR(INDEX(yControl_Code,MATCH(Inventory!M310,yControlTypes,0),1),"")</f>
        <v/>
      </c>
      <c r="P310" s="860" t="str">
        <f>'Lighting Inventory (Ref only)'!AG313</f>
        <v/>
      </c>
      <c r="Q310" s="861" t="str">
        <f>'Lighting Inventory (Ref only)'!AF313</f>
        <v/>
      </c>
      <c r="R310" s="856" t="str">
        <f t="shared" si="9"/>
        <v/>
      </c>
      <c r="S310" s="856" t="str">
        <f>IFERROR(ROUND(R310*'Project Info and Summary'!$J$5/'Project Info and Summary'!$L$5,2),"")</f>
        <v/>
      </c>
    </row>
    <row r="311" spans="1:19" ht="30" customHeight="1">
      <c r="A311" s="948"/>
      <c r="B311" s="496">
        <f t="shared" si="8"/>
        <v>302</v>
      </c>
      <c r="C311" s="864"/>
      <c r="D311" s="505"/>
      <c r="E311" s="866"/>
      <c r="F311" s="498"/>
      <c r="G311" s="499"/>
      <c r="H311" s="492"/>
      <c r="I311" s="855">
        <f>IFERROR(IFERROR(INDEX('Fixture and LED Schedule'!D:D,MATCH(F311,'Fixture and LED Schedule'!C:C,""),1),F311),"")</f>
        <v>0</v>
      </c>
      <c r="J311" s="855" t="str">
        <f>IFERROR(IF(PRJ_Type="New Construction",H311,INDEX(yControl_Code,MATCH(Inventory!H311,yControlTypes,0),1)),"")</f>
        <v/>
      </c>
      <c r="K311" s="493"/>
      <c r="L311" s="501"/>
      <c r="M311" s="502"/>
      <c r="N311" s="855">
        <f>IFERROR(IFERROR(INDEX('Fixture and LED Schedule'!D:D,MATCH(K311,'Fixture and LED Schedule'!C:C,0),1),K311),"")</f>
        <v>0</v>
      </c>
      <c r="O311" s="858" t="str">
        <f>IFERROR(INDEX(yControl_Code,MATCH(Inventory!M311,yControlTypes,0),1),"")</f>
        <v/>
      </c>
      <c r="P311" s="860" t="str">
        <f>'Lighting Inventory (Ref only)'!AG314</f>
        <v/>
      </c>
      <c r="Q311" s="861" t="str">
        <f>'Lighting Inventory (Ref only)'!AF314</f>
        <v/>
      </c>
      <c r="R311" s="856" t="str">
        <f t="shared" si="9"/>
        <v/>
      </c>
      <c r="S311" s="856" t="str">
        <f>IFERROR(ROUND(R311*'Project Info and Summary'!$J$5/'Project Info and Summary'!$L$5,2),"")</f>
        <v/>
      </c>
    </row>
    <row r="312" spans="1:19" ht="30" customHeight="1">
      <c r="A312" s="948"/>
      <c r="B312" s="496">
        <f t="shared" si="8"/>
        <v>303</v>
      </c>
      <c r="C312" s="864"/>
      <c r="D312" s="505"/>
      <c r="E312" s="866"/>
      <c r="F312" s="498"/>
      <c r="G312" s="499"/>
      <c r="H312" s="492"/>
      <c r="I312" s="855">
        <f>IFERROR(IFERROR(INDEX('Fixture and LED Schedule'!D:D,MATCH(F312,'Fixture and LED Schedule'!C:C,""),1),F312),"")</f>
        <v>0</v>
      </c>
      <c r="J312" s="855" t="str">
        <f>IFERROR(IF(PRJ_Type="New Construction",H312,INDEX(yControl_Code,MATCH(Inventory!H312,yControlTypes,0),1)),"")</f>
        <v/>
      </c>
      <c r="K312" s="493"/>
      <c r="L312" s="501"/>
      <c r="M312" s="502"/>
      <c r="N312" s="855">
        <f>IFERROR(IFERROR(INDEX('Fixture and LED Schedule'!D:D,MATCH(K312,'Fixture and LED Schedule'!C:C,0),1),K312),"")</f>
        <v>0</v>
      </c>
      <c r="O312" s="858" t="str">
        <f>IFERROR(INDEX(yControl_Code,MATCH(Inventory!M312,yControlTypes,0),1),"")</f>
        <v/>
      </c>
      <c r="P312" s="860" t="str">
        <f>'Lighting Inventory (Ref only)'!AG315</f>
        <v/>
      </c>
      <c r="Q312" s="861" t="str">
        <f>'Lighting Inventory (Ref only)'!AF315</f>
        <v/>
      </c>
      <c r="R312" s="856" t="str">
        <f t="shared" si="9"/>
        <v/>
      </c>
      <c r="S312" s="856" t="str">
        <f>IFERROR(ROUND(R312*'Project Info and Summary'!$J$5/'Project Info and Summary'!$L$5,2),"")</f>
        <v/>
      </c>
    </row>
    <row r="313" spans="1:19" ht="30" customHeight="1">
      <c r="A313" s="948"/>
      <c r="B313" s="496">
        <f t="shared" si="8"/>
        <v>304</v>
      </c>
      <c r="C313" s="864"/>
      <c r="D313" s="505"/>
      <c r="E313" s="866"/>
      <c r="F313" s="498"/>
      <c r="G313" s="499"/>
      <c r="H313" s="492"/>
      <c r="I313" s="855">
        <f>IFERROR(IFERROR(INDEX('Fixture and LED Schedule'!D:D,MATCH(F313,'Fixture and LED Schedule'!C:C,""),1),F313),"")</f>
        <v>0</v>
      </c>
      <c r="J313" s="855" t="str">
        <f>IFERROR(IF(PRJ_Type="New Construction",H313,INDEX(yControl_Code,MATCH(Inventory!H313,yControlTypes,0),1)),"")</f>
        <v/>
      </c>
      <c r="K313" s="493"/>
      <c r="L313" s="501"/>
      <c r="M313" s="502"/>
      <c r="N313" s="855">
        <f>IFERROR(IFERROR(INDEX('Fixture and LED Schedule'!D:D,MATCH(K313,'Fixture and LED Schedule'!C:C,0),1),K313),"")</f>
        <v>0</v>
      </c>
      <c r="O313" s="858" t="str">
        <f>IFERROR(INDEX(yControl_Code,MATCH(Inventory!M313,yControlTypes,0),1),"")</f>
        <v/>
      </c>
      <c r="P313" s="860" t="str">
        <f>'Lighting Inventory (Ref only)'!AG316</f>
        <v/>
      </c>
      <c r="Q313" s="861" t="str">
        <f>'Lighting Inventory (Ref only)'!AF316</f>
        <v/>
      </c>
      <c r="R313" s="856" t="str">
        <f t="shared" si="9"/>
        <v/>
      </c>
      <c r="S313" s="856" t="str">
        <f>IFERROR(ROUND(R313*'Project Info and Summary'!$J$5/'Project Info and Summary'!$L$5,2),"")</f>
        <v/>
      </c>
    </row>
    <row r="314" spans="1:19" ht="30" customHeight="1">
      <c r="A314" s="948"/>
      <c r="B314" s="496">
        <f t="shared" si="8"/>
        <v>305</v>
      </c>
      <c r="C314" s="864"/>
      <c r="D314" s="505"/>
      <c r="E314" s="866"/>
      <c r="F314" s="498"/>
      <c r="G314" s="499"/>
      <c r="H314" s="492"/>
      <c r="I314" s="855">
        <f>IFERROR(IFERROR(INDEX('Fixture and LED Schedule'!D:D,MATCH(F314,'Fixture and LED Schedule'!C:C,""),1),F314),"")</f>
        <v>0</v>
      </c>
      <c r="J314" s="855" t="str">
        <f>IFERROR(IF(PRJ_Type="New Construction",H314,INDEX(yControl_Code,MATCH(Inventory!H314,yControlTypes,0),1)),"")</f>
        <v/>
      </c>
      <c r="K314" s="493"/>
      <c r="L314" s="501"/>
      <c r="M314" s="502"/>
      <c r="N314" s="855">
        <f>IFERROR(IFERROR(INDEX('Fixture and LED Schedule'!D:D,MATCH(K314,'Fixture and LED Schedule'!C:C,0),1),K314),"")</f>
        <v>0</v>
      </c>
      <c r="O314" s="858" t="str">
        <f>IFERROR(INDEX(yControl_Code,MATCH(Inventory!M314,yControlTypes,0),1),"")</f>
        <v/>
      </c>
      <c r="P314" s="860" t="str">
        <f>'Lighting Inventory (Ref only)'!AG317</f>
        <v/>
      </c>
      <c r="Q314" s="861" t="str">
        <f>'Lighting Inventory (Ref only)'!AF317</f>
        <v/>
      </c>
      <c r="R314" s="856" t="str">
        <f t="shared" si="9"/>
        <v/>
      </c>
      <c r="S314" s="856" t="str">
        <f>IFERROR(ROUND(R314*'Project Info and Summary'!$J$5/'Project Info and Summary'!$L$5,2),"")</f>
        <v/>
      </c>
    </row>
    <row r="315" spans="1:19" ht="30" customHeight="1">
      <c r="A315" s="948"/>
      <c r="B315" s="496">
        <f t="shared" si="8"/>
        <v>306</v>
      </c>
      <c r="C315" s="864"/>
      <c r="D315" s="505"/>
      <c r="E315" s="866"/>
      <c r="F315" s="498"/>
      <c r="G315" s="499"/>
      <c r="H315" s="492"/>
      <c r="I315" s="855">
        <f>IFERROR(IFERROR(INDEX('Fixture and LED Schedule'!D:D,MATCH(F315,'Fixture and LED Schedule'!C:C,""),1),F315),"")</f>
        <v>0</v>
      </c>
      <c r="J315" s="855" t="str">
        <f>IFERROR(IF(PRJ_Type="New Construction",H315,INDEX(yControl_Code,MATCH(Inventory!H315,yControlTypes,0),1)),"")</f>
        <v/>
      </c>
      <c r="K315" s="493"/>
      <c r="L315" s="501"/>
      <c r="M315" s="502"/>
      <c r="N315" s="855">
        <f>IFERROR(IFERROR(INDEX('Fixture and LED Schedule'!D:D,MATCH(K315,'Fixture and LED Schedule'!C:C,0),1),K315),"")</f>
        <v>0</v>
      </c>
      <c r="O315" s="858" t="str">
        <f>IFERROR(INDEX(yControl_Code,MATCH(Inventory!M315,yControlTypes,0),1),"")</f>
        <v/>
      </c>
      <c r="P315" s="860" t="str">
        <f>'Lighting Inventory (Ref only)'!AG318</f>
        <v/>
      </c>
      <c r="Q315" s="861" t="str">
        <f>'Lighting Inventory (Ref only)'!AF318</f>
        <v/>
      </c>
      <c r="R315" s="856" t="str">
        <f t="shared" si="9"/>
        <v/>
      </c>
      <c r="S315" s="856" t="str">
        <f>IFERROR(ROUND(R315*'Project Info and Summary'!$J$5/'Project Info and Summary'!$L$5,2),"")</f>
        <v/>
      </c>
    </row>
    <row r="316" spans="1:19" ht="30" customHeight="1">
      <c r="A316" s="948"/>
      <c r="B316" s="496">
        <f t="shared" si="8"/>
        <v>307</v>
      </c>
      <c r="C316" s="864"/>
      <c r="D316" s="505"/>
      <c r="E316" s="866"/>
      <c r="F316" s="498"/>
      <c r="G316" s="499"/>
      <c r="H316" s="492"/>
      <c r="I316" s="855">
        <f>IFERROR(IFERROR(INDEX('Fixture and LED Schedule'!D:D,MATCH(F316,'Fixture and LED Schedule'!C:C,""),1),F316),"")</f>
        <v>0</v>
      </c>
      <c r="J316" s="855" t="str">
        <f>IFERROR(IF(PRJ_Type="New Construction",H316,INDEX(yControl_Code,MATCH(Inventory!H316,yControlTypes,0),1)),"")</f>
        <v/>
      </c>
      <c r="K316" s="493"/>
      <c r="L316" s="501"/>
      <c r="M316" s="502"/>
      <c r="N316" s="855">
        <f>IFERROR(IFERROR(INDEX('Fixture and LED Schedule'!D:D,MATCH(K316,'Fixture and LED Schedule'!C:C,0),1),K316),"")</f>
        <v>0</v>
      </c>
      <c r="O316" s="858" t="str">
        <f>IFERROR(INDEX(yControl_Code,MATCH(Inventory!M316,yControlTypes,0),1),"")</f>
        <v/>
      </c>
      <c r="P316" s="860" t="str">
        <f>'Lighting Inventory (Ref only)'!AG319</f>
        <v/>
      </c>
      <c r="Q316" s="861" t="str">
        <f>'Lighting Inventory (Ref only)'!AF319</f>
        <v/>
      </c>
      <c r="R316" s="856" t="str">
        <f t="shared" si="9"/>
        <v/>
      </c>
      <c r="S316" s="856" t="str">
        <f>IFERROR(ROUND(R316*'Project Info and Summary'!$J$5/'Project Info and Summary'!$L$5,2),"")</f>
        <v/>
      </c>
    </row>
    <row r="317" spans="1:19" ht="30" customHeight="1">
      <c r="A317" s="948"/>
      <c r="B317" s="496">
        <f t="shared" ref="B317:B380" si="10">B316+1</f>
        <v>308</v>
      </c>
      <c r="C317" s="864"/>
      <c r="D317" s="505"/>
      <c r="E317" s="866"/>
      <c r="F317" s="498"/>
      <c r="G317" s="499"/>
      <c r="H317" s="492"/>
      <c r="I317" s="855">
        <f>IFERROR(IFERROR(INDEX('Fixture and LED Schedule'!D:D,MATCH(F317,'Fixture and LED Schedule'!C:C,""),1),F317),"")</f>
        <v>0</v>
      </c>
      <c r="J317" s="855" t="str">
        <f>IFERROR(IF(PRJ_Type="New Construction",H317,INDEX(yControl_Code,MATCH(Inventory!H317,yControlTypes,0),1)),"")</f>
        <v/>
      </c>
      <c r="K317" s="493"/>
      <c r="L317" s="501"/>
      <c r="M317" s="502"/>
      <c r="N317" s="855">
        <f>IFERROR(IFERROR(INDEX('Fixture and LED Schedule'!D:D,MATCH(K317,'Fixture and LED Schedule'!C:C,0),1),K317),"")</f>
        <v>0</v>
      </c>
      <c r="O317" s="858" t="str">
        <f>IFERROR(INDEX(yControl_Code,MATCH(Inventory!M317,yControlTypes,0),1),"")</f>
        <v/>
      </c>
      <c r="P317" s="860" t="str">
        <f>'Lighting Inventory (Ref only)'!AG320</f>
        <v/>
      </c>
      <c r="Q317" s="861" t="str">
        <f>'Lighting Inventory (Ref only)'!AF320</f>
        <v/>
      </c>
      <c r="R317" s="856" t="str">
        <f t="shared" si="9"/>
        <v/>
      </c>
      <c r="S317" s="856" t="str">
        <f>IFERROR(ROUND(R317*'Project Info and Summary'!$J$5/'Project Info and Summary'!$L$5,2),"")</f>
        <v/>
      </c>
    </row>
    <row r="318" spans="1:19" ht="30" customHeight="1">
      <c r="A318" s="948"/>
      <c r="B318" s="496">
        <f t="shared" si="10"/>
        <v>309</v>
      </c>
      <c r="C318" s="864"/>
      <c r="D318" s="505"/>
      <c r="E318" s="866"/>
      <c r="F318" s="498"/>
      <c r="G318" s="499"/>
      <c r="H318" s="492"/>
      <c r="I318" s="855">
        <f>IFERROR(IFERROR(INDEX('Fixture and LED Schedule'!D:D,MATCH(F318,'Fixture and LED Schedule'!C:C,""),1),F318),"")</f>
        <v>0</v>
      </c>
      <c r="J318" s="855" t="str">
        <f>IFERROR(IF(PRJ_Type="New Construction",H318,INDEX(yControl_Code,MATCH(Inventory!H318,yControlTypes,0),1)),"")</f>
        <v/>
      </c>
      <c r="K318" s="493"/>
      <c r="L318" s="501"/>
      <c r="M318" s="502"/>
      <c r="N318" s="855">
        <f>IFERROR(IFERROR(INDEX('Fixture and LED Schedule'!D:D,MATCH(K318,'Fixture and LED Schedule'!C:C,0),1),K318),"")</f>
        <v>0</v>
      </c>
      <c r="O318" s="858" t="str">
        <f>IFERROR(INDEX(yControl_Code,MATCH(Inventory!M318,yControlTypes,0),1),"")</f>
        <v/>
      </c>
      <c r="P318" s="860" t="str">
        <f>'Lighting Inventory (Ref only)'!AG321</f>
        <v/>
      </c>
      <c r="Q318" s="861" t="str">
        <f>'Lighting Inventory (Ref only)'!AF321</f>
        <v/>
      </c>
      <c r="R318" s="856" t="str">
        <f t="shared" si="9"/>
        <v/>
      </c>
      <c r="S318" s="856" t="str">
        <f>IFERROR(ROUND(R318*'Project Info and Summary'!$J$5/'Project Info and Summary'!$L$5,2),"")</f>
        <v/>
      </c>
    </row>
    <row r="319" spans="1:19" ht="30" customHeight="1">
      <c r="A319" s="948"/>
      <c r="B319" s="496">
        <f t="shared" si="10"/>
        <v>310</v>
      </c>
      <c r="C319" s="864"/>
      <c r="D319" s="505"/>
      <c r="E319" s="866"/>
      <c r="F319" s="498"/>
      <c r="G319" s="499"/>
      <c r="H319" s="492"/>
      <c r="I319" s="855">
        <f>IFERROR(IFERROR(INDEX('Fixture and LED Schedule'!D:D,MATCH(F319,'Fixture and LED Schedule'!C:C,""),1),F319),"")</f>
        <v>0</v>
      </c>
      <c r="J319" s="855" t="str">
        <f>IFERROR(IF(PRJ_Type="New Construction",H319,INDEX(yControl_Code,MATCH(Inventory!H319,yControlTypes,0),1)),"")</f>
        <v/>
      </c>
      <c r="K319" s="493"/>
      <c r="L319" s="501"/>
      <c r="M319" s="502"/>
      <c r="N319" s="855">
        <f>IFERROR(IFERROR(INDEX('Fixture and LED Schedule'!D:D,MATCH(K319,'Fixture and LED Schedule'!C:C,0),1),K319),"")</f>
        <v>0</v>
      </c>
      <c r="O319" s="858" t="str">
        <f>IFERROR(INDEX(yControl_Code,MATCH(Inventory!M319,yControlTypes,0),1),"")</f>
        <v/>
      </c>
      <c r="P319" s="860" t="str">
        <f>'Lighting Inventory (Ref only)'!AG322</f>
        <v/>
      </c>
      <c r="Q319" s="861" t="str">
        <f>'Lighting Inventory (Ref only)'!AF322</f>
        <v/>
      </c>
      <c r="R319" s="856" t="str">
        <f t="shared" si="9"/>
        <v/>
      </c>
      <c r="S319" s="856" t="str">
        <f>IFERROR(ROUND(R319*'Project Info and Summary'!$J$5/'Project Info and Summary'!$L$5,2),"")</f>
        <v/>
      </c>
    </row>
    <row r="320" spans="1:19" ht="30" customHeight="1">
      <c r="A320" s="948"/>
      <c r="B320" s="496">
        <f t="shared" si="10"/>
        <v>311</v>
      </c>
      <c r="C320" s="864"/>
      <c r="D320" s="505"/>
      <c r="E320" s="866"/>
      <c r="F320" s="498"/>
      <c r="G320" s="499"/>
      <c r="H320" s="492"/>
      <c r="I320" s="855">
        <f>IFERROR(IFERROR(INDEX('Fixture and LED Schedule'!D:D,MATCH(F320,'Fixture and LED Schedule'!C:C,""),1),F320),"")</f>
        <v>0</v>
      </c>
      <c r="J320" s="855" t="str">
        <f>IFERROR(IF(PRJ_Type="New Construction",H320,INDEX(yControl_Code,MATCH(Inventory!H320,yControlTypes,0),1)),"")</f>
        <v/>
      </c>
      <c r="K320" s="493"/>
      <c r="L320" s="501"/>
      <c r="M320" s="502"/>
      <c r="N320" s="855">
        <f>IFERROR(IFERROR(INDEX('Fixture and LED Schedule'!D:D,MATCH(K320,'Fixture and LED Schedule'!C:C,0),1),K320),"")</f>
        <v>0</v>
      </c>
      <c r="O320" s="858" t="str">
        <f>IFERROR(INDEX(yControl_Code,MATCH(Inventory!M320,yControlTypes,0),1),"")</f>
        <v/>
      </c>
      <c r="P320" s="860" t="str">
        <f>'Lighting Inventory (Ref only)'!AG323</f>
        <v/>
      </c>
      <c r="Q320" s="861" t="str">
        <f>'Lighting Inventory (Ref only)'!AF323</f>
        <v/>
      </c>
      <c r="R320" s="856" t="str">
        <f t="shared" si="9"/>
        <v/>
      </c>
      <c r="S320" s="856" t="str">
        <f>IFERROR(ROUND(R320*'Project Info and Summary'!$J$5/'Project Info and Summary'!$L$5,2),"")</f>
        <v/>
      </c>
    </row>
    <row r="321" spans="1:19" ht="30" customHeight="1">
      <c r="A321" s="948"/>
      <c r="B321" s="496">
        <f t="shared" si="10"/>
        <v>312</v>
      </c>
      <c r="C321" s="864"/>
      <c r="D321" s="505"/>
      <c r="E321" s="866"/>
      <c r="F321" s="498"/>
      <c r="G321" s="499"/>
      <c r="H321" s="492"/>
      <c r="I321" s="855">
        <f>IFERROR(IFERROR(INDEX('Fixture and LED Schedule'!D:D,MATCH(F321,'Fixture and LED Schedule'!C:C,""),1),F321),"")</f>
        <v>0</v>
      </c>
      <c r="J321" s="855" t="str">
        <f>IFERROR(IF(PRJ_Type="New Construction",H321,INDEX(yControl_Code,MATCH(Inventory!H321,yControlTypes,0),1)),"")</f>
        <v/>
      </c>
      <c r="K321" s="493"/>
      <c r="L321" s="501"/>
      <c r="M321" s="502"/>
      <c r="N321" s="855">
        <f>IFERROR(IFERROR(INDEX('Fixture and LED Schedule'!D:D,MATCH(K321,'Fixture and LED Schedule'!C:C,0),1),K321),"")</f>
        <v>0</v>
      </c>
      <c r="O321" s="858" t="str">
        <f>IFERROR(INDEX(yControl_Code,MATCH(Inventory!M321,yControlTypes,0),1),"")</f>
        <v/>
      </c>
      <c r="P321" s="860" t="str">
        <f>'Lighting Inventory (Ref only)'!AG324</f>
        <v/>
      </c>
      <c r="Q321" s="861" t="str">
        <f>'Lighting Inventory (Ref only)'!AF324</f>
        <v/>
      </c>
      <c r="R321" s="856" t="str">
        <f t="shared" si="9"/>
        <v/>
      </c>
      <c r="S321" s="856" t="str">
        <f>IFERROR(ROUND(R321*'Project Info and Summary'!$J$5/'Project Info and Summary'!$L$5,2),"")</f>
        <v/>
      </c>
    </row>
    <row r="322" spans="1:19" ht="30" customHeight="1">
      <c r="A322" s="948"/>
      <c r="B322" s="496">
        <f t="shared" si="10"/>
        <v>313</v>
      </c>
      <c r="C322" s="864"/>
      <c r="D322" s="505"/>
      <c r="E322" s="866"/>
      <c r="F322" s="498"/>
      <c r="G322" s="499"/>
      <c r="H322" s="492"/>
      <c r="I322" s="855">
        <f>IFERROR(IFERROR(INDEX('Fixture and LED Schedule'!D:D,MATCH(F322,'Fixture and LED Schedule'!C:C,""),1),F322),"")</f>
        <v>0</v>
      </c>
      <c r="J322" s="855" t="str">
        <f>IFERROR(IF(PRJ_Type="New Construction",H322,INDEX(yControl_Code,MATCH(Inventory!H322,yControlTypes,0),1)),"")</f>
        <v/>
      </c>
      <c r="K322" s="493"/>
      <c r="L322" s="501"/>
      <c r="M322" s="502"/>
      <c r="N322" s="855">
        <f>IFERROR(IFERROR(INDEX('Fixture and LED Schedule'!D:D,MATCH(K322,'Fixture and LED Schedule'!C:C,0),1),K322),"")</f>
        <v>0</v>
      </c>
      <c r="O322" s="858" t="str">
        <f>IFERROR(INDEX(yControl_Code,MATCH(Inventory!M322,yControlTypes,0),1),"")</f>
        <v/>
      </c>
      <c r="P322" s="860" t="str">
        <f>'Lighting Inventory (Ref only)'!AG325</f>
        <v/>
      </c>
      <c r="Q322" s="861" t="str">
        <f>'Lighting Inventory (Ref only)'!AF325</f>
        <v/>
      </c>
      <c r="R322" s="856" t="str">
        <f t="shared" si="9"/>
        <v/>
      </c>
      <c r="S322" s="856" t="str">
        <f>IFERROR(ROUND(R322*'Project Info and Summary'!$J$5/'Project Info and Summary'!$L$5,2),"")</f>
        <v/>
      </c>
    </row>
    <row r="323" spans="1:19" ht="30" customHeight="1">
      <c r="A323" s="948"/>
      <c r="B323" s="496">
        <f t="shared" si="10"/>
        <v>314</v>
      </c>
      <c r="C323" s="864"/>
      <c r="D323" s="505"/>
      <c r="E323" s="866"/>
      <c r="F323" s="498"/>
      <c r="G323" s="499"/>
      <c r="H323" s="492"/>
      <c r="I323" s="855">
        <f>IFERROR(IFERROR(INDEX('Fixture and LED Schedule'!D:D,MATCH(F323,'Fixture and LED Schedule'!C:C,""),1),F323),"")</f>
        <v>0</v>
      </c>
      <c r="J323" s="855" t="str">
        <f>IFERROR(IF(PRJ_Type="New Construction",H323,INDEX(yControl_Code,MATCH(Inventory!H323,yControlTypes,0),1)),"")</f>
        <v/>
      </c>
      <c r="K323" s="493"/>
      <c r="L323" s="501"/>
      <c r="M323" s="502"/>
      <c r="N323" s="855">
        <f>IFERROR(IFERROR(INDEX('Fixture and LED Schedule'!D:D,MATCH(K323,'Fixture and LED Schedule'!C:C,0),1),K323),"")</f>
        <v>0</v>
      </c>
      <c r="O323" s="858" t="str">
        <f>IFERROR(INDEX(yControl_Code,MATCH(Inventory!M323,yControlTypes,0),1),"")</f>
        <v/>
      </c>
      <c r="P323" s="860" t="str">
        <f>'Lighting Inventory (Ref only)'!AG326</f>
        <v/>
      </c>
      <c r="Q323" s="861" t="str">
        <f>'Lighting Inventory (Ref only)'!AF326</f>
        <v/>
      </c>
      <c r="R323" s="856" t="str">
        <f t="shared" si="9"/>
        <v/>
      </c>
      <c r="S323" s="856" t="str">
        <f>IFERROR(ROUND(R323*'Project Info and Summary'!$J$5/'Project Info and Summary'!$L$5,2),"")</f>
        <v/>
      </c>
    </row>
    <row r="324" spans="1:19" ht="30" customHeight="1">
      <c r="A324" s="948"/>
      <c r="B324" s="496">
        <f t="shared" si="10"/>
        <v>315</v>
      </c>
      <c r="C324" s="864"/>
      <c r="D324" s="505"/>
      <c r="E324" s="866"/>
      <c r="F324" s="498"/>
      <c r="G324" s="499"/>
      <c r="H324" s="492"/>
      <c r="I324" s="855">
        <f>IFERROR(IFERROR(INDEX('Fixture and LED Schedule'!D:D,MATCH(F324,'Fixture and LED Schedule'!C:C,""),1),F324),"")</f>
        <v>0</v>
      </c>
      <c r="J324" s="855" t="str">
        <f>IFERROR(IF(PRJ_Type="New Construction",H324,INDEX(yControl_Code,MATCH(Inventory!H324,yControlTypes,0),1)),"")</f>
        <v/>
      </c>
      <c r="K324" s="493"/>
      <c r="L324" s="501"/>
      <c r="M324" s="502"/>
      <c r="N324" s="855">
        <f>IFERROR(IFERROR(INDEX('Fixture and LED Schedule'!D:D,MATCH(K324,'Fixture and LED Schedule'!C:C,0),1),K324),"")</f>
        <v>0</v>
      </c>
      <c r="O324" s="858" t="str">
        <f>IFERROR(INDEX(yControl_Code,MATCH(Inventory!M324,yControlTypes,0),1),"")</f>
        <v/>
      </c>
      <c r="P324" s="860" t="str">
        <f>'Lighting Inventory (Ref only)'!AG327</f>
        <v/>
      </c>
      <c r="Q324" s="861" t="str">
        <f>'Lighting Inventory (Ref only)'!AF327</f>
        <v/>
      </c>
      <c r="R324" s="856" t="str">
        <f t="shared" si="9"/>
        <v/>
      </c>
      <c r="S324" s="856" t="str">
        <f>IFERROR(ROUND(R324*'Project Info and Summary'!$J$5/'Project Info and Summary'!$L$5,2),"")</f>
        <v/>
      </c>
    </row>
    <row r="325" spans="1:19" ht="30" customHeight="1">
      <c r="A325" s="948"/>
      <c r="B325" s="496">
        <f t="shared" si="10"/>
        <v>316</v>
      </c>
      <c r="C325" s="864"/>
      <c r="D325" s="505"/>
      <c r="E325" s="866"/>
      <c r="F325" s="498"/>
      <c r="G325" s="499"/>
      <c r="H325" s="492"/>
      <c r="I325" s="855">
        <f>IFERROR(IFERROR(INDEX('Fixture and LED Schedule'!D:D,MATCH(F325,'Fixture and LED Schedule'!C:C,""),1),F325),"")</f>
        <v>0</v>
      </c>
      <c r="J325" s="855" t="str">
        <f>IFERROR(IF(PRJ_Type="New Construction",H325,INDEX(yControl_Code,MATCH(Inventory!H325,yControlTypes,0),1)),"")</f>
        <v/>
      </c>
      <c r="K325" s="493"/>
      <c r="L325" s="501"/>
      <c r="M325" s="502"/>
      <c r="N325" s="855">
        <f>IFERROR(IFERROR(INDEX('Fixture and LED Schedule'!D:D,MATCH(K325,'Fixture and LED Schedule'!C:C,0),1),K325),"")</f>
        <v>0</v>
      </c>
      <c r="O325" s="858" t="str">
        <f>IFERROR(INDEX(yControl_Code,MATCH(Inventory!M325,yControlTypes,0),1),"")</f>
        <v/>
      </c>
      <c r="P325" s="860" t="str">
        <f>'Lighting Inventory (Ref only)'!AG328</f>
        <v/>
      </c>
      <c r="Q325" s="861" t="str">
        <f>'Lighting Inventory (Ref only)'!AF328</f>
        <v/>
      </c>
      <c r="R325" s="856" t="str">
        <f t="shared" si="9"/>
        <v/>
      </c>
      <c r="S325" s="856" t="str">
        <f>IFERROR(ROUND(R325*'Project Info and Summary'!$J$5/'Project Info and Summary'!$L$5,2),"")</f>
        <v/>
      </c>
    </row>
    <row r="326" spans="1:19" ht="30" customHeight="1">
      <c r="A326" s="948"/>
      <c r="B326" s="496">
        <f t="shared" si="10"/>
        <v>317</v>
      </c>
      <c r="C326" s="864"/>
      <c r="D326" s="505"/>
      <c r="E326" s="866"/>
      <c r="F326" s="498"/>
      <c r="G326" s="499"/>
      <c r="H326" s="492"/>
      <c r="I326" s="855">
        <f>IFERROR(IFERROR(INDEX('Fixture and LED Schedule'!D:D,MATCH(F326,'Fixture and LED Schedule'!C:C,""),1),F326),"")</f>
        <v>0</v>
      </c>
      <c r="J326" s="855" t="str">
        <f>IFERROR(IF(PRJ_Type="New Construction",H326,INDEX(yControl_Code,MATCH(Inventory!H326,yControlTypes,0),1)),"")</f>
        <v/>
      </c>
      <c r="K326" s="493"/>
      <c r="L326" s="501"/>
      <c r="M326" s="502"/>
      <c r="N326" s="855">
        <f>IFERROR(IFERROR(INDEX('Fixture and LED Schedule'!D:D,MATCH(K326,'Fixture and LED Schedule'!C:C,0),1),K326),"")</f>
        <v>0</v>
      </c>
      <c r="O326" s="858" t="str">
        <f>IFERROR(INDEX(yControl_Code,MATCH(Inventory!M326,yControlTypes,0),1),"")</f>
        <v/>
      </c>
      <c r="P326" s="860" t="str">
        <f>'Lighting Inventory (Ref only)'!AG329</f>
        <v/>
      </c>
      <c r="Q326" s="861" t="str">
        <f>'Lighting Inventory (Ref only)'!AF329</f>
        <v/>
      </c>
      <c r="R326" s="856" t="str">
        <f t="shared" si="9"/>
        <v/>
      </c>
      <c r="S326" s="856" t="str">
        <f>IFERROR(ROUND(R326*'Project Info and Summary'!$J$5/'Project Info and Summary'!$L$5,2),"")</f>
        <v/>
      </c>
    </row>
    <row r="327" spans="1:19" ht="30" customHeight="1">
      <c r="A327" s="948"/>
      <c r="B327" s="496">
        <f t="shared" si="10"/>
        <v>318</v>
      </c>
      <c r="C327" s="864"/>
      <c r="D327" s="505"/>
      <c r="E327" s="866"/>
      <c r="F327" s="498"/>
      <c r="G327" s="499"/>
      <c r="H327" s="492"/>
      <c r="I327" s="855">
        <f>IFERROR(IFERROR(INDEX('Fixture and LED Schedule'!D:D,MATCH(F327,'Fixture and LED Schedule'!C:C,""),1),F327),"")</f>
        <v>0</v>
      </c>
      <c r="J327" s="855" t="str">
        <f>IFERROR(IF(PRJ_Type="New Construction",H327,INDEX(yControl_Code,MATCH(Inventory!H327,yControlTypes,0),1)),"")</f>
        <v/>
      </c>
      <c r="K327" s="493"/>
      <c r="L327" s="501"/>
      <c r="M327" s="502"/>
      <c r="N327" s="855">
        <f>IFERROR(IFERROR(INDEX('Fixture and LED Schedule'!D:D,MATCH(K327,'Fixture and LED Schedule'!C:C,0),1),K327),"")</f>
        <v>0</v>
      </c>
      <c r="O327" s="858" t="str">
        <f>IFERROR(INDEX(yControl_Code,MATCH(Inventory!M327,yControlTypes,0),1),"")</f>
        <v/>
      </c>
      <c r="P327" s="860" t="str">
        <f>'Lighting Inventory (Ref only)'!AG330</f>
        <v/>
      </c>
      <c r="Q327" s="861" t="str">
        <f>'Lighting Inventory (Ref only)'!AF330</f>
        <v/>
      </c>
      <c r="R327" s="856" t="str">
        <f t="shared" si="9"/>
        <v/>
      </c>
      <c r="S327" s="856" t="str">
        <f>IFERROR(ROUND(R327*'Project Info and Summary'!$J$5/'Project Info and Summary'!$L$5,2),"")</f>
        <v/>
      </c>
    </row>
    <row r="328" spans="1:19" ht="30" customHeight="1">
      <c r="A328" s="948"/>
      <c r="B328" s="496">
        <f t="shared" si="10"/>
        <v>319</v>
      </c>
      <c r="C328" s="864"/>
      <c r="D328" s="505"/>
      <c r="E328" s="866"/>
      <c r="F328" s="498"/>
      <c r="G328" s="499"/>
      <c r="H328" s="492"/>
      <c r="I328" s="855">
        <f>IFERROR(IFERROR(INDEX('Fixture and LED Schedule'!D:D,MATCH(F328,'Fixture and LED Schedule'!C:C,""),1),F328),"")</f>
        <v>0</v>
      </c>
      <c r="J328" s="855" t="str">
        <f>IFERROR(IF(PRJ_Type="New Construction",H328,INDEX(yControl_Code,MATCH(Inventory!H328,yControlTypes,0),1)),"")</f>
        <v/>
      </c>
      <c r="K328" s="493"/>
      <c r="L328" s="501"/>
      <c r="M328" s="502"/>
      <c r="N328" s="855">
        <f>IFERROR(IFERROR(INDEX('Fixture and LED Schedule'!D:D,MATCH(K328,'Fixture and LED Schedule'!C:C,0),1),K328),"")</f>
        <v>0</v>
      </c>
      <c r="O328" s="858" t="str">
        <f>IFERROR(INDEX(yControl_Code,MATCH(Inventory!M328,yControlTypes,0),1),"")</f>
        <v/>
      </c>
      <c r="P328" s="860" t="str">
        <f>'Lighting Inventory (Ref only)'!AG331</f>
        <v/>
      </c>
      <c r="Q328" s="861" t="str">
        <f>'Lighting Inventory (Ref only)'!AF331</f>
        <v/>
      </c>
      <c r="R328" s="856" t="str">
        <f t="shared" si="9"/>
        <v/>
      </c>
      <c r="S328" s="856" t="str">
        <f>IFERROR(ROUND(R328*'Project Info and Summary'!$J$5/'Project Info and Summary'!$L$5,2),"")</f>
        <v/>
      </c>
    </row>
    <row r="329" spans="1:19" ht="30" customHeight="1">
      <c r="A329" s="948"/>
      <c r="B329" s="496">
        <f t="shared" si="10"/>
        <v>320</v>
      </c>
      <c r="C329" s="864"/>
      <c r="D329" s="505"/>
      <c r="E329" s="866"/>
      <c r="F329" s="498"/>
      <c r="G329" s="499"/>
      <c r="H329" s="492"/>
      <c r="I329" s="855">
        <f>IFERROR(IFERROR(INDEX('Fixture and LED Schedule'!D:D,MATCH(F329,'Fixture and LED Schedule'!C:C,""),1),F329),"")</f>
        <v>0</v>
      </c>
      <c r="J329" s="855" t="str">
        <f>IFERROR(IF(PRJ_Type="New Construction",H329,INDEX(yControl_Code,MATCH(Inventory!H329,yControlTypes,0),1)),"")</f>
        <v/>
      </c>
      <c r="K329" s="493"/>
      <c r="L329" s="501"/>
      <c r="M329" s="502"/>
      <c r="N329" s="855">
        <f>IFERROR(IFERROR(INDEX('Fixture and LED Schedule'!D:D,MATCH(K329,'Fixture and LED Schedule'!C:C,0),1),K329),"")</f>
        <v>0</v>
      </c>
      <c r="O329" s="858" t="str">
        <f>IFERROR(INDEX(yControl_Code,MATCH(Inventory!M329,yControlTypes,0),1),"")</f>
        <v/>
      </c>
      <c r="P329" s="860" t="str">
        <f>'Lighting Inventory (Ref only)'!AG332</f>
        <v/>
      </c>
      <c r="Q329" s="861" t="str">
        <f>'Lighting Inventory (Ref only)'!AF332</f>
        <v/>
      </c>
      <c r="R329" s="856" t="str">
        <f t="shared" si="9"/>
        <v/>
      </c>
      <c r="S329" s="856" t="str">
        <f>IFERROR(ROUND(R329*'Project Info and Summary'!$J$5/'Project Info and Summary'!$L$5,2),"")</f>
        <v/>
      </c>
    </row>
    <row r="330" spans="1:19" ht="30" customHeight="1">
      <c r="A330" s="948"/>
      <c r="B330" s="496">
        <f t="shared" si="10"/>
        <v>321</v>
      </c>
      <c r="C330" s="864"/>
      <c r="D330" s="505"/>
      <c r="E330" s="866"/>
      <c r="F330" s="498"/>
      <c r="G330" s="499"/>
      <c r="H330" s="492"/>
      <c r="I330" s="855">
        <f>IFERROR(IFERROR(INDEX('Fixture and LED Schedule'!D:D,MATCH(F330,'Fixture and LED Schedule'!C:C,""),1),F330),"")</f>
        <v>0</v>
      </c>
      <c r="J330" s="855" t="str">
        <f>IFERROR(IF(PRJ_Type="New Construction",H330,INDEX(yControl_Code,MATCH(Inventory!H330,yControlTypes,0),1)),"")</f>
        <v/>
      </c>
      <c r="K330" s="493"/>
      <c r="L330" s="501"/>
      <c r="M330" s="502"/>
      <c r="N330" s="855">
        <f>IFERROR(IFERROR(INDEX('Fixture and LED Schedule'!D:D,MATCH(K330,'Fixture and LED Schedule'!C:C,0),1),K330),"")</f>
        <v>0</v>
      </c>
      <c r="O330" s="858" t="str">
        <f>IFERROR(INDEX(yControl_Code,MATCH(Inventory!M330,yControlTypes,0),1),"")</f>
        <v/>
      </c>
      <c r="P330" s="860" t="str">
        <f>'Lighting Inventory (Ref only)'!AG333</f>
        <v/>
      </c>
      <c r="Q330" s="861" t="str">
        <f>'Lighting Inventory (Ref only)'!AF333</f>
        <v/>
      </c>
      <c r="R330" s="856" t="str">
        <f t="shared" si="9"/>
        <v/>
      </c>
      <c r="S330" s="856" t="str">
        <f>IFERROR(ROUND(R330*'Project Info and Summary'!$J$5/'Project Info and Summary'!$L$5,2),"")</f>
        <v/>
      </c>
    </row>
    <row r="331" spans="1:19" ht="30" customHeight="1">
      <c r="A331" s="948"/>
      <c r="B331" s="496">
        <f t="shared" si="10"/>
        <v>322</v>
      </c>
      <c r="C331" s="864"/>
      <c r="D331" s="505"/>
      <c r="E331" s="866"/>
      <c r="F331" s="498"/>
      <c r="G331" s="499"/>
      <c r="H331" s="492"/>
      <c r="I331" s="855">
        <f>IFERROR(IFERROR(INDEX('Fixture and LED Schedule'!D:D,MATCH(F331,'Fixture and LED Schedule'!C:C,""),1),F331),"")</f>
        <v>0</v>
      </c>
      <c r="J331" s="855" t="str">
        <f>IFERROR(IF(PRJ_Type="New Construction",H331,INDEX(yControl_Code,MATCH(Inventory!H331,yControlTypes,0),1)),"")</f>
        <v/>
      </c>
      <c r="K331" s="493"/>
      <c r="L331" s="501"/>
      <c r="M331" s="502"/>
      <c r="N331" s="855">
        <f>IFERROR(IFERROR(INDEX('Fixture and LED Schedule'!D:D,MATCH(K331,'Fixture and LED Schedule'!C:C,0),1),K331),"")</f>
        <v>0</v>
      </c>
      <c r="O331" s="858" t="str">
        <f>IFERROR(INDEX(yControl_Code,MATCH(Inventory!M331,yControlTypes,0),1),"")</f>
        <v/>
      </c>
      <c r="P331" s="860" t="str">
        <f>'Lighting Inventory (Ref only)'!AG334</f>
        <v/>
      </c>
      <c r="Q331" s="861" t="str">
        <f>'Lighting Inventory (Ref only)'!AF334</f>
        <v/>
      </c>
      <c r="R331" s="856" t="str">
        <f t="shared" ref="R331:R394" si="11">IFERROR(P331*0.02+Q331*185,"")</f>
        <v/>
      </c>
      <c r="S331" s="856" t="str">
        <f>IFERROR(ROUND(R331*'Project Info and Summary'!$J$5/'Project Info and Summary'!$L$5,2),"")</f>
        <v/>
      </c>
    </row>
    <row r="332" spans="1:19" ht="30" customHeight="1">
      <c r="A332" s="948"/>
      <c r="B332" s="496">
        <f t="shared" si="10"/>
        <v>323</v>
      </c>
      <c r="C332" s="864"/>
      <c r="D332" s="505"/>
      <c r="E332" s="866"/>
      <c r="F332" s="498"/>
      <c r="G332" s="499"/>
      <c r="H332" s="492"/>
      <c r="I332" s="855">
        <f>IFERROR(IFERROR(INDEX('Fixture and LED Schedule'!D:D,MATCH(F332,'Fixture and LED Schedule'!C:C,""),1),F332),"")</f>
        <v>0</v>
      </c>
      <c r="J332" s="855" t="str">
        <f>IFERROR(IF(PRJ_Type="New Construction",H332,INDEX(yControl_Code,MATCH(Inventory!H332,yControlTypes,0),1)),"")</f>
        <v/>
      </c>
      <c r="K332" s="493"/>
      <c r="L332" s="501"/>
      <c r="M332" s="502"/>
      <c r="N332" s="855">
        <f>IFERROR(IFERROR(INDEX('Fixture and LED Schedule'!D:D,MATCH(K332,'Fixture and LED Schedule'!C:C,0),1),K332),"")</f>
        <v>0</v>
      </c>
      <c r="O332" s="858" t="str">
        <f>IFERROR(INDEX(yControl_Code,MATCH(Inventory!M332,yControlTypes,0),1),"")</f>
        <v/>
      </c>
      <c r="P332" s="860" t="str">
        <f>'Lighting Inventory (Ref only)'!AG335</f>
        <v/>
      </c>
      <c r="Q332" s="861" t="str">
        <f>'Lighting Inventory (Ref only)'!AF335</f>
        <v/>
      </c>
      <c r="R332" s="856" t="str">
        <f t="shared" si="11"/>
        <v/>
      </c>
      <c r="S332" s="856" t="str">
        <f>IFERROR(ROUND(R332*'Project Info and Summary'!$J$5/'Project Info and Summary'!$L$5,2),"")</f>
        <v/>
      </c>
    </row>
    <row r="333" spans="1:19" ht="30" customHeight="1">
      <c r="A333" s="948"/>
      <c r="B333" s="496">
        <f t="shared" si="10"/>
        <v>324</v>
      </c>
      <c r="C333" s="864"/>
      <c r="D333" s="505"/>
      <c r="E333" s="866"/>
      <c r="F333" s="498"/>
      <c r="G333" s="499"/>
      <c r="H333" s="492"/>
      <c r="I333" s="855">
        <f>IFERROR(IFERROR(INDEX('Fixture and LED Schedule'!D:D,MATCH(F333,'Fixture and LED Schedule'!C:C,""),1),F333),"")</f>
        <v>0</v>
      </c>
      <c r="J333" s="855" t="str">
        <f>IFERROR(IF(PRJ_Type="New Construction",H333,INDEX(yControl_Code,MATCH(Inventory!H333,yControlTypes,0),1)),"")</f>
        <v/>
      </c>
      <c r="K333" s="493"/>
      <c r="L333" s="501"/>
      <c r="M333" s="502"/>
      <c r="N333" s="855">
        <f>IFERROR(IFERROR(INDEX('Fixture and LED Schedule'!D:D,MATCH(K333,'Fixture and LED Schedule'!C:C,0),1),K333),"")</f>
        <v>0</v>
      </c>
      <c r="O333" s="858" t="str">
        <f>IFERROR(INDEX(yControl_Code,MATCH(Inventory!M333,yControlTypes,0),1),"")</f>
        <v/>
      </c>
      <c r="P333" s="860" t="str">
        <f>'Lighting Inventory (Ref only)'!AG336</f>
        <v/>
      </c>
      <c r="Q333" s="861" t="str">
        <f>'Lighting Inventory (Ref only)'!AF336</f>
        <v/>
      </c>
      <c r="R333" s="856" t="str">
        <f t="shared" si="11"/>
        <v/>
      </c>
      <c r="S333" s="856" t="str">
        <f>IFERROR(ROUND(R333*'Project Info and Summary'!$J$5/'Project Info and Summary'!$L$5,2),"")</f>
        <v/>
      </c>
    </row>
    <row r="334" spans="1:19" ht="30" customHeight="1">
      <c r="A334" s="948"/>
      <c r="B334" s="496">
        <f t="shared" si="10"/>
        <v>325</v>
      </c>
      <c r="C334" s="864"/>
      <c r="D334" s="505"/>
      <c r="E334" s="866"/>
      <c r="F334" s="498"/>
      <c r="G334" s="499"/>
      <c r="H334" s="492"/>
      <c r="I334" s="855">
        <f>IFERROR(IFERROR(INDEX('Fixture and LED Schedule'!D:D,MATCH(F334,'Fixture and LED Schedule'!C:C,""),1),F334),"")</f>
        <v>0</v>
      </c>
      <c r="J334" s="855" t="str">
        <f>IFERROR(IF(PRJ_Type="New Construction",H334,INDEX(yControl_Code,MATCH(Inventory!H334,yControlTypes,0),1)),"")</f>
        <v/>
      </c>
      <c r="K334" s="493"/>
      <c r="L334" s="501"/>
      <c r="M334" s="502"/>
      <c r="N334" s="855">
        <f>IFERROR(IFERROR(INDEX('Fixture and LED Schedule'!D:D,MATCH(K334,'Fixture and LED Schedule'!C:C,0),1),K334),"")</f>
        <v>0</v>
      </c>
      <c r="O334" s="858" t="str">
        <f>IFERROR(INDEX(yControl_Code,MATCH(Inventory!M334,yControlTypes,0),1),"")</f>
        <v/>
      </c>
      <c r="P334" s="860" t="str">
        <f>'Lighting Inventory (Ref only)'!AG337</f>
        <v/>
      </c>
      <c r="Q334" s="861" t="str">
        <f>'Lighting Inventory (Ref only)'!AF337</f>
        <v/>
      </c>
      <c r="R334" s="856" t="str">
        <f t="shared" si="11"/>
        <v/>
      </c>
      <c r="S334" s="856" t="str">
        <f>IFERROR(ROUND(R334*'Project Info and Summary'!$J$5/'Project Info and Summary'!$L$5,2),"")</f>
        <v/>
      </c>
    </row>
    <row r="335" spans="1:19" ht="30" customHeight="1">
      <c r="A335" s="948"/>
      <c r="B335" s="496">
        <f t="shared" si="10"/>
        <v>326</v>
      </c>
      <c r="C335" s="864"/>
      <c r="D335" s="505"/>
      <c r="E335" s="866"/>
      <c r="F335" s="498"/>
      <c r="G335" s="499"/>
      <c r="H335" s="492"/>
      <c r="I335" s="855">
        <f>IFERROR(IFERROR(INDEX('Fixture and LED Schedule'!D:D,MATCH(F335,'Fixture and LED Schedule'!C:C,""),1),F335),"")</f>
        <v>0</v>
      </c>
      <c r="J335" s="855" t="str">
        <f>IFERROR(IF(PRJ_Type="New Construction",H335,INDEX(yControl_Code,MATCH(Inventory!H335,yControlTypes,0),1)),"")</f>
        <v/>
      </c>
      <c r="K335" s="493"/>
      <c r="L335" s="501"/>
      <c r="M335" s="502"/>
      <c r="N335" s="855">
        <f>IFERROR(IFERROR(INDEX('Fixture and LED Schedule'!D:D,MATCH(K335,'Fixture and LED Schedule'!C:C,0),1),K335),"")</f>
        <v>0</v>
      </c>
      <c r="O335" s="858" t="str">
        <f>IFERROR(INDEX(yControl_Code,MATCH(Inventory!M335,yControlTypes,0),1),"")</f>
        <v/>
      </c>
      <c r="P335" s="860" t="str">
        <f>'Lighting Inventory (Ref only)'!AG338</f>
        <v/>
      </c>
      <c r="Q335" s="861" t="str">
        <f>'Lighting Inventory (Ref only)'!AF338</f>
        <v/>
      </c>
      <c r="R335" s="856" t="str">
        <f t="shared" si="11"/>
        <v/>
      </c>
      <c r="S335" s="856" t="str">
        <f>IFERROR(ROUND(R335*'Project Info and Summary'!$J$5/'Project Info and Summary'!$L$5,2),"")</f>
        <v/>
      </c>
    </row>
    <row r="336" spans="1:19" ht="30" customHeight="1">
      <c r="A336" s="948"/>
      <c r="B336" s="496">
        <f t="shared" si="10"/>
        <v>327</v>
      </c>
      <c r="C336" s="864"/>
      <c r="D336" s="505"/>
      <c r="E336" s="866"/>
      <c r="F336" s="498"/>
      <c r="G336" s="499"/>
      <c r="H336" s="492"/>
      <c r="I336" s="855">
        <f>IFERROR(IFERROR(INDEX('Fixture and LED Schedule'!D:D,MATCH(F336,'Fixture and LED Schedule'!C:C,""),1),F336),"")</f>
        <v>0</v>
      </c>
      <c r="J336" s="855" t="str">
        <f>IFERROR(IF(PRJ_Type="New Construction",H336,INDEX(yControl_Code,MATCH(Inventory!H336,yControlTypes,0),1)),"")</f>
        <v/>
      </c>
      <c r="K336" s="493"/>
      <c r="L336" s="501"/>
      <c r="M336" s="502"/>
      <c r="N336" s="855">
        <f>IFERROR(IFERROR(INDEX('Fixture and LED Schedule'!D:D,MATCH(K336,'Fixture and LED Schedule'!C:C,0),1),K336),"")</f>
        <v>0</v>
      </c>
      <c r="O336" s="858" t="str">
        <f>IFERROR(INDEX(yControl_Code,MATCH(Inventory!M336,yControlTypes,0),1),"")</f>
        <v/>
      </c>
      <c r="P336" s="860" t="str">
        <f>'Lighting Inventory (Ref only)'!AG339</f>
        <v/>
      </c>
      <c r="Q336" s="861" t="str">
        <f>'Lighting Inventory (Ref only)'!AF339</f>
        <v/>
      </c>
      <c r="R336" s="856" t="str">
        <f t="shared" si="11"/>
        <v/>
      </c>
      <c r="S336" s="856" t="str">
        <f>IFERROR(ROUND(R336*'Project Info and Summary'!$J$5/'Project Info and Summary'!$L$5,2),"")</f>
        <v/>
      </c>
    </row>
    <row r="337" spans="1:19" ht="30" customHeight="1">
      <c r="A337" s="948"/>
      <c r="B337" s="496">
        <f t="shared" si="10"/>
        <v>328</v>
      </c>
      <c r="C337" s="864"/>
      <c r="D337" s="505"/>
      <c r="E337" s="866"/>
      <c r="F337" s="498"/>
      <c r="G337" s="499"/>
      <c r="H337" s="492"/>
      <c r="I337" s="855">
        <f>IFERROR(IFERROR(INDEX('Fixture and LED Schedule'!D:D,MATCH(F337,'Fixture and LED Schedule'!C:C,""),1),F337),"")</f>
        <v>0</v>
      </c>
      <c r="J337" s="855" t="str">
        <f>IFERROR(IF(PRJ_Type="New Construction",H337,INDEX(yControl_Code,MATCH(Inventory!H337,yControlTypes,0),1)),"")</f>
        <v/>
      </c>
      <c r="K337" s="493"/>
      <c r="L337" s="501"/>
      <c r="M337" s="502"/>
      <c r="N337" s="855">
        <f>IFERROR(IFERROR(INDEX('Fixture and LED Schedule'!D:D,MATCH(K337,'Fixture and LED Schedule'!C:C,0),1),K337),"")</f>
        <v>0</v>
      </c>
      <c r="O337" s="858" t="str">
        <f>IFERROR(INDEX(yControl_Code,MATCH(Inventory!M337,yControlTypes,0),1),"")</f>
        <v/>
      </c>
      <c r="P337" s="860" t="str">
        <f>'Lighting Inventory (Ref only)'!AG340</f>
        <v/>
      </c>
      <c r="Q337" s="861" t="str">
        <f>'Lighting Inventory (Ref only)'!AF340</f>
        <v/>
      </c>
      <c r="R337" s="856" t="str">
        <f t="shared" si="11"/>
        <v/>
      </c>
      <c r="S337" s="856" t="str">
        <f>IFERROR(ROUND(R337*'Project Info and Summary'!$J$5/'Project Info and Summary'!$L$5,2),"")</f>
        <v/>
      </c>
    </row>
    <row r="338" spans="1:19" ht="30" customHeight="1">
      <c r="A338" s="948"/>
      <c r="B338" s="496">
        <f t="shared" si="10"/>
        <v>329</v>
      </c>
      <c r="C338" s="864"/>
      <c r="D338" s="505"/>
      <c r="E338" s="866"/>
      <c r="F338" s="498"/>
      <c r="G338" s="499"/>
      <c r="H338" s="492"/>
      <c r="I338" s="855">
        <f>IFERROR(IFERROR(INDEX('Fixture and LED Schedule'!D:D,MATCH(F338,'Fixture and LED Schedule'!C:C,""),1),F338),"")</f>
        <v>0</v>
      </c>
      <c r="J338" s="855" t="str">
        <f>IFERROR(IF(PRJ_Type="New Construction",H338,INDEX(yControl_Code,MATCH(Inventory!H338,yControlTypes,0),1)),"")</f>
        <v/>
      </c>
      <c r="K338" s="493"/>
      <c r="L338" s="501"/>
      <c r="M338" s="502"/>
      <c r="N338" s="855">
        <f>IFERROR(IFERROR(INDEX('Fixture and LED Schedule'!D:D,MATCH(K338,'Fixture and LED Schedule'!C:C,0),1),K338),"")</f>
        <v>0</v>
      </c>
      <c r="O338" s="858" t="str">
        <f>IFERROR(INDEX(yControl_Code,MATCH(Inventory!M338,yControlTypes,0),1),"")</f>
        <v/>
      </c>
      <c r="P338" s="860" t="str">
        <f>'Lighting Inventory (Ref only)'!AG341</f>
        <v/>
      </c>
      <c r="Q338" s="861" t="str">
        <f>'Lighting Inventory (Ref only)'!AF341</f>
        <v/>
      </c>
      <c r="R338" s="856" t="str">
        <f t="shared" si="11"/>
        <v/>
      </c>
      <c r="S338" s="856" t="str">
        <f>IFERROR(ROUND(R338*'Project Info and Summary'!$J$5/'Project Info and Summary'!$L$5,2),"")</f>
        <v/>
      </c>
    </row>
    <row r="339" spans="1:19" ht="30" customHeight="1">
      <c r="A339" s="948"/>
      <c r="B339" s="496">
        <f t="shared" si="10"/>
        <v>330</v>
      </c>
      <c r="C339" s="864"/>
      <c r="D339" s="505"/>
      <c r="E339" s="866"/>
      <c r="F339" s="498"/>
      <c r="G339" s="499"/>
      <c r="H339" s="492"/>
      <c r="I339" s="855">
        <f>IFERROR(IFERROR(INDEX('Fixture and LED Schedule'!D:D,MATCH(F339,'Fixture and LED Schedule'!C:C,""),1),F339),"")</f>
        <v>0</v>
      </c>
      <c r="J339" s="855" t="str">
        <f>IFERROR(IF(PRJ_Type="New Construction",H339,INDEX(yControl_Code,MATCH(Inventory!H339,yControlTypes,0),1)),"")</f>
        <v/>
      </c>
      <c r="K339" s="493"/>
      <c r="L339" s="501"/>
      <c r="M339" s="502"/>
      <c r="N339" s="855">
        <f>IFERROR(IFERROR(INDEX('Fixture and LED Schedule'!D:D,MATCH(K339,'Fixture and LED Schedule'!C:C,0),1),K339),"")</f>
        <v>0</v>
      </c>
      <c r="O339" s="858" t="str">
        <f>IFERROR(INDEX(yControl_Code,MATCH(Inventory!M339,yControlTypes,0),1),"")</f>
        <v/>
      </c>
      <c r="P339" s="860" t="str">
        <f>'Lighting Inventory (Ref only)'!AG342</f>
        <v/>
      </c>
      <c r="Q339" s="861" t="str">
        <f>'Lighting Inventory (Ref only)'!AF342</f>
        <v/>
      </c>
      <c r="R339" s="856" t="str">
        <f t="shared" si="11"/>
        <v/>
      </c>
      <c r="S339" s="856" t="str">
        <f>IFERROR(ROUND(R339*'Project Info and Summary'!$J$5/'Project Info and Summary'!$L$5,2),"")</f>
        <v/>
      </c>
    </row>
    <row r="340" spans="1:19" ht="30" customHeight="1">
      <c r="A340" s="948"/>
      <c r="B340" s="496">
        <f t="shared" si="10"/>
        <v>331</v>
      </c>
      <c r="C340" s="864"/>
      <c r="D340" s="505"/>
      <c r="E340" s="866"/>
      <c r="F340" s="498"/>
      <c r="G340" s="499"/>
      <c r="H340" s="492"/>
      <c r="I340" s="855">
        <f>IFERROR(IFERROR(INDEX('Fixture and LED Schedule'!D:D,MATCH(F340,'Fixture and LED Schedule'!C:C,""),1),F340),"")</f>
        <v>0</v>
      </c>
      <c r="J340" s="855" t="str">
        <f>IFERROR(IF(PRJ_Type="New Construction",H340,INDEX(yControl_Code,MATCH(Inventory!H340,yControlTypes,0),1)),"")</f>
        <v/>
      </c>
      <c r="K340" s="493"/>
      <c r="L340" s="501"/>
      <c r="M340" s="502"/>
      <c r="N340" s="855">
        <f>IFERROR(IFERROR(INDEX('Fixture and LED Schedule'!D:D,MATCH(K340,'Fixture and LED Schedule'!C:C,0),1),K340),"")</f>
        <v>0</v>
      </c>
      <c r="O340" s="858" t="str">
        <f>IFERROR(INDEX(yControl_Code,MATCH(Inventory!M340,yControlTypes,0),1),"")</f>
        <v/>
      </c>
      <c r="P340" s="860" t="str">
        <f>'Lighting Inventory (Ref only)'!AG343</f>
        <v/>
      </c>
      <c r="Q340" s="861" t="str">
        <f>'Lighting Inventory (Ref only)'!AF343</f>
        <v/>
      </c>
      <c r="R340" s="856" t="str">
        <f t="shared" si="11"/>
        <v/>
      </c>
      <c r="S340" s="856" t="str">
        <f>IFERROR(ROUND(R340*'Project Info and Summary'!$J$5/'Project Info and Summary'!$L$5,2),"")</f>
        <v/>
      </c>
    </row>
    <row r="341" spans="1:19" ht="30" customHeight="1">
      <c r="A341" s="948"/>
      <c r="B341" s="496">
        <f t="shared" si="10"/>
        <v>332</v>
      </c>
      <c r="C341" s="864"/>
      <c r="D341" s="505"/>
      <c r="E341" s="866"/>
      <c r="F341" s="498"/>
      <c r="G341" s="499"/>
      <c r="H341" s="492"/>
      <c r="I341" s="855">
        <f>IFERROR(IFERROR(INDEX('Fixture and LED Schedule'!D:D,MATCH(F341,'Fixture and LED Schedule'!C:C,""),1),F341),"")</f>
        <v>0</v>
      </c>
      <c r="J341" s="855" t="str">
        <f>IFERROR(IF(PRJ_Type="New Construction",H341,INDEX(yControl_Code,MATCH(Inventory!H341,yControlTypes,0),1)),"")</f>
        <v/>
      </c>
      <c r="K341" s="493"/>
      <c r="L341" s="501"/>
      <c r="M341" s="502"/>
      <c r="N341" s="855">
        <f>IFERROR(IFERROR(INDEX('Fixture and LED Schedule'!D:D,MATCH(K341,'Fixture and LED Schedule'!C:C,0),1),K341),"")</f>
        <v>0</v>
      </c>
      <c r="O341" s="858" t="str">
        <f>IFERROR(INDEX(yControl_Code,MATCH(Inventory!M341,yControlTypes,0),1),"")</f>
        <v/>
      </c>
      <c r="P341" s="860" t="str">
        <f>'Lighting Inventory (Ref only)'!AG344</f>
        <v/>
      </c>
      <c r="Q341" s="861" t="str">
        <f>'Lighting Inventory (Ref only)'!AF344</f>
        <v/>
      </c>
      <c r="R341" s="856" t="str">
        <f t="shared" si="11"/>
        <v/>
      </c>
      <c r="S341" s="856" t="str">
        <f>IFERROR(ROUND(R341*'Project Info and Summary'!$J$5/'Project Info and Summary'!$L$5,2),"")</f>
        <v/>
      </c>
    </row>
    <row r="342" spans="1:19" ht="30" customHeight="1">
      <c r="A342" s="948"/>
      <c r="B342" s="496">
        <f t="shared" si="10"/>
        <v>333</v>
      </c>
      <c r="C342" s="864"/>
      <c r="D342" s="505"/>
      <c r="E342" s="866"/>
      <c r="F342" s="498"/>
      <c r="G342" s="499"/>
      <c r="H342" s="492"/>
      <c r="I342" s="855">
        <f>IFERROR(IFERROR(INDEX('Fixture and LED Schedule'!D:D,MATCH(F342,'Fixture and LED Schedule'!C:C,""),1),F342),"")</f>
        <v>0</v>
      </c>
      <c r="J342" s="855" t="str">
        <f>IFERROR(IF(PRJ_Type="New Construction",H342,INDEX(yControl_Code,MATCH(Inventory!H342,yControlTypes,0),1)),"")</f>
        <v/>
      </c>
      <c r="K342" s="493"/>
      <c r="L342" s="501"/>
      <c r="M342" s="502"/>
      <c r="N342" s="855">
        <f>IFERROR(IFERROR(INDEX('Fixture and LED Schedule'!D:D,MATCH(K342,'Fixture and LED Schedule'!C:C,0),1),K342),"")</f>
        <v>0</v>
      </c>
      <c r="O342" s="858" t="str">
        <f>IFERROR(INDEX(yControl_Code,MATCH(Inventory!M342,yControlTypes,0),1),"")</f>
        <v/>
      </c>
      <c r="P342" s="860" t="str">
        <f>'Lighting Inventory (Ref only)'!AG345</f>
        <v/>
      </c>
      <c r="Q342" s="861" t="str">
        <f>'Lighting Inventory (Ref only)'!AF345</f>
        <v/>
      </c>
      <c r="R342" s="856" t="str">
        <f t="shared" si="11"/>
        <v/>
      </c>
      <c r="S342" s="856" t="str">
        <f>IFERROR(ROUND(R342*'Project Info and Summary'!$J$5/'Project Info and Summary'!$L$5,2),"")</f>
        <v/>
      </c>
    </row>
    <row r="343" spans="1:19" ht="30" customHeight="1">
      <c r="A343" s="948"/>
      <c r="B343" s="496">
        <f t="shared" si="10"/>
        <v>334</v>
      </c>
      <c r="C343" s="864"/>
      <c r="D343" s="505"/>
      <c r="E343" s="866"/>
      <c r="F343" s="498"/>
      <c r="G343" s="499"/>
      <c r="H343" s="492"/>
      <c r="I343" s="855">
        <f>IFERROR(IFERROR(INDEX('Fixture and LED Schedule'!D:D,MATCH(F343,'Fixture and LED Schedule'!C:C,""),1),F343),"")</f>
        <v>0</v>
      </c>
      <c r="J343" s="855" t="str">
        <f>IFERROR(IF(PRJ_Type="New Construction",H343,INDEX(yControl_Code,MATCH(Inventory!H343,yControlTypes,0),1)),"")</f>
        <v/>
      </c>
      <c r="K343" s="493"/>
      <c r="L343" s="501"/>
      <c r="M343" s="502"/>
      <c r="N343" s="855">
        <f>IFERROR(IFERROR(INDEX('Fixture and LED Schedule'!D:D,MATCH(K343,'Fixture and LED Schedule'!C:C,0),1),K343),"")</f>
        <v>0</v>
      </c>
      <c r="O343" s="858" t="str">
        <f>IFERROR(INDEX(yControl_Code,MATCH(Inventory!M343,yControlTypes,0),1),"")</f>
        <v/>
      </c>
      <c r="P343" s="860" t="str">
        <f>'Lighting Inventory (Ref only)'!AG346</f>
        <v/>
      </c>
      <c r="Q343" s="861" t="str">
        <f>'Lighting Inventory (Ref only)'!AF346</f>
        <v/>
      </c>
      <c r="R343" s="856" t="str">
        <f t="shared" si="11"/>
        <v/>
      </c>
      <c r="S343" s="856" t="str">
        <f>IFERROR(ROUND(R343*'Project Info and Summary'!$J$5/'Project Info and Summary'!$L$5,2),"")</f>
        <v/>
      </c>
    </row>
    <row r="344" spans="1:19" ht="30" customHeight="1">
      <c r="A344" s="948"/>
      <c r="B344" s="496">
        <f t="shared" si="10"/>
        <v>335</v>
      </c>
      <c r="C344" s="864"/>
      <c r="D344" s="505"/>
      <c r="E344" s="866"/>
      <c r="F344" s="498"/>
      <c r="G344" s="499"/>
      <c r="H344" s="492"/>
      <c r="I344" s="855">
        <f>IFERROR(IFERROR(INDEX('Fixture and LED Schedule'!D:D,MATCH(F344,'Fixture and LED Schedule'!C:C,""),1),F344),"")</f>
        <v>0</v>
      </c>
      <c r="J344" s="855" t="str">
        <f>IFERROR(IF(PRJ_Type="New Construction",H344,INDEX(yControl_Code,MATCH(Inventory!H344,yControlTypes,0),1)),"")</f>
        <v/>
      </c>
      <c r="K344" s="493"/>
      <c r="L344" s="501"/>
      <c r="M344" s="502"/>
      <c r="N344" s="855">
        <f>IFERROR(IFERROR(INDEX('Fixture and LED Schedule'!D:D,MATCH(K344,'Fixture and LED Schedule'!C:C,0),1),K344),"")</f>
        <v>0</v>
      </c>
      <c r="O344" s="858" t="str">
        <f>IFERROR(INDEX(yControl_Code,MATCH(Inventory!M344,yControlTypes,0),1),"")</f>
        <v/>
      </c>
      <c r="P344" s="860" t="str">
        <f>'Lighting Inventory (Ref only)'!AG347</f>
        <v/>
      </c>
      <c r="Q344" s="861" t="str">
        <f>'Lighting Inventory (Ref only)'!AF347</f>
        <v/>
      </c>
      <c r="R344" s="856" t="str">
        <f t="shared" si="11"/>
        <v/>
      </c>
      <c r="S344" s="856" t="str">
        <f>IFERROR(ROUND(R344*'Project Info and Summary'!$J$5/'Project Info and Summary'!$L$5,2),"")</f>
        <v/>
      </c>
    </row>
    <row r="345" spans="1:19" ht="30" customHeight="1">
      <c r="A345" s="948"/>
      <c r="B345" s="496">
        <f t="shared" si="10"/>
        <v>336</v>
      </c>
      <c r="C345" s="864"/>
      <c r="D345" s="505"/>
      <c r="E345" s="866"/>
      <c r="F345" s="498"/>
      <c r="G345" s="499"/>
      <c r="H345" s="492"/>
      <c r="I345" s="855">
        <f>IFERROR(IFERROR(INDEX('Fixture and LED Schedule'!D:D,MATCH(F345,'Fixture and LED Schedule'!C:C,""),1),F345),"")</f>
        <v>0</v>
      </c>
      <c r="J345" s="855" t="str">
        <f>IFERROR(IF(PRJ_Type="New Construction",H345,INDEX(yControl_Code,MATCH(Inventory!H345,yControlTypes,0),1)),"")</f>
        <v/>
      </c>
      <c r="K345" s="493"/>
      <c r="L345" s="501"/>
      <c r="M345" s="502"/>
      <c r="N345" s="855">
        <f>IFERROR(IFERROR(INDEX('Fixture and LED Schedule'!D:D,MATCH(K345,'Fixture and LED Schedule'!C:C,0),1),K345),"")</f>
        <v>0</v>
      </c>
      <c r="O345" s="858" t="str">
        <f>IFERROR(INDEX(yControl_Code,MATCH(Inventory!M345,yControlTypes,0),1),"")</f>
        <v/>
      </c>
      <c r="P345" s="860" t="str">
        <f>'Lighting Inventory (Ref only)'!AG348</f>
        <v/>
      </c>
      <c r="Q345" s="861" t="str">
        <f>'Lighting Inventory (Ref only)'!AF348</f>
        <v/>
      </c>
      <c r="R345" s="856" t="str">
        <f t="shared" si="11"/>
        <v/>
      </c>
      <c r="S345" s="856" t="str">
        <f>IFERROR(ROUND(R345*'Project Info and Summary'!$J$5/'Project Info and Summary'!$L$5,2),"")</f>
        <v/>
      </c>
    </row>
    <row r="346" spans="1:19" ht="30" customHeight="1">
      <c r="A346" s="948"/>
      <c r="B346" s="496">
        <f t="shared" si="10"/>
        <v>337</v>
      </c>
      <c r="C346" s="864"/>
      <c r="D346" s="505"/>
      <c r="E346" s="866"/>
      <c r="F346" s="498"/>
      <c r="G346" s="499"/>
      <c r="H346" s="492"/>
      <c r="I346" s="855">
        <f>IFERROR(IFERROR(INDEX('Fixture and LED Schedule'!D:D,MATCH(F346,'Fixture and LED Schedule'!C:C,""),1),F346),"")</f>
        <v>0</v>
      </c>
      <c r="J346" s="855" t="str">
        <f>IFERROR(IF(PRJ_Type="New Construction",H346,INDEX(yControl_Code,MATCH(Inventory!H346,yControlTypes,0),1)),"")</f>
        <v/>
      </c>
      <c r="K346" s="493"/>
      <c r="L346" s="501"/>
      <c r="M346" s="502"/>
      <c r="N346" s="855">
        <f>IFERROR(IFERROR(INDEX('Fixture and LED Schedule'!D:D,MATCH(K346,'Fixture and LED Schedule'!C:C,0),1),K346),"")</f>
        <v>0</v>
      </c>
      <c r="O346" s="858" t="str">
        <f>IFERROR(INDEX(yControl_Code,MATCH(Inventory!M346,yControlTypes,0),1),"")</f>
        <v/>
      </c>
      <c r="P346" s="860" t="str">
        <f>'Lighting Inventory (Ref only)'!AG349</f>
        <v/>
      </c>
      <c r="Q346" s="861" t="str">
        <f>'Lighting Inventory (Ref only)'!AF349</f>
        <v/>
      </c>
      <c r="R346" s="856" t="str">
        <f t="shared" si="11"/>
        <v/>
      </c>
      <c r="S346" s="856" t="str">
        <f>IFERROR(ROUND(R346*'Project Info and Summary'!$J$5/'Project Info and Summary'!$L$5,2),"")</f>
        <v/>
      </c>
    </row>
    <row r="347" spans="1:19" ht="30" customHeight="1">
      <c r="A347" s="948"/>
      <c r="B347" s="496">
        <f t="shared" si="10"/>
        <v>338</v>
      </c>
      <c r="C347" s="864"/>
      <c r="D347" s="505"/>
      <c r="E347" s="866"/>
      <c r="F347" s="498"/>
      <c r="G347" s="499"/>
      <c r="H347" s="492"/>
      <c r="I347" s="855">
        <f>IFERROR(IFERROR(INDEX('Fixture and LED Schedule'!D:D,MATCH(F347,'Fixture and LED Schedule'!C:C,""),1),F347),"")</f>
        <v>0</v>
      </c>
      <c r="J347" s="855" t="str">
        <f>IFERROR(IF(PRJ_Type="New Construction",H347,INDEX(yControl_Code,MATCH(Inventory!H347,yControlTypes,0),1)),"")</f>
        <v/>
      </c>
      <c r="K347" s="493"/>
      <c r="L347" s="501"/>
      <c r="M347" s="502"/>
      <c r="N347" s="855">
        <f>IFERROR(IFERROR(INDEX('Fixture and LED Schedule'!D:D,MATCH(K347,'Fixture and LED Schedule'!C:C,0),1),K347),"")</f>
        <v>0</v>
      </c>
      <c r="O347" s="858" t="str">
        <f>IFERROR(INDEX(yControl_Code,MATCH(Inventory!M347,yControlTypes,0),1),"")</f>
        <v/>
      </c>
      <c r="P347" s="860" t="str">
        <f>'Lighting Inventory (Ref only)'!AG350</f>
        <v/>
      </c>
      <c r="Q347" s="861" t="str">
        <f>'Lighting Inventory (Ref only)'!AF350</f>
        <v/>
      </c>
      <c r="R347" s="856" t="str">
        <f t="shared" si="11"/>
        <v/>
      </c>
      <c r="S347" s="856" t="str">
        <f>IFERROR(ROUND(R347*'Project Info and Summary'!$J$5/'Project Info and Summary'!$L$5,2),"")</f>
        <v/>
      </c>
    </row>
    <row r="348" spans="1:19" ht="30" customHeight="1">
      <c r="A348" s="948"/>
      <c r="B348" s="496">
        <f t="shared" si="10"/>
        <v>339</v>
      </c>
      <c r="C348" s="864"/>
      <c r="D348" s="505"/>
      <c r="E348" s="866"/>
      <c r="F348" s="498"/>
      <c r="G348" s="499"/>
      <c r="H348" s="492"/>
      <c r="I348" s="855">
        <f>IFERROR(IFERROR(INDEX('Fixture and LED Schedule'!D:D,MATCH(F348,'Fixture and LED Schedule'!C:C,""),1),F348),"")</f>
        <v>0</v>
      </c>
      <c r="J348" s="855" t="str">
        <f>IFERROR(IF(PRJ_Type="New Construction",H348,INDEX(yControl_Code,MATCH(Inventory!H348,yControlTypes,0),1)),"")</f>
        <v/>
      </c>
      <c r="K348" s="493"/>
      <c r="L348" s="501"/>
      <c r="M348" s="502"/>
      <c r="N348" s="855">
        <f>IFERROR(IFERROR(INDEX('Fixture and LED Schedule'!D:D,MATCH(K348,'Fixture and LED Schedule'!C:C,0),1),K348),"")</f>
        <v>0</v>
      </c>
      <c r="O348" s="858" t="str">
        <f>IFERROR(INDEX(yControl_Code,MATCH(Inventory!M348,yControlTypes,0),1),"")</f>
        <v/>
      </c>
      <c r="P348" s="860" t="str">
        <f>'Lighting Inventory (Ref only)'!AG351</f>
        <v/>
      </c>
      <c r="Q348" s="861" t="str">
        <f>'Lighting Inventory (Ref only)'!AF351</f>
        <v/>
      </c>
      <c r="R348" s="856" t="str">
        <f t="shared" si="11"/>
        <v/>
      </c>
      <c r="S348" s="856" t="str">
        <f>IFERROR(ROUND(R348*'Project Info and Summary'!$J$5/'Project Info and Summary'!$L$5,2),"")</f>
        <v/>
      </c>
    </row>
    <row r="349" spans="1:19" ht="30" customHeight="1">
      <c r="A349" s="948"/>
      <c r="B349" s="496">
        <f t="shared" si="10"/>
        <v>340</v>
      </c>
      <c r="C349" s="864"/>
      <c r="D349" s="505"/>
      <c r="E349" s="866"/>
      <c r="F349" s="498"/>
      <c r="G349" s="499"/>
      <c r="H349" s="492"/>
      <c r="I349" s="855">
        <f>IFERROR(IFERROR(INDEX('Fixture and LED Schedule'!D:D,MATCH(F349,'Fixture and LED Schedule'!C:C,""),1),F349),"")</f>
        <v>0</v>
      </c>
      <c r="J349" s="855" t="str">
        <f>IFERROR(IF(PRJ_Type="New Construction",H349,INDEX(yControl_Code,MATCH(Inventory!H349,yControlTypes,0),1)),"")</f>
        <v/>
      </c>
      <c r="K349" s="493"/>
      <c r="L349" s="501"/>
      <c r="M349" s="502"/>
      <c r="N349" s="855">
        <f>IFERROR(IFERROR(INDEX('Fixture and LED Schedule'!D:D,MATCH(K349,'Fixture and LED Schedule'!C:C,0),1),K349),"")</f>
        <v>0</v>
      </c>
      <c r="O349" s="858" t="str">
        <f>IFERROR(INDEX(yControl_Code,MATCH(Inventory!M349,yControlTypes,0),1),"")</f>
        <v/>
      </c>
      <c r="P349" s="860" t="str">
        <f>'Lighting Inventory (Ref only)'!AG352</f>
        <v/>
      </c>
      <c r="Q349" s="861" t="str">
        <f>'Lighting Inventory (Ref only)'!AF352</f>
        <v/>
      </c>
      <c r="R349" s="856" t="str">
        <f t="shared" si="11"/>
        <v/>
      </c>
      <c r="S349" s="856" t="str">
        <f>IFERROR(ROUND(R349*'Project Info and Summary'!$J$5/'Project Info and Summary'!$L$5,2),"")</f>
        <v/>
      </c>
    </row>
    <row r="350" spans="1:19" ht="30" customHeight="1">
      <c r="A350" s="948"/>
      <c r="B350" s="496">
        <f t="shared" si="10"/>
        <v>341</v>
      </c>
      <c r="C350" s="864"/>
      <c r="D350" s="505"/>
      <c r="E350" s="866"/>
      <c r="F350" s="498"/>
      <c r="G350" s="499"/>
      <c r="H350" s="492"/>
      <c r="I350" s="855">
        <f>IFERROR(IFERROR(INDEX('Fixture and LED Schedule'!D:D,MATCH(F350,'Fixture and LED Schedule'!C:C,""),1),F350),"")</f>
        <v>0</v>
      </c>
      <c r="J350" s="855" t="str">
        <f>IFERROR(IF(PRJ_Type="New Construction",H350,INDEX(yControl_Code,MATCH(Inventory!H350,yControlTypes,0),1)),"")</f>
        <v/>
      </c>
      <c r="K350" s="493"/>
      <c r="L350" s="501"/>
      <c r="M350" s="502"/>
      <c r="N350" s="855">
        <f>IFERROR(IFERROR(INDEX('Fixture and LED Schedule'!D:D,MATCH(K350,'Fixture and LED Schedule'!C:C,0),1),K350),"")</f>
        <v>0</v>
      </c>
      <c r="O350" s="858" t="str">
        <f>IFERROR(INDEX(yControl_Code,MATCH(Inventory!M350,yControlTypes,0),1),"")</f>
        <v/>
      </c>
      <c r="P350" s="860" t="str">
        <f>'Lighting Inventory (Ref only)'!AG353</f>
        <v/>
      </c>
      <c r="Q350" s="861" t="str">
        <f>'Lighting Inventory (Ref only)'!AF353</f>
        <v/>
      </c>
      <c r="R350" s="856" t="str">
        <f t="shared" si="11"/>
        <v/>
      </c>
      <c r="S350" s="856" t="str">
        <f>IFERROR(ROUND(R350*'Project Info and Summary'!$J$5/'Project Info and Summary'!$L$5,2),"")</f>
        <v/>
      </c>
    </row>
    <row r="351" spans="1:19" ht="30" customHeight="1">
      <c r="A351" s="948"/>
      <c r="B351" s="496">
        <f t="shared" si="10"/>
        <v>342</v>
      </c>
      <c r="C351" s="864"/>
      <c r="D351" s="505"/>
      <c r="E351" s="866"/>
      <c r="F351" s="498"/>
      <c r="G351" s="499"/>
      <c r="H351" s="492"/>
      <c r="I351" s="855">
        <f>IFERROR(IFERROR(INDEX('Fixture and LED Schedule'!D:D,MATCH(F351,'Fixture and LED Schedule'!C:C,""),1),F351),"")</f>
        <v>0</v>
      </c>
      <c r="J351" s="855" t="str">
        <f>IFERROR(IF(PRJ_Type="New Construction",H351,INDEX(yControl_Code,MATCH(Inventory!H351,yControlTypes,0),1)),"")</f>
        <v/>
      </c>
      <c r="K351" s="493"/>
      <c r="L351" s="501"/>
      <c r="M351" s="502"/>
      <c r="N351" s="855">
        <f>IFERROR(IFERROR(INDEX('Fixture and LED Schedule'!D:D,MATCH(K351,'Fixture and LED Schedule'!C:C,0),1),K351),"")</f>
        <v>0</v>
      </c>
      <c r="O351" s="858" t="str">
        <f>IFERROR(INDEX(yControl_Code,MATCH(Inventory!M351,yControlTypes,0),1),"")</f>
        <v/>
      </c>
      <c r="P351" s="860" t="str">
        <f>'Lighting Inventory (Ref only)'!AG354</f>
        <v/>
      </c>
      <c r="Q351" s="861" t="str">
        <f>'Lighting Inventory (Ref only)'!AF354</f>
        <v/>
      </c>
      <c r="R351" s="856" t="str">
        <f t="shared" si="11"/>
        <v/>
      </c>
      <c r="S351" s="856" t="str">
        <f>IFERROR(ROUND(R351*'Project Info and Summary'!$J$5/'Project Info and Summary'!$L$5,2),"")</f>
        <v/>
      </c>
    </row>
    <row r="352" spans="1:19" ht="30" customHeight="1">
      <c r="A352" s="948"/>
      <c r="B352" s="496">
        <f t="shared" si="10"/>
        <v>343</v>
      </c>
      <c r="C352" s="864"/>
      <c r="D352" s="505"/>
      <c r="E352" s="866"/>
      <c r="F352" s="498"/>
      <c r="G352" s="499"/>
      <c r="H352" s="492"/>
      <c r="I352" s="855">
        <f>IFERROR(IFERROR(INDEX('Fixture and LED Schedule'!D:D,MATCH(F352,'Fixture and LED Schedule'!C:C,""),1),F352),"")</f>
        <v>0</v>
      </c>
      <c r="J352" s="855" t="str">
        <f>IFERROR(IF(PRJ_Type="New Construction",H352,INDEX(yControl_Code,MATCH(Inventory!H352,yControlTypes,0),1)),"")</f>
        <v/>
      </c>
      <c r="K352" s="493"/>
      <c r="L352" s="501"/>
      <c r="M352" s="502"/>
      <c r="N352" s="855">
        <f>IFERROR(IFERROR(INDEX('Fixture and LED Schedule'!D:D,MATCH(K352,'Fixture and LED Schedule'!C:C,0),1),K352),"")</f>
        <v>0</v>
      </c>
      <c r="O352" s="858" t="str">
        <f>IFERROR(INDEX(yControl_Code,MATCH(Inventory!M352,yControlTypes,0),1),"")</f>
        <v/>
      </c>
      <c r="P352" s="860" t="str">
        <f>'Lighting Inventory (Ref only)'!AG355</f>
        <v/>
      </c>
      <c r="Q352" s="861" t="str">
        <f>'Lighting Inventory (Ref only)'!AF355</f>
        <v/>
      </c>
      <c r="R352" s="856" t="str">
        <f t="shared" si="11"/>
        <v/>
      </c>
      <c r="S352" s="856" t="str">
        <f>IFERROR(ROUND(R352*'Project Info and Summary'!$J$5/'Project Info and Summary'!$L$5,2),"")</f>
        <v/>
      </c>
    </row>
    <row r="353" spans="1:19" ht="30" customHeight="1">
      <c r="A353" s="948"/>
      <c r="B353" s="496">
        <f t="shared" si="10"/>
        <v>344</v>
      </c>
      <c r="C353" s="864"/>
      <c r="D353" s="505"/>
      <c r="E353" s="866"/>
      <c r="F353" s="498"/>
      <c r="G353" s="499"/>
      <c r="H353" s="492"/>
      <c r="I353" s="855">
        <f>IFERROR(IFERROR(INDEX('Fixture and LED Schedule'!D:D,MATCH(F353,'Fixture and LED Schedule'!C:C,""),1),F353),"")</f>
        <v>0</v>
      </c>
      <c r="J353" s="855" t="str">
        <f>IFERROR(IF(PRJ_Type="New Construction",H353,INDEX(yControl_Code,MATCH(Inventory!H353,yControlTypes,0),1)),"")</f>
        <v/>
      </c>
      <c r="K353" s="493"/>
      <c r="L353" s="501"/>
      <c r="M353" s="502"/>
      <c r="N353" s="855">
        <f>IFERROR(IFERROR(INDEX('Fixture and LED Schedule'!D:D,MATCH(K353,'Fixture and LED Schedule'!C:C,0),1),K353),"")</f>
        <v>0</v>
      </c>
      <c r="O353" s="858" t="str">
        <f>IFERROR(INDEX(yControl_Code,MATCH(Inventory!M353,yControlTypes,0),1),"")</f>
        <v/>
      </c>
      <c r="P353" s="860" t="str">
        <f>'Lighting Inventory (Ref only)'!AG356</f>
        <v/>
      </c>
      <c r="Q353" s="861" t="str">
        <f>'Lighting Inventory (Ref only)'!AF356</f>
        <v/>
      </c>
      <c r="R353" s="856" t="str">
        <f t="shared" si="11"/>
        <v/>
      </c>
      <c r="S353" s="856" t="str">
        <f>IFERROR(ROUND(R353*'Project Info and Summary'!$J$5/'Project Info and Summary'!$L$5,2),"")</f>
        <v/>
      </c>
    </row>
    <row r="354" spans="1:19" ht="30" customHeight="1">
      <c r="A354" s="948"/>
      <c r="B354" s="496">
        <f t="shared" si="10"/>
        <v>345</v>
      </c>
      <c r="C354" s="864"/>
      <c r="D354" s="505"/>
      <c r="E354" s="866"/>
      <c r="F354" s="498"/>
      <c r="G354" s="499"/>
      <c r="H354" s="492"/>
      <c r="I354" s="855">
        <f>IFERROR(IFERROR(INDEX('Fixture and LED Schedule'!D:D,MATCH(F354,'Fixture and LED Schedule'!C:C,""),1),F354),"")</f>
        <v>0</v>
      </c>
      <c r="J354" s="855" t="str">
        <f>IFERROR(IF(PRJ_Type="New Construction",H354,INDEX(yControl_Code,MATCH(Inventory!H354,yControlTypes,0),1)),"")</f>
        <v/>
      </c>
      <c r="K354" s="493"/>
      <c r="L354" s="501"/>
      <c r="M354" s="502"/>
      <c r="N354" s="855">
        <f>IFERROR(IFERROR(INDEX('Fixture and LED Schedule'!D:D,MATCH(K354,'Fixture and LED Schedule'!C:C,0),1),K354),"")</f>
        <v>0</v>
      </c>
      <c r="O354" s="858" t="str">
        <f>IFERROR(INDEX(yControl_Code,MATCH(Inventory!M354,yControlTypes,0),1),"")</f>
        <v/>
      </c>
      <c r="P354" s="860" t="str">
        <f>'Lighting Inventory (Ref only)'!AG357</f>
        <v/>
      </c>
      <c r="Q354" s="861" t="str">
        <f>'Lighting Inventory (Ref only)'!AF357</f>
        <v/>
      </c>
      <c r="R354" s="856" t="str">
        <f t="shared" si="11"/>
        <v/>
      </c>
      <c r="S354" s="856" t="str">
        <f>IFERROR(ROUND(R354*'Project Info and Summary'!$J$5/'Project Info and Summary'!$L$5,2),"")</f>
        <v/>
      </c>
    </row>
    <row r="355" spans="1:19" ht="30" customHeight="1">
      <c r="A355" s="948"/>
      <c r="B355" s="496">
        <f t="shared" si="10"/>
        <v>346</v>
      </c>
      <c r="C355" s="864"/>
      <c r="D355" s="505"/>
      <c r="E355" s="866"/>
      <c r="F355" s="498"/>
      <c r="G355" s="499"/>
      <c r="H355" s="492"/>
      <c r="I355" s="855">
        <f>IFERROR(IFERROR(INDEX('Fixture and LED Schedule'!D:D,MATCH(F355,'Fixture and LED Schedule'!C:C,""),1),F355),"")</f>
        <v>0</v>
      </c>
      <c r="J355" s="855" t="str">
        <f>IFERROR(IF(PRJ_Type="New Construction",H355,INDEX(yControl_Code,MATCH(Inventory!H355,yControlTypes,0),1)),"")</f>
        <v/>
      </c>
      <c r="K355" s="493"/>
      <c r="L355" s="501"/>
      <c r="M355" s="502"/>
      <c r="N355" s="855">
        <f>IFERROR(IFERROR(INDEX('Fixture and LED Schedule'!D:D,MATCH(K355,'Fixture and LED Schedule'!C:C,0),1),K355),"")</f>
        <v>0</v>
      </c>
      <c r="O355" s="858" t="str">
        <f>IFERROR(INDEX(yControl_Code,MATCH(Inventory!M355,yControlTypes,0),1),"")</f>
        <v/>
      </c>
      <c r="P355" s="860" t="str">
        <f>'Lighting Inventory (Ref only)'!AG358</f>
        <v/>
      </c>
      <c r="Q355" s="861" t="str">
        <f>'Lighting Inventory (Ref only)'!AF358</f>
        <v/>
      </c>
      <c r="R355" s="856" t="str">
        <f t="shared" si="11"/>
        <v/>
      </c>
      <c r="S355" s="856" t="str">
        <f>IFERROR(ROUND(R355*'Project Info and Summary'!$J$5/'Project Info and Summary'!$L$5,2),"")</f>
        <v/>
      </c>
    </row>
    <row r="356" spans="1:19" ht="30" customHeight="1">
      <c r="A356" s="948"/>
      <c r="B356" s="496">
        <f t="shared" si="10"/>
        <v>347</v>
      </c>
      <c r="C356" s="864"/>
      <c r="D356" s="505"/>
      <c r="E356" s="866"/>
      <c r="F356" s="498"/>
      <c r="G356" s="499"/>
      <c r="H356" s="492"/>
      <c r="I356" s="855">
        <f>IFERROR(IFERROR(INDEX('Fixture and LED Schedule'!D:D,MATCH(F356,'Fixture and LED Schedule'!C:C,""),1),F356),"")</f>
        <v>0</v>
      </c>
      <c r="J356" s="855" t="str">
        <f>IFERROR(IF(PRJ_Type="New Construction",H356,INDEX(yControl_Code,MATCH(Inventory!H356,yControlTypes,0),1)),"")</f>
        <v/>
      </c>
      <c r="K356" s="493"/>
      <c r="L356" s="501"/>
      <c r="M356" s="502"/>
      <c r="N356" s="855">
        <f>IFERROR(IFERROR(INDEX('Fixture and LED Schedule'!D:D,MATCH(K356,'Fixture and LED Schedule'!C:C,0),1),K356),"")</f>
        <v>0</v>
      </c>
      <c r="O356" s="858" t="str">
        <f>IFERROR(INDEX(yControl_Code,MATCH(Inventory!M356,yControlTypes,0),1),"")</f>
        <v/>
      </c>
      <c r="P356" s="860" t="str">
        <f>'Lighting Inventory (Ref only)'!AG359</f>
        <v/>
      </c>
      <c r="Q356" s="861" t="str">
        <f>'Lighting Inventory (Ref only)'!AF359</f>
        <v/>
      </c>
      <c r="R356" s="856" t="str">
        <f t="shared" si="11"/>
        <v/>
      </c>
      <c r="S356" s="856" t="str">
        <f>IFERROR(ROUND(R356*'Project Info and Summary'!$J$5/'Project Info and Summary'!$L$5,2),"")</f>
        <v/>
      </c>
    </row>
    <row r="357" spans="1:19" ht="30" customHeight="1">
      <c r="A357" s="948"/>
      <c r="B357" s="496">
        <f t="shared" si="10"/>
        <v>348</v>
      </c>
      <c r="C357" s="864"/>
      <c r="D357" s="505"/>
      <c r="E357" s="866"/>
      <c r="F357" s="498"/>
      <c r="G357" s="499"/>
      <c r="H357" s="492"/>
      <c r="I357" s="855">
        <f>IFERROR(IFERROR(INDEX('Fixture and LED Schedule'!D:D,MATCH(F357,'Fixture and LED Schedule'!C:C,""),1),F357),"")</f>
        <v>0</v>
      </c>
      <c r="J357" s="855" t="str">
        <f>IFERROR(IF(PRJ_Type="New Construction",H357,INDEX(yControl_Code,MATCH(Inventory!H357,yControlTypes,0),1)),"")</f>
        <v/>
      </c>
      <c r="K357" s="493"/>
      <c r="L357" s="501"/>
      <c r="M357" s="502"/>
      <c r="N357" s="855">
        <f>IFERROR(IFERROR(INDEX('Fixture and LED Schedule'!D:D,MATCH(K357,'Fixture and LED Schedule'!C:C,0),1),K357),"")</f>
        <v>0</v>
      </c>
      <c r="O357" s="858" t="str">
        <f>IFERROR(INDEX(yControl_Code,MATCH(Inventory!M357,yControlTypes,0),1),"")</f>
        <v/>
      </c>
      <c r="P357" s="860" t="str">
        <f>'Lighting Inventory (Ref only)'!AG360</f>
        <v/>
      </c>
      <c r="Q357" s="861" t="str">
        <f>'Lighting Inventory (Ref only)'!AF360</f>
        <v/>
      </c>
      <c r="R357" s="856" t="str">
        <f t="shared" si="11"/>
        <v/>
      </c>
      <c r="S357" s="856" t="str">
        <f>IFERROR(ROUND(R357*'Project Info and Summary'!$J$5/'Project Info and Summary'!$L$5,2),"")</f>
        <v/>
      </c>
    </row>
    <row r="358" spans="1:19" ht="30" customHeight="1">
      <c r="A358" s="948"/>
      <c r="B358" s="496">
        <f t="shared" si="10"/>
        <v>349</v>
      </c>
      <c r="C358" s="864"/>
      <c r="D358" s="505"/>
      <c r="E358" s="866"/>
      <c r="F358" s="498"/>
      <c r="G358" s="499"/>
      <c r="H358" s="492"/>
      <c r="I358" s="855">
        <f>IFERROR(IFERROR(INDEX('Fixture and LED Schedule'!D:D,MATCH(F358,'Fixture and LED Schedule'!C:C,""),1),F358),"")</f>
        <v>0</v>
      </c>
      <c r="J358" s="855" t="str">
        <f>IFERROR(IF(PRJ_Type="New Construction",H358,INDEX(yControl_Code,MATCH(Inventory!H358,yControlTypes,0),1)),"")</f>
        <v/>
      </c>
      <c r="K358" s="493"/>
      <c r="L358" s="501"/>
      <c r="M358" s="502"/>
      <c r="N358" s="855">
        <f>IFERROR(IFERROR(INDEX('Fixture and LED Schedule'!D:D,MATCH(K358,'Fixture and LED Schedule'!C:C,0),1),K358),"")</f>
        <v>0</v>
      </c>
      <c r="O358" s="858" t="str">
        <f>IFERROR(INDEX(yControl_Code,MATCH(Inventory!M358,yControlTypes,0),1),"")</f>
        <v/>
      </c>
      <c r="P358" s="860" t="str">
        <f>'Lighting Inventory (Ref only)'!AG361</f>
        <v/>
      </c>
      <c r="Q358" s="861" t="str">
        <f>'Lighting Inventory (Ref only)'!AF361</f>
        <v/>
      </c>
      <c r="R358" s="856" t="str">
        <f t="shared" si="11"/>
        <v/>
      </c>
      <c r="S358" s="856" t="str">
        <f>IFERROR(ROUND(R358*'Project Info and Summary'!$J$5/'Project Info and Summary'!$L$5,2),"")</f>
        <v/>
      </c>
    </row>
    <row r="359" spans="1:19" ht="30" customHeight="1">
      <c r="A359" s="948"/>
      <c r="B359" s="496">
        <f t="shared" si="10"/>
        <v>350</v>
      </c>
      <c r="C359" s="864"/>
      <c r="D359" s="505"/>
      <c r="E359" s="866"/>
      <c r="F359" s="498"/>
      <c r="G359" s="499"/>
      <c r="H359" s="492"/>
      <c r="I359" s="855">
        <f>IFERROR(IFERROR(INDEX('Fixture and LED Schedule'!D:D,MATCH(F359,'Fixture and LED Schedule'!C:C,""),1),F359),"")</f>
        <v>0</v>
      </c>
      <c r="J359" s="855" t="str">
        <f>IFERROR(IF(PRJ_Type="New Construction",H359,INDEX(yControl_Code,MATCH(Inventory!H359,yControlTypes,0),1)),"")</f>
        <v/>
      </c>
      <c r="K359" s="493"/>
      <c r="L359" s="501"/>
      <c r="M359" s="502"/>
      <c r="N359" s="855">
        <f>IFERROR(IFERROR(INDEX('Fixture and LED Schedule'!D:D,MATCH(K359,'Fixture and LED Schedule'!C:C,0),1),K359),"")</f>
        <v>0</v>
      </c>
      <c r="O359" s="858" t="str">
        <f>IFERROR(INDEX(yControl_Code,MATCH(Inventory!M359,yControlTypes,0),1),"")</f>
        <v/>
      </c>
      <c r="P359" s="860" t="str">
        <f>'Lighting Inventory (Ref only)'!AG362</f>
        <v/>
      </c>
      <c r="Q359" s="861" t="str">
        <f>'Lighting Inventory (Ref only)'!AF362</f>
        <v/>
      </c>
      <c r="R359" s="856" t="str">
        <f t="shared" si="11"/>
        <v/>
      </c>
      <c r="S359" s="856" t="str">
        <f>IFERROR(ROUND(R359*'Project Info and Summary'!$J$5/'Project Info and Summary'!$L$5,2),"")</f>
        <v/>
      </c>
    </row>
    <row r="360" spans="1:19" ht="30" customHeight="1">
      <c r="A360" s="948"/>
      <c r="B360" s="496">
        <f t="shared" si="10"/>
        <v>351</v>
      </c>
      <c r="C360" s="864"/>
      <c r="D360" s="505"/>
      <c r="E360" s="866"/>
      <c r="F360" s="498"/>
      <c r="G360" s="499"/>
      <c r="H360" s="492"/>
      <c r="I360" s="855">
        <f>IFERROR(IFERROR(INDEX('Fixture and LED Schedule'!D:D,MATCH(F360,'Fixture and LED Schedule'!C:C,""),1),F360),"")</f>
        <v>0</v>
      </c>
      <c r="J360" s="855" t="str">
        <f>IFERROR(IF(PRJ_Type="New Construction",H360,INDEX(yControl_Code,MATCH(Inventory!H360,yControlTypes,0),1)),"")</f>
        <v/>
      </c>
      <c r="K360" s="493"/>
      <c r="L360" s="501"/>
      <c r="M360" s="502"/>
      <c r="N360" s="855">
        <f>IFERROR(IFERROR(INDEX('Fixture and LED Schedule'!D:D,MATCH(K360,'Fixture and LED Schedule'!C:C,0),1),K360),"")</f>
        <v>0</v>
      </c>
      <c r="O360" s="858" t="str">
        <f>IFERROR(INDEX(yControl_Code,MATCH(Inventory!M360,yControlTypes,0),1),"")</f>
        <v/>
      </c>
      <c r="P360" s="860" t="str">
        <f>'Lighting Inventory (Ref only)'!AG363</f>
        <v/>
      </c>
      <c r="Q360" s="861" t="str">
        <f>'Lighting Inventory (Ref only)'!AF363</f>
        <v/>
      </c>
      <c r="R360" s="856" t="str">
        <f t="shared" si="11"/>
        <v/>
      </c>
      <c r="S360" s="856" t="str">
        <f>IFERROR(ROUND(R360*'Project Info and Summary'!$J$5/'Project Info and Summary'!$L$5,2),"")</f>
        <v/>
      </c>
    </row>
    <row r="361" spans="1:19" ht="30" customHeight="1">
      <c r="A361" s="948"/>
      <c r="B361" s="496">
        <f t="shared" si="10"/>
        <v>352</v>
      </c>
      <c r="C361" s="864"/>
      <c r="D361" s="505"/>
      <c r="E361" s="866"/>
      <c r="F361" s="498"/>
      <c r="G361" s="499"/>
      <c r="H361" s="492"/>
      <c r="I361" s="855">
        <f>IFERROR(IFERROR(INDEX('Fixture and LED Schedule'!D:D,MATCH(F361,'Fixture and LED Schedule'!C:C,""),1),F361),"")</f>
        <v>0</v>
      </c>
      <c r="J361" s="855" t="str">
        <f>IFERROR(IF(PRJ_Type="New Construction",H361,INDEX(yControl_Code,MATCH(Inventory!H361,yControlTypes,0),1)),"")</f>
        <v/>
      </c>
      <c r="K361" s="493"/>
      <c r="L361" s="501"/>
      <c r="M361" s="502"/>
      <c r="N361" s="855">
        <f>IFERROR(IFERROR(INDEX('Fixture and LED Schedule'!D:D,MATCH(K361,'Fixture and LED Schedule'!C:C,0),1),K361),"")</f>
        <v>0</v>
      </c>
      <c r="O361" s="858" t="str">
        <f>IFERROR(INDEX(yControl_Code,MATCH(Inventory!M361,yControlTypes,0),1),"")</f>
        <v/>
      </c>
      <c r="P361" s="860" t="str">
        <f>'Lighting Inventory (Ref only)'!AG364</f>
        <v/>
      </c>
      <c r="Q361" s="861" t="str">
        <f>'Lighting Inventory (Ref only)'!AF364</f>
        <v/>
      </c>
      <c r="R361" s="856" t="str">
        <f t="shared" si="11"/>
        <v/>
      </c>
      <c r="S361" s="856" t="str">
        <f>IFERROR(ROUND(R361*'Project Info and Summary'!$J$5/'Project Info and Summary'!$L$5,2),"")</f>
        <v/>
      </c>
    </row>
    <row r="362" spans="1:19" ht="30" customHeight="1">
      <c r="A362" s="948"/>
      <c r="B362" s="496">
        <f t="shared" si="10"/>
        <v>353</v>
      </c>
      <c r="C362" s="864"/>
      <c r="D362" s="505"/>
      <c r="E362" s="866"/>
      <c r="F362" s="498"/>
      <c r="G362" s="499"/>
      <c r="H362" s="492"/>
      <c r="I362" s="855">
        <f>IFERROR(IFERROR(INDEX('Fixture and LED Schedule'!D:D,MATCH(F362,'Fixture and LED Schedule'!C:C,""),1),F362),"")</f>
        <v>0</v>
      </c>
      <c r="J362" s="855" t="str">
        <f>IFERROR(IF(PRJ_Type="New Construction",H362,INDEX(yControl_Code,MATCH(Inventory!H362,yControlTypes,0),1)),"")</f>
        <v/>
      </c>
      <c r="K362" s="493"/>
      <c r="L362" s="501"/>
      <c r="M362" s="502"/>
      <c r="N362" s="855">
        <f>IFERROR(IFERROR(INDEX('Fixture and LED Schedule'!D:D,MATCH(K362,'Fixture and LED Schedule'!C:C,0),1),K362),"")</f>
        <v>0</v>
      </c>
      <c r="O362" s="858" t="str">
        <f>IFERROR(INDEX(yControl_Code,MATCH(Inventory!M362,yControlTypes,0),1),"")</f>
        <v/>
      </c>
      <c r="P362" s="860" t="str">
        <f>'Lighting Inventory (Ref only)'!AG365</f>
        <v/>
      </c>
      <c r="Q362" s="861" t="str">
        <f>'Lighting Inventory (Ref only)'!AF365</f>
        <v/>
      </c>
      <c r="R362" s="856" t="str">
        <f t="shared" si="11"/>
        <v/>
      </c>
      <c r="S362" s="856" t="str">
        <f>IFERROR(ROUND(R362*'Project Info and Summary'!$J$5/'Project Info and Summary'!$L$5,2),"")</f>
        <v/>
      </c>
    </row>
    <row r="363" spans="1:19" ht="30" customHeight="1">
      <c r="A363" s="948"/>
      <c r="B363" s="496">
        <f t="shared" si="10"/>
        <v>354</v>
      </c>
      <c r="C363" s="864"/>
      <c r="D363" s="505"/>
      <c r="E363" s="866"/>
      <c r="F363" s="498"/>
      <c r="G363" s="499"/>
      <c r="H363" s="492"/>
      <c r="I363" s="855">
        <f>IFERROR(IFERROR(INDEX('Fixture and LED Schedule'!D:D,MATCH(F363,'Fixture and LED Schedule'!C:C,""),1),F363),"")</f>
        <v>0</v>
      </c>
      <c r="J363" s="855" t="str">
        <f>IFERROR(IF(PRJ_Type="New Construction",H363,INDEX(yControl_Code,MATCH(Inventory!H363,yControlTypes,0),1)),"")</f>
        <v/>
      </c>
      <c r="K363" s="493"/>
      <c r="L363" s="501"/>
      <c r="M363" s="502"/>
      <c r="N363" s="855">
        <f>IFERROR(IFERROR(INDEX('Fixture and LED Schedule'!D:D,MATCH(K363,'Fixture and LED Schedule'!C:C,0),1),K363),"")</f>
        <v>0</v>
      </c>
      <c r="O363" s="858" t="str">
        <f>IFERROR(INDEX(yControl_Code,MATCH(Inventory!M363,yControlTypes,0),1),"")</f>
        <v/>
      </c>
      <c r="P363" s="860" t="str">
        <f>'Lighting Inventory (Ref only)'!AG366</f>
        <v/>
      </c>
      <c r="Q363" s="861" t="str">
        <f>'Lighting Inventory (Ref only)'!AF366</f>
        <v/>
      </c>
      <c r="R363" s="856" t="str">
        <f t="shared" si="11"/>
        <v/>
      </c>
      <c r="S363" s="856" t="str">
        <f>IFERROR(ROUND(R363*'Project Info and Summary'!$J$5/'Project Info and Summary'!$L$5,2),"")</f>
        <v/>
      </c>
    </row>
    <row r="364" spans="1:19" ht="30" customHeight="1">
      <c r="A364" s="948"/>
      <c r="B364" s="496">
        <f t="shared" si="10"/>
        <v>355</v>
      </c>
      <c r="C364" s="864"/>
      <c r="D364" s="505"/>
      <c r="E364" s="866"/>
      <c r="F364" s="498"/>
      <c r="G364" s="499"/>
      <c r="H364" s="492"/>
      <c r="I364" s="855">
        <f>IFERROR(IFERROR(INDEX('Fixture and LED Schedule'!D:D,MATCH(F364,'Fixture and LED Schedule'!C:C,""),1),F364),"")</f>
        <v>0</v>
      </c>
      <c r="J364" s="855" t="str">
        <f>IFERROR(IF(PRJ_Type="New Construction",H364,INDEX(yControl_Code,MATCH(Inventory!H364,yControlTypes,0),1)),"")</f>
        <v/>
      </c>
      <c r="K364" s="493"/>
      <c r="L364" s="501"/>
      <c r="M364" s="502"/>
      <c r="N364" s="855">
        <f>IFERROR(IFERROR(INDEX('Fixture and LED Schedule'!D:D,MATCH(K364,'Fixture and LED Schedule'!C:C,0),1),K364),"")</f>
        <v>0</v>
      </c>
      <c r="O364" s="858" t="str">
        <f>IFERROR(INDEX(yControl_Code,MATCH(Inventory!M364,yControlTypes,0),1),"")</f>
        <v/>
      </c>
      <c r="P364" s="860" t="str">
        <f>'Lighting Inventory (Ref only)'!AG367</f>
        <v/>
      </c>
      <c r="Q364" s="861" t="str">
        <f>'Lighting Inventory (Ref only)'!AF367</f>
        <v/>
      </c>
      <c r="R364" s="856" t="str">
        <f t="shared" si="11"/>
        <v/>
      </c>
      <c r="S364" s="856" t="str">
        <f>IFERROR(ROUND(R364*'Project Info and Summary'!$J$5/'Project Info and Summary'!$L$5,2),"")</f>
        <v/>
      </c>
    </row>
    <row r="365" spans="1:19" ht="30" customHeight="1">
      <c r="A365" s="948"/>
      <c r="B365" s="496">
        <f t="shared" si="10"/>
        <v>356</v>
      </c>
      <c r="C365" s="864"/>
      <c r="D365" s="505"/>
      <c r="E365" s="866"/>
      <c r="F365" s="498"/>
      <c r="G365" s="499"/>
      <c r="H365" s="492"/>
      <c r="I365" s="855">
        <f>IFERROR(IFERROR(INDEX('Fixture and LED Schedule'!D:D,MATCH(F365,'Fixture and LED Schedule'!C:C,""),1),F365),"")</f>
        <v>0</v>
      </c>
      <c r="J365" s="855" t="str">
        <f>IFERROR(IF(PRJ_Type="New Construction",H365,INDEX(yControl_Code,MATCH(Inventory!H365,yControlTypes,0),1)),"")</f>
        <v/>
      </c>
      <c r="K365" s="493"/>
      <c r="L365" s="501"/>
      <c r="M365" s="502"/>
      <c r="N365" s="855">
        <f>IFERROR(IFERROR(INDEX('Fixture and LED Schedule'!D:D,MATCH(K365,'Fixture and LED Schedule'!C:C,0),1),K365),"")</f>
        <v>0</v>
      </c>
      <c r="O365" s="858" t="str">
        <f>IFERROR(INDEX(yControl_Code,MATCH(Inventory!M365,yControlTypes,0),1),"")</f>
        <v/>
      </c>
      <c r="P365" s="860" t="str">
        <f>'Lighting Inventory (Ref only)'!AG368</f>
        <v/>
      </c>
      <c r="Q365" s="861" t="str">
        <f>'Lighting Inventory (Ref only)'!AF368</f>
        <v/>
      </c>
      <c r="R365" s="856" t="str">
        <f t="shared" si="11"/>
        <v/>
      </c>
      <c r="S365" s="856" t="str">
        <f>IFERROR(ROUND(R365*'Project Info and Summary'!$J$5/'Project Info and Summary'!$L$5,2),"")</f>
        <v/>
      </c>
    </row>
    <row r="366" spans="1:19" ht="30" customHeight="1">
      <c r="A366" s="948"/>
      <c r="B366" s="496">
        <f t="shared" si="10"/>
        <v>357</v>
      </c>
      <c r="C366" s="864"/>
      <c r="D366" s="505"/>
      <c r="E366" s="866"/>
      <c r="F366" s="498"/>
      <c r="G366" s="499"/>
      <c r="H366" s="492"/>
      <c r="I366" s="855">
        <f>IFERROR(IFERROR(INDEX('Fixture and LED Schedule'!D:D,MATCH(F366,'Fixture and LED Schedule'!C:C,""),1),F366),"")</f>
        <v>0</v>
      </c>
      <c r="J366" s="855" t="str">
        <f>IFERROR(IF(PRJ_Type="New Construction",H366,INDEX(yControl_Code,MATCH(Inventory!H366,yControlTypes,0),1)),"")</f>
        <v/>
      </c>
      <c r="K366" s="493"/>
      <c r="L366" s="501"/>
      <c r="M366" s="502"/>
      <c r="N366" s="855">
        <f>IFERROR(IFERROR(INDEX('Fixture and LED Schedule'!D:D,MATCH(K366,'Fixture and LED Schedule'!C:C,0),1),K366),"")</f>
        <v>0</v>
      </c>
      <c r="O366" s="858" t="str">
        <f>IFERROR(INDEX(yControl_Code,MATCH(Inventory!M366,yControlTypes,0),1),"")</f>
        <v/>
      </c>
      <c r="P366" s="860" t="str">
        <f>'Lighting Inventory (Ref only)'!AG369</f>
        <v/>
      </c>
      <c r="Q366" s="861" t="str">
        <f>'Lighting Inventory (Ref only)'!AF369</f>
        <v/>
      </c>
      <c r="R366" s="856" t="str">
        <f t="shared" si="11"/>
        <v/>
      </c>
      <c r="S366" s="856" t="str">
        <f>IFERROR(ROUND(R366*'Project Info and Summary'!$J$5/'Project Info and Summary'!$L$5,2),"")</f>
        <v/>
      </c>
    </row>
    <row r="367" spans="1:19" ht="30" customHeight="1">
      <c r="A367" s="948"/>
      <c r="B367" s="496">
        <f t="shared" si="10"/>
        <v>358</v>
      </c>
      <c r="C367" s="864"/>
      <c r="D367" s="505"/>
      <c r="E367" s="866"/>
      <c r="F367" s="498"/>
      <c r="G367" s="499"/>
      <c r="H367" s="492"/>
      <c r="I367" s="855">
        <f>IFERROR(IFERROR(INDEX('Fixture and LED Schedule'!D:D,MATCH(F367,'Fixture and LED Schedule'!C:C,""),1),F367),"")</f>
        <v>0</v>
      </c>
      <c r="J367" s="855" t="str">
        <f>IFERROR(IF(PRJ_Type="New Construction",H367,INDEX(yControl_Code,MATCH(Inventory!H367,yControlTypes,0),1)),"")</f>
        <v/>
      </c>
      <c r="K367" s="493"/>
      <c r="L367" s="501"/>
      <c r="M367" s="502"/>
      <c r="N367" s="855">
        <f>IFERROR(IFERROR(INDEX('Fixture and LED Schedule'!D:D,MATCH(K367,'Fixture and LED Schedule'!C:C,0),1),K367),"")</f>
        <v>0</v>
      </c>
      <c r="O367" s="858" t="str">
        <f>IFERROR(INDEX(yControl_Code,MATCH(Inventory!M367,yControlTypes,0),1),"")</f>
        <v/>
      </c>
      <c r="P367" s="860" t="str">
        <f>'Lighting Inventory (Ref only)'!AG370</f>
        <v/>
      </c>
      <c r="Q367" s="861" t="str">
        <f>'Lighting Inventory (Ref only)'!AF370</f>
        <v/>
      </c>
      <c r="R367" s="856" t="str">
        <f t="shared" si="11"/>
        <v/>
      </c>
      <c r="S367" s="856" t="str">
        <f>IFERROR(ROUND(R367*'Project Info and Summary'!$J$5/'Project Info and Summary'!$L$5,2),"")</f>
        <v/>
      </c>
    </row>
    <row r="368" spans="1:19" ht="30" customHeight="1">
      <c r="A368" s="948"/>
      <c r="B368" s="496">
        <f t="shared" si="10"/>
        <v>359</v>
      </c>
      <c r="C368" s="864"/>
      <c r="D368" s="505"/>
      <c r="E368" s="866"/>
      <c r="F368" s="498"/>
      <c r="G368" s="499"/>
      <c r="H368" s="492"/>
      <c r="I368" s="855">
        <f>IFERROR(IFERROR(INDEX('Fixture and LED Schedule'!D:D,MATCH(F368,'Fixture and LED Schedule'!C:C,""),1),F368),"")</f>
        <v>0</v>
      </c>
      <c r="J368" s="855" t="str">
        <f>IFERROR(IF(PRJ_Type="New Construction",H368,INDEX(yControl_Code,MATCH(Inventory!H368,yControlTypes,0),1)),"")</f>
        <v/>
      </c>
      <c r="K368" s="493"/>
      <c r="L368" s="501"/>
      <c r="M368" s="502"/>
      <c r="N368" s="855">
        <f>IFERROR(IFERROR(INDEX('Fixture and LED Schedule'!D:D,MATCH(K368,'Fixture and LED Schedule'!C:C,0),1),K368),"")</f>
        <v>0</v>
      </c>
      <c r="O368" s="858" t="str">
        <f>IFERROR(INDEX(yControl_Code,MATCH(Inventory!M368,yControlTypes,0),1),"")</f>
        <v/>
      </c>
      <c r="P368" s="860" t="str">
        <f>'Lighting Inventory (Ref only)'!AG371</f>
        <v/>
      </c>
      <c r="Q368" s="861" t="str">
        <f>'Lighting Inventory (Ref only)'!AF371</f>
        <v/>
      </c>
      <c r="R368" s="856" t="str">
        <f t="shared" si="11"/>
        <v/>
      </c>
      <c r="S368" s="856" t="str">
        <f>IFERROR(ROUND(R368*'Project Info and Summary'!$J$5/'Project Info and Summary'!$L$5,2),"")</f>
        <v/>
      </c>
    </row>
    <row r="369" spans="1:19" ht="30" customHeight="1">
      <c r="A369" s="948"/>
      <c r="B369" s="496">
        <f t="shared" si="10"/>
        <v>360</v>
      </c>
      <c r="C369" s="864"/>
      <c r="D369" s="505"/>
      <c r="E369" s="866"/>
      <c r="F369" s="498"/>
      <c r="G369" s="499"/>
      <c r="H369" s="492"/>
      <c r="I369" s="855">
        <f>IFERROR(IFERROR(INDEX('Fixture and LED Schedule'!D:D,MATCH(F369,'Fixture and LED Schedule'!C:C,""),1),F369),"")</f>
        <v>0</v>
      </c>
      <c r="J369" s="855" t="str">
        <f>IFERROR(IF(PRJ_Type="New Construction",H369,INDEX(yControl_Code,MATCH(Inventory!H369,yControlTypes,0),1)),"")</f>
        <v/>
      </c>
      <c r="K369" s="493"/>
      <c r="L369" s="501"/>
      <c r="M369" s="502"/>
      <c r="N369" s="855">
        <f>IFERROR(IFERROR(INDEX('Fixture and LED Schedule'!D:D,MATCH(K369,'Fixture and LED Schedule'!C:C,0),1),K369),"")</f>
        <v>0</v>
      </c>
      <c r="O369" s="858" t="str">
        <f>IFERROR(INDEX(yControl_Code,MATCH(Inventory!M369,yControlTypes,0),1),"")</f>
        <v/>
      </c>
      <c r="P369" s="860" t="str">
        <f>'Lighting Inventory (Ref only)'!AG372</f>
        <v/>
      </c>
      <c r="Q369" s="861" t="str">
        <f>'Lighting Inventory (Ref only)'!AF372</f>
        <v/>
      </c>
      <c r="R369" s="856" t="str">
        <f t="shared" si="11"/>
        <v/>
      </c>
      <c r="S369" s="856" t="str">
        <f>IFERROR(ROUND(R369*'Project Info and Summary'!$J$5/'Project Info and Summary'!$L$5,2),"")</f>
        <v/>
      </c>
    </row>
    <row r="370" spans="1:19" ht="30" customHeight="1">
      <c r="A370" s="948"/>
      <c r="B370" s="496">
        <f t="shared" si="10"/>
        <v>361</v>
      </c>
      <c r="C370" s="864"/>
      <c r="D370" s="505"/>
      <c r="E370" s="866"/>
      <c r="F370" s="498"/>
      <c r="G370" s="499"/>
      <c r="H370" s="492"/>
      <c r="I370" s="855">
        <f>IFERROR(IFERROR(INDEX('Fixture and LED Schedule'!D:D,MATCH(F370,'Fixture and LED Schedule'!C:C,""),1),F370),"")</f>
        <v>0</v>
      </c>
      <c r="J370" s="855" t="str">
        <f>IFERROR(IF(PRJ_Type="New Construction",H370,INDEX(yControl_Code,MATCH(Inventory!H370,yControlTypes,0),1)),"")</f>
        <v/>
      </c>
      <c r="K370" s="493"/>
      <c r="L370" s="501"/>
      <c r="M370" s="502"/>
      <c r="N370" s="855">
        <f>IFERROR(IFERROR(INDEX('Fixture and LED Schedule'!D:D,MATCH(K370,'Fixture and LED Schedule'!C:C,0),1),K370),"")</f>
        <v>0</v>
      </c>
      <c r="O370" s="858" t="str">
        <f>IFERROR(INDEX(yControl_Code,MATCH(Inventory!M370,yControlTypes,0),1),"")</f>
        <v/>
      </c>
      <c r="P370" s="860" t="str">
        <f>'Lighting Inventory (Ref only)'!AG373</f>
        <v/>
      </c>
      <c r="Q370" s="861" t="str">
        <f>'Lighting Inventory (Ref only)'!AF373</f>
        <v/>
      </c>
      <c r="R370" s="856" t="str">
        <f t="shared" si="11"/>
        <v/>
      </c>
      <c r="S370" s="856" t="str">
        <f>IFERROR(ROUND(R370*'Project Info and Summary'!$J$5/'Project Info and Summary'!$L$5,2),"")</f>
        <v/>
      </c>
    </row>
    <row r="371" spans="1:19" ht="30" customHeight="1">
      <c r="A371" s="948"/>
      <c r="B371" s="496">
        <f t="shared" si="10"/>
        <v>362</v>
      </c>
      <c r="C371" s="864"/>
      <c r="D371" s="505"/>
      <c r="E371" s="866"/>
      <c r="F371" s="498"/>
      <c r="G371" s="499"/>
      <c r="H371" s="492"/>
      <c r="I371" s="855">
        <f>IFERROR(IFERROR(INDEX('Fixture and LED Schedule'!D:D,MATCH(F371,'Fixture and LED Schedule'!C:C,""),1),F371),"")</f>
        <v>0</v>
      </c>
      <c r="J371" s="855" t="str">
        <f>IFERROR(IF(PRJ_Type="New Construction",H371,INDEX(yControl_Code,MATCH(Inventory!H371,yControlTypes,0),1)),"")</f>
        <v/>
      </c>
      <c r="K371" s="493"/>
      <c r="L371" s="501"/>
      <c r="M371" s="502"/>
      <c r="N371" s="855">
        <f>IFERROR(IFERROR(INDEX('Fixture and LED Schedule'!D:D,MATCH(K371,'Fixture and LED Schedule'!C:C,0),1),K371),"")</f>
        <v>0</v>
      </c>
      <c r="O371" s="858" t="str">
        <f>IFERROR(INDEX(yControl_Code,MATCH(Inventory!M371,yControlTypes,0),1),"")</f>
        <v/>
      </c>
      <c r="P371" s="860" t="str">
        <f>'Lighting Inventory (Ref only)'!AG374</f>
        <v/>
      </c>
      <c r="Q371" s="861" t="str">
        <f>'Lighting Inventory (Ref only)'!AF374</f>
        <v/>
      </c>
      <c r="R371" s="856" t="str">
        <f t="shared" si="11"/>
        <v/>
      </c>
      <c r="S371" s="856" t="str">
        <f>IFERROR(ROUND(R371*'Project Info and Summary'!$J$5/'Project Info and Summary'!$L$5,2),"")</f>
        <v/>
      </c>
    </row>
    <row r="372" spans="1:19" ht="30" customHeight="1">
      <c r="A372" s="948"/>
      <c r="B372" s="496">
        <f t="shared" si="10"/>
        <v>363</v>
      </c>
      <c r="C372" s="864"/>
      <c r="D372" s="505"/>
      <c r="E372" s="866"/>
      <c r="F372" s="498"/>
      <c r="G372" s="499"/>
      <c r="H372" s="492"/>
      <c r="I372" s="855">
        <f>IFERROR(IFERROR(INDEX('Fixture and LED Schedule'!D:D,MATCH(F372,'Fixture and LED Schedule'!C:C,""),1),F372),"")</f>
        <v>0</v>
      </c>
      <c r="J372" s="855" t="str">
        <f>IFERROR(IF(PRJ_Type="New Construction",H372,INDEX(yControl_Code,MATCH(Inventory!H372,yControlTypes,0),1)),"")</f>
        <v/>
      </c>
      <c r="K372" s="493"/>
      <c r="L372" s="501"/>
      <c r="M372" s="502"/>
      <c r="N372" s="855">
        <f>IFERROR(IFERROR(INDEX('Fixture and LED Schedule'!D:D,MATCH(K372,'Fixture and LED Schedule'!C:C,0),1),K372),"")</f>
        <v>0</v>
      </c>
      <c r="O372" s="858" t="str">
        <f>IFERROR(INDEX(yControl_Code,MATCH(Inventory!M372,yControlTypes,0),1),"")</f>
        <v/>
      </c>
      <c r="P372" s="860" t="str">
        <f>'Lighting Inventory (Ref only)'!AG375</f>
        <v/>
      </c>
      <c r="Q372" s="861" t="str">
        <f>'Lighting Inventory (Ref only)'!AF375</f>
        <v/>
      </c>
      <c r="R372" s="856" t="str">
        <f t="shared" si="11"/>
        <v/>
      </c>
      <c r="S372" s="856" t="str">
        <f>IFERROR(ROUND(R372*'Project Info and Summary'!$J$5/'Project Info and Summary'!$L$5,2),"")</f>
        <v/>
      </c>
    </row>
    <row r="373" spans="1:19" ht="30" customHeight="1">
      <c r="A373" s="948"/>
      <c r="B373" s="496">
        <f t="shared" si="10"/>
        <v>364</v>
      </c>
      <c r="C373" s="864"/>
      <c r="D373" s="505"/>
      <c r="E373" s="866"/>
      <c r="F373" s="498"/>
      <c r="G373" s="499"/>
      <c r="H373" s="492"/>
      <c r="I373" s="855">
        <f>IFERROR(IFERROR(INDEX('Fixture and LED Schedule'!D:D,MATCH(F373,'Fixture and LED Schedule'!C:C,""),1),F373),"")</f>
        <v>0</v>
      </c>
      <c r="J373" s="855" t="str">
        <f>IFERROR(IF(PRJ_Type="New Construction",H373,INDEX(yControl_Code,MATCH(Inventory!H373,yControlTypes,0),1)),"")</f>
        <v/>
      </c>
      <c r="K373" s="493"/>
      <c r="L373" s="501"/>
      <c r="M373" s="502"/>
      <c r="N373" s="855">
        <f>IFERROR(IFERROR(INDEX('Fixture and LED Schedule'!D:D,MATCH(K373,'Fixture and LED Schedule'!C:C,0),1),K373),"")</f>
        <v>0</v>
      </c>
      <c r="O373" s="858" t="str">
        <f>IFERROR(INDEX(yControl_Code,MATCH(Inventory!M373,yControlTypes,0),1),"")</f>
        <v/>
      </c>
      <c r="P373" s="860" t="str">
        <f>'Lighting Inventory (Ref only)'!AG376</f>
        <v/>
      </c>
      <c r="Q373" s="861" t="str">
        <f>'Lighting Inventory (Ref only)'!AF376</f>
        <v/>
      </c>
      <c r="R373" s="856" t="str">
        <f t="shared" si="11"/>
        <v/>
      </c>
      <c r="S373" s="856" t="str">
        <f>IFERROR(ROUND(R373*'Project Info and Summary'!$J$5/'Project Info and Summary'!$L$5,2),"")</f>
        <v/>
      </c>
    </row>
    <row r="374" spans="1:19" ht="30" customHeight="1">
      <c r="A374" s="948"/>
      <c r="B374" s="496">
        <f t="shared" si="10"/>
        <v>365</v>
      </c>
      <c r="C374" s="864"/>
      <c r="D374" s="505"/>
      <c r="E374" s="866"/>
      <c r="F374" s="498"/>
      <c r="G374" s="499"/>
      <c r="H374" s="492"/>
      <c r="I374" s="855">
        <f>IFERROR(IFERROR(INDEX('Fixture and LED Schedule'!D:D,MATCH(F374,'Fixture and LED Schedule'!C:C,""),1),F374),"")</f>
        <v>0</v>
      </c>
      <c r="J374" s="855" t="str">
        <f>IFERROR(IF(PRJ_Type="New Construction",H374,INDEX(yControl_Code,MATCH(Inventory!H374,yControlTypes,0),1)),"")</f>
        <v/>
      </c>
      <c r="K374" s="493"/>
      <c r="L374" s="501"/>
      <c r="M374" s="502"/>
      <c r="N374" s="855">
        <f>IFERROR(IFERROR(INDEX('Fixture and LED Schedule'!D:D,MATCH(K374,'Fixture and LED Schedule'!C:C,0),1),K374),"")</f>
        <v>0</v>
      </c>
      <c r="O374" s="858" t="str">
        <f>IFERROR(INDEX(yControl_Code,MATCH(Inventory!M374,yControlTypes,0),1),"")</f>
        <v/>
      </c>
      <c r="P374" s="860" t="str">
        <f>'Lighting Inventory (Ref only)'!AG377</f>
        <v/>
      </c>
      <c r="Q374" s="861" t="str">
        <f>'Lighting Inventory (Ref only)'!AF377</f>
        <v/>
      </c>
      <c r="R374" s="856" t="str">
        <f t="shared" si="11"/>
        <v/>
      </c>
      <c r="S374" s="856" t="str">
        <f>IFERROR(ROUND(R374*'Project Info and Summary'!$J$5/'Project Info and Summary'!$L$5,2),"")</f>
        <v/>
      </c>
    </row>
    <row r="375" spans="1:19" ht="30" customHeight="1">
      <c r="A375" s="948"/>
      <c r="B375" s="496">
        <f t="shared" si="10"/>
        <v>366</v>
      </c>
      <c r="C375" s="864"/>
      <c r="D375" s="505"/>
      <c r="E375" s="866"/>
      <c r="F375" s="498"/>
      <c r="G375" s="499"/>
      <c r="H375" s="492"/>
      <c r="I375" s="855">
        <f>IFERROR(IFERROR(INDEX('Fixture and LED Schedule'!D:D,MATCH(F375,'Fixture and LED Schedule'!C:C,""),1),F375),"")</f>
        <v>0</v>
      </c>
      <c r="J375" s="855" t="str">
        <f>IFERROR(IF(PRJ_Type="New Construction",H375,INDEX(yControl_Code,MATCH(Inventory!H375,yControlTypes,0),1)),"")</f>
        <v/>
      </c>
      <c r="K375" s="493"/>
      <c r="L375" s="501"/>
      <c r="M375" s="502"/>
      <c r="N375" s="855">
        <f>IFERROR(IFERROR(INDEX('Fixture and LED Schedule'!D:D,MATCH(K375,'Fixture and LED Schedule'!C:C,0),1),K375),"")</f>
        <v>0</v>
      </c>
      <c r="O375" s="858" t="str">
        <f>IFERROR(INDEX(yControl_Code,MATCH(Inventory!M375,yControlTypes,0),1),"")</f>
        <v/>
      </c>
      <c r="P375" s="860" t="str">
        <f>'Lighting Inventory (Ref only)'!AG378</f>
        <v/>
      </c>
      <c r="Q375" s="861" t="str">
        <f>'Lighting Inventory (Ref only)'!AF378</f>
        <v/>
      </c>
      <c r="R375" s="856" t="str">
        <f t="shared" si="11"/>
        <v/>
      </c>
      <c r="S375" s="856" t="str">
        <f>IFERROR(ROUND(R375*'Project Info and Summary'!$J$5/'Project Info and Summary'!$L$5,2),"")</f>
        <v/>
      </c>
    </row>
    <row r="376" spans="1:19" ht="30" customHeight="1">
      <c r="A376" s="948"/>
      <c r="B376" s="496">
        <f t="shared" si="10"/>
        <v>367</v>
      </c>
      <c r="C376" s="864"/>
      <c r="D376" s="505"/>
      <c r="E376" s="866"/>
      <c r="F376" s="498"/>
      <c r="G376" s="499"/>
      <c r="H376" s="492"/>
      <c r="I376" s="855">
        <f>IFERROR(IFERROR(INDEX('Fixture and LED Schedule'!D:D,MATCH(F376,'Fixture and LED Schedule'!C:C,""),1),F376),"")</f>
        <v>0</v>
      </c>
      <c r="J376" s="855" t="str">
        <f>IFERROR(IF(PRJ_Type="New Construction",H376,INDEX(yControl_Code,MATCH(Inventory!H376,yControlTypes,0),1)),"")</f>
        <v/>
      </c>
      <c r="K376" s="493"/>
      <c r="L376" s="501"/>
      <c r="M376" s="502"/>
      <c r="N376" s="855">
        <f>IFERROR(IFERROR(INDEX('Fixture and LED Schedule'!D:D,MATCH(K376,'Fixture and LED Schedule'!C:C,0),1),K376),"")</f>
        <v>0</v>
      </c>
      <c r="O376" s="858" t="str">
        <f>IFERROR(INDEX(yControl_Code,MATCH(Inventory!M376,yControlTypes,0),1),"")</f>
        <v/>
      </c>
      <c r="P376" s="860" t="str">
        <f>'Lighting Inventory (Ref only)'!AG379</f>
        <v/>
      </c>
      <c r="Q376" s="861" t="str">
        <f>'Lighting Inventory (Ref only)'!AF379</f>
        <v/>
      </c>
      <c r="R376" s="856" t="str">
        <f t="shared" si="11"/>
        <v/>
      </c>
      <c r="S376" s="856" t="str">
        <f>IFERROR(ROUND(R376*'Project Info and Summary'!$J$5/'Project Info and Summary'!$L$5,2),"")</f>
        <v/>
      </c>
    </row>
    <row r="377" spans="1:19" ht="30" customHeight="1">
      <c r="A377" s="948"/>
      <c r="B377" s="496">
        <f t="shared" si="10"/>
        <v>368</v>
      </c>
      <c r="C377" s="864"/>
      <c r="D377" s="505"/>
      <c r="E377" s="866"/>
      <c r="F377" s="498"/>
      <c r="G377" s="499"/>
      <c r="H377" s="492"/>
      <c r="I377" s="855">
        <f>IFERROR(IFERROR(INDEX('Fixture and LED Schedule'!D:D,MATCH(F377,'Fixture and LED Schedule'!C:C,""),1),F377),"")</f>
        <v>0</v>
      </c>
      <c r="J377" s="855" t="str">
        <f>IFERROR(IF(PRJ_Type="New Construction",H377,INDEX(yControl_Code,MATCH(Inventory!H377,yControlTypes,0),1)),"")</f>
        <v/>
      </c>
      <c r="K377" s="493"/>
      <c r="L377" s="501"/>
      <c r="M377" s="502"/>
      <c r="N377" s="855">
        <f>IFERROR(IFERROR(INDEX('Fixture and LED Schedule'!D:D,MATCH(K377,'Fixture and LED Schedule'!C:C,0),1),K377),"")</f>
        <v>0</v>
      </c>
      <c r="O377" s="858" t="str">
        <f>IFERROR(INDEX(yControl_Code,MATCH(Inventory!M377,yControlTypes,0),1),"")</f>
        <v/>
      </c>
      <c r="P377" s="860" t="str">
        <f>'Lighting Inventory (Ref only)'!AG380</f>
        <v/>
      </c>
      <c r="Q377" s="861" t="str">
        <f>'Lighting Inventory (Ref only)'!AF380</f>
        <v/>
      </c>
      <c r="R377" s="856" t="str">
        <f t="shared" si="11"/>
        <v/>
      </c>
      <c r="S377" s="856" t="str">
        <f>IFERROR(ROUND(R377*'Project Info and Summary'!$J$5/'Project Info and Summary'!$L$5,2),"")</f>
        <v/>
      </c>
    </row>
    <row r="378" spans="1:19" ht="30" customHeight="1">
      <c r="A378" s="948"/>
      <c r="B378" s="496">
        <f t="shared" si="10"/>
        <v>369</v>
      </c>
      <c r="C378" s="864"/>
      <c r="D378" s="505"/>
      <c r="E378" s="866"/>
      <c r="F378" s="498"/>
      <c r="G378" s="499"/>
      <c r="H378" s="492"/>
      <c r="I378" s="855">
        <f>IFERROR(IFERROR(INDEX('Fixture and LED Schedule'!D:D,MATCH(F378,'Fixture and LED Schedule'!C:C,""),1),F378),"")</f>
        <v>0</v>
      </c>
      <c r="J378" s="855" t="str">
        <f>IFERROR(IF(PRJ_Type="New Construction",H378,INDEX(yControl_Code,MATCH(Inventory!H378,yControlTypes,0),1)),"")</f>
        <v/>
      </c>
      <c r="K378" s="493"/>
      <c r="L378" s="501"/>
      <c r="M378" s="502"/>
      <c r="N378" s="855">
        <f>IFERROR(IFERROR(INDEX('Fixture and LED Schedule'!D:D,MATCH(K378,'Fixture and LED Schedule'!C:C,0),1),K378),"")</f>
        <v>0</v>
      </c>
      <c r="O378" s="858" t="str">
        <f>IFERROR(INDEX(yControl_Code,MATCH(Inventory!M378,yControlTypes,0),1),"")</f>
        <v/>
      </c>
      <c r="P378" s="860" t="str">
        <f>'Lighting Inventory (Ref only)'!AG381</f>
        <v/>
      </c>
      <c r="Q378" s="861" t="str">
        <f>'Lighting Inventory (Ref only)'!AF381</f>
        <v/>
      </c>
      <c r="R378" s="856" t="str">
        <f t="shared" si="11"/>
        <v/>
      </c>
      <c r="S378" s="856" t="str">
        <f>IFERROR(ROUND(R378*'Project Info and Summary'!$J$5/'Project Info and Summary'!$L$5,2),"")</f>
        <v/>
      </c>
    </row>
    <row r="379" spans="1:19" ht="30" customHeight="1">
      <c r="A379" s="948"/>
      <c r="B379" s="496">
        <f t="shared" si="10"/>
        <v>370</v>
      </c>
      <c r="C379" s="864"/>
      <c r="D379" s="505"/>
      <c r="E379" s="866"/>
      <c r="F379" s="498"/>
      <c r="G379" s="499"/>
      <c r="H379" s="492"/>
      <c r="I379" s="855">
        <f>IFERROR(IFERROR(INDEX('Fixture and LED Schedule'!D:D,MATCH(F379,'Fixture and LED Schedule'!C:C,""),1),F379),"")</f>
        <v>0</v>
      </c>
      <c r="J379" s="855" t="str">
        <f>IFERROR(IF(PRJ_Type="New Construction",H379,INDEX(yControl_Code,MATCH(Inventory!H379,yControlTypes,0),1)),"")</f>
        <v/>
      </c>
      <c r="K379" s="493"/>
      <c r="L379" s="501"/>
      <c r="M379" s="502"/>
      <c r="N379" s="855">
        <f>IFERROR(IFERROR(INDEX('Fixture and LED Schedule'!D:D,MATCH(K379,'Fixture and LED Schedule'!C:C,0),1),K379),"")</f>
        <v>0</v>
      </c>
      <c r="O379" s="858" t="str">
        <f>IFERROR(INDEX(yControl_Code,MATCH(Inventory!M379,yControlTypes,0),1),"")</f>
        <v/>
      </c>
      <c r="P379" s="860" t="str">
        <f>'Lighting Inventory (Ref only)'!AG382</f>
        <v/>
      </c>
      <c r="Q379" s="861" t="str">
        <f>'Lighting Inventory (Ref only)'!AF382</f>
        <v/>
      </c>
      <c r="R379" s="856" t="str">
        <f t="shared" si="11"/>
        <v/>
      </c>
      <c r="S379" s="856" t="str">
        <f>IFERROR(ROUND(R379*'Project Info and Summary'!$J$5/'Project Info and Summary'!$L$5,2),"")</f>
        <v/>
      </c>
    </row>
    <row r="380" spans="1:19" ht="30" customHeight="1">
      <c r="A380" s="948"/>
      <c r="B380" s="496">
        <f t="shared" si="10"/>
        <v>371</v>
      </c>
      <c r="C380" s="864"/>
      <c r="D380" s="505"/>
      <c r="E380" s="866"/>
      <c r="F380" s="498"/>
      <c r="G380" s="499"/>
      <c r="H380" s="492"/>
      <c r="I380" s="855">
        <f>IFERROR(IFERROR(INDEX('Fixture and LED Schedule'!D:D,MATCH(F380,'Fixture and LED Schedule'!C:C,""),1),F380),"")</f>
        <v>0</v>
      </c>
      <c r="J380" s="855" t="str">
        <f>IFERROR(IF(PRJ_Type="New Construction",H380,INDEX(yControl_Code,MATCH(Inventory!H380,yControlTypes,0),1)),"")</f>
        <v/>
      </c>
      <c r="K380" s="493"/>
      <c r="L380" s="501"/>
      <c r="M380" s="502"/>
      <c r="N380" s="855">
        <f>IFERROR(IFERROR(INDEX('Fixture and LED Schedule'!D:D,MATCH(K380,'Fixture and LED Schedule'!C:C,0),1),K380),"")</f>
        <v>0</v>
      </c>
      <c r="O380" s="858" t="str">
        <f>IFERROR(INDEX(yControl_Code,MATCH(Inventory!M380,yControlTypes,0),1),"")</f>
        <v/>
      </c>
      <c r="P380" s="860" t="str">
        <f>'Lighting Inventory (Ref only)'!AG383</f>
        <v/>
      </c>
      <c r="Q380" s="861" t="str">
        <f>'Lighting Inventory (Ref only)'!AF383</f>
        <v/>
      </c>
      <c r="R380" s="856" t="str">
        <f t="shared" si="11"/>
        <v/>
      </c>
      <c r="S380" s="856" t="str">
        <f>IFERROR(ROUND(R380*'Project Info and Summary'!$J$5/'Project Info and Summary'!$L$5,2),"")</f>
        <v/>
      </c>
    </row>
    <row r="381" spans="1:19" ht="30" customHeight="1">
      <c r="A381" s="948"/>
      <c r="B381" s="496">
        <f t="shared" ref="B381:B444" si="12">B380+1</f>
        <v>372</v>
      </c>
      <c r="C381" s="864"/>
      <c r="D381" s="505"/>
      <c r="E381" s="866"/>
      <c r="F381" s="498"/>
      <c r="G381" s="499"/>
      <c r="H381" s="492"/>
      <c r="I381" s="855">
        <f>IFERROR(IFERROR(INDEX('Fixture and LED Schedule'!D:D,MATCH(F381,'Fixture and LED Schedule'!C:C,""),1),F381),"")</f>
        <v>0</v>
      </c>
      <c r="J381" s="855" t="str">
        <f>IFERROR(IF(PRJ_Type="New Construction",H381,INDEX(yControl_Code,MATCH(Inventory!H381,yControlTypes,0),1)),"")</f>
        <v/>
      </c>
      <c r="K381" s="493"/>
      <c r="L381" s="501"/>
      <c r="M381" s="502"/>
      <c r="N381" s="855">
        <f>IFERROR(IFERROR(INDEX('Fixture and LED Schedule'!D:D,MATCH(K381,'Fixture and LED Schedule'!C:C,0),1),K381),"")</f>
        <v>0</v>
      </c>
      <c r="O381" s="858" t="str">
        <f>IFERROR(INDEX(yControl_Code,MATCH(Inventory!M381,yControlTypes,0),1),"")</f>
        <v/>
      </c>
      <c r="P381" s="860" t="str">
        <f>'Lighting Inventory (Ref only)'!AG384</f>
        <v/>
      </c>
      <c r="Q381" s="861" t="str">
        <f>'Lighting Inventory (Ref only)'!AF384</f>
        <v/>
      </c>
      <c r="R381" s="856" t="str">
        <f t="shared" si="11"/>
        <v/>
      </c>
      <c r="S381" s="856" t="str">
        <f>IFERROR(ROUND(R381*'Project Info and Summary'!$J$5/'Project Info and Summary'!$L$5,2),"")</f>
        <v/>
      </c>
    </row>
    <row r="382" spans="1:19" ht="30" customHeight="1">
      <c r="A382" s="948"/>
      <c r="B382" s="496">
        <f t="shared" si="12"/>
        <v>373</v>
      </c>
      <c r="C382" s="864"/>
      <c r="D382" s="505"/>
      <c r="E382" s="866"/>
      <c r="F382" s="498"/>
      <c r="G382" s="499"/>
      <c r="H382" s="492"/>
      <c r="I382" s="855">
        <f>IFERROR(IFERROR(INDEX('Fixture and LED Schedule'!D:D,MATCH(F382,'Fixture and LED Schedule'!C:C,""),1),F382),"")</f>
        <v>0</v>
      </c>
      <c r="J382" s="855" t="str">
        <f>IFERROR(IF(PRJ_Type="New Construction",H382,INDEX(yControl_Code,MATCH(Inventory!H382,yControlTypes,0),1)),"")</f>
        <v/>
      </c>
      <c r="K382" s="493"/>
      <c r="L382" s="501"/>
      <c r="M382" s="502"/>
      <c r="N382" s="855">
        <f>IFERROR(IFERROR(INDEX('Fixture and LED Schedule'!D:D,MATCH(K382,'Fixture and LED Schedule'!C:C,0),1),K382),"")</f>
        <v>0</v>
      </c>
      <c r="O382" s="858" t="str">
        <f>IFERROR(INDEX(yControl_Code,MATCH(Inventory!M382,yControlTypes,0),1),"")</f>
        <v/>
      </c>
      <c r="P382" s="860" t="str">
        <f>'Lighting Inventory (Ref only)'!AG385</f>
        <v/>
      </c>
      <c r="Q382" s="861" t="str">
        <f>'Lighting Inventory (Ref only)'!AF385</f>
        <v/>
      </c>
      <c r="R382" s="856" t="str">
        <f t="shared" si="11"/>
        <v/>
      </c>
      <c r="S382" s="856" t="str">
        <f>IFERROR(ROUND(R382*'Project Info and Summary'!$J$5/'Project Info and Summary'!$L$5,2),"")</f>
        <v/>
      </c>
    </row>
    <row r="383" spans="1:19" ht="30" customHeight="1">
      <c r="A383" s="948"/>
      <c r="B383" s="496">
        <f t="shared" si="12"/>
        <v>374</v>
      </c>
      <c r="C383" s="864"/>
      <c r="D383" s="505"/>
      <c r="E383" s="866"/>
      <c r="F383" s="498"/>
      <c r="G383" s="499"/>
      <c r="H383" s="492"/>
      <c r="I383" s="855">
        <f>IFERROR(IFERROR(INDEX('Fixture and LED Schedule'!D:D,MATCH(F383,'Fixture and LED Schedule'!C:C,""),1),F383),"")</f>
        <v>0</v>
      </c>
      <c r="J383" s="855" t="str">
        <f>IFERROR(IF(PRJ_Type="New Construction",H383,INDEX(yControl_Code,MATCH(Inventory!H383,yControlTypes,0),1)),"")</f>
        <v/>
      </c>
      <c r="K383" s="493"/>
      <c r="L383" s="501"/>
      <c r="M383" s="502"/>
      <c r="N383" s="855">
        <f>IFERROR(IFERROR(INDEX('Fixture and LED Schedule'!D:D,MATCH(K383,'Fixture and LED Schedule'!C:C,0),1),K383),"")</f>
        <v>0</v>
      </c>
      <c r="O383" s="858" t="str">
        <f>IFERROR(INDEX(yControl_Code,MATCH(Inventory!M383,yControlTypes,0),1),"")</f>
        <v/>
      </c>
      <c r="P383" s="860" t="str">
        <f>'Lighting Inventory (Ref only)'!AG386</f>
        <v/>
      </c>
      <c r="Q383" s="861" t="str">
        <f>'Lighting Inventory (Ref only)'!AF386</f>
        <v/>
      </c>
      <c r="R383" s="856" t="str">
        <f t="shared" si="11"/>
        <v/>
      </c>
      <c r="S383" s="856" t="str">
        <f>IFERROR(ROUND(R383*'Project Info and Summary'!$J$5/'Project Info and Summary'!$L$5,2),"")</f>
        <v/>
      </c>
    </row>
    <row r="384" spans="1:19" ht="30" customHeight="1">
      <c r="A384" s="948"/>
      <c r="B384" s="496">
        <f t="shared" si="12"/>
        <v>375</v>
      </c>
      <c r="C384" s="864"/>
      <c r="D384" s="505"/>
      <c r="E384" s="866"/>
      <c r="F384" s="498"/>
      <c r="G384" s="499"/>
      <c r="H384" s="492"/>
      <c r="I384" s="855">
        <f>IFERROR(IFERROR(INDEX('Fixture and LED Schedule'!D:D,MATCH(F384,'Fixture and LED Schedule'!C:C,""),1),F384),"")</f>
        <v>0</v>
      </c>
      <c r="J384" s="855" t="str">
        <f>IFERROR(IF(PRJ_Type="New Construction",H384,INDEX(yControl_Code,MATCH(Inventory!H384,yControlTypes,0),1)),"")</f>
        <v/>
      </c>
      <c r="K384" s="493"/>
      <c r="L384" s="501"/>
      <c r="M384" s="502"/>
      <c r="N384" s="855">
        <f>IFERROR(IFERROR(INDEX('Fixture and LED Schedule'!D:D,MATCH(K384,'Fixture and LED Schedule'!C:C,0),1),K384),"")</f>
        <v>0</v>
      </c>
      <c r="O384" s="858" t="str">
        <f>IFERROR(INDEX(yControl_Code,MATCH(Inventory!M384,yControlTypes,0),1),"")</f>
        <v/>
      </c>
      <c r="P384" s="860" t="str">
        <f>'Lighting Inventory (Ref only)'!AG387</f>
        <v/>
      </c>
      <c r="Q384" s="861" t="str">
        <f>'Lighting Inventory (Ref only)'!AF387</f>
        <v/>
      </c>
      <c r="R384" s="856" t="str">
        <f t="shared" si="11"/>
        <v/>
      </c>
      <c r="S384" s="856" t="str">
        <f>IFERROR(ROUND(R384*'Project Info and Summary'!$J$5/'Project Info and Summary'!$L$5,2),"")</f>
        <v/>
      </c>
    </row>
    <row r="385" spans="1:19" ht="30" customHeight="1">
      <c r="A385" s="948"/>
      <c r="B385" s="496">
        <f t="shared" si="12"/>
        <v>376</v>
      </c>
      <c r="C385" s="864"/>
      <c r="D385" s="505"/>
      <c r="E385" s="866"/>
      <c r="F385" s="498"/>
      <c r="G385" s="499"/>
      <c r="H385" s="492"/>
      <c r="I385" s="855">
        <f>IFERROR(IFERROR(INDEX('Fixture and LED Schedule'!D:D,MATCH(F385,'Fixture and LED Schedule'!C:C,""),1),F385),"")</f>
        <v>0</v>
      </c>
      <c r="J385" s="855" t="str">
        <f>IFERROR(IF(PRJ_Type="New Construction",H385,INDEX(yControl_Code,MATCH(Inventory!H385,yControlTypes,0),1)),"")</f>
        <v/>
      </c>
      <c r="K385" s="493"/>
      <c r="L385" s="501"/>
      <c r="M385" s="502"/>
      <c r="N385" s="855">
        <f>IFERROR(IFERROR(INDEX('Fixture and LED Schedule'!D:D,MATCH(K385,'Fixture and LED Schedule'!C:C,0),1),K385),"")</f>
        <v>0</v>
      </c>
      <c r="O385" s="858" t="str">
        <f>IFERROR(INDEX(yControl_Code,MATCH(Inventory!M385,yControlTypes,0),1),"")</f>
        <v/>
      </c>
      <c r="P385" s="860" t="str">
        <f>'Lighting Inventory (Ref only)'!AG388</f>
        <v/>
      </c>
      <c r="Q385" s="861" t="str">
        <f>'Lighting Inventory (Ref only)'!AF388</f>
        <v/>
      </c>
      <c r="R385" s="856" t="str">
        <f t="shared" si="11"/>
        <v/>
      </c>
      <c r="S385" s="856" t="str">
        <f>IFERROR(ROUND(R385*'Project Info and Summary'!$J$5/'Project Info and Summary'!$L$5,2),"")</f>
        <v/>
      </c>
    </row>
    <row r="386" spans="1:19" ht="30" customHeight="1">
      <c r="A386" s="948"/>
      <c r="B386" s="496">
        <f t="shared" si="12"/>
        <v>377</v>
      </c>
      <c r="C386" s="864"/>
      <c r="D386" s="505"/>
      <c r="E386" s="866"/>
      <c r="F386" s="498"/>
      <c r="G386" s="499"/>
      <c r="H386" s="492"/>
      <c r="I386" s="855">
        <f>IFERROR(IFERROR(INDEX('Fixture and LED Schedule'!D:D,MATCH(F386,'Fixture and LED Schedule'!C:C,""),1),F386),"")</f>
        <v>0</v>
      </c>
      <c r="J386" s="855" t="str">
        <f>IFERROR(IF(PRJ_Type="New Construction",H386,INDEX(yControl_Code,MATCH(Inventory!H386,yControlTypes,0),1)),"")</f>
        <v/>
      </c>
      <c r="K386" s="493"/>
      <c r="L386" s="501"/>
      <c r="M386" s="502"/>
      <c r="N386" s="855">
        <f>IFERROR(IFERROR(INDEX('Fixture and LED Schedule'!D:D,MATCH(K386,'Fixture and LED Schedule'!C:C,0),1),K386),"")</f>
        <v>0</v>
      </c>
      <c r="O386" s="858" t="str">
        <f>IFERROR(INDEX(yControl_Code,MATCH(Inventory!M386,yControlTypes,0),1),"")</f>
        <v/>
      </c>
      <c r="P386" s="860" t="str">
        <f>'Lighting Inventory (Ref only)'!AG389</f>
        <v/>
      </c>
      <c r="Q386" s="861" t="str">
        <f>'Lighting Inventory (Ref only)'!AF389</f>
        <v/>
      </c>
      <c r="R386" s="856" t="str">
        <f t="shared" si="11"/>
        <v/>
      </c>
      <c r="S386" s="856" t="str">
        <f>IFERROR(ROUND(R386*'Project Info and Summary'!$J$5/'Project Info and Summary'!$L$5,2),"")</f>
        <v/>
      </c>
    </row>
    <row r="387" spans="1:19" ht="30" customHeight="1">
      <c r="A387" s="948"/>
      <c r="B387" s="496">
        <f t="shared" si="12"/>
        <v>378</v>
      </c>
      <c r="C387" s="864"/>
      <c r="D387" s="505"/>
      <c r="E387" s="866"/>
      <c r="F387" s="498"/>
      <c r="G387" s="499"/>
      <c r="H387" s="492"/>
      <c r="I387" s="855">
        <f>IFERROR(IFERROR(INDEX('Fixture and LED Schedule'!D:D,MATCH(F387,'Fixture and LED Schedule'!C:C,""),1),F387),"")</f>
        <v>0</v>
      </c>
      <c r="J387" s="855" t="str">
        <f>IFERROR(IF(PRJ_Type="New Construction",H387,INDEX(yControl_Code,MATCH(Inventory!H387,yControlTypes,0),1)),"")</f>
        <v/>
      </c>
      <c r="K387" s="493"/>
      <c r="L387" s="501"/>
      <c r="M387" s="502"/>
      <c r="N387" s="855">
        <f>IFERROR(IFERROR(INDEX('Fixture and LED Schedule'!D:D,MATCH(K387,'Fixture and LED Schedule'!C:C,0),1),K387),"")</f>
        <v>0</v>
      </c>
      <c r="O387" s="858" t="str">
        <f>IFERROR(INDEX(yControl_Code,MATCH(Inventory!M387,yControlTypes,0),1),"")</f>
        <v/>
      </c>
      <c r="P387" s="860" t="str">
        <f>'Lighting Inventory (Ref only)'!AG390</f>
        <v/>
      </c>
      <c r="Q387" s="861" t="str">
        <f>'Lighting Inventory (Ref only)'!AF390</f>
        <v/>
      </c>
      <c r="R387" s="856" t="str">
        <f t="shared" si="11"/>
        <v/>
      </c>
      <c r="S387" s="856" t="str">
        <f>IFERROR(ROUND(R387*'Project Info and Summary'!$J$5/'Project Info and Summary'!$L$5,2),"")</f>
        <v/>
      </c>
    </row>
    <row r="388" spans="1:19" ht="30" customHeight="1">
      <c r="A388" s="948"/>
      <c r="B388" s="496">
        <f t="shared" si="12"/>
        <v>379</v>
      </c>
      <c r="C388" s="864"/>
      <c r="D388" s="505"/>
      <c r="E388" s="866"/>
      <c r="F388" s="498"/>
      <c r="G388" s="499"/>
      <c r="H388" s="492"/>
      <c r="I388" s="855">
        <f>IFERROR(IFERROR(INDEX('Fixture and LED Schedule'!D:D,MATCH(F388,'Fixture and LED Schedule'!C:C,""),1),F388),"")</f>
        <v>0</v>
      </c>
      <c r="J388" s="855" t="str">
        <f>IFERROR(IF(PRJ_Type="New Construction",H388,INDEX(yControl_Code,MATCH(Inventory!H388,yControlTypes,0),1)),"")</f>
        <v/>
      </c>
      <c r="K388" s="493"/>
      <c r="L388" s="501"/>
      <c r="M388" s="502"/>
      <c r="N388" s="855">
        <f>IFERROR(IFERROR(INDEX('Fixture and LED Schedule'!D:D,MATCH(K388,'Fixture and LED Schedule'!C:C,0),1),K388),"")</f>
        <v>0</v>
      </c>
      <c r="O388" s="858" t="str">
        <f>IFERROR(INDEX(yControl_Code,MATCH(Inventory!M388,yControlTypes,0),1),"")</f>
        <v/>
      </c>
      <c r="P388" s="860" t="str">
        <f>'Lighting Inventory (Ref only)'!AG391</f>
        <v/>
      </c>
      <c r="Q388" s="861" t="str">
        <f>'Lighting Inventory (Ref only)'!AF391</f>
        <v/>
      </c>
      <c r="R388" s="856" t="str">
        <f t="shared" si="11"/>
        <v/>
      </c>
      <c r="S388" s="856" t="str">
        <f>IFERROR(ROUND(R388*'Project Info and Summary'!$J$5/'Project Info and Summary'!$L$5,2),"")</f>
        <v/>
      </c>
    </row>
    <row r="389" spans="1:19" ht="30" customHeight="1">
      <c r="A389" s="948"/>
      <c r="B389" s="496">
        <f t="shared" si="12"/>
        <v>380</v>
      </c>
      <c r="C389" s="864"/>
      <c r="D389" s="505"/>
      <c r="E389" s="866"/>
      <c r="F389" s="498"/>
      <c r="G389" s="499"/>
      <c r="H389" s="492"/>
      <c r="I389" s="855">
        <f>IFERROR(IFERROR(INDEX('Fixture and LED Schedule'!D:D,MATCH(F389,'Fixture and LED Schedule'!C:C,""),1),F389),"")</f>
        <v>0</v>
      </c>
      <c r="J389" s="855" t="str">
        <f>IFERROR(IF(PRJ_Type="New Construction",H389,INDEX(yControl_Code,MATCH(Inventory!H389,yControlTypes,0),1)),"")</f>
        <v/>
      </c>
      <c r="K389" s="493"/>
      <c r="L389" s="501"/>
      <c r="M389" s="502"/>
      <c r="N389" s="855">
        <f>IFERROR(IFERROR(INDEX('Fixture and LED Schedule'!D:D,MATCH(K389,'Fixture and LED Schedule'!C:C,0),1),K389),"")</f>
        <v>0</v>
      </c>
      <c r="O389" s="858" t="str">
        <f>IFERROR(INDEX(yControl_Code,MATCH(Inventory!M389,yControlTypes,0),1),"")</f>
        <v/>
      </c>
      <c r="P389" s="860" t="str">
        <f>'Lighting Inventory (Ref only)'!AG392</f>
        <v/>
      </c>
      <c r="Q389" s="861" t="str">
        <f>'Lighting Inventory (Ref only)'!AF392</f>
        <v/>
      </c>
      <c r="R389" s="856" t="str">
        <f t="shared" si="11"/>
        <v/>
      </c>
      <c r="S389" s="856" t="str">
        <f>IFERROR(ROUND(R389*'Project Info and Summary'!$J$5/'Project Info and Summary'!$L$5,2),"")</f>
        <v/>
      </c>
    </row>
    <row r="390" spans="1:19" ht="30" customHeight="1">
      <c r="A390" s="948"/>
      <c r="B390" s="496">
        <f t="shared" si="12"/>
        <v>381</v>
      </c>
      <c r="C390" s="864"/>
      <c r="D390" s="505"/>
      <c r="E390" s="866"/>
      <c r="F390" s="498"/>
      <c r="G390" s="499"/>
      <c r="H390" s="492"/>
      <c r="I390" s="855">
        <f>IFERROR(IFERROR(INDEX('Fixture and LED Schedule'!D:D,MATCH(F390,'Fixture and LED Schedule'!C:C,""),1),F390),"")</f>
        <v>0</v>
      </c>
      <c r="J390" s="855" t="str">
        <f>IFERROR(IF(PRJ_Type="New Construction",H390,INDEX(yControl_Code,MATCH(Inventory!H390,yControlTypes,0),1)),"")</f>
        <v/>
      </c>
      <c r="K390" s="493"/>
      <c r="L390" s="501"/>
      <c r="M390" s="502"/>
      <c r="N390" s="855">
        <f>IFERROR(IFERROR(INDEX('Fixture and LED Schedule'!D:D,MATCH(K390,'Fixture and LED Schedule'!C:C,0),1),K390),"")</f>
        <v>0</v>
      </c>
      <c r="O390" s="858" t="str">
        <f>IFERROR(INDEX(yControl_Code,MATCH(Inventory!M390,yControlTypes,0),1),"")</f>
        <v/>
      </c>
      <c r="P390" s="860" t="str">
        <f>'Lighting Inventory (Ref only)'!AG393</f>
        <v/>
      </c>
      <c r="Q390" s="861" t="str">
        <f>'Lighting Inventory (Ref only)'!AF393</f>
        <v/>
      </c>
      <c r="R390" s="856" t="str">
        <f t="shared" si="11"/>
        <v/>
      </c>
      <c r="S390" s="856" t="str">
        <f>IFERROR(ROUND(R390*'Project Info and Summary'!$J$5/'Project Info and Summary'!$L$5,2),"")</f>
        <v/>
      </c>
    </row>
    <row r="391" spans="1:19" ht="30" customHeight="1">
      <c r="A391" s="948"/>
      <c r="B391" s="496">
        <f t="shared" si="12"/>
        <v>382</v>
      </c>
      <c r="C391" s="864"/>
      <c r="D391" s="505"/>
      <c r="E391" s="866"/>
      <c r="F391" s="498"/>
      <c r="G391" s="499"/>
      <c r="H391" s="492"/>
      <c r="I391" s="855">
        <f>IFERROR(IFERROR(INDEX('Fixture and LED Schedule'!D:D,MATCH(F391,'Fixture and LED Schedule'!C:C,""),1),F391),"")</f>
        <v>0</v>
      </c>
      <c r="J391" s="855" t="str">
        <f>IFERROR(IF(PRJ_Type="New Construction",H391,INDEX(yControl_Code,MATCH(Inventory!H391,yControlTypes,0),1)),"")</f>
        <v/>
      </c>
      <c r="K391" s="493"/>
      <c r="L391" s="501"/>
      <c r="M391" s="502"/>
      <c r="N391" s="855">
        <f>IFERROR(IFERROR(INDEX('Fixture and LED Schedule'!D:D,MATCH(K391,'Fixture and LED Schedule'!C:C,0),1),K391),"")</f>
        <v>0</v>
      </c>
      <c r="O391" s="858" t="str">
        <f>IFERROR(INDEX(yControl_Code,MATCH(Inventory!M391,yControlTypes,0),1),"")</f>
        <v/>
      </c>
      <c r="P391" s="860" t="str">
        <f>'Lighting Inventory (Ref only)'!AG394</f>
        <v/>
      </c>
      <c r="Q391" s="861" t="str">
        <f>'Lighting Inventory (Ref only)'!AF394</f>
        <v/>
      </c>
      <c r="R391" s="856" t="str">
        <f t="shared" si="11"/>
        <v/>
      </c>
      <c r="S391" s="856" t="str">
        <f>IFERROR(ROUND(R391*'Project Info and Summary'!$J$5/'Project Info and Summary'!$L$5,2),"")</f>
        <v/>
      </c>
    </row>
    <row r="392" spans="1:19" ht="30" customHeight="1">
      <c r="A392" s="948"/>
      <c r="B392" s="496">
        <f t="shared" si="12"/>
        <v>383</v>
      </c>
      <c r="C392" s="864"/>
      <c r="D392" s="505"/>
      <c r="E392" s="866"/>
      <c r="F392" s="498"/>
      <c r="G392" s="499"/>
      <c r="H392" s="492"/>
      <c r="I392" s="855">
        <f>IFERROR(IFERROR(INDEX('Fixture and LED Schedule'!D:D,MATCH(F392,'Fixture and LED Schedule'!C:C,""),1),F392),"")</f>
        <v>0</v>
      </c>
      <c r="J392" s="855" t="str">
        <f>IFERROR(IF(PRJ_Type="New Construction",H392,INDEX(yControl_Code,MATCH(Inventory!H392,yControlTypes,0),1)),"")</f>
        <v/>
      </c>
      <c r="K392" s="493"/>
      <c r="L392" s="501"/>
      <c r="M392" s="502"/>
      <c r="N392" s="855">
        <f>IFERROR(IFERROR(INDEX('Fixture and LED Schedule'!D:D,MATCH(K392,'Fixture and LED Schedule'!C:C,0),1),K392),"")</f>
        <v>0</v>
      </c>
      <c r="O392" s="858" t="str">
        <f>IFERROR(INDEX(yControl_Code,MATCH(Inventory!M392,yControlTypes,0),1),"")</f>
        <v/>
      </c>
      <c r="P392" s="860" t="str">
        <f>'Lighting Inventory (Ref only)'!AG395</f>
        <v/>
      </c>
      <c r="Q392" s="861" t="str">
        <f>'Lighting Inventory (Ref only)'!AF395</f>
        <v/>
      </c>
      <c r="R392" s="856" t="str">
        <f t="shared" si="11"/>
        <v/>
      </c>
      <c r="S392" s="856" t="str">
        <f>IFERROR(ROUND(R392*'Project Info and Summary'!$J$5/'Project Info and Summary'!$L$5,2),"")</f>
        <v/>
      </c>
    </row>
    <row r="393" spans="1:19" ht="30" customHeight="1">
      <c r="A393" s="948"/>
      <c r="B393" s="496">
        <f t="shared" si="12"/>
        <v>384</v>
      </c>
      <c r="C393" s="864"/>
      <c r="D393" s="505"/>
      <c r="E393" s="866"/>
      <c r="F393" s="498"/>
      <c r="G393" s="499"/>
      <c r="H393" s="492"/>
      <c r="I393" s="855">
        <f>IFERROR(IFERROR(INDEX('Fixture and LED Schedule'!D:D,MATCH(F393,'Fixture and LED Schedule'!C:C,""),1),F393),"")</f>
        <v>0</v>
      </c>
      <c r="J393" s="855" t="str">
        <f>IFERROR(IF(PRJ_Type="New Construction",H393,INDEX(yControl_Code,MATCH(Inventory!H393,yControlTypes,0),1)),"")</f>
        <v/>
      </c>
      <c r="K393" s="493"/>
      <c r="L393" s="501"/>
      <c r="M393" s="502"/>
      <c r="N393" s="855">
        <f>IFERROR(IFERROR(INDEX('Fixture and LED Schedule'!D:D,MATCH(K393,'Fixture and LED Schedule'!C:C,0),1),K393),"")</f>
        <v>0</v>
      </c>
      <c r="O393" s="858" t="str">
        <f>IFERROR(INDEX(yControl_Code,MATCH(Inventory!M393,yControlTypes,0),1),"")</f>
        <v/>
      </c>
      <c r="P393" s="860" t="str">
        <f>'Lighting Inventory (Ref only)'!AG396</f>
        <v/>
      </c>
      <c r="Q393" s="861" t="str">
        <f>'Lighting Inventory (Ref only)'!AF396</f>
        <v/>
      </c>
      <c r="R393" s="856" t="str">
        <f t="shared" si="11"/>
        <v/>
      </c>
      <c r="S393" s="856" t="str">
        <f>IFERROR(ROUND(R393*'Project Info and Summary'!$J$5/'Project Info and Summary'!$L$5,2),"")</f>
        <v/>
      </c>
    </row>
    <row r="394" spans="1:19" ht="30" customHeight="1">
      <c r="A394" s="948"/>
      <c r="B394" s="496">
        <f t="shared" si="12"/>
        <v>385</v>
      </c>
      <c r="C394" s="864"/>
      <c r="D394" s="505"/>
      <c r="E394" s="866"/>
      <c r="F394" s="498"/>
      <c r="G394" s="499"/>
      <c r="H394" s="492"/>
      <c r="I394" s="855">
        <f>IFERROR(IFERROR(INDEX('Fixture and LED Schedule'!D:D,MATCH(F394,'Fixture and LED Schedule'!C:C,""),1),F394),"")</f>
        <v>0</v>
      </c>
      <c r="J394" s="855" t="str">
        <f>IFERROR(IF(PRJ_Type="New Construction",H394,INDEX(yControl_Code,MATCH(Inventory!H394,yControlTypes,0),1)),"")</f>
        <v/>
      </c>
      <c r="K394" s="493"/>
      <c r="L394" s="501"/>
      <c r="M394" s="502"/>
      <c r="N394" s="855">
        <f>IFERROR(IFERROR(INDEX('Fixture and LED Schedule'!D:D,MATCH(K394,'Fixture and LED Schedule'!C:C,0),1),K394),"")</f>
        <v>0</v>
      </c>
      <c r="O394" s="858" t="str">
        <f>IFERROR(INDEX(yControl_Code,MATCH(Inventory!M394,yControlTypes,0),1),"")</f>
        <v/>
      </c>
      <c r="P394" s="860" t="str">
        <f>'Lighting Inventory (Ref only)'!AG397</f>
        <v/>
      </c>
      <c r="Q394" s="861" t="str">
        <f>'Lighting Inventory (Ref only)'!AF397</f>
        <v/>
      </c>
      <c r="R394" s="856" t="str">
        <f t="shared" si="11"/>
        <v/>
      </c>
      <c r="S394" s="856" t="str">
        <f>IFERROR(ROUND(R394*'Project Info and Summary'!$J$5/'Project Info and Summary'!$L$5,2),"")</f>
        <v/>
      </c>
    </row>
    <row r="395" spans="1:19" ht="30" customHeight="1">
      <c r="A395" s="948"/>
      <c r="B395" s="496">
        <f t="shared" si="12"/>
        <v>386</v>
      </c>
      <c r="C395" s="864"/>
      <c r="D395" s="505"/>
      <c r="E395" s="866"/>
      <c r="F395" s="498"/>
      <c r="G395" s="499"/>
      <c r="H395" s="492"/>
      <c r="I395" s="855">
        <f>IFERROR(IFERROR(INDEX('Fixture and LED Schedule'!D:D,MATCH(F395,'Fixture and LED Schedule'!C:C,""),1),F395),"")</f>
        <v>0</v>
      </c>
      <c r="J395" s="855" t="str">
        <f>IFERROR(IF(PRJ_Type="New Construction",H395,INDEX(yControl_Code,MATCH(Inventory!H395,yControlTypes,0),1)),"")</f>
        <v/>
      </c>
      <c r="K395" s="493"/>
      <c r="L395" s="501"/>
      <c r="M395" s="502"/>
      <c r="N395" s="855">
        <f>IFERROR(IFERROR(INDEX('Fixture and LED Schedule'!D:D,MATCH(K395,'Fixture and LED Schedule'!C:C,0),1),K395),"")</f>
        <v>0</v>
      </c>
      <c r="O395" s="858" t="str">
        <f>IFERROR(INDEX(yControl_Code,MATCH(Inventory!M395,yControlTypes,0),1),"")</f>
        <v/>
      </c>
      <c r="P395" s="860" t="str">
        <f>'Lighting Inventory (Ref only)'!AG398</f>
        <v/>
      </c>
      <c r="Q395" s="861" t="str">
        <f>'Lighting Inventory (Ref only)'!AF398</f>
        <v/>
      </c>
      <c r="R395" s="856" t="str">
        <f t="shared" ref="R395:R458" si="13">IFERROR(P395*0.02+Q395*185,"")</f>
        <v/>
      </c>
      <c r="S395" s="856" t="str">
        <f>IFERROR(ROUND(R395*'Project Info and Summary'!$J$5/'Project Info and Summary'!$L$5,2),"")</f>
        <v/>
      </c>
    </row>
    <row r="396" spans="1:19" ht="30" customHeight="1">
      <c r="A396" s="948"/>
      <c r="B396" s="496">
        <f t="shared" si="12"/>
        <v>387</v>
      </c>
      <c r="C396" s="864"/>
      <c r="D396" s="505"/>
      <c r="E396" s="866"/>
      <c r="F396" s="498"/>
      <c r="G396" s="499"/>
      <c r="H396" s="492"/>
      <c r="I396" s="855">
        <f>IFERROR(IFERROR(INDEX('Fixture and LED Schedule'!D:D,MATCH(F396,'Fixture and LED Schedule'!C:C,""),1),F396),"")</f>
        <v>0</v>
      </c>
      <c r="J396" s="855" t="str">
        <f>IFERROR(IF(PRJ_Type="New Construction",H396,INDEX(yControl_Code,MATCH(Inventory!H396,yControlTypes,0),1)),"")</f>
        <v/>
      </c>
      <c r="K396" s="493"/>
      <c r="L396" s="501"/>
      <c r="M396" s="502"/>
      <c r="N396" s="855">
        <f>IFERROR(IFERROR(INDEX('Fixture and LED Schedule'!D:D,MATCH(K396,'Fixture and LED Schedule'!C:C,0),1),K396),"")</f>
        <v>0</v>
      </c>
      <c r="O396" s="858" t="str">
        <f>IFERROR(INDEX(yControl_Code,MATCH(Inventory!M396,yControlTypes,0),1),"")</f>
        <v/>
      </c>
      <c r="P396" s="860" t="str">
        <f>'Lighting Inventory (Ref only)'!AG399</f>
        <v/>
      </c>
      <c r="Q396" s="861" t="str">
        <f>'Lighting Inventory (Ref only)'!AF399</f>
        <v/>
      </c>
      <c r="R396" s="856" t="str">
        <f t="shared" si="13"/>
        <v/>
      </c>
      <c r="S396" s="856" t="str">
        <f>IFERROR(ROUND(R396*'Project Info and Summary'!$J$5/'Project Info and Summary'!$L$5,2),"")</f>
        <v/>
      </c>
    </row>
    <row r="397" spans="1:19" ht="30" customHeight="1">
      <c r="A397" s="948"/>
      <c r="B397" s="496">
        <f t="shared" si="12"/>
        <v>388</v>
      </c>
      <c r="C397" s="864"/>
      <c r="D397" s="505"/>
      <c r="E397" s="866"/>
      <c r="F397" s="498"/>
      <c r="G397" s="499"/>
      <c r="H397" s="492"/>
      <c r="I397" s="855">
        <f>IFERROR(IFERROR(INDEX('Fixture and LED Schedule'!D:D,MATCH(F397,'Fixture and LED Schedule'!C:C,""),1),F397),"")</f>
        <v>0</v>
      </c>
      <c r="J397" s="855" t="str">
        <f>IFERROR(IF(PRJ_Type="New Construction",H397,INDEX(yControl_Code,MATCH(Inventory!H397,yControlTypes,0),1)),"")</f>
        <v/>
      </c>
      <c r="K397" s="493"/>
      <c r="L397" s="501"/>
      <c r="M397" s="502"/>
      <c r="N397" s="855">
        <f>IFERROR(IFERROR(INDEX('Fixture and LED Schedule'!D:D,MATCH(K397,'Fixture and LED Schedule'!C:C,0),1),K397),"")</f>
        <v>0</v>
      </c>
      <c r="O397" s="858" t="str">
        <f>IFERROR(INDEX(yControl_Code,MATCH(Inventory!M397,yControlTypes,0),1),"")</f>
        <v/>
      </c>
      <c r="P397" s="860" t="str">
        <f>'Lighting Inventory (Ref only)'!AG400</f>
        <v/>
      </c>
      <c r="Q397" s="861" t="str">
        <f>'Lighting Inventory (Ref only)'!AF400</f>
        <v/>
      </c>
      <c r="R397" s="856" t="str">
        <f t="shared" si="13"/>
        <v/>
      </c>
      <c r="S397" s="856" t="str">
        <f>IFERROR(ROUND(R397*'Project Info and Summary'!$J$5/'Project Info and Summary'!$L$5,2),"")</f>
        <v/>
      </c>
    </row>
    <row r="398" spans="1:19" ht="30" customHeight="1">
      <c r="A398" s="948"/>
      <c r="B398" s="496">
        <f t="shared" si="12"/>
        <v>389</v>
      </c>
      <c r="C398" s="864"/>
      <c r="D398" s="505"/>
      <c r="E398" s="866"/>
      <c r="F398" s="498"/>
      <c r="G398" s="499"/>
      <c r="H398" s="492"/>
      <c r="I398" s="855">
        <f>IFERROR(IFERROR(INDEX('Fixture and LED Schedule'!D:D,MATCH(F398,'Fixture and LED Schedule'!C:C,""),1),F398),"")</f>
        <v>0</v>
      </c>
      <c r="J398" s="855" t="str">
        <f>IFERROR(IF(PRJ_Type="New Construction",H398,INDEX(yControl_Code,MATCH(Inventory!H398,yControlTypes,0),1)),"")</f>
        <v/>
      </c>
      <c r="K398" s="493"/>
      <c r="L398" s="501"/>
      <c r="M398" s="502"/>
      <c r="N398" s="855">
        <f>IFERROR(IFERROR(INDEX('Fixture and LED Schedule'!D:D,MATCH(K398,'Fixture and LED Schedule'!C:C,0),1),K398),"")</f>
        <v>0</v>
      </c>
      <c r="O398" s="858" t="str">
        <f>IFERROR(INDEX(yControl_Code,MATCH(Inventory!M398,yControlTypes,0),1),"")</f>
        <v/>
      </c>
      <c r="P398" s="860" t="str">
        <f>'Lighting Inventory (Ref only)'!AG401</f>
        <v/>
      </c>
      <c r="Q398" s="861" t="str">
        <f>'Lighting Inventory (Ref only)'!AF401</f>
        <v/>
      </c>
      <c r="R398" s="856" t="str">
        <f t="shared" si="13"/>
        <v/>
      </c>
      <c r="S398" s="856" t="str">
        <f>IFERROR(ROUND(R398*'Project Info and Summary'!$J$5/'Project Info and Summary'!$L$5,2),"")</f>
        <v/>
      </c>
    </row>
    <row r="399" spans="1:19" ht="30" customHeight="1">
      <c r="A399" s="948"/>
      <c r="B399" s="496">
        <f t="shared" si="12"/>
        <v>390</v>
      </c>
      <c r="C399" s="864"/>
      <c r="D399" s="505"/>
      <c r="E399" s="866"/>
      <c r="F399" s="498"/>
      <c r="G399" s="499"/>
      <c r="H399" s="492"/>
      <c r="I399" s="855">
        <f>IFERROR(IFERROR(INDEX('Fixture and LED Schedule'!D:D,MATCH(F399,'Fixture and LED Schedule'!C:C,""),1),F399),"")</f>
        <v>0</v>
      </c>
      <c r="J399" s="855" t="str">
        <f>IFERROR(IF(PRJ_Type="New Construction",H399,INDEX(yControl_Code,MATCH(Inventory!H399,yControlTypes,0),1)),"")</f>
        <v/>
      </c>
      <c r="K399" s="493"/>
      <c r="L399" s="501"/>
      <c r="M399" s="502"/>
      <c r="N399" s="855">
        <f>IFERROR(IFERROR(INDEX('Fixture and LED Schedule'!D:D,MATCH(K399,'Fixture and LED Schedule'!C:C,0),1),K399),"")</f>
        <v>0</v>
      </c>
      <c r="O399" s="858" t="str">
        <f>IFERROR(INDEX(yControl_Code,MATCH(Inventory!M399,yControlTypes,0),1),"")</f>
        <v/>
      </c>
      <c r="P399" s="860" t="str">
        <f>'Lighting Inventory (Ref only)'!AG402</f>
        <v/>
      </c>
      <c r="Q399" s="861" t="str">
        <f>'Lighting Inventory (Ref only)'!AF402</f>
        <v/>
      </c>
      <c r="R399" s="856" t="str">
        <f t="shared" si="13"/>
        <v/>
      </c>
      <c r="S399" s="856" t="str">
        <f>IFERROR(ROUND(R399*'Project Info and Summary'!$J$5/'Project Info and Summary'!$L$5,2),"")</f>
        <v/>
      </c>
    </row>
    <row r="400" spans="1:19" ht="30" customHeight="1">
      <c r="A400" s="948"/>
      <c r="B400" s="496">
        <f t="shared" si="12"/>
        <v>391</v>
      </c>
      <c r="C400" s="864"/>
      <c r="D400" s="505"/>
      <c r="E400" s="866"/>
      <c r="F400" s="498"/>
      <c r="G400" s="499"/>
      <c r="H400" s="492"/>
      <c r="I400" s="855">
        <f>IFERROR(IFERROR(INDEX('Fixture and LED Schedule'!D:D,MATCH(F400,'Fixture and LED Schedule'!C:C,""),1),F400),"")</f>
        <v>0</v>
      </c>
      <c r="J400" s="855" t="str">
        <f>IFERROR(IF(PRJ_Type="New Construction",H400,INDEX(yControl_Code,MATCH(Inventory!H400,yControlTypes,0),1)),"")</f>
        <v/>
      </c>
      <c r="K400" s="493"/>
      <c r="L400" s="501"/>
      <c r="M400" s="502"/>
      <c r="N400" s="855">
        <f>IFERROR(IFERROR(INDEX('Fixture and LED Schedule'!D:D,MATCH(K400,'Fixture and LED Schedule'!C:C,0),1),K400),"")</f>
        <v>0</v>
      </c>
      <c r="O400" s="858" t="str">
        <f>IFERROR(INDEX(yControl_Code,MATCH(Inventory!M400,yControlTypes,0),1),"")</f>
        <v/>
      </c>
      <c r="P400" s="860" t="str">
        <f>'Lighting Inventory (Ref only)'!AG403</f>
        <v/>
      </c>
      <c r="Q400" s="861" t="str">
        <f>'Lighting Inventory (Ref only)'!AF403</f>
        <v/>
      </c>
      <c r="R400" s="856" t="str">
        <f t="shared" si="13"/>
        <v/>
      </c>
      <c r="S400" s="856" t="str">
        <f>IFERROR(ROUND(R400*'Project Info and Summary'!$J$5/'Project Info and Summary'!$L$5,2),"")</f>
        <v/>
      </c>
    </row>
    <row r="401" spans="1:19" ht="30" customHeight="1">
      <c r="A401" s="948"/>
      <c r="B401" s="496">
        <f t="shared" si="12"/>
        <v>392</v>
      </c>
      <c r="C401" s="864"/>
      <c r="D401" s="505"/>
      <c r="E401" s="866"/>
      <c r="F401" s="498"/>
      <c r="G401" s="499"/>
      <c r="H401" s="492"/>
      <c r="I401" s="855">
        <f>IFERROR(IFERROR(INDEX('Fixture and LED Schedule'!D:D,MATCH(F401,'Fixture and LED Schedule'!C:C,""),1),F401),"")</f>
        <v>0</v>
      </c>
      <c r="J401" s="855" t="str">
        <f>IFERROR(IF(PRJ_Type="New Construction",H401,INDEX(yControl_Code,MATCH(Inventory!H401,yControlTypes,0),1)),"")</f>
        <v/>
      </c>
      <c r="K401" s="493"/>
      <c r="L401" s="501"/>
      <c r="M401" s="502"/>
      <c r="N401" s="855">
        <f>IFERROR(IFERROR(INDEX('Fixture and LED Schedule'!D:D,MATCH(K401,'Fixture and LED Schedule'!C:C,0),1),K401),"")</f>
        <v>0</v>
      </c>
      <c r="O401" s="858" t="str">
        <f>IFERROR(INDEX(yControl_Code,MATCH(Inventory!M401,yControlTypes,0),1),"")</f>
        <v/>
      </c>
      <c r="P401" s="860" t="str">
        <f>'Lighting Inventory (Ref only)'!AG404</f>
        <v/>
      </c>
      <c r="Q401" s="861" t="str">
        <f>'Lighting Inventory (Ref only)'!AF404</f>
        <v/>
      </c>
      <c r="R401" s="856" t="str">
        <f t="shared" si="13"/>
        <v/>
      </c>
      <c r="S401" s="856" t="str">
        <f>IFERROR(ROUND(R401*'Project Info and Summary'!$J$5/'Project Info and Summary'!$L$5,2),"")</f>
        <v/>
      </c>
    </row>
    <row r="402" spans="1:19" ht="30" customHeight="1">
      <c r="A402" s="948"/>
      <c r="B402" s="496">
        <f t="shared" si="12"/>
        <v>393</v>
      </c>
      <c r="C402" s="864"/>
      <c r="D402" s="505"/>
      <c r="E402" s="866"/>
      <c r="F402" s="498"/>
      <c r="G402" s="499"/>
      <c r="H402" s="492"/>
      <c r="I402" s="855">
        <f>IFERROR(IFERROR(INDEX('Fixture and LED Schedule'!D:D,MATCH(F402,'Fixture and LED Schedule'!C:C,""),1),F402),"")</f>
        <v>0</v>
      </c>
      <c r="J402" s="855" t="str">
        <f>IFERROR(IF(PRJ_Type="New Construction",H402,INDEX(yControl_Code,MATCH(Inventory!H402,yControlTypes,0),1)),"")</f>
        <v/>
      </c>
      <c r="K402" s="493"/>
      <c r="L402" s="501"/>
      <c r="M402" s="502"/>
      <c r="N402" s="855">
        <f>IFERROR(IFERROR(INDEX('Fixture and LED Schedule'!D:D,MATCH(K402,'Fixture and LED Schedule'!C:C,0),1),K402),"")</f>
        <v>0</v>
      </c>
      <c r="O402" s="858" t="str">
        <f>IFERROR(INDEX(yControl_Code,MATCH(Inventory!M402,yControlTypes,0),1),"")</f>
        <v/>
      </c>
      <c r="P402" s="860" t="str">
        <f>'Lighting Inventory (Ref only)'!AG405</f>
        <v/>
      </c>
      <c r="Q402" s="861" t="str">
        <f>'Lighting Inventory (Ref only)'!AF405</f>
        <v/>
      </c>
      <c r="R402" s="856" t="str">
        <f t="shared" si="13"/>
        <v/>
      </c>
      <c r="S402" s="856" t="str">
        <f>IFERROR(ROUND(R402*'Project Info and Summary'!$J$5/'Project Info and Summary'!$L$5,2),"")</f>
        <v/>
      </c>
    </row>
    <row r="403" spans="1:19" ht="30" customHeight="1">
      <c r="A403" s="948"/>
      <c r="B403" s="496">
        <f t="shared" si="12"/>
        <v>394</v>
      </c>
      <c r="C403" s="864"/>
      <c r="D403" s="505"/>
      <c r="E403" s="866"/>
      <c r="F403" s="498"/>
      <c r="G403" s="499"/>
      <c r="H403" s="492"/>
      <c r="I403" s="855">
        <f>IFERROR(IFERROR(INDEX('Fixture and LED Schedule'!D:D,MATCH(F403,'Fixture and LED Schedule'!C:C,""),1),F403),"")</f>
        <v>0</v>
      </c>
      <c r="J403" s="855" t="str">
        <f>IFERROR(IF(PRJ_Type="New Construction",H403,INDEX(yControl_Code,MATCH(Inventory!H403,yControlTypes,0),1)),"")</f>
        <v/>
      </c>
      <c r="K403" s="493"/>
      <c r="L403" s="501"/>
      <c r="M403" s="502"/>
      <c r="N403" s="855">
        <f>IFERROR(IFERROR(INDEX('Fixture and LED Schedule'!D:D,MATCH(K403,'Fixture and LED Schedule'!C:C,0),1),K403),"")</f>
        <v>0</v>
      </c>
      <c r="O403" s="858" t="str">
        <f>IFERROR(INDEX(yControl_Code,MATCH(Inventory!M403,yControlTypes,0),1),"")</f>
        <v/>
      </c>
      <c r="P403" s="860" t="str">
        <f>'Lighting Inventory (Ref only)'!AG406</f>
        <v/>
      </c>
      <c r="Q403" s="861" t="str">
        <f>'Lighting Inventory (Ref only)'!AF406</f>
        <v/>
      </c>
      <c r="R403" s="856" t="str">
        <f t="shared" si="13"/>
        <v/>
      </c>
      <c r="S403" s="856" t="str">
        <f>IFERROR(ROUND(R403*'Project Info and Summary'!$J$5/'Project Info and Summary'!$L$5,2),"")</f>
        <v/>
      </c>
    </row>
    <row r="404" spans="1:19" ht="30" customHeight="1">
      <c r="A404" s="948"/>
      <c r="B404" s="496">
        <f t="shared" si="12"/>
        <v>395</v>
      </c>
      <c r="C404" s="864"/>
      <c r="D404" s="505"/>
      <c r="E404" s="866"/>
      <c r="F404" s="498"/>
      <c r="G404" s="499"/>
      <c r="H404" s="492"/>
      <c r="I404" s="855">
        <f>IFERROR(IFERROR(INDEX('Fixture and LED Schedule'!D:D,MATCH(F404,'Fixture and LED Schedule'!C:C,""),1),F404),"")</f>
        <v>0</v>
      </c>
      <c r="J404" s="855" t="str">
        <f>IFERROR(IF(PRJ_Type="New Construction",H404,INDEX(yControl_Code,MATCH(Inventory!H404,yControlTypes,0),1)),"")</f>
        <v/>
      </c>
      <c r="K404" s="493"/>
      <c r="L404" s="501"/>
      <c r="M404" s="502"/>
      <c r="N404" s="855">
        <f>IFERROR(IFERROR(INDEX('Fixture and LED Schedule'!D:D,MATCH(K404,'Fixture and LED Schedule'!C:C,0),1),K404),"")</f>
        <v>0</v>
      </c>
      <c r="O404" s="858" t="str">
        <f>IFERROR(INDEX(yControl_Code,MATCH(Inventory!M404,yControlTypes,0),1),"")</f>
        <v/>
      </c>
      <c r="P404" s="860" t="str">
        <f>'Lighting Inventory (Ref only)'!AG407</f>
        <v/>
      </c>
      <c r="Q404" s="861" t="str">
        <f>'Lighting Inventory (Ref only)'!AF407</f>
        <v/>
      </c>
      <c r="R404" s="856" t="str">
        <f t="shared" si="13"/>
        <v/>
      </c>
      <c r="S404" s="856" t="str">
        <f>IFERROR(ROUND(R404*'Project Info and Summary'!$J$5/'Project Info and Summary'!$L$5,2),"")</f>
        <v/>
      </c>
    </row>
    <row r="405" spans="1:19" ht="30" customHeight="1">
      <c r="A405" s="948"/>
      <c r="B405" s="496">
        <f t="shared" si="12"/>
        <v>396</v>
      </c>
      <c r="C405" s="864"/>
      <c r="D405" s="505"/>
      <c r="E405" s="866"/>
      <c r="F405" s="498"/>
      <c r="G405" s="499"/>
      <c r="H405" s="492"/>
      <c r="I405" s="855">
        <f>IFERROR(IFERROR(INDEX('Fixture and LED Schedule'!D:D,MATCH(F405,'Fixture and LED Schedule'!C:C,""),1),F405),"")</f>
        <v>0</v>
      </c>
      <c r="J405" s="855" t="str">
        <f>IFERROR(IF(PRJ_Type="New Construction",H405,INDEX(yControl_Code,MATCH(Inventory!H405,yControlTypes,0),1)),"")</f>
        <v/>
      </c>
      <c r="K405" s="493"/>
      <c r="L405" s="501"/>
      <c r="M405" s="502"/>
      <c r="N405" s="855">
        <f>IFERROR(IFERROR(INDEX('Fixture and LED Schedule'!D:D,MATCH(K405,'Fixture and LED Schedule'!C:C,0),1),K405),"")</f>
        <v>0</v>
      </c>
      <c r="O405" s="858" t="str">
        <f>IFERROR(INDEX(yControl_Code,MATCH(Inventory!M405,yControlTypes,0),1),"")</f>
        <v/>
      </c>
      <c r="P405" s="860" t="str">
        <f>'Lighting Inventory (Ref only)'!AG408</f>
        <v/>
      </c>
      <c r="Q405" s="861" t="str">
        <f>'Lighting Inventory (Ref only)'!AF408</f>
        <v/>
      </c>
      <c r="R405" s="856" t="str">
        <f t="shared" si="13"/>
        <v/>
      </c>
      <c r="S405" s="856" t="str">
        <f>IFERROR(ROUND(R405*'Project Info and Summary'!$J$5/'Project Info and Summary'!$L$5,2),"")</f>
        <v/>
      </c>
    </row>
    <row r="406" spans="1:19" ht="30" customHeight="1">
      <c r="A406" s="948"/>
      <c r="B406" s="496">
        <f t="shared" si="12"/>
        <v>397</v>
      </c>
      <c r="C406" s="864"/>
      <c r="D406" s="505"/>
      <c r="E406" s="866"/>
      <c r="F406" s="498"/>
      <c r="G406" s="499"/>
      <c r="H406" s="492"/>
      <c r="I406" s="855">
        <f>IFERROR(IFERROR(INDEX('Fixture and LED Schedule'!D:D,MATCH(F406,'Fixture and LED Schedule'!C:C,""),1),F406),"")</f>
        <v>0</v>
      </c>
      <c r="J406" s="855" t="str">
        <f>IFERROR(IF(PRJ_Type="New Construction",H406,INDEX(yControl_Code,MATCH(Inventory!H406,yControlTypes,0),1)),"")</f>
        <v/>
      </c>
      <c r="K406" s="493"/>
      <c r="L406" s="501"/>
      <c r="M406" s="502"/>
      <c r="N406" s="855">
        <f>IFERROR(IFERROR(INDEX('Fixture and LED Schedule'!D:D,MATCH(K406,'Fixture and LED Schedule'!C:C,0),1),K406),"")</f>
        <v>0</v>
      </c>
      <c r="O406" s="858" t="str">
        <f>IFERROR(INDEX(yControl_Code,MATCH(Inventory!M406,yControlTypes,0),1),"")</f>
        <v/>
      </c>
      <c r="P406" s="860" t="str">
        <f>'Lighting Inventory (Ref only)'!AG409</f>
        <v/>
      </c>
      <c r="Q406" s="861" t="str">
        <f>'Lighting Inventory (Ref only)'!AF409</f>
        <v/>
      </c>
      <c r="R406" s="856" t="str">
        <f t="shared" si="13"/>
        <v/>
      </c>
      <c r="S406" s="856" t="str">
        <f>IFERROR(ROUND(R406*'Project Info and Summary'!$J$5/'Project Info and Summary'!$L$5,2),"")</f>
        <v/>
      </c>
    </row>
    <row r="407" spans="1:19" ht="30" customHeight="1">
      <c r="A407" s="948"/>
      <c r="B407" s="496">
        <f t="shared" si="12"/>
        <v>398</v>
      </c>
      <c r="C407" s="864"/>
      <c r="D407" s="505"/>
      <c r="E407" s="866"/>
      <c r="F407" s="498"/>
      <c r="G407" s="499"/>
      <c r="H407" s="492"/>
      <c r="I407" s="855">
        <f>IFERROR(IFERROR(INDEX('Fixture and LED Schedule'!D:D,MATCH(F407,'Fixture and LED Schedule'!C:C,""),1),F407),"")</f>
        <v>0</v>
      </c>
      <c r="J407" s="855" t="str">
        <f>IFERROR(IF(PRJ_Type="New Construction",H407,INDEX(yControl_Code,MATCH(Inventory!H407,yControlTypes,0),1)),"")</f>
        <v/>
      </c>
      <c r="K407" s="493"/>
      <c r="L407" s="501"/>
      <c r="M407" s="502"/>
      <c r="N407" s="855">
        <f>IFERROR(IFERROR(INDEX('Fixture and LED Schedule'!D:D,MATCH(K407,'Fixture and LED Schedule'!C:C,0),1),K407),"")</f>
        <v>0</v>
      </c>
      <c r="O407" s="858" t="str">
        <f>IFERROR(INDEX(yControl_Code,MATCH(Inventory!M407,yControlTypes,0),1),"")</f>
        <v/>
      </c>
      <c r="P407" s="860" t="str">
        <f>'Lighting Inventory (Ref only)'!AG410</f>
        <v/>
      </c>
      <c r="Q407" s="861" t="str">
        <f>'Lighting Inventory (Ref only)'!AF410</f>
        <v/>
      </c>
      <c r="R407" s="856" t="str">
        <f t="shared" si="13"/>
        <v/>
      </c>
      <c r="S407" s="856" t="str">
        <f>IFERROR(ROUND(R407*'Project Info and Summary'!$J$5/'Project Info and Summary'!$L$5,2),"")</f>
        <v/>
      </c>
    </row>
    <row r="408" spans="1:19" ht="30" customHeight="1">
      <c r="A408" s="948"/>
      <c r="B408" s="496">
        <f t="shared" si="12"/>
        <v>399</v>
      </c>
      <c r="C408" s="864"/>
      <c r="D408" s="505"/>
      <c r="E408" s="866"/>
      <c r="F408" s="498"/>
      <c r="G408" s="499"/>
      <c r="H408" s="492"/>
      <c r="I408" s="855">
        <f>IFERROR(IFERROR(INDEX('Fixture and LED Schedule'!D:D,MATCH(F408,'Fixture and LED Schedule'!C:C,""),1),F408),"")</f>
        <v>0</v>
      </c>
      <c r="J408" s="855" t="str">
        <f>IFERROR(IF(PRJ_Type="New Construction",H408,INDEX(yControl_Code,MATCH(Inventory!H408,yControlTypes,0),1)),"")</f>
        <v/>
      </c>
      <c r="K408" s="493"/>
      <c r="L408" s="501"/>
      <c r="M408" s="502"/>
      <c r="N408" s="855">
        <f>IFERROR(IFERROR(INDEX('Fixture and LED Schedule'!D:D,MATCH(K408,'Fixture and LED Schedule'!C:C,0),1),K408),"")</f>
        <v>0</v>
      </c>
      <c r="O408" s="858" t="str">
        <f>IFERROR(INDEX(yControl_Code,MATCH(Inventory!M408,yControlTypes,0),1),"")</f>
        <v/>
      </c>
      <c r="P408" s="860" t="str">
        <f>'Lighting Inventory (Ref only)'!AG411</f>
        <v/>
      </c>
      <c r="Q408" s="861" t="str">
        <f>'Lighting Inventory (Ref only)'!AF411</f>
        <v/>
      </c>
      <c r="R408" s="856" t="str">
        <f t="shared" si="13"/>
        <v/>
      </c>
      <c r="S408" s="856" t="str">
        <f>IFERROR(ROUND(R408*'Project Info and Summary'!$J$5/'Project Info and Summary'!$L$5,2),"")</f>
        <v/>
      </c>
    </row>
    <row r="409" spans="1:19" ht="30" customHeight="1">
      <c r="A409" s="948"/>
      <c r="B409" s="496">
        <f t="shared" si="12"/>
        <v>400</v>
      </c>
      <c r="C409" s="864"/>
      <c r="D409" s="505"/>
      <c r="E409" s="866"/>
      <c r="F409" s="498"/>
      <c r="G409" s="499"/>
      <c r="H409" s="492"/>
      <c r="I409" s="855">
        <f>IFERROR(IFERROR(INDEX('Fixture and LED Schedule'!D:D,MATCH(F409,'Fixture and LED Schedule'!C:C,""),1),F409),"")</f>
        <v>0</v>
      </c>
      <c r="J409" s="855" t="str">
        <f>IFERROR(IF(PRJ_Type="New Construction",H409,INDEX(yControl_Code,MATCH(Inventory!H409,yControlTypes,0),1)),"")</f>
        <v/>
      </c>
      <c r="K409" s="493"/>
      <c r="L409" s="501"/>
      <c r="M409" s="502"/>
      <c r="N409" s="855">
        <f>IFERROR(IFERROR(INDEX('Fixture and LED Schedule'!D:D,MATCH(K409,'Fixture and LED Schedule'!C:C,0),1),K409),"")</f>
        <v>0</v>
      </c>
      <c r="O409" s="858" t="str">
        <f>IFERROR(INDEX(yControl_Code,MATCH(Inventory!M409,yControlTypes,0),1),"")</f>
        <v/>
      </c>
      <c r="P409" s="860" t="str">
        <f>'Lighting Inventory (Ref only)'!AG412</f>
        <v/>
      </c>
      <c r="Q409" s="861" t="str">
        <f>'Lighting Inventory (Ref only)'!AF412</f>
        <v/>
      </c>
      <c r="R409" s="856" t="str">
        <f t="shared" si="13"/>
        <v/>
      </c>
      <c r="S409" s="856" t="str">
        <f>IFERROR(ROUND(R409*'Project Info and Summary'!$J$5/'Project Info and Summary'!$L$5,2),"")</f>
        <v/>
      </c>
    </row>
    <row r="410" spans="1:19" ht="30" customHeight="1">
      <c r="A410" s="948"/>
      <c r="B410" s="496">
        <f t="shared" si="12"/>
        <v>401</v>
      </c>
      <c r="C410" s="864"/>
      <c r="D410" s="505"/>
      <c r="E410" s="866"/>
      <c r="F410" s="498"/>
      <c r="G410" s="499"/>
      <c r="H410" s="492"/>
      <c r="I410" s="855">
        <f>IFERROR(IFERROR(INDEX('Fixture and LED Schedule'!D:D,MATCH(F410,'Fixture and LED Schedule'!C:C,""),1),F410),"")</f>
        <v>0</v>
      </c>
      <c r="J410" s="855" t="str">
        <f>IFERROR(IF(PRJ_Type="New Construction",H410,INDEX(yControl_Code,MATCH(Inventory!H410,yControlTypes,0),1)),"")</f>
        <v/>
      </c>
      <c r="K410" s="493"/>
      <c r="L410" s="501"/>
      <c r="M410" s="502"/>
      <c r="N410" s="855">
        <f>IFERROR(IFERROR(INDEX('Fixture and LED Schedule'!D:D,MATCH(K410,'Fixture and LED Schedule'!C:C,0),1),K410),"")</f>
        <v>0</v>
      </c>
      <c r="O410" s="858" t="str">
        <f>IFERROR(INDEX(yControl_Code,MATCH(Inventory!M410,yControlTypes,0),1),"")</f>
        <v/>
      </c>
      <c r="P410" s="860" t="str">
        <f>'Lighting Inventory (Ref only)'!AG413</f>
        <v/>
      </c>
      <c r="Q410" s="861" t="str">
        <f>'Lighting Inventory (Ref only)'!AF413</f>
        <v/>
      </c>
      <c r="R410" s="856" t="str">
        <f t="shared" si="13"/>
        <v/>
      </c>
      <c r="S410" s="856" t="str">
        <f>IFERROR(ROUND(R410*'Project Info and Summary'!$J$5/'Project Info and Summary'!$L$5,2),"")</f>
        <v/>
      </c>
    </row>
    <row r="411" spans="1:19" ht="30" customHeight="1">
      <c r="A411" s="948"/>
      <c r="B411" s="496">
        <f t="shared" si="12"/>
        <v>402</v>
      </c>
      <c r="C411" s="864"/>
      <c r="D411" s="505"/>
      <c r="E411" s="866"/>
      <c r="F411" s="498"/>
      <c r="G411" s="499"/>
      <c r="H411" s="492"/>
      <c r="I411" s="855">
        <f>IFERROR(IFERROR(INDEX('Fixture and LED Schedule'!D:D,MATCH(F411,'Fixture and LED Schedule'!C:C,""),1),F411),"")</f>
        <v>0</v>
      </c>
      <c r="J411" s="855" t="str">
        <f>IFERROR(IF(PRJ_Type="New Construction",H411,INDEX(yControl_Code,MATCH(Inventory!H411,yControlTypes,0),1)),"")</f>
        <v/>
      </c>
      <c r="K411" s="493"/>
      <c r="L411" s="501"/>
      <c r="M411" s="502"/>
      <c r="N411" s="855">
        <f>IFERROR(IFERROR(INDEX('Fixture and LED Schedule'!D:D,MATCH(K411,'Fixture and LED Schedule'!C:C,0),1),K411),"")</f>
        <v>0</v>
      </c>
      <c r="O411" s="858" t="str">
        <f>IFERROR(INDEX(yControl_Code,MATCH(Inventory!M411,yControlTypes,0),1),"")</f>
        <v/>
      </c>
      <c r="P411" s="860" t="str">
        <f>'Lighting Inventory (Ref only)'!AG414</f>
        <v/>
      </c>
      <c r="Q411" s="861" t="str">
        <f>'Lighting Inventory (Ref only)'!AF414</f>
        <v/>
      </c>
      <c r="R411" s="856" t="str">
        <f t="shared" si="13"/>
        <v/>
      </c>
      <c r="S411" s="856" t="str">
        <f>IFERROR(ROUND(R411*'Project Info and Summary'!$J$5/'Project Info and Summary'!$L$5,2),"")</f>
        <v/>
      </c>
    </row>
    <row r="412" spans="1:19" ht="30" customHeight="1">
      <c r="A412" s="948"/>
      <c r="B412" s="496">
        <f t="shared" si="12"/>
        <v>403</v>
      </c>
      <c r="C412" s="864"/>
      <c r="D412" s="505"/>
      <c r="E412" s="866"/>
      <c r="F412" s="498"/>
      <c r="G412" s="499"/>
      <c r="H412" s="492"/>
      <c r="I412" s="855">
        <f>IFERROR(IFERROR(INDEX('Fixture and LED Schedule'!D:D,MATCH(F412,'Fixture and LED Schedule'!C:C,""),1),F412),"")</f>
        <v>0</v>
      </c>
      <c r="J412" s="855" t="str">
        <f>IFERROR(IF(PRJ_Type="New Construction",H412,INDEX(yControl_Code,MATCH(Inventory!H412,yControlTypes,0),1)),"")</f>
        <v/>
      </c>
      <c r="K412" s="493"/>
      <c r="L412" s="501"/>
      <c r="M412" s="502"/>
      <c r="N412" s="855">
        <f>IFERROR(IFERROR(INDEX('Fixture and LED Schedule'!D:D,MATCH(K412,'Fixture and LED Schedule'!C:C,0),1),K412),"")</f>
        <v>0</v>
      </c>
      <c r="O412" s="858" t="str">
        <f>IFERROR(INDEX(yControl_Code,MATCH(Inventory!M412,yControlTypes,0),1),"")</f>
        <v/>
      </c>
      <c r="P412" s="860" t="str">
        <f>'Lighting Inventory (Ref only)'!AG415</f>
        <v/>
      </c>
      <c r="Q412" s="861" t="str">
        <f>'Lighting Inventory (Ref only)'!AF415</f>
        <v/>
      </c>
      <c r="R412" s="856" t="str">
        <f t="shared" si="13"/>
        <v/>
      </c>
      <c r="S412" s="856" t="str">
        <f>IFERROR(ROUND(R412*'Project Info and Summary'!$J$5/'Project Info and Summary'!$L$5,2),"")</f>
        <v/>
      </c>
    </row>
    <row r="413" spans="1:19" ht="30" customHeight="1">
      <c r="A413" s="948"/>
      <c r="B413" s="496">
        <f t="shared" si="12"/>
        <v>404</v>
      </c>
      <c r="C413" s="864"/>
      <c r="D413" s="505"/>
      <c r="E413" s="866"/>
      <c r="F413" s="498"/>
      <c r="G413" s="499"/>
      <c r="H413" s="492"/>
      <c r="I413" s="855">
        <f>IFERROR(IFERROR(INDEX('Fixture and LED Schedule'!D:D,MATCH(F413,'Fixture and LED Schedule'!C:C,""),1),F413),"")</f>
        <v>0</v>
      </c>
      <c r="J413" s="855" t="str">
        <f>IFERROR(IF(PRJ_Type="New Construction",H413,INDEX(yControl_Code,MATCH(Inventory!H413,yControlTypes,0),1)),"")</f>
        <v/>
      </c>
      <c r="K413" s="493"/>
      <c r="L413" s="501"/>
      <c r="M413" s="502"/>
      <c r="N413" s="855">
        <f>IFERROR(IFERROR(INDEX('Fixture and LED Schedule'!D:D,MATCH(K413,'Fixture and LED Schedule'!C:C,0),1),K413),"")</f>
        <v>0</v>
      </c>
      <c r="O413" s="858" t="str">
        <f>IFERROR(INDEX(yControl_Code,MATCH(Inventory!M413,yControlTypes,0),1),"")</f>
        <v/>
      </c>
      <c r="P413" s="860" t="str">
        <f>'Lighting Inventory (Ref only)'!AG416</f>
        <v/>
      </c>
      <c r="Q413" s="861" t="str">
        <f>'Lighting Inventory (Ref only)'!AF416</f>
        <v/>
      </c>
      <c r="R413" s="856" t="str">
        <f t="shared" si="13"/>
        <v/>
      </c>
      <c r="S413" s="856" t="str">
        <f>IFERROR(ROUND(R413*'Project Info and Summary'!$J$5/'Project Info and Summary'!$L$5,2),"")</f>
        <v/>
      </c>
    </row>
    <row r="414" spans="1:19" ht="30" customHeight="1">
      <c r="A414" s="948"/>
      <c r="B414" s="496">
        <f t="shared" si="12"/>
        <v>405</v>
      </c>
      <c r="C414" s="864"/>
      <c r="D414" s="505"/>
      <c r="E414" s="866"/>
      <c r="F414" s="498"/>
      <c r="G414" s="499"/>
      <c r="H414" s="492"/>
      <c r="I414" s="855">
        <f>IFERROR(IFERROR(INDEX('Fixture and LED Schedule'!D:D,MATCH(F414,'Fixture and LED Schedule'!C:C,""),1),F414),"")</f>
        <v>0</v>
      </c>
      <c r="J414" s="855" t="str">
        <f>IFERROR(IF(PRJ_Type="New Construction",H414,INDEX(yControl_Code,MATCH(Inventory!H414,yControlTypes,0),1)),"")</f>
        <v/>
      </c>
      <c r="K414" s="493"/>
      <c r="L414" s="501"/>
      <c r="M414" s="502"/>
      <c r="N414" s="855">
        <f>IFERROR(IFERROR(INDEX('Fixture and LED Schedule'!D:D,MATCH(K414,'Fixture and LED Schedule'!C:C,0),1),K414),"")</f>
        <v>0</v>
      </c>
      <c r="O414" s="858" t="str">
        <f>IFERROR(INDEX(yControl_Code,MATCH(Inventory!M414,yControlTypes,0),1),"")</f>
        <v/>
      </c>
      <c r="P414" s="860" t="str">
        <f>'Lighting Inventory (Ref only)'!AG417</f>
        <v/>
      </c>
      <c r="Q414" s="861" t="str">
        <f>'Lighting Inventory (Ref only)'!AF417</f>
        <v/>
      </c>
      <c r="R414" s="856" t="str">
        <f t="shared" si="13"/>
        <v/>
      </c>
      <c r="S414" s="856" t="str">
        <f>IFERROR(ROUND(R414*'Project Info and Summary'!$J$5/'Project Info and Summary'!$L$5,2),"")</f>
        <v/>
      </c>
    </row>
    <row r="415" spans="1:19" ht="30" customHeight="1">
      <c r="A415" s="948"/>
      <c r="B415" s="496">
        <f t="shared" si="12"/>
        <v>406</v>
      </c>
      <c r="C415" s="864"/>
      <c r="D415" s="505"/>
      <c r="E415" s="866"/>
      <c r="F415" s="498"/>
      <c r="G415" s="499"/>
      <c r="H415" s="492"/>
      <c r="I415" s="855">
        <f>IFERROR(IFERROR(INDEX('Fixture and LED Schedule'!D:D,MATCH(F415,'Fixture and LED Schedule'!C:C,""),1),F415),"")</f>
        <v>0</v>
      </c>
      <c r="J415" s="855" t="str">
        <f>IFERROR(IF(PRJ_Type="New Construction",H415,INDEX(yControl_Code,MATCH(Inventory!H415,yControlTypes,0),1)),"")</f>
        <v/>
      </c>
      <c r="K415" s="493"/>
      <c r="L415" s="501"/>
      <c r="M415" s="502"/>
      <c r="N415" s="855">
        <f>IFERROR(IFERROR(INDEX('Fixture and LED Schedule'!D:D,MATCH(K415,'Fixture and LED Schedule'!C:C,0),1),K415),"")</f>
        <v>0</v>
      </c>
      <c r="O415" s="858" t="str">
        <f>IFERROR(INDEX(yControl_Code,MATCH(Inventory!M415,yControlTypes,0),1),"")</f>
        <v/>
      </c>
      <c r="P415" s="860" t="str">
        <f>'Lighting Inventory (Ref only)'!AG418</f>
        <v/>
      </c>
      <c r="Q415" s="861" t="str">
        <f>'Lighting Inventory (Ref only)'!AF418</f>
        <v/>
      </c>
      <c r="R415" s="856" t="str">
        <f t="shared" si="13"/>
        <v/>
      </c>
      <c r="S415" s="856" t="str">
        <f>IFERROR(ROUND(R415*'Project Info and Summary'!$J$5/'Project Info and Summary'!$L$5,2),"")</f>
        <v/>
      </c>
    </row>
    <row r="416" spans="1:19" ht="30" customHeight="1">
      <c r="A416" s="948"/>
      <c r="B416" s="496">
        <f t="shared" si="12"/>
        <v>407</v>
      </c>
      <c r="C416" s="864"/>
      <c r="D416" s="505"/>
      <c r="E416" s="866"/>
      <c r="F416" s="498"/>
      <c r="G416" s="499"/>
      <c r="H416" s="492"/>
      <c r="I416" s="855">
        <f>IFERROR(IFERROR(INDEX('Fixture and LED Schedule'!D:D,MATCH(F416,'Fixture and LED Schedule'!C:C,""),1),F416),"")</f>
        <v>0</v>
      </c>
      <c r="J416" s="855" t="str">
        <f>IFERROR(IF(PRJ_Type="New Construction",H416,INDEX(yControl_Code,MATCH(Inventory!H416,yControlTypes,0),1)),"")</f>
        <v/>
      </c>
      <c r="K416" s="493"/>
      <c r="L416" s="501"/>
      <c r="M416" s="502"/>
      <c r="N416" s="855">
        <f>IFERROR(IFERROR(INDEX('Fixture and LED Schedule'!D:D,MATCH(K416,'Fixture and LED Schedule'!C:C,0),1),K416),"")</f>
        <v>0</v>
      </c>
      <c r="O416" s="858" t="str">
        <f>IFERROR(INDEX(yControl_Code,MATCH(Inventory!M416,yControlTypes,0),1),"")</f>
        <v/>
      </c>
      <c r="P416" s="860" t="str">
        <f>'Lighting Inventory (Ref only)'!AG419</f>
        <v/>
      </c>
      <c r="Q416" s="861" t="str">
        <f>'Lighting Inventory (Ref only)'!AF419</f>
        <v/>
      </c>
      <c r="R416" s="856" t="str">
        <f t="shared" si="13"/>
        <v/>
      </c>
      <c r="S416" s="856" t="str">
        <f>IFERROR(ROUND(R416*'Project Info and Summary'!$J$5/'Project Info and Summary'!$L$5,2),"")</f>
        <v/>
      </c>
    </row>
    <row r="417" spans="1:19" ht="30" customHeight="1">
      <c r="A417" s="948"/>
      <c r="B417" s="496">
        <f t="shared" si="12"/>
        <v>408</v>
      </c>
      <c r="C417" s="864"/>
      <c r="D417" s="505"/>
      <c r="E417" s="866"/>
      <c r="F417" s="498"/>
      <c r="G417" s="499"/>
      <c r="H417" s="492"/>
      <c r="I417" s="855">
        <f>IFERROR(IFERROR(INDEX('Fixture and LED Schedule'!D:D,MATCH(F417,'Fixture and LED Schedule'!C:C,""),1),F417),"")</f>
        <v>0</v>
      </c>
      <c r="J417" s="855" t="str">
        <f>IFERROR(IF(PRJ_Type="New Construction",H417,INDEX(yControl_Code,MATCH(Inventory!H417,yControlTypes,0),1)),"")</f>
        <v/>
      </c>
      <c r="K417" s="493"/>
      <c r="L417" s="501"/>
      <c r="M417" s="502"/>
      <c r="N417" s="855">
        <f>IFERROR(IFERROR(INDEX('Fixture and LED Schedule'!D:D,MATCH(K417,'Fixture and LED Schedule'!C:C,0),1),K417),"")</f>
        <v>0</v>
      </c>
      <c r="O417" s="858" t="str">
        <f>IFERROR(INDEX(yControl_Code,MATCH(Inventory!M417,yControlTypes,0),1),"")</f>
        <v/>
      </c>
      <c r="P417" s="860" t="str">
        <f>'Lighting Inventory (Ref only)'!AG420</f>
        <v/>
      </c>
      <c r="Q417" s="861" t="str">
        <f>'Lighting Inventory (Ref only)'!AF420</f>
        <v/>
      </c>
      <c r="R417" s="856" t="str">
        <f t="shared" si="13"/>
        <v/>
      </c>
      <c r="S417" s="856" t="str">
        <f>IFERROR(ROUND(R417*'Project Info and Summary'!$J$5/'Project Info and Summary'!$L$5,2),"")</f>
        <v/>
      </c>
    </row>
    <row r="418" spans="1:19" ht="30" customHeight="1">
      <c r="A418" s="948"/>
      <c r="B418" s="496">
        <f t="shared" si="12"/>
        <v>409</v>
      </c>
      <c r="C418" s="864"/>
      <c r="D418" s="505"/>
      <c r="E418" s="866"/>
      <c r="F418" s="498"/>
      <c r="G418" s="499"/>
      <c r="H418" s="492"/>
      <c r="I418" s="855">
        <f>IFERROR(IFERROR(INDEX('Fixture and LED Schedule'!D:D,MATCH(F418,'Fixture and LED Schedule'!C:C,""),1),F418),"")</f>
        <v>0</v>
      </c>
      <c r="J418" s="855" t="str">
        <f>IFERROR(IF(PRJ_Type="New Construction",H418,INDEX(yControl_Code,MATCH(Inventory!H418,yControlTypes,0),1)),"")</f>
        <v/>
      </c>
      <c r="K418" s="493"/>
      <c r="L418" s="501"/>
      <c r="M418" s="502"/>
      <c r="N418" s="855">
        <f>IFERROR(IFERROR(INDEX('Fixture and LED Schedule'!D:D,MATCH(K418,'Fixture and LED Schedule'!C:C,0),1),K418),"")</f>
        <v>0</v>
      </c>
      <c r="O418" s="858" t="str">
        <f>IFERROR(INDEX(yControl_Code,MATCH(Inventory!M418,yControlTypes,0),1),"")</f>
        <v/>
      </c>
      <c r="P418" s="860" t="str">
        <f>'Lighting Inventory (Ref only)'!AG421</f>
        <v/>
      </c>
      <c r="Q418" s="861" t="str">
        <f>'Lighting Inventory (Ref only)'!AF421</f>
        <v/>
      </c>
      <c r="R418" s="856" t="str">
        <f t="shared" si="13"/>
        <v/>
      </c>
      <c r="S418" s="856" t="str">
        <f>IFERROR(ROUND(R418*'Project Info and Summary'!$J$5/'Project Info and Summary'!$L$5,2),"")</f>
        <v/>
      </c>
    </row>
    <row r="419" spans="1:19" ht="30" customHeight="1">
      <c r="A419" s="948"/>
      <c r="B419" s="496">
        <f t="shared" si="12"/>
        <v>410</v>
      </c>
      <c r="C419" s="864"/>
      <c r="D419" s="505"/>
      <c r="E419" s="866"/>
      <c r="F419" s="498"/>
      <c r="G419" s="499"/>
      <c r="H419" s="492"/>
      <c r="I419" s="855">
        <f>IFERROR(IFERROR(INDEX('Fixture and LED Schedule'!D:D,MATCH(F419,'Fixture and LED Schedule'!C:C,""),1),F419),"")</f>
        <v>0</v>
      </c>
      <c r="J419" s="855" t="str">
        <f>IFERROR(IF(PRJ_Type="New Construction",H419,INDEX(yControl_Code,MATCH(Inventory!H419,yControlTypes,0),1)),"")</f>
        <v/>
      </c>
      <c r="K419" s="493"/>
      <c r="L419" s="501"/>
      <c r="M419" s="502"/>
      <c r="N419" s="855">
        <f>IFERROR(IFERROR(INDEX('Fixture and LED Schedule'!D:D,MATCH(K419,'Fixture and LED Schedule'!C:C,0),1),K419),"")</f>
        <v>0</v>
      </c>
      <c r="O419" s="858" t="str">
        <f>IFERROR(INDEX(yControl_Code,MATCH(Inventory!M419,yControlTypes,0),1),"")</f>
        <v/>
      </c>
      <c r="P419" s="860" t="str">
        <f>'Lighting Inventory (Ref only)'!AG422</f>
        <v/>
      </c>
      <c r="Q419" s="861" t="str">
        <f>'Lighting Inventory (Ref only)'!AF422</f>
        <v/>
      </c>
      <c r="R419" s="856" t="str">
        <f t="shared" si="13"/>
        <v/>
      </c>
      <c r="S419" s="856" t="str">
        <f>IFERROR(ROUND(R419*'Project Info and Summary'!$J$5/'Project Info and Summary'!$L$5,2),"")</f>
        <v/>
      </c>
    </row>
    <row r="420" spans="1:19" ht="30" customHeight="1">
      <c r="A420" s="948"/>
      <c r="B420" s="496">
        <f t="shared" si="12"/>
        <v>411</v>
      </c>
      <c r="C420" s="864"/>
      <c r="D420" s="505"/>
      <c r="E420" s="866"/>
      <c r="F420" s="498"/>
      <c r="G420" s="499"/>
      <c r="H420" s="492"/>
      <c r="I420" s="855">
        <f>IFERROR(IFERROR(INDEX('Fixture and LED Schedule'!D:D,MATCH(F420,'Fixture and LED Schedule'!C:C,""),1),F420),"")</f>
        <v>0</v>
      </c>
      <c r="J420" s="855" t="str">
        <f>IFERROR(IF(PRJ_Type="New Construction",H420,INDEX(yControl_Code,MATCH(Inventory!H420,yControlTypes,0),1)),"")</f>
        <v/>
      </c>
      <c r="K420" s="493"/>
      <c r="L420" s="501"/>
      <c r="M420" s="502"/>
      <c r="N420" s="855">
        <f>IFERROR(IFERROR(INDEX('Fixture and LED Schedule'!D:D,MATCH(K420,'Fixture and LED Schedule'!C:C,0),1),K420),"")</f>
        <v>0</v>
      </c>
      <c r="O420" s="858" t="str">
        <f>IFERROR(INDEX(yControl_Code,MATCH(Inventory!M420,yControlTypes,0),1),"")</f>
        <v/>
      </c>
      <c r="P420" s="860" t="str">
        <f>'Lighting Inventory (Ref only)'!AG423</f>
        <v/>
      </c>
      <c r="Q420" s="861" t="str">
        <f>'Lighting Inventory (Ref only)'!AF423</f>
        <v/>
      </c>
      <c r="R420" s="856" t="str">
        <f t="shared" si="13"/>
        <v/>
      </c>
      <c r="S420" s="856" t="str">
        <f>IFERROR(ROUND(R420*'Project Info and Summary'!$J$5/'Project Info and Summary'!$L$5,2),"")</f>
        <v/>
      </c>
    </row>
    <row r="421" spans="1:19" ht="30" customHeight="1">
      <c r="A421" s="948"/>
      <c r="B421" s="496">
        <f t="shared" si="12"/>
        <v>412</v>
      </c>
      <c r="C421" s="864"/>
      <c r="D421" s="505"/>
      <c r="E421" s="866"/>
      <c r="F421" s="498"/>
      <c r="G421" s="499"/>
      <c r="H421" s="492"/>
      <c r="I421" s="855">
        <f>IFERROR(IFERROR(INDEX('Fixture and LED Schedule'!D:D,MATCH(F421,'Fixture and LED Schedule'!C:C,""),1),F421),"")</f>
        <v>0</v>
      </c>
      <c r="J421" s="855" t="str">
        <f>IFERROR(IF(PRJ_Type="New Construction",H421,INDEX(yControl_Code,MATCH(Inventory!H421,yControlTypes,0),1)),"")</f>
        <v/>
      </c>
      <c r="K421" s="493"/>
      <c r="L421" s="501"/>
      <c r="M421" s="502"/>
      <c r="N421" s="855">
        <f>IFERROR(IFERROR(INDEX('Fixture and LED Schedule'!D:D,MATCH(K421,'Fixture and LED Schedule'!C:C,0),1),K421),"")</f>
        <v>0</v>
      </c>
      <c r="O421" s="858" t="str">
        <f>IFERROR(INDEX(yControl_Code,MATCH(Inventory!M421,yControlTypes,0),1),"")</f>
        <v/>
      </c>
      <c r="P421" s="860" t="str">
        <f>'Lighting Inventory (Ref only)'!AG424</f>
        <v/>
      </c>
      <c r="Q421" s="861" t="str">
        <f>'Lighting Inventory (Ref only)'!AF424</f>
        <v/>
      </c>
      <c r="R421" s="856" t="str">
        <f t="shared" si="13"/>
        <v/>
      </c>
      <c r="S421" s="856" t="str">
        <f>IFERROR(ROUND(R421*'Project Info and Summary'!$J$5/'Project Info and Summary'!$L$5,2),"")</f>
        <v/>
      </c>
    </row>
    <row r="422" spans="1:19" ht="30" customHeight="1">
      <c r="A422" s="948"/>
      <c r="B422" s="496">
        <f t="shared" si="12"/>
        <v>413</v>
      </c>
      <c r="C422" s="864"/>
      <c r="D422" s="505"/>
      <c r="E422" s="866"/>
      <c r="F422" s="498"/>
      <c r="G422" s="499"/>
      <c r="H422" s="492"/>
      <c r="I422" s="855">
        <f>IFERROR(IFERROR(INDEX('Fixture and LED Schedule'!D:D,MATCH(F422,'Fixture and LED Schedule'!C:C,""),1),F422),"")</f>
        <v>0</v>
      </c>
      <c r="J422" s="855" t="str">
        <f>IFERROR(IF(PRJ_Type="New Construction",H422,INDEX(yControl_Code,MATCH(Inventory!H422,yControlTypes,0),1)),"")</f>
        <v/>
      </c>
      <c r="K422" s="493"/>
      <c r="L422" s="501"/>
      <c r="M422" s="502"/>
      <c r="N422" s="855">
        <f>IFERROR(IFERROR(INDEX('Fixture and LED Schedule'!D:D,MATCH(K422,'Fixture and LED Schedule'!C:C,0),1),K422),"")</f>
        <v>0</v>
      </c>
      <c r="O422" s="858" t="str">
        <f>IFERROR(INDEX(yControl_Code,MATCH(Inventory!M422,yControlTypes,0),1),"")</f>
        <v/>
      </c>
      <c r="P422" s="860" t="str">
        <f>'Lighting Inventory (Ref only)'!AG425</f>
        <v/>
      </c>
      <c r="Q422" s="861" t="str">
        <f>'Lighting Inventory (Ref only)'!AF425</f>
        <v/>
      </c>
      <c r="R422" s="856" t="str">
        <f t="shared" si="13"/>
        <v/>
      </c>
      <c r="S422" s="856" t="str">
        <f>IFERROR(ROUND(R422*'Project Info and Summary'!$J$5/'Project Info and Summary'!$L$5,2),"")</f>
        <v/>
      </c>
    </row>
    <row r="423" spans="1:19" ht="30" customHeight="1">
      <c r="A423" s="948"/>
      <c r="B423" s="496">
        <f t="shared" si="12"/>
        <v>414</v>
      </c>
      <c r="C423" s="864"/>
      <c r="D423" s="505"/>
      <c r="E423" s="866"/>
      <c r="F423" s="498"/>
      <c r="G423" s="499"/>
      <c r="H423" s="492"/>
      <c r="I423" s="855">
        <f>IFERROR(IFERROR(INDEX('Fixture and LED Schedule'!D:D,MATCH(F423,'Fixture and LED Schedule'!C:C,""),1),F423),"")</f>
        <v>0</v>
      </c>
      <c r="J423" s="855" t="str">
        <f>IFERROR(IF(PRJ_Type="New Construction",H423,INDEX(yControl_Code,MATCH(Inventory!H423,yControlTypes,0),1)),"")</f>
        <v/>
      </c>
      <c r="K423" s="493"/>
      <c r="L423" s="501"/>
      <c r="M423" s="502"/>
      <c r="N423" s="855">
        <f>IFERROR(IFERROR(INDEX('Fixture and LED Schedule'!D:D,MATCH(K423,'Fixture and LED Schedule'!C:C,0),1),K423),"")</f>
        <v>0</v>
      </c>
      <c r="O423" s="858" t="str">
        <f>IFERROR(INDEX(yControl_Code,MATCH(Inventory!M423,yControlTypes,0),1),"")</f>
        <v/>
      </c>
      <c r="P423" s="860" t="str">
        <f>'Lighting Inventory (Ref only)'!AG426</f>
        <v/>
      </c>
      <c r="Q423" s="861" t="str">
        <f>'Lighting Inventory (Ref only)'!AF426</f>
        <v/>
      </c>
      <c r="R423" s="856" t="str">
        <f t="shared" si="13"/>
        <v/>
      </c>
      <c r="S423" s="856" t="str">
        <f>IFERROR(ROUND(R423*'Project Info and Summary'!$J$5/'Project Info and Summary'!$L$5,2),"")</f>
        <v/>
      </c>
    </row>
    <row r="424" spans="1:19" ht="30" customHeight="1">
      <c r="A424" s="948"/>
      <c r="B424" s="496">
        <f t="shared" si="12"/>
        <v>415</v>
      </c>
      <c r="C424" s="864"/>
      <c r="D424" s="505"/>
      <c r="E424" s="866"/>
      <c r="F424" s="498"/>
      <c r="G424" s="499"/>
      <c r="H424" s="492"/>
      <c r="I424" s="855">
        <f>IFERROR(IFERROR(INDEX('Fixture and LED Schedule'!D:D,MATCH(F424,'Fixture and LED Schedule'!C:C,""),1),F424),"")</f>
        <v>0</v>
      </c>
      <c r="J424" s="855" t="str">
        <f>IFERROR(IF(PRJ_Type="New Construction",H424,INDEX(yControl_Code,MATCH(Inventory!H424,yControlTypes,0),1)),"")</f>
        <v/>
      </c>
      <c r="K424" s="493"/>
      <c r="L424" s="501"/>
      <c r="M424" s="502"/>
      <c r="N424" s="855">
        <f>IFERROR(IFERROR(INDEX('Fixture and LED Schedule'!D:D,MATCH(K424,'Fixture and LED Schedule'!C:C,0),1),K424),"")</f>
        <v>0</v>
      </c>
      <c r="O424" s="858" t="str">
        <f>IFERROR(INDEX(yControl_Code,MATCH(Inventory!M424,yControlTypes,0),1),"")</f>
        <v/>
      </c>
      <c r="P424" s="860" t="str">
        <f>'Lighting Inventory (Ref only)'!AG427</f>
        <v/>
      </c>
      <c r="Q424" s="861" t="str">
        <f>'Lighting Inventory (Ref only)'!AF427</f>
        <v/>
      </c>
      <c r="R424" s="856" t="str">
        <f t="shared" si="13"/>
        <v/>
      </c>
      <c r="S424" s="856" t="str">
        <f>IFERROR(ROUND(R424*'Project Info and Summary'!$J$5/'Project Info and Summary'!$L$5,2),"")</f>
        <v/>
      </c>
    </row>
    <row r="425" spans="1:19" ht="30" customHeight="1">
      <c r="A425" s="948"/>
      <c r="B425" s="496">
        <f t="shared" si="12"/>
        <v>416</v>
      </c>
      <c r="C425" s="864"/>
      <c r="D425" s="505"/>
      <c r="E425" s="866"/>
      <c r="F425" s="498"/>
      <c r="G425" s="499"/>
      <c r="H425" s="492"/>
      <c r="I425" s="855">
        <f>IFERROR(IFERROR(INDEX('Fixture and LED Schedule'!D:D,MATCH(F425,'Fixture and LED Schedule'!C:C,""),1),F425),"")</f>
        <v>0</v>
      </c>
      <c r="J425" s="855" t="str">
        <f>IFERROR(IF(PRJ_Type="New Construction",H425,INDEX(yControl_Code,MATCH(Inventory!H425,yControlTypes,0),1)),"")</f>
        <v/>
      </c>
      <c r="K425" s="493"/>
      <c r="L425" s="501"/>
      <c r="M425" s="502"/>
      <c r="N425" s="855">
        <f>IFERROR(IFERROR(INDEX('Fixture and LED Schedule'!D:D,MATCH(K425,'Fixture and LED Schedule'!C:C,0),1),K425),"")</f>
        <v>0</v>
      </c>
      <c r="O425" s="858" t="str">
        <f>IFERROR(INDEX(yControl_Code,MATCH(Inventory!M425,yControlTypes,0),1),"")</f>
        <v/>
      </c>
      <c r="P425" s="860" t="str">
        <f>'Lighting Inventory (Ref only)'!AG428</f>
        <v/>
      </c>
      <c r="Q425" s="861" t="str">
        <f>'Lighting Inventory (Ref only)'!AF428</f>
        <v/>
      </c>
      <c r="R425" s="856" t="str">
        <f t="shared" si="13"/>
        <v/>
      </c>
      <c r="S425" s="856" t="str">
        <f>IFERROR(ROUND(R425*'Project Info and Summary'!$J$5/'Project Info and Summary'!$L$5,2),"")</f>
        <v/>
      </c>
    </row>
    <row r="426" spans="1:19" ht="30" customHeight="1">
      <c r="A426" s="948"/>
      <c r="B426" s="496">
        <f t="shared" si="12"/>
        <v>417</v>
      </c>
      <c r="C426" s="864"/>
      <c r="D426" s="505"/>
      <c r="E426" s="866"/>
      <c r="F426" s="498"/>
      <c r="G426" s="499"/>
      <c r="H426" s="492"/>
      <c r="I426" s="855">
        <f>IFERROR(IFERROR(INDEX('Fixture and LED Schedule'!D:D,MATCH(F426,'Fixture and LED Schedule'!C:C,""),1),F426),"")</f>
        <v>0</v>
      </c>
      <c r="J426" s="855" t="str">
        <f>IFERROR(IF(PRJ_Type="New Construction",H426,INDEX(yControl_Code,MATCH(Inventory!H426,yControlTypes,0),1)),"")</f>
        <v/>
      </c>
      <c r="K426" s="493"/>
      <c r="L426" s="501"/>
      <c r="M426" s="502"/>
      <c r="N426" s="855">
        <f>IFERROR(IFERROR(INDEX('Fixture and LED Schedule'!D:D,MATCH(K426,'Fixture and LED Schedule'!C:C,0),1),K426),"")</f>
        <v>0</v>
      </c>
      <c r="O426" s="858" t="str">
        <f>IFERROR(INDEX(yControl_Code,MATCH(Inventory!M426,yControlTypes,0),1),"")</f>
        <v/>
      </c>
      <c r="P426" s="860" t="str">
        <f>'Lighting Inventory (Ref only)'!AG429</f>
        <v/>
      </c>
      <c r="Q426" s="861" t="str">
        <f>'Lighting Inventory (Ref only)'!AF429</f>
        <v/>
      </c>
      <c r="R426" s="856" t="str">
        <f t="shared" si="13"/>
        <v/>
      </c>
      <c r="S426" s="856" t="str">
        <f>IFERROR(ROUND(R426*'Project Info and Summary'!$J$5/'Project Info and Summary'!$L$5,2),"")</f>
        <v/>
      </c>
    </row>
    <row r="427" spans="1:19" ht="30" customHeight="1">
      <c r="A427" s="948"/>
      <c r="B427" s="496">
        <f t="shared" si="12"/>
        <v>418</v>
      </c>
      <c r="C427" s="864"/>
      <c r="D427" s="505"/>
      <c r="E427" s="866"/>
      <c r="F427" s="498"/>
      <c r="G427" s="499"/>
      <c r="H427" s="492"/>
      <c r="I427" s="855">
        <f>IFERROR(IFERROR(INDEX('Fixture and LED Schedule'!D:D,MATCH(F427,'Fixture and LED Schedule'!C:C,""),1),F427),"")</f>
        <v>0</v>
      </c>
      <c r="J427" s="855" t="str">
        <f>IFERROR(IF(PRJ_Type="New Construction",H427,INDEX(yControl_Code,MATCH(Inventory!H427,yControlTypes,0),1)),"")</f>
        <v/>
      </c>
      <c r="K427" s="493"/>
      <c r="L427" s="501"/>
      <c r="M427" s="502"/>
      <c r="N427" s="855">
        <f>IFERROR(IFERROR(INDEX('Fixture and LED Schedule'!D:D,MATCH(K427,'Fixture and LED Schedule'!C:C,0),1),K427),"")</f>
        <v>0</v>
      </c>
      <c r="O427" s="858" t="str">
        <f>IFERROR(INDEX(yControl_Code,MATCH(Inventory!M427,yControlTypes,0),1),"")</f>
        <v/>
      </c>
      <c r="P427" s="860" t="str">
        <f>'Lighting Inventory (Ref only)'!AG430</f>
        <v/>
      </c>
      <c r="Q427" s="861" t="str">
        <f>'Lighting Inventory (Ref only)'!AF430</f>
        <v/>
      </c>
      <c r="R427" s="856" t="str">
        <f t="shared" si="13"/>
        <v/>
      </c>
      <c r="S427" s="856" t="str">
        <f>IFERROR(ROUND(R427*'Project Info and Summary'!$J$5/'Project Info and Summary'!$L$5,2),"")</f>
        <v/>
      </c>
    </row>
    <row r="428" spans="1:19" ht="30" customHeight="1">
      <c r="A428" s="948"/>
      <c r="B428" s="496">
        <f t="shared" si="12"/>
        <v>419</v>
      </c>
      <c r="C428" s="864"/>
      <c r="D428" s="505"/>
      <c r="E428" s="866"/>
      <c r="F428" s="498"/>
      <c r="G428" s="499"/>
      <c r="H428" s="492"/>
      <c r="I428" s="855">
        <f>IFERROR(IFERROR(INDEX('Fixture and LED Schedule'!D:D,MATCH(F428,'Fixture and LED Schedule'!C:C,""),1),F428),"")</f>
        <v>0</v>
      </c>
      <c r="J428" s="855" t="str">
        <f>IFERROR(IF(PRJ_Type="New Construction",H428,INDEX(yControl_Code,MATCH(Inventory!H428,yControlTypes,0),1)),"")</f>
        <v/>
      </c>
      <c r="K428" s="493"/>
      <c r="L428" s="501"/>
      <c r="M428" s="502"/>
      <c r="N428" s="855">
        <f>IFERROR(IFERROR(INDEX('Fixture and LED Schedule'!D:D,MATCH(K428,'Fixture and LED Schedule'!C:C,0),1),K428),"")</f>
        <v>0</v>
      </c>
      <c r="O428" s="858" t="str">
        <f>IFERROR(INDEX(yControl_Code,MATCH(Inventory!M428,yControlTypes,0),1),"")</f>
        <v/>
      </c>
      <c r="P428" s="860" t="str">
        <f>'Lighting Inventory (Ref only)'!AG431</f>
        <v/>
      </c>
      <c r="Q428" s="861" t="str">
        <f>'Lighting Inventory (Ref only)'!AF431</f>
        <v/>
      </c>
      <c r="R428" s="856" t="str">
        <f t="shared" si="13"/>
        <v/>
      </c>
      <c r="S428" s="856" t="str">
        <f>IFERROR(ROUND(R428*'Project Info and Summary'!$J$5/'Project Info and Summary'!$L$5,2),"")</f>
        <v/>
      </c>
    </row>
    <row r="429" spans="1:19" ht="30" customHeight="1">
      <c r="A429" s="948"/>
      <c r="B429" s="496">
        <f t="shared" si="12"/>
        <v>420</v>
      </c>
      <c r="C429" s="864"/>
      <c r="D429" s="505"/>
      <c r="E429" s="866"/>
      <c r="F429" s="498"/>
      <c r="G429" s="499"/>
      <c r="H429" s="492"/>
      <c r="I429" s="855">
        <f>IFERROR(IFERROR(INDEX('Fixture and LED Schedule'!D:D,MATCH(F429,'Fixture and LED Schedule'!C:C,""),1),F429),"")</f>
        <v>0</v>
      </c>
      <c r="J429" s="855" t="str">
        <f>IFERROR(IF(PRJ_Type="New Construction",H429,INDEX(yControl_Code,MATCH(Inventory!H429,yControlTypes,0),1)),"")</f>
        <v/>
      </c>
      <c r="K429" s="493"/>
      <c r="L429" s="501"/>
      <c r="M429" s="502"/>
      <c r="N429" s="855">
        <f>IFERROR(IFERROR(INDEX('Fixture and LED Schedule'!D:D,MATCH(K429,'Fixture and LED Schedule'!C:C,0),1),K429),"")</f>
        <v>0</v>
      </c>
      <c r="O429" s="858" t="str">
        <f>IFERROR(INDEX(yControl_Code,MATCH(Inventory!M429,yControlTypes,0),1),"")</f>
        <v/>
      </c>
      <c r="P429" s="860" t="str">
        <f>'Lighting Inventory (Ref only)'!AG432</f>
        <v/>
      </c>
      <c r="Q429" s="861" t="str">
        <f>'Lighting Inventory (Ref only)'!AF432</f>
        <v/>
      </c>
      <c r="R429" s="856" t="str">
        <f t="shared" si="13"/>
        <v/>
      </c>
      <c r="S429" s="856" t="str">
        <f>IFERROR(ROUND(R429*'Project Info and Summary'!$J$5/'Project Info and Summary'!$L$5,2),"")</f>
        <v/>
      </c>
    </row>
    <row r="430" spans="1:19" ht="30" customHeight="1">
      <c r="A430" s="948"/>
      <c r="B430" s="496">
        <f t="shared" si="12"/>
        <v>421</v>
      </c>
      <c r="C430" s="864"/>
      <c r="D430" s="505"/>
      <c r="E430" s="866"/>
      <c r="F430" s="498"/>
      <c r="G430" s="499"/>
      <c r="H430" s="492"/>
      <c r="I430" s="855">
        <f>IFERROR(IFERROR(INDEX('Fixture and LED Schedule'!D:D,MATCH(F430,'Fixture and LED Schedule'!C:C,""),1),F430),"")</f>
        <v>0</v>
      </c>
      <c r="J430" s="855" t="str">
        <f>IFERROR(IF(PRJ_Type="New Construction",H430,INDEX(yControl_Code,MATCH(Inventory!H430,yControlTypes,0),1)),"")</f>
        <v/>
      </c>
      <c r="K430" s="493"/>
      <c r="L430" s="501"/>
      <c r="M430" s="502"/>
      <c r="N430" s="855">
        <f>IFERROR(IFERROR(INDEX('Fixture and LED Schedule'!D:D,MATCH(K430,'Fixture and LED Schedule'!C:C,0),1),K430),"")</f>
        <v>0</v>
      </c>
      <c r="O430" s="858" t="str">
        <f>IFERROR(INDEX(yControl_Code,MATCH(Inventory!M430,yControlTypes,0),1),"")</f>
        <v/>
      </c>
      <c r="P430" s="860" t="str">
        <f>'Lighting Inventory (Ref only)'!AG433</f>
        <v/>
      </c>
      <c r="Q430" s="861" t="str">
        <f>'Lighting Inventory (Ref only)'!AF433</f>
        <v/>
      </c>
      <c r="R430" s="856" t="str">
        <f t="shared" si="13"/>
        <v/>
      </c>
      <c r="S430" s="856" t="str">
        <f>IFERROR(ROUND(R430*'Project Info and Summary'!$J$5/'Project Info and Summary'!$L$5,2),"")</f>
        <v/>
      </c>
    </row>
    <row r="431" spans="1:19" ht="30" customHeight="1">
      <c r="A431" s="948"/>
      <c r="B431" s="496">
        <f t="shared" si="12"/>
        <v>422</v>
      </c>
      <c r="C431" s="864"/>
      <c r="D431" s="505"/>
      <c r="E431" s="866"/>
      <c r="F431" s="498"/>
      <c r="G431" s="499"/>
      <c r="H431" s="492"/>
      <c r="I431" s="855">
        <f>IFERROR(IFERROR(INDEX('Fixture and LED Schedule'!D:D,MATCH(F431,'Fixture and LED Schedule'!C:C,""),1),F431),"")</f>
        <v>0</v>
      </c>
      <c r="J431" s="855" t="str">
        <f>IFERROR(IF(PRJ_Type="New Construction",H431,INDEX(yControl_Code,MATCH(Inventory!H431,yControlTypes,0),1)),"")</f>
        <v/>
      </c>
      <c r="K431" s="493"/>
      <c r="L431" s="501"/>
      <c r="M431" s="502"/>
      <c r="N431" s="855">
        <f>IFERROR(IFERROR(INDEX('Fixture and LED Schedule'!D:D,MATCH(K431,'Fixture and LED Schedule'!C:C,0),1),K431),"")</f>
        <v>0</v>
      </c>
      <c r="O431" s="858" t="str">
        <f>IFERROR(INDEX(yControl_Code,MATCH(Inventory!M431,yControlTypes,0),1),"")</f>
        <v/>
      </c>
      <c r="P431" s="860" t="str">
        <f>'Lighting Inventory (Ref only)'!AG434</f>
        <v/>
      </c>
      <c r="Q431" s="861" t="str">
        <f>'Lighting Inventory (Ref only)'!AF434</f>
        <v/>
      </c>
      <c r="R431" s="856" t="str">
        <f t="shared" si="13"/>
        <v/>
      </c>
      <c r="S431" s="856" t="str">
        <f>IFERROR(ROUND(R431*'Project Info and Summary'!$J$5/'Project Info and Summary'!$L$5,2),"")</f>
        <v/>
      </c>
    </row>
    <row r="432" spans="1:19" ht="30" customHeight="1">
      <c r="A432" s="948"/>
      <c r="B432" s="496">
        <f t="shared" si="12"/>
        <v>423</v>
      </c>
      <c r="C432" s="864"/>
      <c r="D432" s="505"/>
      <c r="E432" s="866"/>
      <c r="F432" s="498"/>
      <c r="G432" s="499"/>
      <c r="H432" s="492"/>
      <c r="I432" s="855">
        <f>IFERROR(IFERROR(INDEX('Fixture and LED Schedule'!D:D,MATCH(F432,'Fixture and LED Schedule'!C:C,""),1),F432),"")</f>
        <v>0</v>
      </c>
      <c r="J432" s="855" t="str">
        <f>IFERROR(IF(PRJ_Type="New Construction",H432,INDEX(yControl_Code,MATCH(Inventory!H432,yControlTypes,0),1)),"")</f>
        <v/>
      </c>
      <c r="K432" s="493"/>
      <c r="L432" s="501"/>
      <c r="M432" s="502"/>
      <c r="N432" s="855">
        <f>IFERROR(IFERROR(INDEX('Fixture and LED Schedule'!D:D,MATCH(K432,'Fixture and LED Schedule'!C:C,0),1),K432),"")</f>
        <v>0</v>
      </c>
      <c r="O432" s="858" t="str">
        <f>IFERROR(INDEX(yControl_Code,MATCH(Inventory!M432,yControlTypes,0),1),"")</f>
        <v/>
      </c>
      <c r="P432" s="860" t="str">
        <f>'Lighting Inventory (Ref only)'!AG435</f>
        <v/>
      </c>
      <c r="Q432" s="861" t="str">
        <f>'Lighting Inventory (Ref only)'!AF435</f>
        <v/>
      </c>
      <c r="R432" s="856" t="str">
        <f t="shared" si="13"/>
        <v/>
      </c>
      <c r="S432" s="856" t="str">
        <f>IFERROR(ROUND(R432*'Project Info and Summary'!$J$5/'Project Info and Summary'!$L$5,2),"")</f>
        <v/>
      </c>
    </row>
    <row r="433" spans="1:19" ht="30" customHeight="1">
      <c r="A433" s="948"/>
      <c r="B433" s="496">
        <f t="shared" si="12"/>
        <v>424</v>
      </c>
      <c r="C433" s="864"/>
      <c r="D433" s="505"/>
      <c r="E433" s="866"/>
      <c r="F433" s="498"/>
      <c r="G433" s="499"/>
      <c r="H433" s="492"/>
      <c r="I433" s="855">
        <f>IFERROR(IFERROR(INDEX('Fixture and LED Schedule'!D:D,MATCH(F433,'Fixture and LED Schedule'!C:C,""),1),F433),"")</f>
        <v>0</v>
      </c>
      <c r="J433" s="855" t="str">
        <f>IFERROR(IF(PRJ_Type="New Construction",H433,INDEX(yControl_Code,MATCH(Inventory!H433,yControlTypes,0),1)),"")</f>
        <v/>
      </c>
      <c r="K433" s="493"/>
      <c r="L433" s="501"/>
      <c r="M433" s="502"/>
      <c r="N433" s="855">
        <f>IFERROR(IFERROR(INDEX('Fixture and LED Schedule'!D:D,MATCH(K433,'Fixture and LED Schedule'!C:C,0),1),K433),"")</f>
        <v>0</v>
      </c>
      <c r="O433" s="858" t="str">
        <f>IFERROR(INDEX(yControl_Code,MATCH(Inventory!M433,yControlTypes,0),1),"")</f>
        <v/>
      </c>
      <c r="P433" s="860" t="str">
        <f>'Lighting Inventory (Ref only)'!AG436</f>
        <v/>
      </c>
      <c r="Q433" s="861" t="str">
        <f>'Lighting Inventory (Ref only)'!AF436</f>
        <v/>
      </c>
      <c r="R433" s="856" t="str">
        <f t="shared" si="13"/>
        <v/>
      </c>
      <c r="S433" s="856" t="str">
        <f>IFERROR(ROUND(R433*'Project Info and Summary'!$J$5/'Project Info and Summary'!$L$5,2),"")</f>
        <v/>
      </c>
    </row>
    <row r="434" spans="1:19" ht="30" customHeight="1">
      <c r="A434" s="948"/>
      <c r="B434" s="496">
        <f t="shared" si="12"/>
        <v>425</v>
      </c>
      <c r="C434" s="864"/>
      <c r="D434" s="505"/>
      <c r="E434" s="866"/>
      <c r="F434" s="498"/>
      <c r="G434" s="499"/>
      <c r="H434" s="492"/>
      <c r="I434" s="855">
        <f>IFERROR(IFERROR(INDEX('Fixture and LED Schedule'!D:D,MATCH(F434,'Fixture and LED Schedule'!C:C,""),1),F434),"")</f>
        <v>0</v>
      </c>
      <c r="J434" s="855" t="str">
        <f>IFERROR(IF(PRJ_Type="New Construction",H434,INDEX(yControl_Code,MATCH(Inventory!H434,yControlTypes,0),1)),"")</f>
        <v/>
      </c>
      <c r="K434" s="493"/>
      <c r="L434" s="501"/>
      <c r="M434" s="502"/>
      <c r="N434" s="855">
        <f>IFERROR(IFERROR(INDEX('Fixture and LED Schedule'!D:D,MATCH(K434,'Fixture and LED Schedule'!C:C,0),1),K434),"")</f>
        <v>0</v>
      </c>
      <c r="O434" s="858" t="str">
        <f>IFERROR(INDEX(yControl_Code,MATCH(Inventory!M434,yControlTypes,0),1),"")</f>
        <v/>
      </c>
      <c r="P434" s="860" t="str">
        <f>'Lighting Inventory (Ref only)'!AG437</f>
        <v/>
      </c>
      <c r="Q434" s="861" t="str">
        <f>'Lighting Inventory (Ref only)'!AF437</f>
        <v/>
      </c>
      <c r="R434" s="856" t="str">
        <f t="shared" si="13"/>
        <v/>
      </c>
      <c r="S434" s="856" t="str">
        <f>IFERROR(ROUND(R434*'Project Info and Summary'!$J$5/'Project Info and Summary'!$L$5,2),"")</f>
        <v/>
      </c>
    </row>
    <row r="435" spans="1:19" ht="30" customHeight="1">
      <c r="A435" s="948"/>
      <c r="B435" s="496">
        <f t="shared" si="12"/>
        <v>426</v>
      </c>
      <c r="C435" s="864"/>
      <c r="D435" s="505"/>
      <c r="E435" s="866"/>
      <c r="F435" s="498"/>
      <c r="G435" s="499"/>
      <c r="H435" s="492"/>
      <c r="I435" s="855">
        <f>IFERROR(IFERROR(INDEX('Fixture and LED Schedule'!D:D,MATCH(F435,'Fixture and LED Schedule'!C:C,""),1),F435),"")</f>
        <v>0</v>
      </c>
      <c r="J435" s="855" t="str">
        <f>IFERROR(IF(PRJ_Type="New Construction",H435,INDEX(yControl_Code,MATCH(Inventory!H435,yControlTypes,0),1)),"")</f>
        <v/>
      </c>
      <c r="K435" s="493"/>
      <c r="L435" s="501"/>
      <c r="M435" s="502"/>
      <c r="N435" s="855">
        <f>IFERROR(IFERROR(INDEX('Fixture and LED Schedule'!D:D,MATCH(K435,'Fixture and LED Schedule'!C:C,0),1),K435),"")</f>
        <v>0</v>
      </c>
      <c r="O435" s="858" t="str">
        <f>IFERROR(INDEX(yControl_Code,MATCH(Inventory!M435,yControlTypes,0),1),"")</f>
        <v/>
      </c>
      <c r="P435" s="860" t="str">
        <f>'Lighting Inventory (Ref only)'!AG438</f>
        <v/>
      </c>
      <c r="Q435" s="861" t="str">
        <f>'Lighting Inventory (Ref only)'!AF438</f>
        <v/>
      </c>
      <c r="R435" s="856" t="str">
        <f t="shared" si="13"/>
        <v/>
      </c>
      <c r="S435" s="856" t="str">
        <f>IFERROR(ROUND(R435*'Project Info and Summary'!$J$5/'Project Info and Summary'!$L$5,2),"")</f>
        <v/>
      </c>
    </row>
    <row r="436" spans="1:19" ht="30" customHeight="1">
      <c r="A436" s="948"/>
      <c r="B436" s="496">
        <f t="shared" si="12"/>
        <v>427</v>
      </c>
      <c r="C436" s="864"/>
      <c r="D436" s="505"/>
      <c r="E436" s="866"/>
      <c r="F436" s="498"/>
      <c r="G436" s="499"/>
      <c r="H436" s="492"/>
      <c r="I436" s="855">
        <f>IFERROR(IFERROR(INDEX('Fixture and LED Schedule'!D:D,MATCH(F436,'Fixture and LED Schedule'!C:C,""),1),F436),"")</f>
        <v>0</v>
      </c>
      <c r="J436" s="855" t="str">
        <f>IFERROR(IF(PRJ_Type="New Construction",H436,INDEX(yControl_Code,MATCH(Inventory!H436,yControlTypes,0),1)),"")</f>
        <v/>
      </c>
      <c r="K436" s="493"/>
      <c r="L436" s="501"/>
      <c r="M436" s="502"/>
      <c r="N436" s="855">
        <f>IFERROR(IFERROR(INDEX('Fixture and LED Schedule'!D:D,MATCH(K436,'Fixture and LED Schedule'!C:C,0),1),K436),"")</f>
        <v>0</v>
      </c>
      <c r="O436" s="858" t="str">
        <f>IFERROR(INDEX(yControl_Code,MATCH(Inventory!M436,yControlTypes,0),1),"")</f>
        <v/>
      </c>
      <c r="P436" s="860" t="str">
        <f>'Lighting Inventory (Ref only)'!AG439</f>
        <v/>
      </c>
      <c r="Q436" s="861" t="str">
        <f>'Lighting Inventory (Ref only)'!AF439</f>
        <v/>
      </c>
      <c r="R436" s="856" t="str">
        <f t="shared" si="13"/>
        <v/>
      </c>
      <c r="S436" s="856" t="str">
        <f>IFERROR(ROUND(R436*'Project Info and Summary'!$J$5/'Project Info and Summary'!$L$5,2),"")</f>
        <v/>
      </c>
    </row>
    <row r="437" spans="1:19" ht="30" customHeight="1">
      <c r="A437" s="948"/>
      <c r="B437" s="496">
        <f t="shared" si="12"/>
        <v>428</v>
      </c>
      <c r="C437" s="864"/>
      <c r="D437" s="505"/>
      <c r="E437" s="866"/>
      <c r="F437" s="498"/>
      <c r="G437" s="499"/>
      <c r="H437" s="492"/>
      <c r="I437" s="855">
        <f>IFERROR(IFERROR(INDEX('Fixture and LED Schedule'!D:D,MATCH(F437,'Fixture and LED Schedule'!C:C,""),1),F437),"")</f>
        <v>0</v>
      </c>
      <c r="J437" s="855" t="str">
        <f>IFERROR(IF(PRJ_Type="New Construction",H437,INDEX(yControl_Code,MATCH(Inventory!H437,yControlTypes,0),1)),"")</f>
        <v/>
      </c>
      <c r="K437" s="493"/>
      <c r="L437" s="501"/>
      <c r="M437" s="502"/>
      <c r="N437" s="855">
        <f>IFERROR(IFERROR(INDEX('Fixture and LED Schedule'!D:D,MATCH(K437,'Fixture and LED Schedule'!C:C,0),1),K437),"")</f>
        <v>0</v>
      </c>
      <c r="O437" s="858" t="str">
        <f>IFERROR(INDEX(yControl_Code,MATCH(Inventory!M437,yControlTypes,0),1),"")</f>
        <v/>
      </c>
      <c r="P437" s="860" t="str">
        <f>'Lighting Inventory (Ref only)'!AG440</f>
        <v/>
      </c>
      <c r="Q437" s="861" t="str">
        <f>'Lighting Inventory (Ref only)'!AF440</f>
        <v/>
      </c>
      <c r="R437" s="856" t="str">
        <f t="shared" si="13"/>
        <v/>
      </c>
      <c r="S437" s="856" t="str">
        <f>IFERROR(ROUND(R437*'Project Info and Summary'!$J$5/'Project Info and Summary'!$L$5,2),"")</f>
        <v/>
      </c>
    </row>
    <row r="438" spans="1:19" ht="30" customHeight="1">
      <c r="A438" s="948"/>
      <c r="B438" s="496">
        <f t="shared" si="12"/>
        <v>429</v>
      </c>
      <c r="C438" s="864"/>
      <c r="D438" s="505"/>
      <c r="E438" s="866"/>
      <c r="F438" s="498"/>
      <c r="G438" s="499"/>
      <c r="H438" s="492"/>
      <c r="I438" s="855">
        <f>IFERROR(IFERROR(INDEX('Fixture and LED Schedule'!D:D,MATCH(F438,'Fixture and LED Schedule'!C:C,""),1),F438),"")</f>
        <v>0</v>
      </c>
      <c r="J438" s="855" t="str">
        <f>IFERROR(IF(PRJ_Type="New Construction",H438,INDEX(yControl_Code,MATCH(Inventory!H438,yControlTypes,0),1)),"")</f>
        <v/>
      </c>
      <c r="K438" s="493"/>
      <c r="L438" s="501"/>
      <c r="M438" s="502"/>
      <c r="N438" s="855">
        <f>IFERROR(IFERROR(INDEX('Fixture and LED Schedule'!D:D,MATCH(K438,'Fixture and LED Schedule'!C:C,0),1),K438),"")</f>
        <v>0</v>
      </c>
      <c r="O438" s="858" t="str">
        <f>IFERROR(INDEX(yControl_Code,MATCH(Inventory!M438,yControlTypes,0),1),"")</f>
        <v/>
      </c>
      <c r="P438" s="860" t="str">
        <f>'Lighting Inventory (Ref only)'!AG441</f>
        <v/>
      </c>
      <c r="Q438" s="861" t="str">
        <f>'Lighting Inventory (Ref only)'!AF441</f>
        <v/>
      </c>
      <c r="R438" s="856" t="str">
        <f t="shared" si="13"/>
        <v/>
      </c>
      <c r="S438" s="856" t="str">
        <f>IFERROR(ROUND(R438*'Project Info and Summary'!$J$5/'Project Info and Summary'!$L$5,2),"")</f>
        <v/>
      </c>
    </row>
    <row r="439" spans="1:19" ht="30" customHeight="1">
      <c r="A439" s="948"/>
      <c r="B439" s="496">
        <f t="shared" si="12"/>
        <v>430</v>
      </c>
      <c r="C439" s="864"/>
      <c r="D439" s="505"/>
      <c r="E439" s="866"/>
      <c r="F439" s="498"/>
      <c r="G439" s="499"/>
      <c r="H439" s="492"/>
      <c r="I439" s="855">
        <f>IFERROR(IFERROR(INDEX('Fixture and LED Schedule'!D:D,MATCH(F439,'Fixture and LED Schedule'!C:C,""),1),F439),"")</f>
        <v>0</v>
      </c>
      <c r="J439" s="855" t="str">
        <f>IFERROR(IF(PRJ_Type="New Construction",H439,INDEX(yControl_Code,MATCH(Inventory!H439,yControlTypes,0),1)),"")</f>
        <v/>
      </c>
      <c r="K439" s="493"/>
      <c r="L439" s="501"/>
      <c r="M439" s="502"/>
      <c r="N439" s="855">
        <f>IFERROR(IFERROR(INDEX('Fixture and LED Schedule'!D:D,MATCH(K439,'Fixture and LED Schedule'!C:C,0),1),K439),"")</f>
        <v>0</v>
      </c>
      <c r="O439" s="858" t="str">
        <f>IFERROR(INDEX(yControl_Code,MATCH(Inventory!M439,yControlTypes,0),1),"")</f>
        <v/>
      </c>
      <c r="P439" s="860" t="str">
        <f>'Lighting Inventory (Ref only)'!AG442</f>
        <v/>
      </c>
      <c r="Q439" s="861" t="str">
        <f>'Lighting Inventory (Ref only)'!AF442</f>
        <v/>
      </c>
      <c r="R439" s="856" t="str">
        <f t="shared" si="13"/>
        <v/>
      </c>
      <c r="S439" s="856" t="str">
        <f>IFERROR(ROUND(R439*'Project Info and Summary'!$J$5/'Project Info and Summary'!$L$5,2),"")</f>
        <v/>
      </c>
    </row>
    <row r="440" spans="1:19" ht="30" customHeight="1">
      <c r="A440" s="948"/>
      <c r="B440" s="496">
        <f t="shared" si="12"/>
        <v>431</v>
      </c>
      <c r="C440" s="864"/>
      <c r="D440" s="505"/>
      <c r="E440" s="866"/>
      <c r="F440" s="498"/>
      <c r="G440" s="499"/>
      <c r="H440" s="492"/>
      <c r="I440" s="855">
        <f>IFERROR(IFERROR(INDEX('Fixture and LED Schedule'!D:D,MATCH(F440,'Fixture and LED Schedule'!C:C,""),1),F440),"")</f>
        <v>0</v>
      </c>
      <c r="J440" s="855" t="str">
        <f>IFERROR(IF(PRJ_Type="New Construction",H440,INDEX(yControl_Code,MATCH(Inventory!H440,yControlTypes,0),1)),"")</f>
        <v/>
      </c>
      <c r="K440" s="493"/>
      <c r="L440" s="501"/>
      <c r="M440" s="502"/>
      <c r="N440" s="855">
        <f>IFERROR(IFERROR(INDEX('Fixture and LED Schedule'!D:D,MATCH(K440,'Fixture and LED Schedule'!C:C,0),1),K440),"")</f>
        <v>0</v>
      </c>
      <c r="O440" s="858" t="str">
        <f>IFERROR(INDEX(yControl_Code,MATCH(Inventory!M440,yControlTypes,0),1),"")</f>
        <v/>
      </c>
      <c r="P440" s="860" t="str">
        <f>'Lighting Inventory (Ref only)'!AG443</f>
        <v/>
      </c>
      <c r="Q440" s="861" t="str">
        <f>'Lighting Inventory (Ref only)'!AF443</f>
        <v/>
      </c>
      <c r="R440" s="856" t="str">
        <f t="shared" si="13"/>
        <v/>
      </c>
      <c r="S440" s="856" t="str">
        <f>IFERROR(ROUND(R440*'Project Info and Summary'!$J$5/'Project Info and Summary'!$L$5,2),"")</f>
        <v/>
      </c>
    </row>
    <row r="441" spans="1:19" ht="30" customHeight="1">
      <c r="A441" s="948"/>
      <c r="B441" s="496">
        <f t="shared" si="12"/>
        <v>432</v>
      </c>
      <c r="C441" s="864"/>
      <c r="D441" s="505"/>
      <c r="E441" s="866"/>
      <c r="F441" s="498"/>
      <c r="G441" s="499"/>
      <c r="H441" s="492"/>
      <c r="I441" s="855">
        <f>IFERROR(IFERROR(INDEX('Fixture and LED Schedule'!D:D,MATCH(F441,'Fixture and LED Schedule'!C:C,""),1),F441),"")</f>
        <v>0</v>
      </c>
      <c r="J441" s="855" t="str">
        <f>IFERROR(IF(PRJ_Type="New Construction",H441,INDEX(yControl_Code,MATCH(Inventory!H441,yControlTypes,0),1)),"")</f>
        <v/>
      </c>
      <c r="K441" s="493"/>
      <c r="L441" s="501"/>
      <c r="M441" s="502"/>
      <c r="N441" s="855">
        <f>IFERROR(IFERROR(INDEX('Fixture and LED Schedule'!D:D,MATCH(K441,'Fixture and LED Schedule'!C:C,0),1),K441),"")</f>
        <v>0</v>
      </c>
      <c r="O441" s="858" t="str">
        <f>IFERROR(INDEX(yControl_Code,MATCH(Inventory!M441,yControlTypes,0),1),"")</f>
        <v/>
      </c>
      <c r="P441" s="860" t="str">
        <f>'Lighting Inventory (Ref only)'!AG444</f>
        <v/>
      </c>
      <c r="Q441" s="861" t="str">
        <f>'Lighting Inventory (Ref only)'!AF444</f>
        <v/>
      </c>
      <c r="R441" s="856" t="str">
        <f t="shared" si="13"/>
        <v/>
      </c>
      <c r="S441" s="856" t="str">
        <f>IFERROR(ROUND(R441*'Project Info and Summary'!$J$5/'Project Info and Summary'!$L$5,2),"")</f>
        <v/>
      </c>
    </row>
    <row r="442" spans="1:19" ht="30" customHeight="1">
      <c r="A442" s="948"/>
      <c r="B442" s="496">
        <f t="shared" si="12"/>
        <v>433</v>
      </c>
      <c r="C442" s="864"/>
      <c r="D442" s="505"/>
      <c r="E442" s="866"/>
      <c r="F442" s="498"/>
      <c r="G442" s="499"/>
      <c r="H442" s="492"/>
      <c r="I442" s="855">
        <f>IFERROR(IFERROR(INDEX('Fixture and LED Schedule'!D:D,MATCH(F442,'Fixture and LED Schedule'!C:C,""),1),F442),"")</f>
        <v>0</v>
      </c>
      <c r="J442" s="855" t="str">
        <f>IFERROR(IF(PRJ_Type="New Construction",H442,INDEX(yControl_Code,MATCH(Inventory!H442,yControlTypes,0),1)),"")</f>
        <v/>
      </c>
      <c r="K442" s="493"/>
      <c r="L442" s="501"/>
      <c r="M442" s="502"/>
      <c r="N442" s="855">
        <f>IFERROR(IFERROR(INDEX('Fixture and LED Schedule'!D:D,MATCH(K442,'Fixture and LED Schedule'!C:C,0),1),K442),"")</f>
        <v>0</v>
      </c>
      <c r="O442" s="858" t="str">
        <f>IFERROR(INDEX(yControl_Code,MATCH(Inventory!M442,yControlTypes,0),1),"")</f>
        <v/>
      </c>
      <c r="P442" s="860" t="str">
        <f>'Lighting Inventory (Ref only)'!AG445</f>
        <v/>
      </c>
      <c r="Q442" s="861" t="str">
        <f>'Lighting Inventory (Ref only)'!AF445</f>
        <v/>
      </c>
      <c r="R442" s="856" t="str">
        <f t="shared" si="13"/>
        <v/>
      </c>
      <c r="S442" s="856" t="str">
        <f>IFERROR(ROUND(R442*'Project Info and Summary'!$J$5/'Project Info and Summary'!$L$5,2),"")</f>
        <v/>
      </c>
    </row>
    <row r="443" spans="1:19" ht="30" customHeight="1">
      <c r="A443" s="948"/>
      <c r="B443" s="496">
        <f t="shared" si="12"/>
        <v>434</v>
      </c>
      <c r="C443" s="864"/>
      <c r="D443" s="505"/>
      <c r="E443" s="866"/>
      <c r="F443" s="498"/>
      <c r="G443" s="499"/>
      <c r="H443" s="492"/>
      <c r="I443" s="855">
        <f>IFERROR(IFERROR(INDEX('Fixture and LED Schedule'!D:D,MATCH(F443,'Fixture and LED Schedule'!C:C,""),1),F443),"")</f>
        <v>0</v>
      </c>
      <c r="J443" s="855" t="str">
        <f>IFERROR(IF(PRJ_Type="New Construction",H443,INDEX(yControl_Code,MATCH(Inventory!H443,yControlTypes,0),1)),"")</f>
        <v/>
      </c>
      <c r="K443" s="493"/>
      <c r="L443" s="501"/>
      <c r="M443" s="502"/>
      <c r="N443" s="855">
        <f>IFERROR(IFERROR(INDEX('Fixture and LED Schedule'!D:D,MATCH(K443,'Fixture and LED Schedule'!C:C,0),1),K443),"")</f>
        <v>0</v>
      </c>
      <c r="O443" s="858" t="str">
        <f>IFERROR(INDEX(yControl_Code,MATCH(Inventory!M443,yControlTypes,0),1),"")</f>
        <v/>
      </c>
      <c r="P443" s="860" t="str">
        <f>'Lighting Inventory (Ref only)'!AG446</f>
        <v/>
      </c>
      <c r="Q443" s="861" t="str">
        <f>'Lighting Inventory (Ref only)'!AF446</f>
        <v/>
      </c>
      <c r="R443" s="856" t="str">
        <f t="shared" si="13"/>
        <v/>
      </c>
      <c r="S443" s="856" t="str">
        <f>IFERROR(ROUND(R443*'Project Info and Summary'!$J$5/'Project Info and Summary'!$L$5,2),"")</f>
        <v/>
      </c>
    </row>
    <row r="444" spans="1:19" ht="30" customHeight="1">
      <c r="A444" s="948"/>
      <c r="B444" s="496">
        <f t="shared" si="12"/>
        <v>435</v>
      </c>
      <c r="C444" s="864"/>
      <c r="D444" s="505"/>
      <c r="E444" s="866"/>
      <c r="F444" s="498"/>
      <c r="G444" s="499"/>
      <c r="H444" s="492"/>
      <c r="I444" s="855">
        <f>IFERROR(IFERROR(INDEX('Fixture and LED Schedule'!D:D,MATCH(F444,'Fixture and LED Schedule'!C:C,""),1),F444),"")</f>
        <v>0</v>
      </c>
      <c r="J444" s="855" t="str">
        <f>IFERROR(IF(PRJ_Type="New Construction",H444,INDEX(yControl_Code,MATCH(Inventory!H444,yControlTypes,0),1)),"")</f>
        <v/>
      </c>
      <c r="K444" s="493"/>
      <c r="L444" s="501"/>
      <c r="M444" s="502"/>
      <c r="N444" s="855">
        <f>IFERROR(IFERROR(INDEX('Fixture and LED Schedule'!D:D,MATCH(K444,'Fixture and LED Schedule'!C:C,0),1),K444),"")</f>
        <v>0</v>
      </c>
      <c r="O444" s="858" t="str">
        <f>IFERROR(INDEX(yControl_Code,MATCH(Inventory!M444,yControlTypes,0),1),"")</f>
        <v/>
      </c>
      <c r="P444" s="860" t="str">
        <f>'Lighting Inventory (Ref only)'!AG447</f>
        <v/>
      </c>
      <c r="Q444" s="861" t="str">
        <f>'Lighting Inventory (Ref only)'!AF447</f>
        <v/>
      </c>
      <c r="R444" s="856" t="str">
        <f t="shared" si="13"/>
        <v/>
      </c>
      <c r="S444" s="856" t="str">
        <f>IFERROR(ROUND(R444*'Project Info and Summary'!$J$5/'Project Info and Summary'!$L$5,2),"")</f>
        <v/>
      </c>
    </row>
    <row r="445" spans="1:19" ht="30" customHeight="1">
      <c r="A445" s="948"/>
      <c r="B445" s="496">
        <f t="shared" ref="B445:B508" si="14">B444+1</f>
        <v>436</v>
      </c>
      <c r="C445" s="864"/>
      <c r="D445" s="505"/>
      <c r="E445" s="866"/>
      <c r="F445" s="498"/>
      <c r="G445" s="499"/>
      <c r="H445" s="492"/>
      <c r="I445" s="855">
        <f>IFERROR(IFERROR(INDEX('Fixture and LED Schedule'!D:D,MATCH(F445,'Fixture and LED Schedule'!C:C,""),1),F445),"")</f>
        <v>0</v>
      </c>
      <c r="J445" s="855" t="str">
        <f>IFERROR(IF(PRJ_Type="New Construction",H445,INDEX(yControl_Code,MATCH(Inventory!H445,yControlTypes,0),1)),"")</f>
        <v/>
      </c>
      <c r="K445" s="493"/>
      <c r="L445" s="501"/>
      <c r="M445" s="502"/>
      <c r="N445" s="855">
        <f>IFERROR(IFERROR(INDEX('Fixture and LED Schedule'!D:D,MATCH(K445,'Fixture and LED Schedule'!C:C,0),1),K445),"")</f>
        <v>0</v>
      </c>
      <c r="O445" s="858" t="str">
        <f>IFERROR(INDEX(yControl_Code,MATCH(Inventory!M445,yControlTypes,0),1),"")</f>
        <v/>
      </c>
      <c r="P445" s="860" t="str">
        <f>'Lighting Inventory (Ref only)'!AG448</f>
        <v/>
      </c>
      <c r="Q445" s="861" t="str">
        <f>'Lighting Inventory (Ref only)'!AF448</f>
        <v/>
      </c>
      <c r="R445" s="856" t="str">
        <f t="shared" si="13"/>
        <v/>
      </c>
      <c r="S445" s="856" t="str">
        <f>IFERROR(ROUND(R445*'Project Info and Summary'!$J$5/'Project Info and Summary'!$L$5,2),"")</f>
        <v/>
      </c>
    </row>
    <row r="446" spans="1:19" ht="30" customHeight="1">
      <c r="A446" s="948"/>
      <c r="B446" s="496">
        <f t="shared" si="14"/>
        <v>437</v>
      </c>
      <c r="C446" s="864"/>
      <c r="D446" s="505"/>
      <c r="E446" s="866"/>
      <c r="F446" s="498"/>
      <c r="G446" s="499"/>
      <c r="H446" s="492"/>
      <c r="I446" s="855">
        <f>IFERROR(IFERROR(INDEX('Fixture and LED Schedule'!D:D,MATCH(F446,'Fixture and LED Schedule'!C:C,""),1),F446),"")</f>
        <v>0</v>
      </c>
      <c r="J446" s="855" t="str">
        <f>IFERROR(IF(PRJ_Type="New Construction",H446,INDEX(yControl_Code,MATCH(Inventory!H446,yControlTypes,0),1)),"")</f>
        <v/>
      </c>
      <c r="K446" s="493"/>
      <c r="L446" s="501"/>
      <c r="M446" s="502"/>
      <c r="N446" s="855">
        <f>IFERROR(IFERROR(INDEX('Fixture and LED Schedule'!D:D,MATCH(K446,'Fixture and LED Schedule'!C:C,0),1),K446),"")</f>
        <v>0</v>
      </c>
      <c r="O446" s="858" t="str">
        <f>IFERROR(INDEX(yControl_Code,MATCH(Inventory!M446,yControlTypes,0),1),"")</f>
        <v/>
      </c>
      <c r="P446" s="860" t="str">
        <f>'Lighting Inventory (Ref only)'!AG449</f>
        <v/>
      </c>
      <c r="Q446" s="861" t="str">
        <f>'Lighting Inventory (Ref only)'!AF449</f>
        <v/>
      </c>
      <c r="R446" s="856" t="str">
        <f t="shared" si="13"/>
        <v/>
      </c>
      <c r="S446" s="856" t="str">
        <f>IFERROR(ROUND(R446*'Project Info and Summary'!$J$5/'Project Info and Summary'!$L$5,2),"")</f>
        <v/>
      </c>
    </row>
    <row r="447" spans="1:19" ht="30" customHeight="1">
      <c r="A447" s="948"/>
      <c r="B447" s="496">
        <f t="shared" si="14"/>
        <v>438</v>
      </c>
      <c r="C447" s="864"/>
      <c r="D447" s="505"/>
      <c r="E447" s="866"/>
      <c r="F447" s="498"/>
      <c r="G447" s="499"/>
      <c r="H447" s="492"/>
      <c r="I447" s="855">
        <f>IFERROR(IFERROR(INDEX('Fixture and LED Schedule'!D:D,MATCH(F447,'Fixture and LED Schedule'!C:C,""),1),F447),"")</f>
        <v>0</v>
      </c>
      <c r="J447" s="855" t="str">
        <f>IFERROR(IF(PRJ_Type="New Construction",H447,INDEX(yControl_Code,MATCH(Inventory!H447,yControlTypes,0),1)),"")</f>
        <v/>
      </c>
      <c r="K447" s="493"/>
      <c r="L447" s="501"/>
      <c r="M447" s="502"/>
      <c r="N447" s="855">
        <f>IFERROR(IFERROR(INDEX('Fixture and LED Schedule'!D:D,MATCH(K447,'Fixture and LED Schedule'!C:C,0),1),K447),"")</f>
        <v>0</v>
      </c>
      <c r="O447" s="858" t="str">
        <f>IFERROR(INDEX(yControl_Code,MATCH(Inventory!M447,yControlTypes,0),1),"")</f>
        <v/>
      </c>
      <c r="P447" s="860" t="str">
        <f>'Lighting Inventory (Ref only)'!AG450</f>
        <v/>
      </c>
      <c r="Q447" s="861" t="str">
        <f>'Lighting Inventory (Ref only)'!AF450</f>
        <v/>
      </c>
      <c r="R447" s="856" t="str">
        <f t="shared" si="13"/>
        <v/>
      </c>
      <c r="S447" s="856" t="str">
        <f>IFERROR(ROUND(R447*'Project Info and Summary'!$J$5/'Project Info and Summary'!$L$5,2),"")</f>
        <v/>
      </c>
    </row>
    <row r="448" spans="1:19" ht="30" customHeight="1">
      <c r="A448" s="948"/>
      <c r="B448" s="496">
        <f t="shared" si="14"/>
        <v>439</v>
      </c>
      <c r="C448" s="864"/>
      <c r="D448" s="505"/>
      <c r="E448" s="866"/>
      <c r="F448" s="498"/>
      <c r="G448" s="499"/>
      <c r="H448" s="492"/>
      <c r="I448" s="855">
        <f>IFERROR(IFERROR(INDEX('Fixture and LED Schedule'!D:D,MATCH(F448,'Fixture and LED Schedule'!C:C,""),1),F448),"")</f>
        <v>0</v>
      </c>
      <c r="J448" s="855" t="str">
        <f>IFERROR(IF(PRJ_Type="New Construction",H448,INDEX(yControl_Code,MATCH(Inventory!H448,yControlTypes,0),1)),"")</f>
        <v/>
      </c>
      <c r="K448" s="493"/>
      <c r="L448" s="501"/>
      <c r="M448" s="502"/>
      <c r="N448" s="855">
        <f>IFERROR(IFERROR(INDEX('Fixture and LED Schedule'!D:D,MATCH(K448,'Fixture and LED Schedule'!C:C,0),1),K448),"")</f>
        <v>0</v>
      </c>
      <c r="O448" s="858" t="str">
        <f>IFERROR(INDEX(yControl_Code,MATCH(Inventory!M448,yControlTypes,0),1),"")</f>
        <v/>
      </c>
      <c r="P448" s="860" t="str">
        <f>'Lighting Inventory (Ref only)'!AG451</f>
        <v/>
      </c>
      <c r="Q448" s="861" t="str">
        <f>'Lighting Inventory (Ref only)'!AF451</f>
        <v/>
      </c>
      <c r="R448" s="856" t="str">
        <f t="shared" si="13"/>
        <v/>
      </c>
      <c r="S448" s="856" t="str">
        <f>IFERROR(ROUND(R448*'Project Info and Summary'!$J$5/'Project Info and Summary'!$L$5,2),"")</f>
        <v/>
      </c>
    </row>
    <row r="449" spans="1:19" ht="30" customHeight="1">
      <c r="A449" s="948"/>
      <c r="B449" s="496">
        <f t="shared" si="14"/>
        <v>440</v>
      </c>
      <c r="C449" s="864"/>
      <c r="D449" s="505"/>
      <c r="E449" s="866"/>
      <c r="F449" s="498"/>
      <c r="G449" s="499"/>
      <c r="H449" s="492"/>
      <c r="I449" s="855">
        <f>IFERROR(IFERROR(INDEX('Fixture and LED Schedule'!D:D,MATCH(F449,'Fixture and LED Schedule'!C:C,""),1),F449),"")</f>
        <v>0</v>
      </c>
      <c r="J449" s="855" t="str">
        <f>IFERROR(IF(PRJ_Type="New Construction",H449,INDEX(yControl_Code,MATCH(Inventory!H449,yControlTypes,0),1)),"")</f>
        <v/>
      </c>
      <c r="K449" s="493"/>
      <c r="L449" s="501"/>
      <c r="M449" s="502"/>
      <c r="N449" s="855">
        <f>IFERROR(IFERROR(INDEX('Fixture and LED Schedule'!D:D,MATCH(K449,'Fixture and LED Schedule'!C:C,0),1),K449),"")</f>
        <v>0</v>
      </c>
      <c r="O449" s="858" t="str">
        <f>IFERROR(INDEX(yControl_Code,MATCH(Inventory!M449,yControlTypes,0),1),"")</f>
        <v/>
      </c>
      <c r="P449" s="860" t="str">
        <f>'Lighting Inventory (Ref only)'!AG452</f>
        <v/>
      </c>
      <c r="Q449" s="861" t="str">
        <f>'Lighting Inventory (Ref only)'!AF452</f>
        <v/>
      </c>
      <c r="R449" s="856" t="str">
        <f t="shared" si="13"/>
        <v/>
      </c>
      <c r="S449" s="856" t="str">
        <f>IFERROR(ROUND(R449*'Project Info and Summary'!$J$5/'Project Info and Summary'!$L$5,2),"")</f>
        <v/>
      </c>
    </row>
    <row r="450" spans="1:19" ht="30" customHeight="1">
      <c r="A450" s="948"/>
      <c r="B450" s="496">
        <f t="shared" si="14"/>
        <v>441</v>
      </c>
      <c r="C450" s="864"/>
      <c r="D450" s="505"/>
      <c r="E450" s="866"/>
      <c r="F450" s="498"/>
      <c r="G450" s="499"/>
      <c r="H450" s="492"/>
      <c r="I450" s="855">
        <f>IFERROR(IFERROR(INDEX('Fixture and LED Schedule'!D:D,MATCH(F450,'Fixture and LED Schedule'!C:C,""),1),F450),"")</f>
        <v>0</v>
      </c>
      <c r="J450" s="855" t="str">
        <f>IFERROR(IF(PRJ_Type="New Construction",H450,INDEX(yControl_Code,MATCH(Inventory!H450,yControlTypes,0),1)),"")</f>
        <v/>
      </c>
      <c r="K450" s="493"/>
      <c r="L450" s="501"/>
      <c r="M450" s="502"/>
      <c r="N450" s="855">
        <f>IFERROR(IFERROR(INDEX('Fixture and LED Schedule'!D:D,MATCH(K450,'Fixture and LED Schedule'!C:C,0),1),K450),"")</f>
        <v>0</v>
      </c>
      <c r="O450" s="858" t="str">
        <f>IFERROR(INDEX(yControl_Code,MATCH(Inventory!M450,yControlTypes,0),1),"")</f>
        <v/>
      </c>
      <c r="P450" s="860" t="str">
        <f>'Lighting Inventory (Ref only)'!AG453</f>
        <v/>
      </c>
      <c r="Q450" s="861" t="str">
        <f>'Lighting Inventory (Ref only)'!AF453</f>
        <v/>
      </c>
      <c r="R450" s="856" t="str">
        <f t="shared" si="13"/>
        <v/>
      </c>
      <c r="S450" s="856" t="str">
        <f>IFERROR(ROUND(R450*'Project Info and Summary'!$J$5/'Project Info and Summary'!$L$5,2),"")</f>
        <v/>
      </c>
    </row>
    <row r="451" spans="1:19" ht="30" customHeight="1">
      <c r="A451" s="948"/>
      <c r="B451" s="496">
        <f t="shared" si="14"/>
        <v>442</v>
      </c>
      <c r="C451" s="864"/>
      <c r="D451" s="505"/>
      <c r="E451" s="866"/>
      <c r="F451" s="498"/>
      <c r="G451" s="499"/>
      <c r="H451" s="492"/>
      <c r="I451" s="855">
        <f>IFERROR(IFERROR(INDEX('Fixture and LED Schedule'!D:D,MATCH(F451,'Fixture and LED Schedule'!C:C,""),1),F451),"")</f>
        <v>0</v>
      </c>
      <c r="J451" s="855" t="str">
        <f>IFERROR(IF(PRJ_Type="New Construction",H451,INDEX(yControl_Code,MATCH(Inventory!H451,yControlTypes,0),1)),"")</f>
        <v/>
      </c>
      <c r="K451" s="493"/>
      <c r="L451" s="501"/>
      <c r="M451" s="502"/>
      <c r="N451" s="855">
        <f>IFERROR(IFERROR(INDEX('Fixture and LED Schedule'!D:D,MATCH(K451,'Fixture and LED Schedule'!C:C,0),1),K451),"")</f>
        <v>0</v>
      </c>
      <c r="O451" s="858" t="str">
        <f>IFERROR(INDEX(yControl_Code,MATCH(Inventory!M451,yControlTypes,0),1),"")</f>
        <v/>
      </c>
      <c r="P451" s="860" t="str">
        <f>'Lighting Inventory (Ref only)'!AG454</f>
        <v/>
      </c>
      <c r="Q451" s="861" t="str">
        <f>'Lighting Inventory (Ref only)'!AF454</f>
        <v/>
      </c>
      <c r="R451" s="856" t="str">
        <f t="shared" si="13"/>
        <v/>
      </c>
      <c r="S451" s="856" t="str">
        <f>IFERROR(ROUND(R451*'Project Info and Summary'!$J$5/'Project Info and Summary'!$L$5,2),"")</f>
        <v/>
      </c>
    </row>
    <row r="452" spans="1:19" ht="30" customHeight="1">
      <c r="A452" s="948"/>
      <c r="B452" s="496">
        <f t="shared" si="14"/>
        <v>443</v>
      </c>
      <c r="C452" s="864"/>
      <c r="D452" s="505"/>
      <c r="E452" s="866"/>
      <c r="F452" s="498"/>
      <c r="G452" s="499"/>
      <c r="H452" s="492"/>
      <c r="I452" s="855">
        <f>IFERROR(IFERROR(INDEX('Fixture and LED Schedule'!D:D,MATCH(F452,'Fixture and LED Schedule'!C:C,""),1),F452),"")</f>
        <v>0</v>
      </c>
      <c r="J452" s="855" t="str">
        <f>IFERROR(IF(PRJ_Type="New Construction",H452,INDEX(yControl_Code,MATCH(Inventory!H452,yControlTypes,0),1)),"")</f>
        <v/>
      </c>
      <c r="K452" s="493"/>
      <c r="L452" s="501"/>
      <c r="M452" s="502"/>
      <c r="N452" s="855">
        <f>IFERROR(IFERROR(INDEX('Fixture and LED Schedule'!D:D,MATCH(K452,'Fixture and LED Schedule'!C:C,0),1),K452),"")</f>
        <v>0</v>
      </c>
      <c r="O452" s="858" t="str">
        <f>IFERROR(INDEX(yControl_Code,MATCH(Inventory!M452,yControlTypes,0),1),"")</f>
        <v/>
      </c>
      <c r="P452" s="860" t="str">
        <f>'Lighting Inventory (Ref only)'!AG455</f>
        <v/>
      </c>
      <c r="Q452" s="861" t="str">
        <f>'Lighting Inventory (Ref only)'!AF455</f>
        <v/>
      </c>
      <c r="R452" s="856" t="str">
        <f t="shared" si="13"/>
        <v/>
      </c>
      <c r="S452" s="856" t="str">
        <f>IFERROR(ROUND(R452*'Project Info and Summary'!$J$5/'Project Info and Summary'!$L$5,2),"")</f>
        <v/>
      </c>
    </row>
    <row r="453" spans="1:19" ht="30" customHeight="1">
      <c r="A453" s="948"/>
      <c r="B453" s="496">
        <f t="shared" si="14"/>
        <v>444</v>
      </c>
      <c r="C453" s="864"/>
      <c r="D453" s="505"/>
      <c r="E453" s="866"/>
      <c r="F453" s="498"/>
      <c r="G453" s="499"/>
      <c r="H453" s="492"/>
      <c r="I453" s="855">
        <f>IFERROR(IFERROR(INDEX('Fixture and LED Schedule'!D:D,MATCH(F453,'Fixture and LED Schedule'!C:C,""),1),F453),"")</f>
        <v>0</v>
      </c>
      <c r="J453" s="855" t="str">
        <f>IFERROR(IF(PRJ_Type="New Construction",H453,INDEX(yControl_Code,MATCH(Inventory!H453,yControlTypes,0),1)),"")</f>
        <v/>
      </c>
      <c r="K453" s="493"/>
      <c r="L453" s="501"/>
      <c r="M453" s="502"/>
      <c r="N453" s="855">
        <f>IFERROR(IFERROR(INDEX('Fixture and LED Schedule'!D:D,MATCH(K453,'Fixture and LED Schedule'!C:C,0),1),K453),"")</f>
        <v>0</v>
      </c>
      <c r="O453" s="858" t="str">
        <f>IFERROR(INDEX(yControl_Code,MATCH(Inventory!M453,yControlTypes,0),1),"")</f>
        <v/>
      </c>
      <c r="P453" s="860" t="str">
        <f>'Lighting Inventory (Ref only)'!AG456</f>
        <v/>
      </c>
      <c r="Q453" s="861" t="str">
        <f>'Lighting Inventory (Ref only)'!AF456</f>
        <v/>
      </c>
      <c r="R453" s="856" t="str">
        <f t="shared" si="13"/>
        <v/>
      </c>
      <c r="S453" s="856" t="str">
        <f>IFERROR(ROUND(R453*'Project Info and Summary'!$J$5/'Project Info and Summary'!$L$5,2),"")</f>
        <v/>
      </c>
    </row>
    <row r="454" spans="1:19" ht="30" customHeight="1">
      <c r="A454" s="948"/>
      <c r="B454" s="496">
        <f t="shared" si="14"/>
        <v>445</v>
      </c>
      <c r="C454" s="864"/>
      <c r="D454" s="505"/>
      <c r="E454" s="866"/>
      <c r="F454" s="498"/>
      <c r="G454" s="499"/>
      <c r="H454" s="492"/>
      <c r="I454" s="855">
        <f>IFERROR(IFERROR(INDEX('Fixture and LED Schedule'!D:D,MATCH(F454,'Fixture and LED Schedule'!C:C,""),1),F454),"")</f>
        <v>0</v>
      </c>
      <c r="J454" s="855" t="str">
        <f>IFERROR(IF(PRJ_Type="New Construction",H454,INDEX(yControl_Code,MATCH(Inventory!H454,yControlTypes,0),1)),"")</f>
        <v/>
      </c>
      <c r="K454" s="493"/>
      <c r="L454" s="501"/>
      <c r="M454" s="502"/>
      <c r="N454" s="855">
        <f>IFERROR(IFERROR(INDEX('Fixture and LED Schedule'!D:D,MATCH(K454,'Fixture and LED Schedule'!C:C,0),1),K454),"")</f>
        <v>0</v>
      </c>
      <c r="O454" s="858" t="str">
        <f>IFERROR(INDEX(yControl_Code,MATCH(Inventory!M454,yControlTypes,0),1),"")</f>
        <v/>
      </c>
      <c r="P454" s="860" t="str">
        <f>'Lighting Inventory (Ref only)'!AG457</f>
        <v/>
      </c>
      <c r="Q454" s="861" t="str">
        <f>'Lighting Inventory (Ref only)'!AF457</f>
        <v/>
      </c>
      <c r="R454" s="856" t="str">
        <f t="shared" si="13"/>
        <v/>
      </c>
      <c r="S454" s="856" t="str">
        <f>IFERROR(ROUND(R454*'Project Info and Summary'!$J$5/'Project Info and Summary'!$L$5,2),"")</f>
        <v/>
      </c>
    </row>
    <row r="455" spans="1:19" ht="30" customHeight="1">
      <c r="A455" s="948"/>
      <c r="B455" s="496">
        <f t="shared" si="14"/>
        <v>446</v>
      </c>
      <c r="C455" s="864"/>
      <c r="D455" s="505"/>
      <c r="E455" s="866"/>
      <c r="F455" s="498"/>
      <c r="G455" s="499"/>
      <c r="H455" s="492"/>
      <c r="I455" s="855">
        <f>IFERROR(IFERROR(INDEX('Fixture and LED Schedule'!D:D,MATCH(F455,'Fixture and LED Schedule'!C:C,""),1),F455),"")</f>
        <v>0</v>
      </c>
      <c r="J455" s="855" t="str">
        <f>IFERROR(IF(PRJ_Type="New Construction",H455,INDEX(yControl_Code,MATCH(Inventory!H455,yControlTypes,0),1)),"")</f>
        <v/>
      </c>
      <c r="K455" s="493"/>
      <c r="L455" s="501"/>
      <c r="M455" s="502"/>
      <c r="N455" s="855">
        <f>IFERROR(IFERROR(INDEX('Fixture and LED Schedule'!D:D,MATCH(K455,'Fixture and LED Schedule'!C:C,0),1),K455),"")</f>
        <v>0</v>
      </c>
      <c r="O455" s="858" t="str">
        <f>IFERROR(INDEX(yControl_Code,MATCH(Inventory!M455,yControlTypes,0),1),"")</f>
        <v/>
      </c>
      <c r="P455" s="860" t="str">
        <f>'Lighting Inventory (Ref only)'!AG458</f>
        <v/>
      </c>
      <c r="Q455" s="861" t="str">
        <f>'Lighting Inventory (Ref only)'!AF458</f>
        <v/>
      </c>
      <c r="R455" s="856" t="str">
        <f t="shared" si="13"/>
        <v/>
      </c>
      <c r="S455" s="856" t="str">
        <f>IFERROR(ROUND(R455*'Project Info and Summary'!$J$5/'Project Info and Summary'!$L$5,2),"")</f>
        <v/>
      </c>
    </row>
    <row r="456" spans="1:19" ht="30" customHeight="1">
      <c r="A456" s="948"/>
      <c r="B456" s="496">
        <f t="shared" si="14"/>
        <v>447</v>
      </c>
      <c r="C456" s="864"/>
      <c r="D456" s="505"/>
      <c r="E456" s="866"/>
      <c r="F456" s="498"/>
      <c r="G456" s="499"/>
      <c r="H456" s="492"/>
      <c r="I456" s="855">
        <f>IFERROR(IFERROR(INDEX('Fixture and LED Schedule'!D:D,MATCH(F456,'Fixture and LED Schedule'!C:C,""),1),F456),"")</f>
        <v>0</v>
      </c>
      <c r="J456" s="855" t="str">
        <f>IFERROR(IF(PRJ_Type="New Construction",H456,INDEX(yControl_Code,MATCH(Inventory!H456,yControlTypes,0),1)),"")</f>
        <v/>
      </c>
      <c r="K456" s="493"/>
      <c r="L456" s="501"/>
      <c r="M456" s="502"/>
      <c r="N456" s="855">
        <f>IFERROR(IFERROR(INDEX('Fixture and LED Schedule'!D:D,MATCH(K456,'Fixture and LED Schedule'!C:C,0),1),K456),"")</f>
        <v>0</v>
      </c>
      <c r="O456" s="858" t="str">
        <f>IFERROR(INDEX(yControl_Code,MATCH(Inventory!M456,yControlTypes,0),1),"")</f>
        <v/>
      </c>
      <c r="P456" s="860" t="str">
        <f>'Lighting Inventory (Ref only)'!AG459</f>
        <v/>
      </c>
      <c r="Q456" s="861" t="str">
        <f>'Lighting Inventory (Ref only)'!AF459</f>
        <v/>
      </c>
      <c r="R456" s="856" t="str">
        <f t="shared" si="13"/>
        <v/>
      </c>
      <c r="S456" s="856" t="str">
        <f>IFERROR(ROUND(R456*'Project Info and Summary'!$J$5/'Project Info and Summary'!$L$5,2),"")</f>
        <v/>
      </c>
    </row>
    <row r="457" spans="1:19" ht="30" customHeight="1">
      <c r="A457" s="948"/>
      <c r="B457" s="496">
        <f t="shared" si="14"/>
        <v>448</v>
      </c>
      <c r="C457" s="864"/>
      <c r="D457" s="505"/>
      <c r="E457" s="866"/>
      <c r="F457" s="498"/>
      <c r="G457" s="499"/>
      <c r="H457" s="492"/>
      <c r="I457" s="855">
        <f>IFERROR(IFERROR(INDEX('Fixture and LED Schedule'!D:D,MATCH(F457,'Fixture and LED Schedule'!C:C,""),1),F457),"")</f>
        <v>0</v>
      </c>
      <c r="J457" s="855" t="str">
        <f>IFERROR(IF(PRJ_Type="New Construction",H457,INDEX(yControl_Code,MATCH(Inventory!H457,yControlTypes,0),1)),"")</f>
        <v/>
      </c>
      <c r="K457" s="493"/>
      <c r="L457" s="501"/>
      <c r="M457" s="502"/>
      <c r="N457" s="855">
        <f>IFERROR(IFERROR(INDEX('Fixture and LED Schedule'!D:D,MATCH(K457,'Fixture and LED Schedule'!C:C,0),1),K457),"")</f>
        <v>0</v>
      </c>
      <c r="O457" s="858" t="str">
        <f>IFERROR(INDEX(yControl_Code,MATCH(Inventory!M457,yControlTypes,0),1),"")</f>
        <v/>
      </c>
      <c r="P457" s="860" t="str">
        <f>'Lighting Inventory (Ref only)'!AG460</f>
        <v/>
      </c>
      <c r="Q457" s="861" t="str">
        <f>'Lighting Inventory (Ref only)'!AF460</f>
        <v/>
      </c>
      <c r="R457" s="856" t="str">
        <f t="shared" si="13"/>
        <v/>
      </c>
      <c r="S457" s="856" t="str">
        <f>IFERROR(ROUND(R457*'Project Info and Summary'!$J$5/'Project Info and Summary'!$L$5,2),"")</f>
        <v/>
      </c>
    </row>
    <row r="458" spans="1:19" ht="30" customHeight="1">
      <c r="A458" s="948"/>
      <c r="B458" s="496">
        <f t="shared" si="14"/>
        <v>449</v>
      </c>
      <c r="C458" s="864"/>
      <c r="D458" s="505"/>
      <c r="E458" s="866"/>
      <c r="F458" s="498"/>
      <c r="G458" s="499"/>
      <c r="H458" s="492"/>
      <c r="I458" s="855">
        <f>IFERROR(IFERROR(INDEX('Fixture and LED Schedule'!D:D,MATCH(F458,'Fixture and LED Schedule'!C:C,""),1),F458),"")</f>
        <v>0</v>
      </c>
      <c r="J458" s="855" t="str">
        <f>IFERROR(IF(PRJ_Type="New Construction",H458,INDEX(yControl_Code,MATCH(Inventory!H458,yControlTypes,0),1)),"")</f>
        <v/>
      </c>
      <c r="K458" s="493"/>
      <c r="L458" s="501"/>
      <c r="M458" s="502"/>
      <c r="N458" s="855">
        <f>IFERROR(IFERROR(INDEX('Fixture and LED Schedule'!D:D,MATCH(K458,'Fixture and LED Schedule'!C:C,0),1),K458),"")</f>
        <v>0</v>
      </c>
      <c r="O458" s="858" t="str">
        <f>IFERROR(INDEX(yControl_Code,MATCH(Inventory!M458,yControlTypes,0),1),"")</f>
        <v/>
      </c>
      <c r="P458" s="860" t="str">
        <f>'Lighting Inventory (Ref only)'!AG461</f>
        <v/>
      </c>
      <c r="Q458" s="861" t="str">
        <f>'Lighting Inventory (Ref only)'!AF461</f>
        <v/>
      </c>
      <c r="R458" s="856" t="str">
        <f t="shared" si="13"/>
        <v/>
      </c>
      <c r="S458" s="856" t="str">
        <f>IFERROR(ROUND(R458*'Project Info and Summary'!$J$5/'Project Info and Summary'!$L$5,2),"")</f>
        <v/>
      </c>
    </row>
    <row r="459" spans="1:19" ht="30" customHeight="1">
      <c r="A459" s="948"/>
      <c r="B459" s="496">
        <f t="shared" si="14"/>
        <v>450</v>
      </c>
      <c r="C459" s="864"/>
      <c r="D459" s="505"/>
      <c r="E459" s="866"/>
      <c r="F459" s="498"/>
      <c r="G459" s="499"/>
      <c r="H459" s="492"/>
      <c r="I459" s="855">
        <f>IFERROR(IFERROR(INDEX('Fixture and LED Schedule'!D:D,MATCH(F459,'Fixture and LED Schedule'!C:C,""),1),F459),"")</f>
        <v>0</v>
      </c>
      <c r="J459" s="855" t="str">
        <f>IFERROR(IF(PRJ_Type="New Construction",H459,INDEX(yControl_Code,MATCH(Inventory!H459,yControlTypes,0),1)),"")</f>
        <v/>
      </c>
      <c r="K459" s="493"/>
      <c r="L459" s="501"/>
      <c r="M459" s="502"/>
      <c r="N459" s="855">
        <f>IFERROR(IFERROR(INDEX('Fixture and LED Schedule'!D:D,MATCH(K459,'Fixture and LED Schedule'!C:C,0),1),K459),"")</f>
        <v>0</v>
      </c>
      <c r="O459" s="858" t="str">
        <f>IFERROR(INDEX(yControl_Code,MATCH(Inventory!M459,yControlTypes,0),1),"")</f>
        <v/>
      </c>
      <c r="P459" s="860" t="str">
        <f>'Lighting Inventory (Ref only)'!AG462</f>
        <v/>
      </c>
      <c r="Q459" s="861" t="str">
        <f>'Lighting Inventory (Ref only)'!AF462</f>
        <v/>
      </c>
      <c r="R459" s="856" t="str">
        <f t="shared" ref="R459:R522" si="15">IFERROR(P459*0.02+Q459*185,"")</f>
        <v/>
      </c>
      <c r="S459" s="856" t="str">
        <f>IFERROR(ROUND(R459*'Project Info and Summary'!$J$5/'Project Info and Summary'!$L$5,2),"")</f>
        <v/>
      </c>
    </row>
    <row r="460" spans="1:19" ht="30" customHeight="1">
      <c r="A460" s="948"/>
      <c r="B460" s="496">
        <f t="shared" si="14"/>
        <v>451</v>
      </c>
      <c r="C460" s="864"/>
      <c r="D460" s="505"/>
      <c r="E460" s="866"/>
      <c r="F460" s="498"/>
      <c r="G460" s="499"/>
      <c r="H460" s="492"/>
      <c r="I460" s="855">
        <f>IFERROR(IFERROR(INDEX('Fixture and LED Schedule'!D:D,MATCH(F460,'Fixture and LED Schedule'!C:C,""),1),F460),"")</f>
        <v>0</v>
      </c>
      <c r="J460" s="855" t="str">
        <f>IFERROR(IF(PRJ_Type="New Construction",H460,INDEX(yControl_Code,MATCH(Inventory!H460,yControlTypes,0),1)),"")</f>
        <v/>
      </c>
      <c r="K460" s="493"/>
      <c r="L460" s="501"/>
      <c r="M460" s="502"/>
      <c r="N460" s="855">
        <f>IFERROR(IFERROR(INDEX('Fixture and LED Schedule'!D:D,MATCH(K460,'Fixture and LED Schedule'!C:C,0),1),K460),"")</f>
        <v>0</v>
      </c>
      <c r="O460" s="858" t="str">
        <f>IFERROR(INDEX(yControl_Code,MATCH(Inventory!M460,yControlTypes,0),1),"")</f>
        <v/>
      </c>
      <c r="P460" s="860" t="str">
        <f>'Lighting Inventory (Ref only)'!AG463</f>
        <v/>
      </c>
      <c r="Q460" s="861" t="str">
        <f>'Lighting Inventory (Ref only)'!AF463</f>
        <v/>
      </c>
      <c r="R460" s="856" t="str">
        <f t="shared" si="15"/>
        <v/>
      </c>
      <c r="S460" s="856" t="str">
        <f>IFERROR(ROUND(R460*'Project Info and Summary'!$J$5/'Project Info and Summary'!$L$5,2),"")</f>
        <v/>
      </c>
    </row>
    <row r="461" spans="1:19" ht="30" customHeight="1">
      <c r="A461" s="948"/>
      <c r="B461" s="496">
        <f t="shared" si="14"/>
        <v>452</v>
      </c>
      <c r="C461" s="864"/>
      <c r="D461" s="505"/>
      <c r="E461" s="866"/>
      <c r="F461" s="498"/>
      <c r="G461" s="499"/>
      <c r="H461" s="492"/>
      <c r="I461" s="855">
        <f>IFERROR(IFERROR(INDEX('Fixture and LED Schedule'!D:D,MATCH(F461,'Fixture and LED Schedule'!C:C,""),1),F461),"")</f>
        <v>0</v>
      </c>
      <c r="J461" s="855" t="str">
        <f>IFERROR(IF(PRJ_Type="New Construction",H461,INDEX(yControl_Code,MATCH(Inventory!H461,yControlTypes,0),1)),"")</f>
        <v/>
      </c>
      <c r="K461" s="493"/>
      <c r="L461" s="501"/>
      <c r="M461" s="502"/>
      <c r="N461" s="855">
        <f>IFERROR(IFERROR(INDEX('Fixture and LED Schedule'!D:D,MATCH(K461,'Fixture and LED Schedule'!C:C,0),1),K461),"")</f>
        <v>0</v>
      </c>
      <c r="O461" s="858" t="str">
        <f>IFERROR(INDEX(yControl_Code,MATCH(Inventory!M461,yControlTypes,0),1),"")</f>
        <v/>
      </c>
      <c r="P461" s="860" t="str">
        <f>'Lighting Inventory (Ref only)'!AG464</f>
        <v/>
      </c>
      <c r="Q461" s="861" t="str">
        <f>'Lighting Inventory (Ref only)'!AF464</f>
        <v/>
      </c>
      <c r="R461" s="856" t="str">
        <f t="shared" si="15"/>
        <v/>
      </c>
      <c r="S461" s="856" t="str">
        <f>IFERROR(ROUND(R461*'Project Info and Summary'!$J$5/'Project Info and Summary'!$L$5,2),"")</f>
        <v/>
      </c>
    </row>
    <row r="462" spans="1:19" ht="30" customHeight="1">
      <c r="A462" s="948"/>
      <c r="B462" s="496">
        <f t="shared" si="14"/>
        <v>453</v>
      </c>
      <c r="C462" s="864"/>
      <c r="D462" s="505"/>
      <c r="E462" s="866"/>
      <c r="F462" s="498"/>
      <c r="G462" s="499"/>
      <c r="H462" s="492"/>
      <c r="I462" s="855">
        <f>IFERROR(IFERROR(INDEX('Fixture and LED Schedule'!D:D,MATCH(F462,'Fixture and LED Schedule'!C:C,""),1),F462),"")</f>
        <v>0</v>
      </c>
      <c r="J462" s="855" t="str">
        <f>IFERROR(IF(PRJ_Type="New Construction",H462,INDEX(yControl_Code,MATCH(Inventory!H462,yControlTypes,0),1)),"")</f>
        <v/>
      </c>
      <c r="K462" s="493"/>
      <c r="L462" s="501"/>
      <c r="M462" s="502"/>
      <c r="N462" s="855">
        <f>IFERROR(IFERROR(INDEX('Fixture and LED Schedule'!D:D,MATCH(K462,'Fixture and LED Schedule'!C:C,0),1),K462),"")</f>
        <v>0</v>
      </c>
      <c r="O462" s="858" t="str">
        <f>IFERROR(INDEX(yControl_Code,MATCH(Inventory!M462,yControlTypes,0),1),"")</f>
        <v/>
      </c>
      <c r="P462" s="860" t="str">
        <f>'Lighting Inventory (Ref only)'!AG465</f>
        <v/>
      </c>
      <c r="Q462" s="861" t="str">
        <f>'Lighting Inventory (Ref only)'!AF465</f>
        <v/>
      </c>
      <c r="R462" s="856" t="str">
        <f t="shared" si="15"/>
        <v/>
      </c>
      <c r="S462" s="856" t="str">
        <f>IFERROR(ROUND(R462*'Project Info and Summary'!$J$5/'Project Info and Summary'!$L$5,2),"")</f>
        <v/>
      </c>
    </row>
    <row r="463" spans="1:19" ht="30" customHeight="1">
      <c r="A463" s="948"/>
      <c r="B463" s="496">
        <f t="shared" si="14"/>
        <v>454</v>
      </c>
      <c r="C463" s="864"/>
      <c r="D463" s="505"/>
      <c r="E463" s="866"/>
      <c r="F463" s="498"/>
      <c r="G463" s="499"/>
      <c r="H463" s="492"/>
      <c r="I463" s="855">
        <f>IFERROR(IFERROR(INDEX('Fixture and LED Schedule'!D:D,MATCH(F463,'Fixture and LED Schedule'!C:C,""),1),F463),"")</f>
        <v>0</v>
      </c>
      <c r="J463" s="855" t="str">
        <f>IFERROR(IF(PRJ_Type="New Construction",H463,INDEX(yControl_Code,MATCH(Inventory!H463,yControlTypes,0),1)),"")</f>
        <v/>
      </c>
      <c r="K463" s="493"/>
      <c r="L463" s="501"/>
      <c r="M463" s="502"/>
      <c r="N463" s="855">
        <f>IFERROR(IFERROR(INDEX('Fixture and LED Schedule'!D:D,MATCH(K463,'Fixture and LED Schedule'!C:C,0),1),K463),"")</f>
        <v>0</v>
      </c>
      <c r="O463" s="858" t="str">
        <f>IFERROR(INDEX(yControl_Code,MATCH(Inventory!M463,yControlTypes,0),1),"")</f>
        <v/>
      </c>
      <c r="P463" s="860" t="str">
        <f>'Lighting Inventory (Ref only)'!AG466</f>
        <v/>
      </c>
      <c r="Q463" s="861" t="str">
        <f>'Lighting Inventory (Ref only)'!AF466</f>
        <v/>
      </c>
      <c r="R463" s="856" t="str">
        <f t="shared" si="15"/>
        <v/>
      </c>
      <c r="S463" s="856" t="str">
        <f>IFERROR(ROUND(R463*'Project Info and Summary'!$J$5/'Project Info and Summary'!$L$5,2),"")</f>
        <v/>
      </c>
    </row>
    <row r="464" spans="1:19" ht="30" customHeight="1">
      <c r="A464" s="948"/>
      <c r="B464" s="496">
        <f t="shared" si="14"/>
        <v>455</v>
      </c>
      <c r="C464" s="864"/>
      <c r="D464" s="505"/>
      <c r="E464" s="866"/>
      <c r="F464" s="498"/>
      <c r="G464" s="499"/>
      <c r="H464" s="492"/>
      <c r="I464" s="855">
        <f>IFERROR(IFERROR(INDEX('Fixture and LED Schedule'!D:D,MATCH(F464,'Fixture and LED Schedule'!C:C,""),1),F464),"")</f>
        <v>0</v>
      </c>
      <c r="J464" s="855" t="str">
        <f>IFERROR(IF(PRJ_Type="New Construction",H464,INDEX(yControl_Code,MATCH(Inventory!H464,yControlTypes,0),1)),"")</f>
        <v/>
      </c>
      <c r="K464" s="493"/>
      <c r="L464" s="501"/>
      <c r="M464" s="502"/>
      <c r="N464" s="855">
        <f>IFERROR(IFERROR(INDEX('Fixture and LED Schedule'!D:D,MATCH(K464,'Fixture and LED Schedule'!C:C,0),1),K464),"")</f>
        <v>0</v>
      </c>
      <c r="O464" s="858" t="str">
        <f>IFERROR(INDEX(yControl_Code,MATCH(Inventory!M464,yControlTypes,0),1),"")</f>
        <v/>
      </c>
      <c r="P464" s="860" t="str">
        <f>'Lighting Inventory (Ref only)'!AG467</f>
        <v/>
      </c>
      <c r="Q464" s="861" t="str">
        <f>'Lighting Inventory (Ref only)'!AF467</f>
        <v/>
      </c>
      <c r="R464" s="856" t="str">
        <f t="shared" si="15"/>
        <v/>
      </c>
      <c r="S464" s="856" t="str">
        <f>IFERROR(ROUND(R464*'Project Info and Summary'!$J$5/'Project Info and Summary'!$L$5,2),"")</f>
        <v/>
      </c>
    </row>
    <row r="465" spans="1:19" ht="30" customHeight="1">
      <c r="A465" s="948"/>
      <c r="B465" s="496">
        <f t="shared" si="14"/>
        <v>456</v>
      </c>
      <c r="C465" s="864"/>
      <c r="D465" s="505"/>
      <c r="E465" s="866"/>
      <c r="F465" s="498"/>
      <c r="G465" s="499"/>
      <c r="H465" s="492"/>
      <c r="I465" s="855">
        <f>IFERROR(IFERROR(INDEX('Fixture and LED Schedule'!D:D,MATCH(F465,'Fixture and LED Schedule'!C:C,""),1),F465),"")</f>
        <v>0</v>
      </c>
      <c r="J465" s="855" t="str">
        <f>IFERROR(IF(PRJ_Type="New Construction",H465,INDEX(yControl_Code,MATCH(Inventory!H465,yControlTypes,0),1)),"")</f>
        <v/>
      </c>
      <c r="K465" s="493"/>
      <c r="L465" s="501"/>
      <c r="M465" s="502"/>
      <c r="N465" s="855">
        <f>IFERROR(IFERROR(INDEX('Fixture and LED Schedule'!D:D,MATCH(K465,'Fixture and LED Schedule'!C:C,0),1),K465),"")</f>
        <v>0</v>
      </c>
      <c r="O465" s="858" t="str">
        <f>IFERROR(INDEX(yControl_Code,MATCH(Inventory!M465,yControlTypes,0),1),"")</f>
        <v/>
      </c>
      <c r="P465" s="860" t="str">
        <f>'Lighting Inventory (Ref only)'!AG468</f>
        <v/>
      </c>
      <c r="Q465" s="861" t="str">
        <f>'Lighting Inventory (Ref only)'!AF468</f>
        <v/>
      </c>
      <c r="R465" s="856" t="str">
        <f t="shared" si="15"/>
        <v/>
      </c>
      <c r="S465" s="856" t="str">
        <f>IFERROR(ROUND(R465*'Project Info and Summary'!$J$5/'Project Info and Summary'!$L$5,2),"")</f>
        <v/>
      </c>
    </row>
    <row r="466" spans="1:19" ht="30" customHeight="1">
      <c r="A466" s="948"/>
      <c r="B466" s="496">
        <f t="shared" si="14"/>
        <v>457</v>
      </c>
      <c r="C466" s="864"/>
      <c r="D466" s="505"/>
      <c r="E466" s="866"/>
      <c r="F466" s="498"/>
      <c r="G466" s="499"/>
      <c r="H466" s="492"/>
      <c r="I466" s="855">
        <f>IFERROR(IFERROR(INDEX('Fixture and LED Schedule'!D:D,MATCH(F466,'Fixture and LED Schedule'!C:C,""),1),F466),"")</f>
        <v>0</v>
      </c>
      <c r="J466" s="855" t="str">
        <f>IFERROR(IF(PRJ_Type="New Construction",H466,INDEX(yControl_Code,MATCH(Inventory!H466,yControlTypes,0),1)),"")</f>
        <v/>
      </c>
      <c r="K466" s="493"/>
      <c r="L466" s="501"/>
      <c r="M466" s="502"/>
      <c r="N466" s="855">
        <f>IFERROR(IFERROR(INDEX('Fixture and LED Schedule'!D:D,MATCH(K466,'Fixture and LED Schedule'!C:C,0),1),K466),"")</f>
        <v>0</v>
      </c>
      <c r="O466" s="858" t="str">
        <f>IFERROR(INDEX(yControl_Code,MATCH(Inventory!M466,yControlTypes,0),1),"")</f>
        <v/>
      </c>
      <c r="P466" s="860" t="str">
        <f>'Lighting Inventory (Ref only)'!AG469</f>
        <v/>
      </c>
      <c r="Q466" s="861" t="str">
        <f>'Lighting Inventory (Ref only)'!AF469</f>
        <v/>
      </c>
      <c r="R466" s="856" t="str">
        <f t="shared" si="15"/>
        <v/>
      </c>
      <c r="S466" s="856" t="str">
        <f>IFERROR(ROUND(R466*'Project Info and Summary'!$J$5/'Project Info and Summary'!$L$5,2),"")</f>
        <v/>
      </c>
    </row>
    <row r="467" spans="1:19" ht="30" customHeight="1">
      <c r="A467" s="948"/>
      <c r="B467" s="496">
        <f t="shared" si="14"/>
        <v>458</v>
      </c>
      <c r="C467" s="864"/>
      <c r="D467" s="505"/>
      <c r="E467" s="866"/>
      <c r="F467" s="498"/>
      <c r="G467" s="499"/>
      <c r="H467" s="492"/>
      <c r="I467" s="855">
        <f>IFERROR(IFERROR(INDEX('Fixture and LED Schedule'!D:D,MATCH(F467,'Fixture and LED Schedule'!C:C,""),1),F467),"")</f>
        <v>0</v>
      </c>
      <c r="J467" s="855" t="str">
        <f>IFERROR(IF(PRJ_Type="New Construction",H467,INDEX(yControl_Code,MATCH(Inventory!H467,yControlTypes,0),1)),"")</f>
        <v/>
      </c>
      <c r="K467" s="493"/>
      <c r="L467" s="501"/>
      <c r="M467" s="502"/>
      <c r="N467" s="855">
        <f>IFERROR(IFERROR(INDEX('Fixture and LED Schedule'!D:D,MATCH(K467,'Fixture and LED Schedule'!C:C,0),1),K467),"")</f>
        <v>0</v>
      </c>
      <c r="O467" s="858" t="str">
        <f>IFERROR(INDEX(yControl_Code,MATCH(Inventory!M467,yControlTypes,0),1),"")</f>
        <v/>
      </c>
      <c r="P467" s="860" t="str">
        <f>'Lighting Inventory (Ref only)'!AG470</f>
        <v/>
      </c>
      <c r="Q467" s="861" t="str">
        <f>'Lighting Inventory (Ref only)'!AF470</f>
        <v/>
      </c>
      <c r="R467" s="856" t="str">
        <f t="shared" si="15"/>
        <v/>
      </c>
      <c r="S467" s="856" t="str">
        <f>IFERROR(ROUND(R467*'Project Info and Summary'!$J$5/'Project Info and Summary'!$L$5,2),"")</f>
        <v/>
      </c>
    </row>
    <row r="468" spans="1:19" ht="30" customHeight="1">
      <c r="A468" s="948"/>
      <c r="B468" s="496">
        <f t="shared" si="14"/>
        <v>459</v>
      </c>
      <c r="C468" s="864"/>
      <c r="D468" s="505"/>
      <c r="E468" s="866"/>
      <c r="F468" s="498"/>
      <c r="G468" s="499"/>
      <c r="H468" s="492"/>
      <c r="I468" s="855">
        <f>IFERROR(IFERROR(INDEX('Fixture and LED Schedule'!D:D,MATCH(F468,'Fixture and LED Schedule'!C:C,""),1),F468),"")</f>
        <v>0</v>
      </c>
      <c r="J468" s="855" t="str">
        <f>IFERROR(IF(PRJ_Type="New Construction",H468,INDEX(yControl_Code,MATCH(Inventory!H468,yControlTypes,0),1)),"")</f>
        <v/>
      </c>
      <c r="K468" s="493"/>
      <c r="L468" s="501"/>
      <c r="M468" s="502"/>
      <c r="N468" s="855">
        <f>IFERROR(IFERROR(INDEX('Fixture and LED Schedule'!D:D,MATCH(K468,'Fixture and LED Schedule'!C:C,0),1),K468),"")</f>
        <v>0</v>
      </c>
      <c r="O468" s="858" t="str">
        <f>IFERROR(INDEX(yControl_Code,MATCH(Inventory!M468,yControlTypes,0),1),"")</f>
        <v/>
      </c>
      <c r="P468" s="860" t="str">
        <f>'Lighting Inventory (Ref only)'!AG471</f>
        <v/>
      </c>
      <c r="Q468" s="861" t="str">
        <f>'Lighting Inventory (Ref only)'!AF471</f>
        <v/>
      </c>
      <c r="R468" s="856" t="str">
        <f t="shared" si="15"/>
        <v/>
      </c>
      <c r="S468" s="856" t="str">
        <f>IFERROR(ROUND(R468*'Project Info and Summary'!$J$5/'Project Info and Summary'!$L$5,2),"")</f>
        <v/>
      </c>
    </row>
    <row r="469" spans="1:19" ht="30" customHeight="1">
      <c r="A469" s="948"/>
      <c r="B469" s="496">
        <f t="shared" si="14"/>
        <v>460</v>
      </c>
      <c r="C469" s="864"/>
      <c r="D469" s="505"/>
      <c r="E469" s="866"/>
      <c r="F469" s="498"/>
      <c r="G469" s="499"/>
      <c r="H469" s="492"/>
      <c r="I469" s="855">
        <f>IFERROR(IFERROR(INDEX('Fixture and LED Schedule'!D:D,MATCH(F469,'Fixture and LED Schedule'!C:C,""),1),F469),"")</f>
        <v>0</v>
      </c>
      <c r="J469" s="855" t="str">
        <f>IFERROR(IF(PRJ_Type="New Construction",H469,INDEX(yControl_Code,MATCH(Inventory!H469,yControlTypes,0),1)),"")</f>
        <v/>
      </c>
      <c r="K469" s="493"/>
      <c r="L469" s="501"/>
      <c r="M469" s="502"/>
      <c r="N469" s="855">
        <f>IFERROR(IFERROR(INDEX('Fixture and LED Schedule'!D:D,MATCH(K469,'Fixture and LED Schedule'!C:C,0),1),K469),"")</f>
        <v>0</v>
      </c>
      <c r="O469" s="858" t="str">
        <f>IFERROR(INDEX(yControl_Code,MATCH(Inventory!M469,yControlTypes,0),1),"")</f>
        <v/>
      </c>
      <c r="P469" s="860" t="str">
        <f>'Lighting Inventory (Ref only)'!AG472</f>
        <v/>
      </c>
      <c r="Q469" s="861" t="str">
        <f>'Lighting Inventory (Ref only)'!AF472</f>
        <v/>
      </c>
      <c r="R469" s="856" t="str">
        <f t="shared" si="15"/>
        <v/>
      </c>
      <c r="S469" s="856" t="str">
        <f>IFERROR(ROUND(R469*'Project Info and Summary'!$J$5/'Project Info and Summary'!$L$5,2),"")</f>
        <v/>
      </c>
    </row>
    <row r="470" spans="1:19" ht="30" customHeight="1">
      <c r="A470" s="948"/>
      <c r="B470" s="496">
        <f t="shared" si="14"/>
        <v>461</v>
      </c>
      <c r="C470" s="864"/>
      <c r="D470" s="505"/>
      <c r="E470" s="866"/>
      <c r="F470" s="498"/>
      <c r="G470" s="499"/>
      <c r="H470" s="492"/>
      <c r="I470" s="855">
        <f>IFERROR(IFERROR(INDEX('Fixture and LED Schedule'!D:D,MATCH(F470,'Fixture and LED Schedule'!C:C,""),1),F470),"")</f>
        <v>0</v>
      </c>
      <c r="J470" s="855" t="str">
        <f>IFERROR(IF(PRJ_Type="New Construction",H470,INDEX(yControl_Code,MATCH(Inventory!H470,yControlTypes,0),1)),"")</f>
        <v/>
      </c>
      <c r="K470" s="493"/>
      <c r="L470" s="501"/>
      <c r="M470" s="502"/>
      <c r="N470" s="855">
        <f>IFERROR(IFERROR(INDEX('Fixture and LED Schedule'!D:D,MATCH(K470,'Fixture and LED Schedule'!C:C,0),1),K470),"")</f>
        <v>0</v>
      </c>
      <c r="O470" s="858" t="str">
        <f>IFERROR(INDEX(yControl_Code,MATCH(Inventory!M470,yControlTypes,0),1),"")</f>
        <v/>
      </c>
      <c r="P470" s="860" t="str">
        <f>'Lighting Inventory (Ref only)'!AG473</f>
        <v/>
      </c>
      <c r="Q470" s="861" t="str">
        <f>'Lighting Inventory (Ref only)'!AF473</f>
        <v/>
      </c>
      <c r="R470" s="856" t="str">
        <f t="shared" si="15"/>
        <v/>
      </c>
      <c r="S470" s="856" t="str">
        <f>IFERROR(ROUND(R470*'Project Info and Summary'!$J$5/'Project Info and Summary'!$L$5,2),"")</f>
        <v/>
      </c>
    </row>
    <row r="471" spans="1:19" ht="30" customHeight="1">
      <c r="A471" s="948"/>
      <c r="B471" s="496">
        <f t="shared" si="14"/>
        <v>462</v>
      </c>
      <c r="C471" s="864"/>
      <c r="D471" s="505"/>
      <c r="E471" s="866"/>
      <c r="F471" s="498"/>
      <c r="G471" s="499"/>
      <c r="H471" s="492"/>
      <c r="I471" s="855">
        <f>IFERROR(IFERROR(INDEX('Fixture and LED Schedule'!D:D,MATCH(F471,'Fixture and LED Schedule'!C:C,""),1),F471),"")</f>
        <v>0</v>
      </c>
      <c r="J471" s="855" t="str">
        <f>IFERROR(IF(PRJ_Type="New Construction",H471,INDEX(yControl_Code,MATCH(Inventory!H471,yControlTypes,0),1)),"")</f>
        <v/>
      </c>
      <c r="K471" s="493"/>
      <c r="L471" s="501"/>
      <c r="M471" s="502"/>
      <c r="N471" s="855">
        <f>IFERROR(IFERROR(INDEX('Fixture and LED Schedule'!D:D,MATCH(K471,'Fixture and LED Schedule'!C:C,0),1),K471),"")</f>
        <v>0</v>
      </c>
      <c r="O471" s="858" t="str">
        <f>IFERROR(INDEX(yControl_Code,MATCH(Inventory!M471,yControlTypes,0),1),"")</f>
        <v/>
      </c>
      <c r="P471" s="860" t="str">
        <f>'Lighting Inventory (Ref only)'!AG474</f>
        <v/>
      </c>
      <c r="Q471" s="861" t="str">
        <f>'Lighting Inventory (Ref only)'!AF474</f>
        <v/>
      </c>
      <c r="R471" s="856" t="str">
        <f t="shared" si="15"/>
        <v/>
      </c>
      <c r="S471" s="856" t="str">
        <f>IFERROR(ROUND(R471*'Project Info and Summary'!$J$5/'Project Info and Summary'!$L$5,2),"")</f>
        <v/>
      </c>
    </row>
    <row r="472" spans="1:19" ht="30" customHeight="1">
      <c r="A472" s="948"/>
      <c r="B472" s="496">
        <f t="shared" si="14"/>
        <v>463</v>
      </c>
      <c r="C472" s="864"/>
      <c r="D472" s="505"/>
      <c r="E472" s="866"/>
      <c r="F472" s="498"/>
      <c r="G472" s="499"/>
      <c r="H472" s="492"/>
      <c r="I472" s="855">
        <f>IFERROR(IFERROR(INDEX('Fixture and LED Schedule'!D:D,MATCH(F472,'Fixture and LED Schedule'!C:C,""),1),F472),"")</f>
        <v>0</v>
      </c>
      <c r="J472" s="855" t="str">
        <f>IFERROR(IF(PRJ_Type="New Construction",H472,INDEX(yControl_Code,MATCH(Inventory!H472,yControlTypes,0),1)),"")</f>
        <v/>
      </c>
      <c r="K472" s="493"/>
      <c r="L472" s="501"/>
      <c r="M472" s="502"/>
      <c r="N472" s="855">
        <f>IFERROR(IFERROR(INDEX('Fixture and LED Schedule'!D:D,MATCH(K472,'Fixture and LED Schedule'!C:C,0),1),K472),"")</f>
        <v>0</v>
      </c>
      <c r="O472" s="858" t="str">
        <f>IFERROR(INDEX(yControl_Code,MATCH(Inventory!M472,yControlTypes,0),1),"")</f>
        <v/>
      </c>
      <c r="P472" s="860" t="str">
        <f>'Lighting Inventory (Ref only)'!AG475</f>
        <v/>
      </c>
      <c r="Q472" s="861" t="str">
        <f>'Lighting Inventory (Ref only)'!AF475</f>
        <v/>
      </c>
      <c r="R472" s="856" t="str">
        <f t="shared" si="15"/>
        <v/>
      </c>
      <c r="S472" s="856" t="str">
        <f>IFERROR(ROUND(R472*'Project Info and Summary'!$J$5/'Project Info and Summary'!$L$5,2),"")</f>
        <v/>
      </c>
    </row>
    <row r="473" spans="1:19" ht="30" customHeight="1">
      <c r="A473" s="948"/>
      <c r="B473" s="496">
        <f t="shared" si="14"/>
        <v>464</v>
      </c>
      <c r="C473" s="864"/>
      <c r="D473" s="505"/>
      <c r="E473" s="866"/>
      <c r="F473" s="498"/>
      <c r="G473" s="499"/>
      <c r="H473" s="492"/>
      <c r="I473" s="855">
        <f>IFERROR(IFERROR(INDEX('Fixture and LED Schedule'!D:D,MATCH(F473,'Fixture and LED Schedule'!C:C,""),1),F473),"")</f>
        <v>0</v>
      </c>
      <c r="J473" s="855" t="str">
        <f>IFERROR(IF(PRJ_Type="New Construction",H473,INDEX(yControl_Code,MATCH(Inventory!H473,yControlTypes,0),1)),"")</f>
        <v/>
      </c>
      <c r="K473" s="493"/>
      <c r="L473" s="501"/>
      <c r="M473" s="502"/>
      <c r="N473" s="855">
        <f>IFERROR(IFERROR(INDEX('Fixture and LED Schedule'!D:D,MATCH(K473,'Fixture and LED Schedule'!C:C,0),1),K473),"")</f>
        <v>0</v>
      </c>
      <c r="O473" s="858" t="str">
        <f>IFERROR(INDEX(yControl_Code,MATCH(Inventory!M473,yControlTypes,0),1),"")</f>
        <v/>
      </c>
      <c r="P473" s="860" t="str">
        <f>'Lighting Inventory (Ref only)'!AG476</f>
        <v/>
      </c>
      <c r="Q473" s="861" t="str">
        <f>'Lighting Inventory (Ref only)'!AF476</f>
        <v/>
      </c>
      <c r="R473" s="856" t="str">
        <f t="shared" si="15"/>
        <v/>
      </c>
      <c r="S473" s="856" t="str">
        <f>IFERROR(ROUND(R473*'Project Info and Summary'!$J$5/'Project Info and Summary'!$L$5,2),"")</f>
        <v/>
      </c>
    </row>
    <row r="474" spans="1:19" ht="30" customHeight="1">
      <c r="A474" s="948"/>
      <c r="B474" s="496">
        <f t="shared" si="14"/>
        <v>465</v>
      </c>
      <c r="C474" s="864"/>
      <c r="D474" s="505"/>
      <c r="E474" s="866"/>
      <c r="F474" s="498"/>
      <c r="G474" s="499"/>
      <c r="H474" s="492"/>
      <c r="I474" s="855">
        <f>IFERROR(IFERROR(INDEX('Fixture and LED Schedule'!D:D,MATCH(F474,'Fixture and LED Schedule'!C:C,""),1),F474),"")</f>
        <v>0</v>
      </c>
      <c r="J474" s="855" t="str">
        <f>IFERROR(IF(PRJ_Type="New Construction",H474,INDEX(yControl_Code,MATCH(Inventory!H474,yControlTypes,0),1)),"")</f>
        <v/>
      </c>
      <c r="K474" s="493"/>
      <c r="L474" s="501"/>
      <c r="M474" s="502"/>
      <c r="N474" s="855">
        <f>IFERROR(IFERROR(INDEX('Fixture and LED Schedule'!D:D,MATCH(K474,'Fixture and LED Schedule'!C:C,0),1),K474),"")</f>
        <v>0</v>
      </c>
      <c r="O474" s="858" t="str">
        <f>IFERROR(INDEX(yControl_Code,MATCH(Inventory!M474,yControlTypes,0),1),"")</f>
        <v/>
      </c>
      <c r="P474" s="860" t="str">
        <f>'Lighting Inventory (Ref only)'!AG477</f>
        <v/>
      </c>
      <c r="Q474" s="861" t="str">
        <f>'Lighting Inventory (Ref only)'!AF477</f>
        <v/>
      </c>
      <c r="R474" s="856" t="str">
        <f t="shared" si="15"/>
        <v/>
      </c>
      <c r="S474" s="856" t="str">
        <f>IFERROR(ROUND(R474*'Project Info and Summary'!$J$5/'Project Info and Summary'!$L$5,2),"")</f>
        <v/>
      </c>
    </row>
    <row r="475" spans="1:19" ht="30" customHeight="1">
      <c r="A475" s="948"/>
      <c r="B475" s="496">
        <f t="shared" si="14"/>
        <v>466</v>
      </c>
      <c r="C475" s="864"/>
      <c r="D475" s="505"/>
      <c r="E475" s="866"/>
      <c r="F475" s="498"/>
      <c r="G475" s="499"/>
      <c r="H475" s="492"/>
      <c r="I475" s="855">
        <f>IFERROR(IFERROR(INDEX('Fixture and LED Schedule'!D:D,MATCH(F475,'Fixture and LED Schedule'!C:C,""),1),F475),"")</f>
        <v>0</v>
      </c>
      <c r="J475" s="855" t="str">
        <f>IFERROR(IF(PRJ_Type="New Construction",H475,INDEX(yControl_Code,MATCH(Inventory!H475,yControlTypes,0),1)),"")</f>
        <v/>
      </c>
      <c r="K475" s="493"/>
      <c r="L475" s="501"/>
      <c r="M475" s="502"/>
      <c r="N475" s="855">
        <f>IFERROR(IFERROR(INDEX('Fixture and LED Schedule'!D:D,MATCH(K475,'Fixture and LED Schedule'!C:C,0),1),K475),"")</f>
        <v>0</v>
      </c>
      <c r="O475" s="858" t="str">
        <f>IFERROR(INDEX(yControl_Code,MATCH(Inventory!M475,yControlTypes,0),1),"")</f>
        <v/>
      </c>
      <c r="P475" s="860" t="str">
        <f>'Lighting Inventory (Ref only)'!AG478</f>
        <v/>
      </c>
      <c r="Q475" s="861" t="str">
        <f>'Lighting Inventory (Ref only)'!AF478</f>
        <v/>
      </c>
      <c r="R475" s="856" t="str">
        <f t="shared" si="15"/>
        <v/>
      </c>
      <c r="S475" s="856" t="str">
        <f>IFERROR(ROUND(R475*'Project Info and Summary'!$J$5/'Project Info and Summary'!$L$5,2),"")</f>
        <v/>
      </c>
    </row>
    <row r="476" spans="1:19" ht="30" customHeight="1">
      <c r="A476" s="948"/>
      <c r="B476" s="496">
        <f t="shared" si="14"/>
        <v>467</v>
      </c>
      <c r="C476" s="864"/>
      <c r="D476" s="505"/>
      <c r="E476" s="866"/>
      <c r="F476" s="498"/>
      <c r="G476" s="499"/>
      <c r="H476" s="492"/>
      <c r="I476" s="855">
        <f>IFERROR(IFERROR(INDEX('Fixture and LED Schedule'!D:D,MATCH(F476,'Fixture and LED Schedule'!C:C,""),1),F476),"")</f>
        <v>0</v>
      </c>
      <c r="J476" s="855" t="str">
        <f>IFERROR(IF(PRJ_Type="New Construction",H476,INDEX(yControl_Code,MATCH(Inventory!H476,yControlTypes,0),1)),"")</f>
        <v/>
      </c>
      <c r="K476" s="493"/>
      <c r="L476" s="501"/>
      <c r="M476" s="502"/>
      <c r="N476" s="855">
        <f>IFERROR(IFERROR(INDEX('Fixture and LED Schedule'!D:D,MATCH(K476,'Fixture and LED Schedule'!C:C,0),1),K476),"")</f>
        <v>0</v>
      </c>
      <c r="O476" s="858" t="str">
        <f>IFERROR(INDEX(yControl_Code,MATCH(Inventory!M476,yControlTypes,0),1),"")</f>
        <v/>
      </c>
      <c r="P476" s="860" t="str">
        <f>'Lighting Inventory (Ref only)'!AG479</f>
        <v/>
      </c>
      <c r="Q476" s="861" t="str">
        <f>'Lighting Inventory (Ref only)'!AF479</f>
        <v/>
      </c>
      <c r="R476" s="856" t="str">
        <f t="shared" si="15"/>
        <v/>
      </c>
      <c r="S476" s="856" t="str">
        <f>IFERROR(ROUND(R476*'Project Info and Summary'!$J$5/'Project Info and Summary'!$L$5,2),"")</f>
        <v/>
      </c>
    </row>
    <row r="477" spans="1:19" ht="30" customHeight="1">
      <c r="A477" s="948"/>
      <c r="B477" s="496">
        <f t="shared" si="14"/>
        <v>468</v>
      </c>
      <c r="C477" s="864"/>
      <c r="D477" s="505"/>
      <c r="E477" s="866"/>
      <c r="F477" s="498"/>
      <c r="G477" s="499"/>
      <c r="H477" s="492"/>
      <c r="I477" s="855">
        <f>IFERROR(IFERROR(INDEX('Fixture and LED Schedule'!D:D,MATCH(F477,'Fixture and LED Schedule'!C:C,""),1),F477),"")</f>
        <v>0</v>
      </c>
      <c r="J477" s="855" t="str">
        <f>IFERROR(IF(PRJ_Type="New Construction",H477,INDEX(yControl_Code,MATCH(Inventory!H477,yControlTypes,0),1)),"")</f>
        <v/>
      </c>
      <c r="K477" s="493"/>
      <c r="L477" s="501"/>
      <c r="M477" s="502"/>
      <c r="N477" s="855">
        <f>IFERROR(IFERROR(INDEX('Fixture and LED Schedule'!D:D,MATCH(K477,'Fixture and LED Schedule'!C:C,0),1),K477),"")</f>
        <v>0</v>
      </c>
      <c r="O477" s="858" t="str">
        <f>IFERROR(INDEX(yControl_Code,MATCH(Inventory!M477,yControlTypes,0),1),"")</f>
        <v/>
      </c>
      <c r="P477" s="860" t="str">
        <f>'Lighting Inventory (Ref only)'!AG480</f>
        <v/>
      </c>
      <c r="Q477" s="861" t="str">
        <f>'Lighting Inventory (Ref only)'!AF480</f>
        <v/>
      </c>
      <c r="R477" s="856" t="str">
        <f t="shared" si="15"/>
        <v/>
      </c>
      <c r="S477" s="856" t="str">
        <f>IFERROR(ROUND(R477*'Project Info and Summary'!$J$5/'Project Info and Summary'!$L$5,2),"")</f>
        <v/>
      </c>
    </row>
    <row r="478" spans="1:19" ht="30" customHeight="1">
      <c r="A478" s="948"/>
      <c r="B478" s="496">
        <f t="shared" si="14"/>
        <v>469</v>
      </c>
      <c r="C478" s="864"/>
      <c r="D478" s="505"/>
      <c r="E478" s="866"/>
      <c r="F478" s="498"/>
      <c r="G478" s="499"/>
      <c r="H478" s="492"/>
      <c r="I478" s="855">
        <f>IFERROR(IFERROR(INDEX('Fixture and LED Schedule'!D:D,MATCH(F478,'Fixture and LED Schedule'!C:C,""),1),F478),"")</f>
        <v>0</v>
      </c>
      <c r="J478" s="855" t="str">
        <f>IFERROR(IF(PRJ_Type="New Construction",H478,INDEX(yControl_Code,MATCH(Inventory!H478,yControlTypes,0),1)),"")</f>
        <v/>
      </c>
      <c r="K478" s="493"/>
      <c r="L478" s="501"/>
      <c r="M478" s="502"/>
      <c r="N478" s="855">
        <f>IFERROR(IFERROR(INDEX('Fixture and LED Schedule'!D:D,MATCH(K478,'Fixture and LED Schedule'!C:C,0),1),K478),"")</f>
        <v>0</v>
      </c>
      <c r="O478" s="858" t="str">
        <f>IFERROR(INDEX(yControl_Code,MATCH(Inventory!M478,yControlTypes,0),1),"")</f>
        <v/>
      </c>
      <c r="P478" s="860" t="str">
        <f>'Lighting Inventory (Ref only)'!AG481</f>
        <v/>
      </c>
      <c r="Q478" s="861" t="str">
        <f>'Lighting Inventory (Ref only)'!AF481</f>
        <v/>
      </c>
      <c r="R478" s="856" t="str">
        <f t="shared" si="15"/>
        <v/>
      </c>
      <c r="S478" s="856" t="str">
        <f>IFERROR(ROUND(R478*'Project Info and Summary'!$J$5/'Project Info and Summary'!$L$5,2),"")</f>
        <v/>
      </c>
    </row>
    <row r="479" spans="1:19" ht="30" customHeight="1">
      <c r="A479" s="948"/>
      <c r="B479" s="496">
        <f t="shared" si="14"/>
        <v>470</v>
      </c>
      <c r="C479" s="864"/>
      <c r="D479" s="505"/>
      <c r="E479" s="866"/>
      <c r="F479" s="498"/>
      <c r="G479" s="499"/>
      <c r="H479" s="492"/>
      <c r="I479" s="855">
        <f>IFERROR(IFERROR(INDEX('Fixture and LED Schedule'!D:D,MATCH(F479,'Fixture and LED Schedule'!C:C,""),1),F479),"")</f>
        <v>0</v>
      </c>
      <c r="J479" s="855" t="str">
        <f>IFERROR(IF(PRJ_Type="New Construction",H479,INDEX(yControl_Code,MATCH(Inventory!H479,yControlTypes,0),1)),"")</f>
        <v/>
      </c>
      <c r="K479" s="493"/>
      <c r="L479" s="501"/>
      <c r="M479" s="502"/>
      <c r="N479" s="855">
        <f>IFERROR(IFERROR(INDEX('Fixture and LED Schedule'!D:D,MATCH(K479,'Fixture and LED Schedule'!C:C,0),1),K479),"")</f>
        <v>0</v>
      </c>
      <c r="O479" s="858" t="str">
        <f>IFERROR(INDEX(yControl_Code,MATCH(Inventory!M479,yControlTypes,0),1),"")</f>
        <v/>
      </c>
      <c r="P479" s="860" t="str">
        <f>'Lighting Inventory (Ref only)'!AG482</f>
        <v/>
      </c>
      <c r="Q479" s="861" t="str">
        <f>'Lighting Inventory (Ref only)'!AF482</f>
        <v/>
      </c>
      <c r="R479" s="856" t="str">
        <f t="shared" si="15"/>
        <v/>
      </c>
      <c r="S479" s="856" t="str">
        <f>IFERROR(ROUND(R479*'Project Info and Summary'!$J$5/'Project Info and Summary'!$L$5,2),"")</f>
        <v/>
      </c>
    </row>
    <row r="480" spans="1:19" ht="30" customHeight="1">
      <c r="A480" s="948"/>
      <c r="B480" s="496">
        <f t="shared" si="14"/>
        <v>471</v>
      </c>
      <c r="C480" s="864"/>
      <c r="D480" s="505"/>
      <c r="E480" s="866"/>
      <c r="F480" s="498"/>
      <c r="G480" s="499"/>
      <c r="H480" s="492"/>
      <c r="I480" s="855">
        <f>IFERROR(IFERROR(INDEX('Fixture and LED Schedule'!D:D,MATCH(F480,'Fixture and LED Schedule'!C:C,""),1),F480),"")</f>
        <v>0</v>
      </c>
      <c r="J480" s="855" t="str">
        <f>IFERROR(IF(PRJ_Type="New Construction",H480,INDEX(yControl_Code,MATCH(Inventory!H480,yControlTypes,0),1)),"")</f>
        <v/>
      </c>
      <c r="K480" s="493"/>
      <c r="L480" s="501"/>
      <c r="M480" s="502"/>
      <c r="N480" s="855">
        <f>IFERROR(IFERROR(INDEX('Fixture and LED Schedule'!D:D,MATCH(K480,'Fixture and LED Schedule'!C:C,0),1),K480),"")</f>
        <v>0</v>
      </c>
      <c r="O480" s="858" t="str">
        <f>IFERROR(INDEX(yControl_Code,MATCH(Inventory!M480,yControlTypes,0),1),"")</f>
        <v/>
      </c>
      <c r="P480" s="860" t="str">
        <f>'Lighting Inventory (Ref only)'!AG483</f>
        <v/>
      </c>
      <c r="Q480" s="861" t="str">
        <f>'Lighting Inventory (Ref only)'!AF483</f>
        <v/>
      </c>
      <c r="R480" s="856" t="str">
        <f t="shared" si="15"/>
        <v/>
      </c>
      <c r="S480" s="856" t="str">
        <f>IFERROR(ROUND(R480*'Project Info and Summary'!$J$5/'Project Info and Summary'!$L$5,2),"")</f>
        <v/>
      </c>
    </row>
    <row r="481" spans="1:19" ht="30" customHeight="1">
      <c r="A481" s="948"/>
      <c r="B481" s="496">
        <f t="shared" si="14"/>
        <v>472</v>
      </c>
      <c r="C481" s="864"/>
      <c r="D481" s="505"/>
      <c r="E481" s="866"/>
      <c r="F481" s="498"/>
      <c r="G481" s="499"/>
      <c r="H481" s="492"/>
      <c r="I481" s="855">
        <f>IFERROR(IFERROR(INDEX('Fixture and LED Schedule'!D:D,MATCH(F481,'Fixture and LED Schedule'!C:C,""),1),F481),"")</f>
        <v>0</v>
      </c>
      <c r="J481" s="855" t="str">
        <f>IFERROR(IF(PRJ_Type="New Construction",H481,INDEX(yControl_Code,MATCH(Inventory!H481,yControlTypes,0),1)),"")</f>
        <v/>
      </c>
      <c r="K481" s="493"/>
      <c r="L481" s="501"/>
      <c r="M481" s="502"/>
      <c r="N481" s="855">
        <f>IFERROR(IFERROR(INDEX('Fixture and LED Schedule'!D:D,MATCH(K481,'Fixture and LED Schedule'!C:C,0),1),K481),"")</f>
        <v>0</v>
      </c>
      <c r="O481" s="858" t="str">
        <f>IFERROR(INDEX(yControl_Code,MATCH(Inventory!M481,yControlTypes,0),1),"")</f>
        <v/>
      </c>
      <c r="P481" s="860" t="str">
        <f>'Lighting Inventory (Ref only)'!AG484</f>
        <v/>
      </c>
      <c r="Q481" s="861" t="str">
        <f>'Lighting Inventory (Ref only)'!AF484</f>
        <v/>
      </c>
      <c r="R481" s="856" t="str">
        <f t="shared" si="15"/>
        <v/>
      </c>
      <c r="S481" s="856" t="str">
        <f>IFERROR(ROUND(R481*'Project Info and Summary'!$J$5/'Project Info and Summary'!$L$5,2),"")</f>
        <v/>
      </c>
    </row>
    <row r="482" spans="1:19" ht="30" customHeight="1">
      <c r="A482" s="948"/>
      <c r="B482" s="496">
        <f t="shared" si="14"/>
        <v>473</v>
      </c>
      <c r="C482" s="864"/>
      <c r="D482" s="505"/>
      <c r="E482" s="866"/>
      <c r="F482" s="498"/>
      <c r="G482" s="499"/>
      <c r="H482" s="492"/>
      <c r="I482" s="855">
        <f>IFERROR(IFERROR(INDEX('Fixture and LED Schedule'!D:D,MATCH(F482,'Fixture and LED Schedule'!C:C,""),1),F482),"")</f>
        <v>0</v>
      </c>
      <c r="J482" s="855" t="str">
        <f>IFERROR(IF(PRJ_Type="New Construction",H482,INDEX(yControl_Code,MATCH(Inventory!H482,yControlTypes,0),1)),"")</f>
        <v/>
      </c>
      <c r="K482" s="493"/>
      <c r="L482" s="501"/>
      <c r="M482" s="502"/>
      <c r="N482" s="855">
        <f>IFERROR(IFERROR(INDEX('Fixture and LED Schedule'!D:D,MATCH(K482,'Fixture and LED Schedule'!C:C,0),1),K482),"")</f>
        <v>0</v>
      </c>
      <c r="O482" s="858" t="str">
        <f>IFERROR(INDEX(yControl_Code,MATCH(Inventory!M482,yControlTypes,0),1),"")</f>
        <v/>
      </c>
      <c r="P482" s="860" t="str">
        <f>'Lighting Inventory (Ref only)'!AG485</f>
        <v/>
      </c>
      <c r="Q482" s="861" t="str">
        <f>'Lighting Inventory (Ref only)'!AF485</f>
        <v/>
      </c>
      <c r="R482" s="856" t="str">
        <f t="shared" si="15"/>
        <v/>
      </c>
      <c r="S482" s="856" t="str">
        <f>IFERROR(ROUND(R482*'Project Info and Summary'!$J$5/'Project Info and Summary'!$L$5,2),"")</f>
        <v/>
      </c>
    </row>
    <row r="483" spans="1:19" ht="30" customHeight="1">
      <c r="A483" s="948"/>
      <c r="B483" s="496">
        <f t="shared" si="14"/>
        <v>474</v>
      </c>
      <c r="C483" s="864"/>
      <c r="D483" s="505"/>
      <c r="E483" s="866"/>
      <c r="F483" s="498"/>
      <c r="G483" s="499"/>
      <c r="H483" s="492"/>
      <c r="I483" s="855">
        <f>IFERROR(IFERROR(INDEX('Fixture and LED Schedule'!D:D,MATCH(F483,'Fixture and LED Schedule'!C:C,""),1),F483),"")</f>
        <v>0</v>
      </c>
      <c r="J483" s="855" t="str">
        <f>IFERROR(IF(PRJ_Type="New Construction",H483,INDEX(yControl_Code,MATCH(Inventory!H483,yControlTypes,0),1)),"")</f>
        <v/>
      </c>
      <c r="K483" s="493"/>
      <c r="L483" s="501"/>
      <c r="M483" s="502"/>
      <c r="N483" s="855">
        <f>IFERROR(IFERROR(INDEX('Fixture and LED Schedule'!D:D,MATCH(K483,'Fixture and LED Schedule'!C:C,0),1),K483),"")</f>
        <v>0</v>
      </c>
      <c r="O483" s="858" t="str">
        <f>IFERROR(INDEX(yControl_Code,MATCH(Inventory!M483,yControlTypes,0),1),"")</f>
        <v/>
      </c>
      <c r="P483" s="860" t="str">
        <f>'Lighting Inventory (Ref only)'!AG486</f>
        <v/>
      </c>
      <c r="Q483" s="861" t="str">
        <f>'Lighting Inventory (Ref only)'!AF486</f>
        <v/>
      </c>
      <c r="R483" s="856" t="str">
        <f t="shared" si="15"/>
        <v/>
      </c>
      <c r="S483" s="856" t="str">
        <f>IFERROR(ROUND(R483*'Project Info and Summary'!$J$5/'Project Info and Summary'!$L$5,2),"")</f>
        <v/>
      </c>
    </row>
    <row r="484" spans="1:19" ht="30" customHeight="1">
      <c r="A484" s="948"/>
      <c r="B484" s="496">
        <f t="shared" si="14"/>
        <v>475</v>
      </c>
      <c r="C484" s="864"/>
      <c r="D484" s="505"/>
      <c r="E484" s="866"/>
      <c r="F484" s="498"/>
      <c r="G484" s="499"/>
      <c r="H484" s="492"/>
      <c r="I484" s="855">
        <f>IFERROR(IFERROR(INDEX('Fixture and LED Schedule'!D:D,MATCH(F484,'Fixture and LED Schedule'!C:C,""),1),F484),"")</f>
        <v>0</v>
      </c>
      <c r="J484" s="855" t="str">
        <f>IFERROR(IF(PRJ_Type="New Construction",H484,INDEX(yControl_Code,MATCH(Inventory!H484,yControlTypes,0),1)),"")</f>
        <v/>
      </c>
      <c r="K484" s="493"/>
      <c r="L484" s="501"/>
      <c r="M484" s="502"/>
      <c r="N484" s="855">
        <f>IFERROR(IFERROR(INDEX('Fixture and LED Schedule'!D:D,MATCH(K484,'Fixture and LED Schedule'!C:C,0),1),K484),"")</f>
        <v>0</v>
      </c>
      <c r="O484" s="858" t="str">
        <f>IFERROR(INDEX(yControl_Code,MATCH(Inventory!M484,yControlTypes,0),1),"")</f>
        <v/>
      </c>
      <c r="P484" s="860" t="str">
        <f>'Lighting Inventory (Ref only)'!AG487</f>
        <v/>
      </c>
      <c r="Q484" s="861" t="str">
        <f>'Lighting Inventory (Ref only)'!AF487</f>
        <v/>
      </c>
      <c r="R484" s="856" t="str">
        <f t="shared" si="15"/>
        <v/>
      </c>
      <c r="S484" s="856" t="str">
        <f>IFERROR(ROUND(R484*'Project Info and Summary'!$J$5/'Project Info and Summary'!$L$5,2),"")</f>
        <v/>
      </c>
    </row>
    <row r="485" spans="1:19" ht="30" customHeight="1">
      <c r="A485" s="948"/>
      <c r="B485" s="496">
        <f t="shared" si="14"/>
        <v>476</v>
      </c>
      <c r="C485" s="864"/>
      <c r="D485" s="505"/>
      <c r="E485" s="866"/>
      <c r="F485" s="498"/>
      <c r="G485" s="499"/>
      <c r="H485" s="492"/>
      <c r="I485" s="855">
        <f>IFERROR(IFERROR(INDEX('Fixture and LED Schedule'!D:D,MATCH(F485,'Fixture and LED Schedule'!C:C,""),1),F485),"")</f>
        <v>0</v>
      </c>
      <c r="J485" s="855" t="str">
        <f>IFERROR(IF(PRJ_Type="New Construction",H485,INDEX(yControl_Code,MATCH(Inventory!H485,yControlTypes,0),1)),"")</f>
        <v/>
      </c>
      <c r="K485" s="493"/>
      <c r="L485" s="501"/>
      <c r="M485" s="502"/>
      <c r="N485" s="855">
        <f>IFERROR(IFERROR(INDEX('Fixture and LED Schedule'!D:D,MATCH(K485,'Fixture and LED Schedule'!C:C,0),1),K485),"")</f>
        <v>0</v>
      </c>
      <c r="O485" s="858" t="str">
        <f>IFERROR(INDEX(yControl_Code,MATCH(Inventory!M485,yControlTypes,0),1),"")</f>
        <v/>
      </c>
      <c r="P485" s="860" t="str">
        <f>'Lighting Inventory (Ref only)'!AG488</f>
        <v/>
      </c>
      <c r="Q485" s="861" t="str">
        <f>'Lighting Inventory (Ref only)'!AF488</f>
        <v/>
      </c>
      <c r="R485" s="856" t="str">
        <f t="shared" si="15"/>
        <v/>
      </c>
      <c r="S485" s="856" t="str">
        <f>IFERROR(ROUND(R485*'Project Info and Summary'!$J$5/'Project Info and Summary'!$L$5,2),"")</f>
        <v/>
      </c>
    </row>
    <row r="486" spans="1:19" ht="30" customHeight="1">
      <c r="A486" s="948"/>
      <c r="B486" s="496">
        <f t="shared" si="14"/>
        <v>477</v>
      </c>
      <c r="C486" s="864"/>
      <c r="D486" s="505"/>
      <c r="E486" s="866"/>
      <c r="F486" s="498"/>
      <c r="G486" s="499"/>
      <c r="H486" s="492"/>
      <c r="I486" s="855">
        <f>IFERROR(IFERROR(INDEX('Fixture and LED Schedule'!D:D,MATCH(F486,'Fixture and LED Schedule'!C:C,""),1),F486),"")</f>
        <v>0</v>
      </c>
      <c r="J486" s="855" t="str">
        <f>IFERROR(IF(PRJ_Type="New Construction",H486,INDEX(yControl_Code,MATCH(Inventory!H486,yControlTypes,0),1)),"")</f>
        <v/>
      </c>
      <c r="K486" s="493"/>
      <c r="L486" s="501"/>
      <c r="M486" s="502"/>
      <c r="N486" s="855">
        <f>IFERROR(IFERROR(INDEX('Fixture and LED Schedule'!D:D,MATCH(K486,'Fixture and LED Schedule'!C:C,0),1),K486),"")</f>
        <v>0</v>
      </c>
      <c r="O486" s="858" t="str">
        <f>IFERROR(INDEX(yControl_Code,MATCH(Inventory!M486,yControlTypes,0),1),"")</f>
        <v/>
      </c>
      <c r="P486" s="860" t="str">
        <f>'Lighting Inventory (Ref only)'!AG489</f>
        <v/>
      </c>
      <c r="Q486" s="861" t="str">
        <f>'Lighting Inventory (Ref only)'!AF489</f>
        <v/>
      </c>
      <c r="R486" s="856" t="str">
        <f t="shared" si="15"/>
        <v/>
      </c>
      <c r="S486" s="856" t="str">
        <f>IFERROR(ROUND(R486*'Project Info and Summary'!$J$5/'Project Info and Summary'!$L$5,2),"")</f>
        <v/>
      </c>
    </row>
    <row r="487" spans="1:19" ht="30" customHeight="1">
      <c r="A487" s="948"/>
      <c r="B487" s="496">
        <f t="shared" si="14"/>
        <v>478</v>
      </c>
      <c r="C487" s="864"/>
      <c r="D487" s="505"/>
      <c r="E487" s="866"/>
      <c r="F487" s="498"/>
      <c r="G487" s="499"/>
      <c r="H487" s="492"/>
      <c r="I487" s="855">
        <f>IFERROR(IFERROR(INDEX('Fixture and LED Schedule'!D:D,MATCH(F487,'Fixture and LED Schedule'!C:C,""),1),F487),"")</f>
        <v>0</v>
      </c>
      <c r="J487" s="855" t="str">
        <f>IFERROR(IF(PRJ_Type="New Construction",H487,INDEX(yControl_Code,MATCH(Inventory!H487,yControlTypes,0),1)),"")</f>
        <v/>
      </c>
      <c r="K487" s="493"/>
      <c r="L487" s="501"/>
      <c r="M487" s="502"/>
      <c r="N487" s="855">
        <f>IFERROR(IFERROR(INDEX('Fixture and LED Schedule'!D:D,MATCH(K487,'Fixture and LED Schedule'!C:C,0),1),K487),"")</f>
        <v>0</v>
      </c>
      <c r="O487" s="858" t="str">
        <f>IFERROR(INDEX(yControl_Code,MATCH(Inventory!M487,yControlTypes,0),1),"")</f>
        <v/>
      </c>
      <c r="P487" s="860" t="str">
        <f>'Lighting Inventory (Ref only)'!AG490</f>
        <v/>
      </c>
      <c r="Q487" s="861" t="str">
        <f>'Lighting Inventory (Ref only)'!AF490</f>
        <v/>
      </c>
      <c r="R487" s="856" t="str">
        <f t="shared" si="15"/>
        <v/>
      </c>
      <c r="S487" s="856" t="str">
        <f>IFERROR(ROUND(R487*'Project Info and Summary'!$J$5/'Project Info and Summary'!$L$5,2),"")</f>
        <v/>
      </c>
    </row>
    <row r="488" spans="1:19" ht="30" customHeight="1">
      <c r="A488" s="948"/>
      <c r="B488" s="496">
        <f t="shared" si="14"/>
        <v>479</v>
      </c>
      <c r="C488" s="864"/>
      <c r="D488" s="505"/>
      <c r="E488" s="866"/>
      <c r="F488" s="498"/>
      <c r="G488" s="499"/>
      <c r="H488" s="492"/>
      <c r="I488" s="855">
        <f>IFERROR(IFERROR(INDEX('Fixture and LED Schedule'!D:D,MATCH(F488,'Fixture and LED Schedule'!C:C,""),1),F488),"")</f>
        <v>0</v>
      </c>
      <c r="J488" s="855" t="str">
        <f>IFERROR(IF(PRJ_Type="New Construction",H488,INDEX(yControl_Code,MATCH(Inventory!H488,yControlTypes,0),1)),"")</f>
        <v/>
      </c>
      <c r="K488" s="493"/>
      <c r="L488" s="501"/>
      <c r="M488" s="502"/>
      <c r="N488" s="855">
        <f>IFERROR(IFERROR(INDEX('Fixture and LED Schedule'!D:D,MATCH(K488,'Fixture and LED Schedule'!C:C,0),1),K488),"")</f>
        <v>0</v>
      </c>
      <c r="O488" s="858" t="str">
        <f>IFERROR(INDEX(yControl_Code,MATCH(Inventory!M488,yControlTypes,0),1),"")</f>
        <v/>
      </c>
      <c r="P488" s="860" t="str">
        <f>'Lighting Inventory (Ref only)'!AG491</f>
        <v/>
      </c>
      <c r="Q488" s="861" t="str">
        <f>'Lighting Inventory (Ref only)'!AF491</f>
        <v/>
      </c>
      <c r="R488" s="856" t="str">
        <f t="shared" si="15"/>
        <v/>
      </c>
      <c r="S488" s="856" t="str">
        <f>IFERROR(ROUND(R488*'Project Info and Summary'!$J$5/'Project Info and Summary'!$L$5,2),"")</f>
        <v/>
      </c>
    </row>
    <row r="489" spans="1:19" ht="30" customHeight="1">
      <c r="A489" s="948"/>
      <c r="B489" s="496">
        <f t="shared" si="14"/>
        <v>480</v>
      </c>
      <c r="C489" s="864"/>
      <c r="D489" s="505"/>
      <c r="E489" s="866"/>
      <c r="F489" s="498"/>
      <c r="G489" s="499"/>
      <c r="H489" s="492"/>
      <c r="I489" s="855">
        <f>IFERROR(IFERROR(INDEX('Fixture and LED Schedule'!D:D,MATCH(F489,'Fixture and LED Schedule'!C:C,""),1),F489),"")</f>
        <v>0</v>
      </c>
      <c r="J489" s="855" t="str">
        <f>IFERROR(IF(PRJ_Type="New Construction",H489,INDEX(yControl_Code,MATCH(Inventory!H489,yControlTypes,0),1)),"")</f>
        <v/>
      </c>
      <c r="K489" s="493"/>
      <c r="L489" s="501"/>
      <c r="M489" s="502"/>
      <c r="N489" s="855">
        <f>IFERROR(IFERROR(INDEX('Fixture and LED Schedule'!D:D,MATCH(K489,'Fixture and LED Schedule'!C:C,0),1),K489),"")</f>
        <v>0</v>
      </c>
      <c r="O489" s="858" t="str">
        <f>IFERROR(INDEX(yControl_Code,MATCH(Inventory!M489,yControlTypes,0),1),"")</f>
        <v/>
      </c>
      <c r="P489" s="860" t="str">
        <f>'Lighting Inventory (Ref only)'!AG492</f>
        <v/>
      </c>
      <c r="Q489" s="861" t="str">
        <f>'Lighting Inventory (Ref only)'!AF492</f>
        <v/>
      </c>
      <c r="R489" s="856" t="str">
        <f t="shared" si="15"/>
        <v/>
      </c>
      <c r="S489" s="856" t="str">
        <f>IFERROR(ROUND(R489*'Project Info and Summary'!$J$5/'Project Info and Summary'!$L$5,2),"")</f>
        <v/>
      </c>
    </row>
    <row r="490" spans="1:19" ht="30" customHeight="1">
      <c r="A490" s="948"/>
      <c r="B490" s="496">
        <f t="shared" si="14"/>
        <v>481</v>
      </c>
      <c r="C490" s="864"/>
      <c r="D490" s="505"/>
      <c r="E490" s="866"/>
      <c r="F490" s="498"/>
      <c r="G490" s="499"/>
      <c r="H490" s="492"/>
      <c r="I490" s="855">
        <f>IFERROR(IFERROR(INDEX('Fixture and LED Schedule'!D:D,MATCH(F490,'Fixture and LED Schedule'!C:C,""),1),F490),"")</f>
        <v>0</v>
      </c>
      <c r="J490" s="855" t="str">
        <f>IFERROR(IF(PRJ_Type="New Construction",H490,INDEX(yControl_Code,MATCH(Inventory!H490,yControlTypes,0),1)),"")</f>
        <v/>
      </c>
      <c r="K490" s="493"/>
      <c r="L490" s="501"/>
      <c r="M490" s="502"/>
      <c r="N490" s="855">
        <f>IFERROR(IFERROR(INDEX('Fixture and LED Schedule'!D:D,MATCH(K490,'Fixture and LED Schedule'!C:C,0),1),K490),"")</f>
        <v>0</v>
      </c>
      <c r="O490" s="858" t="str">
        <f>IFERROR(INDEX(yControl_Code,MATCH(Inventory!M490,yControlTypes,0),1),"")</f>
        <v/>
      </c>
      <c r="P490" s="860" t="str">
        <f>'Lighting Inventory (Ref only)'!AG493</f>
        <v/>
      </c>
      <c r="Q490" s="861" t="str">
        <f>'Lighting Inventory (Ref only)'!AF493</f>
        <v/>
      </c>
      <c r="R490" s="856" t="str">
        <f t="shared" si="15"/>
        <v/>
      </c>
      <c r="S490" s="856" t="str">
        <f>IFERROR(ROUND(R490*'Project Info and Summary'!$J$5/'Project Info and Summary'!$L$5,2),"")</f>
        <v/>
      </c>
    </row>
    <row r="491" spans="1:19" ht="30" customHeight="1">
      <c r="A491" s="948"/>
      <c r="B491" s="496">
        <f t="shared" si="14"/>
        <v>482</v>
      </c>
      <c r="C491" s="864"/>
      <c r="D491" s="505"/>
      <c r="E491" s="866"/>
      <c r="F491" s="498"/>
      <c r="G491" s="499"/>
      <c r="H491" s="492"/>
      <c r="I491" s="855">
        <f>IFERROR(IFERROR(INDEX('Fixture and LED Schedule'!D:D,MATCH(F491,'Fixture and LED Schedule'!C:C,""),1),F491),"")</f>
        <v>0</v>
      </c>
      <c r="J491" s="855" t="str">
        <f>IFERROR(IF(PRJ_Type="New Construction",H491,INDEX(yControl_Code,MATCH(Inventory!H491,yControlTypes,0),1)),"")</f>
        <v/>
      </c>
      <c r="K491" s="493"/>
      <c r="L491" s="501"/>
      <c r="M491" s="502"/>
      <c r="N491" s="855">
        <f>IFERROR(IFERROR(INDEX('Fixture and LED Schedule'!D:D,MATCH(K491,'Fixture and LED Schedule'!C:C,0),1),K491),"")</f>
        <v>0</v>
      </c>
      <c r="O491" s="858" t="str">
        <f>IFERROR(INDEX(yControl_Code,MATCH(Inventory!M491,yControlTypes,0),1),"")</f>
        <v/>
      </c>
      <c r="P491" s="860" t="str">
        <f>'Lighting Inventory (Ref only)'!AG494</f>
        <v/>
      </c>
      <c r="Q491" s="861" t="str">
        <f>'Lighting Inventory (Ref only)'!AF494</f>
        <v/>
      </c>
      <c r="R491" s="856" t="str">
        <f t="shared" si="15"/>
        <v/>
      </c>
      <c r="S491" s="856" t="str">
        <f>IFERROR(ROUND(R491*'Project Info and Summary'!$J$5/'Project Info and Summary'!$L$5,2),"")</f>
        <v/>
      </c>
    </row>
    <row r="492" spans="1:19" ht="30" customHeight="1">
      <c r="A492" s="948"/>
      <c r="B492" s="496">
        <f t="shared" si="14"/>
        <v>483</v>
      </c>
      <c r="C492" s="864"/>
      <c r="D492" s="505"/>
      <c r="E492" s="866"/>
      <c r="F492" s="498"/>
      <c r="G492" s="499"/>
      <c r="H492" s="492"/>
      <c r="I492" s="855">
        <f>IFERROR(IFERROR(INDEX('Fixture and LED Schedule'!D:D,MATCH(F492,'Fixture and LED Schedule'!C:C,""),1),F492),"")</f>
        <v>0</v>
      </c>
      <c r="J492" s="855" t="str">
        <f>IFERROR(IF(PRJ_Type="New Construction",H492,INDEX(yControl_Code,MATCH(Inventory!H492,yControlTypes,0),1)),"")</f>
        <v/>
      </c>
      <c r="K492" s="493"/>
      <c r="L492" s="501"/>
      <c r="M492" s="502"/>
      <c r="N492" s="855">
        <f>IFERROR(IFERROR(INDEX('Fixture and LED Schedule'!D:D,MATCH(K492,'Fixture and LED Schedule'!C:C,0),1),K492),"")</f>
        <v>0</v>
      </c>
      <c r="O492" s="858" t="str">
        <f>IFERROR(INDEX(yControl_Code,MATCH(Inventory!M492,yControlTypes,0),1),"")</f>
        <v/>
      </c>
      <c r="P492" s="860" t="str">
        <f>'Lighting Inventory (Ref only)'!AG495</f>
        <v/>
      </c>
      <c r="Q492" s="861" t="str">
        <f>'Lighting Inventory (Ref only)'!AF495</f>
        <v/>
      </c>
      <c r="R492" s="856" t="str">
        <f t="shared" si="15"/>
        <v/>
      </c>
      <c r="S492" s="856" t="str">
        <f>IFERROR(ROUND(R492*'Project Info and Summary'!$J$5/'Project Info and Summary'!$L$5,2),"")</f>
        <v/>
      </c>
    </row>
    <row r="493" spans="1:19" ht="30" customHeight="1">
      <c r="A493" s="948"/>
      <c r="B493" s="496">
        <f t="shared" si="14"/>
        <v>484</v>
      </c>
      <c r="C493" s="864"/>
      <c r="D493" s="505"/>
      <c r="E493" s="866"/>
      <c r="F493" s="498"/>
      <c r="G493" s="499"/>
      <c r="H493" s="492"/>
      <c r="I493" s="855">
        <f>IFERROR(IFERROR(INDEX('Fixture and LED Schedule'!D:D,MATCH(F493,'Fixture and LED Schedule'!C:C,""),1),F493),"")</f>
        <v>0</v>
      </c>
      <c r="J493" s="855" t="str">
        <f>IFERROR(IF(PRJ_Type="New Construction",H493,INDEX(yControl_Code,MATCH(Inventory!H493,yControlTypes,0),1)),"")</f>
        <v/>
      </c>
      <c r="K493" s="493"/>
      <c r="L493" s="501"/>
      <c r="M493" s="502"/>
      <c r="N493" s="855">
        <f>IFERROR(IFERROR(INDEX('Fixture and LED Schedule'!D:D,MATCH(K493,'Fixture and LED Schedule'!C:C,0),1),K493),"")</f>
        <v>0</v>
      </c>
      <c r="O493" s="858" t="str">
        <f>IFERROR(INDEX(yControl_Code,MATCH(Inventory!M493,yControlTypes,0),1),"")</f>
        <v/>
      </c>
      <c r="P493" s="860" t="str">
        <f>'Lighting Inventory (Ref only)'!AG496</f>
        <v/>
      </c>
      <c r="Q493" s="861" t="str">
        <f>'Lighting Inventory (Ref only)'!AF496</f>
        <v/>
      </c>
      <c r="R493" s="856" t="str">
        <f t="shared" si="15"/>
        <v/>
      </c>
      <c r="S493" s="856" t="str">
        <f>IFERROR(ROUND(R493*'Project Info and Summary'!$J$5/'Project Info and Summary'!$L$5,2),"")</f>
        <v/>
      </c>
    </row>
    <row r="494" spans="1:19" ht="30" customHeight="1">
      <c r="A494" s="948"/>
      <c r="B494" s="496">
        <f t="shared" si="14"/>
        <v>485</v>
      </c>
      <c r="C494" s="864"/>
      <c r="D494" s="505"/>
      <c r="E494" s="866"/>
      <c r="F494" s="498"/>
      <c r="G494" s="499"/>
      <c r="H494" s="492"/>
      <c r="I494" s="855">
        <f>IFERROR(IFERROR(INDEX('Fixture and LED Schedule'!D:D,MATCH(F494,'Fixture and LED Schedule'!C:C,""),1),F494),"")</f>
        <v>0</v>
      </c>
      <c r="J494" s="855" t="str">
        <f>IFERROR(IF(PRJ_Type="New Construction",H494,INDEX(yControl_Code,MATCH(Inventory!H494,yControlTypes,0),1)),"")</f>
        <v/>
      </c>
      <c r="K494" s="493"/>
      <c r="L494" s="501"/>
      <c r="M494" s="502"/>
      <c r="N494" s="855">
        <f>IFERROR(IFERROR(INDEX('Fixture and LED Schedule'!D:D,MATCH(K494,'Fixture and LED Schedule'!C:C,0),1),K494),"")</f>
        <v>0</v>
      </c>
      <c r="O494" s="858" t="str">
        <f>IFERROR(INDEX(yControl_Code,MATCH(Inventory!M494,yControlTypes,0),1),"")</f>
        <v/>
      </c>
      <c r="P494" s="860" t="str">
        <f>'Lighting Inventory (Ref only)'!AG497</f>
        <v/>
      </c>
      <c r="Q494" s="861" t="str">
        <f>'Lighting Inventory (Ref only)'!AF497</f>
        <v/>
      </c>
      <c r="R494" s="856" t="str">
        <f t="shared" si="15"/>
        <v/>
      </c>
      <c r="S494" s="856" t="str">
        <f>IFERROR(ROUND(R494*'Project Info and Summary'!$J$5/'Project Info and Summary'!$L$5,2),"")</f>
        <v/>
      </c>
    </row>
    <row r="495" spans="1:19" ht="30" customHeight="1">
      <c r="A495" s="948"/>
      <c r="B495" s="496">
        <f t="shared" si="14"/>
        <v>486</v>
      </c>
      <c r="C495" s="864"/>
      <c r="D495" s="505"/>
      <c r="E495" s="866"/>
      <c r="F495" s="498"/>
      <c r="G495" s="499"/>
      <c r="H495" s="492"/>
      <c r="I495" s="855">
        <f>IFERROR(IFERROR(INDEX('Fixture and LED Schedule'!D:D,MATCH(F495,'Fixture and LED Schedule'!C:C,""),1),F495),"")</f>
        <v>0</v>
      </c>
      <c r="J495" s="855" t="str">
        <f>IFERROR(IF(PRJ_Type="New Construction",H495,INDEX(yControl_Code,MATCH(Inventory!H495,yControlTypes,0),1)),"")</f>
        <v/>
      </c>
      <c r="K495" s="493"/>
      <c r="L495" s="501"/>
      <c r="M495" s="502"/>
      <c r="N495" s="855">
        <f>IFERROR(IFERROR(INDEX('Fixture and LED Schedule'!D:D,MATCH(K495,'Fixture and LED Schedule'!C:C,0),1),K495),"")</f>
        <v>0</v>
      </c>
      <c r="O495" s="858" t="str">
        <f>IFERROR(INDEX(yControl_Code,MATCH(Inventory!M495,yControlTypes,0),1),"")</f>
        <v/>
      </c>
      <c r="P495" s="860" t="str">
        <f>'Lighting Inventory (Ref only)'!AG498</f>
        <v/>
      </c>
      <c r="Q495" s="861" t="str">
        <f>'Lighting Inventory (Ref only)'!AF498</f>
        <v/>
      </c>
      <c r="R495" s="856" t="str">
        <f t="shared" si="15"/>
        <v/>
      </c>
      <c r="S495" s="856" t="str">
        <f>IFERROR(ROUND(R495*'Project Info and Summary'!$J$5/'Project Info and Summary'!$L$5,2),"")</f>
        <v/>
      </c>
    </row>
    <row r="496" spans="1:19" ht="30" customHeight="1">
      <c r="A496" s="948"/>
      <c r="B496" s="496">
        <f t="shared" si="14"/>
        <v>487</v>
      </c>
      <c r="C496" s="864"/>
      <c r="D496" s="505"/>
      <c r="E496" s="866"/>
      <c r="F496" s="498"/>
      <c r="G496" s="499"/>
      <c r="H496" s="492"/>
      <c r="I496" s="855">
        <f>IFERROR(IFERROR(INDEX('Fixture and LED Schedule'!D:D,MATCH(F496,'Fixture and LED Schedule'!C:C,""),1),F496),"")</f>
        <v>0</v>
      </c>
      <c r="J496" s="855" t="str">
        <f>IFERROR(IF(PRJ_Type="New Construction",H496,INDEX(yControl_Code,MATCH(Inventory!H496,yControlTypes,0),1)),"")</f>
        <v/>
      </c>
      <c r="K496" s="493"/>
      <c r="L496" s="501"/>
      <c r="M496" s="502"/>
      <c r="N496" s="855">
        <f>IFERROR(IFERROR(INDEX('Fixture and LED Schedule'!D:D,MATCH(K496,'Fixture and LED Schedule'!C:C,0),1),K496),"")</f>
        <v>0</v>
      </c>
      <c r="O496" s="858" t="str">
        <f>IFERROR(INDEX(yControl_Code,MATCH(Inventory!M496,yControlTypes,0),1),"")</f>
        <v/>
      </c>
      <c r="P496" s="860" t="str">
        <f>'Lighting Inventory (Ref only)'!AG499</f>
        <v/>
      </c>
      <c r="Q496" s="861" t="str">
        <f>'Lighting Inventory (Ref only)'!AF499</f>
        <v/>
      </c>
      <c r="R496" s="856" t="str">
        <f t="shared" si="15"/>
        <v/>
      </c>
      <c r="S496" s="856" t="str">
        <f>IFERROR(ROUND(R496*'Project Info and Summary'!$J$5/'Project Info and Summary'!$L$5,2),"")</f>
        <v/>
      </c>
    </row>
    <row r="497" spans="1:19" ht="30" customHeight="1">
      <c r="A497" s="948"/>
      <c r="B497" s="496">
        <f t="shared" si="14"/>
        <v>488</v>
      </c>
      <c r="C497" s="864"/>
      <c r="D497" s="505"/>
      <c r="E497" s="866"/>
      <c r="F497" s="498"/>
      <c r="G497" s="499"/>
      <c r="H497" s="492"/>
      <c r="I497" s="855">
        <f>IFERROR(IFERROR(INDEX('Fixture and LED Schedule'!D:D,MATCH(F497,'Fixture and LED Schedule'!C:C,""),1),F497),"")</f>
        <v>0</v>
      </c>
      <c r="J497" s="855" t="str">
        <f>IFERROR(IF(PRJ_Type="New Construction",H497,INDEX(yControl_Code,MATCH(Inventory!H497,yControlTypes,0),1)),"")</f>
        <v/>
      </c>
      <c r="K497" s="493"/>
      <c r="L497" s="501"/>
      <c r="M497" s="502"/>
      <c r="N497" s="855">
        <f>IFERROR(IFERROR(INDEX('Fixture and LED Schedule'!D:D,MATCH(K497,'Fixture and LED Schedule'!C:C,0),1),K497),"")</f>
        <v>0</v>
      </c>
      <c r="O497" s="858" t="str">
        <f>IFERROR(INDEX(yControl_Code,MATCH(Inventory!M497,yControlTypes,0),1),"")</f>
        <v/>
      </c>
      <c r="P497" s="860" t="str">
        <f>'Lighting Inventory (Ref only)'!AG500</f>
        <v/>
      </c>
      <c r="Q497" s="861" t="str">
        <f>'Lighting Inventory (Ref only)'!AF500</f>
        <v/>
      </c>
      <c r="R497" s="856" t="str">
        <f t="shared" si="15"/>
        <v/>
      </c>
      <c r="S497" s="856" t="str">
        <f>IFERROR(ROUND(R497*'Project Info and Summary'!$J$5/'Project Info and Summary'!$L$5,2),"")</f>
        <v/>
      </c>
    </row>
    <row r="498" spans="1:19" ht="30" customHeight="1">
      <c r="A498" s="948"/>
      <c r="B498" s="496">
        <f t="shared" si="14"/>
        <v>489</v>
      </c>
      <c r="C498" s="864"/>
      <c r="D498" s="505"/>
      <c r="E498" s="866"/>
      <c r="F498" s="498"/>
      <c r="G498" s="499"/>
      <c r="H498" s="492"/>
      <c r="I498" s="855">
        <f>IFERROR(IFERROR(INDEX('Fixture and LED Schedule'!D:D,MATCH(F498,'Fixture and LED Schedule'!C:C,""),1),F498),"")</f>
        <v>0</v>
      </c>
      <c r="J498" s="855" t="str">
        <f>IFERROR(IF(PRJ_Type="New Construction",H498,INDEX(yControl_Code,MATCH(Inventory!H498,yControlTypes,0),1)),"")</f>
        <v/>
      </c>
      <c r="K498" s="493"/>
      <c r="L498" s="501"/>
      <c r="M498" s="502"/>
      <c r="N498" s="855">
        <f>IFERROR(IFERROR(INDEX('Fixture and LED Schedule'!D:D,MATCH(K498,'Fixture and LED Schedule'!C:C,0),1),K498),"")</f>
        <v>0</v>
      </c>
      <c r="O498" s="858" t="str">
        <f>IFERROR(INDEX(yControl_Code,MATCH(Inventory!M498,yControlTypes,0),1),"")</f>
        <v/>
      </c>
      <c r="P498" s="860" t="str">
        <f>'Lighting Inventory (Ref only)'!AG501</f>
        <v/>
      </c>
      <c r="Q498" s="861" t="str">
        <f>'Lighting Inventory (Ref only)'!AF501</f>
        <v/>
      </c>
      <c r="R498" s="856" t="str">
        <f t="shared" si="15"/>
        <v/>
      </c>
      <c r="S498" s="856" t="str">
        <f>IFERROR(ROUND(R498*'Project Info and Summary'!$J$5/'Project Info and Summary'!$L$5,2),"")</f>
        <v/>
      </c>
    </row>
    <row r="499" spans="1:19" ht="30" customHeight="1">
      <c r="A499" s="948"/>
      <c r="B499" s="496">
        <f t="shared" si="14"/>
        <v>490</v>
      </c>
      <c r="C499" s="864"/>
      <c r="D499" s="505"/>
      <c r="E499" s="866"/>
      <c r="F499" s="498"/>
      <c r="G499" s="499"/>
      <c r="H499" s="492"/>
      <c r="I499" s="855">
        <f>IFERROR(IFERROR(INDEX('Fixture and LED Schedule'!D:D,MATCH(F499,'Fixture and LED Schedule'!C:C,""),1),F499),"")</f>
        <v>0</v>
      </c>
      <c r="J499" s="855" t="str">
        <f>IFERROR(IF(PRJ_Type="New Construction",H499,INDEX(yControl_Code,MATCH(Inventory!H499,yControlTypes,0),1)),"")</f>
        <v/>
      </c>
      <c r="K499" s="493"/>
      <c r="L499" s="501"/>
      <c r="M499" s="502"/>
      <c r="N499" s="855">
        <f>IFERROR(IFERROR(INDEX('Fixture and LED Schedule'!D:D,MATCH(K499,'Fixture and LED Schedule'!C:C,0),1),K499),"")</f>
        <v>0</v>
      </c>
      <c r="O499" s="858" t="str">
        <f>IFERROR(INDEX(yControl_Code,MATCH(Inventory!M499,yControlTypes,0),1),"")</f>
        <v/>
      </c>
      <c r="P499" s="860" t="str">
        <f>'Lighting Inventory (Ref only)'!AG502</f>
        <v/>
      </c>
      <c r="Q499" s="861" t="str">
        <f>'Lighting Inventory (Ref only)'!AF502</f>
        <v/>
      </c>
      <c r="R499" s="856" t="str">
        <f t="shared" si="15"/>
        <v/>
      </c>
      <c r="S499" s="856" t="str">
        <f>IFERROR(ROUND(R499*'Project Info and Summary'!$J$5/'Project Info and Summary'!$L$5,2),"")</f>
        <v/>
      </c>
    </row>
    <row r="500" spans="1:19" ht="30" customHeight="1">
      <c r="A500" s="948"/>
      <c r="B500" s="496">
        <f t="shared" si="14"/>
        <v>491</v>
      </c>
      <c r="C500" s="864"/>
      <c r="D500" s="505"/>
      <c r="E500" s="866"/>
      <c r="F500" s="498"/>
      <c r="G500" s="499"/>
      <c r="H500" s="492"/>
      <c r="I500" s="855">
        <f>IFERROR(IFERROR(INDEX('Fixture and LED Schedule'!D:D,MATCH(F500,'Fixture and LED Schedule'!C:C,""),1),F500),"")</f>
        <v>0</v>
      </c>
      <c r="J500" s="855" t="str">
        <f>IFERROR(IF(PRJ_Type="New Construction",H500,INDEX(yControl_Code,MATCH(Inventory!H500,yControlTypes,0),1)),"")</f>
        <v/>
      </c>
      <c r="K500" s="493"/>
      <c r="L500" s="501"/>
      <c r="M500" s="502"/>
      <c r="N500" s="855">
        <f>IFERROR(IFERROR(INDEX('Fixture and LED Schedule'!D:D,MATCH(K500,'Fixture and LED Schedule'!C:C,0),1),K500),"")</f>
        <v>0</v>
      </c>
      <c r="O500" s="858" t="str">
        <f>IFERROR(INDEX(yControl_Code,MATCH(Inventory!M500,yControlTypes,0),1),"")</f>
        <v/>
      </c>
      <c r="P500" s="860" t="str">
        <f>'Lighting Inventory (Ref only)'!AG503</f>
        <v/>
      </c>
      <c r="Q500" s="861" t="str">
        <f>'Lighting Inventory (Ref only)'!AF503</f>
        <v/>
      </c>
      <c r="R500" s="856" t="str">
        <f t="shared" si="15"/>
        <v/>
      </c>
      <c r="S500" s="856" t="str">
        <f>IFERROR(ROUND(R500*'Project Info and Summary'!$J$5/'Project Info and Summary'!$L$5,2),"")</f>
        <v/>
      </c>
    </row>
    <row r="501" spans="1:19" ht="30" customHeight="1">
      <c r="A501" s="948"/>
      <c r="B501" s="496">
        <f t="shared" si="14"/>
        <v>492</v>
      </c>
      <c r="C501" s="864"/>
      <c r="D501" s="505"/>
      <c r="E501" s="866"/>
      <c r="F501" s="498"/>
      <c r="G501" s="499"/>
      <c r="H501" s="492"/>
      <c r="I501" s="855">
        <f>IFERROR(IFERROR(INDEX('Fixture and LED Schedule'!D:D,MATCH(F501,'Fixture and LED Schedule'!C:C,""),1),F501),"")</f>
        <v>0</v>
      </c>
      <c r="J501" s="855" t="str">
        <f>IFERROR(IF(PRJ_Type="New Construction",H501,INDEX(yControl_Code,MATCH(Inventory!H501,yControlTypes,0),1)),"")</f>
        <v/>
      </c>
      <c r="K501" s="493"/>
      <c r="L501" s="501"/>
      <c r="M501" s="502"/>
      <c r="N501" s="855">
        <f>IFERROR(IFERROR(INDEX('Fixture and LED Schedule'!D:D,MATCH(K501,'Fixture and LED Schedule'!C:C,0),1),K501),"")</f>
        <v>0</v>
      </c>
      <c r="O501" s="858" t="str">
        <f>IFERROR(INDEX(yControl_Code,MATCH(Inventory!M501,yControlTypes,0),1),"")</f>
        <v/>
      </c>
      <c r="P501" s="860" t="str">
        <f>'Lighting Inventory (Ref only)'!AG504</f>
        <v/>
      </c>
      <c r="Q501" s="861" t="str">
        <f>'Lighting Inventory (Ref only)'!AF504</f>
        <v/>
      </c>
      <c r="R501" s="856" t="str">
        <f t="shared" si="15"/>
        <v/>
      </c>
      <c r="S501" s="856" t="str">
        <f>IFERROR(ROUND(R501*'Project Info and Summary'!$J$5/'Project Info and Summary'!$L$5,2),"")</f>
        <v/>
      </c>
    </row>
    <row r="502" spans="1:19" ht="30" customHeight="1">
      <c r="A502" s="948"/>
      <c r="B502" s="496">
        <f t="shared" si="14"/>
        <v>493</v>
      </c>
      <c r="C502" s="864"/>
      <c r="D502" s="505"/>
      <c r="E502" s="866"/>
      <c r="F502" s="498"/>
      <c r="G502" s="499"/>
      <c r="H502" s="492"/>
      <c r="I502" s="855">
        <f>IFERROR(IFERROR(INDEX('Fixture and LED Schedule'!D:D,MATCH(F502,'Fixture and LED Schedule'!C:C,""),1),F502),"")</f>
        <v>0</v>
      </c>
      <c r="J502" s="855" t="str">
        <f>IFERROR(IF(PRJ_Type="New Construction",H502,INDEX(yControl_Code,MATCH(Inventory!H502,yControlTypes,0),1)),"")</f>
        <v/>
      </c>
      <c r="K502" s="493"/>
      <c r="L502" s="501"/>
      <c r="M502" s="502"/>
      <c r="N502" s="855">
        <f>IFERROR(IFERROR(INDEX('Fixture and LED Schedule'!D:D,MATCH(K502,'Fixture and LED Schedule'!C:C,0),1),K502),"")</f>
        <v>0</v>
      </c>
      <c r="O502" s="858" t="str">
        <f>IFERROR(INDEX(yControl_Code,MATCH(Inventory!M502,yControlTypes,0),1),"")</f>
        <v/>
      </c>
      <c r="P502" s="860" t="str">
        <f>'Lighting Inventory (Ref only)'!AG505</f>
        <v/>
      </c>
      <c r="Q502" s="861" t="str">
        <f>'Lighting Inventory (Ref only)'!AF505</f>
        <v/>
      </c>
      <c r="R502" s="856" t="str">
        <f t="shared" si="15"/>
        <v/>
      </c>
      <c r="S502" s="856" t="str">
        <f>IFERROR(ROUND(R502*'Project Info and Summary'!$J$5/'Project Info and Summary'!$L$5,2),"")</f>
        <v/>
      </c>
    </row>
    <row r="503" spans="1:19" ht="30" customHeight="1">
      <c r="A503" s="948"/>
      <c r="B503" s="496">
        <f t="shared" si="14"/>
        <v>494</v>
      </c>
      <c r="C503" s="864"/>
      <c r="D503" s="505"/>
      <c r="E503" s="866"/>
      <c r="F503" s="498"/>
      <c r="G503" s="499"/>
      <c r="H503" s="492"/>
      <c r="I503" s="855">
        <f>IFERROR(IFERROR(INDEX('Fixture and LED Schedule'!D:D,MATCH(F503,'Fixture and LED Schedule'!C:C,""),1),F503),"")</f>
        <v>0</v>
      </c>
      <c r="J503" s="855" t="str">
        <f>IFERROR(IF(PRJ_Type="New Construction",H503,INDEX(yControl_Code,MATCH(Inventory!H503,yControlTypes,0),1)),"")</f>
        <v/>
      </c>
      <c r="K503" s="493"/>
      <c r="L503" s="501"/>
      <c r="M503" s="502"/>
      <c r="N503" s="855">
        <f>IFERROR(IFERROR(INDEX('Fixture and LED Schedule'!D:D,MATCH(K503,'Fixture and LED Schedule'!C:C,0),1),K503),"")</f>
        <v>0</v>
      </c>
      <c r="O503" s="858" t="str">
        <f>IFERROR(INDEX(yControl_Code,MATCH(Inventory!M503,yControlTypes,0),1),"")</f>
        <v/>
      </c>
      <c r="P503" s="860" t="str">
        <f>'Lighting Inventory (Ref only)'!AG506</f>
        <v/>
      </c>
      <c r="Q503" s="861" t="str">
        <f>'Lighting Inventory (Ref only)'!AF506</f>
        <v/>
      </c>
      <c r="R503" s="856" t="str">
        <f t="shared" si="15"/>
        <v/>
      </c>
      <c r="S503" s="856" t="str">
        <f>IFERROR(ROUND(R503*'Project Info and Summary'!$J$5/'Project Info and Summary'!$L$5,2),"")</f>
        <v/>
      </c>
    </row>
    <row r="504" spans="1:19" ht="30" customHeight="1">
      <c r="A504" s="948"/>
      <c r="B504" s="496">
        <f t="shared" si="14"/>
        <v>495</v>
      </c>
      <c r="C504" s="864"/>
      <c r="D504" s="505"/>
      <c r="E504" s="866"/>
      <c r="F504" s="498"/>
      <c r="G504" s="499"/>
      <c r="H504" s="492"/>
      <c r="I504" s="855">
        <f>IFERROR(IFERROR(INDEX('Fixture and LED Schedule'!D:D,MATCH(F504,'Fixture and LED Schedule'!C:C,""),1),F504),"")</f>
        <v>0</v>
      </c>
      <c r="J504" s="855" t="str">
        <f>IFERROR(IF(PRJ_Type="New Construction",H504,INDEX(yControl_Code,MATCH(Inventory!H504,yControlTypes,0),1)),"")</f>
        <v/>
      </c>
      <c r="K504" s="493"/>
      <c r="L504" s="501"/>
      <c r="M504" s="502"/>
      <c r="N504" s="855">
        <f>IFERROR(IFERROR(INDEX('Fixture and LED Schedule'!D:D,MATCH(K504,'Fixture and LED Schedule'!C:C,0),1),K504),"")</f>
        <v>0</v>
      </c>
      <c r="O504" s="858" t="str">
        <f>IFERROR(INDEX(yControl_Code,MATCH(Inventory!M504,yControlTypes,0),1),"")</f>
        <v/>
      </c>
      <c r="P504" s="860" t="str">
        <f>'Lighting Inventory (Ref only)'!AG507</f>
        <v/>
      </c>
      <c r="Q504" s="861" t="str">
        <f>'Lighting Inventory (Ref only)'!AF507</f>
        <v/>
      </c>
      <c r="R504" s="856" t="str">
        <f t="shared" si="15"/>
        <v/>
      </c>
      <c r="S504" s="856" t="str">
        <f>IFERROR(ROUND(R504*'Project Info and Summary'!$J$5/'Project Info and Summary'!$L$5,2),"")</f>
        <v/>
      </c>
    </row>
    <row r="505" spans="1:19" ht="30" customHeight="1">
      <c r="A505" s="948"/>
      <c r="B505" s="496">
        <f t="shared" si="14"/>
        <v>496</v>
      </c>
      <c r="C505" s="864"/>
      <c r="D505" s="505"/>
      <c r="E505" s="866"/>
      <c r="F505" s="498"/>
      <c r="G505" s="499"/>
      <c r="H505" s="492"/>
      <c r="I505" s="855">
        <f>IFERROR(IFERROR(INDEX('Fixture and LED Schedule'!D:D,MATCH(F505,'Fixture and LED Schedule'!C:C,""),1),F505),"")</f>
        <v>0</v>
      </c>
      <c r="J505" s="855" t="str">
        <f>IFERROR(IF(PRJ_Type="New Construction",H505,INDEX(yControl_Code,MATCH(Inventory!H505,yControlTypes,0),1)),"")</f>
        <v/>
      </c>
      <c r="K505" s="493"/>
      <c r="L505" s="501"/>
      <c r="M505" s="502"/>
      <c r="N505" s="855">
        <f>IFERROR(IFERROR(INDEX('Fixture and LED Schedule'!D:D,MATCH(K505,'Fixture and LED Schedule'!C:C,0),1),K505),"")</f>
        <v>0</v>
      </c>
      <c r="O505" s="858" t="str">
        <f>IFERROR(INDEX(yControl_Code,MATCH(Inventory!M505,yControlTypes,0),1),"")</f>
        <v/>
      </c>
      <c r="P505" s="860" t="str">
        <f>'Lighting Inventory (Ref only)'!AG508</f>
        <v/>
      </c>
      <c r="Q505" s="861" t="str">
        <f>'Lighting Inventory (Ref only)'!AF508</f>
        <v/>
      </c>
      <c r="R505" s="856" t="str">
        <f t="shared" si="15"/>
        <v/>
      </c>
      <c r="S505" s="856" t="str">
        <f>IFERROR(ROUND(R505*'Project Info and Summary'!$J$5/'Project Info and Summary'!$L$5,2),"")</f>
        <v/>
      </c>
    </row>
    <row r="506" spans="1:19" ht="30" customHeight="1">
      <c r="A506" s="948"/>
      <c r="B506" s="496">
        <f t="shared" si="14"/>
        <v>497</v>
      </c>
      <c r="C506" s="864"/>
      <c r="D506" s="505"/>
      <c r="E506" s="866"/>
      <c r="F506" s="498"/>
      <c r="G506" s="499"/>
      <c r="H506" s="492"/>
      <c r="I506" s="855">
        <f>IFERROR(IFERROR(INDEX('Fixture and LED Schedule'!D:D,MATCH(F506,'Fixture and LED Schedule'!C:C,""),1),F506),"")</f>
        <v>0</v>
      </c>
      <c r="J506" s="855" t="str">
        <f>IFERROR(IF(PRJ_Type="New Construction",H506,INDEX(yControl_Code,MATCH(Inventory!H506,yControlTypes,0),1)),"")</f>
        <v/>
      </c>
      <c r="K506" s="493"/>
      <c r="L506" s="501"/>
      <c r="M506" s="502"/>
      <c r="N506" s="855">
        <f>IFERROR(IFERROR(INDEX('Fixture and LED Schedule'!D:D,MATCH(K506,'Fixture and LED Schedule'!C:C,0),1),K506),"")</f>
        <v>0</v>
      </c>
      <c r="O506" s="858" t="str">
        <f>IFERROR(INDEX(yControl_Code,MATCH(Inventory!M506,yControlTypes,0),1),"")</f>
        <v/>
      </c>
      <c r="P506" s="860" t="str">
        <f>'Lighting Inventory (Ref only)'!AG509</f>
        <v/>
      </c>
      <c r="Q506" s="861" t="str">
        <f>'Lighting Inventory (Ref only)'!AF509</f>
        <v/>
      </c>
      <c r="R506" s="856" t="str">
        <f t="shared" si="15"/>
        <v/>
      </c>
      <c r="S506" s="856" t="str">
        <f>IFERROR(ROUND(R506*'Project Info and Summary'!$J$5/'Project Info and Summary'!$L$5,2),"")</f>
        <v/>
      </c>
    </row>
    <row r="507" spans="1:19" ht="30" customHeight="1">
      <c r="A507" s="948"/>
      <c r="B507" s="496">
        <f t="shared" si="14"/>
        <v>498</v>
      </c>
      <c r="C507" s="864"/>
      <c r="D507" s="505"/>
      <c r="E507" s="866"/>
      <c r="F507" s="498"/>
      <c r="G507" s="499"/>
      <c r="H507" s="492"/>
      <c r="I507" s="855">
        <f>IFERROR(IFERROR(INDEX('Fixture and LED Schedule'!D:D,MATCH(F507,'Fixture and LED Schedule'!C:C,""),1),F507),"")</f>
        <v>0</v>
      </c>
      <c r="J507" s="855" t="str">
        <f>IFERROR(IF(PRJ_Type="New Construction",H507,INDEX(yControl_Code,MATCH(Inventory!H507,yControlTypes,0),1)),"")</f>
        <v/>
      </c>
      <c r="K507" s="493"/>
      <c r="L507" s="501"/>
      <c r="M507" s="502"/>
      <c r="N507" s="855">
        <f>IFERROR(IFERROR(INDEX('Fixture and LED Schedule'!D:D,MATCH(K507,'Fixture and LED Schedule'!C:C,0),1),K507),"")</f>
        <v>0</v>
      </c>
      <c r="O507" s="858" t="str">
        <f>IFERROR(INDEX(yControl_Code,MATCH(Inventory!M507,yControlTypes,0),1),"")</f>
        <v/>
      </c>
      <c r="P507" s="860" t="str">
        <f>'Lighting Inventory (Ref only)'!AG510</f>
        <v/>
      </c>
      <c r="Q507" s="861" t="str">
        <f>'Lighting Inventory (Ref only)'!AF510</f>
        <v/>
      </c>
      <c r="R507" s="856" t="str">
        <f t="shared" si="15"/>
        <v/>
      </c>
      <c r="S507" s="856" t="str">
        <f>IFERROR(ROUND(R507*'Project Info and Summary'!$J$5/'Project Info and Summary'!$L$5,2),"")</f>
        <v/>
      </c>
    </row>
    <row r="508" spans="1:19" ht="30" customHeight="1">
      <c r="A508" s="948"/>
      <c r="B508" s="496">
        <f t="shared" si="14"/>
        <v>499</v>
      </c>
      <c r="C508" s="864"/>
      <c r="D508" s="505"/>
      <c r="E508" s="866"/>
      <c r="F508" s="498"/>
      <c r="G508" s="499"/>
      <c r="H508" s="492"/>
      <c r="I508" s="855">
        <f>IFERROR(IFERROR(INDEX('Fixture and LED Schedule'!D:D,MATCH(F508,'Fixture and LED Schedule'!C:C,""),1),F508),"")</f>
        <v>0</v>
      </c>
      <c r="J508" s="855" t="str">
        <f>IFERROR(IF(PRJ_Type="New Construction",H508,INDEX(yControl_Code,MATCH(Inventory!H508,yControlTypes,0),1)),"")</f>
        <v/>
      </c>
      <c r="K508" s="493"/>
      <c r="L508" s="501"/>
      <c r="M508" s="502"/>
      <c r="N508" s="855">
        <f>IFERROR(IFERROR(INDEX('Fixture and LED Schedule'!D:D,MATCH(K508,'Fixture and LED Schedule'!C:C,0),1),K508),"")</f>
        <v>0</v>
      </c>
      <c r="O508" s="858" t="str">
        <f>IFERROR(INDEX(yControl_Code,MATCH(Inventory!M508,yControlTypes,0),1),"")</f>
        <v/>
      </c>
      <c r="P508" s="860" t="str">
        <f>'Lighting Inventory (Ref only)'!AG511</f>
        <v/>
      </c>
      <c r="Q508" s="861" t="str">
        <f>'Lighting Inventory (Ref only)'!AF511</f>
        <v/>
      </c>
      <c r="R508" s="856" t="str">
        <f t="shared" si="15"/>
        <v/>
      </c>
      <c r="S508" s="856" t="str">
        <f>IFERROR(ROUND(R508*'Project Info and Summary'!$J$5/'Project Info and Summary'!$L$5,2),"")</f>
        <v/>
      </c>
    </row>
    <row r="509" spans="1:19" ht="30" customHeight="1">
      <c r="A509" s="948"/>
      <c r="B509" s="496">
        <f t="shared" ref="B509:B572" si="16">B508+1</f>
        <v>500</v>
      </c>
      <c r="C509" s="864"/>
      <c r="D509" s="505"/>
      <c r="E509" s="866"/>
      <c r="F509" s="498"/>
      <c r="G509" s="499"/>
      <c r="H509" s="492"/>
      <c r="I509" s="855">
        <f>IFERROR(IFERROR(INDEX('Fixture and LED Schedule'!D:D,MATCH(F509,'Fixture and LED Schedule'!C:C,""),1),F509),"")</f>
        <v>0</v>
      </c>
      <c r="J509" s="855" t="str">
        <f>IFERROR(IF(PRJ_Type="New Construction",H509,INDEX(yControl_Code,MATCH(Inventory!H509,yControlTypes,0),1)),"")</f>
        <v/>
      </c>
      <c r="K509" s="493"/>
      <c r="L509" s="501"/>
      <c r="M509" s="502"/>
      <c r="N509" s="855">
        <f>IFERROR(IFERROR(INDEX('Fixture and LED Schedule'!D:D,MATCH(K509,'Fixture and LED Schedule'!C:C,0),1),K509),"")</f>
        <v>0</v>
      </c>
      <c r="O509" s="858" t="str">
        <f>IFERROR(INDEX(yControl_Code,MATCH(Inventory!M509,yControlTypes,0),1),"")</f>
        <v/>
      </c>
      <c r="P509" s="860" t="str">
        <f>'Lighting Inventory (Ref only)'!AG512</f>
        <v/>
      </c>
      <c r="Q509" s="861" t="str">
        <f>'Lighting Inventory (Ref only)'!AF512</f>
        <v/>
      </c>
      <c r="R509" s="856" t="str">
        <f t="shared" si="15"/>
        <v/>
      </c>
      <c r="S509" s="856" t="str">
        <f>IFERROR(ROUND(R509*'Project Info and Summary'!$J$5/'Project Info and Summary'!$L$5,2),"")</f>
        <v/>
      </c>
    </row>
    <row r="510" spans="1:19" ht="30" customHeight="1">
      <c r="A510" s="948"/>
      <c r="B510" s="496">
        <f t="shared" si="16"/>
        <v>501</v>
      </c>
      <c r="C510" s="864"/>
      <c r="D510" s="505"/>
      <c r="E510" s="866"/>
      <c r="F510" s="498"/>
      <c r="G510" s="499"/>
      <c r="H510" s="492"/>
      <c r="I510" s="855">
        <f>IFERROR(IFERROR(INDEX('Fixture and LED Schedule'!D:D,MATCH(F510,'Fixture and LED Schedule'!C:C,""),1),F510),"")</f>
        <v>0</v>
      </c>
      <c r="J510" s="855" t="str">
        <f>IFERROR(IF(PRJ_Type="New Construction",H510,INDEX(yControl_Code,MATCH(Inventory!H510,yControlTypes,0),1)),"")</f>
        <v/>
      </c>
      <c r="K510" s="493"/>
      <c r="L510" s="501"/>
      <c r="M510" s="502"/>
      <c r="N510" s="855">
        <f>IFERROR(IFERROR(INDEX('Fixture and LED Schedule'!D:D,MATCH(K510,'Fixture and LED Schedule'!C:C,0),1),K510),"")</f>
        <v>0</v>
      </c>
      <c r="O510" s="858" t="str">
        <f>IFERROR(INDEX(yControl_Code,MATCH(Inventory!M510,yControlTypes,0),1),"")</f>
        <v/>
      </c>
      <c r="P510" s="860" t="str">
        <f>'Lighting Inventory (Ref only)'!AG513</f>
        <v/>
      </c>
      <c r="Q510" s="861" t="str">
        <f>'Lighting Inventory (Ref only)'!AF513</f>
        <v/>
      </c>
      <c r="R510" s="856" t="str">
        <f t="shared" si="15"/>
        <v/>
      </c>
      <c r="S510" s="856" t="str">
        <f>IFERROR(ROUND(R510*'Project Info and Summary'!$J$5/'Project Info and Summary'!$L$5,2),"")</f>
        <v/>
      </c>
    </row>
    <row r="511" spans="1:19" ht="30" customHeight="1">
      <c r="A511" s="948"/>
      <c r="B511" s="496">
        <f t="shared" si="16"/>
        <v>502</v>
      </c>
      <c r="C511" s="864"/>
      <c r="D511" s="505"/>
      <c r="E511" s="866"/>
      <c r="F511" s="498"/>
      <c r="G511" s="499"/>
      <c r="H511" s="492"/>
      <c r="I511" s="855">
        <f>IFERROR(IFERROR(INDEX('Fixture and LED Schedule'!D:D,MATCH(F511,'Fixture and LED Schedule'!C:C,""),1),F511),"")</f>
        <v>0</v>
      </c>
      <c r="J511" s="855" t="str">
        <f>IFERROR(IF(PRJ_Type="New Construction",H511,INDEX(yControl_Code,MATCH(Inventory!H511,yControlTypes,0),1)),"")</f>
        <v/>
      </c>
      <c r="K511" s="493"/>
      <c r="L511" s="501"/>
      <c r="M511" s="502"/>
      <c r="N511" s="855">
        <f>IFERROR(IFERROR(INDEX('Fixture and LED Schedule'!D:D,MATCH(K511,'Fixture and LED Schedule'!C:C,0),1),K511),"")</f>
        <v>0</v>
      </c>
      <c r="O511" s="858" t="str">
        <f>IFERROR(INDEX(yControl_Code,MATCH(Inventory!M511,yControlTypes,0),1),"")</f>
        <v/>
      </c>
      <c r="P511" s="860" t="str">
        <f>'Lighting Inventory (Ref only)'!AG514</f>
        <v/>
      </c>
      <c r="Q511" s="861" t="str">
        <f>'Lighting Inventory (Ref only)'!AF514</f>
        <v/>
      </c>
      <c r="R511" s="856" t="str">
        <f t="shared" si="15"/>
        <v/>
      </c>
      <c r="S511" s="856" t="str">
        <f>IFERROR(ROUND(R511*'Project Info and Summary'!$J$5/'Project Info and Summary'!$L$5,2),"")</f>
        <v/>
      </c>
    </row>
    <row r="512" spans="1:19" ht="30" customHeight="1">
      <c r="A512" s="948"/>
      <c r="B512" s="496">
        <f t="shared" si="16"/>
        <v>503</v>
      </c>
      <c r="C512" s="864"/>
      <c r="D512" s="505"/>
      <c r="E512" s="866"/>
      <c r="F512" s="498"/>
      <c r="G512" s="499"/>
      <c r="H512" s="492"/>
      <c r="I512" s="855">
        <f>IFERROR(IFERROR(INDEX('Fixture and LED Schedule'!D:D,MATCH(F512,'Fixture and LED Schedule'!C:C,""),1),F512),"")</f>
        <v>0</v>
      </c>
      <c r="J512" s="855" t="str">
        <f>IFERROR(IF(PRJ_Type="New Construction",H512,INDEX(yControl_Code,MATCH(Inventory!H512,yControlTypes,0),1)),"")</f>
        <v/>
      </c>
      <c r="K512" s="493"/>
      <c r="L512" s="501"/>
      <c r="M512" s="502"/>
      <c r="N512" s="855">
        <f>IFERROR(IFERROR(INDEX('Fixture and LED Schedule'!D:D,MATCH(K512,'Fixture and LED Schedule'!C:C,0),1),K512),"")</f>
        <v>0</v>
      </c>
      <c r="O512" s="858" t="str">
        <f>IFERROR(INDEX(yControl_Code,MATCH(Inventory!M512,yControlTypes,0),1),"")</f>
        <v/>
      </c>
      <c r="P512" s="860" t="str">
        <f>'Lighting Inventory (Ref only)'!AG515</f>
        <v/>
      </c>
      <c r="Q512" s="861" t="str">
        <f>'Lighting Inventory (Ref only)'!AF515</f>
        <v/>
      </c>
      <c r="R512" s="856" t="str">
        <f t="shared" si="15"/>
        <v/>
      </c>
      <c r="S512" s="856" t="str">
        <f>IFERROR(ROUND(R512*'Project Info and Summary'!$J$5/'Project Info and Summary'!$L$5,2),"")</f>
        <v/>
      </c>
    </row>
    <row r="513" spans="1:19" ht="30" customHeight="1">
      <c r="A513" s="948"/>
      <c r="B513" s="496">
        <f t="shared" si="16"/>
        <v>504</v>
      </c>
      <c r="C513" s="864"/>
      <c r="D513" s="505"/>
      <c r="E513" s="866"/>
      <c r="F513" s="498"/>
      <c r="G513" s="499"/>
      <c r="H513" s="492"/>
      <c r="I513" s="855">
        <f>IFERROR(IFERROR(INDEX('Fixture and LED Schedule'!D:D,MATCH(F513,'Fixture and LED Schedule'!C:C,""),1),F513),"")</f>
        <v>0</v>
      </c>
      <c r="J513" s="855" t="str">
        <f>IFERROR(IF(PRJ_Type="New Construction",H513,INDEX(yControl_Code,MATCH(Inventory!H513,yControlTypes,0),1)),"")</f>
        <v/>
      </c>
      <c r="K513" s="493"/>
      <c r="L513" s="501"/>
      <c r="M513" s="502"/>
      <c r="N513" s="855">
        <f>IFERROR(IFERROR(INDEX('Fixture and LED Schedule'!D:D,MATCH(K513,'Fixture and LED Schedule'!C:C,0),1),K513),"")</f>
        <v>0</v>
      </c>
      <c r="O513" s="858" t="str">
        <f>IFERROR(INDEX(yControl_Code,MATCH(Inventory!M513,yControlTypes,0),1),"")</f>
        <v/>
      </c>
      <c r="P513" s="860" t="str">
        <f>'Lighting Inventory (Ref only)'!AG516</f>
        <v/>
      </c>
      <c r="Q513" s="861" t="str">
        <f>'Lighting Inventory (Ref only)'!AF516</f>
        <v/>
      </c>
      <c r="R513" s="856" t="str">
        <f t="shared" si="15"/>
        <v/>
      </c>
      <c r="S513" s="856" t="str">
        <f>IFERROR(ROUND(R513*'Project Info and Summary'!$J$5/'Project Info and Summary'!$L$5,2),"")</f>
        <v/>
      </c>
    </row>
    <row r="514" spans="1:19" ht="30" customHeight="1">
      <c r="A514" s="948"/>
      <c r="B514" s="496">
        <f t="shared" si="16"/>
        <v>505</v>
      </c>
      <c r="C514" s="864"/>
      <c r="D514" s="505"/>
      <c r="E514" s="866"/>
      <c r="F514" s="498"/>
      <c r="G514" s="499"/>
      <c r="H514" s="492"/>
      <c r="I514" s="855">
        <f>IFERROR(IFERROR(INDEX('Fixture and LED Schedule'!D:D,MATCH(F514,'Fixture and LED Schedule'!C:C,""),1),F514),"")</f>
        <v>0</v>
      </c>
      <c r="J514" s="855" t="str">
        <f>IFERROR(IF(PRJ_Type="New Construction",H514,INDEX(yControl_Code,MATCH(Inventory!H514,yControlTypes,0),1)),"")</f>
        <v/>
      </c>
      <c r="K514" s="493"/>
      <c r="L514" s="501"/>
      <c r="M514" s="502"/>
      <c r="N514" s="855">
        <f>IFERROR(IFERROR(INDEX('Fixture and LED Schedule'!D:D,MATCH(K514,'Fixture and LED Schedule'!C:C,0),1),K514),"")</f>
        <v>0</v>
      </c>
      <c r="O514" s="858" t="str">
        <f>IFERROR(INDEX(yControl_Code,MATCH(Inventory!M514,yControlTypes,0),1),"")</f>
        <v/>
      </c>
      <c r="P514" s="860" t="str">
        <f>'Lighting Inventory (Ref only)'!AG517</f>
        <v/>
      </c>
      <c r="Q514" s="861" t="str">
        <f>'Lighting Inventory (Ref only)'!AF517</f>
        <v/>
      </c>
      <c r="R514" s="856" t="str">
        <f t="shared" si="15"/>
        <v/>
      </c>
      <c r="S514" s="856" t="str">
        <f>IFERROR(ROUND(R514*'Project Info and Summary'!$J$5/'Project Info and Summary'!$L$5,2),"")</f>
        <v/>
      </c>
    </row>
    <row r="515" spans="1:19" ht="30" customHeight="1">
      <c r="A515" s="948"/>
      <c r="B515" s="496">
        <f t="shared" si="16"/>
        <v>506</v>
      </c>
      <c r="C515" s="864"/>
      <c r="D515" s="505"/>
      <c r="E515" s="866"/>
      <c r="F515" s="498"/>
      <c r="G515" s="499"/>
      <c r="H515" s="492"/>
      <c r="I515" s="855">
        <f>IFERROR(IFERROR(INDEX('Fixture and LED Schedule'!D:D,MATCH(F515,'Fixture and LED Schedule'!C:C,""),1),F515),"")</f>
        <v>0</v>
      </c>
      <c r="J515" s="855" t="str">
        <f>IFERROR(IF(PRJ_Type="New Construction",H515,INDEX(yControl_Code,MATCH(Inventory!H515,yControlTypes,0),1)),"")</f>
        <v/>
      </c>
      <c r="K515" s="493"/>
      <c r="L515" s="501"/>
      <c r="M515" s="502"/>
      <c r="N515" s="855">
        <f>IFERROR(IFERROR(INDEX('Fixture and LED Schedule'!D:D,MATCH(K515,'Fixture and LED Schedule'!C:C,0),1),K515),"")</f>
        <v>0</v>
      </c>
      <c r="O515" s="858" t="str">
        <f>IFERROR(INDEX(yControl_Code,MATCH(Inventory!M515,yControlTypes,0),1),"")</f>
        <v/>
      </c>
      <c r="P515" s="860" t="str">
        <f>'Lighting Inventory (Ref only)'!AG518</f>
        <v/>
      </c>
      <c r="Q515" s="861" t="str">
        <f>'Lighting Inventory (Ref only)'!AF518</f>
        <v/>
      </c>
      <c r="R515" s="856" t="str">
        <f t="shared" si="15"/>
        <v/>
      </c>
      <c r="S515" s="856" t="str">
        <f>IFERROR(ROUND(R515*'Project Info and Summary'!$J$5/'Project Info and Summary'!$L$5,2),"")</f>
        <v/>
      </c>
    </row>
    <row r="516" spans="1:19" ht="30" customHeight="1">
      <c r="A516" s="948"/>
      <c r="B516" s="496">
        <f t="shared" si="16"/>
        <v>507</v>
      </c>
      <c r="C516" s="864"/>
      <c r="D516" s="505"/>
      <c r="E516" s="866"/>
      <c r="F516" s="498"/>
      <c r="G516" s="499"/>
      <c r="H516" s="492"/>
      <c r="I516" s="855">
        <f>IFERROR(IFERROR(INDEX('Fixture and LED Schedule'!D:D,MATCH(F516,'Fixture and LED Schedule'!C:C,""),1),F516),"")</f>
        <v>0</v>
      </c>
      <c r="J516" s="855" t="str">
        <f>IFERROR(IF(PRJ_Type="New Construction",H516,INDEX(yControl_Code,MATCH(Inventory!H516,yControlTypes,0),1)),"")</f>
        <v/>
      </c>
      <c r="K516" s="493"/>
      <c r="L516" s="501"/>
      <c r="M516" s="502"/>
      <c r="N516" s="855">
        <f>IFERROR(IFERROR(INDEX('Fixture and LED Schedule'!D:D,MATCH(K516,'Fixture and LED Schedule'!C:C,0),1),K516),"")</f>
        <v>0</v>
      </c>
      <c r="O516" s="858" t="str">
        <f>IFERROR(INDEX(yControl_Code,MATCH(Inventory!M516,yControlTypes,0),1),"")</f>
        <v/>
      </c>
      <c r="P516" s="860" t="str">
        <f>'Lighting Inventory (Ref only)'!AG519</f>
        <v/>
      </c>
      <c r="Q516" s="861" t="str">
        <f>'Lighting Inventory (Ref only)'!AF519</f>
        <v/>
      </c>
      <c r="R516" s="856" t="str">
        <f t="shared" si="15"/>
        <v/>
      </c>
      <c r="S516" s="856" t="str">
        <f>IFERROR(ROUND(R516*'Project Info and Summary'!$J$5/'Project Info and Summary'!$L$5,2),"")</f>
        <v/>
      </c>
    </row>
    <row r="517" spans="1:19" ht="30" customHeight="1">
      <c r="A517" s="948"/>
      <c r="B517" s="496">
        <f t="shared" si="16"/>
        <v>508</v>
      </c>
      <c r="C517" s="864"/>
      <c r="D517" s="505"/>
      <c r="E517" s="866"/>
      <c r="F517" s="498"/>
      <c r="G517" s="499"/>
      <c r="H517" s="492"/>
      <c r="I517" s="855">
        <f>IFERROR(IFERROR(INDEX('Fixture and LED Schedule'!D:D,MATCH(F517,'Fixture and LED Schedule'!C:C,""),1),F517),"")</f>
        <v>0</v>
      </c>
      <c r="J517" s="855" t="str">
        <f>IFERROR(IF(PRJ_Type="New Construction",H517,INDEX(yControl_Code,MATCH(Inventory!H517,yControlTypes,0),1)),"")</f>
        <v/>
      </c>
      <c r="K517" s="493"/>
      <c r="L517" s="501"/>
      <c r="M517" s="502"/>
      <c r="N517" s="855">
        <f>IFERROR(IFERROR(INDEX('Fixture and LED Schedule'!D:D,MATCH(K517,'Fixture and LED Schedule'!C:C,0),1),K517),"")</f>
        <v>0</v>
      </c>
      <c r="O517" s="858" t="str">
        <f>IFERROR(INDEX(yControl_Code,MATCH(Inventory!M517,yControlTypes,0),1),"")</f>
        <v/>
      </c>
      <c r="P517" s="860" t="str">
        <f>'Lighting Inventory (Ref only)'!AG520</f>
        <v/>
      </c>
      <c r="Q517" s="861" t="str">
        <f>'Lighting Inventory (Ref only)'!AF520</f>
        <v/>
      </c>
      <c r="R517" s="856" t="str">
        <f t="shared" si="15"/>
        <v/>
      </c>
      <c r="S517" s="856" t="str">
        <f>IFERROR(ROUND(R517*'Project Info and Summary'!$J$5/'Project Info and Summary'!$L$5,2),"")</f>
        <v/>
      </c>
    </row>
    <row r="518" spans="1:19" ht="30" customHeight="1">
      <c r="A518" s="948"/>
      <c r="B518" s="496">
        <f t="shared" si="16"/>
        <v>509</v>
      </c>
      <c r="C518" s="864"/>
      <c r="D518" s="505"/>
      <c r="E518" s="866"/>
      <c r="F518" s="498"/>
      <c r="G518" s="499"/>
      <c r="H518" s="492"/>
      <c r="I518" s="855">
        <f>IFERROR(IFERROR(INDEX('Fixture and LED Schedule'!D:D,MATCH(F518,'Fixture and LED Schedule'!C:C,""),1),F518),"")</f>
        <v>0</v>
      </c>
      <c r="J518" s="855" t="str">
        <f>IFERROR(IF(PRJ_Type="New Construction",H518,INDEX(yControl_Code,MATCH(Inventory!H518,yControlTypes,0),1)),"")</f>
        <v/>
      </c>
      <c r="K518" s="493"/>
      <c r="L518" s="501"/>
      <c r="M518" s="502"/>
      <c r="N518" s="855">
        <f>IFERROR(IFERROR(INDEX('Fixture and LED Schedule'!D:D,MATCH(K518,'Fixture and LED Schedule'!C:C,0),1),K518),"")</f>
        <v>0</v>
      </c>
      <c r="O518" s="858" t="str">
        <f>IFERROR(INDEX(yControl_Code,MATCH(Inventory!M518,yControlTypes,0),1),"")</f>
        <v/>
      </c>
      <c r="P518" s="860" t="str">
        <f>'Lighting Inventory (Ref only)'!AG521</f>
        <v/>
      </c>
      <c r="Q518" s="861" t="str">
        <f>'Lighting Inventory (Ref only)'!AF521</f>
        <v/>
      </c>
      <c r="R518" s="856" t="str">
        <f t="shared" si="15"/>
        <v/>
      </c>
      <c r="S518" s="856" t="str">
        <f>IFERROR(ROUND(R518*'Project Info and Summary'!$J$5/'Project Info and Summary'!$L$5,2),"")</f>
        <v/>
      </c>
    </row>
    <row r="519" spans="1:19" ht="30" customHeight="1">
      <c r="A519" s="948"/>
      <c r="B519" s="496">
        <f t="shared" si="16"/>
        <v>510</v>
      </c>
      <c r="C519" s="864"/>
      <c r="D519" s="505"/>
      <c r="E519" s="866"/>
      <c r="F519" s="498"/>
      <c r="G519" s="499"/>
      <c r="H519" s="492"/>
      <c r="I519" s="855">
        <f>IFERROR(IFERROR(INDEX('Fixture and LED Schedule'!D:D,MATCH(F519,'Fixture and LED Schedule'!C:C,""),1),F519),"")</f>
        <v>0</v>
      </c>
      <c r="J519" s="855" t="str">
        <f>IFERROR(IF(PRJ_Type="New Construction",H519,INDEX(yControl_Code,MATCH(Inventory!H519,yControlTypes,0),1)),"")</f>
        <v/>
      </c>
      <c r="K519" s="493"/>
      <c r="L519" s="501"/>
      <c r="M519" s="502"/>
      <c r="N519" s="855">
        <f>IFERROR(IFERROR(INDEX('Fixture and LED Schedule'!D:D,MATCH(K519,'Fixture and LED Schedule'!C:C,0),1),K519),"")</f>
        <v>0</v>
      </c>
      <c r="O519" s="858" t="str">
        <f>IFERROR(INDEX(yControl_Code,MATCH(Inventory!M519,yControlTypes,0),1),"")</f>
        <v/>
      </c>
      <c r="P519" s="860" t="str">
        <f>'Lighting Inventory (Ref only)'!AG522</f>
        <v/>
      </c>
      <c r="Q519" s="861" t="str">
        <f>'Lighting Inventory (Ref only)'!AF522</f>
        <v/>
      </c>
      <c r="R519" s="856" t="str">
        <f t="shared" si="15"/>
        <v/>
      </c>
      <c r="S519" s="856" t="str">
        <f>IFERROR(ROUND(R519*'Project Info and Summary'!$J$5/'Project Info and Summary'!$L$5,2),"")</f>
        <v/>
      </c>
    </row>
    <row r="520" spans="1:19" ht="30" customHeight="1">
      <c r="A520" s="948"/>
      <c r="B520" s="496">
        <f t="shared" si="16"/>
        <v>511</v>
      </c>
      <c r="C520" s="864"/>
      <c r="D520" s="505"/>
      <c r="E520" s="866"/>
      <c r="F520" s="498"/>
      <c r="G520" s="499"/>
      <c r="H520" s="492"/>
      <c r="I520" s="855">
        <f>IFERROR(IFERROR(INDEX('Fixture and LED Schedule'!D:D,MATCH(F520,'Fixture and LED Schedule'!C:C,""),1),F520),"")</f>
        <v>0</v>
      </c>
      <c r="J520" s="855" t="str">
        <f>IFERROR(IF(PRJ_Type="New Construction",H520,INDEX(yControl_Code,MATCH(Inventory!H520,yControlTypes,0),1)),"")</f>
        <v/>
      </c>
      <c r="K520" s="493"/>
      <c r="L520" s="501"/>
      <c r="M520" s="502"/>
      <c r="N520" s="855">
        <f>IFERROR(IFERROR(INDEX('Fixture and LED Schedule'!D:D,MATCH(K520,'Fixture and LED Schedule'!C:C,0),1),K520),"")</f>
        <v>0</v>
      </c>
      <c r="O520" s="858" t="str">
        <f>IFERROR(INDEX(yControl_Code,MATCH(Inventory!M520,yControlTypes,0),1),"")</f>
        <v/>
      </c>
      <c r="P520" s="860" t="str">
        <f>'Lighting Inventory (Ref only)'!AG523</f>
        <v/>
      </c>
      <c r="Q520" s="861" t="str">
        <f>'Lighting Inventory (Ref only)'!AF523</f>
        <v/>
      </c>
      <c r="R520" s="856" t="str">
        <f t="shared" si="15"/>
        <v/>
      </c>
      <c r="S520" s="856" t="str">
        <f>IFERROR(ROUND(R520*'Project Info and Summary'!$J$5/'Project Info and Summary'!$L$5,2),"")</f>
        <v/>
      </c>
    </row>
    <row r="521" spans="1:19" ht="30" customHeight="1">
      <c r="A521" s="948"/>
      <c r="B521" s="496">
        <f t="shared" si="16"/>
        <v>512</v>
      </c>
      <c r="C521" s="864"/>
      <c r="D521" s="505"/>
      <c r="E521" s="866"/>
      <c r="F521" s="498"/>
      <c r="G521" s="499"/>
      <c r="H521" s="492"/>
      <c r="I521" s="855">
        <f>IFERROR(IFERROR(INDEX('Fixture and LED Schedule'!D:D,MATCH(F521,'Fixture and LED Schedule'!C:C,""),1),F521),"")</f>
        <v>0</v>
      </c>
      <c r="J521" s="855" t="str">
        <f>IFERROR(IF(PRJ_Type="New Construction",H521,INDEX(yControl_Code,MATCH(Inventory!H521,yControlTypes,0),1)),"")</f>
        <v/>
      </c>
      <c r="K521" s="493"/>
      <c r="L521" s="501"/>
      <c r="M521" s="502"/>
      <c r="N521" s="855">
        <f>IFERROR(IFERROR(INDEX('Fixture and LED Schedule'!D:D,MATCH(K521,'Fixture and LED Schedule'!C:C,0),1),K521),"")</f>
        <v>0</v>
      </c>
      <c r="O521" s="858" t="str">
        <f>IFERROR(INDEX(yControl_Code,MATCH(Inventory!M521,yControlTypes,0),1),"")</f>
        <v/>
      </c>
      <c r="P521" s="860" t="str">
        <f>'Lighting Inventory (Ref only)'!AG524</f>
        <v/>
      </c>
      <c r="Q521" s="861" t="str">
        <f>'Lighting Inventory (Ref only)'!AF524</f>
        <v/>
      </c>
      <c r="R521" s="856" t="str">
        <f t="shared" si="15"/>
        <v/>
      </c>
      <c r="S521" s="856" t="str">
        <f>IFERROR(ROUND(R521*'Project Info and Summary'!$J$5/'Project Info and Summary'!$L$5,2),"")</f>
        <v/>
      </c>
    </row>
    <row r="522" spans="1:19" ht="30" customHeight="1">
      <c r="A522" s="948"/>
      <c r="B522" s="496">
        <f t="shared" si="16"/>
        <v>513</v>
      </c>
      <c r="C522" s="864"/>
      <c r="D522" s="505"/>
      <c r="E522" s="866"/>
      <c r="F522" s="498"/>
      <c r="G522" s="499"/>
      <c r="H522" s="492"/>
      <c r="I522" s="855">
        <f>IFERROR(IFERROR(INDEX('Fixture and LED Schedule'!D:D,MATCH(F522,'Fixture and LED Schedule'!C:C,""),1),F522),"")</f>
        <v>0</v>
      </c>
      <c r="J522" s="855" t="str">
        <f>IFERROR(IF(PRJ_Type="New Construction",H522,INDEX(yControl_Code,MATCH(Inventory!H522,yControlTypes,0),1)),"")</f>
        <v/>
      </c>
      <c r="K522" s="493"/>
      <c r="L522" s="501"/>
      <c r="M522" s="502"/>
      <c r="N522" s="855">
        <f>IFERROR(IFERROR(INDEX('Fixture and LED Schedule'!D:D,MATCH(K522,'Fixture and LED Schedule'!C:C,0),1),K522),"")</f>
        <v>0</v>
      </c>
      <c r="O522" s="858" t="str">
        <f>IFERROR(INDEX(yControl_Code,MATCH(Inventory!M522,yControlTypes,0),1),"")</f>
        <v/>
      </c>
      <c r="P522" s="860" t="str">
        <f>'Lighting Inventory (Ref only)'!AG525</f>
        <v/>
      </c>
      <c r="Q522" s="861" t="str">
        <f>'Lighting Inventory (Ref only)'!AF525</f>
        <v/>
      </c>
      <c r="R522" s="856" t="str">
        <f t="shared" si="15"/>
        <v/>
      </c>
      <c r="S522" s="856" t="str">
        <f>IFERROR(ROUND(R522*'Project Info and Summary'!$J$5/'Project Info and Summary'!$L$5,2),"")</f>
        <v/>
      </c>
    </row>
    <row r="523" spans="1:19" ht="30" customHeight="1">
      <c r="A523" s="948"/>
      <c r="B523" s="496">
        <f t="shared" si="16"/>
        <v>514</v>
      </c>
      <c r="C523" s="864"/>
      <c r="D523" s="505"/>
      <c r="E523" s="866"/>
      <c r="F523" s="498"/>
      <c r="G523" s="499"/>
      <c r="H523" s="492"/>
      <c r="I523" s="855">
        <f>IFERROR(IFERROR(INDEX('Fixture and LED Schedule'!D:D,MATCH(F523,'Fixture and LED Schedule'!C:C,""),1),F523),"")</f>
        <v>0</v>
      </c>
      <c r="J523" s="855" t="str">
        <f>IFERROR(IF(PRJ_Type="New Construction",H523,INDEX(yControl_Code,MATCH(Inventory!H523,yControlTypes,0),1)),"")</f>
        <v/>
      </c>
      <c r="K523" s="493"/>
      <c r="L523" s="501"/>
      <c r="M523" s="502"/>
      <c r="N523" s="855">
        <f>IFERROR(IFERROR(INDEX('Fixture and LED Schedule'!D:D,MATCH(K523,'Fixture and LED Schedule'!C:C,0),1),K523),"")</f>
        <v>0</v>
      </c>
      <c r="O523" s="858" t="str">
        <f>IFERROR(INDEX(yControl_Code,MATCH(Inventory!M523,yControlTypes,0),1),"")</f>
        <v/>
      </c>
      <c r="P523" s="860" t="str">
        <f>'Lighting Inventory (Ref only)'!AG526</f>
        <v/>
      </c>
      <c r="Q523" s="861" t="str">
        <f>'Lighting Inventory (Ref only)'!AF526</f>
        <v/>
      </c>
      <c r="R523" s="856" t="str">
        <f t="shared" ref="R523:R586" si="17">IFERROR(P523*0.02+Q523*185,"")</f>
        <v/>
      </c>
      <c r="S523" s="856" t="str">
        <f>IFERROR(ROUND(R523*'Project Info and Summary'!$J$5/'Project Info and Summary'!$L$5,2),"")</f>
        <v/>
      </c>
    </row>
    <row r="524" spans="1:19" ht="30" customHeight="1">
      <c r="A524" s="948"/>
      <c r="B524" s="496">
        <f t="shared" si="16"/>
        <v>515</v>
      </c>
      <c r="C524" s="864"/>
      <c r="D524" s="505"/>
      <c r="E524" s="866"/>
      <c r="F524" s="498"/>
      <c r="G524" s="499"/>
      <c r="H524" s="492"/>
      <c r="I524" s="855">
        <f>IFERROR(IFERROR(INDEX('Fixture and LED Schedule'!D:D,MATCH(F524,'Fixture and LED Schedule'!C:C,""),1),F524),"")</f>
        <v>0</v>
      </c>
      <c r="J524" s="855" t="str">
        <f>IFERROR(IF(PRJ_Type="New Construction",H524,INDEX(yControl_Code,MATCH(Inventory!H524,yControlTypes,0),1)),"")</f>
        <v/>
      </c>
      <c r="K524" s="493"/>
      <c r="L524" s="501"/>
      <c r="M524" s="502"/>
      <c r="N524" s="855">
        <f>IFERROR(IFERROR(INDEX('Fixture and LED Schedule'!D:D,MATCH(K524,'Fixture and LED Schedule'!C:C,0),1),K524),"")</f>
        <v>0</v>
      </c>
      <c r="O524" s="858" t="str">
        <f>IFERROR(INDEX(yControl_Code,MATCH(Inventory!M524,yControlTypes,0),1),"")</f>
        <v/>
      </c>
      <c r="P524" s="860" t="str">
        <f>'Lighting Inventory (Ref only)'!AG527</f>
        <v/>
      </c>
      <c r="Q524" s="861" t="str">
        <f>'Lighting Inventory (Ref only)'!AF527</f>
        <v/>
      </c>
      <c r="R524" s="856" t="str">
        <f t="shared" si="17"/>
        <v/>
      </c>
      <c r="S524" s="856" t="str">
        <f>IFERROR(ROUND(R524*'Project Info and Summary'!$J$5/'Project Info and Summary'!$L$5,2),"")</f>
        <v/>
      </c>
    </row>
    <row r="525" spans="1:19" ht="30" customHeight="1">
      <c r="A525" s="948"/>
      <c r="B525" s="496">
        <f t="shared" si="16"/>
        <v>516</v>
      </c>
      <c r="C525" s="864"/>
      <c r="D525" s="505"/>
      <c r="E525" s="866"/>
      <c r="F525" s="498"/>
      <c r="G525" s="499"/>
      <c r="H525" s="492"/>
      <c r="I525" s="855">
        <f>IFERROR(IFERROR(INDEX('Fixture and LED Schedule'!D:D,MATCH(F525,'Fixture and LED Schedule'!C:C,""),1),F525),"")</f>
        <v>0</v>
      </c>
      <c r="J525" s="855" t="str">
        <f>IFERROR(IF(PRJ_Type="New Construction",H525,INDEX(yControl_Code,MATCH(Inventory!H525,yControlTypes,0),1)),"")</f>
        <v/>
      </c>
      <c r="K525" s="493"/>
      <c r="L525" s="501"/>
      <c r="M525" s="502"/>
      <c r="N525" s="855">
        <f>IFERROR(IFERROR(INDEX('Fixture and LED Schedule'!D:D,MATCH(K525,'Fixture and LED Schedule'!C:C,0),1),K525),"")</f>
        <v>0</v>
      </c>
      <c r="O525" s="858" t="str">
        <f>IFERROR(INDEX(yControl_Code,MATCH(Inventory!M525,yControlTypes,0),1),"")</f>
        <v/>
      </c>
      <c r="P525" s="860" t="str">
        <f>'Lighting Inventory (Ref only)'!AG528</f>
        <v/>
      </c>
      <c r="Q525" s="861" t="str">
        <f>'Lighting Inventory (Ref only)'!AF528</f>
        <v/>
      </c>
      <c r="R525" s="856" t="str">
        <f t="shared" si="17"/>
        <v/>
      </c>
      <c r="S525" s="856" t="str">
        <f>IFERROR(ROUND(R525*'Project Info and Summary'!$J$5/'Project Info and Summary'!$L$5,2),"")</f>
        <v/>
      </c>
    </row>
    <row r="526" spans="1:19" ht="30" customHeight="1">
      <c r="A526" s="948"/>
      <c r="B526" s="496">
        <f t="shared" si="16"/>
        <v>517</v>
      </c>
      <c r="C526" s="864"/>
      <c r="D526" s="505"/>
      <c r="E526" s="866"/>
      <c r="F526" s="498"/>
      <c r="G526" s="499"/>
      <c r="H526" s="492"/>
      <c r="I526" s="855">
        <f>IFERROR(IFERROR(INDEX('Fixture and LED Schedule'!D:D,MATCH(F526,'Fixture and LED Schedule'!C:C,""),1),F526),"")</f>
        <v>0</v>
      </c>
      <c r="J526" s="855" t="str">
        <f>IFERROR(IF(PRJ_Type="New Construction",H526,INDEX(yControl_Code,MATCH(Inventory!H526,yControlTypes,0),1)),"")</f>
        <v/>
      </c>
      <c r="K526" s="493"/>
      <c r="L526" s="501"/>
      <c r="M526" s="502"/>
      <c r="N526" s="855">
        <f>IFERROR(IFERROR(INDEX('Fixture and LED Schedule'!D:D,MATCH(K526,'Fixture and LED Schedule'!C:C,0),1),K526),"")</f>
        <v>0</v>
      </c>
      <c r="O526" s="858" t="str">
        <f>IFERROR(INDEX(yControl_Code,MATCH(Inventory!M526,yControlTypes,0),1),"")</f>
        <v/>
      </c>
      <c r="P526" s="860" t="str">
        <f>'Lighting Inventory (Ref only)'!AG529</f>
        <v/>
      </c>
      <c r="Q526" s="861" t="str">
        <f>'Lighting Inventory (Ref only)'!AF529</f>
        <v/>
      </c>
      <c r="R526" s="856" t="str">
        <f t="shared" si="17"/>
        <v/>
      </c>
      <c r="S526" s="856" t="str">
        <f>IFERROR(ROUND(R526*'Project Info and Summary'!$J$5/'Project Info and Summary'!$L$5,2),"")</f>
        <v/>
      </c>
    </row>
    <row r="527" spans="1:19" ht="30" customHeight="1">
      <c r="A527" s="948"/>
      <c r="B527" s="496">
        <f t="shared" si="16"/>
        <v>518</v>
      </c>
      <c r="C527" s="864"/>
      <c r="D527" s="505"/>
      <c r="E527" s="866"/>
      <c r="F527" s="498"/>
      <c r="G527" s="499"/>
      <c r="H527" s="492"/>
      <c r="I527" s="855">
        <f>IFERROR(IFERROR(INDEX('Fixture and LED Schedule'!D:D,MATCH(F527,'Fixture and LED Schedule'!C:C,""),1),F527),"")</f>
        <v>0</v>
      </c>
      <c r="J527" s="855" t="str">
        <f>IFERROR(IF(PRJ_Type="New Construction",H527,INDEX(yControl_Code,MATCH(Inventory!H527,yControlTypes,0),1)),"")</f>
        <v/>
      </c>
      <c r="K527" s="493"/>
      <c r="L527" s="501"/>
      <c r="M527" s="502"/>
      <c r="N527" s="855">
        <f>IFERROR(IFERROR(INDEX('Fixture and LED Schedule'!D:D,MATCH(K527,'Fixture and LED Schedule'!C:C,0),1),K527),"")</f>
        <v>0</v>
      </c>
      <c r="O527" s="858" t="str">
        <f>IFERROR(INDEX(yControl_Code,MATCH(Inventory!M527,yControlTypes,0),1),"")</f>
        <v/>
      </c>
      <c r="P527" s="860" t="str">
        <f>'Lighting Inventory (Ref only)'!AG530</f>
        <v/>
      </c>
      <c r="Q527" s="861" t="str">
        <f>'Lighting Inventory (Ref only)'!AF530</f>
        <v/>
      </c>
      <c r="R527" s="856" t="str">
        <f t="shared" si="17"/>
        <v/>
      </c>
      <c r="S527" s="856" t="str">
        <f>IFERROR(ROUND(R527*'Project Info and Summary'!$J$5/'Project Info and Summary'!$L$5,2),"")</f>
        <v/>
      </c>
    </row>
    <row r="528" spans="1:19" ht="30" customHeight="1">
      <c r="A528" s="948"/>
      <c r="B528" s="496">
        <f t="shared" si="16"/>
        <v>519</v>
      </c>
      <c r="C528" s="864"/>
      <c r="D528" s="505"/>
      <c r="E528" s="866"/>
      <c r="F528" s="498"/>
      <c r="G528" s="499"/>
      <c r="H528" s="492"/>
      <c r="I528" s="855">
        <f>IFERROR(IFERROR(INDEX('Fixture and LED Schedule'!D:D,MATCH(F528,'Fixture and LED Schedule'!C:C,""),1),F528),"")</f>
        <v>0</v>
      </c>
      <c r="J528" s="855" t="str">
        <f>IFERROR(IF(PRJ_Type="New Construction",H528,INDEX(yControl_Code,MATCH(Inventory!H528,yControlTypes,0),1)),"")</f>
        <v/>
      </c>
      <c r="K528" s="493"/>
      <c r="L528" s="501"/>
      <c r="M528" s="502"/>
      <c r="N528" s="855">
        <f>IFERROR(IFERROR(INDEX('Fixture and LED Schedule'!D:D,MATCH(K528,'Fixture and LED Schedule'!C:C,0),1),K528),"")</f>
        <v>0</v>
      </c>
      <c r="O528" s="858" t="str">
        <f>IFERROR(INDEX(yControl_Code,MATCH(Inventory!M528,yControlTypes,0),1),"")</f>
        <v/>
      </c>
      <c r="P528" s="860" t="str">
        <f>'Lighting Inventory (Ref only)'!AG531</f>
        <v/>
      </c>
      <c r="Q528" s="861" t="str">
        <f>'Lighting Inventory (Ref only)'!AF531</f>
        <v/>
      </c>
      <c r="R528" s="856" t="str">
        <f t="shared" si="17"/>
        <v/>
      </c>
      <c r="S528" s="856" t="str">
        <f>IFERROR(ROUND(R528*'Project Info and Summary'!$J$5/'Project Info and Summary'!$L$5,2),"")</f>
        <v/>
      </c>
    </row>
    <row r="529" spans="1:19" ht="30" customHeight="1">
      <c r="A529" s="948"/>
      <c r="B529" s="496">
        <f t="shared" si="16"/>
        <v>520</v>
      </c>
      <c r="C529" s="864"/>
      <c r="D529" s="505"/>
      <c r="E529" s="866"/>
      <c r="F529" s="498"/>
      <c r="G529" s="499"/>
      <c r="H529" s="492"/>
      <c r="I529" s="855">
        <f>IFERROR(IFERROR(INDEX('Fixture and LED Schedule'!D:D,MATCH(F529,'Fixture and LED Schedule'!C:C,""),1),F529),"")</f>
        <v>0</v>
      </c>
      <c r="J529" s="855" t="str">
        <f>IFERROR(IF(PRJ_Type="New Construction",H529,INDEX(yControl_Code,MATCH(Inventory!H529,yControlTypes,0),1)),"")</f>
        <v/>
      </c>
      <c r="K529" s="493"/>
      <c r="L529" s="501"/>
      <c r="M529" s="502"/>
      <c r="N529" s="855">
        <f>IFERROR(IFERROR(INDEX('Fixture and LED Schedule'!D:D,MATCH(K529,'Fixture and LED Schedule'!C:C,0),1),K529),"")</f>
        <v>0</v>
      </c>
      <c r="O529" s="858" t="str">
        <f>IFERROR(INDEX(yControl_Code,MATCH(Inventory!M529,yControlTypes,0),1),"")</f>
        <v/>
      </c>
      <c r="P529" s="860" t="str">
        <f>'Lighting Inventory (Ref only)'!AG532</f>
        <v/>
      </c>
      <c r="Q529" s="861" t="str">
        <f>'Lighting Inventory (Ref only)'!AF532</f>
        <v/>
      </c>
      <c r="R529" s="856" t="str">
        <f t="shared" si="17"/>
        <v/>
      </c>
      <c r="S529" s="856" t="str">
        <f>IFERROR(ROUND(R529*'Project Info and Summary'!$J$5/'Project Info and Summary'!$L$5,2),"")</f>
        <v/>
      </c>
    </row>
    <row r="530" spans="1:19" ht="30" customHeight="1">
      <c r="A530" s="948"/>
      <c r="B530" s="496">
        <f t="shared" si="16"/>
        <v>521</v>
      </c>
      <c r="C530" s="864"/>
      <c r="D530" s="505"/>
      <c r="E530" s="866"/>
      <c r="F530" s="498"/>
      <c r="G530" s="499"/>
      <c r="H530" s="492"/>
      <c r="I530" s="855">
        <f>IFERROR(IFERROR(INDEX('Fixture and LED Schedule'!D:D,MATCH(F530,'Fixture and LED Schedule'!C:C,""),1),F530),"")</f>
        <v>0</v>
      </c>
      <c r="J530" s="855" t="str">
        <f>IFERROR(IF(PRJ_Type="New Construction",H530,INDEX(yControl_Code,MATCH(Inventory!H530,yControlTypes,0),1)),"")</f>
        <v/>
      </c>
      <c r="K530" s="493"/>
      <c r="L530" s="501"/>
      <c r="M530" s="502"/>
      <c r="N530" s="855">
        <f>IFERROR(IFERROR(INDEX('Fixture and LED Schedule'!D:D,MATCH(K530,'Fixture and LED Schedule'!C:C,0),1),K530),"")</f>
        <v>0</v>
      </c>
      <c r="O530" s="858" t="str">
        <f>IFERROR(INDEX(yControl_Code,MATCH(Inventory!M530,yControlTypes,0),1),"")</f>
        <v/>
      </c>
      <c r="P530" s="860" t="str">
        <f>'Lighting Inventory (Ref only)'!AG533</f>
        <v/>
      </c>
      <c r="Q530" s="861" t="str">
        <f>'Lighting Inventory (Ref only)'!AF533</f>
        <v/>
      </c>
      <c r="R530" s="856" t="str">
        <f t="shared" si="17"/>
        <v/>
      </c>
      <c r="S530" s="856" t="str">
        <f>IFERROR(ROUND(R530*'Project Info and Summary'!$J$5/'Project Info and Summary'!$L$5,2),"")</f>
        <v/>
      </c>
    </row>
    <row r="531" spans="1:19" ht="30" customHeight="1">
      <c r="A531" s="948"/>
      <c r="B531" s="496">
        <f t="shared" si="16"/>
        <v>522</v>
      </c>
      <c r="C531" s="864"/>
      <c r="D531" s="505"/>
      <c r="E531" s="866"/>
      <c r="F531" s="498"/>
      <c r="G531" s="499"/>
      <c r="H531" s="492"/>
      <c r="I531" s="855">
        <f>IFERROR(IFERROR(INDEX('Fixture and LED Schedule'!D:D,MATCH(F531,'Fixture and LED Schedule'!C:C,""),1),F531),"")</f>
        <v>0</v>
      </c>
      <c r="J531" s="855" t="str">
        <f>IFERROR(IF(PRJ_Type="New Construction",H531,INDEX(yControl_Code,MATCH(Inventory!H531,yControlTypes,0),1)),"")</f>
        <v/>
      </c>
      <c r="K531" s="493"/>
      <c r="L531" s="501"/>
      <c r="M531" s="502"/>
      <c r="N531" s="855">
        <f>IFERROR(IFERROR(INDEX('Fixture and LED Schedule'!D:D,MATCH(K531,'Fixture and LED Schedule'!C:C,0),1),K531),"")</f>
        <v>0</v>
      </c>
      <c r="O531" s="858" t="str">
        <f>IFERROR(INDEX(yControl_Code,MATCH(Inventory!M531,yControlTypes,0),1),"")</f>
        <v/>
      </c>
      <c r="P531" s="860" t="str">
        <f>'Lighting Inventory (Ref only)'!AG534</f>
        <v/>
      </c>
      <c r="Q531" s="861" t="str">
        <f>'Lighting Inventory (Ref only)'!AF534</f>
        <v/>
      </c>
      <c r="R531" s="856" t="str">
        <f t="shared" si="17"/>
        <v/>
      </c>
      <c r="S531" s="856" t="str">
        <f>IFERROR(ROUND(R531*'Project Info and Summary'!$J$5/'Project Info and Summary'!$L$5,2),"")</f>
        <v/>
      </c>
    </row>
    <row r="532" spans="1:19" ht="30" customHeight="1">
      <c r="A532" s="948"/>
      <c r="B532" s="496">
        <f t="shared" si="16"/>
        <v>523</v>
      </c>
      <c r="C532" s="864"/>
      <c r="D532" s="505"/>
      <c r="E532" s="866"/>
      <c r="F532" s="498"/>
      <c r="G532" s="499"/>
      <c r="H532" s="492"/>
      <c r="I532" s="855">
        <f>IFERROR(IFERROR(INDEX('Fixture and LED Schedule'!D:D,MATCH(F532,'Fixture and LED Schedule'!C:C,""),1),F532),"")</f>
        <v>0</v>
      </c>
      <c r="J532" s="855" t="str">
        <f>IFERROR(IF(PRJ_Type="New Construction",H532,INDEX(yControl_Code,MATCH(Inventory!H532,yControlTypes,0),1)),"")</f>
        <v/>
      </c>
      <c r="K532" s="493"/>
      <c r="L532" s="501"/>
      <c r="M532" s="502"/>
      <c r="N532" s="855">
        <f>IFERROR(IFERROR(INDEX('Fixture and LED Schedule'!D:D,MATCH(K532,'Fixture and LED Schedule'!C:C,0),1),K532),"")</f>
        <v>0</v>
      </c>
      <c r="O532" s="858" t="str">
        <f>IFERROR(INDEX(yControl_Code,MATCH(Inventory!M532,yControlTypes,0),1),"")</f>
        <v/>
      </c>
      <c r="P532" s="860" t="str">
        <f>'Lighting Inventory (Ref only)'!AG535</f>
        <v/>
      </c>
      <c r="Q532" s="861" t="str">
        <f>'Lighting Inventory (Ref only)'!AF535</f>
        <v/>
      </c>
      <c r="R532" s="856" t="str">
        <f t="shared" si="17"/>
        <v/>
      </c>
      <c r="S532" s="856" t="str">
        <f>IFERROR(ROUND(R532*'Project Info and Summary'!$J$5/'Project Info and Summary'!$L$5,2),"")</f>
        <v/>
      </c>
    </row>
    <row r="533" spans="1:19" ht="30" customHeight="1">
      <c r="A533" s="948"/>
      <c r="B533" s="496">
        <f t="shared" si="16"/>
        <v>524</v>
      </c>
      <c r="C533" s="864"/>
      <c r="D533" s="505"/>
      <c r="E533" s="866"/>
      <c r="F533" s="498"/>
      <c r="G533" s="499"/>
      <c r="H533" s="492"/>
      <c r="I533" s="855">
        <f>IFERROR(IFERROR(INDEX('Fixture and LED Schedule'!D:D,MATCH(F533,'Fixture and LED Schedule'!C:C,""),1),F533),"")</f>
        <v>0</v>
      </c>
      <c r="J533" s="855" t="str">
        <f>IFERROR(IF(PRJ_Type="New Construction",H533,INDEX(yControl_Code,MATCH(Inventory!H533,yControlTypes,0),1)),"")</f>
        <v/>
      </c>
      <c r="K533" s="493"/>
      <c r="L533" s="501"/>
      <c r="M533" s="502"/>
      <c r="N533" s="855">
        <f>IFERROR(IFERROR(INDEX('Fixture and LED Schedule'!D:D,MATCH(K533,'Fixture and LED Schedule'!C:C,0),1),K533),"")</f>
        <v>0</v>
      </c>
      <c r="O533" s="858" t="str">
        <f>IFERROR(INDEX(yControl_Code,MATCH(Inventory!M533,yControlTypes,0),1),"")</f>
        <v/>
      </c>
      <c r="P533" s="860" t="str">
        <f>'Lighting Inventory (Ref only)'!AG536</f>
        <v/>
      </c>
      <c r="Q533" s="861" t="str">
        <f>'Lighting Inventory (Ref only)'!AF536</f>
        <v/>
      </c>
      <c r="R533" s="856" t="str">
        <f t="shared" si="17"/>
        <v/>
      </c>
      <c r="S533" s="856" t="str">
        <f>IFERROR(ROUND(R533*'Project Info and Summary'!$J$5/'Project Info and Summary'!$L$5,2),"")</f>
        <v/>
      </c>
    </row>
    <row r="534" spans="1:19" ht="30" customHeight="1">
      <c r="A534" s="948"/>
      <c r="B534" s="496">
        <f t="shared" si="16"/>
        <v>525</v>
      </c>
      <c r="C534" s="864"/>
      <c r="D534" s="505"/>
      <c r="E534" s="866"/>
      <c r="F534" s="498"/>
      <c r="G534" s="499"/>
      <c r="H534" s="492"/>
      <c r="I534" s="855">
        <f>IFERROR(IFERROR(INDEX('Fixture and LED Schedule'!D:D,MATCH(F534,'Fixture and LED Schedule'!C:C,""),1),F534),"")</f>
        <v>0</v>
      </c>
      <c r="J534" s="855" t="str">
        <f>IFERROR(IF(PRJ_Type="New Construction",H534,INDEX(yControl_Code,MATCH(Inventory!H534,yControlTypes,0),1)),"")</f>
        <v/>
      </c>
      <c r="K534" s="493"/>
      <c r="L534" s="501"/>
      <c r="M534" s="502"/>
      <c r="N534" s="855">
        <f>IFERROR(IFERROR(INDEX('Fixture and LED Schedule'!D:D,MATCH(K534,'Fixture and LED Schedule'!C:C,0),1),K534),"")</f>
        <v>0</v>
      </c>
      <c r="O534" s="858" t="str">
        <f>IFERROR(INDEX(yControl_Code,MATCH(Inventory!M534,yControlTypes,0),1),"")</f>
        <v/>
      </c>
      <c r="P534" s="860" t="str">
        <f>'Lighting Inventory (Ref only)'!AG537</f>
        <v/>
      </c>
      <c r="Q534" s="861" t="str">
        <f>'Lighting Inventory (Ref only)'!AF537</f>
        <v/>
      </c>
      <c r="R534" s="856" t="str">
        <f t="shared" si="17"/>
        <v/>
      </c>
      <c r="S534" s="856" t="str">
        <f>IFERROR(ROUND(R534*'Project Info and Summary'!$J$5/'Project Info and Summary'!$L$5,2),"")</f>
        <v/>
      </c>
    </row>
    <row r="535" spans="1:19" ht="30" customHeight="1">
      <c r="A535" s="948"/>
      <c r="B535" s="496">
        <f t="shared" si="16"/>
        <v>526</v>
      </c>
      <c r="C535" s="864"/>
      <c r="D535" s="505"/>
      <c r="E535" s="866"/>
      <c r="F535" s="498"/>
      <c r="G535" s="499"/>
      <c r="H535" s="492"/>
      <c r="I535" s="855">
        <f>IFERROR(IFERROR(INDEX('Fixture and LED Schedule'!D:D,MATCH(F535,'Fixture and LED Schedule'!C:C,""),1),F535),"")</f>
        <v>0</v>
      </c>
      <c r="J535" s="855" t="str">
        <f>IFERROR(IF(PRJ_Type="New Construction",H535,INDEX(yControl_Code,MATCH(Inventory!H535,yControlTypes,0),1)),"")</f>
        <v/>
      </c>
      <c r="K535" s="493"/>
      <c r="L535" s="501"/>
      <c r="M535" s="502"/>
      <c r="N535" s="855">
        <f>IFERROR(IFERROR(INDEX('Fixture and LED Schedule'!D:D,MATCH(K535,'Fixture and LED Schedule'!C:C,0),1),K535),"")</f>
        <v>0</v>
      </c>
      <c r="O535" s="858" t="str">
        <f>IFERROR(INDEX(yControl_Code,MATCH(Inventory!M535,yControlTypes,0),1),"")</f>
        <v/>
      </c>
      <c r="P535" s="860" t="str">
        <f>'Lighting Inventory (Ref only)'!AG538</f>
        <v/>
      </c>
      <c r="Q535" s="861" t="str">
        <f>'Lighting Inventory (Ref only)'!AF538</f>
        <v/>
      </c>
      <c r="R535" s="856" t="str">
        <f t="shared" si="17"/>
        <v/>
      </c>
      <c r="S535" s="856" t="str">
        <f>IFERROR(ROUND(R535*'Project Info and Summary'!$J$5/'Project Info and Summary'!$L$5,2),"")</f>
        <v/>
      </c>
    </row>
    <row r="536" spans="1:19" ht="30" customHeight="1">
      <c r="A536" s="948"/>
      <c r="B536" s="496">
        <f t="shared" si="16"/>
        <v>527</v>
      </c>
      <c r="C536" s="864"/>
      <c r="D536" s="505"/>
      <c r="E536" s="866"/>
      <c r="F536" s="498"/>
      <c r="G536" s="499"/>
      <c r="H536" s="492"/>
      <c r="I536" s="855">
        <f>IFERROR(IFERROR(INDEX('Fixture and LED Schedule'!D:D,MATCH(F536,'Fixture and LED Schedule'!C:C,""),1),F536),"")</f>
        <v>0</v>
      </c>
      <c r="J536" s="855" t="str">
        <f>IFERROR(IF(PRJ_Type="New Construction",H536,INDEX(yControl_Code,MATCH(Inventory!H536,yControlTypes,0),1)),"")</f>
        <v/>
      </c>
      <c r="K536" s="493"/>
      <c r="L536" s="501"/>
      <c r="M536" s="502"/>
      <c r="N536" s="855">
        <f>IFERROR(IFERROR(INDEX('Fixture and LED Schedule'!D:D,MATCH(K536,'Fixture and LED Schedule'!C:C,0),1),K536),"")</f>
        <v>0</v>
      </c>
      <c r="O536" s="858" t="str">
        <f>IFERROR(INDEX(yControl_Code,MATCH(Inventory!M536,yControlTypes,0),1),"")</f>
        <v/>
      </c>
      <c r="P536" s="860" t="str">
        <f>'Lighting Inventory (Ref only)'!AG539</f>
        <v/>
      </c>
      <c r="Q536" s="861" t="str">
        <f>'Lighting Inventory (Ref only)'!AF539</f>
        <v/>
      </c>
      <c r="R536" s="856" t="str">
        <f t="shared" si="17"/>
        <v/>
      </c>
      <c r="S536" s="856" t="str">
        <f>IFERROR(ROUND(R536*'Project Info and Summary'!$J$5/'Project Info and Summary'!$L$5,2),"")</f>
        <v/>
      </c>
    </row>
    <row r="537" spans="1:19" ht="30" customHeight="1">
      <c r="A537" s="948"/>
      <c r="B537" s="496">
        <f t="shared" si="16"/>
        <v>528</v>
      </c>
      <c r="C537" s="864"/>
      <c r="D537" s="505"/>
      <c r="E537" s="866"/>
      <c r="F537" s="498"/>
      <c r="G537" s="499"/>
      <c r="H537" s="492"/>
      <c r="I537" s="855">
        <f>IFERROR(IFERROR(INDEX('Fixture and LED Schedule'!D:D,MATCH(F537,'Fixture and LED Schedule'!C:C,""),1),F537),"")</f>
        <v>0</v>
      </c>
      <c r="J537" s="855" t="str">
        <f>IFERROR(IF(PRJ_Type="New Construction",H537,INDEX(yControl_Code,MATCH(Inventory!H537,yControlTypes,0),1)),"")</f>
        <v/>
      </c>
      <c r="K537" s="493"/>
      <c r="L537" s="501"/>
      <c r="M537" s="502"/>
      <c r="N537" s="855">
        <f>IFERROR(IFERROR(INDEX('Fixture and LED Schedule'!D:D,MATCH(K537,'Fixture and LED Schedule'!C:C,0),1),K537),"")</f>
        <v>0</v>
      </c>
      <c r="O537" s="858" t="str">
        <f>IFERROR(INDEX(yControl_Code,MATCH(Inventory!M537,yControlTypes,0),1),"")</f>
        <v/>
      </c>
      <c r="P537" s="860" t="str">
        <f>'Lighting Inventory (Ref only)'!AG540</f>
        <v/>
      </c>
      <c r="Q537" s="861" t="str">
        <f>'Lighting Inventory (Ref only)'!AF540</f>
        <v/>
      </c>
      <c r="R537" s="856" t="str">
        <f t="shared" si="17"/>
        <v/>
      </c>
      <c r="S537" s="856" t="str">
        <f>IFERROR(ROUND(R537*'Project Info and Summary'!$J$5/'Project Info and Summary'!$L$5,2),"")</f>
        <v/>
      </c>
    </row>
    <row r="538" spans="1:19" ht="30" customHeight="1">
      <c r="A538" s="948"/>
      <c r="B538" s="496">
        <f t="shared" si="16"/>
        <v>529</v>
      </c>
      <c r="C538" s="864"/>
      <c r="D538" s="505"/>
      <c r="E538" s="866"/>
      <c r="F538" s="498"/>
      <c r="G538" s="499"/>
      <c r="H538" s="492"/>
      <c r="I538" s="855">
        <f>IFERROR(IFERROR(INDEX('Fixture and LED Schedule'!D:D,MATCH(F538,'Fixture and LED Schedule'!C:C,""),1),F538),"")</f>
        <v>0</v>
      </c>
      <c r="J538" s="855" t="str">
        <f>IFERROR(IF(PRJ_Type="New Construction",H538,INDEX(yControl_Code,MATCH(Inventory!H538,yControlTypes,0),1)),"")</f>
        <v/>
      </c>
      <c r="K538" s="493"/>
      <c r="L538" s="501"/>
      <c r="M538" s="502"/>
      <c r="N538" s="855">
        <f>IFERROR(IFERROR(INDEX('Fixture and LED Schedule'!D:D,MATCH(K538,'Fixture and LED Schedule'!C:C,0),1),K538),"")</f>
        <v>0</v>
      </c>
      <c r="O538" s="858" t="str">
        <f>IFERROR(INDEX(yControl_Code,MATCH(Inventory!M538,yControlTypes,0),1),"")</f>
        <v/>
      </c>
      <c r="P538" s="860" t="str">
        <f>'Lighting Inventory (Ref only)'!AG541</f>
        <v/>
      </c>
      <c r="Q538" s="861" t="str">
        <f>'Lighting Inventory (Ref only)'!AF541</f>
        <v/>
      </c>
      <c r="R538" s="856" t="str">
        <f t="shared" si="17"/>
        <v/>
      </c>
      <c r="S538" s="856" t="str">
        <f>IFERROR(ROUND(R538*'Project Info and Summary'!$J$5/'Project Info and Summary'!$L$5,2),"")</f>
        <v/>
      </c>
    </row>
    <row r="539" spans="1:19" ht="30" customHeight="1">
      <c r="A539" s="948"/>
      <c r="B539" s="496">
        <f t="shared" si="16"/>
        <v>530</v>
      </c>
      <c r="C539" s="864"/>
      <c r="D539" s="505"/>
      <c r="E539" s="866"/>
      <c r="F539" s="498"/>
      <c r="G539" s="499"/>
      <c r="H539" s="492"/>
      <c r="I539" s="855">
        <f>IFERROR(IFERROR(INDEX('Fixture and LED Schedule'!D:D,MATCH(F539,'Fixture and LED Schedule'!C:C,""),1),F539),"")</f>
        <v>0</v>
      </c>
      <c r="J539" s="855" t="str">
        <f>IFERROR(IF(PRJ_Type="New Construction",H539,INDEX(yControl_Code,MATCH(Inventory!H539,yControlTypes,0),1)),"")</f>
        <v/>
      </c>
      <c r="K539" s="493"/>
      <c r="L539" s="501"/>
      <c r="M539" s="502"/>
      <c r="N539" s="855">
        <f>IFERROR(IFERROR(INDEX('Fixture and LED Schedule'!D:D,MATCH(K539,'Fixture and LED Schedule'!C:C,0),1),K539),"")</f>
        <v>0</v>
      </c>
      <c r="O539" s="858" t="str">
        <f>IFERROR(INDEX(yControl_Code,MATCH(Inventory!M539,yControlTypes,0),1),"")</f>
        <v/>
      </c>
      <c r="P539" s="860" t="str">
        <f>'Lighting Inventory (Ref only)'!AG542</f>
        <v/>
      </c>
      <c r="Q539" s="861" t="str">
        <f>'Lighting Inventory (Ref only)'!AF542</f>
        <v/>
      </c>
      <c r="R539" s="856" t="str">
        <f t="shared" si="17"/>
        <v/>
      </c>
      <c r="S539" s="856" t="str">
        <f>IFERROR(ROUND(R539*'Project Info and Summary'!$J$5/'Project Info and Summary'!$L$5,2),"")</f>
        <v/>
      </c>
    </row>
    <row r="540" spans="1:19" ht="30" customHeight="1">
      <c r="A540" s="948"/>
      <c r="B540" s="496">
        <f t="shared" si="16"/>
        <v>531</v>
      </c>
      <c r="C540" s="864"/>
      <c r="D540" s="505"/>
      <c r="E540" s="866"/>
      <c r="F540" s="498"/>
      <c r="G540" s="499"/>
      <c r="H540" s="492"/>
      <c r="I540" s="855">
        <f>IFERROR(IFERROR(INDEX('Fixture and LED Schedule'!D:D,MATCH(F540,'Fixture and LED Schedule'!C:C,""),1),F540),"")</f>
        <v>0</v>
      </c>
      <c r="J540" s="855" t="str">
        <f>IFERROR(IF(PRJ_Type="New Construction",H540,INDEX(yControl_Code,MATCH(Inventory!H540,yControlTypes,0),1)),"")</f>
        <v/>
      </c>
      <c r="K540" s="493"/>
      <c r="L540" s="501"/>
      <c r="M540" s="502"/>
      <c r="N540" s="855">
        <f>IFERROR(IFERROR(INDEX('Fixture and LED Schedule'!D:D,MATCH(K540,'Fixture and LED Schedule'!C:C,0),1),K540),"")</f>
        <v>0</v>
      </c>
      <c r="O540" s="858" t="str">
        <f>IFERROR(INDEX(yControl_Code,MATCH(Inventory!M540,yControlTypes,0),1),"")</f>
        <v/>
      </c>
      <c r="P540" s="860" t="str">
        <f>'Lighting Inventory (Ref only)'!AG543</f>
        <v/>
      </c>
      <c r="Q540" s="861" t="str">
        <f>'Lighting Inventory (Ref only)'!AF543</f>
        <v/>
      </c>
      <c r="R540" s="856" t="str">
        <f t="shared" si="17"/>
        <v/>
      </c>
      <c r="S540" s="856" t="str">
        <f>IFERROR(ROUND(R540*'Project Info and Summary'!$J$5/'Project Info and Summary'!$L$5,2),"")</f>
        <v/>
      </c>
    </row>
    <row r="541" spans="1:19" ht="30" customHeight="1">
      <c r="A541" s="948"/>
      <c r="B541" s="496">
        <f t="shared" si="16"/>
        <v>532</v>
      </c>
      <c r="C541" s="864"/>
      <c r="D541" s="505"/>
      <c r="E541" s="866"/>
      <c r="F541" s="498"/>
      <c r="G541" s="499"/>
      <c r="H541" s="492"/>
      <c r="I541" s="855">
        <f>IFERROR(IFERROR(INDEX('Fixture and LED Schedule'!D:D,MATCH(F541,'Fixture and LED Schedule'!C:C,""),1),F541),"")</f>
        <v>0</v>
      </c>
      <c r="J541" s="855" t="str">
        <f>IFERROR(IF(PRJ_Type="New Construction",H541,INDEX(yControl_Code,MATCH(Inventory!H541,yControlTypes,0),1)),"")</f>
        <v/>
      </c>
      <c r="K541" s="493"/>
      <c r="L541" s="501"/>
      <c r="M541" s="502"/>
      <c r="N541" s="855">
        <f>IFERROR(IFERROR(INDEX('Fixture and LED Schedule'!D:D,MATCH(K541,'Fixture and LED Schedule'!C:C,0),1),K541),"")</f>
        <v>0</v>
      </c>
      <c r="O541" s="858" t="str">
        <f>IFERROR(INDEX(yControl_Code,MATCH(Inventory!M541,yControlTypes,0),1),"")</f>
        <v/>
      </c>
      <c r="P541" s="860" t="str">
        <f>'Lighting Inventory (Ref only)'!AG544</f>
        <v/>
      </c>
      <c r="Q541" s="861" t="str">
        <f>'Lighting Inventory (Ref only)'!AF544</f>
        <v/>
      </c>
      <c r="R541" s="856" t="str">
        <f t="shared" si="17"/>
        <v/>
      </c>
      <c r="S541" s="856" t="str">
        <f>IFERROR(ROUND(R541*'Project Info and Summary'!$J$5/'Project Info and Summary'!$L$5,2),"")</f>
        <v/>
      </c>
    </row>
    <row r="542" spans="1:19" ht="30" customHeight="1">
      <c r="A542" s="948"/>
      <c r="B542" s="496">
        <f t="shared" si="16"/>
        <v>533</v>
      </c>
      <c r="C542" s="864"/>
      <c r="D542" s="505"/>
      <c r="E542" s="866"/>
      <c r="F542" s="498"/>
      <c r="G542" s="499"/>
      <c r="H542" s="492"/>
      <c r="I542" s="855">
        <f>IFERROR(IFERROR(INDEX('Fixture and LED Schedule'!D:D,MATCH(F542,'Fixture and LED Schedule'!C:C,""),1),F542),"")</f>
        <v>0</v>
      </c>
      <c r="J542" s="855" t="str">
        <f>IFERROR(IF(PRJ_Type="New Construction",H542,INDEX(yControl_Code,MATCH(Inventory!H542,yControlTypes,0),1)),"")</f>
        <v/>
      </c>
      <c r="K542" s="493"/>
      <c r="L542" s="501"/>
      <c r="M542" s="502"/>
      <c r="N542" s="855">
        <f>IFERROR(IFERROR(INDEX('Fixture and LED Schedule'!D:D,MATCH(K542,'Fixture and LED Schedule'!C:C,0),1),K542),"")</f>
        <v>0</v>
      </c>
      <c r="O542" s="858" t="str">
        <f>IFERROR(INDEX(yControl_Code,MATCH(Inventory!M542,yControlTypes,0),1),"")</f>
        <v/>
      </c>
      <c r="P542" s="860" t="str">
        <f>'Lighting Inventory (Ref only)'!AG545</f>
        <v/>
      </c>
      <c r="Q542" s="861" t="str">
        <f>'Lighting Inventory (Ref only)'!AF545</f>
        <v/>
      </c>
      <c r="R542" s="856" t="str">
        <f t="shared" si="17"/>
        <v/>
      </c>
      <c r="S542" s="856" t="str">
        <f>IFERROR(ROUND(R542*'Project Info and Summary'!$J$5/'Project Info and Summary'!$L$5,2),"")</f>
        <v/>
      </c>
    </row>
    <row r="543" spans="1:19" ht="30" customHeight="1">
      <c r="A543" s="948"/>
      <c r="B543" s="496">
        <f t="shared" si="16"/>
        <v>534</v>
      </c>
      <c r="C543" s="864"/>
      <c r="D543" s="505"/>
      <c r="E543" s="866"/>
      <c r="F543" s="498"/>
      <c r="G543" s="499"/>
      <c r="H543" s="492"/>
      <c r="I543" s="855">
        <f>IFERROR(IFERROR(INDEX('Fixture and LED Schedule'!D:D,MATCH(F543,'Fixture and LED Schedule'!C:C,""),1),F543),"")</f>
        <v>0</v>
      </c>
      <c r="J543" s="855" t="str">
        <f>IFERROR(IF(PRJ_Type="New Construction",H543,INDEX(yControl_Code,MATCH(Inventory!H543,yControlTypes,0),1)),"")</f>
        <v/>
      </c>
      <c r="K543" s="493"/>
      <c r="L543" s="501"/>
      <c r="M543" s="502"/>
      <c r="N543" s="855">
        <f>IFERROR(IFERROR(INDEX('Fixture and LED Schedule'!D:D,MATCH(K543,'Fixture and LED Schedule'!C:C,0),1),K543),"")</f>
        <v>0</v>
      </c>
      <c r="O543" s="858" t="str">
        <f>IFERROR(INDEX(yControl_Code,MATCH(Inventory!M543,yControlTypes,0),1),"")</f>
        <v/>
      </c>
      <c r="P543" s="860" t="str">
        <f>'Lighting Inventory (Ref only)'!AG546</f>
        <v/>
      </c>
      <c r="Q543" s="861" t="str">
        <f>'Lighting Inventory (Ref only)'!AF546</f>
        <v/>
      </c>
      <c r="R543" s="856" t="str">
        <f t="shared" si="17"/>
        <v/>
      </c>
      <c r="S543" s="856" t="str">
        <f>IFERROR(ROUND(R543*'Project Info and Summary'!$J$5/'Project Info and Summary'!$L$5,2),"")</f>
        <v/>
      </c>
    </row>
    <row r="544" spans="1:19" ht="30" customHeight="1">
      <c r="A544" s="948"/>
      <c r="B544" s="496">
        <f t="shared" si="16"/>
        <v>535</v>
      </c>
      <c r="C544" s="864"/>
      <c r="D544" s="505"/>
      <c r="E544" s="866"/>
      <c r="F544" s="498"/>
      <c r="G544" s="499"/>
      <c r="H544" s="492"/>
      <c r="I544" s="855">
        <f>IFERROR(IFERROR(INDEX('Fixture and LED Schedule'!D:D,MATCH(F544,'Fixture and LED Schedule'!C:C,""),1),F544),"")</f>
        <v>0</v>
      </c>
      <c r="J544" s="855" t="str">
        <f>IFERROR(IF(PRJ_Type="New Construction",H544,INDEX(yControl_Code,MATCH(Inventory!H544,yControlTypes,0),1)),"")</f>
        <v/>
      </c>
      <c r="K544" s="493"/>
      <c r="L544" s="501"/>
      <c r="M544" s="502"/>
      <c r="N544" s="855">
        <f>IFERROR(IFERROR(INDEX('Fixture and LED Schedule'!D:D,MATCH(K544,'Fixture and LED Schedule'!C:C,0),1),K544),"")</f>
        <v>0</v>
      </c>
      <c r="O544" s="858" t="str">
        <f>IFERROR(INDEX(yControl_Code,MATCH(Inventory!M544,yControlTypes,0),1),"")</f>
        <v/>
      </c>
      <c r="P544" s="860" t="str">
        <f>'Lighting Inventory (Ref only)'!AG547</f>
        <v/>
      </c>
      <c r="Q544" s="861" t="str">
        <f>'Lighting Inventory (Ref only)'!AF547</f>
        <v/>
      </c>
      <c r="R544" s="856" t="str">
        <f t="shared" si="17"/>
        <v/>
      </c>
      <c r="S544" s="856" t="str">
        <f>IFERROR(ROUND(R544*'Project Info and Summary'!$J$5/'Project Info and Summary'!$L$5,2),"")</f>
        <v/>
      </c>
    </row>
    <row r="545" spans="1:19" ht="30" customHeight="1">
      <c r="A545" s="948"/>
      <c r="B545" s="496">
        <f t="shared" si="16"/>
        <v>536</v>
      </c>
      <c r="C545" s="864"/>
      <c r="D545" s="505"/>
      <c r="E545" s="866"/>
      <c r="F545" s="498"/>
      <c r="G545" s="499"/>
      <c r="H545" s="492"/>
      <c r="I545" s="855">
        <f>IFERROR(IFERROR(INDEX('Fixture and LED Schedule'!D:D,MATCH(F545,'Fixture and LED Schedule'!C:C,""),1),F545),"")</f>
        <v>0</v>
      </c>
      <c r="J545" s="855" t="str">
        <f>IFERROR(IF(PRJ_Type="New Construction",H545,INDEX(yControl_Code,MATCH(Inventory!H545,yControlTypes,0),1)),"")</f>
        <v/>
      </c>
      <c r="K545" s="493"/>
      <c r="L545" s="501"/>
      <c r="M545" s="502"/>
      <c r="N545" s="855">
        <f>IFERROR(IFERROR(INDEX('Fixture and LED Schedule'!D:D,MATCH(K545,'Fixture and LED Schedule'!C:C,0),1),K545),"")</f>
        <v>0</v>
      </c>
      <c r="O545" s="858" t="str">
        <f>IFERROR(INDEX(yControl_Code,MATCH(Inventory!M545,yControlTypes,0),1),"")</f>
        <v/>
      </c>
      <c r="P545" s="860" t="str">
        <f>'Lighting Inventory (Ref only)'!AG548</f>
        <v/>
      </c>
      <c r="Q545" s="861" t="str">
        <f>'Lighting Inventory (Ref only)'!AF548</f>
        <v/>
      </c>
      <c r="R545" s="856" t="str">
        <f t="shared" si="17"/>
        <v/>
      </c>
      <c r="S545" s="856" t="str">
        <f>IFERROR(ROUND(R545*'Project Info and Summary'!$J$5/'Project Info and Summary'!$L$5,2),"")</f>
        <v/>
      </c>
    </row>
    <row r="546" spans="1:19" ht="30" customHeight="1">
      <c r="A546" s="948"/>
      <c r="B546" s="496">
        <f t="shared" si="16"/>
        <v>537</v>
      </c>
      <c r="C546" s="864"/>
      <c r="D546" s="505"/>
      <c r="E546" s="866"/>
      <c r="F546" s="498"/>
      <c r="G546" s="499"/>
      <c r="H546" s="492"/>
      <c r="I546" s="855">
        <f>IFERROR(IFERROR(INDEX('Fixture and LED Schedule'!D:D,MATCH(F546,'Fixture and LED Schedule'!C:C,""),1),F546),"")</f>
        <v>0</v>
      </c>
      <c r="J546" s="855" t="str">
        <f>IFERROR(IF(PRJ_Type="New Construction",H546,INDEX(yControl_Code,MATCH(Inventory!H546,yControlTypes,0),1)),"")</f>
        <v/>
      </c>
      <c r="K546" s="493"/>
      <c r="L546" s="501"/>
      <c r="M546" s="502"/>
      <c r="N546" s="855">
        <f>IFERROR(IFERROR(INDEX('Fixture and LED Schedule'!D:D,MATCH(K546,'Fixture and LED Schedule'!C:C,0),1),K546),"")</f>
        <v>0</v>
      </c>
      <c r="O546" s="858" t="str">
        <f>IFERROR(INDEX(yControl_Code,MATCH(Inventory!M546,yControlTypes,0),1),"")</f>
        <v/>
      </c>
      <c r="P546" s="860" t="str">
        <f>'Lighting Inventory (Ref only)'!AG549</f>
        <v/>
      </c>
      <c r="Q546" s="861" t="str">
        <f>'Lighting Inventory (Ref only)'!AF549</f>
        <v/>
      </c>
      <c r="R546" s="856" t="str">
        <f t="shared" si="17"/>
        <v/>
      </c>
      <c r="S546" s="856" t="str">
        <f>IFERROR(ROUND(R546*'Project Info and Summary'!$J$5/'Project Info and Summary'!$L$5,2),"")</f>
        <v/>
      </c>
    </row>
    <row r="547" spans="1:19" ht="30" customHeight="1">
      <c r="A547" s="948"/>
      <c r="B547" s="496">
        <f t="shared" si="16"/>
        <v>538</v>
      </c>
      <c r="C547" s="864"/>
      <c r="D547" s="505"/>
      <c r="E547" s="866"/>
      <c r="F547" s="498"/>
      <c r="G547" s="499"/>
      <c r="H547" s="492"/>
      <c r="I547" s="855">
        <f>IFERROR(IFERROR(INDEX('Fixture and LED Schedule'!D:D,MATCH(F547,'Fixture and LED Schedule'!C:C,""),1),F547),"")</f>
        <v>0</v>
      </c>
      <c r="J547" s="855" t="str">
        <f>IFERROR(IF(PRJ_Type="New Construction",H547,INDEX(yControl_Code,MATCH(Inventory!H547,yControlTypes,0),1)),"")</f>
        <v/>
      </c>
      <c r="K547" s="493"/>
      <c r="L547" s="501"/>
      <c r="M547" s="502"/>
      <c r="N547" s="855">
        <f>IFERROR(IFERROR(INDEX('Fixture and LED Schedule'!D:D,MATCH(K547,'Fixture and LED Schedule'!C:C,0),1),K547),"")</f>
        <v>0</v>
      </c>
      <c r="O547" s="858" t="str">
        <f>IFERROR(INDEX(yControl_Code,MATCH(Inventory!M547,yControlTypes,0),1),"")</f>
        <v/>
      </c>
      <c r="P547" s="860" t="str">
        <f>'Lighting Inventory (Ref only)'!AG550</f>
        <v/>
      </c>
      <c r="Q547" s="861" t="str">
        <f>'Lighting Inventory (Ref only)'!AF550</f>
        <v/>
      </c>
      <c r="R547" s="856" t="str">
        <f t="shared" si="17"/>
        <v/>
      </c>
      <c r="S547" s="856" t="str">
        <f>IFERROR(ROUND(R547*'Project Info and Summary'!$J$5/'Project Info and Summary'!$L$5,2),"")</f>
        <v/>
      </c>
    </row>
    <row r="548" spans="1:19" ht="30" customHeight="1">
      <c r="A548" s="948"/>
      <c r="B548" s="496">
        <f t="shared" si="16"/>
        <v>539</v>
      </c>
      <c r="C548" s="864"/>
      <c r="D548" s="505"/>
      <c r="E548" s="866"/>
      <c r="F548" s="498"/>
      <c r="G548" s="499"/>
      <c r="H548" s="492"/>
      <c r="I548" s="855">
        <f>IFERROR(IFERROR(INDEX('Fixture and LED Schedule'!D:D,MATCH(F548,'Fixture and LED Schedule'!C:C,""),1),F548),"")</f>
        <v>0</v>
      </c>
      <c r="J548" s="855" t="str">
        <f>IFERROR(IF(PRJ_Type="New Construction",H548,INDEX(yControl_Code,MATCH(Inventory!H548,yControlTypes,0),1)),"")</f>
        <v/>
      </c>
      <c r="K548" s="493"/>
      <c r="L548" s="501"/>
      <c r="M548" s="502"/>
      <c r="N548" s="855">
        <f>IFERROR(IFERROR(INDEX('Fixture and LED Schedule'!D:D,MATCH(K548,'Fixture and LED Schedule'!C:C,0),1),K548),"")</f>
        <v>0</v>
      </c>
      <c r="O548" s="858" t="str">
        <f>IFERROR(INDEX(yControl_Code,MATCH(Inventory!M548,yControlTypes,0),1),"")</f>
        <v/>
      </c>
      <c r="P548" s="860" t="str">
        <f>'Lighting Inventory (Ref only)'!AG551</f>
        <v/>
      </c>
      <c r="Q548" s="861" t="str">
        <f>'Lighting Inventory (Ref only)'!AF551</f>
        <v/>
      </c>
      <c r="R548" s="856" t="str">
        <f t="shared" si="17"/>
        <v/>
      </c>
      <c r="S548" s="856" t="str">
        <f>IFERROR(ROUND(R548*'Project Info and Summary'!$J$5/'Project Info and Summary'!$L$5,2),"")</f>
        <v/>
      </c>
    </row>
    <row r="549" spans="1:19" ht="30" customHeight="1">
      <c r="A549" s="948"/>
      <c r="B549" s="496">
        <f t="shared" si="16"/>
        <v>540</v>
      </c>
      <c r="C549" s="864"/>
      <c r="D549" s="505"/>
      <c r="E549" s="866"/>
      <c r="F549" s="498"/>
      <c r="G549" s="499"/>
      <c r="H549" s="492"/>
      <c r="I549" s="855">
        <f>IFERROR(IFERROR(INDEX('Fixture and LED Schedule'!D:D,MATCH(F549,'Fixture and LED Schedule'!C:C,""),1),F549),"")</f>
        <v>0</v>
      </c>
      <c r="J549" s="855" t="str">
        <f>IFERROR(IF(PRJ_Type="New Construction",H549,INDEX(yControl_Code,MATCH(Inventory!H549,yControlTypes,0),1)),"")</f>
        <v/>
      </c>
      <c r="K549" s="493"/>
      <c r="L549" s="501"/>
      <c r="M549" s="502"/>
      <c r="N549" s="855">
        <f>IFERROR(IFERROR(INDEX('Fixture and LED Schedule'!D:D,MATCH(K549,'Fixture and LED Schedule'!C:C,0),1),K549),"")</f>
        <v>0</v>
      </c>
      <c r="O549" s="858" t="str">
        <f>IFERROR(INDEX(yControl_Code,MATCH(Inventory!M549,yControlTypes,0),1),"")</f>
        <v/>
      </c>
      <c r="P549" s="860" t="str">
        <f>'Lighting Inventory (Ref only)'!AG552</f>
        <v/>
      </c>
      <c r="Q549" s="861" t="str">
        <f>'Lighting Inventory (Ref only)'!AF552</f>
        <v/>
      </c>
      <c r="R549" s="856" t="str">
        <f t="shared" si="17"/>
        <v/>
      </c>
      <c r="S549" s="856" t="str">
        <f>IFERROR(ROUND(R549*'Project Info and Summary'!$J$5/'Project Info and Summary'!$L$5,2),"")</f>
        <v/>
      </c>
    </row>
    <row r="550" spans="1:19" ht="30" customHeight="1">
      <c r="A550" s="948"/>
      <c r="B550" s="496">
        <f t="shared" si="16"/>
        <v>541</v>
      </c>
      <c r="C550" s="864"/>
      <c r="D550" s="505"/>
      <c r="E550" s="866"/>
      <c r="F550" s="498"/>
      <c r="G550" s="499"/>
      <c r="H550" s="492"/>
      <c r="I550" s="855">
        <f>IFERROR(IFERROR(INDEX('Fixture and LED Schedule'!D:D,MATCH(F550,'Fixture and LED Schedule'!C:C,""),1),F550),"")</f>
        <v>0</v>
      </c>
      <c r="J550" s="855" t="str">
        <f>IFERROR(IF(PRJ_Type="New Construction",H550,INDEX(yControl_Code,MATCH(Inventory!H550,yControlTypes,0),1)),"")</f>
        <v/>
      </c>
      <c r="K550" s="493"/>
      <c r="L550" s="501"/>
      <c r="M550" s="502"/>
      <c r="N550" s="855">
        <f>IFERROR(IFERROR(INDEX('Fixture and LED Schedule'!D:D,MATCH(K550,'Fixture and LED Schedule'!C:C,0),1),K550),"")</f>
        <v>0</v>
      </c>
      <c r="O550" s="858" t="str">
        <f>IFERROR(INDEX(yControl_Code,MATCH(Inventory!M550,yControlTypes,0),1),"")</f>
        <v/>
      </c>
      <c r="P550" s="860" t="str">
        <f>'Lighting Inventory (Ref only)'!AG553</f>
        <v/>
      </c>
      <c r="Q550" s="861" t="str">
        <f>'Lighting Inventory (Ref only)'!AF553</f>
        <v/>
      </c>
      <c r="R550" s="856" t="str">
        <f t="shared" si="17"/>
        <v/>
      </c>
      <c r="S550" s="856" t="str">
        <f>IFERROR(ROUND(R550*'Project Info and Summary'!$J$5/'Project Info and Summary'!$L$5,2),"")</f>
        <v/>
      </c>
    </row>
    <row r="551" spans="1:19" ht="30" customHeight="1">
      <c r="A551" s="948"/>
      <c r="B551" s="496">
        <f t="shared" si="16"/>
        <v>542</v>
      </c>
      <c r="C551" s="864"/>
      <c r="D551" s="505"/>
      <c r="E551" s="866"/>
      <c r="F551" s="498"/>
      <c r="G551" s="499"/>
      <c r="H551" s="492"/>
      <c r="I551" s="855">
        <f>IFERROR(IFERROR(INDEX('Fixture and LED Schedule'!D:D,MATCH(F551,'Fixture and LED Schedule'!C:C,""),1),F551),"")</f>
        <v>0</v>
      </c>
      <c r="J551" s="855" t="str">
        <f>IFERROR(IF(PRJ_Type="New Construction",H551,INDEX(yControl_Code,MATCH(Inventory!H551,yControlTypes,0),1)),"")</f>
        <v/>
      </c>
      <c r="K551" s="493"/>
      <c r="L551" s="501"/>
      <c r="M551" s="502"/>
      <c r="N551" s="855">
        <f>IFERROR(IFERROR(INDEX('Fixture and LED Schedule'!D:D,MATCH(K551,'Fixture and LED Schedule'!C:C,0),1),K551),"")</f>
        <v>0</v>
      </c>
      <c r="O551" s="858" t="str">
        <f>IFERROR(INDEX(yControl_Code,MATCH(Inventory!M551,yControlTypes,0),1),"")</f>
        <v/>
      </c>
      <c r="P551" s="860" t="str">
        <f>'Lighting Inventory (Ref only)'!AG554</f>
        <v/>
      </c>
      <c r="Q551" s="861" t="str">
        <f>'Lighting Inventory (Ref only)'!AF554</f>
        <v/>
      </c>
      <c r="R551" s="856" t="str">
        <f t="shared" si="17"/>
        <v/>
      </c>
      <c r="S551" s="856" t="str">
        <f>IFERROR(ROUND(R551*'Project Info and Summary'!$J$5/'Project Info and Summary'!$L$5,2),"")</f>
        <v/>
      </c>
    </row>
    <row r="552" spans="1:19" ht="30" customHeight="1">
      <c r="A552" s="948"/>
      <c r="B552" s="496">
        <f t="shared" si="16"/>
        <v>543</v>
      </c>
      <c r="C552" s="864"/>
      <c r="D552" s="505"/>
      <c r="E552" s="866"/>
      <c r="F552" s="498"/>
      <c r="G552" s="499"/>
      <c r="H552" s="492"/>
      <c r="I552" s="855">
        <f>IFERROR(IFERROR(INDEX('Fixture and LED Schedule'!D:D,MATCH(F552,'Fixture and LED Schedule'!C:C,""),1),F552),"")</f>
        <v>0</v>
      </c>
      <c r="J552" s="855" t="str">
        <f>IFERROR(IF(PRJ_Type="New Construction",H552,INDEX(yControl_Code,MATCH(Inventory!H552,yControlTypes,0),1)),"")</f>
        <v/>
      </c>
      <c r="K552" s="493"/>
      <c r="L552" s="501"/>
      <c r="M552" s="502"/>
      <c r="N552" s="855">
        <f>IFERROR(IFERROR(INDEX('Fixture and LED Schedule'!D:D,MATCH(K552,'Fixture and LED Schedule'!C:C,0),1),K552),"")</f>
        <v>0</v>
      </c>
      <c r="O552" s="858" t="str">
        <f>IFERROR(INDEX(yControl_Code,MATCH(Inventory!M552,yControlTypes,0),1),"")</f>
        <v/>
      </c>
      <c r="P552" s="860" t="str">
        <f>'Lighting Inventory (Ref only)'!AG555</f>
        <v/>
      </c>
      <c r="Q552" s="861" t="str">
        <f>'Lighting Inventory (Ref only)'!AF555</f>
        <v/>
      </c>
      <c r="R552" s="856" t="str">
        <f t="shared" si="17"/>
        <v/>
      </c>
      <c r="S552" s="856" t="str">
        <f>IFERROR(ROUND(R552*'Project Info and Summary'!$J$5/'Project Info and Summary'!$L$5,2),"")</f>
        <v/>
      </c>
    </row>
    <row r="553" spans="1:19" ht="30" customHeight="1">
      <c r="A553" s="948"/>
      <c r="B553" s="496">
        <f t="shared" si="16"/>
        <v>544</v>
      </c>
      <c r="C553" s="864"/>
      <c r="D553" s="505"/>
      <c r="E553" s="866"/>
      <c r="F553" s="498"/>
      <c r="G553" s="499"/>
      <c r="H553" s="492"/>
      <c r="I553" s="855">
        <f>IFERROR(IFERROR(INDEX('Fixture and LED Schedule'!D:D,MATCH(F553,'Fixture and LED Schedule'!C:C,""),1),F553),"")</f>
        <v>0</v>
      </c>
      <c r="J553" s="855" t="str">
        <f>IFERROR(IF(PRJ_Type="New Construction",H553,INDEX(yControl_Code,MATCH(Inventory!H553,yControlTypes,0),1)),"")</f>
        <v/>
      </c>
      <c r="K553" s="493"/>
      <c r="L553" s="501"/>
      <c r="M553" s="502"/>
      <c r="N553" s="855">
        <f>IFERROR(IFERROR(INDEX('Fixture and LED Schedule'!D:D,MATCH(K553,'Fixture and LED Schedule'!C:C,0),1),K553),"")</f>
        <v>0</v>
      </c>
      <c r="O553" s="858" t="str">
        <f>IFERROR(INDEX(yControl_Code,MATCH(Inventory!M553,yControlTypes,0),1),"")</f>
        <v/>
      </c>
      <c r="P553" s="860" t="str">
        <f>'Lighting Inventory (Ref only)'!AG556</f>
        <v/>
      </c>
      <c r="Q553" s="861" t="str">
        <f>'Lighting Inventory (Ref only)'!AF556</f>
        <v/>
      </c>
      <c r="R553" s="856" t="str">
        <f t="shared" si="17"/>
        <v/>
      </c>
      <c r="S553" s="856" t="str">
        <f>IFERROR(ROUND(R553*'Project Info and Summary'!$J$5/'Project Info and Summary'!$L$5,2),"")</f>
        <v/>
      </c>
    </row>
    <row r="554" spans="1:19" ht="30" customHeight="1">
      <c r="A554" s="948"/>
      <c r="B554" s="496">
        <f t="shared" si="16"/>
        <v>545</v>
      </c>
      <c r="C554" s="864"/>
      <c r="D554" s="505"/>
      <c r="E554" s="866"/>
      <c r="F554" s="498"/>
      <c r="G554" s="499"/>
      <c r="H554" s="492"/>
      <c r="I554" s="855">
        <f>IFERROR(IFERROR(INDEX('Fixture and LED Schedule'!D:D,MATCH(F554,'Fixture and LED Schedule'!C:C,""),1),F554),"")</f>
        <v>0</v>
      </c>
      <c r="J554" s="855" t="str">
        <f>IFERROR(IF(PRJ_Type="New Construction",H554,INDEX(yControl_Code,MATCH(Inventory!H554,yControlTypes,0),1)),"")</f>
        <v/>
      </c>
      <c r="K554" s="493"/>
      <c r="L554" s="501"/>
      <c r="M554" s="502"/>
      <c r="N554" s="855">
        <f>IFERROR(IFERROR(INDEX('Fixture and LED Schedule'!D:D,MATCH(K554,'Fixture and LED Schedule'!C:C,0),1),K554),"")</f>
        <v>0</v>
      </c>
      <c r="O554" s="858" t="str">
        <f>IFERROR(INDEX(yControl_Code,MATCH(Inventory!M554,yControlTypes,0),1),"")</f>
        <v/>
      </c>
      <c r="P554" s="860" t="str">
        <f>'Lighting Inventory (Ref only)'!AG557</f>
        <v/>
      </c>
      <c r="Q554" s="861" t="str">
        <f>'Lighting Inventory (Ref only)'!AF557</f>
        <v/>
      </c>
      <c r="R554" s="856" t="str">
        <f t="shared" si="17"/>
        <v/>
      </c>
      <c r="S554" s="856" t="str">
        <f>IFERROR(ROUND(R554*'Project Info and Summary'!$J$5/'Project Info and Summary'!$L$5,2),"")</f>
        <v/>
      </c>
    </row>
    <row r="555" spans="1:19" ht="30" customHeight="1">
      <c r="A555" s="948"/>
      <c r="B555" s="496">
        <f t="shared" si="16"/>
        <v>546</v>
      </c>
      <c r="C555" s="864"/>
      <c r="D555" s="505"/>
      <c r="E555" s="866"/>
      <c r="F555" s="498"/>
      <c r="G555" s="499"/>
      <c r="H555" s="492"/>
      <c r="I555" s="855">
        <f>IFERROR(IFERROR(INDEX('Fixture and LED Schedule'!D:D,MATCH(F555,'Fixture and LED Schedule'!C:C,""),1),F555),"")</f>
        <v>0</v>
      </c>
      <c r="J555" s="855" t="str">
        <f>IFERROR(IF(PRJ_Type="New Construction",H555,INDEX(yControl_Code,MATCH(Inventory!H555,yControlTypes,0),1)),"")</f>
        <v/>
      </c>
      <c r="K555" s="493"/>
      <c r="L555" s="501"/>
      <c r="M555" s="502"/>
      <c r="N555" s="855">
        <f>IFERROR(IFERROR(INDEX('Fixture and LED Schedule'!D:D,MATCH(K555,'Fixture and LED Schedule'!C:C,0),1),K555),"")</f>
        <v>0</v>
      </c>
      <c r="O555" s="858" t="str">
        <f>IFERROR(INDEX(yControl_Code,MATCH(Inventory!M555,yControlTypes,0),1),"")</f>
        <v/>
      </c>
      <c r="P555" s="860" t="str">
        <f>'Lighting Inventory (Ref only)'!AG558</f>
        <v/>
      </c>
      <c r="Q555" s="861" t="str">
        <f>'Lighting Inventory (Ref only)'!AF558</f>
        <v/>
      </c>
      <c r="R555" s="856" t="str">
        <f t="shared" si="17"/>
        <v/>
      </c>
      <c r="S555" s="856" t="str">
        <f>IFERROR(ROUND(R555*'Project Info and Summary'!$J$5/'Project Info and Summary'!$L$5,2),"")</f>
        <v/>
      </c>
    </row>
    <row r="556" spans="1:19" ht="30" customHeight="1">
      <c r="A556" s="948"/>
      <c r="B556" s="496">
        <f t="shared" si="16"/>
        <v>547</v>
      </c>
      <c r="C556" s="864"/>
      <c r="D556" s="505"/>
      <c r="E556" s="866"/>
      <c r="F556" s="498"/>
      <c r="G556" s="499"/>
      <c r="H556" s="492"/>
      <c r="I556" s="855">
        <f>IFERROR(IFERROR(INDEX('Fixture and LED Schedule'!D:D,MATCH(F556,'Fixture and LED Schedule'!C:C,""),1),F556),"")</f>
        <v>0</v>
      </c>
      <c r="J556" s="855" t="str">
        <f>IFERROR(IF(PRJ_Type="New Construction",H556,INDEX(yControl_Code,MATCH(Inventory!H556,yControlTypes,0),1)),"")</f>
        <v/>
      </c>
      <c r="K556" s="493"/>
      <c r="L556" s="501"/>
      <c r="M556" s="502"/>
      <c r="N556" s="855">
        <f>IFERROR(IFERROR(INDEX('Fixture and LED Schedule'!D:D,MATCH(K556,'Fixture and LED Schedule'!C:C,0),1),K556),"")</f>
        <v>0</v>
      </c>
      <c r="O556" s="858" t="str">
        <f>IFERROR(INDEX(yControl_Code,MATCH(Inventory!M556,yControlTypes,0),1),"")</f>
        <v/>
      </c>
      <c r="P556" s="860" t="str">
        <f>'Lighting Inventory (Ref only)'!AG559</f>
        <v/>
      </c>
      <c r="Q556" s="861" t="str">
        <f>'Lighting Inventory (Ref only)'!AF559</f>
        <v/>
      </c>
      <c r="R556" s="856" t="str">
        <f t="shared" si="17"/>
        <v/>
      </c>
      <c r="S556" s="856" t="str">
        <f>IFERROR(ROUND(R556*'Project Info and Summary'!$J$5/'Project Info and Summary'!$L$5,2),"")</f>
        <v/>
      </c>
    </row>
    <row r="557" spans="1:19" ht="30" customHeight="1">
      <c r="A557" s="948"/>
      <c r="B557" s="496">
        <f t="shared" si="16"/>
        <v>548</v>
      </c>
      <c r="C557" s="864"/>
      <c r="D557" s="505"/>
      <c r="E557" s="866"/>
      <c r="F557" s="498"/>
      <c r="G557" s="499"/>
      <c r="H557" s="492"/>
      <c r="I557" s="855">
        <f>IFERROR(IFERROR(INDEX('Fixture and LED Schedule'!D:D,MATCH(F557,'Fixture and LED Schedule'!C:C,""),1),F557),"")</f>
        <v>0</v>
      </c>
      <c r="J557" s="855" t="str">
        <f>IFERROR(IF(PRJ_Type="New Construction",H557,INDEX(yControl_Code,MATCH(Inventory!H557,yControlTypes,0),1)),"")</f>
        <v/>
      </c>
      <c r="K557" s="493"/>
      <c r="L557" s="501"/>
      <c r="M557" s="502"/>
      <c r="N557" s="855">
        <f>IFERROR(IFERROR(INDEX('Fixture and LED Schedule'!D:D,MATCH(K557,'Fixture and LED Schedule'!C:C,0),1),K557),"")</f>
        <v>0</v>
      </c>
      <c r="O557" s="858" t="str">
        <f>IFERROR(INDEX(yControl_Code,MATCH(Inventory!M557,yControlTypes,0),1),"")</f>
        <v/>
      </c>
      <c r="P557" s="860" t="str">
        <f>'Lighting Inventory (Ref only)'!AG560</f>
        <v/>
      </c>
      <c r="Q557" s="861" t="str">
        <f>'Lighting Inventory (Ref only)'!AF560</f>
        <v/>
      </c>
      <c r="R557" s="856" t="str">
        <f t="shared" si="17"/>
        <v/>
      </c>
      <c r="S557" s="856" t="str">
        <f>IFERROR(ROUND(R557*'Project Info and Summary'!$J$5/'Project Info and Summary'!$L$5,2),"")</f>
        <v/>
      </c>
    </row>
    <row r="558" spans="1:19" ht="30" customHeight="1">
      <c r="A558" s="948"/>
      <c r="B558" s="496">
        <f t="shared" si="16"/>
        <v>549</v>
      </c>
      <c r="C558" s="864"/>
      <c r="D558" s="505"/>
      <c r="E558" s="866"/>
      <c r="F558" s="498"/>
      <c r="G558" s="499"/>
      <c r="H558" s="492"/>
      <c r="I558" s="855">
        <f>IFERROR(IFERROR(INDEX('Fixture and LED Schedule'!D:D,MATCH(F558,'Fixture and LED Schedule'!C:C,""),1),F558),"")</f>
        <v>0</v>
      </c>
      <c r="J558" s="855" t="str">
        <f>IFERROR(IF(PRJ_Type="New Construction",H558,INDEX(yControl_Code,MATCH(Inventory!H558,yControlTypes,0),1)),"")</f>
        <v/>
      </c>
      <c r="K558" s="493"/>
      <c r="L558" s="501"/>
      <c r="M558" s="502"/>
      <c r="N558" s="855">
        <f>IFERROR(IFERROR(INDEX('Fixture and LED Schedule'!D:D,MATCH(K558,'Fixture and LED Schedule'!C:C,0),1),K558),"")</f>
        <v>0</v>
      </c>
      <c r="O558" s="858" t="str">
        <f>IFERROR(INDEX(yControl_Code,MATCH(Inventory!M558,yControlTypes,0),1),"")</f>
        <v/>
      </c>
      <c r="P558" s="860" t="str">
        <f>'Lighting Inventory (Ref only)'!AG561</f>
        <v/>
      </c>
      <c r="Q558" s="861" t="str">
        <f>'Lighting Inventory (Ref only)'!AF561</f>
        <v/>
      </c>
      <c r="R558" s="856" t="str">
        <f t="shared" si="17"/>
        <v/>
      </c>
      <c r="S558" s="856" t="str">
        <f>IFERROR(ROUND(R558*'Project Info and Summary'!$J$5/'Project Info and Summary'!$L$5,2),"")</f>
        <v/>
      </c>
    </row>
    <row r="559" spans="1:19" ht="30" customHeight="1">
      <c r="A559" s="948"/>
      <c r="B559" s="496">
        <f t="shared" si="16"/>
        <v>550</v>
      </c>
      <c r="C559" s="864"/>
      <c r="D559" s="505"/>
      <c r="E559" s="866"/>
      <c r="F559" s="498"/>
      <c r="G559" s="499"/>
      <c r="H559" s="492"/>
      <c r="I559" s="855">
        <f>IFERROR(IFERROR(INDEX('Fixture and LED Schedule'!D:D,MATCH(F559,'Fixture and LED Schedule'!C:C,""),1),F559),"")</f>
        <v>0</v>
      </c>
      <c r="J559" s="855" t="str">
        <f>IFERROR(IF(PRJ_Type="New Construction",H559,INDEX(yControl_Code,MATCH(Inventory!H559,yControlTypes,0),1)),"")</f>
        <v/>
      </c>
      <c r="K559" s="493"/>
      <c r="L559" s="501"/>
      <c r="M559" s="502"/>
      <c r="N559" s="855">
        <f>IFERROR(IFERROR(INDEX('Fixture and LED Schedule'!D:D,MATCH(K559,'Fixture and LED Schedule'!C:C,0),1),K559),"")</f>
        <v>0</v>
      </c>
      <c r="O559" s="858" t="str">
        <f>IFERROR(INDEX(yControl_Code,MATCH(Inventory!M559,yControlTypes,0),1),"")</f>
        <v/>
      </c>
      <c r="P559" s="860" t="str">
        <f>'Lighting Inventory (Ref only)'!AG562</f>
        <v/>
      </c>
      <c r="Q559" s="861" t="str">
        <f>'Lighting Inventory (Ref only)'!AF562</f>
        <v/>
      </c>
      <c r="R559" s="856" t="str">
        <f t="shared" si="17"/>
        <v/>
      </c>
      <c r="S559" s="856" t="str">
        <f>IFERROR(ROUND(R559*'Project Info and Summary'!$J$5/'Project Info and Summary'!$L$5,2),"")</f>
        <v/>
      </c>
    </row>
    <row r="560" spans="1:19" ht="30" customHeight="1">
      <c r="A560" s="948"/>
      <c r="B560" s="496">
        <f t="shared" si="16"/>
        <v>551</v>
      </c>
      <c r="C560" s="864"/>
      <c r="D560" s="505"/>
      <c r="E560" s="866"/>
      <c r="F560" s="498"/>
      <c r="G560" s="499"/>
      <c r="H560" s="492"/>
      <c r="I560" s="855">
        <f>IFERROR(IFERROR(INDEX('Fixture and LED Schedule'!D:D,MATCH(F560,'Fixture and LED Schedule'!C:C,""),1),F560),"")</f>
        <v>0</v>
      </c>
      <c r="J560" s="855" t="str">
        <f>IFERROR(IF(PRJ_Type="New Construction",H560,INDEX(yControl_Code,MATCH(Inventory!H560,yControlTypes,0),1)),"")</f>
        <v/>
      </c>
      <c r="K560" s="493"/>
      <c r="L560" s="501"/>
      <c r="M560" s="502"/>
      <c r="N560" s="855">
        <f>IFERROR(IFERROR(INDEX('Fixture and LED Schedule'!D:D,MATCH(K560,'Fixture and LED Schedule'!C:C,0),1),K560),"")</f>
        <v>0</v>
      </c>
      <c r="O560" s="858" t="str">
        <f>IFERROR(INDEX(yControl_Code,MATCH(Inventory!M560,yControlTypes,0),1),"")</f>
        <v/>
      </c>
      <c r="P560" s="860" t="str">
        <f>'Lighting Inventory (Ref only)'!AG563</f>
        <v/>
      </c>
      <c r="Q560" s="861" t="str">
        <f>'Lighting Inventory (Ref only)'!AF563</f>
        <v/>
      </c>
      <c r="R560" s="856" t="str">
        <f t="shared" si="17"/>
        <v/>
      </c>
      <c r="S560" s="856" t="str">
        <f>IFERROR(ROUND(R560*'Project Info and Summary'!$J$5/'Project Info and Summary'!$L$5,2),"")</f>
        <v/>
      </c>
    </row>
    <row r="561" spans="1:19" ht="30" customHeight="1">
      <c r="A561" s="948"/>
      <c r="B561" s="496">
        <f t="shared" si="16"/>
        <v>552</v>
      </c>
      <c r="C561" s="864"/>
      <c r="D561" s="505"/>
      <c r="E561" s="866"/>
      <c r="F561" s="498"/>
      <c r="G561" s="499"/>
      <c r="H561" s="492"/>
      <c r="I561" s="855">
        <f>IFERROR(IFERROR(INDEX('Fixture and LED Schedule'!D:D,MATCH(F561,'Fixture and LED Schedule'!C:C,""),1),F561),"")</f>
        <v>0</v>
      </c>
      <c r="J561" s="855" t="str">
        <f>IFERROR(IF(PRJ_Type="New Construction",H561,INDEX(yControl_Code,MATCH(Inventory!H561,yControlTypes,0),1)),"")</f>
        <v/>
      </c>
      <c r="K561" s="493"/>
      <c r="L561" s="501"/>
      <c r="M561" s="502"/>
      <c r="N561" s="855">
        <f>IFERROR(IFERROR(INDEX('Fixture and LED Schedule'!D:D,MATCH(K561,'Fixture and LED Schedule'!C:C,0),1),K561),"")</f>
        <v>0</v>
      </c>
      <c r="O561" s="858" t="str">
        <f>IFERROR(INDEX(yControl_Code,MATCH(Inventory!M561,yControlTypes,0),1),"")</f>
        <v/>
      </c>
      <c r="P561" s="860" t="str">
        <f>'Lighting Inventory (Ref only)'!AG564</f>
        <v/>
      </c>
      <c r="Q561" s="861" t="str">
        <f>'Lighting Inventory (Ref only)'!AF564</f>
        <v/>
      </c>
      <c r="R561" s="856" t="str">
        <f t="shared" si="17"/>
        <v/>
      </c>
      <c r="S561" s="856" t="str">
        <f>IFERROR(ROUND(R561*'Project Info and Summary'!$J$5/'Project Info and Summary'!$L$5,2),"")</f>
        <v/>
      </c>
    </row>
    <row r="562" spans="1:19" ht="30" customHeight="1">
      <c r="A562" s="948"/>
      <c r="B562" s="496">
        <f t="shared" si="16"/>
        <v>553</v>
      </c>
      <c r="C562" s="864"/>
      <c r="D562" s="505"/>
      <c r="E562" s="866"/>
      <c r="F562" s="498"/>
      <c r="G562" s="499"/>
      <c r="H562" s="492"/>
      <c r="I562" s="855">
        <f>IFERROR(IFERROR(INDEX('Fixture and LED Schedule'!D:D,MATCH(F562,'Fixture and LED Schedule'!C:C,""),1),F562),"")</f>
        <v>0</v>
      </c>
      <c r="J562" s="855" t="str">
        <f>IFERROR(IF(PRJ_Type="New Construction",H562,INDEX(yControl_Code,MATCH(Inventory!H562,yControlTypes,0),1)),"")</f>
        <v/>
      </c>
      <c r="K562" s="493"/>
      <c r="L562" s="501"/>
      <c r="M562" s="502"/>
      <c r="N562" s="855">
        <f>IFERROR(IFERROR(INDEX('Fixture and LED Schedule'!D:D,MATCH(K562,'Fixture and LED Schedule'!C:C,0),1),K562),"")</f>
        <v>0</v>
      </c>
      <c r="O562" s="858" t="str">
        <f>IFERROR(INDEX(yControl_Code,MATCH(Inventory!M562,yControlTypes,0),1),"")</f>
        <v/>
      </c>
      <c r="P562" s="860" t="str">
        <f>'Lighting Inventory (Ref only)'!AG565</f>
        <v/>
      </c>
      <c r="Q562" s="861" t="str">
        <f>'Lighting Inventory (Ref only)'!AF565</f>
        <v/>
      </c>
      <c r="R562" s="856" t="str">
        <f t="shared" si="17"/>
        <v/>
      </c>
      <c r="S562" s="856" t="str">
        <f>IFERROR(ROUND(R562*'Project Info and Summary'!$J$5/'Project Info and Summary'!$L$5,2),"")</f>
        <v/>
      </c>
    </row>
    <row r="563" spans="1:19" ht="30" customHeight="1">
      <c r="A563" s="948"/>
      <c r="B563" s="496">
        <f t="shared" si="16"/>
        <v>554</v>
      </c>
      <c r="C563" s="864"/>
      <c r="D563" s="505"/>
      <c r="E563" s="866"/>
      <c r="F563" s="498"/>
      <c r="G563" s="499"/>
      <c r="H563" s="492"/>
      <c r="I563" s="855">
        <f>IFERROR(IFERROR(INDEX('Fixture and LED Schedule'!D:D,MATCH(F563,'Fixture and LED Schedule'!C:C,""),1),F563),"")</f>
        <v>0</v>
      </c>
      <c r="J563" s="855" t="str">
        <f>IFERROR(IF(PRJ_Type="New Construction",H563,INDEX(yControl_Code,MATCH(Inventory!H563,yControlTypes,0),1)),"")</f>
        <v/>
      </c>
      <c r="K563" s="493"/>
      <c r="L563" s="501"/>
      <c r="M563" s="502"/>
      <c r="N563" s="855">
        <f>IFERROR(IFERROR(INDEX('Fixture and LED Schedule'!D:D,MATCH(K563,'Fixture and LED Schedule'!C:C,0),1),K563),"")</f>
        <v>0</v>
      </c>
      <c r="O563" s="858" t="str">
        <f>IFERROR(INDEX(yControl_Code,MATCH(Inventory!M563,yControlTypes,0),1),"")</f>
        <v/>
      </c>
      <c r="P563" s="860" t="str">
        <f>'Lighting Inventory (Ref only)'!AG566</f>
        <v/>
      </c>
      <c r="Q563" s="861" t="str">
        <f>'Lighting Inventory (Ref only)'!AF566</f>
        <v/>
      </c>
      <c r="R563" s="856" t="str">
        <f t="shared" si="17"/>
        <v/>
      </c>
      <c r="S563" s="856" t="str">
        <f>IFERROR(ROUND(R563*'Project Info and Summary'!$J$5/'Project Info and Summary'!$L$5,2),"")</f>
        <v/>
      </c>
    </row>
    <row r="564" spans="1:19" ht="30" customHeight="1">
      <c r="A564" s="948"/>
      <c r="B564" s="496">
        <f t="shared" si="16"/>
        <v>555</v>
      </c>
      <c r="C564" s="864"/>
      <c r="D564" s="505"/>
      <c r="E564" s="866"/>
      <c r="F564" s="498"/>
      <c r="G564" s="499"/>
      <c r="H564" s="492"/>
      <c r="I564" s="855">
        <f>IFERROR(IFERROR(INDEX('Fixture and LED Schedule'!D:D,MATCH(F564,'Fixture and LED Schedule'!C:C,""),1),F564),"")</f>
        <v>0</v>
      </c>
      <c r="J564" s="855" t="str">
        <f>IFERROR(IF(PRJ_Type="New Construction",H564,INDEX(yControl_Code,MATCH(Inventory!H564,yControlTypes,0),1)),"")</f>
        <v/>
      </c>
      <c r="K564" s="493"/>
      <c r="L564" s="501"/>
      <c r="M564" s="502"/>
      <c r="N564" s="855">
        <f>IFERROR(IFERROR(INDEX('Fixture and LED Schedule'!D:D,MATCH(K564,'Fixture and LED Schedule'!C:C,0),1),K564),"")</f>
        <v>0</v>
      </c>
      <c r="O564" s="858" t="str">
        <f>IFERROR(INDEX(yControl_Code,MATCH(Inventory!M564,yControlTypes,0),1),"")</f>
        <v/>
      </c>
      <c r="P564" s="860" t="str">
        <f>'Lighting Inventory (Ref only)'!AG567</f>
        <v/>
      </c>
      <c r="Q564" s="861" t="str">
        <f>'Lighting Inventory (Ref only)'!AF567</f>
        <v/>
      </c>
      <c r="R564" s="856" t="str">
        <f t="shared" si="17"/>
        <v/>
      </c>
      <c r="S564" s="856" t="str">
        <f>IFERROR(ROUND(R564*'Project Info and Summary'!$J$5/'Project Info and Summary'!$L$5,2),"")</f>
        <v/>
      </c>
    </row>
    <row r="565" spans="1:19" ht="30" customHeight="1">
      <c r="A565" s="948"/>
      <c r="B565" s="496">
        <f t="shared" si="16"/>
        <v>556</v>
      </c>
      <c r="C565" s="864"/>
      <c r="D565" s="505"/>
      <c r="E565" s="866"/>
      <c r="F565" s="498"/>
      <c r="G565" s="499"/>
      <c r="H565" s="492"/>
      <c r="I565" s="855">
        <f>IFERROR(IFERROR(INDEX('Fixture and LED Schedule'!D:D,MATCH(F565,'Fixture and LED Schedule'!C:C,""),1),F565),"")</f>
        <v>0</v>
      </c>
      <c r="J565" s="855" t="str">
        <f>IFERROR(IF(PRJ_Type="New Construction",H565,INDEX(yControl_Code,MATCH(Inventory!H565,yControlTypes,0),1)),"")</f>
        <v/>
      </c>
      <c r="K565" s="493"/>
      <c r="L565" s="501"/>
      <c r="M565" s="502"/>
      <c r="N565" s="855">
        <f>IFERROR(IFERROR(INDEX('Fixture and LED Schedule'!D:D,MATCH(K565,'Fixture and LED Schedule'!C:C,0),1),K565),"")</f>
        <v>0</v>
      </c>
      <c r="O565" s="858" t="str">
        <f>IFERROR(INDEX(yControl_Code,MATCH(Inventory!M565,yControlTypes,0),1),"")</f>
        <v/>
      </c>
      <c r="P565" s="860" t="str">
        <f>'Lighting Inventory (Ref only)'!AG568</f>
        <v/>
      </c>
      <c r="Q565" s="861" t="str">
        <f>'Lighting Inventory (Ref only)'!AF568</f>
        <v/>
      </c>
      <c r="R565" s="856" t="str">
        <f t="shared" si="17"/>
        <v/>
      </c>
      <c r="S565" s="856" t="str">
        <f>IFERROR(ROUND(R565*'Project Info and Summary'!$J$5/'Project Info and Summary'!$L$5,2),"")</f>
        <v/>
      </c>
    </row>
    <row r="566" spans="1:19" ht="30" customHeight="1">
      <c r="A566" s="948"/>
      <c r="B566" s="496">
        <f t="shared" si="16"/>
        <v>557</v>
      </c>
      <c r="C566" s="864"/>
      <c r="D566" s="505"/>
      <c r="E566" s="866"/>
      <c r="F566" s="498"/>
      <c r="G566" s="499"/>
      <c r="H566" s="492"/>
      <c r="I566" s="855">
        <f>IFERROR(IFERROR(INDEX('Fixture and LED Schedule'!D:D,MATCH(F566,'Fixture and LED Schedule'!C:C,""),1),F566),"")</f>
        <v>0</v>
      </c>
      <c r="J566" s="855" t="str">
        <f>IFERROR(IF(PRJ_Type="New Construction",H566,INDEX(yControl_Code,MATCH(Inventory!H566,yControlTypes,0),1)),"")</f>
        <v/>
      </c>
      <c r="K566" s="493"/>
      <c r="L566" s="501"/>
      <c r="M566" s="502"/>
      <c r="N566" s="855">
        <f>IFERROR(IFERROR(INDEX('Fixture and LED Schedule'!D:D,MATCH(K566,'Fixture and LED Schedule'!C:C,0),1),K566),"")</f>
        <v>0</v>
      </c>
      <c r="O566" s="858" t="str">
        <f>IFERROR(INDEX(yControl_Code,MATCH(Inventory!M566,yControlTypes,0),1),"")</f>
        <v/>
      </c>
      <c r="P566" s="860" t="str">
        <f>'Lighting Inventory (Ref only)'!AG569</f>
        <v/>
      </c>
      <c r="Q566" s="861" t="str">
        <f>'Lighting Inventory (Ref only)'!AF569</f>
        <v/>
      </c>
      <c r="R566" s="856" t="str">
        <f t="shared" si="17"/>
        <v/>
      </c>
      <c r="S566" s="856" t="str">
        <f>IFERROR(ROUND(R566*'Project Info and Summary'!$J$5/'Project Info and Summary'!$L$5,2),"")</f>
        <v/>
      </c>
    </row>
    <row r="567" spans="1:19" ht="30" customHeight="1">
      <c r="A567" s="948"/>
      <c r="B567" s="496">
        <f t="shared" si="16"/>
        <v>558</v>
      </c>
      <c r="C567" s="864"/>
      <c r="D567" s="505"/>
      <c r="E567" s="866"/>
      <c r="F567" s="498"/>
      <c r="G567" s="499"/>
      <c r="H567" s="492"/>
      <c r="I567" s="855">
        <f>IFERROR(IFERROR(INDEX('Fixture and LED Schedule'!D:D,MATCH(F567,'Fixture and LED Schedule'!C:C,""),1),F567),"")</f>
        <v>0</v>
      </c>
      <c r="J567" s="855" t="str">
        <f>IFERROR(IF(PRJ_Type="New Construction",H567,INDEX(yControl_Code,MATCH(Inventory!H567,yControlTypes,0),1)),"")</f>
        <v/>
      </c>
      <c r="K567" s="493"/>
      <c r="L567" s="501"/>
      <c r="M567" s="502"/>
      <c r="N567" s="855">
        <f>IFERROR(IFERROR(INDEX('Fixture and LED Schedule'!D:D,MATCH(K567,'Fixture and LED Schedule'!C:C,0),1),K567),"")</f>
        <v>0</v>
      </c>
      <c r="O567" s="858" t="str">
        <f>IFERROR(INDEX(yControl_Code,MATCH(Inventory!M567,yControlTypes,0),1),"")</f>
        <v/>
      </c>
      <c r="P567" s="860" t="str">
        <f>'Lighting Inventory (Ref only)'!AG570</f>
        <v/>
      </c>
      <c r="Q567" s="861" t="str">
        <f>'Lighting Inventory (Ref only)'!AF570</f>
        <v/>
      </c>
      <c r="R567" s="856" t="str">
        <f t="shared" si="17"/>
        <v/>
      </c>
      <c r="S567" s="856" t="str">
        <f>IFERROR(ROUND(R567*'Project Info and Summary'!$J$5/'Project Info and Summary'!$L$5,2),"")</f>
        <v/>
      </c>
    </row>
    <row r="568" spans="1:19" ht="30" customHeight="1">
      <c r="A568" s="948"/>
      <c r="B568" s="496">
        <f t="shared" si="16"/>
        <v>559</v>
      </c>
      <c r="C568" s="864"/>
      <c r="D568" s="505"/>
      <c r="E568" s="866"/>
      <c r="F568" s="498"/>
      <c r="G568" s="499"/>
      <c r="H568" s="492"/>
      <c r="I568" s="855">
        <f>IFERROR(IFERROR(INDEX('Fixture and LED Schedule'!D:D,MATCH(F568,'Fixture and LED Schedule'!C:C,""),1),F568),"")</f>
        <v>0</v>
      </c>
      <c r="J568" s="855" t="str">
        <f>IFERROR(IF(PRJ_Type="New Construction",H568,INDEX(yControl_Code,MATCH(Inventory!H568,yControlTypes,0),1)),"")</f>
        <v/>
      </c>
      <c r="K568" s="493"/>
      <c r="L568" s="501"/>
      <c r="M568" s="502"/>
      <c r="N568" s="855">
        <f>IFERROR(IFERROR(INDEX('Fixture and LED Schedule'!D:D,MATCH(K568,'Fixture and LED Schedule'!C:C,0),1),K568),"")</f>
        <v>0</v>
      </c>
      <c r="O568" s="858" t="str">
        <f>IFERROR(INDEX(yControl_Code,MATCH(Inventory!M568,yControlTypes,0),1),"")</f>
        <v/>
      </c>
      <c r="P568" s="860" t="str">
        <f>'Lighting Inventory (Ref only)'!AG571</f>
        <v/>
      </c>
      <c r="Q568" s="861" t="str">
        <f>'Lighting Inventory (Ref only)'!AF571</f>
        <v/>
      </c>
      <c r="R568" s="856" t="str">
        <f t="shared" si="17"/>
        <v/>
      </c>
      <c r="S568" s="856" t="str">
        <f>IFERROR(ROUND(R568*'Project Info and Summary'!$J$5/'Project Info and Summary'!$L$5,2),"")</f>
        <v/>
      </c>
    </row>
    <row r="569" spans="1:19" ht="30" customHeight="1">
      <c r="A569" s="948"/>
      <c r="B569" s="496">
        <f t="shared" si="16"/>
        <v>560</v>
      </c>
      <c r="C569" s="864"/>
      <c r="D569" s="505"/>
      <c r="E569" s="866"/>
      <c r="F569" s="498"/>
      <c r="G569" s="499"/>
      <c r="H569" s="492"/>
      <c r="I569" s="855">
        <f>IFERROR(IFERROR(INDEX('Fixture and LED Schedule'!D:D,MATCH(F569,'Fixture and LED Schedule'!C:C,""),1),F569),"")</f>
        <v>0</v>
      </c>
      <c r="J569" s="855" t="str">
        <f>IFERROR(IF(PRJ_Type="New Construction",H569,INDEX(yControl_Code,MATCH(Inventory!H569,yControlTypes,0),1)),"")</f>
        <v/>
      </c>
      <c r="K569" s="493"/>
      <c r="L569" s="501"/>
      <c r="M569" s="502"/>
      <c r="N569" s="855">
        <f>IFERROR(IFERROR(INDEX('Fixture and LED Schedule'!D:D,MATCH(K569,'Fixture and LED Schedule'!C:C,0),1),K569),"")</f>
        <v>0</v>
      </c>
      <c r="O569" s="858" t="str">
        <f>IFERROR(INDEX(yControl_Code,MATCH(Inventory!M569,yControlTypes,0),1),"")</f>
        <v/>
      </c>
      <c r="P569" s="860" t="str">
        <f>'Lighting Inventory (Ref only)'!AG572</f>
        <v/>
      </c>
      <c r="Q569" s="861" t="str">
        <f>'Lighting Inventory (Ref only)'!AF572</f>
        <v/>
      </c>
      <c r="R569" s="856" t="str">
        <f t="shared" si="17"/>
        <v/>
      </c>
      <c r="S569" s="856" t="str">
        <f>IFERROR(ROUND(R569*'Project Info and Summary'!$J$5/'Project Info and Summary'!$L$5,2),"")</f>
        <v/>
      </c>
    </row>
    <row r="570" spans="1:19" ht="30" customHeight="1">
      <c r="A570" s="948"/>
      <c r="B570" s="496">
        <f t="shared" si="16"/>
        <v>561</v>
      </c>
      <c r="C570" s="864"/>
      <c r="D570" s="505"/>
      <c r="E570" s="866"/>
      <c r="F570" s="498"/>
      <c r="G570" s="499"/>
      <c r="H570" s="492"/>
      <c r="I570" s="855">
        <f>IFERROR(IFERROR(INDEX('Fixture and LED Schedule'!D:D,MATCH(F570,'Fixture and LED Schedule'!C:C,""),1),F570),"")</f>
        <v>0</v>
      </c>
      <c r="J570" s="855" t="str">
        <f>IFERROR(IF(PRJ_Type="New Construction",H570,INDEX(yControl_Code,MATCH(Inventory!H570,yControlTypes,0),1)),"")</f>
        <v/>
      </c>
      <c r="K570" s="493"/>
      <c r="L570" s="501"/>
      <c r="M570" s="502"/>
      <c r="N570" s="855">
        <f>IFERROR(IFERROR(INDEX('Fixture and LED Schedule'!D:D,MATCH(K570,'Fixture and LED Schedule'!C:C,0),1),K570),"")</f>
        <v>0</v>
      </c>
      <c r="O570" s="858" t="str">
        <f>IFERROR(INDEX(yControl_Code,MATCH(Inventory!M570,yControlTypes,0),1),"")</f>
        <v/>
      </c>
      <c r="P570" s="860" t="str">
        <f>'Lighting Inventory (Ref only)'!AG573</f>
        <v/>
      </c>
      <c r="Q570" s="861" t="str">
        <f>'Lighting Inventory (Ref only)'!AF573</f>
        <v/>
      </c>
      <c r="R570" s="856" t="str">
        <f t="shared" si="17"/>
        <v/>
      </c>
      <c r="S570" s="856" t="str">
        <f>IFERROR(ROUND(R570*'Project Info and Summary'!$J$5/'Project Info and Summary'!$L$5,2),"")</f>
        <v/>
      </c>
    </row>
    <row r="571" spans="1:19" ht="30" customHeight="1">
      <c r="A571" s="948"/>
      <c r="B571" s="496">
        <f t="shared" si="16"/>
        <v>562</v>
      </c>
      <c r="C571" s="864"/>
      <c r="D571" s="505"/>
      <c r="E571" s="866"/>
      <c r="F571" s="498"/>
      <c r="G571" s="499"/>
      <c r="H571" s="492"/>
      <c r="I571" s="855">
        <f>IFERROR(IFERROR(INDEX('Fixture and LED Schedule'!D:D,MATCH(F571,'Fixture and LED Schedule'!C:C,""),1),F571),"")</f>
        <v>0</v>
      </c>
      <c r="J571" s="855" t="str">
        <f>IFERROR(IF(PRJ_Type="New Construction",H571,INDEX(yControl_Code,MATCH(Inventory!H571,yControlTypes,0),1)),"")</f>
        <v/>
      </c>
      <c r="K571" s="493"/>
      <c r="L571" s="501"/>
      <c r="M571" s="502"/>
      <c r="N571" s="855">
        <f>IFERROR(IFERROR(INDEX('Fixture and LED Schedule'!D:D,MATCH(K571,'Fixture and LED Schedule'!C:C,0),1),K571),"")</f>
        <v>0</v>
      </c>
      <c r="O571" s="858" t="str">
        <f>IFERROR(INDEX(yControl_Code,MATCH(Inventory!M571,yControlTypes,0),1),"")</f>
        <v/>
      </c>
      <c r="P571" s="860" t="str">
        <f>'Lighting Inventory (Ref only)'!AG574</f>
        <v/>
      </c>
      <c r="Q571" s="861" t="str">
        <f>'Lighting Inventory (Ref only)'!AF574</f>
        <v/>
      </c>
      <c r="R571" s="856" t="str">
        <f t="shared" si="17"/>
        <v/>
      </c>
      <c r="S571" s="856" t="str">
        <f>IFERROR(ROUND(R571*'Project Info and Summary'!$J$5/'Project Info and Summary'!$L$5,2),"")</f>
        <v/>
      </c>
    </row>
    <row r="572" spans="1:19" ht="30" customHeight="1">
      <c r="A572" s="948"/>
      <c r="B572" s="496">
        <f t="shared" si="16"/>
        <v>563</v>
      </c>
      <c r="C572" s="864"/>
      <c r="D572" s="505"/>
      <c r="E572" s="866"/>
      <c r="F572" s="498"/>
      <c r="G572" s="499"/>
      <c r="H572" s="492"/>
      <c r="I572" s="855">
        <f>IFERROR(IFERROR(INDEX('Fixture and LED Schedule'!D:D,MATCH(F572,'Fixture and LED Schedule'!C:C,""),1),F572),"")</f>
        <v>0</v>
      </c>
      <c r="J572" s="855" t="str">
        <f>IFERROR(IF(PRJ_Type="New Construction",H572,INDEX(yControl_Code,MATCH(Inventory!H572,yControlTypes,0),1)),"")</f>
        <v/>
      </c>
      <c r="K572" s="493"/>
      <c r="L572" s="501"/>
      <c r="M572" s="502"/>
      <c r="N572" s="855">
        <f>IFERROR(IFERROR(INDEX('Fixture and LED Schedule'!D:D,MATCH(K572,'Fixture and LED Schedule'!C:C,0),1),K572),"")</f>
        <v>0</v>
      </c>
      <c r="O572" s="858" t="str">
        <f>IFERROR(INDEX(yControl_Code,MATCH(Inventory!M572,yControlTypes,0),1),"")</f>
        <v/>
      </c>
      <c r="P572" s="860" t="str">
        <f>'Lighting Inventory (Ref only)'!AG575</f>
        <v/>
      </c>
      <c r="Q572" s="861" t="str">
        <f>'Lighting Inventory (Ref only)'!AF575</f>
        <v/>
      </c>
      <c r="R572" s="856" t="str">
        <f t="shared" si="17"/>
        <v/>
      </c>
      <c r="S572" s="856" t="str">
        <f>IFERROR(ROUND(R572*'Project Info and Summary'!$J$5/'Project Info and Summary'!$L$5,2),"")</f>
        <v/>
      </c>
    </row>
    <row r="573" spans="1:19" ht="30" customHeight="1">
      <c r="A573" s="948"/>
      <c r="B573" s="496">
        <f t="shared" ref="B573:B636" si="18">B572+1</f>
        <v>564</v>
      </c>
      <c r="C573" s="864"/>
      <c r="D573" s="505"/>
      <c r="E573" s="866"/>
      <c r="F573" s="498"/>
      <c r="G573" s="499"/>
      <c r="H573" s="492"/>
      <c r="I573" s="855">
        <f>IFERROR(IFERROR(INDEX('Fixture and LED Schedule'!D:D,MATCH(F573,'Fixture and LED Schedule'!C:C,""),1),F573),"")</f>
        <v>0</v>
      </c>
      <c r="J573" s="855" t="str">
        <f>IFERROR(IF(PRJ_Type="New Construction",H573,INDEX(yControl_Code,MATCH(Inventory!H573,yControlTypes,0),1)),"")</f>
        <v/>
      </c>
      <c r="K573" s="493"/>
      <c r="L573" s="501"/>
      <c r="M573" s="502"/>
      <c r="N573" s="855">
        <f>IFERROR(IFERROR(INDEX('Fixture and LED Schedule'!D:D,MATCH(K573,'Fixture and LED Schedule'!C:C,0),1),K573),"")</f>
        <v>0</v>
      </c>
      <c r="O573" s="858" t="str">
        <f>IFERROR(INDEX(yControl_Code,MATCH(Inventory!M573,yControlTypes,0),1),"")</f>
        <v/>
      </c>
      <c r="P573" s="860" t="str">
        <f>'Lighting Inventory (Ref only)'!AG576</f>
        <v/>
      </c>
      <c r="Q573" s="861" t="str">
        <f>'Lighting Inventory (Ref only)'!AF576</f>
        <v/>
      </c>
      <c r="R573" s="856" t="str">
        <f t="shared" si="17"/>
        <v/>
      </c>
      <c r="S573" s="856" t="str">
        <f>IFERROR(ROUND(R573*'Project Info and Summary'!$J$5/'Project Info and Summary'!$L$5,2),"")</f>
        <v/>
      </c>
    </row>
    <row r="574" spans="1:19" ht="30" customHeight="1">
      <c r="A574" s="948"/>
      <c r="B574" s="496">
        <f t="shared" si="18"/>
        <v>565</v>
      </c>
      <c r="C574" s="864"/>
      <c r="D574" s="505"/>
      <c r="E574" s="866"/>
      <c r="F574" s="498"/>
      <c r="G574" s="499"/>
      <c r="H574" s="492"/>
      <c r="I574" s="855">
        <f>IFERROR(IFERROR(INDEX('Fixture and LED Schedule'!D:D,MATCH(F574,'Fixture and LED Schedule'!C:C,""),1),F574),"")</f>
        <v>0</v>
      </c>
      <c r="J574" s="855" t="str">
        <f>IFERROR(IF(PRJ_Type="New Construction",H574,INDEX(yControl_Code,MATCH(Inventory!H574,yControlTypes,0),1)),"")</f>
        <v/>
      </c>
      <c r="K574" s="493"/>
      <c r="L574" s="501"/>
      <c r="M574" s="502"/>
      <c r="N574" s="855">
        <f>IFERROR(IFERROR(INDEX('Fixture and LED Schedule'!D:D,MATCH(K574,'Fixture and LED Schedule'!C:C,0),1),K574),"")</f>
        <v>0</v>
      </c>
      <c r="O574" s="858" t="str">
        <f>IFERROR(INDEX(yControl_Code,MATCH(Inventory!M574,yControlTypes,0),1),"")</f>
        <v/>
      </c>
      <c r="P574" s="860" t="str">
        <f>'Lighting Inventory (Ref only)'!AG577</f>
        <v/>
      </c>
      <c r="Q574" s="861" t="str">
        <f>'Lighting Inventory (Ref only)'!AF577</f>
        <v/>
      </c>
      <c r="R574" s="856" t="str">
        <f t="shared" si="17"/>
        <v/>
      </c>
      <c r="S574" s="856" t="str">
        <f>IFERROR(ROUND(R574*'Project Info and Summary'!$J$5/'Project Info and Summary'!$L$5,2),"")</f>
        <v/>
      </c>
    </row>
    <row r="575" spans="1:19" ht="30" customHeight="1">
      <c r="A575" s="948"/>
      <c r="B575" s="496">
        <f t="shared" si="18"/>
        <v>566</v>
      </c>
      <c r="C575" s="864"/>
      <c r="D575" s="505"/>
      <c r="E575" s="866"/>
      <c r="F575" s="498"/>
      <c r="G575" s="499"/>
      <c r="H575" s="492"/>
      <c r="I575" s="855">
        <f>IFERROR(IFERROR(INDEX('Fixture and LED Schedule'!D:D,MATCH(F575,'Fixture and LED Schedule'!C:C,""),1),F575),"")</f>
        <v>0</v>
      </c>
      <c r="J575" s="855" t="str">
        <f>IFERROR(IF(PRJ_Type="New Construction",H575,INDEX(yControl_Code,MATCH(Inventory!H575,yControlTypes,0),1)),"")</f>
        <v/>
      </c>
      <c r="K575" s="493"/>
      <c r="L575" s="501"/>
      <c r="M575" s="502"/>
      <c r="N575" s="855">
        <f>IFERROR(IFERROR(INDEX('Fixture and LED Schedule'!D:D,MATCH(K575,'Fixture and LED Schedule'!C:C,0),1),K575),"")</f>
        <v>0</v>
      </c>
      <c r="O575" s="858" t="str">
        <f>IFERROR(INDEX(yControl_Code,MATCH(Inventory!M575,yControlTypes,0),1),"")</f>
        <v/>
      </c>
      <c r="P575" s="860" t="str">
        <f>'Lighting Inventory (Ref only)'!AG578</f>
        <v/>
      </c>
      <c r="Q575" s="861" t="str">
        <f>'Lighting Inventory (Ref only)'!AF578</f>
        <v/>
      </c>
      <c r="R575" s="856" t="str">
        <f t="shared" si="17"/>
        <v/>
      </c>
      <c r="S575" s="856" t="str">
        <f>IFERROR(ROUND(R575*'Project Info and Summary'!$J$5/'Project Info and Summary'!$L$5,2),"")</f>
        <v/>
      </c>
    </row>
    <row r="576" spans="1:19" ht="30" customHeight="1">
      <c r="A576" s="948"/>
      <c r="B576" s="496">
        <f t="shared" si="18"/>
        <v>567</v>
      </c>
      <c r="C576" s="864"/>
      <c r="D576" s="505"/>
      <c r="E576" s="866"/>
      <c r="F576" s="498"/>
      <c r="G576" s="499"/>
      <c r="H576" s="492"/>
      <c r="I576" s="855">
        <f>IFERROR(IFERROR(INDEX('Fixture and LED Schedule'!D:D,MATCH(F576,'Fixture and LED Schedule'!C:C,""),1),F576),"")</f>
        <v>0</v>
      </c>
      <c r="J576" s="855" t="str">
        <f>IFERROR(IF(PRJ_Type="New Construction",H576,INDEX(yControl_Code,MATCH(Inventory!H576,yControlTypes,0),1)),"")</f>
        <v/>
      </c>
      <c r="K576" s="493"/>
      <c r="L576" s="501"/>
      <c r="M576" s="502"/>
      <c r="N576" s="855">
        <f>IFERROR(IFERROR(INDEX('Fixture and LED Schedule'!D:D,MATCH(K576,'Fixture and LED Schedule'!C:C,0),1),K576),"")</f>
        <v>0</v>
      </c>
      <c r="O576" s="858" t="str">
        <f>IFERROR(INDEX(yControl_Code,MATCH(Inventory!M576,yControlTypes,0),1),"")</f>
        <v/>
      </c>
      <c r="P576" s="860" t="str">
        <f>'Lighting Inventory (Ref only)'!AG579</f>
        <v/>
      </c>
      <c r="Q576" s="861" t="str">
        <f>'Lighting Inventory (Ref only)'!AF579</f>
        <v/>
      </c>
      <c r="R576" s="856" t="str">
        <f t="shared" si="17"/>
        <v/>
      </c>
      <c r="S576" s="856" t="str">
        <f>IFERROR(ROUND(R576*'Project Info and Summary'!$J$5/'Project Info and Summary'!$L$5,2),"")</f>
        <v/>
      </c>
    </row>
    <row r="577" spans="1:19" ht="30" customHeight="1">
      <c r="A577" s="948"/>
      <c r="B577" s="496">
        <f t="shared" si="18"/>
        <v>568</v>
      </c>
      <c r="C577" s="864"/>
      <c r="D577" s="505"/>
      <c r="E577" s="866"/>
      <c r="F577" s="498"/>
      <c r="G577" s="499"/>
      <c r="H577" s="492"/>
      <c r="I577" s="855">
        <f>IFERROR(IFERROR(INDEX('Fixture and LED Schedule'!D:D,MATCH(F577,'Fixture and LED Schedule'!C:C,""),1),F577),"")</f>
        <v>0</v>
      </c>
      <c r="J577" s="855" t="str">
        <f>IFERROR(IF(PRJ_Type="New Construction",H577,INDEX(yControl_Code,MATCH(Inventory!H577,yControlTypes,0),1)),"")</f>
        <v/>
      </c>
      <c r="K577" s="493"/>
      <c r="L577" s="501"/>
      <c r="M577" s="502"/>
      <c r="N577" s="855">
        <f>IFERROR(IFERROR(INDEX('Fixture and LED Schedule'!D:D,MATCH(K577,'Fixture and LED Schedule'!C:C,0),1),K577),"")</f>
        <v>0</v>
      </c>
      <c r="O577" s="858" t="str">
        <f>IFERROR(INDEX(yControl_Code,MATCH(Inventory!M577,yControlTypes,0),1),"")</f>
        <v/>
      </c>
      <c r="P577" s="860" t="str">
        <f>'Lighting Inventory (Ref only)'!AG580</f>
        <v/>
      </c>
      <c r="Q577" s="861" t="str">
        <f>'Lighting Inventory (Ref only)'!AF580</f>
        <v/>
      </c>
      <c r="R577" s="856" t="str">
        <f t="shared" si="17"/>
        <v/>
      </c>
      <c r="S577" s="856" t="str">
        <f>IFERROR(ROUND(R577*'Project Info and Summary'!$J$5/'Project Info and Summary'!$L$5,2),"")</f>
        <v/>
      </c>
    </row>
    <row r="578" spans="1:19" ht="30" customHeight="1">
      <c r="A578" s="948"/>
      <c r="B578" s="496">
        <f t="shared" si="18"/>
        <v>569</v>
      </c>
      <c r="C578" s="864"/>
      <c r="D578" s="505"/>
      <c r="E578" s="866"/>
      <c r="F578" s="498"/>
      <c r="G578" s="499"/>
      <c r="H578" s="492"/>
      <c r="I578" s="855">
        <f>IFERROR(IFERROR(INDEX('Fixture and LED Schedule'!D:D,MATCH(F578,'Fixture and LED Schedule'!C:C,""),1),F578),"")</f>
        <v>0</v>
      </c>
      <c r="J578" s="855" t="str">
        <f>IFERROR(IF(PRJ_Type="New Construction",H578,INDEX(yControl_Code,MATCH(Inventory!H578,yControlTypes,0),1)),"")</f>
        <v/>
      </c>
      <c r="K578" s="493"/>
      <c r="L578" s="501"/>
      <c r="M578" s="502"/>
      <c r="N578" s="855">
        <f>IFERROR(IFERROR(INDEX('Fixture and LED Schedule'!D:D,MATCH(K578,'Fixture and LED Schedule'!C:C,0),1),K578),"")</f>
        <v>0</v>
      </c>
      <c r="O578" s="858" t="str">
        <f>IFERROR(INDEX(yControl_Code,MATCH(Inventory!M578,yControlTypes,0),1),"")</f>
        <v/>
      </c>
      <c r="P578" s="860" t="str">
        <f>'Lighting Inventory (Ref only)'!AG581</f>
        <v/>
      </c>
      <c r="Q578" s="861" t="str">
        <f>'Lighting Inventory (Ref only)'!AF581</f>
        <v/>
      </c>
      <c r="R578" s="856" t="str">
        <f t="shared" si="17"/>
        <v/>
      </c>
      <c r="S578" s="856" t="str">
        <f>IFERROR(ROUND(R578*'Project Info and Summary'!$J$5/'Project Info and Summary'!$L$5,2),"")</f>
        <v/>
      </c>
    </row>
    <row r="579" spans="1:19" ht="30" customHeight="1">
      <c r="A579" s="948"/>
      <c r="B579" s="496">
        <f t="shared" si="18"/>
        <v>570</v>
      </c>
      <c r="C579" s="864"/>
      <c r="D579" s="505"/>
      <c r="E579" s="866"/>
      <c r="F579" s="498"/>
      <c r="G579" s="499"/>
      <c r="H579" s="492"/>
      <c r="I579" s="855">
        <f>IFERROR(IFERROR(INDEX('Fixture and LED Schedule'!D:D,MATCH(F579,'Fixture and LED Schedule'!C:C,""),1),F579),"")</f>
        <v>0</v>
      </c>
      <c r="J579" s="855" t="str">
        <f>IFERROR(IF(PRJ_Type="New Construction",H579,INDEX(yControl_Code,MATCH(Inventory!H579,yControlTypes,0),1)),"")</f>
        <v/>
      </c>
      <c r="K579" s="493"/>
      <c r="L579" s="501"/>
      <c r="M579" s="502"/>
      <c r="N579" s="855">
        <f>IFERROR(IFERROR(INDEX('Fixture and LED Schedule'!D:D,MATCH(K579,'Fixture and LED Schedule'!C:C,0),1),K579),"")</f>
        <v>0</v>
      </c>
      <c r="O579" s="858" t="str">
        <f>IFERROR(INDEX(yControl_Code,MATCH(Inventory!M579,yControlTypes,0),1),"")</f>
        <v/>
      </c>
      <c r="P579" s="860" t="str">
        <f>'Lighting Inventory (Ref only)'!AG582</f>
        <v/>
      </c>
      <c r="Q579" s="861" t="str">
        <f>'Lighting Inventory (Ref only)'!AF582</f>
        <v/>
      </c>
      <c r="R579" s="856" t="str">
        <f t="shared" si="17"/>
        <v/>
      </c>
      <c r="S579" s="856" t="str">
        <f>IFERROR(ROUND(R579*'Project Info and Summary'!$J$5/'Project Info and Summary'!$L$5,2),"")</f>
        <v/>
      </c>
    </row>
    <row r="580" spans="1:19" ht="30" customHeight="1">
      <c r="A580" s="948"/>
      <c r="B580" s="496">
        <f t="shared" si="18"/>
        <v>571</v>
      </c>
      <c r="C580" s="864"/>
      <c r="D580" s="505"/>
      <c r="E580" s="866"/>
      <c r="F580" s="498"/>
      <c r="G580" s="499"/>
      <c r="H580" s="492"/>
      <c r="I580" s="855">
        <f>IFERROR(IFERROR(INDEX('Fixture and LED Schedule'!D:D,MATCH(F580,'Fixture and LED Schedule'!C:C,""),1),F580),"")</f>
        <v>0</v>
      </c>
      <c r="J580" s="855" t="str">
        <f>IFERROR(IF(PRJ_Type="New Construction",H580,INDEX(yControl_Code,MATCH(Inventory!H580,yControlTypes,0),1)),"")</f>
        <v/>
      </c>
      <c r="K580" s="493"/>
      <c r="L580" s="501"/>
      <c r="M580" s="502"/>
      <c r="N580" s="855">
        <f>IFERROR(IFERROR(INDEX('Fixture and LED Schedule'!D:D,MATCH(K580,'Fixture and LED Schedule'!C:C,0),1),K580),"")</f>
        <v>0</v>
      </c>
      <c r="O580" s="858" t="str">
        <f>IFERROR(INDEX(yControl_Code,MATCH(Inventory!M580,yControlTypes,0),1),"")</f>
        <v/>
      </c>
      <c r="P580" s="860" t="str">
        <f>'Lighting Inventory (Ref only)'!AG583</f>
        <v/>
      </c>
      <c r="Q580" s="861" t="str">
        <f>'Lighting Inventory (Ref only)'!AF583</f>
        <v/>
      </c>
      <c r="R580" s="856" t="str">
        <f t="shared" si="17"/>
        <v/>
      </c>
      <c r="S580" s="856" t="str">
        <f>IFERROR(ROUND(R580*'Project Info and Summary'!$J$5/'Project Info and Summary'!$L$5,2),"")</f>
        <v/>
      </c>
    </row>
    <row r="581" spans="1:19" ht="30" customHeight="1">
      <c r="A581" s="948"/>
      <c r="B581" s="496">
        <f t="shared" si="18"/>
        <v>572</v>
      </c>
      <c r="C581" s="864"/>
      <c r="D581" s="505"/>
      <c r="E581" s="866"/>
      <c r="F581" s="498"/>
      <c r="G581" s="499"/>
      <c r="H581" s="492"/>
      <c r="I581" s="855">
        <f>IFERROR(IFERROR(INDEX('Fixture and LED Schedule'!D:D,MATCH(F581,'Fixture and LED Schedule'!C:C,""),1),F581),"")</f>
        <v>0</v>
      </c>
      <c r="J581" s="855" t="str">
        <f>IFERROR(IF(PRJ_Type="New Construction",H581,INDEX(yControl_Code,MATCH(Inventory!H581,yControlTypes,0),1)),"")</f>
        <v/>
      </c>
      <c r="K581" s="493"/>
      <c r="L581" s="501"/>
      <c r="M581" s="502"/>
      <c r="N581" s="855">
        <f>IFERROR(IFERROR(INDEX('Fixture and LED Schedule'!D:D,MATCH(K581,'Fixture and LED Schedule'!C:C,0),1),K581),"")</f>
        <v>0</v>
      </c>
      <c r="O581" s="858" t="str">
        <f>IFERROR(INDEX(yControl_Code,MATCH(Inventory!M581,yControlTypes,0),1),"")</f>
        <v/>
      </c>
      <c r="P581" s="860" t="str">
        <f>'Lighting Inventory (Ref only)'!AG584</f>
        <v/>
      </c>
      <c r="Q581" s="861" t="str">
        <f>'Lighting Inventory (Ref only)'!AF584</f>
        <v/>
      </c>
      <c r="R581" s="856" t="str">
        <f t="shared" si="17"/>
        <v/>
      </c>
      <c r="S581" s="856" t="str">
        <f>IFERROR(ROUND(R581*'Project Info and Summary'!$J$5/'Project Info and Summary'!$L$5,2),"")</f>
        <v/>
      </c>
    </row>
    <row r="582" spans="1:19" ht="30" customHeight="1">
      <c r="A582" s="948"/>
      <c r="B582" s="496">
        <f t="shared" si="18"/>
        <v>573</v>
      </c>
      <c r="C582" s="864"/>
      <c r="D582" s="505"/>
      <c r="E582" s="866"/>
      <c r="F582" s="498"/>
      <c r="G582" s="499"/>
      <c r="H582" s="492"/>
      <c r="I582" s="855">
        <f>IFERROR(IFERROR(INDEX('Fixture and LED Schedule'!D:D,MATCH(F582,'Fixture and LED Schedule'!C:C,""),1),F582),"")</f>
        <v>0</v>
      </c>
      <c r="J582" s="855" t="str">
        <f>IFERROR(IF(PRJ_Type="New Construction",H582,INDEX(yControl_Code,MATCH(Inventory!H582,yControlTypes,0),1)),"")</f>
        <v/>
      </c>
      <c r="K582" s="493"/>
      <c r="L582" s="501"/>
      <c r="M582" s="502"/>
      <c r="N582" s="855">
        <f>IFERROR(IFERROR(INDEX('Fixture and LED Schedule'!D:D,MATCH(K582,'Fixture and LED Schedule'!C:C,0),1),K582),"")</f>
        <v>0</v>
      </c>
      <c r="O582" s="858" t="str">
        <f>IFERROR(INDEX(yControl_Code,MATCH(Inventory!M582,yControlTypes,0),1),"")</f>
        <v/>
      </c>
      <c r="P582" s="860" t="str">
        <f>'Lighting Inventory (Ref only)'!AG585</f>
        <v/>
      </c>
      <c r="Q582" s="861" t="str">
        <f>'Lighting Inventory (Ref only)'!AF585</f>
        <v/>
      </c>
      <c r="R582" s="856" t="str">
        <f t="shared" si="17"/>
        <v/>
      </c>
      <c r="S582" s="856" t="str">
        <f>IFERROR(ROUND(R582*'Project Info and Summary'!$J$5/'Project Info and Summary'!$L$5,2),"")</f>
        <v/>
      </c>
    </row>
    <row r="583" spans="1:19" ht="30" customHeight="1">
      <c r="A583" s="948"/>
      <c r="B583" s="496">
        <f t="shared" si="18"/>
        <v>574</v>
      </c>
      <c r="C583" s="864"/>
      <c r="D583" s="505"/>
      <c r="E583" s="866"/>
      <c r="F583" s="498"/>
      <c r="G583" s="499"/>
      <c r="H583" s="492"/>
      <c r="I583" s="855">
        <f>IFERROR(IFERROR(INDEX('Fixture and LED Schedule'!D:D,MATCH(F583,'Fixture and LED Schedule'!C:C,""),1),F583),"")</f>
        <v>0</v>
      </c>
      <c r="J583" s="855" t="str">
        <f>IFERROR(IF(PRJ_Type="New Construction",H583,INDEX(yControl_Code,MATCH(Inventory!H583,yControlTypes,0),1)),"")</f>
        <v/>
      </c>
      <c r="K583" s="493"/>
      <c r="L583" s="501"/>
      <c r="M583" s="502"/>
      <c r="N583" s="855">
        <f>IFERROR(IFERROR(INDEX('Fixture and LED Schedule'!D:D,MATCH(K583,'Fixture and LED Schedule'!C:C,0),1),K583),"")</f>
        <v>0</v>
      </c>
      <c r="O583" s="858" t="str">
        <f>IFERROR(INDEX(yControl_Code,MATCH(Inventory!M583,yControlTypes,0),1),"")</f>
        <v/>
      </c>
      <c r="P583" s="860" t="str">
        <f>'Lighting Inventory (Ref only)'!AG586</f>
        <v/>
      </c>
      <c r="Q583" s="861" t="str">
        <f>'Lighting Inventory (Ref only)'!AF586</f>
        <v/>
      </c>
      <c r="R583" s="856" t="str">
        <f t="shared" si="17"/>
        <v/>
      </c>
      <c r="S583" s="856" t="str">
        <f>IFERROR(ROUND(R583*'Project Info and Summary'!$J$5/'Project Info and Summary'!$L$5,2),"")</f>
        <v/>
      </c>
    </row>
    <row r="584" spans="1:19" ht="30" customHeight="1">
      <c r="A584" s="948"/>
      <c r="B584" s="496">
        <f t="shared" si="18"/>
        <v>575</v>
      </c>
      <c r="C584" s="864"/>
      <c r="D584" s="505"/>
      <c r="E584" s="866"/>
      <c r="F584" s="498"/>
      <c r="G584" s="499"/>
      <c r="H584" s="492"/>
      <c r="I584" s="855">
        <f>IFERROR(IFERROR(INDEX('Fixture and LED Schedule'!D:D,MATCH(F584,'Fixture and LED Schedule'!C:C,""),1),F584),"")</f>
        <v>0</v>
      </c>
      <c r="J584" s="855" t="str">
        <f>IFERROR(IF(PRJ_Type="New Construction",H584,INDEX(yControl_Code,MATCH(Inventory!H584,yControlTypes,0),1)),"")</f>
        <v/>
      </c>
      <c r="K584" s="493"/>
      <c r="L584" s="501"/>
      <c r="M584" s="502"/>
      <c r="N584" s="855">
        <f>IFERROR(IFERROR(INDEX('Fixture and LED Schedule'!D:D,MATCH(K584,'Fixture and LED Schedule'!C:C,0),1),K584),"")</f>
        <v>0</v>
      </c>
      <c r="O584" s="858" t="str">
        <f>IFERROR(INDEX(yControl_Code,MATCH(Inventory!M584,yControlTypes,0),1),"")</f>
        <v/>
      </c>
      <c r="P584" s="860" t="str">
        <f>'Lighting Inventory (Ref only)'!AG587</f>
        <v/>
      </c>
      <c r="Q584" s="861" t="str">
        <f>'Lighting Inventory (Ref only)'!AF587</f>
        <v/>
      </c>
      <c r="R584" s="856" t="str">
        <f t="shared" si="17"/>
        <v/>
      </c>
      <c r="S584" s="856" t="str">
        <f>IFERROR(ROUND(R584*'Project Info and Summary'!$J$5/'Project Info and Summary'!$L$5,2),"")</f>
        <v/>
      </c>
    </row>
    <row r="585" spans="1:19" ht="30" customHeight="1">
      <c r="A585" s="948"/>
      <c r="B585" s="496">
        <f t="shared" si="18"/>
        <v>576</v>
      </c>
      <c r="C585" s="864"/>
      <c r="D585" s="505"/>
      <c r="E585" s="866"/>
      <c r="F585" s="498"/>
      <c r="G585" s="499"/>
      <c r="H585" s="492"/>
      <c r="I585" s="855">
        <f>IFERROR(IFERROR(INDEX('Fixture and LED Schedule'!D:D,MATCH(F585,'Fixture and LED Schedule'!C:C,""),1),F585),"")</f>
        <v>0</v>
      </c>
      <c r="J585" s="855" t="str">
        <f>IFERROR(IF(PRJ_Type="New Construction",H585,INDEX(yControl_Code,MATCH(Inventory!H585,yControlTypes,0),1)),"")</f>
        <v/>
      </c>
      <c r="K585" s="493"/>
      <c r="L585" s="501"/>
      <c r="M585" s="502"/>
      <c r="N585" s="855">
        <f>IFERROR(IFERROR(INDEX('Fixture and LED Schedule'!D:D,MATCH(K585,'Fixture and LED Schedule'!C:C,0),1),K585),"")</f>
        <v>0</v>
      </c>
      <c r="O585" s="858" t="str">
        <f>IFERROR(INDEX(yControl_Code,MATCH(Inventory!M585,yControlTypes,0),1),"")</f>
        <v/>
      </c>
      <c r="P585" s="860" t="str">
        <f>'Lighting Inventory (Ref only)'!AG588</f>
        <v/>
      </c>
      <c r="Q585" s="861" t="str">
        <f>'Lighting Inventory (Ref only)'!AF588</f>
        <v/>
      </c>
      <c r="R585" s="856" t="str">
        <f t="shared" si="17"/>
        <v/>
      </c>
      <c r="S585" s="856" t="str">
        <f>IFERROR(ROUND(R585*'Project Info and Summary'!$J$5/'Project Info and Summary'!$L$5,2),"")</f>
        <v/>
      </c>
    </row>
    <row r="586" spans="1:19" ht="30" customHeight="1">
      <c r="A586" s="948"/>
      <c r="B586" s="496">
        <f t="shared" si="18"/>
        <v>577</v>
      </c>
      <c r="C586" s="864"/>
      <c r="D586" s="505"/>
      <c r="E586" s="866"/>
      <c r="F586" s="498"/>
      <c r="G586" s="499"/>
      <c r="H586" s="492"/>
      <c r="I586" s="855">
        <f>IFERROR(IFERROR(INDEX('Fixture and LED Schedule'!D:D,MATCH(F586,'Fixture and LED Schedule'!C:C,""),1),F586),"")</f>
        <v>0</v>
      </c>
      <c r="J586" s="855" t="str">
        <f>IFERROR(IF(PRJ_Type="New Construction",H586,INDEX(yControl_Code,MATCH(Inventory!H586,yControlTypes,0),1)),"")</f>
        <v/>
      </c>
      <c r="K586" s="493"/>
      <c r="L586" s="501"/>
      <c r="M586" s="502"/>
      <c r="N586" s="855">
        <f>IFERROR(IFERROR(INDEX('Fixture and LED Schedule'!D:D,MATCH(K586,'Fixture and LED Schedule'!C:C,0),1),K586),"")</f>
        <v>0</v>
      </c>
      <c r="O586" s="858" t="str">
        <f>IFERROR(INDEX(yControl_Code,MATCH(Inventory!M586,yControlTypes,0),1),"")</f>
        <v/>
      </c>
      <c r="P586" s="860" t="str">
        <f>'Lighting Inventory (Ref only)'!AG589</f>
        <v/>
      </c>
      <c r="Q586" s="861" t="str">
        <f>'Lighting Inventory (Ref only)'!AF589</f>
        <v/>
      </c>
      <c r="R586" s="856" t="str">
        <f t="shared" si="17"/>
        <v/>
      </c>
      <c r="S586" s="856" t="str">
        <f>IFERROR(ROUND(R586*'Project Info and Summary'!$J$5/'Project Info and Summary'!$L$5,2),"")</f>
        <v/>
      </c>
    </row>
    <row r="587" spans="1:19" ht="30" customHeight="1">
      <c r="A587" s="948"/>
      <c r="B587" s="496">
        <f t="shared" si="18"/>
        <v>578</v>
      </c>
      <c r="C587" s="864"/>
      <c r="D587" s="505"/>
      <c r="E587" s="866"/>
      <c r="F587" s="498"/>
      <c r="G587" s="499"/>
      <c r="H587" s="492"/>
      <c r="I587" s="855">
        <f>IFERROR(IFERROR(INDEX('Fixture and LED Schedule'!D:D,MATCH(F587,'Fixture and LED Schedule'!C:C,""),1),F587),"")</f>
        <v>0</v>
      </c>
      <c r="J587" s="855" t="str">
        <f>IFERROR(IF(PRJ_Type="New Construction",H587,INDEX(yControl_Code,MATCH(Inventory!H587,yControlTypes,0),1)),"")</f>
        <v/>
      </c>
      <c r="K587" s="493"/>
      <c r="L587" s="501"/>
      <c r="M587" s="502"/>
      <c r="N587" s="855">
        <f>IFERROR(IFERROR(INDEX('Fixture and LED Schedule'!D:D,MATCH(K587,'Fixture and LED Schedule'!C:C,0),1),K587),"")</f>
        <v>0</v>
      </c>
      <c r="O587" s="858" t="str">
        <f>IFERROR(INDEX(yControl_Code,MATCH(Inventory!M587,yControlTypes,0),1),"")</f>
        <v/>
      </c>
      <c r="P587" s="860" t="str">
        <f>'Lighting Inventory (Ref only)'!AG590</f>
        <v/>
      </c>
      <c r="Q587" s="861" t="str">
        <f>'Lighting Inventory (Ref only)'!AF590</f>
        <v/>
      </c>
      <c r="R587" s="856" t="str">
        <f t="shared" ref="R587:R650" si="19">IFERROR(P587*0.02+Q587*185,"")</f>
        <v/>
      </c>
      <c r="S587" s="856" t="str">
        <f>IFERROR(ROUND(R587*'Project Info and Summary'!$J$5/'Project Info and Summary'!$L$5,2),"")</f>
        <v/>
      </c>
    </row>
    <row r="588" spans="1:19" ht="30" customHeight="1">
      <c r="A588" s="948"/>
      <c r="B588" s="496">
        <f t="shared" si="18"/>
        <v>579</v>
      </c>
      <c r="C588" s="864"/>
      <c r="D588" s="505"/>
      <c r="E588" s="866"/>
      <c r="F588" s="498"/>
      <c r="G588" s="499"/>
      <c r="H588" s="492"/>
      <c r="I588" s="855">
        <f>IFERROR(IFERROR(INDEX('Fixture and LED Schedule'!D:D,MATCH(F588,'Fixture and LED Schedule'!C:C,""),1),F588),"")</f>
        <v>0</v>
      </c>
      <c r="J588" s="855" t="str">
        <f>IFERROR(IF(PRJ_Type="New Construction",H588,INDEX(yControl_Code,MATCH(Inventory!H588,yControlTypes,0),1)),"")</f>
        <v/>
      </c>
      <c r="K588" s="493"/>
      <c r="L588" s="501"/>
      <c r="M588" s="502"/>
      <c r="N588" s="855">
        <f>IFERROR(IFERROR(INDEX('Fixture and LED Schedule'!D:D,MATCH(K588,'Fixture and LED Schedule'!C:C,0),1),K588),"")</f>
        <v>0</v>
      </c>
      <c r="O588" s="858" t="str">
        <f>IFERROR(INDEX(yControl_Code,MATCH(Inventory!M588,yControlTypes,0),1),"")</f>
        <v/>
      </c>
      <c r="P588" s="860" t="str">
        <f>'Lighting Inventory (Ref only)'!AG591</f>
        <v/>
      </c>
      <c r="Q588" s="861" t="str">
        <f>'Lighting Inventory (Ref only)'!AF591</f>
        <v/>
      </c>
      <c r="R588" s="856" t="str">
        <f t="shared" si="19"/>
        <v/>
      </c>
      <c r="S588" s="856" t="str">
        <f>IFERROR(ROUND(R588*'Project Info and Summary'!$J$5/'Project Info and Summary'!$L$5,2),"")</f>
        <v/>
      </c>
    </row>
    <row r="589" spans="1:19" ht="30" customHeight="1">
      <c r="A589" s="948"/>
      <c r="B589" s="496">
        <f t="shared" si="18"/>
        <v>580</v>
      </c>
      <c r="C589" s="864"/>
      <c r="D589" s="505"/>
      <c r="E589" s="866"/>
      <c r="F589" s="498"/>
      <c r="G589" s="499"/>
      <c r="H589" s="492"/>
      <c r="I589" s="855">
        <f>IFERROR(IFERROR(INDEX('Fixture and LED Schedule'!D:D,MATCH(F589,'Fixture and LED Schedule'!C:C,""),1),F589),"")</f>
        <v>0</v>
      </c>
      <c r="J589" s="855" t="str">
        <f>IFERROR(IF(PRJ_Type="New Construction",H589,INDEX(yControl_Code,MATCH(Inventory!H589,yControlTypes,0),1)),"")</f>
        <v/>
      </c>
      <c r="K589" s="493"/>
      <c r="L589" s="501"/>
      <c r="M589" s="502"/>
      <c r="N589" s="855">
        <f>IFERROR(IFERROR(INDEX('Fixture and LED Schedule'!D:D,MATCH(K589,'Fixture and LED Schedule'!C:C,0),1),K589),"")</f>
        <v>0</v>
      </c>
      <c r="O589" s="858" t="str">
        <f>IFERROR(INDEX(yControl_Code,MATCH(Inventory!M589,yControlTypes,0),1),"")</f>
        <v/>
      </c>
      <c r="P589" s="860" t="str">
        <f>'Lighting Inventory (Ref only)'!AG592</f>
        <v/>
      </c>
      <c r="Q589" s="861" t="str">
        <f>'Lighting Inventory (Ref only)'!AF592</f>
        <v/>
      </c>
      <c r="R589" s="856" t="str">
        <f t="shared" si="19"/>
        <v/>
      </c>
      <c r="S589" s="856" t="str">
        <f>IFERROR(ROUND(R589*'Project Info and Summary'!$J$5/'Project Info and Summary'!$L$5,2),"")</f>
        <v/>
      </c>
    </row>
    <row r="590" spans="1:19" ht="30" customHeight="1">
      <c r="A590" s="948"/>
      <c r="B590" s="496">
        <f t="shared" si="18"/>
        <v>581</v>
      </c>
      <c r="C590" s="864"/>
      <c r="D590" s="505"/>
      <c r="E590" s="866"/>
      <c r="F590" s="498"/>
      <c r="G590" s="499"/>
      <c r="H590" s="492"/>
      <c r="I590" s="855">
        <f>IFERROR(IFERROR(INDEX('Fixture and LED Schedule'!D:D,MATCH(F590,'Fixture and LED Schedule'!C:C,""),1),F590),"")</f>
        <v>0</v>
      </c>
      <c r="J590" s="855" t="str">
        <f>IFERROR(IF(PRJ_Type="New Construction",H590,INDEX(yControl_Code,MATCH(Inventory!H590,yControlTypes,0),1)),"")</f>
        <v/>
      </c>
      <c r="K590" s="493"/>
      <c r="L590" s="501"/>
      <c r="M590" s="502"/>
      <c r="N590" s="855">
        <f>IFERROR(IFERROR(INDEX('Fixture and LED Schedule'!D:D,MATCH(K590,'Fixture and LED Schedule'!C:C,0),1),K590),"")</f>
        <v>0</v>
      </c>
      <c r="O590" s="858" t="str">
        <f>IFERROR(INDEX(yControl_Code,MATCH(Inventory!M590,yControlTypes,0),1),"")</f>
        <v/>
      </c>
      <c r="P590" s="860" t="str">
        <f>'Lighting Inventory (Ref only)'!AG593</f>
        <v/>
      </c>
      <c r="Q590" s="861" t="str">
        <f>'Lighting Inventory (Ref only)'!AF593</f>
        <v/>
      </c>
      <c r="R590" s="856" t="str">
        <f t="shared" si="19"/>
        <v/>
      </c>
      <c r="S590" s="856" t="str">
        <f>IFERROR(ROUND(R590*'Project Info and Summary'!$J$5/'Project Info and Summary'!$L$5,2),"")</f>
        <v/>
      </c>
    </row>
    <row r="591" spans="1:19" ht="30" customHeight="1">
      <c r="A591" s="948"/>
      <c r="B591" s="496">
        <f t="shared" si="18"/>
        <v>582</v>
      </c>
      <c r="C591" s="864"/>
      <c r="D591" s="505"/>
      <c r="E591" s="866"/>
      <c r="F591" s="498"/>
      <c r="G591" s="499"/>
      <c r="H591" s="492"/>
      <c r="I591" s="855">
        <f>IFERROR(IFERROR(INDEX('Fixture and LED Schedule'!D:D,MATCH(F591,'Fixture and LED Schedule'!C:C,""),1),F591),"")</f>
        <v>0</v>
      </c>
      <c r="J591" s="855" t="str">
        <f>IFERROR(IF(PRJ_Type="New Construction",H591,INDEX(yControl_Code,MATCH(Inventory!H591,yControlTypes,0),1)),"")</f>
        <v/>
      </c>
      <c r="K591" s="493"/>
      <c r="L591" s="501"/>
      <c r="M591" s="502"/>
      <c r="N591" s="855">
        <f>IFERROR(IFERROR(INDEX('Fixture and LED Schedule'!D:D,MATCH(K591,'Fixture and LED Schedule'!C:C,0),1),K591),"")</f>
        <v>0</v>
      </c>
      <c r="O591" s="858" t="str">
        <f>IFERROR(INDEX(yControl_Code,MATCH(Inventory!M591,yControlTypes,0),1),"")</f>
        <v/>
      </c>
      <c r="P591" s="860" t="str">
        <f>'Lighting Inventory (Ref only)'!AG594</f>
        <v/>
      </c>
      <c r="Q591" s="861" t="str">
        <f>'Lighting Inventory (Ref only)'!AF594</f>
        <v/>
      </c>
      <c r="R591" s="856" t="str">
        <f t="shared" si="19"/>
        <v/>
      </c>
      <c r="S591" s="856" t="str">
        <f>IFERROR(ROUND(R591*'Project Info and Summary'!$J$5/'Project Info and Summary'!$L$5,2),"")</f>
        <v/>
      </c>
    </row>
    <row r="592" spans="1:19" ht="30" customHeight="1">
      <c r="A592" s="948"/>
      <c r="B592" s="496">
        <f t="shared" si="18"/>
        <v>583</v>
      </c>
      <c r="C592" s="864"/>
      <c r="D592" s="505"/>
      <c r="E592" s="866"/>
      <c r="F592" s="498"/>
      <c r="G592" s="499"/>
      <c r="H592" s="492"/>
      <c r="I592" s="855">
        <f>IFERROR(IFERROR(INDEX('Fixture and LED Schedule'!D:D,MATCH(F592,'Fixture and LED Schedule'!C:C,""),1),F592),"")</f>
        <v>0</v>
      </c>
      <c r="J592" s="855" t="str">
        <f>IFERROR(IF(PRJ_Type="New Construction",H592,INDEX(yControl_Code,MATCH(Inventory!H592,yControlTypes,0),1)),"")</f>
        <v/>
      </c>
      <c r="K592" s="493"/>
      <c r="L592" s="501"/>
      <c r="M592" s="502"/>
      <c r="N592" s="855">
        <f>IFERROR(IFERROR(INDEX('Fixture and LED Schedule'!D:D,MATCH(K592,'Fixture and LED Schedule'!C:C,0),1),K592),"")</f>
        <v>0</v>
      </c>
      <c r="O592" s="858" t="str">
        <f>IFERROR(INDEX(yControl_Code,MATCH(Inventory!M592,yControlTypes,0),1),"")</f>
        <v/>
      </c>
      <c r="P592" s="860" t="str">
        <f>'Lighting Inventory (Ref only)'!AG595</f>
        <v/>
      </c>
      <c r="Q592" s="861" t="str">
        <f>'Lighting Inventory (Ref only)'!AF595</f>
        <v/>
      </c>
      <c r="R592" s="856" t="str">
        <f t="shared" si="19"/>
        <v/>
      </c>
      <c r="S592" s="856" t="str">
        <f>IFERROR(ROUND(R592*'Project Info and Summary'!$J$5/'Project Info and Summary'!$L$5,2),"")</f>
        <v/>
      </c>
    </row>
    <row r="593" spans="1:19" ht="30" customHeight="1">
      <c r="A593" s="948"/>
      <c r="B593" s="496">
        <f t="shared" si="18"/>
        <v>584</v>
      </c>
      <c r="C593" s="864"/>
      <c r="D593" s="505"/>
      <c r="E593" s="866"/>
      <c r="F593" s="498"/>
      <c r="G593" s="499"/>
      <c r="H593" s="492"/>
      <c r="I593" s="855">
        <f>IFERROR(IFERROR(INDEX('Fixture and LED Schedule'!D:D,MATCH(F593,'Fixture and LED Schedule'!C:C,""),1),F593),"")</f>
        <v>0</v>
      </c>
      <c r="J593" s="855" t="str">
        <f>IFERROR(IF(PRJ_Type="New Construction",H593,INDEX(yControl_Code,MATCH(Inventory!H593,yControlTypes,0),1)),"")</f>
        <v/>
      </c>
      <c r="K593" s="493"/>
      <c r="L593" s="501"/>
      <c r="M593" s="502"/>
      <c r="N593" s="855">
        <f>IFERROR(IFERROR(INDEX('Fixture and LED Schedule'!D:D,MATCH(K593,'Fixture and LED Schedule'!C:C,0),1),K593),"")</f>
        <v>0</v>
      </c>
      <c r="O593" s="858" t="str">
        <f>IFERROR(INDEX(yControl_Code,MATCH(Inventory!M593,yControlTypes,0),1),"")</f>
        <v/>
      </c>
      <c r="P593" s="860" t="str">
        <f>'Lighting Inventory (Ref only)'!AG596</f>
        <v/>
      </c>
      <c r="Q593" s="861" t="str">
        <f>'Lighting Inventory (Ref only)'!AF596</f>
        <v/>
      </c>
      <c r="R593" s="856" t="str">
        <f t="shared" si="19"/>
        <v/>
      </c>
      <c r="S593" s="856" t="str">
        <f>IFERROR(ROUND(R593*'Project Info and Summary'!$J$5/'Project Info and Summary'!$L$5,2),"")</f>
        <v/>
      </c>
    </row>
    <row r="594" spans="1:19" ht="30" customHeight="1">
      <c r="A594" s="948"/>
      <c r="B594" s="496">
        <f t="shared" si="18"/>
        <v>585</v>
      </c>
      <c r="C594" s="864"/>
      <c r="D594" s="505"/>
      <c r="E594" s="866"/>
      <c r="F594" s="498"/>
      <c r="G594" s="499"/>
      <c r="H594" s="492"/>
      <c r="I594" s="855">
        <f>IFERROR(IFERROR(INDEX('Fixture and LED Schedule'!D:D,MATCH(F594,'Fixture and LED Schedule'!C:C,""),1),F594),"")</f>
        <v>0</v>
      </c>
      <c r="J594" s="855" t="str">
        <f>IFERROR(IF(PRJ_Type="New Construction",H594,INDEX(yControl_Code,MATCH(Inventory!H594,yControlTypes,0),1)),"")</f>
        <v/>
      </c>
      <c r="K594" s="493"/>
      <c r="L594" s="501"/>
      <c r="M594" s="502"/>
      <c r="N594" s="855">
        <f>IFERROR(IFERROR(INDEX('Fixture and LED Schedule'!D:D,MATCH(K594,'Fixture and LED Schedule'!C:C,0),1),K594),"")</f>
        <v>0</v>
      </c>
      <c r="O594" s="858" t="str">
        <f>IFERROR(INDEX(yControl_Code,MATCH(Inventory!M594,yControlTypes,0),1),"")</f>
        <v/>
      </c>
      <c r="P594" s="860" t="str">
        <f>'Lighting Inventory (Ref only)'!AG597</f>
        <v/>
      </c>
      <c r="Q594" s="861" t="str">
        <f>'Lighting Inventory (Ref only)'!AF597</f>
        <v/>
      </c>
      <c r="R594" s="856" t="str">
        <f t="shared" si="19"/>
        <v/>
      </c>
      <c r="S594" s="856" t="str">
        <f>IFERROR(ROUND(R594*'Project Info and Summary'!$J$5/'Project Info and Summary'!$L$5,2),"")</f>
        <v/>
      </c>
    </row>
    <row r="595" spans="1:19" ht="30" customHeight="1">
      <c r="A595" s="948"/>
      <c r="B595" s="496">
        <f t="shared" si="18"/>
        <v>586</v>
      </c>
      <c r="C595" s="864"/>
      <c r="D595" s="505"/>
      <c r="E595" s="866"/>
      <c r="F595" s="498"/>
      <c r="G595" s="499"/>
      <c r="H595" s="492"/>
      <c r="I595" s="855">
        <f>IFERROR(IFERROR(INDEX('Fixture and LED Schedule'!D:D,MATCH(F595,'Fixture and LED Schedule'!C:C,""),1),F595),"")</f>
        <v>0</v>
      </c>
      <c r="J595" s="855" t="str">
        <f>IFERROR(IF(PRJ_Type="New Construction",H595,INDEX(yControl_Code,MATCH(Inventory!H595,yControlTypes,0),1)),"")</f>
        <v/>
      </c>
      <c r="K595" s="493"/>
      <c r="L595" s="501"/>
      <c r="M595" s="502"/>
      <c r="N595" s="855">
        <f>IFERROR(IFERROR(INDEX('Fixture and LED Schedule'!D:D,MATCH(K595,'Fixture and LED Schedule'!C:C,0),1),K595),"")</f>
        <v>0</v>
      </c>
      <c r="O595" s="858" t="str">
        <f>IFERROR(INDEX(yControl_Code,MATCH(Inventory!M595,yControlTypes,0),1),"")</f>
        <v/>
      </c>
      <c r="P595" s="860" t="str">
        <f>'Lighting Inventory (Ref only)'!AG598</f>
        <v/>
      </c>
      <c r="Q595" s="861" t="str">
        <f>'Lighting Inventory (Ref only)'!AF598</f>
        <v/>
      </c>
      <c r="R595" s="856" t="str">
        <f t="shared" si="19"/>
        <v/>
      </c>
      <c r="S595" s="856" t="str">
        <f>IFERROR(ROUND(R595*'Project Info and Summary'!$J$5/'Project Info and Summary'!$L$5,2),"")</f>
        <v/>
      </c>
    </row>
    <row r="596" spans="1:19" ht="30" customHeight="1">
      <c r="A596" s="948"/>
      <c r="B596" s="496">
        <f t="shared" si="18"/>
        <v>587</v>
      </c>
      <c r="C596" s="864"/>
      <c r="D596" s="505"/>
      <c r="E596" s="866"/>
      <c r="F596" s="498"/>
      <c r="G596" s="499"/>
      <c r="H596" s="492"/>
      <c r="I596" s="855">
        <f>IFERROR(IFERROR(INDEX('Fixture and LED Schedule'!D:D,MATCH(F596,'Fixture and LED Schedule'!C:C,""),1),F596),"")</f>
        <v>0</v>
      </c>
      <c r="J596" s="855" t="str">
        <f>IFERROR(IF(PRJ_Type="New Construction",H596,INDEX(yControl_Code,MATCH(Inventory!H596,yControlTypes,0),1)),"")</f>
        <v/>
      </c>
      <c r="K596" s="493"/>
      <c r="L596" s="501"/>
      <c r="M596" s="502"/>
      <c r="N596" s="855">
        <f>IFERROR(IFERROR(INDEX('Fixture and LED Schedule'!D:D,MATCH(K596,'Fixture and LED Schedule'!C:C,0),1),K596),"")</f>
        <v>0</v>
      </c>
      <c r="O596" s="858" t="str">
        <f>IFERROR(INDEX(yControl_Code,MATCH(Inventory!M596,yControlTypes,0),1),"")</f>
        <v/>
      </c>
      <c r="P596" s="860" t="str">
        <f>'Lighting Inventory (Ref only)'!AG599</f>
        <v/>
      </c>
      <c r="Q596" s="861" t="str">
        <f>'Lighting Inventory (Ref only)'!AF599</f>
        <v/>
      </c>
      <c r="R596" s="856" t="str">
        <f t="shared" si="19"/>
        <v/>
      </c>
      <c r="S596" s="856" t="str">
        <f>IFERROR(ROUND(R596*'Project Info and Summary'!$J$5/'Project Info and Summary'!$L$5,2),"")</f>
        <v/>
      </c>
    </row>
    <row r="597" spans="1:19" ht="30" customHeight="1">
      <c r="A597" s="948"/>
      <c r="B597" s="496">
        <f t="shared" si="18"/>
        <v>588</v>
      </c>
      <c r="C597" s="864"/>
      <c r="D597" s="505"/>
      <c r="E597" s="866"/>
      <c r="F597" s="498"/>
      <c r="G597" s="499"/>
      <c r="H597" s="492"/>
      <c r="I597" s="855">
        <f>IFERROR(IFERROR(INDEX('Fixture and LED Schedule'!D:D,MATCH(F597,'Fixture and LED Schedule'!C:C,""),1),F597),"")</f>
        <v>0</v>
      </c>
      <c r="J597" s="855" t="str">
        <f>IFERROR(IF(PRJ_Type="New Construction",H597,INDEX(yControl_Code,MATCH(Inventory!H597,yControlTypes,0),1)),"")</f>
        <v/>
      </c>
      <c r="K597" s="493"/>
      <c r="L597" s="501"/>
      <c r="M597" s="502"/>
      <c r="N597" s="855">
        <f>IFERROR(IFERROR(INDEX('Fixture and LED Schedule'!D:D,MATCH(K597,'Fixture and LED Schedule'!C:C,0),1),K597),"")</f>
        <v>0</v>
      </c>
      <c r="O597" s="858" t="str">
        <f>IFERROR(INDEX(yControl_Code,MATCH(Inventory!M597,yControlTypes,0),1),"")</f>
        <v/>
      </c>
      <c r="P597" s="860" t="str">
        <f>'Lighting Inventory (Ref only)'!AG600</f>
        <v/>
      </c>
      <c r="Q597" s="861" t="str">
        <f>'Lighting Inventory (Ref only)'!AF600</f>
        <v/>
      </c>
      <c r="R597" s="856" t="str">
        <f t="shared" si="19"/>
        <v/>
      </c>
      <c r="S597" s="856" t="str">
        <f>IFERROR(ROUND(R597*'Project Info and Summary'!$J$5/'Project Info and Summary'!$L$5,2),"")</f>
        <v/>
      </c>
    </row>
    <row r="598" spans="1:19" ht="30" customHeight="1">
      <c r="A598" s="948"/>
      <c r="B598" s="496">
        <f t="shared" si="18"/>
        <v>589</v>
      </c>
      <c r="C598" s="864"/>
      <c r="D598" s="505"/>
      <c r="E598" s="866"/>
      <c r="F598" s="498"/>
      <c r="G598" s="499"/>
      <c r="H598" s="492"/>
      <c r="I598" s="855">
        <f>IFERROR(IFERROR(INDEX('Fixture and LED Schedule'!D:D,MATCH(F598,'Fixture and LED Schedule'!C:C,""),1),F598),"")</f>
        <v>0</v>
      </c>
      <c r="J598" s="855" t="str">
        <f>IFERROR(IF(PRJ_Type="New Construction",H598,INDEX(yControl_Code,MATCH(Inventory!H598,yControlTypes,0),1)),"")</f>
        <v/>
      </c>
      <c r="K598" s="493"/>
      <c r="L598" s="501"/>
      <c r="M598" s="502"/>
      <c r="N598" s="855">
        <f>IFERROR(IFERROR(INDEX('Fixture and LED Schedule'!D:D,MATCH(K598,'Fixture and LED Schedule'!C:C,0),1),K598),"")</f>
        <v>0</v>
      </c>
      <c r="O598" s="858" t="str">
        <f>IFERROR(INDEX(yControl_Code,MATCH(Inventory!M598,yControlTypes,0),1),"")</f>
        <v/>
      </c>
      <c r="P598" s="860" t="str">
        <f>'Lighting Inventory (Ref only)'!AG601</f>
        <v/>
      </c>
      <c r="Q598" s="861" t="str">
        <f>'Lighting Inventory (Ref only)'!AF601</f>
        <v/>
      </c>
      <c r="R598" s="856" t="str">
        <f t="shared" si="19"/>
        <v/>
      </c>
      <c r="S598" s="856" t="str">
        <f>IFERROR(ROUND(R598*'Project Info and Summary'!$J$5/'Project Info and Summary'!$L$5,2),"")</f>
        <v/>
      </c>
    </row>
    <row r="599" spans="1:19" ht="30" customHeight="1">
      <c r="A599" s="948"/>
      <c r="B599" s="496">
        <f t="shared" si="18"/>
        <v>590</v>
      </c>
      <c r="C599" s="864"/>
      <c r="D599" s="505"/>
      <c r="E599" s="866"/>
      <c r="F599" s="498"/>
      <c r="G599" s="499"/>
      <c r="H599" s="492"/>
      <c r="I599" s="855">
        <f>IFERROR(IFERROR(INDEX('Fixture and LED Schedule'!D:D,MATCH(F599,'Fixture and LED Schedule'!C:C,""),1),F599),"")</f>
        <v>0</v>
      </c>
      <c r="J599" s="855" t="str">
        <f>IFERROR(IF(PRJ_Type="New Construction",H599,INDEX(yControl_Code,MATCH(Inventory!H599,yControlTypes,0),1)),"")</f>
        <v/>
      </c>
      <c r="K599" s="493"/>
      <c r="L599" s="501"/>
      <c r="M599" s="502"/>
      <c r="N599" s="855">
        <f>IFERROR(IFERROR(INDEX('Fixture and LED Schedule'!D:D,MATCH(K599,'Fixture and LED Schedule'!C:C,0),1),K599),"")</f>
        <v>0</v>
      </c>
      <c r="O599" s="858" t="str">
        <f>IFERROR(INDEX(yControl_Code,MATCH(Inventory!M599,yControlTypes,0),1),"")</f>
        <v/>
      </c>
      <c r="P599" s="860" t="str">
        <f>'Lighting Inventory (Ref only)'!AG602</f>
        <v/>
      </c>
      <c r="Q599" s="861" t="str">
        <f>'Lighting Inventory (Ref only)'!AF602</f>
        <v/>
      </c>
      <c r="R599" s="856" t="str">
        <f t="shared" si="19"/>
        <v/>
      </c>
      <c r="S599" s="856" t="str">
        <f>IFERROR(ROUND(R599*'Project Info and Summary'!$J$5/'Project Info and Summary'!$L$5,2),"")</f>
        <v/>
      </c>
    </row>
    <row r="600" spans="1:19" ht="30" customHeight="1">
      <c r="A600" s="948"/>
      <c r="B600" s="496">
        <f t="shared" si="18"/>
        <v>591</v>
      </c>
      <c r="C600" s="864"/>
      <c r="D600" s="505"/>
      <c r="E600" s="866"/>
      <c r="F600" s="498"/>
      <c r="G600" s="499"/>
      <c r="H600" s="492"/>
      <c r="I600" s="855">
        <f>IFERROR(IFERROR(INDEX('Fixture and LED Schedule'!D:D,MATCH(F600,'Fixture and LED Schedule'!C:C,""),1),F600),"")</f>
        <v>0</v>
      </c>
      <c r="J600" s="855" t="str">
        <f>IFERROR(IF(PRJ_Type="New Construction",H600,INDEX(yControl_Code,MATCH(Inventory!H600,yControlTypes,0),1)),"")</f>
        <v/>
      </c>
      <c r="K600" s="493"/>
      <c r="L600" s="501"/>
      <c r="M600" s="502"/>
      <c r="N600" s="855">
        <f>IFERROR(IFERROR(INDEX('Fixture and LED Schedule'!D:D,MATCH(K600,'Fixture and LED Schedule'!C:C,0),1),K600),"")</f>
        <v>0</v>
      </c>
      <c r="O600" s="858" t="str">
        <f>IFERROR(INDEX(yControl_Code,MATCH(Inventory!M600,yControlTypes,0),1),"")</f>
        <v/>
      </c>
      <c r="P600" s="860" t="str">
        <f>'Lighting Inventory (Ref only)'!AG603</f>
        <v/>
      </c>
      <c r="Q600" s="861" t="str">
        <f>'Lighting Inventory (Ref only)'!AF603</f>
        <v/>
      </c>
      <c r="R600" s="856" t="str">
        <f t="shared" si="19"/>
        <v/>
      </c>
      <c r="S600" s="856" t="str">
        <f>IFERROR(ROUND(R600*'Project Info and Summary'!$J$5/'Project Info and Summary'!$L$5,2),"")</f>
        <v/>
      </c>
    </row>
    <row r="601" spans="1:19" ht="30" customHeight="1">
      <c r="A601" s="948"/>
      <c r="B601" s="496">
        <f t="shared" si="18"/>
        <v>592</v>
      </c>
      <c r="C601" s="864"/>
      <c r="D601" s="505"/>
      <c r="E601" s="866"/>
      <c r="F601" s="498"/>
      <c r="G601" s="499"/>
      <c r="H601" s="492"/>
      <c r="I601" s="855">
        <f>IFERROR(IFERROR(INDEX('Fixture and LED Schedule'!D:D,MATCH(F601,'Fixture and LED Schedule'!C:C,""),1),F601),"")</f>
        <v>0</v>
      </c>
      <c r="J601" s="855" t="str">
        <f>IFERROR(IF(PRJ_Type="New Construction",H601,INDEX(yControl_Code,MATCH(Inventory!H601,yControlTypes,0),1)),"")</f>
        <v/>
      </c>
      <c r="K601" s="493"/>
      <c r="L601" s="501"/>
      <c r="M601" s="502"/>
      <c r="N601" s="855">
        <f>IFERROR(IFERROR(INDEX('Fixture and LED Schedule'!D:D,MATCH(K601,'Fixture and LED Schedule'!C:C,0),1),K601),"")</f>
        <v>0</v>
      </c>
      <c r="O601" s="858" t="str">
        <f>IFERROR(INDEX(yControl_Code,MATCH(Inventory!M601,yControlTypes,0),1),"")</f>
        <v/>
      </c>
      <c r="P601" s="860" t="str">
        <f>'Lighting Inventory (Ref only)'!AG604</f>
        <v/>
      </c>
      <c r="Q601" s="861" t="str">
        <f>'Lighting Inventory (Ref only)'!AF604</f>
        <v/>
      </c>
      <c r="R601" s="856" t="str">
        <f t="shared" si="19"/>
        <v/>
      </c>
      <c r="S601" s="856" t="str">
        <f>IFERROR(ROUND(R601*'Project Info and Summary'!$J$5/'Project Info and Summary'!$L$5,2),"")</f>
        <v/>
      </c>
    </row>
    <row r="602" spans="1:19" ht="30" customHeight="1">
      <c r="A602" s="948"/>
      <c r="B602" s="496">
        <f t="shared" si="18"/>
        <v>593</v>
      </c>
      <c r="C602" s="864"/>
      <c r="D602" s="505"/>
      <c r="E602" s="866"/>
      <c r="F602" s="498"/>
      <c r="G602" s="499"/>
      <c r="H602" s="492"/>
      <c r="I602" s="855">
        <f>IFERROR(IFERROR(INDEX('Fixture and LED Schedule'!D:D,MATCH(F602,'Fixture and LED Schedule'!C:C,""),1),F602),"")</f>
        <v>0</v>
      </c>
      <c r="J602" s="855" t="str">
        <f>IFERROR(IF(PRJ_Type="New Construction",H602,INDEX(yControl_Code,MATCH(Inventory!H602,yControlTypes,0),1)),"")</f>
        <v/>
      </c>
      <c r="K602" s="493"/>
      <c r="L602" s="501"/>
      <c r="M602" s="502"/>
      <c r="N602" s="855">
        <f>IFERROR(IFERROR(INDEX('Fixture and LED Schedule'!D:D,MATCH(K602,'Fixture and LED Schedule'!C:C,0),1),K602),"")</f>
        <v>0</v>
      </c>
      <c r="O602" s="858" t="str">
        <f>IFERROR(INDEX(yControl_Code,MATCH(Inventory!M602,yControlTypes,0),1),"")</f>
        <v/>
      </c>
      <c r="P602" s="860" t="str">
        <f>'Lighting Inventory (Ref only)'!AG605</f>
        <v/>
      </c>
      <c r="Q602" s="861" t="str">
        <f>'Lighting Inventory (Ref only)'!AF605</f>
        <v/>
      </c>
      <c r="R602" s="856" t="str">
        <f t="shared" si="19"/>
        <v/>
      </c>
      <c r="S602" s="856" t="str">
        <f>IFERROR(ROUND(R602*'Project Info and Summary'!$J$5/'Project Info and Summary'!$L$5,2),"")</f>
        <v/>
      </c>
    </row>
    <row r="603" spans="1:19" ht="30" customHeight="1">
      <c r="A603" s="948"/>
      <c r="B603" s="496">
        <f t="shared" si="18"/>
        <v>594</v>
      </c>
      <c r="C603" s="864"/>
      <c r="D603" s="505"/>
      <c r="E603" s="866"/>
      <c r="F603" s="498"/>
      <c r="G603" s="499"/>
      <c r="H603" s="492"/>
      <c r="I603" s="855">
        <f>IFERROR(IFERROR(INDEX('Fixture and LED Schedule'!D:D,MATCH(F603,'Fixture and LED Schedule'!C:C,""),1),F603),"")</f>
        <v>0</v>
      </c>
      <c r="J603" s="855" t="str">
        <f>IFERROR(IF(PRJ_Type="New Construction",H603,INDEX(yControl_Code,MATCH(Inventory!H603,yControlTypes,0),1)),"")</f>
        <v/>
      </c>
      <c r="K603" s="493"/>
      <c r="L603" s="501"/>
      <c r="M603" s="502"/>
      <c r="N603" s="855">
        <f>IFERROR(IFERROR(INDEX('Fixture and LED Schedule'!D:D,MATCH(K603,'Fixture and LED Schedule'!C:C,0),1),K603),"")</f>
        <v>0</v>
      </c>
      <c r="O603" s="858" t="str">
        <f>IFERROR(INDEX(yControl_Code,MATCH(Inventory!M603,yControlTypes,0),1),"")</f>
        <v/>
      </c>
      <c r="P603" s="860" t="str">
        <f>'Lighting Inventory (Ref only)'!AG606</f>
        <v/>
      </c>
      <c r="Q603" s="861" t="str">
        <f>'Lighting Inventory (Ref only)'!AF606</f>
        <v/>
      </c>
      <c r="R603" s="856" t="str">
        <f t="shared" si="19"/>
        <v/>
      </c>
      <c r="S603" s="856" t="str">
        <f>IFERROR(ROUND(R603*'Project Info and Summary'!$J$5/'Project Info and Summary'!$L$5,2),"")</f>
        <v/>
      </c>
    </row>
    <row r="604" spans="1:19" ht="30" customHeight="1">
      <c r="A604" s="948"/>
      <c r="B604" s="496">
        <f t="shared" si="18"/>
        <v>595</v>
      </c>
      <c r="C604" s="864"/>
      <c r="D604" s="505"/>
      <c r="E604" s="866"/>
      <c r="F604" s="498"/>
      <c r="G604" s="499"/>
      <c r="H604" s="492"/>
      <c r="I604" s="855">
        <f>IFERROR(IFERROR(INDEX('Fixture and LED Schedule'!D:D,MATCH(F604,'Fixture and LED Schedule'!C:C,""),1),F604),"")</f>
        <v>0</v>
      </c>
      <c r="J604" s="855" t="str">
        <f>IFERROR(IF(PRJ_Type="New Construction",H604,INDEX(yControl_Code,MATCH(Inventory!H604,yControlTypes,0),1)),"")</f>
        <v/>
      </c>
      <c r="K604" s="493"/>
      <c r="L604" s="501"/>
      <c r="M604" s="502"/>
      <c r="N604" s="855">
        <f>IFERROR(IFERROR(INDEX('Fixture and LED Schedule'!D:D,MATCH(K604,'Fixture and LED Schedule'!C:C,0),1),K604),"")</f>
        <v>0</v>
      </c>
      <c r="O604" s="858" t="str">
        <f>IFERROR(INDEX(yControl_Code,MATCH(Inventory!M604,yControlTypes,0),1),"")</f>
        <v/>
      </c>
      <c r="P604" s="860" t="str">
        <f>'Lighting Inventory (Ref only)'!AG607</f>
        <v/>
      </c>
      <c r="Q604" s="861" t="str">
        <f>'Lighting Inventory (Ref only)'!AF607</f>
        <v/>
      </c>
      <c r="R604" s="856" t="str">
        <f t="shared" si="19"/>
        <v/>
      </c>
      <c r="S604" s="856" t="str">
        <f>IFERROR(ROUND(R604*'Project Info and Summary'!$J$5/'Project Info and Summary'!$L$5,2),"")</f>
        <v/>
      </c>
    </row>
    <row r="605" spans="1:19" ht="30" customHeight="1">
      <c r="A605" s="948"/>
      <c r="B605" s="496">
        <f t="shared" si="18"/>
        <v>596</v>
      </c>
      <c r="C605" s="864"/>
      <c r="D605" s="505"/>
      <c r="E605" s="866"/>
      <c r="F605" s="498"/>
      <c r="G605" s="499"/>
      <c r="H605" s="492"/>
      <c r="I605" s="855">
        <f>IFERROR(IFERROR(INDEX('Fixture and LED Schedule'!D:D,MATCH(F605,'Fixture and LED Schedule'!C:C,""),1),F605),"")</f>
        <v>0</v>
      </c>
      <c r="J605" s="855" t="str">
        <f>IFERROR(IF(PRJ_Type="New Construction",H605,INDEX(yControl_Code,MATCH(Inventory!H605,yControlTypes,0),1)),"")</f>
        <v/>
      </c>
      <c r="K605" s="493"/>
      <c r="L605" s="501"/>
      <c r="M605" s="502"/>
      <c r="N605" s="855">
        <f>IFERROR(IFERROR(INDEX('Fixture and LED Schedule'!D:D,MATCH(K605,'Fixture and LED Schedule'!C:C,0),1),K605),"")</f>
        <v>0</v>
      </c>
      <c r="O605" s="858" t="str">
        <f>IFERROR(INDEX(yControl_Code,MATCH(Inventory!M605,yControlTypes,0),1),"")</f>
        <v/>
      </c>
      <c r="P605" s="860" t="str">
        <f>'Lighting Inventory (Ref only)'!AG608</f>
        <v/>
      </c>
      <c r="Q605" s="861" t="str">
        <f>'Lighting Inventory (Ref only)'!AF608</f>
        <v/>
      </c>
      <c r="R605" s="856" t="str">
        <f t="shared" si="19"/>
        <v/>
      </c>
      <c r="S605" s="856" t="str">
        <f>IFERROR(ROUND(R605*'Project Info and Summary'!$J$5/'Project Info and Summary'!$L$5,2),"")</f>
        <v/>
      </c>
    </row>
    <row r="606" spans="1:19" ht="30" customHeight="1">
      <c r="A606" s="948"/>
      <c r="B606" s="496">
        <f t="shared" si="18"/>
        <v>597</v>
      </c>
      <c r="C606" s="864"/>
      <c r="D606" s="505"/>
      <c r="E606" s="866"/>
      <c r="F606" s="498"/>
      <c r="G606" s="499"/>
      <c r="H606" s="492"/>
      <c r="I606" s="855">
        <f>IFERROR(IFERROR(INDEX('Fixture and LED Schedule'!D:D,MATCH(F606,'Fixture and LED Schedule'!C:C,""),1),F606),"")</f>
        <v>0</v>
      </c>
      <c r="J606" s="855" t="str">
        <f>IFERROR(IF(PRJ_Type="New Construction",H606,INDEX(yControl_Code,MATCH(Inventory!H606,yControlTypes,0),1)),"")</f>
        <v/>
      </c>
      <c r="K606" s="493"/>
      <c r="L606" s="501"/>
      <c r="M606" s="502"/>
      <c r="N606" s="855">
        <f>IFERROR(IFERROR(INDEX('Fixture and LED Schedule'!D:D,MATCH(K606,'Fixture and LED Schedule'!C:C,0),1),K606),"")</f>
        <v>0</v>
      </c>
      <c r="O606" s="858" t="str">
        <f>IFERROR(INDEX(yControl_Code,MATCH(Inventory!M606,yControlTypes,0),1),"")</f>
        <v/>
      </c>
      <c r="P606" s="860" t="str">
        <f>'Lighting Inventory (Ref only)'!AG609</f>
        <v/>
      </c>
      <c r="Q606" s="861" t="str">
        <f>'Lighting Inventory (Ref only)'!AF609</f>
        <v/>
      </c>
      <c r="R606" s="856" t="str">
        <f t="shared" si="19"/>
        <v/>
      </c>
      <c r="S606" s="856" t="str">
        <f>IFERROR(ROUND(R606*'Project Info and Summary'!$J$5/'Project Info and Summary'!$L$5,2),"")</f>
        <v/>
      </c>
    </row>
    <row r="607" spans="1:19" ht="30" customHeight="1">
      <c r="A607" s="948"/>
      <c r="B607" s="496">
        <f t="shared" si="18"/>
        <v>598</v>
      </c>
      <c r="C607" s="864"/>
      <c r="D607" s="505"/>
      <c r="E607" s="866"/>
      <c r="F607" s="498"/>
      <c r="G607" s="499"/>
      <c r="H607" s="492"/>
      <c r="I607" s="855">
        <f>IFERROR(IFERROR(INDEX('Fixture and LED Schedule'!D:D,MATCH(F607,'Fixture and LED Schedule'!C:C,""),1),F607),"")</f>
        <v>0</v>
      </c>
      <c r="J607" s="855" t="str">
        <f>IFERROR(IF(PRJ_Type="New Construction",H607,INDEX(yControl_Code,MATCH(Inventory!H607,yControlTypes,0),1)),"")</f>
        <v/>
      </c>
      <c r="K607" s="493"/>
      <c r="L607" s="501"/>
      <c r="M607" s="502"/>
      <c r="N607" s="855">
        <f>IFERROR(IFERROR(INDEX('Fixture and LED Schedule'!D:D,MATCH(K607,'Fixture and LED Schedule'!C:C,0),1),K607),"")</f>
        <v>0</v>
      </c>
      <c r="O607" s="858" t="str">
        <f>IFERROR(INDEX(yControl_Code,MATCH(Inventory!M607,yControlTypes,0),1),"")</f>
        <v/>
      </c>
      <c r="P607" s="860" t="str">
        <f>'Lighting Inventory (Ref only)'!AG610</f>
        <v/>
      </c>
      <c r="Q607" s="861" t="str">
        <f>'Lighting Inventory (Ref only)'!AF610</f>
        <v/>
      </c>
      <c r="R607" s="856" t="str">
        <f t="shared" si="19"/>
        <v/>
      </c>
      <c r="S607" s="856" t="str">
        <f>IFERROR(ROUND(R607*'Project Info and Summary'!$J$5/'Project Info and Summary'!$L$5,2),"")</f>
        <v/>
      </c>
    </row>
    <row r="608" spans="1:19" ht="30" customHeight="1">
      <c r="A608" s="948"/>
      <c r="B608" s="496">
        <f t="shared" si="18"/>
        <v>599</v>
      </c>
      <c r="C608" s="864"/>
      <c r="D608" s="505"/>
      <c r="E608" s="866"/>
      <c r="F608" s="498"/>
      <c r="G608" s="499"/>
      <c r="H608" s="492"/>
      <c r="I608" s="855">
        <f>IFERROR(IFERROR(INDEX('Fixture and LED Schedule'!D:D,MATCH(F608,'Fixture and LED Schedule'!C:C,""),1),F608),"")</f>
        <v>0</v>
      </c>
      <c r="J608" s="855" t="str">
        <f>IFERROR(IF(PRJ_Type="New Construction",H608,INDEX(yControl_Code,MATCH(Inventory!H608,yControlTypes,0),1)),"")</f>
        <v/>
      </c>
      <c r="K608" s="493"/>
      <c r="L608" s="501"/>
      <c r="M608" s="502"/>
      <c r="N608" s="855">
        <f>IFERROR(IFERROR(INDEX('Fixture and LED Schedule'!D:D,MATCH(K608,'Fixture and LED Schedule'!C:C,0),1),K608),"")</f>
        <v>0</v>
      </c>
      <c r="O608" s="858" t="str">
        <f>IFERROR(INDEX(yControl_Code,MATCH(Inventory!M608,yControlTypes,0),1),"")</f>
        <v/>
      </c>
      <c r="P608" s="860" t="str">
        <f>'Lighting Inventory (Ref only)'!AG611</f>
        <v/>
      </c>
      <c r="Q608" s="861" t="str">
        <f>'Lighting Inventory (Ref only)'!AF611</f>
        <v/>
      </c>
      <c r="R608" s="856" t="str">
        <f t="shared" si="19"/>
        <v/>
      </c>
      <c r="S608" s="856" t="str">
        <f>IFERROR(ROUND(R608*'Project Info and Summary'!$J$5/'Project Info and Summary'!$L$5,2),"")</f>
        <v/>
      </c>
    </row>
    <row r="609" spans="1:19" ht="30" customHeight="1">
      <c r="A609" s="948"/>
      <c r="B609" s="496">
        <f t="shared" si="18"/>
        <v>600</v>
      </c>
      <c r="C609" s="864"/>
      <c r="D609" s="505"/>
      <c r="E609" s="866"/>
      <c r="F609" s="498"/>
      <c r="G609" s="499"/>
      <c r="H609" s="492"/>
      <c r="I609" s="855">
        <f>IFERROR(IFERROR(INDEX('Fixture and LED Schedule'!D:D,MATCH(F609,'Fixture and LED Schedule'!C:C,""),1),F609),"")</f>
        <v>0</v>
      </c>
      <c r="J609" s="855" t="str">
        <f>IFERROR(IF(PRJ_Type="New Construction",H609,INDEX(yControl_Code,MATCH(Inventory!H609,yControlTypes,0),1)),"")</f>
        <v/>
      </c>
      <c r="K609" s="493"/>
      <c r="L609" s="501"/>
      <c r="M609" s="502"/>
      <c r="N609" s="855">
        <f>IFERROR(IFERROR(INDEX('Fixture and LED Schedule'!D:D,MATCH(K609,'Fixture and LED Schedule'!C:C,0),1),K609),"")</f>
        <v>0</v>
      </c>
      <c r="O609" s="858" t="str">
        <f>IFERROR(INDEX(yControl_Code,MATCH(Inventory!M609,yControlTypes,0),1),"")</f>
        <v/>
      </c>
      <c r="P609" s="860" t="str">
        <f>'Lighting Inventory (Ref only)'!AG612</f>
        <v/>
      </c>
      <c r="Q609" s="861" t="str">
        <f>'Lighting Inventory (Ref only)'!AF612</f>
        <v/>
      </c>
      <c r="R609" s="856" t="str">
        <f t="shared" si="19"/>
        <v/>
      </c>
      <c r="S609" s="856" t="str">
        <f>IFERROR(ROUND(R609*'Project Info and Summary'!$J$5/'Project Info and Summary'!$L$5,2),"")</f>
        <v/>
      </c>
    </row>
    <row r="610" spans="1:19" ht="30" customHeight="1">
      <c r="A610" s="948"/>
      <c r="B610" s="496">
        <f t="shared" si="18"/>
        <v>601</v>
      </c>
      <c r="C610" s="864"/>
      <c r="D610" s="505"/>
      <c r="E610" s="866"/>
      <c r="F610" s="498"/>
      <c r="G610" s="499"/>
      <c r="H610" s="492"/>
      <c r="I610" s="855">
        <f>IFERROR(IFERROR(INDEX('Fixture and LED Schedule'!D:D,MATCH(F610,'Fixture and LED Schedule'!C:C,""),1),F610),"")</f>
        <v>0</v>
      </c>
      <c r="J610" s="855" t="str">
        <f>IFERROR(IF(PRJ_Type="New Construction",H610,INDEX(yControl_Code,MATCH(Inventory!H610,yControlTypes,0),1)),"")</f>
        <v/>
      </c>
      <c r="K610" s="493"/>
      <c r="L610" s="501"/>
      <c r="M610" s="502"/>
      <c r="N610" s="855">
        <f>IFERROR(IFERROR(INDEX('Fixture and LED Schedule'!D:D,MATCH(K610,'Fixture and LED Schedule'!C:C,0),1),K610),"")</f>
        <v>0</v>
      </c>
      <c r="O610" s="858" t="str">
        <f>IFERROR(INDEX(yControl_Code,MATCH(Inventory!M610,yControlTypes,0),1),"")</f>
        <v/>
      </c>
      <c r="P610" s="860" t="str">
        <f>'Lighting Inventory (Ref only)'!AG613</f>
        <v/>
      </c>
      <c r="Q610" s="861" t="str">
        <f>'Lighting Inventory (Ref only)'!AF613</f>
        <v/>
      </c>
      <c r="R610" s="856" t="str">
        <f t="shared" si="19"/>
        <v/>
      </c>
      <c r="S610" s="856" t="str">
        <f>IFERROR(ROUND(R610*'Project Info and Summary'!$J$5/'Project Info and Summary'!$L$5,2),"")</f>
        <v/>
      </c>
    </row>
    <row r="611" spans="1:19" ht="30" customHeight="1">
      <c r="A611" s="948"/>
      <c r="B611" s="496">
        <f t="shared" si="18"/>
        <v>602</v>
      </c>
      <c r="C611" s="864"/>
      <c r="D611" s="505"/>
      <c r="E611" s="866"/>
      <c r="F611" s="498"/>
      <c r="G611" s="499"/>
      <c r="H611" s="492"/>
      <c r="I611" s="855">
        <f>IFERROR(IFERROR(INDEX('Fixture and LED Schedule'!D:D,MATCH(F611,'Fixture and LED Schedule'!C:C,""),1),F611),"")</f>
        <v>0</v>
      </c>
      <c r="J611" s="855" t="str">
        <f>IFERROR(IF(PRJ_Type="New Construction",H611,INDEX(yControl_Code,MATCH(Inventory!H611,yControlTypes,0),1)),"")</f>
        <v/>
      </c>
      <c r="K611" s="493"/>
      <c r="L611" s="501"/>
      <c r="M611" s="502"/>
      <c r="N611" s="855">
        <f>IFERROR(IFERROR(INDEX('Fixture and LED Schedule'!D:D,MATCH(K611,'Fixture and LED Schedule'!C:C,0),1),K611),"")</f>
        <v>0</v>
      </c>
      <c r="O611" s="858" t="str">
        <f>IFERROR(INDEX(yControl_Code,MATCH(Inventory!M611,yControlTypes,0),1),"")</f>
        <v/>
      </c>
      <c r="P611" s="860" t="str">
        <f>'Lighting Inventory (Ref only)'!AG614</f>
        <v/>
      </c>
      <c r="Q611" s="861" t="str">
        <f>'Lighting Inventory (Ref only)'!AF614</f>
        <v/>
      </c>
      <c r="R611" s="856" t="str">
        <f t="shared" si="19"/>
        <v/>
      </c>
      <c r="S611" s="856" t="str">
        <f>IFERROR(ROUND(R611*'Project Info and Summary'!$J$5/'Project Info and Summary'!$L$5,2),"")</f>
        <v/>
      </c>
    </row>
    <row r="612" spans="1:19" ht="30" customHeight="1">
      <c r="A612" s="948"/>
      <c r="B612" s="496">
        <f t="shared" si="18"/>
        <v>603</v>
      </c>
      <c r="C612" s="864"/>
      <c r="D612" s="505"/>
      <c r="E612" s="866"/>
      <c r="F612" s="498"/>
      <c r="G612" s="499"/>
      <c r="H612" s="492"/>
      <c r="I612" s="855">
        <f>IFERROR(IFERROR(INDEX('Fixture and LED Schedule'!D:D,MATCH(F612,'Fixture and LED Schedule'!C:C,""),1),F612),"")</f>
        <v>0</v>
      </c>
      <c r="J612" s="855" t="str">
        <f>IFERROR(IF(PRJ_Type="New Construction",H612,INDEX(yControl_Code,MATCH(Inventory!H612,yControlTypes,0),1)),"")</f>
        <v/>
      </c>
      <c r="K612" s="493"/>
      <c r="L612" s="501"/>
      <c r="M612" s="502"/>
      <c r="N612" s="855">
        <f>IFERROR(IFERROR(INDEX('Fixture and LED Schedule'!D:D,MATCH(K612,'Fixture and LED Schedule'!C:C,0),1),K612),"")</f>
        <v>0</v>
      </c>
      <c r="O612" s="858" t="str">
        <f>IFERROR(INDEX(yControl_Code,MATCH(Inventory!M612,yControlTypes,0),1),"")</f>
        <v/>
      </c>
      <c r="P612" s="860" t="str">
        <f>'Lighting Inventory (Ref only)'!AG615</f>
        <v/>
      </c>
      <c r="Q612" s="861" t="str">
        <f>'Lighting Inventory (Ref only)'!AF615</f>
        <v/>
      </c>
      <c r="R612" s="856" t="str">
        <f t="shared" si="19"/>
        <v/>
      </c>
      <c r="S612" s="856" t="str">
        <f>IFERROR(ROUND(R612*'Project Info and Summary'!$J$5/'Project Info and Summary'!$L$5,2),"")</f>
        <v/>
      </c>
    </row>
    <row r="613" spans="1:19" ht="30" customHeight="1">
      <c r="A613" s="948"/>
      <c r="B613" s="496">
        <f t="shared" si="18"/>
        <v>604</v>
      </c>
      <c r="C613" s="864"/>
      <c r="D613" s="505"/>
      <c r="E613" s="866"/>
      <c r="F613" s="498"/>
      <c r="G613" s="499"/>
      <c r="H613" s="492"/>
      <c r="I613" s="855">
        <f>IFERROR(IFERROR(INDEX('Fixture and LED Schedule'!D:D,MATCH(F613,'Fixture and LED Schedule'!C:C,""),1),F613),"")</f>
        <v>0</v>
      </c>
      <c r="J613" s="855" t="str">
        <f>IFERROR(IF(PRJ_Type="New Construction",H613,INDEX(yControl_Code,MATCH(Inventory!H613,yControlTypes,0),1)),"")</f>
        <v/>
      </c>
      <c r="K613" s="493"/>
      <c r="L613" s="501"/>
      <c r="M613" s="502"/>
      <c r="N613" s="855">
        <f>IFERROR(IFERROR(INDEX('Fixture and LED Schedule'!D:D,MATCH(K613,'Fixture and LED Schedule'!C:C,0),1),K613),"")</f>
        <v>0</v>
      </c>
      <c r="O613" s="858" t="str">
        <f>IFERROR(INDEX(yControl_Code,MATCH(Inventory!M613,yControlTypes,0),1),"")</f>
        <v/>
      </c>
      <c r="P613" s="860" t="str">
        <f>'Lighting Inventory (Ref only)'!AG616</f>
        <v/>
      </c>
      <c r="Q613" s="861" t="str">
        <f>'Lighting Inventory (Ref only)'!AF616</f>
        <v/>
      </c>
      <c r="R613" s="856" t="str">
        <f t="shared" si="19"/>
        <v/>
      </c>
      <c r="S613" s="856" t="str">
        <f>IFERROR(ROUND(R613*'Project Info and Summary'!$J$5/'Project Info and Summary'!$L$5,2),"")</f>
        <v/>
      </c>
    </row>
    <row r="614" spans="1:19" ht="30" customHeight="1">
      <c r="A614" s="948"/>
      <c r="B614" s="496">
        <f t="shared" si="18"/>
        <v>605</v>
      </c>
      <c r="C614" s="864"/>
      <c r="D614" s="505"/>
      <c r="E614" s="866"/>
      <c r="F614" s="498"/>
      <c r="G614" s="499"/>
      <c r="H614" s="492"/>
      <c r="I614" s="855">
        <f>IFERROR(IFERROR(INDEX('Fixture and LED Schedule'!D:D,MATCH(F614,'Fixture and LED Schedule'!C:C,""),1),F614),"")</f>
        <v>0</v>
      </c>
      <c r="J614" s="855" t="str">
        <f>IFERROR(IF(PRJ_Type="New Construction",H614,INDEX(yControl_Code,MATCH(Inventory!H614,yControlTypes,0),1)),"")</f>
        <v/>
      </c>
      <c r="K614" s="493"/>
      <c r="L614" s="501"/>
      <c r="M614" s="502"/>
      <c r="N614" s="855">
        <f>IFERROR(IFERROR(INDEX('Fixture and LED Schedule'!D:D,MATCH(K614,'Fixture and LED Schedule'!C:C,0),1),K614),"")</f>
        <v>0</v>
      </c>
      <c r="O614" s="858" t="str">
        <f>IFERROR(INDEX(yControl_Code,MATCH(Inventory!M614,yControlTypes,0),1),"")</f>
        <v/>
      </c>
      <c r="P614" s="860" t="str">
        <f>'Lighting Inventory (Ref only)'!AG617</f>
        <v/>
      </c>
      <c r="Q614" s="861" t="str">
        <f>'Lighting Inventory (Ref only)'!AF617</f>
        <v/>
      </c>
      <c r="R614" s="856" t="str">
        <f t="shared" si="19"/>
        <v/>
      </c>
      <c r="S614" s="856" t="str">
        <f>IFERROR(ROUND(R614*'Project Info and Summary'!$J$5/'Project Info and Summary'!$L$5,2),"")</f>
        <v/>
      </c>
    </row>
    <row r="615" spans="1:19" ht="30" customHeight="1">
      <c r="A615" s="948"/>
      <c r="B615" s="496">
        <f t="shared" si="18"/>
        <v>606</v>
      </c>
      <c r="C615" s="864"/>
      <c r="D615" s="505"/>
      <c r="E615" s="866"/>
      <c r="F615" s="498"/>
      <c r="G615" s="499"/>
      <c r="H615" s="492"/>
      <c r="I615" s="855">
        <f>IFERROR(IFERROR(INDEX('Fixture and LED Schedule'!D:D,MATCH(F615,'Fixture and LED Schedule'!C:C,""),1),F615),"")</f>
        <v>0</v>
      </c>
      <c r="J615" s="855" t="str">
        <f>IFERROR(IF(PRJ_Type="New Construction",H615,INDEX(yControl_Code,MATCH(Inventory!H615,yControlTypes,0),1)),"")</f>
        <v/>
      </c>
      <c r="K615" s="493"/>
      <c r="L615" s="501"/>
      <c r="M615" s="502"/>
      <c r="N615" s="855">
        <f>IFERROR(IFERROR(INDEX('Fixture and LED Schedule'!D:D,MATCH(K615,'Fixture and LED Schedule'!C:C,0),1),K615),"")</f>
        <v>0</v>
      </c>
      <c r="O615" s="858" t="str">
        <f>IFERROR(INDEX(yControl_Code,MATCH(Inventory!M615,yControlTypes,0),1),"")</f>
        <v/>
      </c>
      <c r="P615" s="860" t="str">
        <f>'Lighting Inventory (Ref only)'!AG618</f>
        <v/>
      </c>
      <c r="Q615" s="861" t="str">
        <f>'Lighting Inventory (Ref only)'!AF618</f>
        <v/>
      </c>
      <c r="R615" s="856" t="str">
        <f t="shared" si="19"/>
        <v/>
      </c>
      <c r="S615" s="856" t="str">
        <f>IFERROR(ROUND(R615*'Project Info and Summary'!$J$5/'Project Info and Summary'!$L$5,2),"")</f>
        <v/>
      </c>
    </row>
    <row r="616" spans="1:19" ht="30" customHeight="1">
      <c r="A616" s="948"/>
      <c r="B616" s="496">
        <f t="shared" si="18"/>
        <v>607</v>
      </c>
      <c r="C616" s="864"/>
      <c r="D616" s="505"/>
      <c r="E616" s="866"/>
      <c r="F616" s="498"/>
      <c r="G616" s="499"/>
      <c r="H616" s="492"/>
      <c r="I616" s="855">
        <f>IFERROR(IFERROR(INDEX('Fixture and LED Schedule'!D:D,MATCH(F616,'Fixture and LED Schedule'!C:C,""),1),F616),"")</f>
        <v>0</v>
      </c>
      <c r="J616" s="855" t="str">
        <f>IFERROR(IF(PRJ_Type="New Construction",H616,INDEX(yControl_Code,MATCH(Inventory!H616,yControlTypes,0),1)),"")</f>
        <v/>
      </c>
      <c r="K616" s="493"/>
      <c r="L616" s="501"/>
      <c r="M616" s="502"/>
      <c r="N616" s="855">
        <f>IFERROR(IFERROR(INDEX('Fixture and LED Schedule'!D:D,MATCH(K616,'Fixture and LED Schedule'!C:C,0),1),K616),"")</f>
        <v>0</v>
      </c>
      <c r="O616" s="858" t="str">
        <f>IFERROR(INDEX(yControl_Code,MATCH(Inventory!M616,yControlTypes,0),1),"")</f>
        <v/>
      </c>
      <c r="P616" s="860" t="str">
        <f>'Lighting Inventory (Ref only)'!AG619</f>
        <v/>
      </c>
      <c r="Q616" s="861" t="str">
        <f>'Lighting Inventory (Ref only)'!AF619</f>
        <v/>
      </c>
      <c r="R616" s="856" t="str">
        <f t="shared" si="19"/>
        <v/>
      </c>
      <c r="S616" s="856" t="str">
        <f>IFERROR(ROUND(R616*'Project Info and Summary'!$J$5/'Project Info and Summary'!$L$5,2),"")</f>
        <v/>
      </c>
    </row>
    <row r="617" spans="1:19" ht="30" customHeight="1">
      <c r="A617" s="948"/>
      <c r="B617" s="496">
        <f t="shared" si="18"/>
        <v>608</v>
      </c>
      <c r="C617" s="864"/>
      <c r="D617" s="505"/>
      <c r="E617" s="866"/>
      <c r="F617" s="498"/>
      <c r="G617" s="499"/>
      <c r="H617" s="492"/>
      <c r="I617" s="855">
        <f>IFERROR(IFERROR(INDEX('Fixture and LED Schedule'!D:D,MATCH(F617,'Fixture and LED Schedule'!C:C,""),1),F617),"")</f>
        <v>0</v>
      </c>
      <c r="J617" s="855" t="str">
        <f>IFERROR(IF(PRJ_Type="New Construction",H617,INDEX(yControl_Code,MATCH(Inventory!H617,yControlTypes,0),1)),"")</f>
        <v/>
      </c>
      <c r="K617" s="493"/>
      <c r="L617" s="501"/>
      <c r="M617" s="502"/>
      <c r="N617" s="855">
        <f>IFERROR(IFERROR(INDEX('Fixture and LED Schedule'!D:D,MATCH(K617,'Fixture and LED Schedule'!C:C,0),1),K617),"")</f>
        <v>0</v>
      </c>
      <c r="O617" s="858" t="str">
        <f>IFERROR(INDEX(yControl_Code,MATCH(Inventory!M617,yControlTypes,0),1),"")</f>
        <v/>
      </c>
      <c r="P617" s="860" t="str">
        <f>'Lighting Inventory (Ref only)'!AG620</f>
        <v/>
      </c>
      <c r="Q617" s="861" t="str">
        <f>'Lighting Inventory (Ref only)'!AF620</f>
        <v/>
      </c>
      <c r="R617" s="856" t="str">
        <f t="shared" si="19"/>
        <v/>
      </c>
      <c r="S617" s="856" t="str">
        <f>IFERROR(ROUND(R617*'Project Info and Summary'!$J$5/'Project Info and Summary'!$L$5,2),"")</f>
        <v/>
      </c>
    </row>
    <row r="618" spans="1:19" ht="30" customHeight="1">
      <c r="A618" s="948"/>
      <c r="B618" s="496">
        <f t="shared" si="18"/>
        <v>609</v>
      </c>
      <c r="C618" s="864"/>
      <c r="D618" s="505"/>
      <c r="E618" s="866"/>
      <c r="F618" s="498"/>
      <c r="G618" s="499"/>
      <c r="H618" s="492"/>
      <c r="I618" s="855">
        <f>IFERROR(IFERROR(INDEX('Fixture and LED Schedule'!D:D,MATCH(F618,'Fixture and LED Schedule'!C:C,""),1),F618),"")</f>
        <v>0</v>
      </c>
      <c r="J618" s="855" t="str">
        <f>IFERROR(IF(PRJ_Type="New Construction",H618,INDEX(yControl_Code,MATCH(Inventory!H618,yControlTypes,0),1)),"")</f>
        <v/>
      </c>
      <c r="K618" s="493"/>
      <c r="L618" s="501"/>
      <c r="M618" s="502"/>
      <c r="N618" s="855">
        <f>IFERROR(IFERROR(INDEX('Fixture and LED Schedule'!D:D,MATCH(K618,'Fixture and LED Schedule'!C:C,0),1),K618),"")</f>
        <v>0</v>
      </c>
      <c r="O618" s="858" t="str">
        <f>IFERROR(INDEX(yControl_Code,MATCH(Inventory!M618,yControlTypes,0),1),"")</f>
        <v/>
      </c>
      <c r="P618" s="860" t="str">
        <f>'Lighting Inventory (Ref only)'!AG621</f>
        <v/>
      </c>
      <c r="Q618" s="861" t="str">
        <f>'Lighting Inventory (Ref only)'!AF621</f>
        <v/>
      </c>
      <c r="R618" s="856" t="str">
        <f t="shared" si="19"/>
        <v/>
      </c>
      <c r="S618" s="856" t="str">
        <f>IFERROR(ROUND(R618*'Project Info and Summary'!$J$5/'Project Info and Summary'!$L$5,2),"")</f>
        <v/>
      </c>
    </row>
    <row r="619" spans="1:19" ht="30" customHeight="1">
      <c r="A619" s="948"/>
      <c r="B619" s="496">
        <f t="shared" si="18"/>
        <v>610</v>
      </c>
      <c r="C619" s="864"/>
      <c r="D619" s="505"/>
      <c r="E619" s="866"/>
      <c r="F619" s="498"/>
      <c r="G619" s="499"/>
      <c r="H619" s="492"/>
      <c r="I619" s="855">
        <f>IFERROR(IFERROR(INDEX('Fixture and LED Schedule'!D:D,MATCH(F619,'Fixture and LED Schedule'!C:C,""),1),F619),"")</f>
        <v>0</v>
      </c>
      <c r="J619" s="855" t="str">
        <f>IFERROR(IF(PRJ_Type="New Construction",H619,INDEX(yControl_Code,MATCH(Inventory!H619,yControlTypes,0),1)),"")</f>
        <v/>
      </c>
      <c r="K619" s="493"/>
      <c r="L619" s="501"/>
      <c r="M619" s="502"/>
      <c r="N619" s="855">
        <f>IFERROR(IFERROR(INDEX('Fixture and LED Schedule'!D:D,MATCH(K619,'Fixture and LED Schedule'!C:C,0),1),K619),"")</f>
        <v>0</v>
      </c>
      <c r="O619" s="858" t="str">
        <f>IFERROR(INDEX(yControl_Code,MATCH(Inventory!M619,yControlTypes,0),1),"")</f>
        <v/>
      </c>
      <c r="P619" s="860" t="str">
        <f>'Lighting Inventory (Ref only)'!AG622</f>
        <v/>
      </c>
      <c r="Q619" s="861" t="str">
        <f>'Lighting Inventory (Ref only)'!AF622</f>
        <v/>
      </c>
      <c r="R619" s="856" t="str">
        <f t="shared" si="19"/>
        <v/>
      </c>
      <c r="S619" s="856" t="str">
        <f>IFERROR(ROUND(R619*'Project Info and Summary'!$J$5/'Project Info and Summary'!$L$5,2),"")</f>
        <v/>
      </c>
    </row>
    <row r="620" spans="1:19" ht="30" customHeight="1">
      <c r="A620" s="948"/>
      <c r="B620" s="496">
        <f t="shared" si="18"/>
        <v>611</v>
      </c>
      <c r="C620" s="864"/>
      <c r="D620" s="505"/>
      <c r="E620" s="866"/>
      <c r="F620" s="498"/>
      <c r="G620" s="499"/>
      <c r="H620" s="492"/>
      <c r="I620" s="855">
        <f>IFERROR(IFERROR(INDEX('Fixture and LED Schedule'!D:D,MATCH(F620,'Fixture and LED Schedule'!C:C,""),1),F620),"")</f>
        <v>0</v>
      </c>
      <c r="J620" s="855" t="str">
        <f>IFERROR(IF(PRJ_Type="New Construction",H620,INDEX(yControl_Code,MATCH(Inventory!H620,yControlTypes,0),1)),"")</f>
        <v/>
      </c>
      <c r="K620" s="493"/>
      <c r="L620" s="501"/>
      <c r="M620" s="502"/>
      <c r="N620" s="855">
        <f>IFERROR(IFERROR(INDEX('Fixture and LED Schedule'!D:D,MATCH(K620,'Fixture and LED Schedule'!C:C,0),1),K620),"")</f>
        <v>0</v>
      </c>
      <c r="O620" s="858" t="str">
        <f>IFERROR(INDEX(yControl_Code,MATCH(Inventory!M620,yControlTypes,0),1),"")</f>
        <v/>
      </c>
      <c r="P620" s="860" t="str">
        <f>'Lighting Inventory (Ref only)'!AG623</f>
        <v/>
      </c>
      <c r="Q620" s="861" t="str">
        <f>'Lighting Inventory (Ref only)'!AF623</f>
        <v/>
      </c>
      <c r="R620" s="856" t="str">
        <f t="shared" si="19"/>
        <v/>
      </c>
      <c r="S620" s="856" t="str">
        <f>IFERROR(ROUND(R620*'Project Info and Summary'!$J$5/'Project Info and Summary'!$L$5,2),"")</f>
        <v/>
      </c>
    </row>
    <row r="621" spans="1:19" ht="30" customHeight="1">
      <c r="A621" s="948"/>
      <c r="B621" s="496">
        <f t="shared" si="18"/>
        <v>612</v>
      </c>
      <c r="C621" s="864"/>
      <c r="D621" s="505"/>
      <c r="E621" s="866"/>
      <c r="F621" s="498"/>
      <c r="G621" s="499"/>
      <c r="H621" s="492"/>
      <c r="I621" s="855">
        <f>IFERROR(IFERROR(INDEX('Fixture and LED Schedule'!D:D,MATCH(F621,'Fixture and LED Schedule'!C:C,""),1),F621),"")</f>
        <v>0</v>
      </c>
      <c r="J621" s="855" t="str">
        <f>IFERROR(IF(PRJ_Type="New Construction",H621,INDEX(yControl_Code,MATCH(Inventory!H621,yControlTypes,0),1)),"")</f>
        <v/>
      </c>
      <c r="K621" s="493"/>
      <c r="L621" s="501"/>
      <c r="M621" s="502"/>
      <c r="N621" s="855">
        <f>IFERROR(IFERROR(INDEX('Fixture and LED Schedule'!D:D,MATCH(K621,'Fixture and LED Schedule'!C:C,0),1),K621),"")</f>
        <v>0</v>
      </c>
      <c r="O621" s="858" t="str">
        <f>IFERROR(INDEX(yControl_Code,MATCH(Inventory!M621,yControlTypes,0),1),"")</f>
        <v/>
      </c>
      <c r="P621" s="860" t="str">
        <f>'Lighting Inventory (Ref only)'!AG624</f>
        <v/>
      </c>
      <c r="Q621" s="861" t="str">
        <f>'Lighting Inventory (Ref only)'!AF624</f>
        <v/>
      </c>
      <c r="R621" s="856" t="str">
        <f t="shared" si="19"/>
        <v/>
      </c>
      <c r="S621" s="856" t="str">
        <f>IFERROR(ROUND(R621*'Project Info and Summary'!$J$5/'Project Info and Summary'!$L$5,2),"")</f>
        <v/>
      </c>
    </row>
    <row r="622" spans="1:19" ht="30" customHeight="1">
      <c r="A622" s="948"/>
      <c r="B622" s="496">
        <f t="shared" si="18"/>
        <v>613</v>
      </c>
      <c r="C622" s="864"/>
      <c r="D622" s="505"/>
      <c r="E622" s="866"/>
      <c r="F622" s="498"/>
      <c r="G622" s="499"/>
      <c r="H622" s="492"/>
      <c r="I622" s="855">
        <f>IFERROR(IFERROR(INDEX('Fixture and LED Schedule'!D:D,MATCH(F622,'Fixture and LED Schedule'!C:C,""),1),F622),"")</f>
        <v>0</v>
      </c>
      <c r="J622" s="855" t="str">
        <f>IFERROR(IF(PRJ_Type="New Construction",H622,INDEX(yControl_Code,MATCH(Inventory!H622,yControlTypes,0),1)),"")</f>
        <v/>
      </c>
      <c r="K622" s="493"/>
      <c r="L622" s="501"/>
      <c r="M622" s="502"/>
      <c r="N622" s="855">
        <f>IFERROR(IFERROR(INDEX('Fixture and LED Schedule'!D:D,MATCH(K622,'Fixture and LED Schedule'!C:C,0),1),K622),"")</f>
        <v>0</v>
      </c>
      <c r="O622" s="858" t="str">
        <f>IFERROR(INDEX(yControl_Code,MATCH(Inventory!M622,yControlTypes,0),1),"")</f>
        <v/>
      </c>
      <c r="P622" s="860" t="str">
        <f>'Lighting Inventory (Ref only)'!AG625</f>
        <v/>
      </c>
      <c r="Q622" s="861" t="str">
        <f>'Lighting Inventory (Ref only)'!AF625</f>
        <v/>
      </c>
      <c r="R622" s="856" t="str">
        <f t="shared" si="19"/>
        <v/>
      </c>
      <c r="S622" s="856" t="str">
        <f>IFERROR(ROUND(R622*'Project Info and Summary'!$J$5/'Project Info and Summary'!$L$5,2),"")</f>
        <v/>
      </c>
    </row>
    <row r="623" spans="1:19" ht="30" customHeight="1">
      <c r="A623" s="948"/>
      <c r="B623" s="496">
        <f t="shared" si="18"/>
        <v>614</v>
      </c>
      <c r="C623" s="864"/>
      <c r="D623" s="505"/>
      <c r="E623" s="866"/>
      <c r="F623" s="498"/>
      <c r="G623" s="499"/>
      <c r="H623" s="492"/>
      <c r="I623" s="855">
        <f>IFERROR(IFERROR(INDEX('Fixture and LED Schedule'!D:D,MATCH(F623,'Fixture and LED Schedule'!C:C,""),1),F623),"")</f>
        <v>0</v>
      </c>
      <c r="J623" s="855" t="str">
        <f>IFERROR(IF(PRJ_Type="New Construction",H623,INDEX(yControl_Code,MATCH(Inventory!H623,yControlTypes,0),1)),"")</f>
        <v/>
      </c>
      <c r="K623" s="493"/>
      <c r="L623" s="501"/>
      <c r="M623" s="502"/>
      <c r="N623" s="855">
        <f>IFERROR(IFERROR(INDEX('Fixture and LED Schedule'!D:D,MATCH(K623,'Fixture and LED Schedule'!C:C,0),1),K623),"")</f>
        <v>0</v>
      </c>
      <c r="O623" s="858" t="str">
        <f>IFERROR(INDEX(yControl_Code,MATCH(Inventory!M623,yControlTypes,0),1),"")</f>
        <v/>
      </c>
      <c r="P623" s="860" t="str">
        <f>'Lighting Inventory (Ref only)'!AG626</f>
        <v/>
      </c>
      <c r="Q623" s="861" t="str">
        <f>'Lighting Inventory (Ref only)'!AF626</f>
        <v/>
      </c>
      <c r="R623" s="856" t="str">
        <f t="shared" si="19"/>
        <v/>
      </c>
      <c r="S623" s="856" t="str">
        <f>IFERROR(ROUND(R623*'Project Info and Summary'!$J$5/'Project Info and Summary'!$L$5,2),"")</f>
        <v/>
      </c>
    </row>
    <row r="624" spans="1:19" ht="30" customHeight="1">
      <c r="A624" s="948"/>
      <c r="B624" s="496">
        <f t="shared" si="18"/>
        <v>615</v>
      </c>
      <c r="C624" s="864"/>
      <c r="D624" s="505"/>
      <c r="E624" s="866"/>
      <c r="F624" s="498"/>
      <c r="G624" s="499"/>
      <c r="H624" s="492"/>
      <c r="I624" s="855">
        <f>IFERROR(IFERROR(INDEX('Fixture and LED Schedule'!D:D,MATCH(F624,'Fixture and LED Schedule'!C:C,""),1),F624),"")</f>
        <v>0</v>
      </c>
      <c r="J624" s="855" t="str">
        <f>IFERROR(IF(PRJ_Type="New Construction",H624,INDEX(yControl_Code,MATCH(Inventory!H624,yControlTypes,0),1)),"")</f>
        <v/>
      </c>
      <c r="K624" s="493"/>
      <c r="L624" s="501"/>
      <c r="M624" s="502"/>
      <c r="N624" s="855">
        <f>IFERROR(IFERROR(INDEX('Fixture and LED Schedule'!D:D,MATCH(K624,'Fixture and LED Schedule'!C:C,0),1),K624),"")</f>
        <v>0</v>
      </c>
      <c r="O624" s="858" t="str">
        <f>IFERROR(INDEX(yControl_Code,MATCH(Inventory!M624,yControlTypes,0),1),"")</f>
        <v/>
      </c>
      <c r="P624" s="860" t="str">
        <f>'Lighting Inventory (Ref only)'!AG627</f>
        <v/>
      </c>
      <c r="Q624" s="861" t="str">
        <f>'Lighting Inventory (Ref only)'!AF627</f>
        <v/>
      </c>
      <c r="R624" s="856" t="str">
        <f t="shared" si="19"/>
        <v/>
      </c>
      <c r="S624" s="856" t="str">
        <f>IFERROR(ROUND(R624*'Project Info and Summary'!$J$5/'Project Info and Summary'!$L$5,2),"")</f>
        <v/>
      </c>
    </row>
    <row r="625" spans="1:19" ht="30" customHeight="1">
      <c r="A625" s="948"/>
      <c r="B625" s="496">
        <f t="shared" si="18"/>
        <v>616</v>
      </c>
      <c r="C625" s="864"/>
      <c r="D625" s="505"/>
      <c r="E625" s="866"/>
      <c r="F625" s="498"/>
      <c r="G625" s="499"/>
      <c r="H625" s="492"/>
      <c r="I625" s="855">
        <f>IFERROR(IFERROR(INDEX('Fixture and LED Schedule'!D:D,MATCH(F625,'Fixture and LED Schedule'!C:C,""),1),F625),"")</f>
        <v>0</v>
      </c>
      <c r="J625" s="855" t="str">
        <f>IFERROR(IF(PRJ_Type="New Construction",H625,INDEX(yControl_Code,MATCH(Inventory!H625,yControlTypes,0),1)),"")</f>
        <v/>
      </c>
      <c r="K625" s="493"/>
      <c r="L625" s="501"/>
      <c r="M625" s="502"/>
      <c r="N625" s="855">
        <f>IFERROR(IFERROR(INDEX('Fixture and LED Schedule'!D:D,MATCH(K625,'Fixture and LED Schedule'!C:C,0),1),K625),"")</f>
        <v>0</v>
      </c>
      <c r="O625" s="858" t="str">
        <f>IFERROR(INDEX(yControl_Code,MATCH(Inventory!M625,yControlTypes,0),1),"")</f>
        <v/>
      </c>
      <c r="P625" s="860" t="str">
        <f>'Lighting Inventory (Ref only)'!AG628</f>
        <v/>
      </c>
      <c r="Q625" s="861" t="str">
        <f>'Lighting Inventory (Ref only)'!AF628</f>
        <v/>
      </c>
      <c r="R625" s="856" t="str">
        <f t="shared" si="19"/>
        <v/>
      </c>
      <c r="S625" s="856" t="str">
        <f>IFERROR(ROUND(R625*'Project Info and Summary'!$J$5/'Project Info and Summary'!$L$5,2),"")</f>
        <v/>
      </c>
    </row>
    <row r="626" spans="1:19" ht="30" customHeight="1">
      <c r="A626" s="948"/>
      <c r="B626" s="496">
        <f t="shared" si="18"/>
        <v>617</v>
      </c>
      <c r="C626" s="864"/>
      <c r="D626" s="505"/>
      <c r="E626" s="866"/>
      <c r="F626" s="498"/>
      <c r="G626" s="499"/>
      <c r="H626" s="492"/>
      <c r="I626" s="855">
        <f>IFERROR(IFERROR(INDEX('Fixture and LED Schedule'!D:D,MATCH(F626,'Fixture and LED Schedule'!C:C,""),1),F626),"")</f>
        <v>0</v>
      </c>
      <c r="J626" s="855" t="str">
        <f>IFERROR(IF(PRJ_Type="New Construction",H626,INDEX(yControl_Code,MATCH(Inventory!H626,yControlTypes,0),1)),"")</f>
        <v/>
      </c>
      <c r="K626" s="493"/>
      <c r="L626" s="501"/>
      <c r="M626" s="502"/>
      <c r="N626" s="855">
        <f>IFERROR(IFERROR(INDEX('Fixture and LED Schedule'!D:D,MATCH(K626,'Fixture and LED Schedule'!C:C,0),1),K626),"")</f>
        <v>0</v>
      </c>
      <c r="O626" s="858" t="str">
        <f>IFERROR(INDEX(yControl_Code,MATCH(Inventory!M626,yControlTypes,0),1),"")</f>
        <v/>
      </c>
      <c r="P626" s="860" t="str">
        <f>'Lighting Inventory (Ref only)'!AG629</f>
        <v/>
      </c>
      <c r="Q626" s="861" t="str">
        <f>'Lighting Inventory (Ref only)'!AF629</f>
        <v/>
      </c>
      <c r="R626" s="856" t="str">
        <f t="shared" si="19"/>
        <v/>
      </c>
      <c r="S626" s="856" t="str">
        <f>IFERROR(ROUND(R626*'Project Info and Summary'!$J$5/'Project Info and Summary'!$L$5,2),"")</f>
        <v/>
      </c>
    </row>
    <row r="627" spans="1:19" ht="30" customHeight="1">
      <c r="A627" s="948"/>
      <c r="B627" s="496">
        <f t="shared" si="18"/>
        <v>618</v>
      </c>
      <c r="C627" s="864"/>
      <c r="D627" s="505"/>
      <c r="E627" s="866"/>
      <c r="F627" s="498"/>
      <c r="G627" s="499"/>
      <c r="H627" s="492"/>
      <c r="I627" s="855">
        <f>IFERROR(IFERROR(INDEX('Fixture and LED Schedule'!D:D,MATCH(F627,'Fixture and LED Schedule'!C:C,""),1),F627),"")</f>
        <v>0</v>
      </c>
      <c r="J627" s="855" t="str">
        <f>IFERROR(IF(PRJ_Type="New Construction",H627,INDEX(yControl_Code,MATCH(Inventory!H627,yControlTypes,0),1)),"")</f>
        <v/>
      </c>
      <c r="K627" s="493"/>
      <c r="L627" s="501"/>
      <c r="M627" s="502"/>
      <c r="N627" s="855">
        <f>IFERROR(IFERROR(INDEX('Fixture and LED Schedule'!D:D,MATCH(K627,'Fixture and LED Schedule'!C:C,0),1),K627),"")</f>
        <v>0</v>
      </c>
      <c r="O627" s="858" t="str">
        <f>IFERROR(INDEX(yControl_Code,MATCH(Inventory!M627,yControlTypes,0),1),"")</f>
        <v/>
      </c>
      <c r="P627" s="860" t="str">
        <f>'Lighting Inventory (Ref only)'!AG630</f>
        <v/>
      </c>
      <c r="Q627" s="861" t="str">
        <f>'Lighting Inventory (Ref only)'!AF630</f>
        <v/>
      </c>
      <c r="R627" s="856" t="str">
        <f t="shared" si="19"/>
        <v/>
      </c>
      <c r="S627" s="856" t="str">
        <f>IFERROR(ROUND(R627*'Project Info and Summary'!$J$5/'Project Info and Summary'!$L$5,2),"")</f>
        <v/>
      </c>
    </row>
    <row r="628" spans="1:19" ht="30" customHeight="1">
      <c r="A628" s="948"/>
      <c r="B628" s="496">
        <f t="shared" si="18"/>
        <v>619</v>
      </c>
      <c r="C628" s="864"/>
      <c r="D628" s="505"/>
      <c r="E628" s="866"/>
      <c r="F628" s="498"/>
      <c r="G628" s="499"/>
      <c r="H628" s="492"/>
      <c r="I628" s="855">
        <f>IFERROR(IFERROR(INDEX('Fixture and LED Schedule'!D:D,MATCH(F628,'Fixture and LED Schedule'!C:C,""),1),F628),"")</f>
        <v>0</v>
      </c>
      <c r="J628" s="855" t="str">
        <f>IFERROR(IF(PRJ_Type="New Construction",H628,INDEX(yControl_Code,MATCH(Inventory!H628,yControlTypes,0),1)),"")</f>
        <v/>
      </c>
      <c r="K628" s="493"/>
      <c r="L628" s="501"/>
      <c r="M628" s="502"/>
      <c r="N628" s="855">
        <f>IFERROR(IFERROR(INDEX('Fixture and LED Schedule'!D:D,MATCH(K628,'Fixture and LED Schedule'!C:C,0),1),K628),"")</f>
        <v>0</v>
      </c>
      <c r="O628" s="858" t="str">
        <f>IFERROR(INDEX(yControl_Code,MATCH(Inventory!M628,yControlTypes,0),1),"")</f>
        <v/>
      </c>
      <c r="P628" s="860" t="str">
        <f>'Lighting Inventory (Ref only)'!AG631</f>
        <v/>
      </c>
      <c r="Q628" s="861" t="str">
        <f>'Lighting Inventory (Ref only)'!AF631</f>
        <v/>
      </c>
      <c r="R628" s="856" t="str">
        <f t="shared" si="19"/>
        <v/>
      </c>
      <c r="S628" s="856" t="str">
        <f>IFERROR(ROUND(R628*'Project Info and Summary'!$J$5/'Project Info and Summary'!$L$5,2),"")</f>
        <v/>
      </c>
    </row>
    <row r="629" spans="1:19" ht="30" customHeight="1">
      <c r="A629" s="948"/>
      <c r="B629" s="496">
        <f t="shared" si="18"/>
        <v>620</v>
      </c>
      <c r="C629" s="864"/>
      <c r="D629" s="505"/>
      <c r="E629" s="866"/>
      <c r="F629" s="498"/>
      <c r="G629" s="499"/>
      <c r="H629" s="492"/>
      <c r="I629" s="855">
        <f>IFERROR(IFERROR(INDEX('Fixture and LED Schedule'!D:D,MATCH(F629,'Fixture and LED Schedule'!C:C,""),1),F629),"")</f>
        <v>0</v>
      </c>
      <c r="J629" s="855" t="str">
        <f>IFERROR(IF(PRJ_Type="New Construction",H629,INDEX(yControl_Code,MATCH(Inventory!H629,yControlTypes,0),1)),"")</f>
        <v/>
      </c>
      <c r="K629" s="493"/>
      <c r="L629" s="501"/>
      <c r="M629" s="502"/>
      <c r="N629" s="855">
        <f>IFERROR(IFERROR(INDEX('Fixture and LED Schedule'!D:D,MATCH(K629,'Fixture and LED Schedule'!C:C,0),1),K629),"")</f>
        <v>0</v>
      </c>
      <c r="O629" s="858" t="str">
        <f>IFERROR(INDEX(yControl_Code,MATCH(Inventory!M629,yControlTypes,0),1),"")</f>
        <v/>
      </c>
      <c r="P629" s="860" t="str">
        <f>'Lighting Inventory (Ref only)'!AG632</f>
        <v/>
      </c>
      <c r="Q629" s="861" t="str">
        <f>'Lighting Inventory (Ref only)'!AF632</f>
        <v/>
      </c>
      <c r="R629" s="856" t="str">
        <f t="shared" si="19"/>
        <v/>
      </c>
      <c r="S629" s="856" t="str">
        <f>IFERROR(ROUND(R629*'Project Info and Summary'!$J$5/'Project Info and Summary'!$L$5,2),"")</f>
        <v/>
      </c>
    </row>
    <row r="630" spans="1:19" ht="30" customHeight="1">
      <c r="A630" s="948"/>
      <c r="B630" s="496">
        <f t="shared" si="18"/>
        <v>621</v>
      </c>
      <c r="C630" s="864"/>
      <c r="D630" s="505"/>
      <c r="E630" s="866"/>
      <c r="F630" s="498"/>
      <c r="G630" s="499"/>
      <c r="H630" s="492"/>
      <c r="I630" s="855">
        <f>IFERROR(IFERROR(INDEX('Fixture and LED Schedule'!D:D,MATCH(F630,'Fixture and LED Schedule'!C:C,""),1),F630),"")</f>
        <v>0</v>
      </c>
      <c r="J630" s="855" t="str">
        <f>IFERROR(IF(PRJ_Type="New Construction",H630,INDEX(yControl_Code,MATCH(Inventory!H630,yControlTypes,0),1)),"")</f>
        <v/>
      </c>
      <c r="K630" s="493"/>
      <c r="L630" s="501"/>
      <c r="M630" s="502"/>
      <c r="N630" s="855">
        <f>IFERROR(IFERROR(INDEX('Fixture and LED Schedule'!D:D,MATCH(K630,'Fixture and LED Schedule'!C:C,0),1),K630),"")</f>
        <v>0</v>
      </c>
      <c r="O630" s="858" t="str">
        <f>IFERROR(INDEX(yControl_Code,MATCH(Inventory!M630,yControlTypes,0),1),"")</f>
        <v/>
      </c>
      <c r="P630" s="860" t="str">
        <f>'Lighting Inventory (Ref only)'!AG633</f>
        <v/>
      </c>
      <c r="Q630" s="861" t="str">
        <f>'Lighting Inventory (Ref only)'!AF633</f>
        <v/>
      </c>
      <c r="R630" s="856" t="str">
        <f t="shared" si="19"/>
        <v/>
      </c>
      <c r="S630" s="856" t="str">
        <f>IFERROR(ROUND(R630*'Project Info and Summary'!$J$5/'Project Info and Summary'!$L$5,2),"")</f>
        <v/>
      </c>
    </row>
    <row r="631" spans="1:19" ht="30" customHeight="1">
      <c r="A631" s="948"/>
      <c r="B631" s="496">
        <f t="shared" si="18"/>
        <v>622</v>
      </c>
      <c r="C631" s="864"/>
      <c r="D631" s="505"/>
      <c r="E631" s="866"/>
      <c r="F631" s="498"/>
      <c r="G631" s="499"/>
      <c r="H631" s="492"/>
      <c r="I631" s="855">
        <f>IFERROR(IFERROR(INDEX('Fixture and LED Schedule'!D:D,MATCH(F631,'Fixture and LED Schedule'!C:C,""),1),F631),"")</f>
        <v>0</v>
      </c>
      <c r="J631" s="855" t="str">
        <f>IFERROR(IF(PRJ_Type="New Construction",H631,INDEX(yControl_Code,MATCH(Inventory!H631,yControlTypes,0),1)),"")</f>
        <v/>
      </c>
      <c r="K631" s="493"/>
      <c r="L631" s="501"/>
      <c r="M631" s="502"/>
      <c r="N631" s="855">
        <f>IFERROR(IFERROR(INDEX('Fixture and LED Schedule'!D:D,MATCH(K631,'Fixture and LED Schedule'!C:C,0),1),K631),"")</f>
        <v>0</v>
      </c>
      <c r="O631" s="858" t="str">
        <f>IFERROR(INDEX(yControl_Code,MATCH(Inventory!M631,yControlTypes,0),1),"")</f>
        <v/>
      </c>
      <c r="P631" s="860" t="str">
        <f>'Lighting Inventory (Ref only)'!AG634</f>
        <v/>
      </c>
      <c r="Q631" s="861" t="str">
        <f>'Lighting Inventory (Ref only)'!AF634</f>
        <v/>
      </c>
      <c r="R631" s="856" t="str">
        <f t="shared" si="19"/>
        <v/>
      </c>
      <c r="S631" s="856" t="str">
        <f>IFERROR(ROUND(R631*'Project Info and Summary'!$J$5/'Project Info and Summary'!$L$5,2),"")</f>
        <v/>
      </c>
    </row>
    <row r="632" spans="1:19" ht="30" customHeight="1">
      <c r="A632" s="948"/>
      <c r="B632" s="496">
        <f t="shared" si="18"/>
        <v>623</v>
      </c>
      <c r="C632" s="864"/>
      <c r="D632" s="505"/>
      <c r="E632" s="866"/>
      <c r="F632" s="498"/>
      <c r="G632" s="499"/>
      <c r="H632" s="492"/>
      <c r="I632" s="855">
        <f>IFERROR(IFERROR(INDEX('Fixture and LED Schedule'!D:D,MATCH(F632,'Fixture and LED Schedule'!C:C,""),1),F632),"")</f>
        <v>0</v>
      </c>
      <c r="J632" s="855" t="str">
        <f>IFERROR(IF(PRJ_Type="New Construction",H632,INDEX(yControl_Code,MATCH(Inventory!H632,yControlTypes,0),1)),"")</f>
        <v/>
      </c>
      <c r="K632" s="493"/>
      <c r="L632" s="501"/>
      <c r="M632" s="502"/>
      <c r="N632" s="855">
        <f>IFERROR(IFERROR(INDEX('Fixture and LED Schedule'!D:D,MATCH(K632,'Fixture and LED Schedule'!C:C,0),1),K632),"")</f>
        <v>0</v>
      </c>
      <c r="O632" s="858" t="str">
        <f>IFERROR(INDEX(yControl_Code,MATCH(Inventory!M632,yControlTypes,0),1),"")</f>
        <v/>
      </c>
      <c r="P632" s="860" t="str">
        <f>'Lighting Inventory (Ref only)'!AG635</f>
        <v/>
      </c>
      <c r="Q632" s="861" t="str">
        <f>'Lighting Inventory (Ref only)'!AF635</f>
        <v/>
      </c>
      <c r="R632" s="856" t="str">
        <f t="shared" si="19"/>
        <v/>
      </c>
      <c r="S632" s="856" t="str">
        <f>IFERROR(ROUND(R632*'Project Info and Summary'!$J$5/'Project Info and Summary'!$L$5,2),"")</f>
        <v/>
      </c>
    </row>
    <row r="633" spans="1:19" ht="30" customHeight="1">
      <c r="A633" s="948"/>
      <c r="B633" s="496">
        <f t="shared" si="18"/>
        <v>624</v>
      </c>
      <c r="C633" s="864"/>
      <c r="D633" s="505"/>
      <c r="E633" s="866"/>
      <c r="F633" s="498"/>
      <c r="G633" s="499"/>
      <c r="H633" s="492"/>
      <c r="I633" s="855">
        <f>IFERROR(IFERROR(INDEX('Fixture and LED Schedule'!D:D,MATCH(F633,'Fixture and LED Schedule'!C:C,""),1),F633),"")</f>
        <v>0</v>
      </c>
      <c r="J633" s="855" t="str">
        <f>IFERROR(IF(PRJ_Type="New Construction",H633,INDEX(yControl_Code,MATCH(Inventory!H633,yControlTypes,0),1)),"")</f>
        <v/>
      </c>
      <c r="K633" s="493"/>
      <c r="L633" s="501"/>
      <c r="M633" s="502"/>
      <c r="N633" s="855">
        <f>IFERROR(IFERROR(INDEX('Fixture and LED Schedule'!D:D,MATCH(K633,'Fixture and LED Schedule'!C:C,0),1),K633),"")</f>
        <v>0</v>
      </c>
      <c r="O633" s="858" t="str">
        <f>IFERROR(INDEX(yControl_Code,MATCH(Inventory!M633,yControlTypes,0),1),"")</f>
        <v/>
      </c>
      <c r="P633" s="860" t="str">
        <f>'Lighting Inventory (Ref only)'!AG636</f>
        <v/>
      </c>
      <c r="Q633" s="861" t="str">
        <f>'Lighting Inventory (Ref only)'!AF636</f>
        <v/>
      </c>
      <c r="R633" s="856" t="str">
        <f t="shared" si="19"/>
        <v/>
      </c>
      <c r="S633" s="856" t="str">
        <f>IFERROR(ROUND(R633*'Project Info and Summary'!$J$5/'Project Info and Summary'!$L$5,2),"")</f>
        <v/>
      </c>
    </row>
    <row r="634" spans="1:19" ht="30" customHeight="1">
      <c r="A634" s="948"/>
      <c r="B634" s="496">
        <f t="shared" si="18"/>
        <v>625</v>
      </c>
      <c r="C634" s="864"/>
      <c r="D634" s="505"/>
      <c r="E634" s="866"/>
      <c r="F634" s="498"/>
      <c r="G634" s="499"/>
      <c r="H634" s="492"/>
      <c r="I634" s="855">
        <f>IFERROR(IFERROR(INDEX('Fixture and LED Schedule'!D:D,MATCH(F634,'Fixture and LED Schedule'!C:C,""),1),F634),"")</f>
        <v>0</v>
      </c>
      <c r="J634" s="855" t="str">
        <f>IFERROR(IF(PRJ_Type="New Construction",H634,INDEX(yControl_Code,MATCH(Inventory!H634,yControlTypes,0),1)),"")</f>
        <v/>
      </c>
      <c r="K634" s="493"/>
      <c r="L634" s="501"/>
      <c r="M634" s="502"/>
      <c r="N634" s="855">
        <f>IFERROR(IFERROR(INDEX('Fixture and LED Schedule'!D:D,MATCH(K634,'Fixture and LED Schedule'!C:C,0),1),K634),"")</f>
        <v>0</v>
      </c>
      <c r="O634" s="858" t="str">
        <f>IFERROR(INDEX(yControl_Code,MATCH(Inventory!M634,yControlTypes,0),1),"")</f>
        <v/>
      </c>
      <c r="P634" s="860" t="str">
        <f>'Lighting Inventory (Ref only)'!AG637</f>
        <v/>
      </c>
      <c r="Q634" s="861" t="str">
        <f>'Lighting Inventory (Ref only)'!AF637</f>
        <v/>
      </c>
      <c r="R634" s="856" t="str">
        <f t="shared" si="19"/>
        <v/>
      </c>
      <c r="S634" s="856" t="str">
        <f>IFERROR(ROUND(R634*'Project Info and Summary'!$J$5/'Project Info and Summary'!$L$5,2),"")</f>
        <v/>
      </c>
    </row>
    <row r="635" spans="1:19" ht="30" customHeight="1">
      <c r="A635" s="948"/>
      <c r="B635" s="496">
        <f t="shared" si="18"/>
        <v>626</v>
      </c>
      <c r="C635" s="864"/>
      <c r="D635" s="505"/>
      <c r="E635" s="866"/>
      <c r="F635" s="498"/>
      <c r="G635" s="499"/>
      <c r="H635" s="492"/>
      <c r="I635" s="855">
        <f>IFERROR(IFERROR(INDEX('Fixture and LED Schedule'!D:D,MATCH(F635,'Fixture and LED Schedule'!C:C,""),1),F635),"")</f>
        <v>0</v>
      </c>
      <c r="J635" s="855" t="str">
        <f>IFERROR(IF(PRJ_Type="New Construction",H635,INDEX(yControl_Code,MATCH(Inventory!H635,yControlTypes,0),1)),"")</f>
        <v/>
      </c>
      <c r="K635" s="493"/>
      <c r="L635" s="501"/>
      <c r="M635" s="502"/>
      <c r="N635" s="855">
        <f>IFERROR(IFERROR(INDEX('Fixture and LED Schedule'!D:D,MATCH(K635,'Fixture and LED Schedule'!C:C,0),1),K635),"")</f>
        <v>0</v>
      </c>
      <c r="O635" s="858" t="str">
        <f>IFERROR(INDEX(yControl_Code,MATCH(Inventory!M635,yControlTypes,0),1),"")</f>
        <v/>
      </c>
      <c r="P635" s="860" t="str">
        <f>'Lighting Inventory (Ref only)'!AG638</f>
        <v/>
      </c>
      <c r="Q635" s="861" t="str">
        <f>'Lighting Inventory (Ref only)'!AF638</f>
        <v/>
      </c>
      <c r="R635" s="856" t="str">
        <f t="shared" si="19"/>
        <v/>
      </c>
      <c r="S635" s="856" t="str">
        <f>IFERROR(ROUND(R635*'Project Info and Summary'!$J$5/'Project Info and Summary'!$L$5,2),"")</f>
        <v/>
      </c>
    </row>
    <row r="636" spans="1:19" ht="30" customHeight="1">
      <c r="A636" s="948"/>
      <c r="B636" s="496">
        <f t="shared" si="18"/>
        <v>627</v>
      </c>
      <c r="C636" s="864"/>
      <c r="D636" s="505"/>
      <c r="E636" s="866"/>
      <c r="F636" s="498"/>
      <c r="G636" s="499"/>
      <c r="H636" s="492"/>
      <c r="I636" s="855">
        <f>IFERROR(IFERROR(INDEX('Fixture and LED Schedule'!D:D,MATCH(F636,'Fixture and LED Schedule'!C:C,""),1),F636),"")</f>
        <v>0</v>
      </c>
      <c r="J636" s="855" t="str">
        <f>IFERROR(IF(PRJ_Type="New Construction",H636,INDEX(yControl_Code,MATCH(Inventory!H636,yControlTypes,0),1)),"")</f>
        <v/>
      </c>
      <c r="K636" s="493"/>
      <c r="L636" s="501"/>
      <c r="M636" s="502"/>
      <c r="N636" s="855">
        <f>IFERROR(IFERROR(INDEX('Fixture and LED Schedule'!D:D,MATCH(K636,'Fixture and LED Schedule'!C:C,0),1),K636),"")</f>
        <v>0</v>
      </c>
      <c r="O636" s="858" t="str">
        <f>IFERROR(INDEX(yControl_Code,MATCH(Inventory!M636,yControlTypes,0),1),"")</f>
        <v/>
      </c>
      <c r="P636" s="860" t="str">
        <f>'Lighting Inventory (Ref only)'!AG639</f>
        <v/>
      </c>
      <c r="Q636" s="861" t="str">
        <f>'Lighting Inventory (Ref only)'!AF639</f>
        <v/>
      </c>
      <c r="R636" s="856" t="str">
        <f t="shared" si="19"/>
        <v/>
      </c>
      <c r="S636" s="856" t="str">
        <f>IFERROR(ROUND(R636*'Project Info and Summary'!$J$5/'Project Info and Summary'!$L$5,2),"")</f>
        <v/>
      </c>
    </row>
    <row r="637" spans="1:19" ht="30" customHeight="1">
      <c r="A637" s="948"/>
      <c r="B637" s="496">
        <f t="shared" ref="B637:B700" si="20">B636+1</f>
        <v>628</v>
      </c>
      <c r="C637" s="864"/>
      <c r="D637" s="505"/>
      <c r="E637" s="866"/>
      <c r="F637" s="498"/>
      <c r="G637" s="499"/>
      <c r="H637" s="492"/>
      <c r="I637" s="855">
        <f>IFERROR(IFERROR(INDEX('Fixture and LED Schedule'!D:D,MATCH(F637,'Fixture and LED Schedule'!C:C,""),1),F637),"")</f>
        <v>0</v>
      </c>
      <c r="J637" s="855" t="str">
        <f>IFERROR(IF(PRJ_Type="New Construction",H637,INDEX(yControl_Code,MATCH(Inventory!H637,yControlTypes,0),1)),"")</f>
        <v/>
      </c>
      <c r="K637" s="493"/>
      <c r="L637" s="501"/>
      <c r="M637" s="502"/>
      <c r="N637" s="855">
        <f>IFERROR(IFERROR(INDEX('Fixture and LED Schedule'!D:D,MATCH(K637,'Fixture and LED Schedule'!C:C,0),1),K637),"")</f>
        <v>0</v>
      </c>
      <c r="O637" s="858" t="str">
        <f>IFERROR(INDEX(yControl_Code,MATCH(Inventory!M637,yControlTypes,0),1),"")</f>
        <v/>
      </c>
      <c r="P637" s="860" t="str">
        <f>'Lighting Inventory (Ref only)'!AG640</f>
        <v/>
      </c>
      <c r="Q637" s="861" t="str">
        <f>'Lighting Inventory (Ref only)'!AF640</f>
        <v/>
      </c>
      <c r="R637" s="856" t="str">
        <f t="shared" si="19"/>
        <v/>
      </c>
      <c r="S637" s="856" t="str">
        <f>IFERROR(ROUND(R637*'Project Info and Summary'!$J$5/'Project Info and Summary'!$L$5,2),"")</f>
        <v/>
      </c>
    </row>
    <row r="638" spans="1:19" ht="30" customHeight="1">
      <c r="A638" s="948"/>
      <c r="B638" s="496">
        <f t="shared" si="20"/>
        <v>629</v>
      </c>
      <c r="C638" s="864"/>
      <c r="D638" s="505"/>
      <c r="E638" s="866"/>
      <c r="F638" s="498"/>
      <c r="G638" s="499"/>
      <c r="H638" s="492"/>
      <c r="I638" s="855">
        <f>IFERROR(IFERROR(INDEX('Fixture and LED Schedule'!D:D,MATCH(F638,'Fixture and LED Schedule'!C:C,""),1),F638),"")</f>
        <v>0</v>
      </c>
      <c r="J638" s="855" t="str">
        <f>IFERROR(IF(PRJ_Type="New Construction",H638,INDEX(yControl_Code,MATCH(Inventory!H638,yControlTypes,0),1)),"")</f>
        <v/>
      </c>
      <c r="K638" s="493"/>
      <c r="L638" s="501"/>
      <c r="M638" s="502"/>
      <c r="N638" s="855">
        <f>IFERROR(IFERROR(INDEX('Fixture and LED Schedule'!D:D,MATCH(K638,'Fixture and LED Schedule'!C:C,0),1),K638),"")</f>
        <v>0</v>
      </c>
      <c r="O638" s="858" t="str">
        <f>IFERROR(INDEX(yControl_Code,MATCH(Inventory!M638,yControlTypes,0),1),"")</f>
        <v/>
      </c>
      <c r="P638" s="860" t="str">
        <f>'Lighting Inventory (Ref only)'!AG641</f>
        <v/>
      </c>
      <c r="Q638" s="861" t="str">
        <f>'Lighting Inventory (Ref only)'!AF641</f>
        <v/>
      </c>
      <c r="R638" s="856" t="str">
        <f t="shared" si="19"/>
        <v/>
      </c>
      <c r="S638" s="856" t="str">
        <f>IFERROR(ROUND(R638*'Project Info and Summary'!$J$5/'Project Info and Summary'!$L$5,2),"")</f>
        <v/>
      </c>
    </row>
    <row r="639" spans="1:19" ht="30" customHeight="1">
      <c r="A639" s="948"/>
      <c r="B639" s="496">
        <f t="shared" si="20"/>
        <v>630</v>
      </c>
      <c r="C639" s="864"/>
      <c r="D639" s="505"/>
      <c r="E639" s="866"/>
      <c r="F639" s="498"/>
      <c r="G639" s="499"/>
      <c r="H639" s="492"/>
      <c r="I639" s="855">
        <f>IFERROR(IFERROR(INDEX('Fixture and LED Schedule'!D:D,MATCH(F639,'Fixture and LED Schedule'!C:C,""),1),F639),"")</f>
        <v>0</v>
      </c>
      <c r="J639" s="855" t="str">
        <f>IFERROR(IF(PRJ_Type="New Construction",H639,INDEX(yControl_Code,MATCH(Inventory!H639,yControlTypes,0),1)),"")</f>
        <v/>
      </c>
      <c r="K639" s="493"/>
      <c r="L639" s="501"/>
      <c r="M639" s="502"/>
      <c r="N639" s="855">
        <f>IFERROR(IFERROR(INDEX('Fixture and LED Schedule'!D:D,MATCH(K639,'Fixture and LED Schedule'!C:C,0),1),K639),"")</f>
        <v>0</v>
      </c>
      <c r="O639" s="858" t="str">
        <f>IFERROR(INDEX(yControl_Code,MATCH(Inventory!M639,yControlTypes,0),1),"")</f>
        <v/>
      </c>
      <c r="P639" s="860" t="str">
        <f>'Lighting Inventory (Ref only)'!AG642</f>
        <v/>
      </c>
      <c r="Q639" s="861" t="str">
        <f>'Lighting Inventory (Ref only)'!AF642</f>
        <v/>
      </c>
      <c r="R639" s="856" t="str">
        <f t="shared" si="19"/>
        <v/>
      </c>
      <c r="S639" s="856" t="str">
        <f>IFERROR(ROUND(R639*'Project Info and Summary'!$J$5/'Project Info and Summary'!$L$5,2),"")</f>
        <v/>
      </c>
    </row>
    <row r="640" spans="1:19" ht="30" customHeight="1">
      <c r="A640" s="948"/>
      <c r="B640" s="496">
        <f t="shared" si="20"/>
        <v>631</v>
      </c>
      <c r="C640" s="864"/>
      <c r="D640" s="505"/>
      <c r="E640" s="866"/>
      <c r="F640" s="498"/>
      <c r="G640" s="499"/>
      <c r="H640" s="492"/>
      <c r="I640" s="855">
        <f>IFERROR(IFERROR(INDEX('Fixture and LED Schedule'!D:D,MATCH(F640,'Fixture and LED Schedule'!C:C,""),1),F640),"")</f>
        <v>0</v>
      </c>
      <c r="J640" s="855" t="str">
        <f>IFERROR(IF(PRJ_Type="New Construction",H640,INDEX(yControl_Code,MATCH(Inventory!H640,yControlTypes,0),1)),"")</f>
        <v/>
      </c>
      <c r="K640" s="493"/>
      <c r="L640" s="501"/>
      <c r="M640" s="502"/>
      <c r="N640" s="855">
        <f>IFERROR(IFERROR(INDEX('Fixture and LED Schedule'!D:D,MATCH(K640,'Fixture and LED Schedule'!C:C,0),1),K640),"")</f>
        <v>0</v>
      </c>
      <c r="O640" s="858" t="str">
        <f>IFERROR(INDEX(yControl_Code,MATCH(Inventory!M640,yControlTypes,0),1),"")</f>
        <v/>
      </c>
      <c r="P640" s="860" t="str">
        <f>'Lighting Inventory (Ref only)'!AG643</f>
        <v/>
      </c>
      <c r="Q640" s="861" t="str">
        <f>'Lighting Inventory (Ref only)'!AF643</f>
        <v/>
      </c>
      <c r="R640" s="856" t="str">
        <f t="shared" si="19"/>
        <v/>
      </c>
      <c r="S640" s="856" t="str">
        <f>IFERROR(ROUND(R640*'Project Info and Summary'!$J$5/'Project Info and Summary'!$L$5,2),"")</f>
        <v/>
      </c>
    </row>
    <row r="641" spans="1:19" ht="30" customHeight="1">
      <c r="A641" s="948"/>
      <c r="B641" s="496">
        <f t="shared" si="20"/>
        <v>632</v>
      </c>
      <c r="C641" s="864"/>
      <c r="D641" s="505"/>
      <c r="E641" s="866"/>
      <c r="F641" s="498"/>
      <c r="G641" s="499"/>
      <c r="H641" s="492"/>
      <c r="I641" s="855">
        <f>IFERROR(IFERROR(INDEX('Fixture and LED Schedule'!D:D,MATCH(F641,'Fixture and LED Schedule'!C:C,""),1),F641),"")</f>
        <v>0</v>
      </c>
      <c r="J641" s="855" t="str">
        <f>IFERROR(IF(PRJ_Type="New Construction",H641,INDEX(yControl_Code,MATCH(Inventory!H641,yControlTypes,0),1)),"")</f>
        <v/>
      </c>
      <c r="K641" s="493"/>
      <c r="L641" s="501"/>
      <c r="M641" s="502"/>
      <c r="N641" s="855">
        <f>IFERROR(IFERROR(INDEX('Fixture and LED Schedule'!D:D,MATCH(K641,'Fixture and LED Schedule'!C:C,0),1),K641),"")</f>
        <v>0</v>
      </c>
      <c r="O641" s="858" t="str">
        <f>IFERROR(INDEX(yControl_Code,MATCH(Inventory!M641,yControlTypes,0),1),"")</f>
        <v/>
      </c>
      <c r="P641" s="860" t="str">
        <f>'Lighting Inventory (Ref only)'!AG644</f>
        <v/>
      </c>
      <c r="Q641" s="861" t="str">
        <f>'Lighting Inventory (Ref only)'!AF644</f>
        <v/>
      </c>
      <c r="R641" s="856" t="str">
        <f t="shared" si="19"/>
        <v/>
      </c>
      <c r="S641" s="856" t="str">
        <f>IFERROR(ROUND(R641*'Project Info and Summary'!$J$5/'Project Info and Summary'!$L$5,2),"")</f>
        <v/>
      </c>
    </row>
    <row r="642" spans="1:19" ht="30" customHeight="1">
      <c r="A642" s="948"/>
      <c r="B642" s="496">
        <f t="shared" si="20"/>
        <v>633</v>
      </c>
      <c r="C642" s="864"/>
      <c r="D642" s="505"/>
      <c r="E642" s="866"/>
      <c r="F642" s="498"/>
      <c r="G642" s="499"/>
      <c r="H642" s="492"/>
      <c r="I642" s="855">
        <f>IFERROR(IFERROR(INDEX('Fixture and LED Schedule'!D:D,MATCH(F642,'Fixture and LED Schedule'!C:C,""),1),F642),"")</f>
        <v>0</v>
      </c>
      <c r="J642" s="855" t="str">
        <f>IFERROR(IF(PRJ_Type="New Construction",H642,INDEX(yControl_Code,MATCH(Inventory!H642,yControlTypes,0),1)),"")</f>
        <v/>
      </c>
      <c r="K642" s="493"/>
      <c r="L642" s="501"/>
      <c r="M642" s="502"/>
      <c r="N642" s="855">
        <f>IFERROR(IFERROR(INDEX('Fixture and LED Schedule'!D:D,MATCH(K642,'Fixture and LED Schedule'!C:C,0),1),K642),"")</f>
        <v>0</v>
      </c>
      <c r="O642" s="858" t="str">
        <f>IFERROR(INDEX(yControl_Code,MATCH(Inventory!M642,yControlTypes,0),1),"")</f>
        <v/>
      </c>
      <c r="P642" s="860" t="str">
        <f>'Lighting Inventory (Ref only)'!AG645</f>
        <v/>
      </c>
      <c r="Q642" s="861" t="str">
        <f>'Lighting Inventory (Ref only)'!AF645</f>
        <v/>
      </c>
      <c r="R642" s="856" t="str">
        <f t="shared" si="19"/>
        <v/>
      </c>
      <c r="S642" s="856" t="str">
        <f>IFERROR(ROUND(R642*'Project Info and Summary'!$J$5/'Project Info and Summary'!$L$5,2),"")</f>
        <v/>
      </c>
    </row>
    <row r="643" spans="1:19" ht="30" customHeight="1">
      <c r="A643" s="948"/>
      <c r="B643" s="496">
        <f t="shared" si="20"/>
        <v>634</v>
      </c>
      <c r="C643" s="864"/>
      <c r="D643" s="505"/>
      <c r="E643" s="866"/>
      <c r="F643" s="498"/>
      <c r="G643" s="499"/>
      <c r="H643" s="492"/>
      <c r="I643" s="855">
        <f>IFERROR(IFERROR(INDEX('Fixture and LED Schedule'!D:D,MATCH(F643,'Fixture and LED Schedule'!C:C,""),1),F643),"")</f>
        <v>0</v>
      </c>
      <c r="J643" s="855" t="str">
        <f>IFERROR(IF(PRJ_Type="New Construction",H643,INDEX(yControl_Code,MATCH(Inventory!H643,yControlTypes,0),1)),"")</f>
        <v/>
      </c>
      <c r="K643" s="493"/>
      <c r="L643" s="501"/>
      <c r="M643" s="502"/>
      <c r="N643" s="855">
        <f>IFERROR(IFERROR(INDEX('Fixture and LED Schedule'!D:D,MATCH(K643,'Fixture and LED Schedule'!C:C,0),1),K643),"")</f>
        <v>0</v>
      </c>
      <c r="O643" s="858" t="str">
        <f>IFERROR(INDEX(yControl_Code,MATCH(Inventory!M643,yControlTypes,0),1),"")</f>
        <v/>
      </c>
      <c r="P643" s="860" t="str">
        <f>'Lighting Inventory (Ref only)'!AG646</f>
        <v/>
      </c>
      <c r="Q643" s="861" t="str">
        <f>'Lighting Inventory (Ref only)'!AF646</f>
        <v/>
      </c>
      <c r="R643" s="856" t="str">
        <f t="shared" si="19"/>
        <v/>
      </c>
      <c r="S643" s="856" t="str">
        <f>IFERROR(ROUND(R643*'Project Info and Summary'!$J$5/'Project Info and Summary'!$L$5,2),"")</f>
        <v/>
      </c>
    </row>
    <row r="644" spans="1:19" ht="30" customHeight="1">
      <c r="A644" s="948"/>
      <c r="B644" s="496">
        <f t="shared" si="20"/>
        <v>635</v>
      </c>
      <c r="C644" s="864"/>
      <c r="D644" s="505"/>
      <c r="E644" s="866"/>
      <c r="F644" s="498"/>
      <c r="G644" s="499"/>
      <c r="H644" s="492"/>
      <c r="I644" s="855">
        <f>IFERROR(IFERROR(INDEX('Fixture and LED Schedule'!D:D,MATCH(F644,'Fixture and LED Schedule'!C:C,""),1),F644),"")</f>
        <v>0</v>
      </c>
      <c r="J644" s="855" t="str">
        <f>IFERROR(IF(PRJ_Type="New Construction",H644,INDEX(yControl_Code,MATCH(Inventory!H644,yControlTypes,0),1)),"")</f>
        <v/>
      </c>
      <c r="K644" s="493"/>
      <c r="L644" s="501"/>
      <c r="M644" s="502"/>
      <c r="N644" s="855">
        <f>IFERROR(IFERROR(INDEX('Fixture and LED Schedule'!D:D,MATCH(K644,'Fixture and LED Schedule'!C:C,0),1),K644),"")</f>
        <v>0</v>
      </c>
      <c r="O644" s="858" t="str">
        <f>IFERROR(INDEX(yControl_Code,MATCH(Inventory!M644,yControlTypes,0),1),"")</f>
        <v/>
      </c>
      <c r="P644" s="860" t="str">
        <f>'Lighting Inventory (Ref only)'!AG647</f>
        <v/>
      </c>
      <c r="Q644" s="861" t="str">
        <f>'Lighting Inventory (Ref only)'!AF647</f>
        <v/>
      </c>
      <c r="R644" s="856" t="str">
        <f t="shared" si="19"/>
        <v/>
      </c>
      <c r="S644" s="856" t="str">
        <f>IFERROR(ROUND(R644*'Project Info and Summary'!$J$5/'Project Info and Summary'!$L$5,2),"")</f>
        <v/>
      </c>
    </row>
    <row r="645" spans="1:19" ht="30" customHeight="1">
      <c r="A645" s="948"/>
      <c r="B645" s="496">
        <f t="shared" si="20"/>
        <v>636</v>
      </c>
      <c r="C645" s="864"/>
      <c r="D645" s="505"/>
      <c r="E645" s="866"/>
      <c r="F645" s="498"/>
      <c r="G645" s="499"/>
      <c r="H645" s="492"/>
      <c r="I645" s="855">
        <f>IFERROR(IFERROR(INDEX('Fixture and LED Schedule'!D:D,MATCH(F645,'Fixture and LED Schedule'!C:C,""),1),F645),"")</f>
        <v>0</v>
      </c>
      <c r="J645" s="855" t="str">
        <f>IFERROR(IF(PRJ_Type="New Construction",H645,INDEX(yControl_Code,MATCH(Inventory!H645,yControlTypes,0),1)),"")</f>
        <v/>
      </c>
      <c r="K645" s="493"/>
      <c r="L645" s="501"/>
      <c r="M645" s="502"/>
      <c r="N645" s="855">
        <f>IFERROR(IFERROR(INDEX('Fixture and LED Schedule'!D:D,MATCH(K645,'Fixture and LED Schedule'!C:C,0),1),K645),"")</f>
        <v>0</v>
      </c>
      <c r="O645" s="858" t="str">
        <f>IFERROR(INDEX(yControl_Code,MATCH(Inventory!M645,yControlTypes,0),1),"")</f>
        <v/>
      </c>
      <c r="P645" s="860" t="str">
        <f>'Lighting Inventory (Ref only)'!AG648</f>
        <v/>
      </c>
      <c r="Q645" s="861" t="str">
        <f>'Lighting Inventory (Ref only)'!AF648</f>
        <v/>
      </c>
      <c r="R645" s="856" t="str">
        <f t="shared" si="19"/>
        <v/>
      </c>
      <c r="S645" s="856" t="str">
        <f>IFERROR(ROUND(R645*'Project Info and Summary'!$J$5/'Project Info and Summary'!$L$5,2),"")</f>
        <v/>
      </c>
    </row>
    <row r="646" spans="1:19" ht="30" customHeight="1">
      <c r="A646" s="948"/>
      <c r="B646" s="496">
        <f t="shared" si="20"/>
        <v>637</v>
      </c>
      <c r="C646" s="864"/>
      <c r="D646" s="505"/>
      <c r="E646" s="866"/>
      <c r="F646" s="498"/>
      <c r="G646" s="499"/>
      <c r="H646" s="492"/>
      <c r="I646" s="855">
        <f>IFERROR(IFERROR(INDEX('Fixture and LED Schedule'!D:D,MATCH(F646,'Fixture and LED Schedule'!C:C,""),1),F646),"")</f>
        <v>0</v>
      </c>
      <c r="J646" s="855" t="str">
        <f>IFERROR(IF(PRJ_Type="New Construction",H646,INDEX(yControl_Code,MATCH(Inventory!H646,yControlTypes,0),1)),"")</f>
        <v/>
      </c>
      <c r="K646" s="493"/>
      <c r="L646" s="501"/>
      <c r="M646" s="502"/>
      <c r="N646" s="855">
        <f>IFERROR(IFERROR(INDEX('Fixture and LED Schedule'!D:D,MATCH(K646,'Fixture and LED Schedule'!C:C,0),1),K646),"")</f>
        <v>0</v>
      </c>
      <c r="O646" s="858" t="str">
        <f>IFERROR(INDEX(yControl_Code,MATCH(Inventory!M646,yControlTypes,0),1),"")</f>
        <v/>
      </c>
      <c r="P646" s="860" t="str">
        <f>'Lighting Inventory (Ref only)'!AG649</f>
        <v/>
      </c>
      <c r="Q646" s="861" t="str">
        <f>'Lighting Inventory (Ref only)'!AF649</f>
        <v/>
      </c>
      <c r="R646" s="856" t="str">
        <f t="shared" si="19"/>
        <v/>
      </c>
      <c r="S646" s="856" t="str">
        <f>IFERROR(ROUND(R646*'Project Info and Summary'!$J$5/'Project Info and Summary'!$L$5,2),"")</f>
        <v/>
      </c>
    </row>
    <row r="647" spans="1:19" ht="30" customHeight="1">
      <c r="A647" s="948"/>
      <c r="B647" s="496">
        <f t="shared" si="20"/>
        <v>638</v>
      </c>
      <c r="C647" s="864"/>
      <c r="D647" s="505"/>
      <c r="E647" s="866"/>
      <c r="F647" s="498"/>
      <c r="G647" s="499"/>
      <c r="H647" s="492"/>
      <c r="I647" s="855">
        <f>IFERROR(IFERROR(INDEX('Fixture and LED Schedule'!D:D,MATCH(F647,'Fixture and LED Schedule'!C:C,""),1),F647),"")</f>
        <v>0</v>
      </c>
      <c r="J647" s="855" t="str">
        <f>IFERROR(IF(PRJ_Type="New Construction",H647,INDEX(yControl_Code,MATCH(Inventory!H647,yControlTypes,0),1)),"")</f>
        <v/>
      </c>
      <c r="K647" s="493"/>
      <c r="L647" s="501"/>
      <c r="M647" s="502"/>
      <c r="N647" s="855">
        <f>IFERROR(IFERROR(INDEX('Fixture and LED Schedule'!D:D,MATCH(K647,'Fixture and LED Schedule'!C:C,0),1),K647),"")</f>
        <v>0</v>
      </c>
      <c r="O647" s="858" t="str">
        <f>IFERROR(INDEX(yControl_Code,MATCH(Inventory!M647,yControlTypes,0),1),"")</f>
        <v/>
      </c>
      <c r="P647" s="860" t="str">
        <f>'Lighting Inventory (Ref only)'!AG650</f>
        <v/>
      </c>
      <c r="Q647" s="861" t="str">
        <f>'Lighting Inventory (Ref only)'!AF650</f>
        <v/>
      </c>
      <c r="R647" s="856" t="str">
        <f t="shared" si="19"/>
        <v/>
      </c>
      <c r="S647" s="856" t="str">
        <f>IFERROR(ROUND(R647*'Project Info and Summary'!$J$5/'Project Info and Summary'!$L$5,2),"")</f>
        <v/>
      </c>
    </row>
    <row r="648" spans="1:19" ht="30" customHeight="1">
      <c r="A648" s="948"/>
      <c r="B648" s="496">
        <f t="shared" si="20"/>
        <v>639</v>
      </c>
      <c r="C648" s="864"/>
      <c r="D648" s="505"/>
      <c r="E648" s="866"/>
      <c r="F648" s="498"/>
      <c r="G648" s="499"/>
      <c r="H648" s="492"/>
      <c r="I648" s="855">
        <f>IFERROR(IFERROR(INDEX('Fixture and LED Schedule'!D:D,MATCH(F648,'Fixture and LED Schedule'!C:C,""),1),F648),"")</f>
        <v>0</v>
      </c>
      <c r="J648" s="855" t="str">
        <f>IFERROR(IF(PRJ_Type="New Construction",H648,INDEX(yControl_Code,MATCH(Inventory!H648,yControlTypes,0),1)),"")</f>
        <v/>
      </c>
      <c r="K648" s="493"/>
      <c r="L648" s="501"/>
      <c r="M648" s="502"/>
      <c r="N648" s="855">
        <f>IFERROR(IFERROR(INDEX('Fixture and LED Schedule'!D:D,MATCH(K648,'Fixture and LED Schedule'!C:C,0),1),K648),"")</f>
        <v>0</v>
      </c>
      <c r="O648" s="858" t="str">
        <f>IFERROR(INDEX(yControl_Code,MATCH(Inventory!M648,yControlTypes,0),1),"")</f>
        <v/>
      </c>
      <c r="P648" s="860" t="str">
        <f>'Lighting Inventory (Ref only)'!AG651</f>
        <v/>
      </c>
      <c r="Q648" s="861" t="str">
        <f>'Lighting Inventory (Ref only)'!AF651</f>
        <v/>
      </c>
      <c r="R648" s="856" t="str">
        <f t="shared" si="19"/>
        <v/>
      </c>
      <c r="S648" s="856" t="str">
        <f>IFERROR(ROUND(R648*'Project Info and Summary'!$J$5/'Project Info and Summary'!$L$5,2),"")</f>
        <v/>
      </c>
    </row>
    <row r="649" spans="1:19" ht="30" customHeight="1">
      <c r="A649" s="948"/>
      <c r="B649" s="496">
        <f t="shared" si="20"/>
        <v>640</v>
      </c>
      <c r="C649" s="864"/>
      <c r="D649" s="505"/>
      <c r="E649" s="866"/>
      <c r="F649" s="498"/>
      <c r="G649" s="499"/>
      <c r="H649" s="492"/>
      <c r="I649" s="855">
        <f>IFERROR(IFERROR(INDEX('Fixture and LED Schedule'!D:D,MATCH(F649,'Fixture and LED Schedule'!C:C,""),1),F649),"")</f>
        <v>0</v>
      </c>
      <c r="J649" s="855" t="str">
        <f>IFERROR(IF(PRJ_Type="New Construction",H649,INDEX(yControl_Code,MATCH(Inventory!H649,yControlTypes,0),1)),"")</f>
        <v/>
      </c>
      <c r="K649" s="493"/>
      <c r="L649" s="501"/>
      <c r="M649" s="502"/>
      <c r="N649" s="855">
        <f>IFERROR(IFERROR(INDEX('Fixture and LED Schedule'!D:D,MATCH(K649,'Fixture and LED Schedule'!C:C,0),1),K649),"")</f>
        <v>0</v>
      </c>
      <c r="O649" s="858" t="str">
        <f>IFERROR(INDEX(yControl_Code,MATCH(Inventory!M649,yControlTypes,0),1),"")</f>
        <v/>
      </c>
      <c r="P649" s="860" t="str">
        <f>'Lighting Inventory (Ref only)'!AG652</f>
        <v/>
      </c>
      <c r="Q649" s="861" t="str">
        <f>'Lighting Inventory (Ref only)'!AF652</f>
        <v/>
      </c>
      <c r="R649" s="856" t="str">
        <f t="shared" si="19"/>
        <v/>
      </c>
      <c r="S649" s="856" t="str">
        <f>IFERROR(ROUND(R649*'Project Info and Summary'!$J$5/'Project Info and Summary'!$L$5,2),"")</f>
        <v/>
      </c>
    </row>
    <row r="650" spans="1:19" ht="30" customHeight="1">
      <c r="A650" s="948"/>
      <c r="B650" s="496">
        <f t="shared" si="20"/>
        <v>641</v>
      </c>
      <c r="C650" s="864"/>
      <c r="D650" s="505"/>
      <c r="E650" s="866"/>
      <c r="F650" s="498"/>
      <c r="G650" s="499"/>
      <c r="H650" s="492"/>
      <c r="I650" s="855">
        <f>IFERROR(IFERROR(INDEX('Fixture and LED Schedule'!D:D,MATCH(F650,'Fixture and LED Schedule'!C:C,""),1),F650),"")</f>
        <v>0</v>
      </c>
      <c r="J650" s="855" t="str">
        <f>IFERROR(IF(PRJ_Type="New Construction",H650,INDEX(yControl_Code,MATCH(Inventory!H650,yControlTypes,0),1)),"")</f>
        <v/>
      </c>
      <c r="K650" s="493"/>
      <c r="L650" s="501"/>
      <c r="M650" s="502"/>
      <c r="N650" s="855">
        <f>IFERROR(IFERROR(INDEX('Fixture and LED Schedule'!D:D,MATCH(K650,'Fixture and LED Schedule'!C:C,0),1),K650),"")</f>
        <v>0</v>
      </c>
      <c r="O650" s="858" t="str">
        <f>IFERROR(INDEX(yControl_Code,MATCH(Inventory!M650,yControlTypes,0),1),"")</f>
        <v/>
      </c>
      <c r="P650" s="860" t="str">
        <f>'Lighting Inventory (Ref only)'!AG653</f>
        <v/>
      </c>
      <c r="Q650" s="861" t="str">
        <f>'Lighting Inventory (Ref only)'!AF653</f>
        <v/>
      </c>
      <c r="R650" s="856" t="str">
        <f t="shared" si="19"/>
        <v/>
      </c>
      <c r="S650" s="856" t="str">
        <f>IFERROR(ROUND(R650*'Project Info and Summary'!$J$5/'Project Info and Summary'!$L$5,2),"")</f>
        <v/>
      </c>
    </row>
    <row r="651" spans="1:19" ht="30" customHeight="1">
      <c r="A651" s="948"/>
      <c r="B651" s="496">
        <f t="shared" si="20"/>
        <v>642</v>
      </c>
      <c r="C651" s="864"/>
      <c r="D651" s="505"/>
      <c r="E651" s="866"/>
      <c r="F651" s="498"/>
      <c r="G651" s="499"/>
      <c r="H651" s="492"/>
      <c r="I651" s="855">
        <f>IFERROR(IFERROR(INDEX('Fixture and LED Schedule'!D:D,MATCH(F651,'Fixture and LED Schedule'!C:C,""),1),F651),"")</f>
        <v>0</v>
      </c>
      <c r="J651" s="855" t="str">
        <f>IFERROR(IF(PRJ_Type="New Construction",H651,INDEX(yControl_Code,MATCH(Inventory!H651,yControlTypes,0),1)),"")</f>
        <v/>
      </c>
      <c r="K651" s="493"/>
      <c r="L651" s="501"/>
      <c r="M651" s="502"/>
      <c r="N651" s="855">
        <f>IFERROR(IFERROR(INDEX('Fixture and LED Schedule'!D:D,MATCH(K651,'Fixture and LED Schedule'!C:C,0),1),K651),"")</f>
        <v>0</v>
      </c>
      <c r="O651" s="858" t="str">
        <f>IFERROR(INDEX(yControl_Code,MATCH(Inventory!M651,yControlTypes,0),1),"")</f>
        <v/>
      </c>
      <c r="P651" s="860" t="str">
        <f>'Lighting Inventory (Ref only)'!AG654</f>
        <v/>
      </c>
      <c r="Q651" s="861" t="str">
        <f>'Lighting Inventory (Ref only)'!AF654</f>
        <v/>
      </c>
      <c r="R651" s="856" t="str">
        <f t="shared" ref="R651:R714" si="21">IFERROR(P651*0.02+Q651*185,"")</f>
        <v/>
      </c>
      <c r="S651" s="856" t="str">
        <f>IFERROR(ROUND(R651*'Project Info and Summary'!$J$5/'Project Info and Summary'!$L$5,2),"")</f>
        <v/>
      </c>
    </row>
    <row r="652" spans="1:19" ht="30" customHeight="1">
      <c r="A652" s="948"/>
      <c r="B652" s="496">
        <f t="shared" si="20"/>
        <v>643</v>
      </c>
      <c r="C652" s="864"/>
      <c r="D652" s="505"/>
      <c r="E652" s="866"/>
      <c r="F652" s="498"/>
      <c r="G652" s="499"/>
      <c r="H652" s="492"/>
      <c r="I652" s="855">
        <f>IFERROR(IFERROR(INDEX('Fixture and LED Schedule'!D:D,MATCH(F652,'Fixture and LED Schedule'!C:C,""),1),F652),"")</f>
        <v>0</v>
      </c>
      <c r="J652" s="855" t="str">
        <f>IFERROR(IF(PRJ_Type="New Construction",H652,INDEX(yControl_Code,MATCH(Inventory!H652,yControlTypes,0),1)),"")</f>
        <v/>
      </c>
      <c r="K652" s="493"/>
      <c r="L652" s="501"/>
      <c r="M652" s="502"/>
      <c r="N652" s="855">
        <f>IFERROR(IFERROR(INDEX('Fixture and LED Schedule'!D:D,MATCH(K652,'Fixture and LED Schedule'!C:C,0),1),K652),"")</f>
        <v>0</v>
      </c>
      <c r="O652" s="858" t="str">
        <f>IFERROR(INDEX(yControl_Code,MATCH(Inventory!M652,yControlTypes,0),1),"")</f>
        <v/>
      </c>
      <c r="P652" s="860" t="str">
        <f>'Lighting Inventory (Ref only)'!AG655</f>
        <v/>
      </c>
      <c r="Q652" s="861" t="str">
        <f>'Lighting Inventory (Ref only)'!AF655</f>
        <v/>
      </c>
      <c r="R652" s="856" t="str">
        <f t="shared" si="21"/>
        <v/>
      </c>
      <c r="S652" s="856" t="str">
        <f>IFERROR(ROUND(R652*'Project Info and Summary'!$J$5/'Project Info and Summary'!$L$5,2),"")</f>
        <v/>
      </c>
    </row>
    <row r="653" spans="1:19" ht="30" customHeight="1">
      <c r="A653" s="948"/>
      <c r="B653" s="496">
        <f t="shared" si="20"/>
        <v>644</v>
      </c>
      <c r="C653" s="864"/>
      <c r="D653" s="505"/>
      <c r="E653" s="866"/>
      <c r="F653" s="498"/>
      <c r="G653" s="499"/>
      <c r="H653" s="492"/>
      <c r="I653" s="855">
        <f>IFERROR(IFERROR(INDEX('Fixture and LED Schedule'!D:D,MATCH(F653,'Fixture and LED Schedule'!C:C,""),1),F653),"")</f>
        <v>0</v>
      </c>
      <c r="J653" s="855" t="str">
        <f>IFERROR(IF(PRJ_Type="New Construction",H653,INDEX(yControl_Code,MATCH(Inventory!H653,yControlTypes,0),1)),"")</f>
        <v/>
      </c>
      <c r="K653" s="493"/>
      <c r="L653" s="501"/>
      <c r="M653" s="502"/>
      <c r="N653" s="855">
        <f>IFERROR(IFERROR(INDEX('Fixture and LED Schedule'!D:D,MATCH(K653,'Fixture and LED Schedule'!C:C,0),1),K653),"")</f>
        <v>0</v>
      </c>
      <c r="O653" s="858" t="str">
        <f>IFERROR(INDEX(yControl_Code,MATCH(Inventory!M653,yControlTypes,0),1),"")</f>
        <v/>
      </c>
      <c r="P653" s="860" t="str">
        <f>'Lighting Inventory (Ref only)'!AG656</f>
        <v/>
      </c>
      <c r="Q653" s="861" t="str">
        <f>'Lighting Inventory (Ref only)'!AF656</f>
        <v/>
      </c>
      <c r="R653" s="856" t="str">
        <f t="shared" si="21"/>
        <v/>
      </c>
      <c r="S653" s="856" t="str">
        <f>IFERROR(ROUND(R653*'Project Info and Summary'!$J$5/'Project Info and Summary'!$L$5,2),"")</f>
        <v/>
      </c>
    </row>
    <row r="654" spans="1:19" ht="30" customHeight="1">
      <c r="A654" s="948"/>
      <c r="B654" s="496">
        <f t="shared" si="20"/>
        <v>645</v>
      </c>
      <c r="C654" s="864"/>
      <c r="D654" s="505"/>
      <c r="E654" s="866"/>
      <c r="F654" s="498"/>
      <c r="G654" s="499"/>
      <c r="H654" s="492"/>
      <c r="I654" s="855">
        <f>IFERROR(IFERROR(INDEX('Fixture and LED Schedule'!D:D,MATCH(F654,'Fixture and LED Schedule'!C:C,""),1),F654),"")</f>
        <v>0</v>
      </c>
      <c r="J654" s="855" t="str">
        <f>IFERROR(IF(PRJ_Type="New Construction",H654,INDEX(yControl_Code,MATCH(Inventory!H654,yControlTypes,0),1)),"")</f>
        <v/>
      </c>
      <c r="K654" s="493"/>
      <c r="L654" s="501"/>
      <c r="M654" s="502"/>
      <c r="N654" s="855">
        <f>IFERROR(IFERROR(INDEX('Fixture and LED Schedule'!D:D,MATCH(K654,'Fixture and LED Schedule'!C:C,0),1),K654),"")</f>
        <v>0</v>
      </c>
      <c r="O654" s="858" t="str">
        <f>IFERROR(INDEX(yControl_Code,MATCH(Inventory!M654,yControlTypes,0),1),"")</f>
        <v/>
      </c>
      <c r="P654" s="860" t="str">
        <f>'Lighting Inventory (Ref only)'!AG657</f>
        <v/>
      </c>
      <c r="Q654" s="861" t="str">
        <f>'Lighting Inventory (Ref only)'!AF657</f>
        <v/>
      </c>
      <c r="R654" s="856" t="str">
        <f t="shared" si="21"/>
        <v/>
      </c>
      <c r="S654" s="856" t="str">
        <f>IFERROR(ROUND(R654*'Project Info and Summary'!$J$5/'Project Info and Summary'!$L$5,2),"")</f>
        <v/>
      </c>
    </row>
    <row r="655" spans="1:19" ht="30" customHeight="1">
      <c r="A655" s="948"/>
      <c r="B655" s="496">
        <f t="shared" si="20"/>
        <v>646</v>
      </c>
      <c r="C655" s="864"/>
      <c r="D655" s="505"/>
      <c r="E655" s="866"/>
      <c r="F655" s="498"/>
      <c r="G655" s="499"/>
      <c r="H655" s="492"/>
      <c r="I655" s="855">
        <f>IFERROR(IFERROR(INDEX('Fixture and LED Schedule'!D:D,MATCH(F655,'Fixture and LED Schedule'!C:C,""),1),F655),"")</f>
        <v>0</v>
      </c>
      <c r="J655" s="855" t="str">
        <f>IFERROR(IF(PRJ_Type="New Construction",H655,INDEX(yControl_Code,MATCH(Inventory!H655,yControlTypes,0),1)),"")</f>
        <v/>
      </c>
      <c r="K655" s="493"/>
      <c r="L655" s="501"/>
      <c r="M655" s="502"/>
      <c r="N655" s="855">
        <f>IFERROR(IFERROR(INDEX('Fixture and LED Schedule'!D:D,MATCH(K655,'Fixture and LED Schedule'!C:C,0),1),K655),"")</f>
        <v>0</v>
      </c>
      <c r="O655" s="858" t="str">
        <f>IFERROR(INDEX(yControl_Code,MATCH(Inventory!M655,yControlTypes,0),1),"")</f>
        <v/>
      </c>
      <c r="P655" s="860" t="str">
        <f>'Lighting Inventory (Ref only)'!AG658</f>
        <v/>
      </c>
      <c r="Q655" s="861" t="str">
        <f>'Lighting Inventory (Ref only)'!AF658</f>
        <v/>
      </c>
      <c r="R655" s="856" t="str">
        <f t="shared" si="21"/>
        <v/>
      </c>
      <c r="S655" s="856" t="str">
        <f>IFERROR(ROUND(R655*'Project Info and Summary'!$J$5/'Project Info and Summary'!$L$5,2),"")</f>
        <v/>
      </c>
    </row>
    <row r="656" spans="1:19" ht="30" customHeight="1">
      <c r="A656" s="948"/>
      <c r="B656" s="496">
        <f t="shared" si="20"/>
        <v>647</v>
      </c>
      <c r="C656" s="864"/>
      <c r="D656" s="505"/>
      <c r="E656" s="866"/>
      <c r="F656" s="498"/>
      <c r="G656" s="499"/>
      <c r="H656" s="492"/>
      <c r="I656" s="855">
        <f>IFERROR(IFERROR(INDEX('Fixture and LED Schedule'!D:D,MATCH(F656,'Fixture and LED Schedule'!C:C,""),1),F656),"")</f>
        <v>0</v>
      </c>
      <c r="J656" s="855" t="str">
        <f>IFERROR(IF(PRJ_Type="New Construction",H656,INDEX(yControl_Code,MATCH(Inventory!H656,yControlTypes,0),1)),"")</f>
        <v/>
      </c>
      <c r="K656" s="493"/>
      <c r="L656" s="501"/>
      <c r="M656" s="502"/>
      <c r="N656" s="855">
        <f>IFERROR(IFERROR(INDEX('Fixture and LED Schedule'!D:D,MATCH(K656,'Fixture and LED Schedule'!C:C,0),1),K656),"")</f>
        <v>0</v>
      </c>
      <c r="O656" s="858" t="str">
        <f>IFERROR(INDEX(yControl_Code,MATCH(Inventory!M656,yControlTypes,0),1),"")</f>
        <v/>
      </c>
      <c r="P656" s="860" t="str">
        <f>'Lighting Inventory (Ref only)'!AG659</f>
        <v/>
      </c>
      <c r="Q656" s="861" t="str">
        <f>'Lighting Inventory (Ref only)'!AF659</f>
        <v/>
      </c>
      <c r="R656" s="856" t="str">
        <f t="shared" si="21"/>
        <v/>
      </c>
      <c r="S656" s="856" t="str">
        <f>IFERROR(ROUND(R656*'Project Info and Summary'!$J$5/'Project Info and Summary'!$L$5,2),"")</f>
        <v/>
      </c>
    </row>
    <row r="657" spans="1:19" ht="30" customHeight="1">
      <c r="A657" s="948"/>
      <c r="B657" s="496">
        <f t="shared" si="20"/>
        <v>648</v>
      </c>
      <c r="C657" s="864"/>
      <c r="D657" s="505"/>
      <c r="E657" s="866"/>
      <c r="F657" s="498"/>
      <c r="G657" s="499"/>
      <c r="H657" s="492"/>
      <c r="I657" s="855">
        <f>IFERROR(IFERROR(INDEX('Fixture and LED Schedule'!D:D,MATCH(F657,'Fixture and LED Schedule'!C:C,""),1),F657),"")</f>
        <v>0</v>
      </c>
      <c r="J657" s="855" t="str">
        <f>IFERROR(IF(PRJ_Type="New Construction",H657,INDEX(yControl_Code,MATCH(Inventory!H657,yControlTypes,0),1)),"")</f>
        <v/>
      </c>
      <c r="K657" s="493"/>
      <c r="L657" s="501"/>
      <c r="M657" s="502"/>
      <c r="N657" s="855">
        <f>IFERROR(IFERROR(INDEX('Fixture and LED Schedule'!D:D,MATCH(K657,'Fixture and LED Schedule'!C:C,0),1),K657),"")</f>
        <v>0</v>
      </c>
      <c r="O657" s="858" t="str">
        <f>IFERROR(INDEX(yControl_Code,MATCH(Inventory!M657,yControlTypes,0),1),"")</f>
        <v/>
      </c>
      <c r="P657" s="860" t="str">
        <f>'Lighting Inventory (Ref only)'!AG660</f>
        <v/>
      </c>
      <c r="Q657" s="861" t="str">
        <f>'Lighting Inventory (Ref only)'!AF660</f>
        <v/>
      </c>
      <c r="R657" s="856" t="str">
        <f t="shared" si="21"/>
        <v/>
      </c>
      <c r="S657" s="856" t="str">
        <f>IFERROR(ROUND(R657*'Project Info and Summary'!$J$5/'Project Info and Summary'!$L$5,2),"")</f>
        <v/>
      </c>
    </row>
    <row r="658" spans="1:19" ht="30" customHeight="1">
      <c r="A658" s="948"/>
      <c r="B658" s="496">
        <f t="shared" si="20"/>
        <v>649</v>
      </c>
      <c r="C658" s="864"/>
      <c r="D658" s="505"/>
      <c r="E658" s="866"/>
      <c r="F658" s="498"/>
      <c r="G658" s="499"/>
      <c r="H658" s="492"/>
      <c r="I658" s="855">
        <f>IFERROR(IFERROR(INDEX('Fixture and LED Schedule'!D:D,MATCH(F658,'Fixture and LED Schedule'!C:C,""),1),F658),"")</f>
        <v>0</v>
      </c>
      <c r="J658" s="855" t="str">
        <f>IFERROR(IF(PRJ_Type="New Construction",H658,INDEX(yControl_Code,MATCH(Inventory!H658,yControlTypes,0),1)),"")</f>
        <v/>
      </c>
      <c r="K658" s="493"/>
      <c r="L658" s="501"/>
      <c r="M658" s="502"/>
      <c r="N658" s="855">
        <f>IFERROR(IFERROR(INDEX('Fixture and LED Schedule'!D:D,MATCH(K658,'Fixture and LED Schedule'!C:C,0),1),K658),"")</f>
        <v>0</v>
      </c>
      <c r="O658" s="858" t="str">
        <f>IFERROR(INDEX(yControl_Code,MATCH(Inventory!M658,yControlTypes,0),1),"")</f>
        <v/>
      </c>
      <c r="P658" s="860" t="str">
        <f>'Lighting Inventory (Ref only)'!AG661</f>
        <v/>
      </c>
      <c r="Q658" s="861" t="str">
        <f>'Lighting Inventory (Ref only)'!AF661</f>
        <v/>
      </c>
      <c r="R658" s="856" t="str">
        <f t="shared" si="21"/>
        <v/>
      </c>
      <c r="S658" s="856" t="str">
        <f>IFERROR(ROUND(R658*'Project Info and Summary'!$J$5/'Project Info and Summary'!$L$5,2),"")</f>
        <v/>
      </c>
    </row>
    <row r="659" spans="1:19" ht="30" customHeight="1">
      <c r="A659" s="948"/>
      <c r="B659" s="496">
        <f t="shared" si="20"/>
        <v>650</v>
      </c>
      <c r="C659" s="864"/>
      <c r="D659" s="505"/>
      <c r="E659" s="866"/>
      <c r="F659" s="498"/>
      <c r="G659" s="499"/>
      <c r="H659" s="492"/>
      <c r="I659" s="855">
        <f>IFERROR(IFERROR(INDEX('Fixture and LED Schedule'!D:D,MATCH(F659,'Fixture and LED Schedule'!C:C,""),1),F659),"")</f>
        <v>0</v>
      </c>
      <c r="J659" s="855" t="str">
        <f>IFERROR(IF(PRJ_Type="New Construction",H659,INDEX(yControl_Code,MATCH(Inventory!H659,yControlTypes,0),1)),"")</f>
        <v/>
      </c>
      <c r="K659" s="493"/>
      <c r="L659" s="501"/>
      <c r="M659" s="502"/>
      <c r="N659" s="855">
        <f>IFERROR(IFERROR(INDEX('Fixture and LED Schedule'!D:D,MATCH(K659,'Fixture and LED Schedule'!C:C,0),1),K659),"")</f>
        <v>0</v>
      </c>
      <c r="O659" s="858" t="str">
        <f>IFERROR(INDEX(yControl_Code,MATCH(Inventory!M659,yControlTypes,0),1),"")</f>
        <v/>
      </c>
      <c r="P659" s="860" t="str">
        <f>'Lighting Inventory (Ref only)'!AG662</f>
        <v/>
      </c>
      <c r="Q659" s="861" t="str">
        <f>'Lighting Inventory (Ref only)'!AF662</f>
        <v/>
      </c>
      <c r="R659" s="856" t="str">
        <f t="shared" si="21"/>
        <v/>
      </c>
      <c r="S659" s="856" t="str">
        <f>IFERROR(ROUND(R659*'Project Info and Summary'!$J$5/'Project Info and Summary'!$L$5,2),"")</f>
        <v/>
      </c>
    </row>
    <row r="660" spans="1:19" ht="30" customHeight="1">
      <c r="A660" s="948"/>
      <c r="B660" s="496">
        <f t="shared" si="20"/>
        <v>651</v>
      </c>
      <c r="C660" s="864"/>
      <c r="D660" s="505"/>
      <c r="E660" s="866"/>
      <c r="F660" s="498"/>
      <c r="G660" s="499"/>
      <c r="H660" s="492"/>
      <c r="I660" s="855">
        <f>IFERROR(IFERROR(INDEX('Fixture and LED Schedule'!D:D,MATCH(F660,'Fixture and LED Schedule'!C:C,""),1),F660),"")</f>
        <v>0</v>
      </c>
      <c r="J660" s="855" t="str">
        <f>IFERROR(IF(PRJ_Type="New Construction",H660,INDEX(yControl_Code,MATCH(Inventory!H660,yControlTypes,0),1)),"")</f>
        <v/>
      </c>
      <c r="K660" s="493"/>
      <c r="L660" s="501"/>
      <c r="M660" s="502"/>
      <c r="N660" s="855">
        <f>IFERROR(IFERROR(INDEX('Fixture and LED Schedule'!D:D,MATCH(K660,'Fixture and LED Schedule'!C:C,0),1),K660),"")</f>
        <v>0</v>
      </c>
      <c r="O660" s="858" t="str">
        <f>IFERROR(INDEX(yControl_Code,MATCH(Inventory!M660,yControlTypes,0),1),"")</f>
        <v/>
      </c>
      <c r="P660" s="860" t="str">
        <f>'Lighting Inventory (Ref only)'!AG663</f>
        <v/>
      </c>
      <c r="Q660" s="861" t="str">
        <f>'Lighting Inventory (Ref only)'!AF663</f>
        <v/>
      </c>
      <c r="R660" s="856" t="str">
        <f t="shared" si="21"/>
        <v/>
      </c>
      <c r="S660" s="856" t="str">
        <f>IFERROR(ROUND(R660*'Project Info and Summary'!$J$5/'Project Info and Summary'!$L$5,2),"")</f>
        <v/>
      </c>
    </row>
    <row r="661" spans="1:19" ht="30" customHeight="1">
      <c r="A661" s="948"/>
      <c r="B661" s="496">
        <f t="shared" si="20"/>
        <v>652</v>
      </c>
      <c r="C661" s="864"/>
      <c r="D661" s="505"/>
      <c r="E661" s="866"/>
      <c r="F661" s="498"/>
      <c r="G661" s="499"/>
      <c r="H661" s="492"/>
      <c r="I661" s="855">
        <f>IFERROR(IFERROR(INDEX('Fixture and LED Schedule'!D:D,MATCH(F661,'Fixture and LED Schedule'!C:C,""),1),F661),"")</f>
        <v>0</v>
      </c>
      <c r="J661" s="855" t="str">
        <f>IFERROR(IF(PRJ_Type="New Construction",H661,INDEX(yControl_Code,MATCH(Inventory!H661,yControlTypes,0),1)),"")</f>
        <v/>
      </c>
      <c r="K661" s="493"/>
      <c r="L661" s="501"/>
      <c r="M661" s="502"/>
      <c r="N661" s="855">
        <f>IFERROR(IFERROR(INDEX('Fixture and LED Schedule'!D:D,MATCH(K661,'Fixture and LED Schedule'!C:C,0),1),K661),"")</f>
        <v>0</v>
      </c>
      <c r="O661" s="858" t="str">
        <f>IFERROR(INDEX(yControl_Code,MATCH(Inventory!M661,yControlTypes,0),1),"")</f>
        <v/>
      </c>
      <c r="P661" s="860" t="str">
        <f>'Lighting Inventory (Ref only)'!AG664</f>
        <v/>
      </c>
      <c r="Q661" s="861" t="str">
        <f>'Lighting Inventory (Ref only)'!AF664</f>
        <v/>
      </c>
      <c r="R661" s="856" t="str">
        <f t="shared" si="21"/>
        <v/>
      </c>
      <c r="S661" s="856" t="str">
        <f>IFERROR(ROUND(R661*'Project Info and Summary'!$J$5/'Project Info and Summary'!$L$5,2),"")</f>
        <v/>
      </c>
    </row>
    <row r="662" spans="1:19" ht="30" customHeight="1">
      <c r="A662" s="948"/>
      <c r="B662" s="496">
        <f t="shared" si="20"/>
        <v>653</v>
      </c>
      <c r="C662" s="864"/>
      <c r="D662" s="505"/>
      <c r="E662" s="866"/>
      <c r="F662" s="498"/>
      <c r="G662" s="499"/>
      <c r="H662" s="492"/>
      <c r="I662" s="855">
        <f>IFERROR(IFERROR(INDEX('Fixture and LED Schedule'!D:D,MATCH(F662,'Fixture and LED Schedule'!C:C,""),1),F662),"")</f>
        <v>0</v>
      </c>
      <c r="J662" s="855" t="str">
        <f>IFERROR(IF(PRJ_Type="New Construction",H662,INDEX(yControl_Code,MATCH(Inventory!H662,yControlTypes,0),1)),"")</f>
        <v/>
      </c>
      <c r="K662" s="493"/>
      <c r="L662" s="501"/>
      <c r="M662" s="502"/>
      <c r="N662" s="855">
        <f>IFERROR(IFERROR(INDEX('Fixture and LED Schedule'!D:D,MATCH(K662,'Fixture and LED Schedule'!C:C,0),1),K662),"")</f>
        <v>0</v>
      </c>
      <c r="O662" s="858" t="str">
        <f>IFERROR(INDEX(yControl_Code,MATCH(Inventory!M662,yControlTypes,0),1),"")</f>
        <v/>
      </c>
      <c r="P662" s="860" t="str">
        <f>'Lighting Inventory (Ref only)'!AG665</f>
        <v/>
      </c>
      <c r="Q662" s="861" t="str">
        <f>'Lighting Inventory (Ref only)'!AF665</f>
        <v/>
      </c>
      <c r="R662" s="856" t="str">
        <f t="shared" si="21"/>
        <v/>
      </c>
      <c r="S662" s="856" t="str">
        <f>IFERROR(ROUND(R662*'Project Info and Summary'!$J$5/'Project Info and Summary'!$L$5,2),"")</f>
        <v/>
      </c>
    </row>
    <row r="663" spans="1:19" ht="30" customHeight="1">
      <c r="A663" s="948"/>
      <c r="B663" s="496">
        <f t="shared" si="20"/>
        <v>654</v>
      </c>
      <c r="C663" s="864"/>
      <c r="D663" s="505"/>
      <c r="E663" s="866"/>
      <c r="F663" s="498"/>
      <c r="G663" s="499"/>
      <c r="H663" s="492"/>
      <c r="I663" s="855">
        <f>IFERROR(IFERROR(INDEX('Fixture and LED Schedule'!D:D,MATCH(F663,'Fixture and LED Schedule'!C:C,""),1),F663),"")</f>
        <v>0</v>
      </c>
      <c r="J663" s="855" t="str">
        <f>IFERROR(IF(PRJ_Type="New Construction",H663,INDEX(yControl_Code,MATCH(Inventory!H663,yControlTypes,0),1)),"")</f>
        <v/>
      </c>
      <c r="K663" s="493"/>
      <c r="L663" s="501"/>
      <c r="M663" s="502"/>
      <c r="N663" s="855">
        <f>IFERROR(IFERROR(INDEX('Fixture and LED Schedule'!D:D,MATCH(K663,'Fixture and LED Schedule'!C:C,0),1),K663),"")</f>
        <v>0</v>
      </c>
      <c r="O663" s="858" t="str">
        <f>IFERROR(INDEX(yControl_Code,MATCH(Inventory!M663,yControlTypes,0),1),"")</f>
        <v/>
      </c>
      <c r="P663" s="860" t="str">
        <f>'Lighting Inventory (Ref only)'!AG666</f>
        <v/>
      </c>
      <c r="Q663" s="861" t="str">
        <f>'Lighting Inventory (Ref only)'!AF666</f>
        <v/>
      </c>
      <c r="R663" s="856" t="str">
        <f t="shared" si="21"/>
        <v/>
      </c>
      <c r="S663" s="856" t="str">
        <f>IFERROR(ROUND(R663*'Project Info and Summary'!$J$5/'Project Info and Summary'!$L$5,2),"")</f>
        <v/>
      </c>
    </row>
    <row r="664" spans="1:19" ht="30" customHeight="1">
      <c r="A664" s="948"/>
      <c r="B664" s="496">
        <f t="shared" si="20"/>
        <v>655</v>
      </c>
      <c r="C664" s="864"/>
      <c r="D664" s="505"/>
      <c r="E664" s="866"/>
      <c r="F664" s="498"/>
      <c r="G664" s="499"/>
      <c r="H664" s="492"/>
      <c r="I664" s="855">
        <f>IFERROR(IFERROR(INDEX('Fixture and LED Schedule'!D:D,MATCH(F664,'Fixture and LED Schedule'!C:C,""),1),F664),"")</f>
        <v>0</v>
      </c>
      <c r="J664" s="855" t="str">
        <f>IFERROR(IF(PRJ_Type="New Construction",H664,INDEX(yControl_Code,MATCH(Inventory!H664,yControlTypes,0),1)),"")</f>
        <v/>
      </c>
      <c r="K664" s="493"/>
      <c r="L664" s="501"/>
      <c r="M664" s="502"/>
      <c r="N664" s="855">
        <f>IFERROR(IFERROR(INDEX('Fixture and LED Schedule'!D:D,MATCH(K664,'Fixture and LED Schedule'!C:C,0),1),K664),"")</f>
        <v>0</v>
      </c>
      <c r="O664" s="858" t="str">
        <f>IFERROR(INDEX(yControl_Code,MATCH(Inventory!M664,yControlTypes,0),1),"")</f>
        <v/>
      </c>
      <c r="P664" s="860" t="str">
        <f>'Lighting Inventory (Ref only)'!AG667</f>
        <v/>
      </c>
      <c r="Q664" s="861" t="str">
        <f>'Lighting Inventory (Ref only)'!AF667</f>
        <v/>
      </c>
      <c r="R664" s="856" t="str">
        <f t="shared" si="21"/>
        <v/>
      </c>
      <c r="S664" s="856" t="str">
        <f>IFERROR(ROUND(R664*'Project Info and Summary'!$J$5/'Project Info and Summary'!$L$5,2),"")</f>
        <v/>
      </c>
    </row>
    <row r="665" spans="1:19" ht="30" customHeight="1">
      <c r="A665" s="948"/>
      <c r="B665" s="496">
        <f t="shared" si="20"/>
        <v>656</v>
      </c>
      <c r="C665" s="864"/>
      <c r="D665" s="505"/>
      <c r="E665" s="866"/>
      <c r="F665" s="498"/>
      <c r="G665" s="499"/>
      <c r="H665" s="492"/>
      <c r="I665" s="855">
        <f>IFERROR(IFERROR(INDEX('Fixture and LED Schedule'!D:D,MATCH(F665,'Fixture and LED Schedule'!C:C,""),1),F665),"")</f>
        <v>0</v>
      </c>
      <c r="J665" s="855" t="str">
        <f>IFERROR(IF(PRJ_Type="New Construction",H665,INDEX(yControl_Code,MATCH(Inventory!H665,yControlTypes,0),1)),"")</f>
        <v/>
      </c>
      <c r="K665" s="493"/>
      <c r="L665" s="501"/>
      <c r="M665" s="502"/>
      <c r="N665" s="855">
        <f>IFERROR(IFERROR(INDEX('Fixture and LED Schedule'!D:D,MATCH(K665,'Fixture and LED Schedule'!C:C,0),1),K665),"")</f>
        <v>0</v>
      </c>
      <c r="O665" s="858" t="str">
        <f>IFERROR(INDEX(yControl_Code,MATCH(Inventory!M665,yControlTypes,0),1),"")</f>
        <v/>
      </c>
      <c r="P665" s="860" t="str">
        <f>'Lighting Inventory (Ref only)'!AG668</f>
        <v/>
      </c>
      <c r="Q665" s="861" t="str">
        <f>'Lighting Inventory (Ref only)'!AF668</f>
        <v/>
      </c>
      <c r="R665" s="856" t="str">
        <f t="shared" si="21"/>
        <v/>
      </c>
      <c r="S665" s="856" t="str">
        <f>IFERROR(ROUND(R665*'Project Info and Summary'!$J$5/'Project Info and Summary'!$L$5,2),"")</f>
        <v/>
      </c>
    </row>
    <row r="666" spans="1:19" ht="30" customHeight="1">
      <c r="A666" s="948"/>
      <c r="B666" s="496">
        <f t="shared" si="20"/>
        <v>657</v>
      </c>
      <c r="C666" s="864"/>
      <c r="D666" s="505"/>
      <c r="E666" s="866"/>
      <c r="F666" s="498"/>
      <c r="G666" s="499"/>
      <c r="H666" s="492"/>
      <c r="I666" s="855">
        <f>IFERROR(IFERROR(INDEX('Fixture and LED Schedule'!D:D,MATCH(F666,'Fixture and LED Schedule'!C:C,""),1),F666),"")</f>
        <v>0</v>
      </c>
      <c r="J666" s="855" t="str">
        <f>IFERROR(IF(PRJ_Type="New Construction",H666,INDEX(yControl_Code,MATCH(Inventory!H666,yControlTypes,0),1)),"")</f>
        <v/>
      </c>
      <c r="K666" s="493"/>
      <c r="L666" s="501"/>
      <c r="M666" s="502"/>
      <c r="N666" s="855">
        <f>IFERROR(IFERROR(INDEX('Fixture and LED Schedule'!D:D,MATCH(K666,'Fixture and LED Schedule'!C:C,0),1),K666),"")</f>
        <v>0</v>
      </c>
      <c r="O666" s="858" t="str">
        <f>IFERROR(INDEX(yControl_Code,MATCH(Inventory!M666,yControlTypes,0),1),"")</f>
        <v/>
      </c>
      <c r="P666" s="860" t="str">
        <f>'Lighting Inventory (Ref only)'!AG669</f>
        <v/>
      </c>
      <c r="Q666" s="861" t="str">
        <f>'Lighting Inventory (Ref only)'!AF669</f>
        <v/>
      </c>
      <c r="R666" s="856" t="str">
        <f t="shared" si="21"/>
        <v/>
      </c>
      <c r="S666" s="856" t="str">
        <f>IFERROR(ROUND(R666*'Project Info and Summary'!$J$5/'Project Info and Summary'!$L$5,2),"")</f>
        <v/>
      </c>
    </row>
    <row r="667" spans="1:19" ht="30" customHeight="1">
      <c r="A667" s="948"/>
      <c r="B667" s="496">
        <f t="shared" si="20"/>
        <v>658</v>
      </c>
      <c r="C667" s="864"/>
      <c r="D667" s="505"/>
      <c r="E667" s="866"/>
      <c r="F667" s="498"/>
      <c r="G667" s="499"/>
      <c r="H667" s="492"/>
      <c r="I667" s="855">
        <f>IFERROR(IFERROR(INDEX('Fixture and LED Schedule'!D:D,MATCH(F667,'Fixture and LED Schedule'!C:C,""),1),F667),"")</f>
        <v>0</v>
      </c>
      <c r="J667" s="855" t="str">
        <f>IFERROR(IF(PRJ_Type="New Construction",H667,INDEX(yControl_Code,MATCH(Inventory!H667,yControlTypes,0),1)),"")</f>
        <v/>
      </c>
      <c r="K667" s="493"/>
      <c r="L667" s="501"/>
      <c r="M667" s="502"/>
      <c r="N667" s="855">
        <f>IFERROR(IFERROR(INDEX('Fixture and LED Schedule'!D:D,MATCH(K667,'Fixture and LED Schedule'!C:C,0),1),K667),"")</f>
        <v>0</v>
      </c>
      <c r="O667" s="858" t="str">
        <f>IFERROR(INDEX(yControl_Code,MATCH(Inventory!M667,yControlTypes,0),1),"")</f>
        <v/>
      </c>
      <c r="P667" s="860" t="str">
        <f>'Lighting Inventory (Ref only)'!AG670</f>
        <v/>
      </c>
      <c r="Q667" s="861" t="str">
        <f>'Lighting Inventory (Ref only)'!AF670</f>
        <v/>
      </c>
      <c r="R667" s="856" t="str">
        <f t="shared" si="21"/>
        <v/>
      </c>
      <c r="S667" s="856" t="str">
        <f>IFERROR(ROUND(R667*'Project Info and Summary'!$J$5/'Project Info and Summary'!$L$5,2),"")</f>
        <v/>
      </c>
    </row>
    <row r="668" spans="1:19" ht="30" customHeight="1">
      <c r="A668" s="948"/>
      <c r="B668" s="496">
        <f t="shared" si="20"/>
        <v>659</v>
      </c>
      <c r="C668" s="864"/>
      <c r="D668" s="505"/>
      <c r="E668" s="866"/>
      <c r="F668" s="498"/>
      <c r="G668" s="499"/>
      <c r="H668" s="492"/>
      <c r="I668" s="855">
        <f>IFERROR(IFERROR(INDEX('Fixture and LED Schedule'!D:D,MATCH(F668,'Fixture and LED Schedule'!C:C,""),1),F668),"")</f>
        <v>0</v>
      </c>
      <c r="J668" s="855" t="str">
        <f>IFERROR(IF(PRJ_Type="New Construction",H668,INDEX(yControl_Code,MATCH(Inventory!H668,yControlTypes,0),1)),"")</f>
        <v/>
      </c>
      <c r="K668" s="493"/>
      <c r="L668" s="501"/>
      <c r="M668" s="502"/>
      <c r="N668" s="855">
        <f>IFERROR(IFERROR(INDEX('Fixture and LED Schedule'!D:D,MATCH(K668,'Fixture and LED Schedule'!C:C,0),1),K668),"")</f>
        <v>0</v>
      </c>
      <c r="O668" s="858" t="str">
        <f>IFERROR(INDEX(yControl_Code,MATCH(Inventory!M668,yControlTypes,0),1),"")</f>
        <v/>
      </c>
      <c r="P668" s="860" t="str">
        <f>'Lighting Inventory (Ref only)'!AG671</f>
        <v/>
      </c>
      <c r="Q668" s="861" t="str">
        <f>'Lighting Inventory (Ref only)'!AF671</f>
        <v/>
      </c>
      <c r="R668" s="856" t="str">
        <f t="shared" si="21"/>
        <v/>
      </c>
      <c r="S668" s="856" t="str">
        <f>IFERROR(ROUND(R668*'Project Info and Summary'!$J$5/'Project Info and Summary'!$L$5,2),"")</f>
        <v/>
      </c>
    </row>
    <row r="669" spans="1:19" ht="30" customHeight="1">
      <c r="A669" s="948"/>
      <c r="B669" s="496">
        <f t="shared" si="20"/>
        <v>660</v>
      </c>
      <c r="C669" s="864"/>
      <c r="D669" s="505"/>
      <c r="E669" s="866"/>
      <c r="F669" s="498"/>
      <c r="G669" s="499"/>
      <c r="H669" s="492"/>
      <c r="I669" s="855">
        <f>IFERROR(IFERROR(INDEX('Fixture and LED Schedule'!D:D,MATCH(F669,'Fixture and LED Schedule'!C:C,""),1),F669),"")</f>
        <v>0</v>
      </c>
      <c r="J669" s="855" t="str">
        <f>IFERROR(IF(PRJ_Type="New Construction",H669,INDEX(yControl_Code,MATCH(Inventory!H669,yControlTypes,0),1)),"")</f>
        <v/>
      </c>
      <c r="K669" s="493"/>
      <c r="L669" s="501"/>
      <c r="M669" s="502"/>
      <c r="N669" s="855">
        <f>IFERROR(IFERROR(INDEX('Fixture and LED Schedule'!D:D,MATCH(K669,'Fixture and LED Schedule'!C:C,0),1),K669),"")</f>
        <v>0</v>
      </c>
      <c r="O669" s="858" t="str">
        <f>IFERROR(INDEX(yControl_Code,MATCH(Inventory!M669,yControlTypes,0),1),"")</f>
        <v/>
      </c>
      <c r="P669" s="860" t="str">
        <f>'Lighting Inventory (Ref only)'!AG672</f>
        <v/>
      </c>
      <c r="Q669" s="861" t="str">
        <f>'Lighting Inventory (Ref only)'!AF672</f>
        <v/>
      </c>
      <c r="R669" s="856" t="str">
        <f t="shared" si="21"/>
        <v/>
      </c>
      <c r="S669" s="856" t="str">
        <f>IFERROR(ROUND(R669*'Project Info and Summary'!$J$5/'Project Info and Summary'!$L$5,2),"")</f>
        <v/>
      </c>
    </row>
    <row r="670" spans="1:19" ht="30" customHeight="1">
      <c r="A670" s="948"/>
      <c r="B670" s="496">
        <f t="shared" si="20"/>
        <v>661</v>
      </c>
      <c r="C670" s="864"/>
      <c r="D670" s="505"/>
      <c r="E670" s="866"/>
      <c r="F670" s="498"/>
      <c r="G670" s="499"/>
      <c r="H670" s="492"/>
      <c r="I670" s="855">
        <f>IFERROR(IFERROR(INDEX('Fixture and LED Schedule'!D:D,MATCH(F670,'Fixture and LED Schedule'!C:C,""),1),F670),"")</f>
        <v>0</v>
      </c>
      <c r="J670" s="855" t="str">
        <f>IFERROR(IF(PRJ_Type="New Construction",H670,INDEX(yControl_Code,MATCH(Inventory!H670,yControlTypes,0),1)),"")</f>
        <v/>
      </c>
      <c r="K670" s="493"/>
      <c r="L670" s="501"/>
      <c r="M670" s="502"/>
      <c r="N670" s="855">
        <f>IFERROR(IFERROR(INDEX('Fixture and LED Schedule'!D:D,MATCH(K670,'Fixture and LED Schedule'!C:C,0),1),K670),"")</f>
        <v>0</v>
      </c>
      <c r="O670" s="858" t="str">
        <f>IFERROR(INDEX(yControl_Code,MATCH(Inventory!M670,yControlTypes,0),1),"")</f>
        <v/>
      </c>
      <c r="P670" s="860" t="str">
        <f>'Lighting Inventory (Ref only)'!AG673</f>
        <v/>
      </c>
      <c r="Q670" s="861" t="str">
        <f>'Lighting Inventory (Ref only)'!AF673</f>
        <v/>
      </c>
      <c r="R670" s="856" t="str">
        <f t="shared" si="21"/>
        <v/>
      </c>
      <c r="S670" s="856" t="str">
        <f>IFERROR(ROUND(R670*'Project Info and Summary'!$J$5/'Project Info and Summary'!$L$5,2),"")</f>
        <v/>
      </c>
    </row>
    <row r="671" spans="1:19" ht="30" customHeight="1">
      <c r="A671" s="948"/>
      <c r="B671" s="496">
        <f t="shared" si="20"/>
        <v>662</v>
      </c>
      <c r="C671" s="864"/>
      <c r="D671" s="505"/>
      <c r="E671" s="866"/>
      <c r="F671" s="498"/>
      <c r="G671" s="499"/>
      <c r="H671" s="492"/>
      <c r="I671" s="855">
        <f>IFERROR(IFERROR(INDEX('Fixture and LED Schedule'!D:D,MATCH(F671,'Fixture and LED Schedule'!C:C,""),1),F671),"")</f>
        <v>0</v>
      </c>
      <c r="J671" s="855" t="str">
        <f>IFERROR(IF(PRJ_Type="New Construction",H671,INDEX(yControl_Code,MATCH(Inventory!H671,yControlTypes,0),1)),"")</f>
        <v/>
      </c>
      <c r="K671" s="493"/>
      <c r="L671" s="501"/>
      <c r="M671" s="502"/>
      <c r="N671" s="855">
        <f>IFERROR(IFERROR(INDEX('Fixture and LED Schedule'!D:D,MATCH(K671,'Fixture and LED Schedule'!C:C,0),1),K671),"")</f>
        <v>0</v>
      </c>
      <c r="O671" s="858" t="str">
        <f>IFERROR(INDEX(yControl_Code,MATCH(Inventory!M671,yControlTypes,0),1),"")</f>
        <v/>
      </c>
      <c r="P671" s="860" t="str">
        <f>'Lighting Inventory (Ref only)'!AG674</f>
        <v/>
      </c>
      <c r="Q671" s="861" t="str">
        <f>'Lighting Inventory (Ref only)'!AF674</f>
        <v/>
      </c>
      <c r="R671" s="856" t="str">
        <f t="shared" si="21"/>
        <v/>
      </c>
      <c r="S671" s="856" t="str">
        <f>IFERROR(ROUND(R671*'Project Info and Summary'!$J$5/'Project Info and Summary'!$L$5,2),"")</f>
        <v/>
      </c>
    </row>
    <row r="672" spans="1:19" ht="30" customHeight="1">
      <c r="A672" s="948"/>
      <c r="B672" s="496">
        <f t="shared" si="20"/>
        <v>663</v>
      </c>
      <c r="C672" s="864"/>
      <c r="D672" s="505"/>
      <c r="E672" s="866"/>
      <c r="F672" s="498"/>
      <c r="G672" s="499"/>
      <c r="H672" s="492"/>
      <c r="I672" s="855">
        <f>IFERROR(IFERROR(INDEX('Fixture and LED Schedule'!D:D,MATCH(F672,'Fixture and LED Schedule'!C:C,""),1),F672),"")</f>
        <v>0</v>
      </c>
      <c r="J672" s="855" t="str">
        <f>IFERROR(IF(PRJ_Type="New Construction",H672,INDEX(yControl_Code,MATCH(Inventory!H672,yControlTypes,0),1)),"")</f>
        <v/>
      </c>
      <c r="K672" s="493"/>
      <c r="L672" s="501"/>
      <c r="M672" s="502"/>
      <c r="N672" s="855">
        <f>IFERROR(IFERROR(INDEX('Fixture and LED Schedule'!D:D,MATCH(K672,'Fixture and LED Schedule'!C:C,0),1),K672),"")</f>
        <v>0</v>
      </c>
      <c r="O672" s="858" t="str">
        <f>IFERROR(INDEX(yControl_Code,MATCH(Inventory!M672,yControlTypes,0),1),"")</f>
        <v/>
      </c>
      <c r="P672" s="860" t="str">
        <f>'Lighting Inventory (Ref only)'!AG675</f>
        <v/>
      </c>
      <c r="Q672" s="861" t="str">
        <f>'Lighting Inventory (Ref only)'!AF675</f>
        <v/>
      </c>
      <c r="R672" s="856" t="str">
        <f t="shared" si="21"/>
        <v/>
      </c>
      <c r="S672" s="856" t="str">
        <f>IFERROR(ROUND(R672*'Project Info and Summary'!$J$5/'Project Info and Summary'!$L$5,2),"")</f>
        <v/>
      </c>
    </row>
    <row r="673" spans="1:19" ht="30" customHeight="1">
      <c r="A673" s="948"/>
      <c r="B673" s="496">
        <f t="shared" si="20"/>
        <v>664</v>
      </c>
      <c r="C673" s="864"/>
      <c r="D673" s="505"/>
      <c r="E673" s="866"/>
      <c r="F673" s="498"/>
      <c r="G673" s="499"/>
      <c r="H673" s="492"/>
      <c r="I673" s="855">
        <f>IFERROR(IFERROR(INDEX('Fixture and LED Schedule'!D:D,MATCH(F673,'Fixture and LED Schedule'!C:C,""),1),F673),"")</f>
        <v>0</v>
      </c>
      <c r="J673" s="855" t="str">
        <f>IFERROR(IF(PRJ_Type="New Construction",H673,INDEX(yControl_Code,MATCH(Inventory!H673,yControlTypes,0),1)),"")</f>
        <v/>
      </c>
      <c r="K673" s="493"/>
      <c r="L673" s="501"/>
      <c r="M673" s="502"/>
      <c r="N673" s="855">
        <f>IFERROR(IFERROR(INDEX('Fixture and LED Schedule'!D:D,MATCH(K673,'Fixture and LED Schedule'!C:C,0),1),K673),"")</f>
        <v>0</v>
      </c>
      <c r="O673" s="858" t="str">
        <f>IFERROR(INDEX(yControl_Code,MATCH(Inventory!M673,yControlTypes,0),1),"")</f>
        <v/>
      </c>
      <c r="P673" s="860" t="str">
        <f>'Lighting Inventory (Ref only)'!AG676</f>
        <v/>
      </c>
      <c r="Q673" s="861" t="str">
        <f>'Lighting Inventory (Ref only)'!AF676</f>
        <v/>
      </c>
      <c r="R673" s="856" t="str">
        <f t="shared" si="21"/>
        <v/>
      </c>
      <c r="S673" s="856" t="str">
        <f>IFERROR(ROUND(R673*'Project Info and Summary'!$J$5/'Project Info and Summary'!$L$5,2),"")</f>
        <v/>
      </c>
    </row>
    <row r="674" spans="1:19" ht="30" customHeight="1">
      <c r="A674" s="948"/>
      <c r="B674" s="496">
        <f t="shared" si="20"/>
        <v>665</v>
      </c>
      <c r="C674" s="864"/>
      <c r="D674" s="505"/>
      <c r="E674" s="866"/>
      <c r="F674" s="498"/>
      <c r="G674" s="499"/>
      <c r="H674" s="492"/>
      <c r="I674" s="855">
        <f>IFERROR(IFERROR(INDEX('Fixture and LED Schedule'!D:D,MATCH(F674,'Fixture and LED Schedule'!C:C,""),1),F674),"")</f>
        <v>0</v>
      </c>
      <c r="J674" s="855" t="str">
        <f>IFERROR(IF(PRJ_Type="New Construction",H674,INDEX(yControl_Code,MATCH(Inventory!H674,yControlTypes,0),1)),"")</f>
        <v/>
      </c>
      <c r="K674" s="493"/>
      <c r="L674" s="501"/>
      <c r="M674" s="502"/>
      <c r="N674" s="855">
        <f>IFERROR(IFERROR(INDEX('Fixture and LED Schedule'!D:D,MATCH(K674,'Fixture and LED Schedule'!C:C,0),1),K674),"")</f>
        <v>0</v>
      </c>
      <c r="O674" s="858" t="str">
        <f>IFERROR(INDEX(yControl_Code,MATCH(Inventory!M674,yControlTypes,0),1),"")</f>
        <v/>
      </c>
      <c r="P674" s="860" t="str">
        <f>'Lighting Inventory (Ref only)'!AG677</f>
        <v/>
      </c>
      <c r="Q674" s="861" t="str">
        <f>'Lighting Inventory (Ref only)'!AF677</f>
        <v/>
      </c>
      <c r="R674" s="856" t="str">
        <f t="shared" si="21"/>
        <v/>
      </c>
      <c r="S674" s="856" t="str">
        <f>IFERROR(ROUND(R674*'Project Info and Summary'!$J$5/'Project Info and Summary'!$L$5,2),"")</f>
        <v/>
      </c>
    </row>
    <row r="675" spans="1:19" ht="30" customHeight="1">
      <c r="A675" s="948"/>
      <c r="B675" s="496">
        <f t="shared" si="20"/>
        <v>666</v>
      </c>
      <c r="C675" s="864"/>
      <c r="D675" s="505"/>
      <c r="E675" s="866"/>
      <c r="F675" s="498"/>
      <c r="G675" s="499"/>
      <c r="H675" s="492"/>
      <c r="I675" s="855">
        <f>IFERROR(IFERROR(INDEX('Fixture and LED Schedule'!D:D,MATCH(F675,'Fixture and LED Schedule'!C:C,""),1),F675),"")</f>
        <v>0</v>
      </c>
      <c r="J675" s="855" t="str">
        <f>IFERROR(IF(PRJ_Type="New Construction",H675,INDEX(yControl_Code,MATCH(Inventory!H675,yControlTypes,0),1)),"")</f>
        <v/>
      </c>
      <c r="K675" s="493"/>
      <c r="L675" s="501"/>
      <c r="M675" s="502"/>
      <c r="N675" s="855">
        <f>IFERROR(IFERROR(INDEX('Fixture and LED Schedule'!D:D,MATCH(K675,'Fixture and LED Schedule'!C:C,0),1),K675),"")</f>
        <v>0</v>
      </c>
      <c r="O675" s="858" t="str">
        <f>IFERROR(INDEX(yControl_Code,MATCH(Inventory!M675,yControlTypes,0),1),"")</f>
        <v/>
      </c>
      <c r="P675" s="860" t="str">
        <f>'Lighting Inventory (Ref only)'!AG678</f>
        <v/>
      </c>
      <c r="Q675" s="861" t="str">
        <f>'Lighting Inventory (Ref only)'!AF678</f>
        <v/>
      </c>
      <c r="R675" s="856" t="str">
        <f t="shared" si="21"/>
        <v/>
      </c>
      <c r="S675" s="856" t="str">
        <f>IFERROR(ROUND(R675*'Project Info and Summary'!$J$5/'Project Info and Summary'!$L$5,2),"")</f>
        <v/>
      </c>
    </row>
    <row r="676" spans="1:19" ht="30" customHeight="1">
      <c r="A676" s="948"/>
      <c r="B676" s="496">
        <f t="shared" si="20"/>
        <v>667</v>
      </c>
      <c r="C676" s="864"/>
      <c r="D676" s="505"/>
      <c r="E676" s="866"/>
      <c r="F676" s="498"/>
      <c r="G676" s="499"/>
      <c r="H676" s="492"/>
      <c r="I676" s="855">
        <f>IFERROR(IFERROR(INDEX('Fixture and LED Schedule'!D:D,MATCH(F676,'Fixture and LED Schedule'!C:C,""),1),F676),"")</f>
        <v>0</v>
      </c>
      <c r="J676" s="855" t="str">
        <f>IFERROR(IF(PRJ_Type="New Construction",H676,INDEX(yControl_Code,MATCH(Inventory!H676,yControlTypes,0),1)),"")</f>
        <v/>
      </c>
      <c r="K676" s="493"/>
      <c r="L676" s="501"/>
      <c r="M676" s="502"/>
      <c r="N676" s="855">
        <f>IFERROR(IFERROR(INDEX('Fixture and LED Schedule'!D:D,MATCH(K676,'Fixture and LED Schedule'!C:C,0),1),K676),"")</f>
        <v>0</v>
      </c>
      <c r="O676" s="858" t="str">
        <f>IFERROR(INDEX(yControl_Code,MATCH(Inventory!M676,yControlTypes,0),1),"")</f>
        <v/>
      </c>
      <c r="P676" s="860" t="str">
        <f>'Lighting Inventory (Ref only)'!AG679</f>
        <v/>
      </c>
      <c r="Q676" s="861" t="str">
        <f>'Lighting Inventory (Ref only)'!AF679</f>
        <v/>
      </c>
      <c r="R676" s="856" t="str">
        <f t="shared" si="21"/>
        <v/>
      </c>
      <c r="S676" s="856" t="str">
        <f>IFERROR(ROUND(R676*'Project Info and Summary'!$J$5/'Project Info and Summary'!$L$5,2),"")</f>
        <v/>
      </c>
    </row>
    <row r="677" spans="1:19" ht="30" customHeight="1">
      <c r="A677" s="948"/>
      <c r="B677" s="496">
        <f t="shared" si="20"/>
        <v>668</v>
      </c>
      <c r="C677" s="864"/>
      <c r="D677" s="505"/>
      <c r="E677" s="866"/>
      <c r="F677" s="498"/>
      <c r="G677" s="499"/>
      <c r="H677" s="492"/>
      <c r="I677" s="855">
        <f>IFERROR(IFERROR(INDEX('Fixture and LED Schedule'!D:D,MATCH(F677,'Fixture and LED Schedule'!C:C,""),1),F677),"")</f>
        <v>0</v>
      </c>
      <c r="J677" s="855" t="str">
        <f>IFERROR(IF(PRJ_Type="New Construction",H677,INDEX(yControl_Code,MATCH(Inventory!H677,yControlTypes,0),1)),"")</f>
        <v/>
      </c>
      <c r="K677" s="493"/>
      <c r="L677" s="501"/>
      <c r="M677" s="502"/>
      <c r="N677" s="855">
        <f>IFERROR(IFERROR(INDEX('Fixture and LED Schedule'!D:D,MATCH(K677,'Fixture and LED Schedule'!C:C,0),1),K677),"")</f>
        <v>0</v>
      </c>
      <c r="O677" s="858" t="str">
        <f>IFERROR(INDEX(yControl_Code,MATCH(Inventory!M677,yControlTypes,0),1),"")</f>
        <v/>
      </c>
      <c r="P677" s="860" t="str">
        <f>'Lighting Inventory (Ref only)'!AG680</f>
        <v/>
      </c>
      <c r="Q677" s="861" t="str">
        <f>'Lighting Inventory (Ref only)'!AF680</f>
        <v/>
      </c>
      <c r="R677" s="856" t="str">
        <f t="shared" si="21"/>
        <v/>
      </c>
      <c r="S677" s="856" t="str">
        <f>IFERROR(ROUND(R677*'Project Info and Summary'!$J$5/'Project Info and Summary'!$L$5,2),"")</f>
        <v/>
      </c>
    </row>
    <row r="678" spans="1:19" ht="30" customHeight="1">
      <c r="A678" s="948"/>
      <c r="B678" s="496">
        <f t="shared" si="20"/>
        <v>669</v>
      </c>
      <c r="C678" s="864"/>
      <c r="D678" s="505"/>
      <c r="E678" s="866"/>
      <c r="F678" s="498"/>
      <c r="G678" s="499"/>
      <c r="H678" s="492"/>
      <c r="I678" s="855">
        <f>IFERROR(IFERROR(INDEX('Fixture and LED Schedule'!D:D,MATCH(F678,'Fixture and LED Schedule'!C:C,""),1),F678),"")</f>
        <v>0</v>
      </c>
      <c r="J678" s="855" t="str">
        <f>IFERROR(IF(PRJ_Type="New Construction",H678,INDEX(yControl_Code,MATCH(Inventory!H678,yControlTypes,0),1)),"")</f>
        <v/>
      </c>
      <c r="K678" s="493"/>
      <c r="L678" s="501"/>
      <c r="M678" s="502"/>
      <c r="N678" s="855">
        <f>IFERROR(IFERROR(INDEX('Fixture and LED Schedule'!D:D,MATCH(K678,'Fixture and LED Schedule'!C:C,0),1),K678),"")</f>
        <v>0</v>
      </c>
      <c r="O678" s="858" t="str">
        <f>IFERROR(INDEX(yControl_Code,MATCH(Inventory!M678,yControlTypes,0),1),"")</f>
        <v/>
      </c>
      <c r="P678" s="860" t="str">
        <f>'Lighting Inventory (Ref only)'!AG681</f>
        <v/>
      </c>
      <c r="Q678" s="861" t="str">
        <f>'Lighting Inventory (Ref only)'!AF681</f>
        <v/>
      </c>
      <c r="R678" s="856" t="str">
        <f t="shared" si="21"/>
        <v/>
      </c>
      <c r="S678" s="856" t="str">
        <f>IFERROR(ROUND(R678*'Project Info and Summary'!$J$5/'Project Info and Summary'!$L$5,2),"")</f>
        <v/>
      </c>
    </row>
    <row r="679" spans="1:19" ht="30" customHeight="1">
      <c r="A679" s="948"/>
      <c r="B679" s="496">
        <f t="shared" si="20"/>
        <v>670</v>
      </c>
      <c r="C679" s="864"/>
      <c r="D679" s="505"/>
      <c r="E679" s="866"/>
      <c r="F679" s="498"/>
      <c r="G679" s="499"/>
      <c r="H679" s="492"/>
      <c r="I679" s="855">
        <f>IFERROR(IFERROR(INDEX('Fixture and LED Schedule'!D:D,MATCH(F679,'Fixture and LED Schedule'!C:C,""),1),F679),"")</f>
        <v>0</v>
      </c>
      <c r="J679" s="855" t="str">
        <f>IFERROR(IF(PRJ_Type="New Construction",H679,INDEX(yControl_Code,MATCH(Inventory!H679,yControlTypes,0),1)),"")</f>
        <v/>
      </c>
      <c r="K679" s="493"/>
      <c r="L679" s="501"/>
      <c r="M679" s="502"/>
      <c r="N679" s="855">
        <f>IFERROR(IFERROR(INDEX('Fixture and LED Schedule'!D:D,MATCH(K679,'Fixture and LED Schedule'!C:C,0),1),K679),"")</f>
        <v>0</v>
      </c>
      <c r="O679" s="858" t="str">
        <f>IFERROR(INDEX(yControl_Code,MATCH(Inventory!M679,yControlTypes,0),1),"")</f>
        <v/>
      </c>
      <c r="P679" s="860" t="str">
        <f>'Lighting Inventory (Ref only)'!AG682</f>
        <v/>
      </c>
      <c r="Q679" s="861" t="str">
        <f>'Lighting Inventory (Ref only)'!AF682</f>
        <v/>
      </c>
      <c r="R679" s="856" t="str">
        <f t="shared" si="21"/>
        <v/>
      </c>
      <c r="S679" s="856" t="str">
        <f>IFERROR(ROUND(R679*'Project Info and Summary'!$J$5/'Project Info and Summary'!$L$5,2),"")</f>
        <v/>
      </c>
    </row>
    <row r="680" spans="1:19" ht="30" customHeight="1">
      <c r="A680" s="948"/>
      <c r="B680" s="496">
        <f t="shared" si="20"/>
        <v>671</v>
      </c>
      <c r="C680" s="864"/>
      <c r="D680" s="505"/>
      <c r="E680" s="866"/>
      <c r="F680" s="498"/>
      <c r="G680" s="499"/>
      <c r="H680" s="492"/>
      <c r="I680" s="855">
        <f>IFERROR(IFERROR(INDEX('Fixture and LED Schedule'!D:D,MATCH(F680,'Fixture and LED Schedule'!C:C,""),1),F680),"")</f>
        <v>0</v>
      </c>
      <c r="J680" s="855" t="str">
        <f>IFERROR(IF(PRJ_Type="New Construction",H680,INDEX(yControl_Code,MATCH(Inventory!H680,yControlTypes,0),1)),"")</f>
        <v/>
      </c>
      <c r="K680" s="493"/>
      <c r="L680" s="501"/>
      <c r="M680" s="502"/>
      <c r="N680" s="855">
        <f>IFERROR(IFERROR(INDEX('Fixture and LED Schedule'!D:D,MATCH(K680,'Fixture and LED Schedule'!C:C,0),1),K680),"")</f>
        <v>0</v>
      </c>
      <c r="O680" s="858" t="str">
        <f>IFERROR(INDEX(yControl_Code,MATCH(Inventory!M680,yControlTypes,0),1),"")</f>
        <v/>
      </c>
      <c r="P680" s="860" t="str">
        <f>'Lighting Inventory (Ref only)'!AG683</f>
        <v/>
      </c>
      <c r="Q680" s="861" t="str">
        <f>'Lighting Inventory (Ref only)'!AF683</f>
        <v/>
      </c>
      <c r="R680" s="856" t="str">
        <f t="shared" si="21"/>
        <v/>
      </c>
      <c r="S680" s="856" t="str">
        <f>IFERROR(ROUND(R680*'Project Info and Summary'!$J$5/'Project Info and Summary'!$L$5,2),"")</f>
        <v/>
      </c>
    </row>
    <row r="681" spans="1:19" ht="30" customHeight="1">
      <c r="A681" s="948"/>
      <c r="B681" s="496">
        <f t="shared" si="20"/>
        <v>672</v>
      </c>
      <c r="C681" s="864"/>
      <c r="D681" s="505"/>
      <c r="E681" s="866"/>
      <c r="F681" s="498"/>
      <c r="G681" s="499"/>
      <c r="H681" s="492"/>
      <c r="I681" s="855">
        <f>IFERROR(IFERROR(INDEX('Fixture and LED Schedule'!D:D,MATCH(F681,'Fixture and LED Schedule'!C:C,""),1),F681),"")</f>
        <v>0</v>
      </c>
      <c r="J681" s="855" t="str">
        <f>IFERROR(IF(PRJ_Type="New Construction",H681,INDEX(yControl_Code,MATCH(Inventory!H681,yControlTypes,0),1)),"")</f>
        <v/>
      </c>
      <c r="K681" s="493"/>
      <c r="L681" s="501"/>
      <c r="M681" s="502"/>
      <c r="N681" s="855">
        <f>IFERROR(IFERROR(INDEX('Fixture and LED Schedule'!D:D,MATCH(K681,'Fixture and LED Schedule'!C:C,0),1),K681),"")</f>
        <v>0</v>
      </c>
      <c r="O681" s="858" t="str">
        <f>IFERROR(INDEX(yControl_Code,MATCH(Inventory!M681,yControlTypes,0),1),"")</f>
        <v/>
      </c>
      <c r="P681" s="860" t="str">
        <f>'Lighting Inventory (Ref only)'!AG684</f>
        <v/>
      </c>
      <c r="Q681" s="861" t="str">
        <f>'Lighting Inventory (Ref only)'!AF684</f>
        <v/>
      </c>
      <c r="R681" s="856" t="str">
        <f t="shared" si="21"/>
        <v/>
      </c>
      <c r="S681" s="856" t="str">
        <f>IFERROR(ROUND(R681*'Project Info and Summary'!$J$5/'Project Info and Summary'!$L$5,2),"")</f>
        <v/>
      </c>
    </row>
    <row r="682" spans="1:19" ht="30" customHeight="1">
      <c r="A682" s="948"/>
      <c r="B682" s="496">
        <f t="shared" si="20"/>
        <v>673</v>
      </c>
      <c r="C682" s="864"/>
      <c r="D682" s="505"/>
      <c r="E682" s="866"/>
      <c r="F682" s="498"/>
      <c r="G682" s="499"/>
      <c r="H682" s="492"/>
      <c r="I682" s="855">
        <f>IFERROR(IFERROR(INDEX('Fixture and LED Schedule'!D:D,MATCH(F682,'Fixture and LED Schedule'!C:C,""),1),F682),"")</f>
        <v>0</v>
      </c>
      <c r="J682" s="855" t="str">
        <f>IFERROR(IF(PRJ_Type="New Construction",H682,INDEX(yControl_Code,MATCH(Inventory!H682,yControlTypes,0),1)),"")</f>
        <v/>
      </c>
      <c r="K682" s="493"/>
      <c r="L682" s="501"/>
      <c r="M682" s="502"/>
      <c r="N682" s="855">
        <f>IFERROR(IFERROR(INDEX('Fixture and LED Schedule'!D:D,MATCH(K682,'Fixture and LED Schedule'!C:C,0),1),K682),"")</f>
        <v>0</v>
      </c>
      <c r="O682" s="858" t="str">
        <f>IFERROR(INDEX(yControl_Code,MATCH(Inventory!M682,yControlTypes,0),1),"")</f>
        <v/>
      </c>
      <c r="P682" s="860" t="str">
        <f>'Lighting Inventory (Ref only)'!AG685</f>
        <v/>
      </c>
      <c r="Q682" s="861" t="str">
        <f>'Lighting Inventory (Ref only)'!AF685</f>
        <v/>
      </c>
      <c r="R682" s="856" t="str">
        <f t="shared" si="21"/>
        <v/>
      </c>
      <c r="S682" s="856" t="str">
        <f>IFERROR(ROUND(R682*'Project Info and Summary'!$J$5/'Project Info and Summary'!$L$5,2),"")</f>
        <v/>
      </c>
    </row>
    <row r="683" spans="1:19" ht="30" customHeight="1">
      <c r="A683" s="948"/>
      <c r="B683" s="496">
        <f t="shared" si="20"/>
        <v>674</v>
      </c>
      <c r="C683" s="864"/>
      <c r="D683" s="505"/>
      <c r="E683" s="866"/>
      <c r="F683" s="498"/>
      <c r="G683" s="499"/>
      <c r="H683" s="492"/>
      <c r="I683" s="855">
        <f>IFERROR(IFERROR(INDEX('Fixture and LED Schedule'!D:D,MATCH(F683,'Fixture and LED Schedule'!C:C,""),1),F683),"")</f>
        <v>0</v>
      </c>
      <c r="J683" s="855" t="str">
        <f>IFERROR(IF(PRJ_Type="New Construction",H683,INDEX(yControl_Code,MATCH(Inventory!H683,yControlTypes,0),1)),"")</f>
        <v/>
      </c>
      <c r="K683" s="493"/>
      <c r="L683" s="501"/>
      <c r="M683" s="502"/>
      <c r="N683" s="855">
        <f>IFERROR(IFERROR(INDEX('Fixture and LED Schedule'!D:D,MATCH(K683,'Fixture and LED Schedule'!C:C,0),1),K683),"")</f>
        <v>0</v>
      </c>
      <c r="O683" s="858" t="str">
        <f>IFERROR(INDEX(yControl_Code,MATCH(Inventory!M683,yControlTypes,0),1),"")</f>
        <v/>
      </c>
      <c r="P683" s="860" t="str">
        <f>'Lighting Inventory (Ref only)'!AG686</f>
        <v/>
      </c>
      <c r="Q683" s="861" t="str">
        <f>'Lighting Inventory (Ref only)'!AF686</f>
        <v/>
      </c>
      <c r="R683" s="856" t="str">
        <f t="shared" si="21"/>
        <v/>
      </c>
      <c r="S683" s="856" t="str">
        <f>IFERROR(ROUND(R683*'Project Info and Summary'!$J$5/'Project Info and Summary'!$L$5,2),"")</f>
        <v/>
      </c>
    </row>
    <row r="684" spans="1:19" ht="30" customHeight="1">
      <c r="A684" s="948"/>
      <c r="B684" s="496">
        <f t="shared" si="20"/>
        <v>675</v>
      </c>
      <c r="C684" s="864"/>
      <c r="D684" s="505"/>
      <c r="E684" s="866"/>
      <c r="F684" s="498"/>
      <c r="G684" s="499"/>
      <c r="H684" s="492"/>
      <c r="I684" s="855">
        <f>IFERROR(IFERROR(INDEX('Fixture and LED Schedule'!D:D,MATCH(F684,'Fixture and LED Schedule'!C:C,""),1),F684),"")</f>
        <v>0</v>
      </c>
      <c r="J684" s="855" t="str">
        <f>IFERROR(IF(PRJ_Type="New Construction",H684,INDEX(yControl_Code,MATCH(Inventory!H684,yControlTypes,0),1)),"")</f>
        <v/>
      </c>
      <c r="K684" s="493"/>
      <c r="L684" s="501"/>
      <c r="M684" s="502"/>
      <c r="N684" s="855">
        <f>IFERROR(IFERROR(INDEX('Fixture and LED Schedule'!D:D,MATCH(K684,'Fixture and LED Schedule'!C:C,0),1),K684),"")</f>
        <v>0</v>
      </c>
      <c r="O684" s="858" t="str">
        <f>IFERROR(INDEX(yControl_Code,MATCH(Inventory!M684,yControlTypes,0),1),"")</f>
        <v/>
      </c>
      <c r="P684" s="860" t="str">
        <f>'Lighting Inventory (Ref only)'!AG687</f>
        <v/>
      </c>
      <c r="Q684" s="861" t="str">
        <f>'Lighting Inventory (Ref only)'!AF687</f>
        <v/>
      </c>
      <c r="R684" s="856" t="str">
        <f t="shared" si="21"/>
        <v/>
      </c>
      <c r="S684" s="856" t="str">
        <f>IFERROR(ROUND(R684*'Project Info and Summary'!$J$5/'Project Info and Summary'!$L$5,2),"")</f>
        <v/>
      </c>
    </row>
    <row r="685" spans="1:19" ht="30" customHeight="1">
      <c r="A685" s="948"/>
      <c r="B685" s="496">
        <f t="shared" si="20"/>
        <v>676</v>
      </c>
      <c r="C685" s="864"/>
      <c r="D685" s="505"/>
      <c r="E685" s="866"/>
      <c r="F685" s="498"/>
      <c r="G685" s="499"/>
      <c r="H685" s="492"/>
      <c r="I685" s="855">
        <f>IFERROR(IFERROR(INDEX('Fixture and LED Schedule'!D:D,MATCH(F685,'Fixture and LED Schedule'!C:C,""),1),F685),"")</f>
        <v>0</v>
      </c>
      <c r="J685" s="855" t="str">
        <f>IFERROR(IF(PRJ_Type="New Construction",H685,INDEX(yControl_Code,MATCH(Inventory!H685,yControlTypes,0),1)),"")</f>
        <v/>
      </c>
      <c r="K685" s="493"/>
      <c r="L685" s="501"/>
      <c r="M685" s="502"/>
      <c r="N685" s="855">
        <f>IFERROR(IFERROR(INDEX('Fixture and LED Schedule'!D:D,MATCH(K685,'Fixture and LED Schedule'!C:C,0),1),K685),"")</f>
        <v>0</v>
      </c>
      <c r="O685" s="858" t="str">
        <f>IFERROR(INDEX(yControl_Code,MATCH(Inventory!M685,yControlTypes,0),1),"")</f>
        <v/>
      </c>
      <c r="P685" s="860" t="str">
        <f>'Lighting Inventory (Ref only)'!AG688</f>
        <v/>
      </c>
      <c r="Q685" s="861" t="str">
        <f>'Lighting Inventory (Ref only)'!AF688</f>
        <v/>
      </c>
      <c r="R685" s="856" t="str">
        <f t="shared" si="21"/>
        <v/>
      </c>
      <c r="S685" s="856" t="str">
        <f>IFERROR(ROUND(R685*'Project Info and Summary'!$J$5/'Project Info and Summary'!$L$5,2),"")</f>
        <v/>
      </c>
    </row>
    <row r="686" spans="1:19" ht="30" customHeight="1">
      <c r="A686" s="948"/>
      <c r="B686" s="496">
        <f t="shared" si="20"/>
        <v>677</v>
      </c>
      <c r="C686" s="864"/>
      <c r="D686" s="505"/>
      <c r="E686" s="866"/>
      <c r="F686" s="498"/>
      <c r="G686" s="499"/>
      <c r="H686" s="492"/>
      <c r="I686" s="855">
        <f>IFERROR(IFERROR(INDEX('Fixture and LED Schedule'!D:D,MATCH(F686,'Fixture and LED Schedule'!C:C,""),1),F686),"")</f>
        <v>0</v>
      </c>
      <c r="J686" s="855" t="str">
        <f>IFERROR(IF(PRJ_Type="New Construction",H686,INDEX(yControl_Code,MATCH(Inventory!H686,yControlTypes,0),1)),"")</f>
        <v/>
      </c>
      <c r="K686" s="493"/>
      <c r="L686" s="501"/>
      <c r="M686" s="502"/>
      <c r="N686" s="855">
        <f>IFERROR(IFERROR(INDEX('Fixture and LED Schedule'!D:D,MATCH(K686,'Fixture and LED Schedule'!C:C,0),1),K686),"")</f>
        <v>0</v>
      </c>
      <c r="O686" s="858" t="str">
        <f>IFERROR(INDEX(yControl_Code,MATCH(Inventory!M686,yControlTypes,0),1),"")</f>
        <v/>
      </c>
      <c r="P686" s="860" t="str">
        <f>'Lighting Inventory (Ref only)'!AG689</f>
        <v/>
      </c>
      <c r="Q686" s="861" t="str">
        <f>'Lighting Inventory (Ref only)'!AF689</f>
        <v/>
      </c>
      <c r="R686" s="856" t="str">
        <f t="shared" si="21"/>
        <v/>
      </c>
      <c r="S686" s="856" t="str">
        <f>IFERROR(ROUND(R686*'Project Info and Summary'!$J$5/'Project Info and Summary'!$L$5,2),"")</f>
        <v/>
      </c>
    </row>
    <row r="687" spans="1:19" ht="30" customHeight="1">
      <c r="A687" s="948"/>
      <c r="B687" s="496">
        <f t="shared" si="20"/>
        <v>678</v>
      </c>
      <c r="C687" s="864"/>
      <c r="D687" s="505"/>
      <c r="E687" s="866"/>
      <c r="F687" s="498"/>
      <c r="G687" s="499"/>
      <c r="H687" s="492"/>
      <c r="I687" s="855">
        <f>IFERROR(IFERROR(INDEX('Fixture and LED Schedule'!D:D,MATCH(F687,'Fixture and LED Schedule'!C:C,""),1),F687),"")</f>
        <v>0</v>
      </c>
      <c r="J687" s="855" t="str">
        <f>IFERROR(IF(PRJ_Type="New Construction",H687,INDEX(yControl_Code,MATCH(Inventory!H687,yControlTypes,0),1)),"")</f>
        <v/>
      </c>
      <c r="K687" s="493"/>
      <c r="L687" s="501"/>
      <c r="M687" s="502"/>
      <c r="N687" s="855">
        <f>IFERROR(IFERROR(INDEX('Fixture and LED Schedule'!D:D,MATCH(K687,'Fixture and LED Schedule'!C:C,0),1),K687),"")</f>
        <v>0</v>
      </c>
      <c r="O687" s="858" t="str">
        <f>IFERROR(INDEX(yControl_Code,MATCH(Inventory!M687,yControlTypes,0),1),"")</f>
        <v/>
      </c>
      <c r="P687" s="860" t="str">
        <f>'Lighting Inventory (Ref only)'!AG690</f>
        <v/>
      </c>
      <c r="Q687" s="861" t="str">
        <f>'Lighting Inventory (Ref only)'!AF690</f>
        <v/>
      </c>
      <c r="R687" s="856" t="str">
        <f t="shared" si="21"/>
        <v/>
      </c>
      <c r="S687" s="856" t="str">
        <f>IFERROR(ROUND(R687*'Project Info and Summary'!$J$5/'Project Info and Summary'!$L$5,2),"")</f>
        <v/>
      </c>
    </row>
    <row r="688" spans="1:19" ht="30" customHeight="1">
      <c r="A688" s="948"/>
      <c r="B688" s="496">
        <f t="shared" si="20"/>
        <v>679</v>
      </c>
      <c r="C688" s="864"/>
      <c r="D688" s="505"/>
      <c r="E688" s="866"/>
      <c r="F688" s="498"/>
      <c r="G688" s="499"/>
      <c r="H688" s="492"/>
      <c r="I688" s="855">
        <f>IFERROR(IFERROR(INDEX('Fixture and LED Schedule'!D:D,MATCH(F688,'Fixture and LED Schedule'!C:C,""),1),F688),"")</f>
        <v>0</v>
      </c>
      <c r="J688" s="855" t="str">
        <f>IFERROR(IF(PRJ_Type="New Construction",H688,INDEX(yControl_Code,MATCH(Inventory!H688,yControlTypes,0),1)),"")</f>
        <v/>
      </c>
      <c r="K688" s="493"/>
      <c r="L688" s="501"/>
      <c r="M688" s="502"/>
      <c r="N688" s="855">
        <f>IFERROR(IFERROR(INDEX('Fixture and LED Schedule'!D:D,MATCH(K688,'Fixture and LED Schedule'!C:C,0),1),K688),"")</f>
        <v>0</v>
      </c>
      <c r="O688" s="858" t="str">
        <f>IFERROR(INDEX(yControl_Code,MATCH(Inventory!M688,yControlTypes,0),1),"")</f>
        <v/>
      </c>
      <c r="P688" s="860" t="str">
        <f>'Lighting Inventory (Ref only)'!AG691</f>
        <v/>
      </c>
      <c r="Q688" s="861" t="str">
        <f>'Lighting Inventory (Ref only)'!AF691</f>
        <v/>
      </c>
      <c r="R688" s="856" t="str">
        <f t="shared" si="21"/>
        <v/>
      </c>
      <c r="S688" s="856" t="str">
        <f>IFERROR(ROUND(R688*'Project Info and Summary'!$J$5/'Project Info and Summary'!$L$5,2),"")</f>
        <v/>
      </c>
    </row>
    <row r="689" spans="1:19" ht="30" customHeight="1">
      <c r="A689" s="948"/>
      <c r="B689" s="496">
        <f t="shared" si="20"/>
        <v>680</v>
      </c>
      <c r="C689" s="864"/>
      <c r="D689" s="505"/>
      <c r="E689" s="866"/>
      <c r="F689" s="498"/>
      <c r="G689" s="499"/>
      <c r="H689" s="492"/>
      <c r="I689" s="855">
        <f>IFERROR(IFERROR(INDEX('Fixture and LED Schedule'!D:D,MATCH(F689,'Fixture and LED Schedule'!C:C,""),1),F689),"")</f>
        <v>0</v>
      </c>
      <c r="J689" s="855" t="str">
        <f>IFERROR(IF(PRJ_Type="New Construction",H689,INDEX(yControl_Code,MATCH(Inventory!H689,yControlTypes,0),1)),"")</f>
        <v/>
      </c>
      <c r="K689" s="493"/>
      <c r="L689" s="501"/>
      <c r="M689" s="502"/>
      <c r="N689" s="855">
        <f>IFERROR(IFERROR(INDEX('Fixture and LED Schedule'!D:D,MATCH(K689,'Fixture and LED Schedule'!C:C,0),1),K689),"")</f>
        <v>0</v>
      </c>
      <c r="O689" s="858" t="str">
        <f>IFERROR(INDEX(yControl_Code,MATCH(Inventory!M689,yControlTypes,0),1),"")</f>
        <v/>
      </c>
      <c r="P689" s="860" t="str">
        <f>'Lighting Inventory (Ref only)'!AG692</f>
        <v/>
      </c>
      <c r="Q689" s="861" t="str">
        <f>'Lighting Inventory (Ref only)'!AF692</f>
        <v/>
      </c>
      <c r="R689" s="856" t="str">
        <f t="shared" si="21"/>
        <v/>
      </c>
      <c r="S689" s="856" t="str">
        <f>IFERROR(ROUND(R689*'Project Info and Summary'!$J$5/'Project Info and Summary'!$L$5,2),"")</f>
        <v/>
      </c>
    </row>
    <row r="690" spans="1:19" ht="30" customHeight="1">
      <c r="A690" s="948"/>
      <c r="B690" s="496">
        <f t="shared" si="20"/>
        <v>681</v>
      </c>
      <c r="C690" s="864"/>
      <c r="D690" s="505"/>
      <c r="E690" s="866"/>
      <c r="F690" s="498"/>
      <c r="G690" s="499"/>
      <c r="H690" s="492"/>
      <c r="I690" s="855">
        <f>IFERROR(IFERROR(INDEX('Fixture and LED Schedule'!D:D,MATCH(F690,'Fixture and LED Schedule'!C:C,""),1),F690),"")</f>
        <v>0</v>
      </c>
      <c r="J690" s="855" t="str">
        <f>IFERROR(IF(PRJ_Type="New Construction",H690,INDEX(yControl_Code,MATCH(Inventory!H690,yControlTypes,0),1)),"")</f>
        <v/>
      </c>
      <c r="K690" s="493"/>
      <c r="L690" s="501"/>
      <c r="M690" s="502"/>
      <c r="N690" s="855">
        <f>IFERROR(IFERROR(INDEX('Fixture and LED Schedule'!D:D,MATCH(K690,'Fixture and LED Schedule'!C:C,0),1),K690),"")</f>
        <v>0</v>
      </c>
      <c r="O690" s="858" t="str">
        <f>IFERROR(INDEX(yControl_Code,MATCH(Inventory!M690,yControlTypes,0),1),"")</f>
        <v/>
      </c>
      <c r="P690" s="860" t="str">
        <f>'Lighting Inventory (Ref only)'!AG693</f>
        <v/>
      </c>
      <c r="Q690" s="861" t="str">
        <f>'Lighting Inventory (Ref only)'!AF693</f>
        <v/>
      </c>
      <c r="R690" s="856" t="str">
        <f t="shared" si="21"/>
        <v/>
      </c>
      <c r="S690" s="856" t="str">
        <f>IFERROR(ROUND(R690*'Project Info and Summary'!$J$5/'Project Info and Summary'!$L$5,2),"")</f>
        <v/>
      </c>
    </row>
    <row r="691" spans="1:19" ht="30" customHeight="1">
      <c r="A691" s="948"/>
      <c r="B691" s="496">
        <f t="shared" si="20"/>
        <v>682</v>
      </c>
      <c r="C691" s="864"/>
      <c r="D691" s="505"/>
      <c r="E691" s="866"/>
      <c r="F691" s="498"/>
      <c r="G691" s="499"/>
      <c r="H691" s="492"/>
      <c r="I691" s="855">
        <f>IFERROR(IFERROR(INDEX('Fixture and LED Schedule'!D:D,MATCH(F691,'Fixture and LED Schedule'!C:C,""),1),F691),"")</f>
        <v>0</v>
      </c>
      <c r="J691" s="855" t="str">
        <f>IFERROR(IF(PRJ_Type="New Construction",H691,INDEX(yControl_Code,MATCH(Inventory!H691,yControlTypes,0),1)),"")</f>
        <v/>
      </c>
      <c r="K691" s="493"/>
      <c r="L691" s="501"/>
      <c r="M691" s="502"/>
      <c r="N691" s="855">
        <f>IFERROR(IFERROR(INDEX('Fixture and LED Schedule'!D:D,MATCH(K691,'Fixture and LED Schedule'!C:C,0),1),K691),"")</f>
        <v>0</v>
      </c>
      <c r="O691" s="858" t="str">
        <f>IFERROR(INDEX(yControl_Code,MATCH(Inventory!M691,yControlTypes,0),1),"")</f>
        <v/>
      </c>
      <c r="P691" s="860" t="str">
        <f>'Lighting Inventory (Ref only)'!AG694</f>
        <v/>
      </c>
      <c r="Q691" s="861" t="str">
        <f>'Lighting Inventory (Ref only)'!AF694</f>
        <v/>
      </c>
      <c r="R691" s="856" t="str">
        <f t="shared" si="21"/>
        <v/>
      </c>
      <c r="S691" s="856" t="str">
        <f>IFERROR(ROUND(R691*'Project Info and Summary'!$J$5/'Project Info and Summary'!$L$5,2),"")</f>
        <v/>
      </c>
    </row>
    <row r="692" spans="1:19" ht="30" customHeight="1">
      <c r="A692" s="948"/>
      <c r="B692" s="496">
        <f t="shared" si="20"/>
        <v>683</v>
      </c>
      <c r="C692" s="864"/>
      <c r="D692" s="505"/>
      <c r="E692" s="866"/>
      <c r="F692" s="498"/>
      <c r="G692" s="499"/>
      <c r="H692" s="492"/>
      <c r="I692" s="855">
        <f>IFERROR(IFERROR(INDEX('Fixture and LED Schedule'!D:D,MATCH(F692,'Fixture and LED Schedule'!C:C,""),1),F692),"")</f>
        <v>0</v>
      </c>
      <c r="J692" s="855" t="str">
        <f>IFERROR(IF(PRJ_Type="New Construction",H692,INDEX(yControl_Code,MATCH(Inventory!H692,yControlTypes,0),1)),"")</f>
        <v/>
      </c>
      <c r="K692" s="493"/>
      <c r="L692" s="501"/>
      <c r="M692" s="502"/>
      <c r="N692" s="855">
        <f>IFERROR(IFERROR(INDEX('Fixture and LED Schedule'!D:D,MATCH(K692,'Fixture and LED Schedule'!C:C,0),1),K692),"")</f>
        <v>0</v>
      </c>
      <c r="O692" s="858" t="str">
        <f>IFERROR(INDEX(yControl_Code,MATCH(Inventory!M692,yControlTypes,0),1),"")</f>
        <v/>
      </c>
      <c r="P692" s="860" t="str">
        <f>'Lighting Inventory (Ref only)'!AG695</f>
        <v/>
      </c>
      <c r="Q692" s="861" t="str">
        <f>'Lighting Inventory (Ref only)'!AF695</f>
        <v/>
      </c>
      <c r="R692" s="856" t="str">
        <f t="shared" si="21"/>
        <v/>
      </c>
      <c r="S692" s="856" t="str">
        <f>IFERROR(ROUND(R692*'Project Info and Summary'!$J$5/'Project Info and Summary'!$L$5,2),"")</f>
        <v/>
      </c>
    </row>
    <row r="693" spans="1:19" ht="30" customHeight="1">
      <c r="A693" s="948"/>
      <c r="B693" s="496">
        <f t="shared" si="20"/>
        <v>684</v>
      </c>
      <c r="C693" s="864"/>
      <c r="D693" s="505"/>
      <c r="E693" s="866"/>
      <c r="F693" s="498"/>
      <c r="G693" s="499"/>
      <c r="H693" s="492"/>
      <c r="I693" s="855">
        <f>IFERROR(IFERROR(INDEX('Fixture and LED Schedule'!D:D,MATCH(F693,'Fixture and LED Schedule'!C:C,""),1),F693),"")</f>
        <v>0</v>
      </c>
      <c r="J693" s="855" t="str">
        <f>IFERROR(IF(PRJ_Type="New Construction",H693,INDEX(yControl_Code,MATCH(Inventory!H693,yControlTypes,0),1)),"")</f>
        <v/>
      </c>
      <c r="K693" s="493"/>
      <c r="L693" s="501"/>
      <c r="M693" s="502"/>
      <c r="N693" s="855">
        <f>IFERROR(IFERROR(INDEX('Fixture and LED Schedule'!D:D,MATCH(K693,'Fixture and LED Schedule'!C:C,0),1),K693),"")</f>
        <v>0</v>
      </c>
      <c r="O693" s="858" t="str">
        <f>IFERROR(INDEX(yControl_Code,MATCH(Inventory!M693,yControlTypes,0),1),"")</f>
        <v/>
      </c>
      <c r="P693" s="860" t="str">
        <f>'Lighting Inventory (Ref only)'!AG696</f>
        <v/>
      </c>
      <c r="Q693" s="861" t="str">
        <f>'Lighting Inventory (Ref only)'!AF696</f>
        <v/>
      </c>
      <c r="R693" s="856" t="str">
        <f t="shared" si="21"/>
        <v/>
      </c>
      <c r="S693" s="856" t="str">
        <f>IFERROR(ROUND(R693*'Project Info and Summary'!$J$5/'Project Info and Summary'!$L$5,2),"")</f>
        <v/>
      </c>
    </row>
    <row r="694" spans="1:19" ht="30" customHeight="1">
      <c r="A694" s="948"/>
      <c r="B694" s="496">
        <f t="shared" si="20"/>
        <v>685</v>
      </c>
      <c r="C694" s="864"/>
      <c r="D694" s="505"/>
      <c r="E694" s="866"/>
      <c r="F694" s="498"/>
      <c r="G694" s="499"/>
      <c r="H694" s="492"/>
      <c r="I694" s="855">
        <f>IFERROR(IFERROR(INDEX('Fixture and LED Schedule'!D:D,MATCH(F694,'Fixture and LED Schedule'!C:C,""),1),F694),"")</f>
        <v>0</v>
      </c>
      <c r="J694" s="855" t="str">
        <f>IFERROR(IF(PRJ_Type="New Construction",H694,INDEX(yControl_Code,MATCH(Inventory!H694,yControlTypes,0),1)),"")</f>
        <v/>
      </c>
      <c r="K694" s="493"/>
      <c r="L694" s="501"/>
      <c r="M694" s="502"/>
      <c r="N694" s="855">
        <f>IFERROR(IFERROR(INDEX('Fixture and LED Schedule'!D:D,MATCH(K694,'Fixture and LED Schedule'!C:C,0),1),K694),"")</f>
        <v>0</v>
      </c>
      <c r="O694" s="858" t="str">
        <f>IFERROR(INDEX(yControl_Code,MATCH(Inventory!M694,yControlTypes,0),1),"")</f>
        <v/>
      </c>
      <c r="P694" s="860" t="str">
        <f>'Lighting Inventory (Ref only)'!AG697</f>
        <v/>
      </c>
      <c r="Q694" s="861" t="str">
        <f>'Lighting Inventory (Ref only)'!AF697</f>
        <v/>
      </c>
      <c r="R694" s="856" t="str">
        <f t="shared" si="21"/>
        <v/>
      </c>
      <c r="S694" s="856" t="str">
        <f>IFERROR(ROUND(R694*'Project Info and Summary'!$J$5/'Project Info and Summary'!$L$5,2),"")</f>
        <v/>
      </c>
    </row>
    <row r="695" spans="1:19" ht="30" customHeight="1">
      <c r="A695" s="948"/>
      <c r="B695" s="496">
        <f t="shared" si="20"/>
        <v>686</v>
      </c>
      <c r="C695" s="864"/>
      <c r="D695" s="505"/>
      <c r="E695" s="866"/>
      <c r="F695" s="498"/>
      <c r="G695" s="499"/>
      <c r="H695" s="492"/>
      <c r="I695" s="855">
        <f>IFERROR(IFERROR(INDEX('Fixture and LED Schedule'!D:D,MATCH(F695,'Fixture and LED Schedule'!C:C,""),1),F695),"")</f>
        <v>0</v>
      </c>
      <c r="J695" s="855" t="str">
        <f>IFERROR(IF(PRJ_Type="New Construction",H695,INDEX(yControl_Code,MATCH(Inventory!H695,yControlTypes,0),1)),"")</f>
        <v/>
      </c>
      <c r="K695" s="493"/>
      <c r="L695" s="501"/>
      <c r="M695" s="502"/>
      <c r="N695" s="855">
        <f>IFERROR(IFERROR(INDEX('Fixture and LED Schedule'!D:D,MATCH(K695,'Fixture and LED Schedule'!C:C,0),1),K695),"")</f>
        <v>0</v>
      </c>
      <c r="O695" s="858" t="str">
        <f>IFERROR(INDEX(yControl_Code,MATCH(Inventory!M695,yControlTypes,0),1),"")</f>
        <v/>
      </c>
      <c r="P695" s="860" t="str">
        <f>'Lighting Inventory (Ref only)'!AG698</f>
        <v/>
      </c>
      <c r="Q695" s="861" t="str">
        <f>'Lighting Inventory (Ref only)'!AF698</f>
        <v/>
      </c>
      <c r="R695" s="856" t="str">
        <f t="shared" si="21"/>
        <v/>
      </c>
      <c r="S695" s="856" t="str">
        <f>IFERROR(ROUND(R695*'Project Info and Summary'!$J$5/'Project Info and Summary'!$L$5,2),"")</f>
        <v/>
      </c>
    </row>
    <row r="696" spans="1:19" ht="30" customHeight="1">
      <c r="A696" s="948"/>
      <c r="B696" s="496">
        <f t="shared" si="20"/>
        <v>687</v>
      </c>
      <c r="C696" s="864"/>
      <c r="D696" s="505"/>
      <c r="E696" s="866"/>
      <c r="F696" s="498"/>
      <c r="G696" s="499"/>
      <c r="H696" s="492"/>
      <c r="I696" s="855">
        <f>IFERROR(IFERROR(INDEX('Fixture and LED Schedule'!D:D,MATCH(F696,'Fixture and LED Schedule'!C:C,""),1),F696),"")</f>
        <v>0</v>
      </c>
      <c r="J696" s="855" t="str">
        <f>IFERROR(IF(PRJ_Type="New Construction",H696,INDEX(yControl_Code,MATCH(Inventory!H696,yControlTypes,0),1)),"")</f>
        <v/>
      </c>
      <c r="K696" s="493"/>
      <c r="L696" s="501"/>
      <c r="M696" s="502"/>
      <c r="N696" s="855">
        <f>IFERROR(IFERROR(INDEX('Fixture and LED Schedule'!D:D,MATCH(K696,'Fixture and LED Schedule'!C:C,0),1),K696),"")</f>
        <v>0</v>
      </c>
      <c r="O696" s="858" t="str">
        <f>IFERROR(INDEX(yControl_Code,MATCH(Inventory!M696,yControlTypes,0),1),"")</f>
        <v/>
      </c>
      <c r="P696" s="860" t="str">
        <f>'Lighting Inventory (Ref only)'!AG699</f>
        <v/>
      </c>
      <c r="Q696" s="861" t="str">
        <f>'Lighting Inventory (Ref only)'!AF699</f>
        <v/>
      </c>
      <c r="R696" s="856" t="str">
        <f t="shared" si="21"/>
        <v/>
      </c>
      <c r="S696" s="856" t="str">
        <f>IFERROR(ROUND(R696*'Project Info and Summary'!$J$5/'Project Info and Summary'!$L$5,2),"")</f>
        <v/>
      </c>
    </row>
    <row r="697" spans="1:19" ht="30" customHeight="1">
      <c r="A697" s="948"/>
      <c r="B697" s="496">
        <f t="shared" si="20"/>
        <v>688</v>
      </c>
      <c r="C697" s="864"/>
      <c r="D697" s="505"/>
      <c r="E697" s="866"/>
      <c r="F697" s="498"/>
      <c r="G697" s="499"/>
      <c r="H697" s="492"/>
      <c r="I697" s="855">
        <f>IFERROR(IFERROR(INDEX('Fixture and LED Schedule'!D:D,MATCH(F697,'Fixture and LED Schedule'!C:C,""),1),F697),"")</f>
        <v>0</v>
      </c>
      <c r="J697" s="855" t="str">
        <f>IFERROR(IF(PRJ_Type="New Construction",H697,INDEX(yControl_Code,MATCH(Inventory!H697,yControlTypes,0),1)),"")</f>
        <v/>
      </c>
      <c r="K697" s="493"/>
      <c r="L697" s="501"/>
      <c r="M697" s="502"/>
      <c r="N697" s="855">
        <f>IFERROR(IFERROR(INDEX('Fixture and LED Schedule'!D:D,MATCH(K697,'Fixture and LED Schedule'!C:C,0),1),K697),"")</f>
        <v>0</v>
      </c>
      <c r="O697" s="858" t="str">
        <f>IFERROR(INDEX(yControl_Code,MATCH(Inventory!M697,yControlTypes,0),1),"")</f>
        <v/>
      </c>
      <c r="P697" s="860" t="str">
        <f>'Lighting Inventory (Ref only)'!AG700</f>
        <v/>
      </c>
      <c r="Q697" s="861" t="str">
        <f>'Lighting Inventory (Ref only)'!AF700</f>
        <v/>
      </c>
      <c r="R697" s="856" t="str">
        <f t="shared" si="21"/>
        <v/>
      </c>
      <c r="S697" s="856" t="str">
        <f>IFERROR(ROUND(R697*'Project Info and Summary'!$J$5/'Project Info and Summary'!$L$5,2),"")</f>
        <v/>
      </c>
    </row>
    <row r="698" spans="1:19" ht="30" customHeight="1">
      <c r="A698" s="948"/>
      <c r="B698" s="496">
        <f t="shared" si="20"/>
        <v>689</v>
      </c>
      <c r="C698" s="864"/>
      <c r="D698" s="505"/>
      <c r="E698" s="866"/>
      <c r="F698" s="498"/>
      <c r="G698" s="499"/>
      <c r="H698" s="492"/>
      <c r="I698" s="855">
        <f>IFERROR(IFERROR(INDEX('Fixture and LED Schedule'!D:D,MATCH(F698,'Fixture and LED Schedule'!C:C,""),1),F698),"")</f>
        <v>0</v>
      </c>
      <c r="J698" s="855" t="str">
        <f>IFERROR(IF(PRJ_Type="New Construction",H698,INDEX(yControl_Code,MATCH(Inventory!H698,yControlTypes,0),1)),"")</f>
        <v/>
      </c>
      <c r="K698" s="493"/>
      <c r="L698" s="501"/>
      <c r="M698" s="502"/>
      <c r="N698" s="855">
        <f>IFERROR(IFERROR(INDEX('Fixture and LED Schedule'!D:D,MATCH(K698,'Fixture and LED Schedule'!C:C,0),1),K698),"")</f>
        <v>0</v>
      </c>
      <c r="O698" s="858" t="str">
        <f>IFERROR(INDEX(yControl_Code,MATCH(Inventory!M698,yControlTypes,0),1),"")</f>
        <v/>
      </c>
      <c r="P698" s="860" t="str">
        <f>'Lighting Inventory (Ref only)'!AG701</f>
        <v/>
      </c>
      <c r="Q698" s="861" t="str">
        <f>'Lighting Inventory (Ref only)'!AF701</f>
        <v/>
      </c>
      <c r="R698" s="856" t="str">
        <f t="shared" si="21"/>
        <v/>
      </c>
      <c r="S698" s="856" t="str">
        <f>IFERROR(ROUND(R698*'Project Info and Summary'!$J$5/'Project Info and Summary'!$L$5,2),"")</f>
        <v/>
      </c>
    </row>
    <row r="699" spans="1:19" ht="30" customHeight="1">
      <c r="A699" s="948"/>
      <c r="B699" s="496">
        <f t="shared" si="20"/>
        <v>690</v>
      </c>
      <c r="C699" s="864"/>
      <c r="D699" s="505"/>
      <c r="E699" s="866"/>
      <c r="F699" s="498"/>
      <c r="G699" s="499"/>
      <c r="H699" s="492"/>
      <c r="I699" s="855">
        <f>IFERROR(IFERROR(INDEX('Fixture and LED Schedule'!D:D,MATCH(F699,'Fixture and LED Schedule'!C:C,""),1),F699),"")</f>
        <v>0</v>
      </c>
      <c r="J699" s="855" t="str">
        <f>IFERROR(IF(PRJ_Type="New Construction",H699,INDEX(yControl_Code,MATCH(Inventory!H699,yControlTypes,0),1)),"")</f>
        <v/>
      </c>
      <c r="K699" s="493"/>
      <c r="L699" s="501"/>
      <c r="M699" s="502"/>
      <c r="N699" s="855">
        <f>IFERROR(IFERROR(INDEX('Fixture and LED Schedule'!D:D,MATCH(K699,'Fixture and LED Schedule'!C:C,0),1),K699),"")</f>
        <v>0</v>
      </c>
      <c r="O699" s="858" t="str">
        <f>IFERROR(INDEX(yControl_Code,MATCH(Inventory!M699,yControlTypes,0),1),"")</f>
        <v/>
      </c>
      <c r="P699" s="860" t="str">
        <f>'Lighting Inventory (Ref only)'!AG702</f>
        <v/>
      </c>
      <c r="Q699" s="861" t="str">
        <f>'Lighting Inventory (Ref only)'!AF702</f>
        <v/>
      </c>
      <c r="R699" s="856" t="str">
        <f t="shared" si="21"/>
        <v/>
      </c>
      <c r="S699" s="856" t="str">
        <f>IFERROR(ROUND(R699*'Project Info and Summary'!$J$5/'Project Info and Summary'!$L$5,2),"")</f>
        <v/>
      </c>
    </row>
    <row r="700" spans="1:19" ht="30" customHeight="1">
      <c r="A700" s="948"/>
      <c r="B700" s="496">
        <f t="shared" si="20"/>
        <v>691</v>
      </c>
      <c r="C700" s="864"/>
      <c r="D700" s="505"/>
      <c r="E700" s="866"/>
      <c r="F700" s="498"/>
      <c r="G700" s="499"/>
      <c r="H700" s="492"/>
      <c r="I700" s="855">
        <f>IFERROR(IFERROR(INDEX('Fixture and LED Schedule'!D:D,MATCH(F700,'Fixture and LED Schedule'!C:C,""),1),F700),"")</f>
        <v>0</v>
      </c>
      <c r="J700" s="855" t="str">
        <f>IFERROR(IF(PRJ_Type="New Construction",H700,INDEX(yControl_Code,MATCH(Inventory!H700,yControlTypes,0),1)),"")</f>
        <v/>
      </c>
      <c r="K700" s="493"/>
      <c r="L700" s="501"/>
      <c r="M700" s="502"/>
      <c r="N700" s="855">
        <f>IFERROR(IFERROR(INDEX('Fixture and LED Schedule'!D:D,MATCH(K700,'Fixture and LED Schedule'!C:C,0),1),K700),"")</f>
        <v>0</v>
      </c>
      <c r="O700" s="858" t="str">
        <f>IFERROR(INDEX(yControl_Code,MATCH(Inventory!M700,yControlTypes,0),1),"")</f>
        <v/>
      </c>
      <c r="P700" s="860" t="str">
        <f>'Lighting Inventory (Ref only)'!AG703</f>
        <v/>
      </c>
      <c r="Q700" s="861" t="str">
        <f>'Lighting Inventory (Ref only)'!AF703</f>
        <v/>
      </c>
      <c r="R700" s="856" t="str">
        <f t="shared" si="21"/>
        <v/>
      </c>
      <c r="S700" s="856" t="str">
        <f>IFERROR(ROUND(R700*'Project Info and Summary'!$J$5/'Project Info and Summary'!$L$5,2),"")</f>
        <v/>
      </c>
    </row>
    <row r="701" spans="1:19" ht="30" customHeight="1">
      <c r="A701" s="948"/>
      <c r="B701" s="496">
        <f t="shared" ref="B701:B764" si="22">B700+1</f>
        <v>692</v>
      </c>
      <c r="C701" s="864"/>
      <c r="D701" s="505"/>
      <c r="E701" s="866"/>
      <c r="F701" s="498"/>
      <c r="G701" s="499"/>
      <c r="H701" s="492"/>
      <c r="I701" s="855">
        <f>IFERROR(IFERROR(INDEX('Fixture and LED Schedule'!D:D,MATCH(F701,'Fixture and LED Schedule'!C:C,""),1),F701),"")</f>
        <v>0</v>
      </c>
      <c r="J701" s="855" t="str">
        <f>IFERROR(IF(PRJ_Type="New Construction",H701,INDEX(yControl_Code,MATCH(Inventory!H701,yControlTypes,0),1)),"")</f>
        <v/>
      </c>
      <c r="K701" s="493"/>
      <c r="L701" s="501"/>
      <c r="M701" s="502"/>
      <c r="N701" s="855">
        <f>IFERROR(IFERROR(INDEX('Fixture and LED Schedule'!D:D,MATCH(K701,'Fixture and LED Schedule'!C:C,0),1),K701),"")</f>
        <v>0</v>
      </c>
      <c r="O701" s="858" t="str">
        <f>IFERROR(INDEX(yControl_Code,MATCH(Inventory!M701,yControlTypes,0),1),"")</f>
        <v/>
      </c>
      <c r="P701" s="860" t="str">
        <f>'Lighting Inventory (Ref only)'!AG704</f>
        <v/>
      </c>
      <c r="Q701" s="861" t="str">
        <f>'Lighting Inventory (Ref only)'!AF704</f>
        <v/>
      </c>
      <c r="R701" s="856" t="str">
        <f t="shared" si="21"/>
        <v/>
      </c>
      <c r="S701" s="856" t="str">
        <f>IFERROR(ROUND(R701*'Project Info and Summary'!$J$5/'Project Info and Summary'!$L$5,2),"")</f>
        <v/>
      </c>
    </row>
    <row r="702" spans="1:19" ht="30" customHeight="1">
      <c r="A702" s="948"/>
      <c r="B702" s="496">
        <f t="shared" si="22"/>
        <v>693</v>
      </c>
      <c r="C702" s="864"/>
      <c r="D702" s="505"/>
      <c r="E702" s="866"/>
      <c r="F702" s="498"/>
      <c r="G702" s="499"/>
      <c r="H702" s="492"/>
      <c r="I702" s="855">
        <f>IFERROR(IFERROR(INDEX('Fixture and LED Schedule'!D:D,MATCH(F702,'Fixture and LED Schedule'!C:C,""),1),F702),"")</f>
        <v>0</v>
      </c>
      <c r="J702" s="855" t="str">
        <f>IFERROR(IF(PRJ_Type="New Construction",H702,INDEX(yControl_Code,MATCH(Inventory!H702,yControlTypes,0),1)),"")</f>
        <v/>
      </c>
      <c r="K702" s="493"/>
      <c r="L702" s="501"/>
      <c r="M702" s="502"/>
      <c r="N702" s="855">
        <f>IFERROR(IFERROR(INDEX('Fixture and LED Schedule'!D:D,MATCH(K702,'Fixture and LED Schedule'!C:C,0),1),K702),"")</f>
        <v>0</v>
      </c>
      <c r="O702" s="858" t="str">
        <f>IFERROR(INDEX(yControl_Code,MATCH(Inventory!M702,yControlTypes,0),1),"")</f>
        <v/>
      </c>
      <c r="P702" s="860" t="str">
        <f>'Lighting Inventory (Ref only)'!AG705</f>
        <v/>
      </c>
      <c r="Q702" s="861" t="str">
        <f>'Lighting Inventory (Ref only)'!AF705</f>
        <v/>
      </c>
      <c r="R702" s="856" t="str">
        <f t="shared" si="21"/>
        <v/>
      </c>
      <c r="S702" s="856" t="str">
        <f>IFERROR(ROUND(R702*'Project Info and Summary'!$J$5/'Project Info and Summary'!$L$5,2),"")</f>
        <v/>
      </c>
    </row>
    <row r="703" spans="1:19" ht="30" customHeight="1">
      <c r="A703" s="948"/>
      <c r="B703" s="496">
        <f t="shared" si="22"/>
        <v>694</v>
      </c>
      <c r="C703" s="864"/>
      <c r="D703" s="505"/>
      <c r="E703" s="866"/>
      <c r="F703" s="498"/>
      <c r="G703" s="499"/>
      <c r="H703" s="492"/>
      <c r="I703" s="855">
        <f>IFERROR(IFERROR(INDEX('Fixture and LED Schedule'!D:D,MATCH(F703,'Fixture and LED Schedule'!C:C,""),1),F703),"")</f>
        <v>0</v>
      </c>
      <c r="J703" s="855" t="str">
        <f>IFERROR(IF(PRJ_Type="New Construction",H703,INDEX(yControl_Code,MATCH(Inventory!H703,yControlTypes,0),1)),"")</f>
        <v/>
      </c>
      <c r="K703" s="493"/>
      <c r="L703" s="501"/>
      <c r="M703" s="502"/>
      <c r="N703" s="855">
        <f>IFERROR(IFERROR(INDEX('Fixture and LED Schedule'!D:D,MATCH(K703,'Fixture and LED Schedule'!C:C,0),1),K703),"")</f>
        <v>0</v>
      </c>
      <c r="O703" s="858" t="str">
        <f>IFERROR(INDEX(yControl_Code,MATCH(Inventory!M703,yControlTypes,0),1),"")</f>
        <v/>
      </c>
      <c r="P703" s="860" t="str">
        <f>'Lighting Inventory (Ref only)'!AG706</f>
        <v/>
      </c>
      <c r="Q703" s="861" t="str">
        <f>'Lighting Inventory (Ref only)'!AF706</f>
        <v/>
      </c>
      <c r="R703" s="856" t="str">
        <f t="shared" si="21"/>
        <v/>
      </c>
      <c r="S703" s="856" t="str">
        <f>IFERROR(ROUND(R703*'Project Info and Summary'!$J$5/'Project Info and Summary'!$L$5,2),"")</f>
        <v/>
      </c>
    </row>
    <row r="704" spans="1:19" ht="30" customHeight="1">
      <c r="A704" s="948"/>
      <c r="B704" s="496">
        <f t="shared" si="22"/>
        <v>695</v>
      </c>
      <c r="C704" s="864"/>
      <c r="D704" s="505"/>
      <c r="E704" s="866"/>
      <c r="F704" s="498"/>
      <c r="G704" s="499"/>
      <c r="H704" s="492"/>
      <c r="I704" s="855">
        <f>IFERROR(IFERROR(INDEX('Fixture and LED Schedule'!D:D,MATCH(F704,'Fixture and LED Schedule'!C:C,""),1),F704),"")</f>
        <v>0</v>
      </c>
      <c r="J704" s="855" t="str">
        <f>IFERROR(IF(PRJ_Type="New Construction",H704,INDEX(yControl_Code,MATCH(Inventory!H704,yControlTypes,0),1)),"")</f>
        <v/>
      </c>
      <c r="K704" s="493"/>
      <c r="L704" s="501"/>
      <c r="M704" s="502"/>
      <c r="N704" s="855">
        <f>IFERROR(IFERROR(INDEX('Fixture and LED Schedule'!D:D,MATCH(K704,'Fixture and LED Schedule'!C:C,0),1),K704),"")</f>
        <v>0</v>
      </c>
      <c r="O704" s="858" t="str">
        <f>IFERROR(INDEX(yControl_Code,MATCH(Inventory!M704,yControlTypes,0),1),"")</f>
        <v/>
      </c>
      <c r="P704" s="860" t="str">
        <f>'Lighting Inventory (Ref only)'!AG707</f>
        <v/>
      </c>
      <c r="Q704" s="861" t="str">
        <f>'Lighting Inventory (Ref only)'!AF707</f>
        <v/>
      </c>
      <c r="R704" s="856" t="str">
        <f t="shared" si="21"/>
        <v/>
      </c>
      <c r="S704" s="856" t="str">
        <f>IFERROR(ROUND(R704*'Project Info and Summary'!$J$5/'Project Info and Summary'!$L$5,2),"")</f>
        <v/>
      </c>
    </row>
    <row r="705" spans="1:19" ht="30" customHeight="1">
      <c r="A705" s="948"/>
      <c r="B705" s="496">
        <f t="shared" si="22"/>
        <v>696</v>
      </c>
      <c r="C705" s="864"/>
      <c r="D705" s="505"/>
      <c r="E705" s="866"/>
      <c r="F705" s="498"/>
      <c r="G705" s="499"/>
      <c r="H705" s="492"/>
      <c r="I705" s="855">
        <f>IFERROR(IFERROR(INDEX('Fixture and LED Schedule'!D:D,MATCH(F705,'Fixture and LED Schedule'!C:C,""),1),F705),"")</f>
        <v>0</v>
      </c>
      <c r="J705" s="855" t="str">
        <f>IFERROR(IF(PRJ_Type="New Construction",H705,INDEX(yControl_Code,MATCH(Inventory!H705,yControlTypes,0),1)),"")</f>
        <v/>
      </c>
      <c r="K705" s="493"/>
      <c r="L705" s="501"/>
      <c r="M705" s="502"/>
      <c r="N705" s="855">
        <f>IFERROR(IFERROR(INDEX('Fixture and LED Schedule'!D:D,MATCH(K705,'Fixture and LED Schedule'!C:C,0),1),K705),"")</f>
        <v>0</v>
      </c>
      <c r="O705" s="858" t="str">
        <f>IFERROR(INDEX(yControl_Code,MATCH(Inventory!M705,yControlTypes,0),1),"")</f>
        <v/>
      </c>
      <c r="P705" s="860" t="str">
        <f>'Lighting Inventory (Ref only)'!AG708</f>
        <v/>
      </c>
      <c r="Q705" s="861" t="str">
        <f>'Lighting Inventory (Ref only)'!AF708</f>
        <v/>
      </c>
      <c r="R705" s="856" t="str">
        <f t="shared" si="21"/>
        <v/>
      </c>
      <c r="S705" s="856" t="str">
        <f>IFERROR(ROUND(R705*'Project Info and Summary'!$J$5/'Project Info and Summary'!$L$5,2),"")</f>
        <v/>
      </c>
    </row>
    <row r="706" spans="1:19" ht="30" customHeight="1">
      <c r="A706" s="948"/>
      <c r="B706" s="496">
        <f t="shared" si="22"/>
        <v>697</v>
      </c>
      <c r="C706" s="864"/>
      <c r="D706" s="505"/>
      <c r="E706" s="866"/>
      <c r="F706" s="498"/>
      <c r="G706" s="499"/>
      <c r="H706" s="492"/>
      <c r="I706" s="855">
        <f>IFERROR(IFERROR(INDEX('Fixture and LED Schedule'!D:D,MATCH(F706,'Fixture and LED Schedule'!C:C,""),1),F706),"")</f>
        <v>0</v>
      </c>
      <c r="J706" s="855" t="str">
        <f>IFERROR(IF(PRJ_Type="New Construction",H706,INDEX(yControl_Code,MATCH(Inventory!H706,yControlTypes,0),1)),"")</f>
        <v/>
      </c>
      <c r="K706" s="493"/>
      <c r="L706" s="501"/>
      <c r="M706" s="502"/>
      <c r="N706" s="855">
        <f>IFERROR(IFERROR(INDEX('Fixture and LED Schedule'!D:D,MATCH(K706,'Fixture and LED Schedule'!C:C,0),1),K706),"")</f>
        <v>0</v>
      </c>
      <c r="O706" s="858" t="str">
        <f>IFERROR(INDEX(yControl_Code,MATCH(Inventory!M706,yControlTypes,0),1),"")</f>
        <v/>
      </c>
      <c r="P706" s="860" t="str">
        <f>'Lighting Inventory (Ref only)'!AG709</f>
        <v/>
      </c>
      <c r="Q706" s="861" t="str">
        <f>'Lighting Inventory (Ref only)'!AF709</f>
        <v/>
      </c>
      <c r="R706" s="856" t="str">
        <f t="shared" si="21"/>
        <v/>
      </c>
      <c r="S706" s="856" t="str">
        <f>IFERROR(ROUND(R706*'Project Info and Summary'!$J$5/'Project Info and Summary'!$L$5,2),"")</f>
        <v/>
      </c>
    </row>
    <row r="707" spans="1:19" ht="30" customHeight="1">
      <c r="A707" s="948"/>
      <c r="B707" s="496">
        <f t="shared" si="22"/>
        <v>698</v>
      </c>
      <c r="C707" s="864"/>
      <c r="D707" s="505"/>
      <c r="E707" s="866"/>
      <c r="F707" s="498"/>
      <c r="G707" s="499"/>
      <c r="H707" s="492"/>
      <c r="I707" s="855">
        <f>IFERROR(IFERROR(INDEX('Fixture and LED Schedule'!D:D,MATCH(F707,'Fixture and LED Schedule'!C:C,""),1),F707),"")</f>
        <v>0</v>
      </c>
      <c r="J707" s="855" t="str">
        <f>IFERROR(IF(PRJ_Type="New Construction",H707,INDEX(yControl_Code,MATCH(Inventory!H707,yControlTypes,0),1)),"")</f>
        <v/>
      </c>
      <c r="K707" s="493"/>
      <c r="L707" s="501"/>
      <c r="M707" s="502"/>
      <c r="N707" s="855">
        <f>IFERROR(IFERROR(INDEX('Fixture and LED Schedule'!D:D,MATCH(K707,'Fixture and LED Schedule'!C:C,0),1),K707),"")</f>
        <v>0</v>
      </c>
      <c r="O707" s="858" t="str">
        <f>IFERROR(INDEX(yControl_Code,MATCH(Inventory!M707,yControlTypes,0),1),"")</f>
        <v/>
      </c>
      <c r="P707" s="860" t="str">
        <f>'Lighting Inventory (Ref only)'!AG710</f>
        <v/>
      </c>
      <c r="Q707" s="861" t="str">
        <f>'Lighting Inventory (Ref only)'!AF710</f>
        <v/>
      </c>
      <c r="R707" s="856" t="str">
        <f t="shared" si="21"/>
        <v/>
      </c>
      <c r="S707" s="856" t="str">
        <f>IFERROR(ROUND(R707*'Project Info and Summary'!$J$5/'Project Info and Summary'!$L$5,2),"")</f>
        <v/>
      </c>
    </row>
    <row r="708" spans="1:19" ht="30" customHeight="1">
      <c r="A708" s="948"/>
      <c r="B708" s="496">
        <f t="shared" si="22"/>
        <v>699</v>
      </c>
      <c r="C708" s="864"/>
      <c r="D708" s="505"/>
      <c r="E708" s="866"/>
      <c r="F708" s="498"/>
      <c r="G708" s="499"/>
      <c r="H708" s="492"/>
      <c r="I708" s="855">
        <f>IFERROR(IFERROR(INDEX('Fixture and LED Schedule'!D:D,MATCH(F708,'Fixture and LED Schedule'!C:C,""),1),F708),"")</f>
        <v>0</v>
      </c>
      <c r="J708" s="855" t="str">
        <f>IFERROR(IF(PRJ_Type="New Construction",H708,INDEX(yControl_Code,MATCH(Inventory!H708,yControlTypes,0),1)),"")</f>
        <v/>
      </c>
      <c r="K708" s="493"/>
      <c r="L708" s="501"/>
      <c r="M708" s="502"/>
      <c r="N708" s="855">
        <f>IFERROR(IFERROR(INDEX('Fixture and LED Schedule'!D:D,MATCH(K708,'Fixture and LED Schedule'!C:C,0),1),K708),"")</f>
        <v>0</v>
      </c>
      <c r="O708" s="858" t="str">
        <f>IFERROR(INDEX(yControl_Code,MATCH(Inventory!M708,yControlTypes,0),1),"")</f>
        <v/>
      </c>
      <c r="P708" s="860" t="str">
        <f>'Lighting Inventory (Ref only)'!AG711</f>
        <v/>
      </c>
      <c r="Q708" s="861" t="str">
        <f>'Lighting Inventory (Ref only)'!AF711</f>
        <v/>
      </c>
      <c r="R708" s="856" t="str">
        <f t="shared" si="21"/>
        <v/>
      </c>
      <c r="S708" s="856" t="str">
        <f>IFERROR(ROUND(R708*'Project Info and Summary'!$J$5/'Project Info and Summary'!$L$5,2),"")</f>
        <v/>
      </c>
    </row>
    <row r="709" spans="1:19" ht="30" customHeight="1">
      <c r="A709" s="948"/>
      <c r="B709" s="496">
        <f t="shared" si="22"/>
        <v>700</v>
      </c>
      <c r="C709" s="864"/>
      <c r="D709" s="505"/>
      <c r="E709" s="866"/>
      <c r="F709" s="498"/>
      <c r="G709" s="499"/>
      <c r="H709" s="492"/>
      <c r="I709" s="855">
        <f>IFERROR(IFERROR(INDEX('Fixture and LED Schedule'!D:D,MATCH(F709,'Fixture and LED Schedule'!C:C,""),1),F709),"")</f>
        <v>0</v>
      </c>
      <c r="J709" s="855" t="str">
        <f>IFERROR(IF(PRJ_Type="New Construction",H709,INDEX(yControl_Code,MATCH(Inventory!H709,yControlTypes,0),1)),"")</f>
        <v/>
      </c>
      <c r="K709" s="493"/>
      <c r="L709" s="501"/>
      <c r="M709" s="502"/>
      <c r="N709" s="855">
        <f>IFERROR(IFERROR(INDEX('Fixture and LED Schedule'!D:D,MATCH(K709,'Fixture and LED Schedule'!C:C,0),1),K709),"")</f>
        <v>0</v>
      </c>
      <c r="O709" s="858" t="str">
        <f>IFERROR(INDEX(yControl_Code,MATCH(Inventory!M709,yControlTypes,0),1),"")</f>
        <v/>
      </c>
      <c r="P709" s="860" t="str">
        <f>'Lighting Inventory (Ref only)'!AG712</f>
        <v/>
      </c>
      <c r="Q709" s="861" t="str">
        <f>'Lighting Inventory (Ref only)'!AF712</f>
        <v/>
      </c>
      <c r="R709" s="856" t="str">
        <f t="shared" si="21"/>
        <v/>
      </c>
      <c r="S709" s="856" t="str">
        <f>IFERROR(ROUND(R709*'Project Info and Summary'!$J$5/'Project Info and Summary'!$L$5,2),"")</f>
        <v/>
      </c>
    </row>
    <row r="710" spans="1:19" ht="30" customHeight="1">
      <c r="A710" s="948"/>
      <c r="B710" s="496">
        <f t="shared" si="22"/>
        <v>701</v>
      </c>
      <c r="C710" s="864"/>
      <c r="D710" s="505"/>
      <c r="E710" s="866"/>
      <c r="F710" s="498"/>
      <c r="G710" s="499"/>
      <c r="H710" s="492"/>
      <c r="I710" s="855">
        <f>IFERROR(IFERROR(INDEX('Fixture and LED Schedule'!D:D,MATCH(F710,'Fixture and LED Schedule'!C:C,""),1),F710),"")</f>
        <v>0</v>
      </c>
      <c r="J710" s="855" t="str">
        <f>IFERROR(IF(PRJ_Type="New Construction",H710,INDEX(yControl_Code,MATCH(Inventory!H710,yControlTypes,0),1)),"")</f>
        <v/>
      </c>
      <c r="K710" s="493"/>
      <c r="L710" s="501"/>
      <c r="M710" s="502"/>
      <c r="N710" s="855">
        <f>IFERROR(IFERROR(INDEX('Fixture and LED Schedule'!D:D,MATCH(K710,'Fixture and LED Schedule'!C:C,0),1),K710),"")</f>
        <v>0</v>
      </c>
      <c r="O710" s="858" t="str">
        <f>IFERROR(INDEX(yControl_Code,MATCH(Inventory!M710,yControlTypes,0),1),"")</f>
        <v/>
      </c>
      <c r="P710" s="860" t="str">
        <f>'Lighting Inventory (Ref only)'!AG713</f>
        <v/>
      </c>
      <c r="Q710" s="861" t="str">
        <f>'Lighting Inventory (Ref only)'!AF713</f>
        <v/>
      </c>
      <c r="R710" s="856" t="str">
        <f t="shared" si="21"/>
        <v/>
      </c>
      <c r="S710" s="856" t="str">
        <f>IFERROR(ROUND(R710*'Project Info and Summary'!$J$5/'Project Info and Summary'!$L$5,2),"")</f>
        <v/>
      </c>
    </row>
    <row r="711" spans="1:19" ht="30" customHeight="1">
      <c r="A711" s="948"/>
      <c r="B711" s="496">
        <f t="shared" si="22"/>
        <v>702</v>
      </c>
      <c r="C711" s="864"/>
      <c r="D711" s="505"/>
      <c r="E711" s="866"/>
      <c r="F711" s="498"/>
      <c r="G711" s="499"/>
      <c r="H711" s="492"/>
      <c r="I711" s="855">
        <f>IFERROR(IFERROR(INDEX('Fixture and LED Schedule'!D:D,MATCH(F711,'Fixture and LED Schedule'!C:C,""),1),F711),"")</f>
        <v>0</v>
      </c>
      <c r="J711" s="855" t="str">
        <f>IFERROR(IF(PRJ_Type="New Construction",H711,INDEX(yControl_Code,MATCH(Inventory!H711,yControlTypes,0),1)),"")</f>
        <v/>
      </c>
      <c r="K711" s="493"/>
      <c r="L711" s="501"/>
      <c r="M711" s="502"/>
      <c r="N711" s="855">
        <f>IFERROR(IFERROR(INDEX('Fixture and LED Schedule'!D:D,MATCH(K711,'Fixture and LED Schedule'!C:C,0),1),K711),"")</f>
        <v>0</v>
      </c>
      <c r="O711" s="858" t="str">
        <f>IFERROR(INDEX(yControl_Code,MATCH(Inventory!M711,yControlTypes,0),1),"")</f>
        <v/>
      </c>
      <c r="P711" s="860" t="str">
        <f>'Lighting Inventory (Ref only)'!AG714</f>
        <v/>
      </c>
      <c r="Q711" s="861" t="str">
        <f>'Lighting Inventory (Ref only)'!AF714</f>
        <v/>
      </c>
      <c r="R711" s="856" t="str">
        <f t="shared" si="21"/>
        <v/>
      </c>
      <c r="S711" s="856" t="str">
        <f>IFERROR(ROUND(R711*'Project Info and Summary'!$J$5/'Project Info and Summary'!$L$5,2),"")</f>
        <v/>
      </c>
    </row>
    <row r="712" spans="1:19" ht="30" customHeight="1">
      <c r="A712" s="948"/>
      <c r="B712" s="496">
        <f t="shared" si="22"/>
        <v>703</v>
      </c>
      <c r="C712" s="864"/>
      <c r="D712" s="505"/>
      <c r="E712" s="866"/>
      <c r="F712" s="498"/>
      <c r="G712" s="499"/>
      <c r="H712" s="492"/>
      <c r="I712" s="855">
        <f>IFERROR(IFERROR(INDEX('Fixture and LED Schedule'!D:D,MATCH(F712,'Fixture and LED Schedule'!C:C,""),1),F712),"")</f>
        <v>0</v>
      </c>
      <c r="J712" s="855" t="str">
        <f>IFERROR(IF(PRJ_Type="New Construction",H712,INDEX(yControl_Code,MATCH(Inventory!H712,yControlTypes,0),1)),"")</f>
        <v/>
      </c>
      <c r="K712" s="493"/>
      <c r="L712" s="501"/>
      <c r="M712" s="502"/>
      <c r="N712" s="855">
        <f>IFERROR(IFERROR(INDEX('Fixture and LED Schedule'!D:D,MATCH(K712,'Fixture and LED Schedule'!C:C,0),1),K712),"")</f>
        <v>0</v>
      </c>
      <c r="O712" s="858" t="str">
        <f>IFERROR(INDEX(yControl_Code,MATCH(Inventory!M712,yControlTypes,0),1),"")</f>
        <v/>
      </c>
      <c r="P712" s="860" t="str">
        <f>'Lighting Inventory (Ref only)'!AG715</f>
        <v/>
      </c>
      <c r="Q712" s="861" t="str">
        <f>'Lighting Inventory (Ref only)'!AF715</f>
        <v/>
      </c>
      <c r="R712" s="856" t="str">
        <f t="shared" si="21"/>
        <v/>
      </c>
      <c r="S712" s="856" t="str">
        <f>IFERROR(ROUND(R712*'Project Info and Summary'!$J$5/'Project Info and Summary'!$L$5,2),"")</f>
        <v/>
      </c>
    </row>
    <row r="713" spans="1:19" ht="30" customHeight="1">
      <c r="A713" s="948"/>
      <c r="B713" s="496">
        <f t="shared" si="22"/>
        <v>704</v>
      </c>
      <c r="C713" s="864"/>
      <c r="D713" s="505"/>
      <c r="E713" s="866"/>
      <c r="F713" s="498"/>
      <c r="G713" s="499"/>
      <c r="H713" s="492"/>
      <c r="I713" s="855">
        <f>IFERROR(IFERROR(INDEX('Fixture and LED Schedule'!D:D,MATCH(F713,'Fixture and LED Schedule'!C:C,""),1),F713),"")</f>
        <v>0</v>
      </c>
      <c r="J713" s="855" t="str">
        <f>IFERROR(IF(PRJ_Type="New Construction",H713,INDEX(yControl_Code,MATCH(Inventory!H713,yControlTypes,0),1)),"")</f>
        <v/>
      </c>
      <c r="K713" s="493"/>
      <c r="L713" s="501"/>
      <c r="M713" s="502"/>
      <c r="N713" s="855">
        <f>IFERROR(IFERROR(INDEX('Fixture and LED Schedule'!D:D,MATCH(K713,'Fixture and LED Schedule'!C:C,0),1),K713),"")</f>
        <v>0</v>
      </c>
      <c r="O713" s="858" t="str">
        <f>IFERROR(INDEX(yControl_Code,MATCH(Inventory!M713,yControlTypes,0),1),"")</f>
        <v/>
      </c>
      <c r="P713" s="860" t="str">
        <f>'Lighting Inventory (Ref only)'!AG716</f>
        <v/>
      </c>
      <c r="Q713" s="861" t="str">
        <f>'Lighting Inventory (Ref only)'!AF716</f>
        <v/>
      </c>
      <c r="R713" s="856" t="str">
        <f t="shared" si="21"/>
        <v/>
      </c>
      <c r="S713" s="856" t="str">
        <f>IFERROR(ROUND(R713*'Project Info and Summary'!$J$5/'Project Info and Summary'!$L$5,2),"")</f>
        <v/>
      </c>
    </row>
    <row r="714" spans="1:19" ht="30" customHeight="1">
      <c r="A714" s="948"/>
      <c r="B714" s="496">
        <f t="shared" si="22"/>
        <v>705</v>
      </c>
      <c r="C714" s="864"/>
      <c r="D714" s="505"/>
      <c r="E714" s="866"/>
      <c r="F714" s="498"/>
      <c r="G714" s="499"/>
      <c r="H714" s="492"/>
      <c r="I714" s="855">
        <f>IFERROR(IFERROR(INDEX('Fixture and LED Schedule'!D:D,MATCH(F714,'Fixture and LED Schedule'!C:C,""),1),F714),"")</f>
        <v>0</v>
      </c>
      <c r="J714" s="855" t="str">
        <f>IFERROR(IF(PRJ_Type="New Construction",H714,INDEX(yControl_Code,MATCH(Inventory!H714,yControlTypes,0),1)),"")</f>
        <v/>
      </c>
      <c r="K714" s="493"/>
      <c r="L714" s="501"/>
      <c r="M714" s="502"/>
      <c r="N714" s="855">
        <f>IFERROR(IFERROR(INDEX('Fixture and LED Schedule'!D:D,MATCH(K714,'Fixture and LED Schedule'!C:C,0),1),K714),"")</f>
        <v>0</v>
      </c>
      <c r="O714" s="858" t="str">
        <f>IFERROR(INDEX(yControl_Code,MATCH(Inventory!M714,yControlTypes,0),1),"")</f>
        <v/>
      </c>
      <c r="P714" s="860" t="str">
        <f>'Lighting Inventory (Ref only)'!AG717</f>
        <v/>
      </c>
      <c r="Q714" s="861" t="str">
        <f>'Lighting Inventory (Ref only)'!AF717</f>
        <v/>
      </c>
      <c r="R714" s="856" t="str">
        <f t="shared" si="21"/>
        <v/>
      </c>
      <c r="S714" s="856" t="str">
        <f>IFERROR(ROUND(R714*'Project Info and Summary'!$J$5/'Project Info and Summary'!$L$5,2),"")</f>
        <v/>
      </c>
    </row>
    <row r="715" spans="1:19" ht="30" customHeight="1">
      <c r="A715" s="948"/>
      <c r="B715" s="496">
        <f t="shared" si="22"/>
        <v>706</v>
      </c>
      <c r="C715" s="864"/>
      <c r="D715" s="505"/>
      <c r="E715" s="866"/>
      <c r="F715" s="498"/>
      <c r="G715" s="499"/>
      <c r="H715" s="492"/>
      <c r="I715" s="855">
        <f>IFERROR(IFERROR(INDEX('Fixture and LED Schedule'!D:D,MATCH(F715,'Fixture and LED Schedule'!C:C,""),1),F715),"")</f>
        <v>0</v>
      </c>
      <c r="J715" s="855" t="str">
        <f>IFERROR(IF(PRJ_Type="New Construction",H715,INDEX(yControl_Code,MATCH(Inventory!H715,yControlTypes,0),1)),"")</f>
        <v/>
      </c>
      <c r="K715" s="493"/>
      <c r="L715" s="501"/>
      <c r="M715" s="502"/>
      <c r="N715" s="855">
        <f>IFERROR(IFERROR(INDEX('Fixture and LED Schedule'!D:D,MATCH(K715,'Fixture and LED Schedule'!C:C,0),1),K715),"")</f>
        <v>0</v>
      </c>
      <c r="O715" s="858" t="str">
        <f>IFERROR(INDEX(yControl_Code,MATCH(Inventory!M715,yControlTypes,0),1),"")</f>
        <v/>
      </c>
      <c r="P715" s="860" t="str">
        <f>'Lighting Inventory (Ref only)'!AG718</f>
        <v/>
      </c>
      <c r="Q715" s="861" t="str">
        <f>'Lighting Inventory (Ref only)'!AF718</f>
        <v/>
      </c>
      <c r="R715" s="856" t="str">
        <f t="shared" ref="R715:R778" si="23">IFERROR(P715*0.02+Q715*185,"")</f>
        <v/>
      </c>
      <c r="S715" s="856" t="str">
        <f>IFERROR(ROUND(R715*'Project Info and Summary'!$J$5/'Project Info and Summary'!$L$5,2),"")</f>
        <v/>
      </c>
    </row>
    <row r="716" spans="1:19" ht="30" customHeight="1">
      <c r="A716" s="948"/>
      <c r="B716" s="496">
        <f t="shared" si="22"/>
        <v>707</v>
      </c>
      <c r="C716" s="864"/>
      <c r="D716" s="505"/>
      <c r="E716" s="866"/>
      <c r="F716" s="498"/>
      <c r="G716" s="499"/>
      <c r="H716" s="492"/>
      <c r="I716" s="855">
        <f>IFERROR(IFERROR(INDEX('Fixture and LED Schedule'!D:D,MATCH(F716,'Fixture and LED Schedule'!C:C,""),1),F716),"")</f>
        <v>0</v>
      </c>
      <c r="J716" s="855" t="str">
        <f>IFERROR(IF(PRJ_Type="New Construction",H716,INDEX(yControl_Code,MATCH(Inventory!H716,yControlTypes,0),1)),"")</f>
        <v/>
      </c>
      <c r="K716" s="493"/>
      <c r="L716" s="501"/>
      <c r="M716" s="502"/>
      <c r="N716" s="855">
        <f>IFERROR(IFERROR(INDEX('Fixture and LED Schedule'!D:D,MATCH(K716,'Fixture and LED Schedule'!C:C,0),1),K716),"")</f>
        <v>0</v>
      </c>
      <c r="O716" s="858" t="str">
        <f>IFERROR(INDEX(yControl_Code,MATCH(Inventory!M716,yControlTypes,0),1),"")</f>
        <v/>
      </c>
      <c r="P716" s="860" t="str">
        <f>'Lighting Inventory (Ref only)'!AG719</f>
        <v/>
      </c>
      <c r="Q716" s="861" t="str">
        <f>'Lighting Inventory (Ref only)'!AF719</f>
        <v/>
      </c>
      <c r="R716" s="856" t="str">
        <f t="shared" si="23"/>
        <v/>
      </c>
      <c r="S716" s="856" t="str">
        <f>IFERROR(ROUND(R716*'Project Info and Summary'!$J$5/'Project Info and Summary'!$L$5,2),"")</f>
        <v/>
      </c>
    </row>
    <row r="717" spans="1:19" ht="30" customHeight="1">
      <c r="A717" s="948"/>
      <c r="B717" s="496">
        <f t="shared" si="22"/>
        <v>708</v>
      </c>
      <c r="C717" s="864"/>
      <c r="D717" s="505"/>
      <c r="E717" s="866"/>
      <c r="F717" s="498"/>
      <c r="G717" s="499"/>
      <c r="H717" s="492"/>
      <c r="I717" s="855">
        <f>IFERROR(IFERROR(INDEX('Fixture and LED Schedule'!D:D,MATCH(F717,'Fixture and LED Schedule'!C:C,""),1),F717),"")</f>
        <v>0</v>
      </c>
      <c r="J717" s="855" t="str">
        <f>IFERROR(IF(PRJ_Type="New Construction",H717,INDEX(yControl_Code,MATCH(Inventory!H717,yControlTypes,0),1)),"")</f>
        <v/>
      </c>
      <c r="K717" s="493"/>
      <c r="L717" s="501"/>
      <c r="M717" s="502"/>
      <c r="N717" s="855">
        <f>IFERROR(IFERROR(INDEX('Fixture and LED Schedule'!D:D,MATCH(K717,'Fixture and LED Schedule'!C:C,0),1),K717),"")</f>
        <v>0</v>
      </c>
      <c r="O717" s="858" t="str">
        <f>IFERROR(INDEX(yControl_Code,MATCH(Inventory!M717,yControlTypes,0),1),"")</f>
        <v/>
      </c>
      <c r="P717" s="860" t="str">
        <f>'Lighting Inventory (Ref only)'!AG720</f>
        <v/>
      </c>
      <c r="Q717" s="861" t="str">
        <f>'Lighting Inventory (Ref only)'!AF720</f>
        <v/>
      </c>
      <c r="R717" s="856" t="str">
        <f t="shared" si="23"/>
        <v/>
      </c>
      <c r="S717" s="856" t="str">
        <f>IFERROR(ROUND(R717*'Project Info and Summary'!$J$5/'Project Info and Summary'!$L$5,2),"")</f>
        <v/>
      </c>
    </row>
    <row r="718" spans="1:19" ht="30" customHeight="1">
      <c r="A718" s="948"/>
      <c r="B718" s="496">
        <f t="shared" si="22"/>
        <v>709</v>
      </c>
      <c r="C718" s="864"/>
      <c r="D718" s="505"/>
      <c r="E718" s="866"/>
      <c r="F718" s="498"/>
      <c r="G718" s="499"/>
      <c r="H718" s="492"/>
      <c r="I718" s="855">
        <f>IFERROR(IFERROR(INDEX('Fixture and LED Schedule'!D:D,MATCH(F718,'Fixture and LED Schedule'!C:C,""),1),F718),"")</f>
        <v>0</v>
      </c>
      <c r="J718" s="855" t="str">
        <f>IFERROR(IF(PRJ_Type="New Construction",H718,INDEX(yControl_Code,MATCH(Inventory!H718,yControlTypes,0),1)),"")</f>
        <v/>
      </c>
      <c r="K718" s="493"/>
      <c r="L718" s="501"/>
      <c r="M718" s="502"/>
      <c r="N718" s="855">
        <f>IFERROR(IFERROR(INDEX('Fixture and LED Schedule'!D:D,MATCH(K718,'Fixture and LED Schedule'!C:C,0),1),K718),"")</f>
        <v>0</v>
      </c>
      <c r="O718" s="858" t="str">
        <f>IFERROR(INDEX(yControl_Code,MATCH(Inventory!M718,yControlTypes,0),1),"")</f>
        <v/>
      </c>
      <c r="P718" s="860" t="str">
        <f>'Lighting Inventory (Ref only)'!AG721</f>
        <v/>
      </c>
      <c r="Q718" s="861" t="str">
        <f>'Lighting Inventory (Ref only)'!AF721</f>
        <v/>
      </c>
      <c r="R718" s="856" t="str">
        <f t="shared" si="23"/>
        <v/>
      </c>
      <c r="S718" s="856" t="str">
        <f>IFERROR(ROUND(R718*'Project Info and Summary'!$J$5/'Project Info and Summary'!$L$5,2),"")</f>
        <v/>
      </c>
    </row>
    <row r="719" spans="1:19" ht="30" customHeight="1">
      <c r="A719" s="948"/>
      <c r="B719" s="496">
        <f t="shared" si="22"/>
        <v>710</v>
      </c>
      <c r="C719" s="864"/>
      <c r="D719" s="505"/>
      <c r="E719" s="866"/>
      <c r="F719" s="498"/>
      <c r="G719" s="499"/>
      <c r="H719" s="492"/>
      <c r="I719" s="855">
        <f>IFERROR(IFERROR(INDEX('Fixture and LED Schedule'!D:D,MATCH(F719,'Fixture and LED Schedule'!C:C,""),1),F719),"")</f>
        <v>0</v>
      </c>
      <c r="J719" s="855" t="str">
        <f>IFERROR(IF(PRJ_Type="New Construction",H719,INDEX(yControl_Code,MATCH(Inventory!H719,yControlTypes,0),1)),"")</f>
        <v/>
      </c>
      <c r="K719" s="493"/>
      <c r="L719" s="501"/>
      <c r="M719" s="502"/>
      <c r="N719" s="855">
        <f>IFERROR(IFERROR(INDEX('Fixture and LED Schedule'!D:D,MATCH(K719,'Fixture and LED Schedule'!C:C,0),1),K719),"")</f>
        <v>0</v>
      </c>
      <c r="O719" s="858" t="str">
        <f>IFERROR(INDEX(yControl_Code,MATCH(Inventory!M719,yControlTypes,0),1),"")</f>
        <v/>
      </c>
      <c r="P719" s="860" t="str">
        <f>'Lighting Inventory (Ref only)'!AG722</f>
        <v/>
      </c>
      <c r="Q719" s="861" t="str">
        <f>'Lighting Inventory (Ref only)'!AF722</f>
        <v/>
      </c>
      <c r="R719" s="856" t="str">
        <f t="shared" si="23"/>
        <v/>
      </c>
      <c r="S719" s="856" t="str">
        <f>IFERROR(ROUND(R719*'Project Info and Summary'!$J$5/'Project Info and Summary'!$L$5,2),"")</f>
        <v/>
      </c>
    </row>
    <row r="720" spans="1:19" ht="30" customHeight="1">
      <c r="A720" s="948"/>
      <c r="B720" s="496">
        <f t="shared" si="22"/>
        <v>711</v>
      </c>
      <c r="C720" s="864"/>
      <c r="D720" s="505"/>
      <c r="E720" s="866"/>
      <c r="F720" s="498"/>
      <c r="G720" s="499"/>
      <c r="H720" s="492"/>
      <c r="I720" s="855">
        <f>IFERROR(IFERROR(INDEX('Fixture and LED Schedule'!D:D,MATCH(F720,'Fixture and LED Schedule'!C:C,""),1),F720),"")</f>
        <v>0</v>
      </c>
      <c r="J720" s="855" t="str">
        <f>IFERROR(IF(PRJ_Type="New Construction",H720,INDEX(yControl_Code,MATCH(Inventory!H720,yControlTypes,0),1)),"")</f>
        <v/>
      </c>
      <c r="K720" s="493"/>
      <c r="L720" s="501"/>
      <c r="M720" s="502"/>
      <c r="N720" s="855">
        <f>IFERROR(IFERROR(INDEX('Fixture and LED Schedule'!D:D,MATCH(K720,'Fixture and LED Schedule'!C:C,0),1),K720),"")</f>
        <v>0</v>
      </c>
      <c r="O720" s="858" t="str">
        <f>IFERROR(INDEX(yControl_Code,MATCH(Inventory!M720,yControlTypes,0),1),"")</f>
        <v/>
      </c>
      <c r="P720" s="860" t="str">
        <f>'Lighting Inventory (Ref only)'!AG723</f>
        <v/>
      </c>
      <c r="Q720" s="861" t="str">
        <f>'Lighting Inventory (Ref only)'!AF723</f>
        <v/>
      </c>
      <c r="R720" s="856" t="str">
        <f t="shared" si="23"/>
        <v/>
      </c>
      <c r="S720" s="856" t="str">
        <f>IFERROR(ROUND(R720*'Project Info and Summary'!$J$5/'Project Info and Summary'!$L$5,2),"")</f>
        <v/>
      </c>
    </row>
    <row r="721" spans="1:19" ht="30" customHeight="1">
      <c r="A721" s="948"/>
      <c r="B721" s="496">
        <f t="shared" si="22"/>
        <v>712</v>
      </c>
      <c r="C721" s="864"/>
      <c r="D721" s="505"/>
      <c r="E721" s="866"/>
      <c r="F721" s="498"/>
      <c r="G721" s="499"/>
      <c r="H721" s="492"/>
      <c r="I721" s="855">
        <f>IFERROR(IFERROR(INDEX('Fixture and LED Schedule'!D:D,MATCH(F721,'Fixture and LED Schedule'!C:C,""),1),F721),"")</f>
        <v>0</v>
      </c>
      <c r="J721" s="855" t="str">
        <f>IFERROR(IF(PRJ_Type="New Construction",H721,INDEX(yControl_Code,MATCH(Inventory!H721,yControlTypes,0),1)),"")</f>
        <v/>
      </c>
      <c r="K721" s="493"/>
      <c r="L721" s="501"/>
      <c r="M721" s="502"/>
      <c r="N721" s="855">
        <f>IFERROR(IFERROR(INDEX('Fixture and LED Schedule'!D:D,MATCH(K721,'Fixture and LED Schedule'!C:C,0),1),K721),"")</f>
        <v>0</v>
      </c>
      <c r="O721" s="858" t="str">
        <f>IFERROR(INDEX(yControl_Code,MATCH(Inventory!M721,yControlTypes,0),1),"")</f>
        <v/>
      </c>
      <c r="P721" s="860" t="str">
        <f>'Lighting Inventory (Ref only)'!AG724</f>
        <v/>
      </c>
      <c r="Q721" s="861" t="str">
        <f>'Lighting Inventory (Ref only)'!AF724</f>
        <v/>
      </c>
      <c r="R721" s="856" t="str">
        <f t="shared" si="23"/>
        <v/>
      </c>
      <c r="S721" s="856" t="str">
        <f>IFERROR(ROUND(R721*'Project Info and Summary'!$J$5/'Project Info and Summary'!$L$5,2),"")</f>
        <v/>
      </c>
    </row>
    <row r="722" spans="1:19" ht="30" customHeight="1">
      <c r="A722" s="948"/>
      <c r="B722" s="496">
        <f t="shared" si="22"/>
        <v>713</v>
      </c>
      <c r="C722" s="864"/>
      <c r="D722" s="505"/>
      <c r="E722" s="866"/>
      <c r="F722" s="498"/>
      <c r="G722" s="499"/>
      <c r="H722" s="492"/>
      <c r="I722" s="855">
        <f>IFERROR(IFERROR(INDEX('Fixture and LED Schedule'!D:D,MATCH(F722,'Fixture and LED Schedule'!C:C,""),1),F722),"")</f>
        <v>0</v>
      </c>
      <c r="J722" s="855" t="str">
        <f>IFERROR(IF(PRJ_Type="New Construction",H722,INDEX(yControl_Code,MATCH(Inventory!H722,yControlTypes,0),1)),"")</f>
        <v/>
      </c>
      <c r="K722" s="493"/>
      <c r="L722" s="501"/>
      <c r="M722" s="502"/>
      <c r="N722" s="855">
        <f>IFERROR(IFERROR(INDEX('Fixture and LED Schedule'!D:D,MATCH(K722,'Fixture and LED Schedule'!C:C,0),1),K722),"")</f>
        <v>0</v>
      </c>
      <c r="O722" s="858" t="str">
        <f>IFERROR(INDEX(yControl_Code,MATCH(Inventory!M722,yControlTypes,0),1),"")</f>
        <v/>
      </c>
      <c r="P722" s="860" t="str">
        <f>'Lighting Inventory (Ref only)'!AG725</f>
        <v/>
      </c>
      <c r="Q722" s="861" t="str">
        <f>'Lighting Inventory (Ref only)'!AF725</f>
        <v/>
      </c>
      <c r="R722" s="856" t="str">
        <f t="shared" si="23"/>
        <v/>
      </c>
      <c r="S722" s="856" t="str">
        <f>IFERROR(ROUND(R722*'Project Info and Summary'!$J$5/'Project Info and Summary'!$L$5,2),"")</f>
        <v/>
      </c>
    </row>
    <row r="723" spans="1:19" ht="30" customHeight="1">
      <c r="A723" s="948"/>
      <c r="B723" s="496">
        <f t="shared" si="22"/>
        <v>714</v>
      </c>
      <c r="C723" s="864"/>
      <c r="D723" s="505"/>
      <c r="E723" s="866"/>
      <c r="F723" s="498"/>
      <c r="G723" s="499"/>
      <c r="H723" s="492"/>
      <c r="I723" s="855">
        <f>IFERROR(IFERROR(INDEX('Fixture and LED Schedule'!D:D,MATCH(F723,'Fixture and LED Schedule'!C:C,""),1),F723),"")</f>
        <v>0</v>
      </c>
      <c r="J723" s="855" t="str">
        <f>IFERROR(IF(PRJ_Type="New Construction",H723,INDEX(yControl_Code,MATCH(Inventory!H723,yControlTypes,0),1)),"")</f>
        <v/>
      </c>
      <c r="K723" s="493"/>
      <c r="L723" s="501"/>
      <c r="M723" s="502"/>
      <c r="N723" s="855">
        <f>IFERROR(IFERROR(INDEX('Fixture and LED Schedule'!D:D,MATCH(K723,'Fixture and LED Schedule'!C:C,0),1),K723),"")</f>
        <v>0</v>
      </c>
      <c r="O723" s="858" t="str">
        <f>IFERROR(INDEX(yControl_Code,MATCH(Inventory!M723,yControlTypes,0),1),"")</f>
        <v/>
      </c>
      <c r="P723" s="860" t="str">
        <f>'Lighting Inventory (Ref only)'!AG726</f>
        <v/>
      </c>
      <c r="Q723" s="861" t="str">
        <f>'Lighting Inventory (Ref only)'!AF726</f>
        <v/>
      </c>
      <c r="R723" s="856" t="str">
        <f t="shared" si="23"/>
        <v/>
      </c>
      <c r="S723" s="856" t="str">
        <f>IFERROR(ROUND(R723*'Project Info and Summary'!$J$5/'Project Info and Summary'!$L$5,2),"")</f>
        <v/>
      </c>
    </row>
    <row r="724" spans="1:19" ht="30" customHeight="1">
      <c r="A724" s="948"/>
      <c r="B724" s="496">
        <f t="shared" si="22"/>
        <v>715</v>
      </c>
      <c r="C724" s="864"/>
      <c r="D724" s="505"/>
      <c r="E724" s="866"/>
      <c r="F724" s="498"/>
      <c r="G724" s="499"/>
      <c r="H724" s="492"/>
      <c r="I724" s="855">
        <f>IFERROR(IFERROR(INDEX('Fixture and LED Schedule'!D:D,MATCH(F724,'Fixture and LED Schedule'!C:C,""),1),F724),"")</f>
        <v>0</v>
      </c>
      <c r="J724" s="855" t="str">
        <f>IFERROR(IF(PRJ_Type="New Construction",H724,INDEX(yControl_Code,MATCH(Inventory!H724,yControlTypes,0),1)),"")</f>
        <v/>
      </c>
      <c r="K724" s="493"/>
      <c r="L724" s="501"/>
      <c r="M724" s="502"/>
      <c r="N724" s="855">
        <f>IFERROR(IFERROR(INDEX('Fixture and LED Schedule'!D:D,MATCH(K724,'Fixture and LED Schedule'!C:C,0),1),K724),"")</f>
        <v>0</v>
      </c>
      <c r="O724" s="858" t="str">
        <f>IFERROR(INDEX(yControl_Code,MATCH(Inventory!M724,yControlTypes,0),1),"")</f>
        <v/>
      </c>
      <c r="P724" s="860" t="str">
        <f>'Lighting Inventory (Ref only)'!AG727</f>
        <v/>
      </c>
      <c r="Q724" s="861" t="str">
        <f>'Lighting Inventory (Ref only)'!AF727</f>
        <v/>
      </c>
      <c r="R724" s="856" t="str">
        <f t="shared" si="23"/>
        <v/>
      </c>
      <c r="S724" s="856" t="str">
        <f>IFERROR(ROUND(R724*'Project Info and Summary'!$J$5/'Project Info and Summary'!$L$5,2),"")</f>
        <v/>
      </c>
    </row>
    <row r="725" spans="1:19" ht="30" customHeight="1">
      <c r="A725" s="948"/>
      <c r="B725" s="496">
        <f t="shared" si="22"/>
        <v>716</v>
      </c>
      <c r="C725" s="864"/>
      <c r="D725" s="505"/>
      <c r="E725" s="866"/>
      <c r="F725" s="498"/>
      <c r="G725" s="499"/>
      <c r="H725" s="492"/>
      <c r="I725" s="855">
        <f>IFERROR(IFERROR(INDEX('Fixture and LED Schedule'!D:D,MATCH(F725,'Fixture and LED Schedule'!C:C,""),1),F725),"")</f>
        <v>0</v>
      </c>
      <c r="J725" s="855" t="str">
        <f>IFERROR(IF(PRJ_Type="New Construction",H725,INDEX(yControl_Code,MATCH(Inventory!H725,yControlTypes,0),1)),"")</f>
        <v/>
      </c>
      <c r="K725" s="493"/>
      <c r="L725" s="501"/>
      <c r="M725" s="502"/>
      <c r="N725" s="855">
        <f>IFERROR(IFERROR(INDEX('Fixture and LED Schedule'!D:D,MATCH(K725,'Fixture and LED Schedule'!C:C,0),1),K725),"")</f>
        <v>0</v>
      </c>
      <c r="O725" s="858" t="str">
        <f>IFERROR(INDEX(yControl_Code,MATCH(Inventory!M725,yControlTypes,0),1),"")</f>
        <v/>
      </c>
      <c r="P725" s="860" t="str">
        <f>'Lighting Inventory (Ref only)'!AG728</f>
        <v/>
      </c>
      <c r="Q725" s="861" t="str">
        <f>'Lighting Inventory (Ref only)'!AF728</f>
        <v/>
      </c>
      <c r="R725" s="856" t="str">
        <f t="shared" si="23"/>
        <v/>
      </c>
      <c r="S725" s="856" t="str">
        <f>IFERROR(ROUND(R725*'Project Info and Summary'!$J$5/'Project Info and Summary'!$L$5,2),"")</f>
        <v/>
      </c>
    </row>
    <row r="726" spans="1:19" ht="30" customHeight="1">
      <c r="A726" s="948"/>
      <c r="B726" s="496">
        <f t="shared" si="22"/>
        <v>717</v>
      </c>
      <c r="C726" s="864"/>
      <c r="D726" s="505"/>
      <c r="E726" s="866"/>
      <c r="F726" s="498"/>
      <c r="G726" s="499"/>
      <c r="H726" s="492"/>
      <c r="I726" s="855">
        <f>IFERROR(IFERROR(INDEX('Fixture and LED Schedule'!D:D,MATCH(F726,'Fixture and LED Schedule'!C:C,""),1),F726),"")</f>
        <v>0</v>
      </c>
      <c r="J726" s="855" t="str">
        <f>IFERROR(IF(PRJ_Type="New Construction",H726,INDEX(yControl_Code,MATCH(Inventory!H726,yControlTypes,0),1)),"")</f>
        <v/>
      </c>
      <c r="K726" s="493"/>
      <c r="L726" s="501"/>
      <c r="M726" s="502"/>
      <c r="N726" s="855">
        <f>IFERROR(IFERROR(INDEX('Fixture and LED Schedule'!D:D,MATCH(K726,'Fixture and LED Schedule'!C:C,0),1),K726),"")</f>
        <v>0</v>
      </c>
      <c r="O726" s="858" t="str">
        <f>IFERROR(INDEX(yControl_Code,MATCH(Inventory!M726,yControlTypes,0),1),"")</f>
        <v/>
      </c>
      <c r="P726" s="860" t="str">
        <f>'Lighting Inventory (Ref only)'!AG729</f>
        <v/>
      </c>
      <c r="Q726" s="861" t="str">
        <f>'Lighting Inventory (Ref only)'!AF729</f>
        <v/>
      </c>
      <c r="R726" s="856" t="str">
        <f t="shared" si="23"/>
        <v/>
      </c>
      <c r="S726" s="856" t="str">
        <f>IFERROR(ROUND(R726*'Project Info and Summary'!$J$5/'Project Info and Summary'!$L$5,2),"")</f>
        <v/>
      </c>
    </row>
    <row r="727" spans="1:19" ht="30" customHeight="1">
      <c r="A727" s="948"/>
      <c r="B727" s="496">
        <f t="shared" si="22"/>
        <v>718</v>
      </c>
      <c r="C727" s="864"/>
      <c r="D727" s="505"/>
      <c r="E727" s="866"/>
      <c r="F727" s="498"/>
      <c r="G727" s="499"/>
      <c r="H727" s="492"/>
      <c r="I727" s="855">
        <f>IFERROR(IFERROR(INDEX('Fixture and LED Schedule'!D:D,MATCH(F727,'Fixture and LED Schedule'!C:C,""),1),F727),"")</f>
        <v>0</v>
      </c>
      <c r="J727" s="855" t="str">
        <f>IFERROR(IF(PRJ_Type="New Construction",H727,INDEX(yControl_Code,MATCH(Inventory!H727,yControlTypes,0),1)),"")</f>
        <v/>
      </c>
      <c r="K727" s="493"/>
      <c r="L727" s="501"/>
      <c r="M727" s="502"/>
      <c r="N727" s="855">
        <f>IFERROR(IFERROR(INDEX('Fixture and LED Schedule'!D:D,MATCH(K727,'Fixture and LED Schedule'!C:C,0),1),K727),"")</f>
        <v>0</v>
      </c>
      <c r="O727" s="858" t="str">
        <f>IFERROR(INDEX(yControl_Code,MATCH(Inventory!M727,yControlTypes,0),1),"")</f>
        <v/>
      </c>
      <c r="P727" s="860" t="str">
        <f>'Lighting Inventory (Ref only)'!AG730</f>
        <v/>
      </c>
      <c r="Q727" s="861" t="str">
        <f>'Lighting Inventory (Ref only)'!AF730</f>
        <v/>
      </c>
      <c r="R727" s="856" t="str">
        <f t="shared" si="23"/>
        <v/>
      </c>
      <c r="S727" s="856" t="str">
        <f>IFERROR(ROUND(R727*'Project Info and Summary'!$J$5/'Project Info and Summary'!$L$5,2),"")</f>
        <v/>
      </c>
    </row>
    <row r="728" spans="1:19" ht="30" customHeight="1">
      <c r="A728" s="948"/>
      <c r="B728" s="496">
        <f t="shared" si="22"/>
        <v>719</v>
      </c>
      <c r="C728" s="864"/>
      <c r="D728" s="505"/>
      <c r="E728" s="866"/>
      <c r="F728" s="498"/>
      <c r="G728" s="499"/>
      <c r="H728" s="492"/>
      <c r="I728" s="855">
        <f>IFERROR(IFERROR(INDEX('Fixture and LED Schedule'!D:D,MATCH(F728,'Fixture and LED Schedule'!C:C,""),1),F728),"")</f>
        <v>0</v>
      </c>
      <c r="J728" s="855" t="str">
        <f>IFERROR(IF(PRJ_Type="New Construction",H728,INDEX(yControl_Code,MATCH(Inventory!H728,yControlTypes,0),1)),"")</f>
        <v/>
      </c>
      <c r="K728" s="493"/>
      <c r="L728" s="501"/>
      <c r="M728" s="502"/>
      <c r="N728" s="855">
        <f>IFERROR(IFERROR(INDEX('Fixture and LED Schedule'!D:D,MATCH(K728,'Fixture and LED Schedule'!C:C,0),1),K728),"")</f>
        <v>0</v>
      </c>
      <c r="O728" s="858" t="str">
        <f>IFERROR(INDEX(yControl_Code,MATCH(Inventory!M728,yControlTypes,0),1),"")</f>
        <v/>
      </c>
      <c r="P728" s="860" t="str">
        <f>'Lighting Inventory (Ref only)'!AG731</f>
        <v/>
      </c>
      <c r="Q728" s="861" t="str">
        <f>'Lighting Inventory (Ref only)'!AF731</f>
        <v/>
      </c>
      <c r="R728" s="856" t="str">
        <f t="shared" si="23"/>
        <v/>
      </c>
      <c r="S728" s="856" t="str">
        <f>IFERROR(ROUND(R728*'Project Info and Summary'!$J$5/'Project Info and Summary'!$L$5,2),"")</f>
        <v/>
      </c>
    </row>
    <row r="729" spans="1:19" ht="30" customHeight="1">
      <c r="A729" s="948"/>
      <c r="B729" s="496">
        <f t="shared" si="22"/>
        <v>720</v>
      </c>
      <c r="C729" s="864"/>
      <c r="D729" s="505"/>
      <c r="E729" s="866"/>
      <c r="F729" s="498"/>
      <c r="G729" s="499"/>
      <c r="H729" s="492"/>
      <c r="I729" s="855">
        <f>IFERROR(IFERROR(INDEX('Fixture and LED Schedule'!D:D,MATCH(F729,'Fixture and LED Schedule'!C:C,""),1),F729),"")</f>
        <v>0</v>
      </c>
      <c r="J729" s="855" t="str">
        <f>IFERROR(IF(PRJ_Type="New Construction",H729,INDEX(yControl_Code,MATCH(Inventory!H729,yControlTypes,0),1)),"")</f>
        <v/>
      </c>
      <c r="K729" s="493"/>
      <c r="L729" s="501"/>
      <c r="M729" s="502"/>
      <c r="N729" s="855">
        <f>IFERROR(IFERROR(INDEX('Fixture and LED Schedule'!D:D,MATCH(K729,'Fixture and LED Schedule'!C:C,0),1),K729),"")</f>
        <v>0</v>
      </c>
      <c r="O729" s="858" t="str">
        <f>IFERROR(INDEX(yControl_Code,MATCH(Inventory!M729,yControlTypes,0),1),"")</f>
        <v/>
      </c>
      <c r="P729" s="860" t="str">
        <f>'Lighting Inventory (Ref only)'!AG732</f>
        <v/>
      </c>
      <c r="Q729" s="861" t="str">
        <f>'Lighting Inventory (Ref only)'!AF732</f>
        <v/>
      </c>
      <c r="R729" s="856" t="str">
        <f t="shared" si="23"/>
        <v/>
      </c>
      <c r="S729" s="856" t="str">
        <f>IFERROR(ROUND(R729*'Project Info and Summary'!$J$5/'Project Info and Summary'!$L$5,2),"")</f>
        <v/>
      </c>
    </row>
    <row r="730" spans="1:19" ht="30" customHeight="1">
      <c r="A730" s="948"/>
      <c r="B730" s="496">
        <f t="shared" si="22"/>
        <v>721</v>
      </c>
      <c r="C730" s="864"/>
      <c r="D730" s="505"/>
      <c r="E730" s="866"/>
      <c r="F730" s="498"/>
      <c r="G730" s="499"/>
      <c r="H730" s="492"/>
      <c r="I730" s="855">
        <f>IFERROR(IFERROR(INDEX('Fixture and LED Schedule'!D:D,MATCH(F730,'Fixture and LED Schedule'!C:C,""),1),F730),"")</f>
        <v>0</v>
      </c>
      <c r="J730" s="855" t="str">
        <f>IFERROR(IF(PRJ_Type="New Construction",H730,INDEX(yControl_Code,MATCH(Inventory!H730,yControlTypes,0),1)),"")</f>
        <v/>
      </c>
      <c r="K730" s="493"/>
      <c r="L730" s="501"/>
      <c r="M730" s="502"/>
      <c r="N730" s="855">
        <f>IFERROR(IFERROR(INDEX('Fixture and LED Schedule'!D:D,MATCH(K730,'Fixture and LED Schedule'!C:C,0),1),K730),"")</f>
        <v>0</v>
      </c>
      <c r="O730" s="858" t="str">
        <f>IFERROR(INDEX(yControl_Code,MATCH(Inventory!M730,yControlTypes,0),1),"")</f>
        <v/>
      </c>
      <c r="P730" s="860" t="str">
        <f>'Lighting Inventory (Ref only)'!AG733</f>
        <v/>
      </c>
      <c r="Q730" s="861" t="str">
        <f>'Lighting Inventory (Ref only)'!AF733</f>
        <v/>
      </c>
      <c r="R730" s="856" t="str">
        <f t="shared" si="23"/>
        <v/>
      </c>
      <c r="S730" s="856" t="str">
        <f>IFERROR(ROUND(R730*'Project Info and Summary'!$J$5/'Project Info and Summary'!$L$5,2),"")</f>
        <v/>
      </c>
    </row>
    <row r="731" spans="1:19" ht="30" customHeight="1">
      <c r="A731" s="948"/>
      <c r="B731" s="496">
        <f t="shared" si="22"/>
        <v>722</v>
      </c>
      <c r="C731" s="864"/>
      <c r="D731" s="505"/>
      <c r="E731" s="866"/>
      <c r="F731" s="498"/>
      <c r="G731" s="499"/>
      <c r="H731" s="492"/>
      <c r="I731" s="855">
        <f>IFERROR(IFERROR(INDEX('Fixture and LED Schedule'!D:D,MATCH(F731,'Fixture and LED Schedule'!C:C,""),1),F731),"")</f>
        <v>0</v>
      </c>
      <c r="J731" s="855" t="str">
        <f>IFERROR(IF(PRJ_Type="New Construction",H731,INDEX(yControl_Code,MATCH(Inventory!H731,yControlTypes,0),1)),"")</f>
        <v/>
      </c>
      <c r="K731" s="493"/>
      <c r="L731" s="501"/>
      <c r="M731" s="502"/>
      <c r="N731" s="855">
        <f>IFERROR(IFERROR(INDEX('Fixture and LED Schedule'!D:D,MATCH(K731,'Fixture and LED Schedule'!C:C,0),1),K731),"")</f>
        <v>0</v>
      </c>
      <c r="O731" s="858" t="str">
        <f>IFERROR(INDEX(yControl_Code,MATCH(Inventory!M731,yControlTypes,0),1),"")</f>
        <v/>
      </c>
      <c r="P731" s="860" t="str">
        <f>'Lighting Inventory (Ref only)'!AG734</f>
        <v/>
      </c>
      <c r="Q731" s="861" t="str">
        <f>'Lighting Inventory (Ref only)'!AF734</f>
        <v/>
      </c>
      <c r="R731" s="856" t="str">
        <f t="shared" si="23"/>
        <v/>
      </c>
      <c r="S731" s="856" t="str">
        <f>IFERROR(ROUND(R731*'Project Info and Summary'!$J$5/'Project Info and Summary'!$L$5,2),"")</f>
        <v/>
      </c>
    </row>
    <row r="732" spans="1:19" ht="30" customHeight="1">
      <c r="A732" s="948"/>
      <c r="B732" s="496">
        <f t="shared" si="22"/>
        <v>723</v>
      </c>
      <c r="C732" s="864"/>
      <c r="D732" s="505"/>
      <c r="E732" s="866"/>
      <c r="F732" s="498"/>
      <c r="G732" s="499"/>
      <c r="H732" s="492"/>
      <c r="I732" s="855">
        <f>IFERROR(IFERROR(INDEX('Fixture and LED Schedule'!D:D,MATCH(F732,'Fixture and LED Schedule'!C:C,""),1),F732),"")</f>
        <v>0</v>
      </c>
      <c r="J732" s="855" t="str">
        <f>IFERROR(IF(PRJ_Type="New Construction",H732,INDEX(yControl_Code,MATCH(Inventory!H732,yControlTypes,0),1)),"")</f>
        <v/>
      </c>
      <c r="K732" s="493"/>
      <c r="L732" s="501"/>
      <c r="M732" s="502"/>
      <c r="N732" s="855">
        <f>IFERROR(IFERROR(INDEX('Fixture and LED Schedule'!D:D,MATCH(K732,'Fixture and LED Schedule'!C:C,0),1),K732),"")</f>
        <v>0</v>
      </c>
      <c r="O732" s="858" t="str">
        <f>IFERROR(INDEX(yControl_Code,MATCH(Inventory!M732,yControlTypes,0),1),"")</f>
        <v/>
      </c>
      <c r="P732" s="860" t="str">
        <f>'Lighting Inventory (Ref only)'!AG735</f>
        <v/>
      </c>
      <c r="Q732" s="861" t="str">
        <f>'Lighting Inventory (Ref only)'!AF735</f>
        <v/>
      </c>
      <c r="R732" s="856" t="str">
        <f t="shared" si="23"/>
        <v/>
      </c>
      <c r="S732" s="856" t="str">
        <f>IFERROR(ROUND(R732*'Project Info and Summary'!$J$5/'Project Info and Summary'!$L$5,2),"")</f>
        <v/>
      </c>
    </row>
    <row r="733" spans="1:19" ht="30" customHeight="1">
      <c r="A733" s="948"/>
      <c r="B733" s="496">
        <f t="shared" si="22"/>
        <v>724</v>
      </c>
      <c r="C733" s="864"/>
      <c r="D733" s="505"/>
      <c r="E733" s="866"/>
      <c r="F733" s="498"/>
      <c r="G733" s="499"/>
      <c r="H733" s="492"/>
      <c r="I733" s="855">
        <f>IFERROR(IFERROR(INDEX('Fixture and LED Schedule'!D:D,MATCH(F733,'Fixture and LED Schedule'!C:C,""),1),F733),"")</f>
        <v>0</v>
      </c>
      <c r="J733" s="855" t="str">
        <f>IFERROR(IF(PRJ_Type="New Construction",H733,INDEX(yControl_Code,MATCH(Inventory!H733,yControlTypes,0),1)),"")</f>
        <v/>
      </c>
      <c r="K733" s="493"/>
      <c r="L733" s="501"/>
      <c r="M733" s="502"/>
      <c r="N733" s="855">
        <f>IFERROR(IFERROR(INDEX('Fixture and LED Schedule'!D:D,MATCH(K733,'Fixture and LED Schedule'!C:C,0),1),K733),"")</f>
        <v>0</v>
      </c>
      <c r="O733" s="858" t="str">
        <f>IFERROR(INDEX(yControl_Code,MATCH(Inventory!M733,yControlTypes,0),1),"")</f>
        <v/>
      </c>
      <c r="P733" s="860" t="str">
        <f>'Lighting Inventory (Ref only)'!AG736</f>
        <v/>
      </c>
      <c r="Q733" s="861" t="str">
        <f>'Lighting Inventory (Ref only)'!AF736</f>
        <v/>
      </c>
      <c r="R733" s="856" t="str">
        <f t="shared" si="23"/>
        <v/>
      </c>
      <c r="S733" s="856" t="str">
        <f>IFERROR(ROUND(R733*'Project Info and Summary'!$J$5/'Project Info and Summary'!$L$5,2),"")</f>
        <v/>
      </c>
    </row>
    <row r="734" spans="1:19" ht="30" customHeight="1">
      <c r="A734" s="948"/>
      <c r="B734" s="496">
        <f t="shared" si="22"/>
        <v>725</v>
      </c>
      <c r="C734" s="864"/>
      <c r="D734" s="505"/>
      <c r="E734" s="866"/>
      <c r="F734" s="498"/>
      <c r="G734" s="499"/>
      <c r="H734" s="492"/>
      <c r="I734" s="855">
        <f>IFERROR(IFERROR(INDEX('Fixture and LED Schedule'!D:D,MATCH(F734,'Fixture and LED Schedule'!C:C,""),1),F734),"")</f>
        <v>0</v>
      </c>
      <c r="J734" s="855" t="str">
        <f>IFERROR(IF(PRJ_Type="New Construction",H734,INDEX(yControl_Code,MATCH(Inventory!H734,yControlTypes,0),1)),"")</f>
        <v/>
      </c>
      <c r="K734" s="493"/>
      <c r="L734" s="501"/>
      <c r="M734" s="502"/>
      <c r="N734" s="855">
        <f>IFERROR(IFERROR(INDEX('Fixture and LED Schedule'!D:D,MATCH(K734,'Fixture and LED Schedule'!C:C,0),1),K734),"")</f>
        <v>0</v>
      </c>
      <c r="O734" s="858" t="str">
        <f>IFERROR(INDEX(yControl_Code,MATCH(Inventory!M734,yControlTypes,0),1),"")</f>
        <v/>
      </c>
      <c r="P734" s="860" t="str">
        <f>'Lighting Inventory (Ref only)'!AG737</f>
        <v/>
      </c>
      <c r="Q734" s="861" t="str">
        <f>'Lighting Inventory (Ref only)'!AF737</f>
        <v/>
      </c>
      <c r="R734" s="856" t="str">
        <f t="shared" si="23"/>
        <v/>
      </c>
      <c r="S734" s="856" t="str">
        <f>IFERROR(ROUND(R734*'Project Info and Summary'!$J$5/'Project Info and Summary'!$L$5,2),"")</f>
        <v/>
      </c>
    </row>
    <row r="735" spans="1:19" ht="30" customHeight="1">
      <c r="A735" s="948"/>
      <c r="B735" s="496">
        <f t="shared" si="22"/>
        <v>726</v>
      </c>
      <c r="C735" s="864"/>
      <c r="D735" s="505"/>
      <c r="E735" s="866"/>
      <c r="F735" s="498"/>
      <c r="G735" s="499"/>
      <c r="H735" s="492"/>
      <c r="I735" s="855">
        <f>IFERROR(IFERROR(INDEX('Fixture and LED Schedule'!D:D,MATCH(F735,'Fixture and LED Schedule'!C:C,""),1),F735),"")</f>
        <v>0</v>
      </c>
      <c r="J735" s="855" t="str">
        <f>IFERROR(IF(PRJ_Type="New Construction",H735,INDEX(yControl_Code,MATCH(Inventory!H735,yControlTypes,0),1)),"")</f>
        <v/>
      </c>
      <c r="K735" s="493"/>
      <c r="L735" s="501"/>
      <c r="M735" s="502"/>
      <c r="N735" s="855">
        <f>IFERROR(IFERROR(INDEX('Fixture and LED Schedule'!D:D,MATCH(K735,'Fixture and LED Schedule'!C:C,0),1),K735),"")</f>
        <v>0</v>
      </c>
      <c r="O735" s="858" t="str">
        <f>IFERROR(INDEX(yControl_Code,MATCH(Inventory!M735,yControlTypes,0),1),"")</f>
        <v/>
      </c>
      <c r="P735" s="860" t="str">
        <f>'Lighting Inventory (Ref only)'!AG738</f>
        <v/>
      </c>
      <c r="Q735" s="861" t="str">
        <f>'Lighting Inventory (Ref only)'!AF738</f>
        <v/>
      </c>
      <c r="R735" s="856" t="str">
        <f t="shared" si="23"/>
        <v/>
      </c>
      <c r="S735" s="856" t="str">
        <f>IFERROR(ROUND(R735*'Project Info and Summary'!$J$5/'Project Info and Summary'!$L$5,2),"")</f>
        <v/>
      </c>
    </row>
    <row r="736" spans="1:19" ht="30" customHeight="1">
      <c r="A736" s="948"/>
      <c r="B736" s="496">
        <f t="shared" si="22"/>
        <v>727</v>
      </c>
      <c r="C736" s="864"/>
      <c r="D736" s="505"/>
      <c r="E736" s="866"/>
      <c r="F736" s="498"/>
      <c r="G736" s="499"/>
      <c r="H736" s="492"/>
      <c r="I736" s="855">
        <f>IFERROR(IFERROR(INDEX('Fixture and LED Schedule'!D:D,MATCH(F736,'Fixture and LED Schedule'!C:C,""),1),F736),"")</f>
        <v>0</v>
      </c>
      <c r="J736" s="855" t="str">
        <f>IFERROR(IF(PRJ_Type="New Construction",H736,INDEX(yControl_Code,MATCH(Inventory!H736,yControlTypes,0),1)),"")</f>
        <v/>
      </c>
      <c r="K736" s="493"/>
      <c r="L736" s="501"/>
      <c r="M736" s="502"/>
      <c r="N736" s="855">
        <f>IFERROR(IFERROR(INDEX('Fixture and LED Schedule'!D:D,MATCH(K736,'Fixture and LED Schedule'!C:C,0),1),K736),"")</f>
        <v>0</v>
      </c>
      <c r="O736" s="858" t="str">
        <f>IFERROR(INDEX(yControl_Code,MATCH(Inventory!M736,yControlTypes,0),1),"")</f>
        <v/>
      </c>
      <c r="P736" s="860" t="str">
        <f>'Lighting Inventory (Ref only)'!AG739</f>
        <v/>
      </c>
      <c r="Q736" s="861" t="str">
        <f>'Lighting Inventory (Ref only)'!AF739</f>
        <v/>
      </c>
      <c r="R736" s="856" t="str">
        <f t="shared" si="23"/>
        <v/>
      </c>
      <c r="S736" s="856" t="str">
        <f>IFERROR(ROUND(R736*'Project Info and Summary'!$J$5/'Project Info and Summary'!$L$5,2),"")</f>
        <v/>
      </c>
    </row>
    <row r="737" spans="1:19" ht="30" customHeight="1">
      <c r="A737" s="948"/>
      <c r="B737" s="496">
        <f t="shared" si="22"/>
        <v>728</v>
      </c>
      <c r="C737" s="864"/>
      <c r="D737" s="505"/>
      <c r="E737" s="866"/>
      <c r="F737" s="498"/>
      <c r="G737" s="499"/>
      <c r="H737" s="492"/>
      <c r="I737" s="855">
        <f>IFERROR(IFERROR(INDEX('Fixture and LED Schedule'!D:D,MATCH(F737,'Fixture and LED Schedule'!C:C,""),1),F737),"")</f>
        <v>0</v>
      </c>
      <c r="J737" s="855" t="str">
        <f>IFERROR(IF(PRJ_Type="New Construction",H737,INDEX(yControl_Code,MATCH(Inventory!H737,yControlTypes,0),1)),"")</f>
        <v/>
      </c>
      <c r="K737" s="493"/>
      <c r="L737" s="501"/>
      <c r="M737" s="502"/>
      <c r="N737" s="855">
        <f>IFERROR(IFERROR(INDEX('Fixture and LED Schedule'!D:D,MATCH(K737,'Fixture and LED Schedule'!C:C,0),1),K737),"")</f>
        <v>0</v>
      </c>
      <c r="O737" s="858" t="str">
        <f>IFERROR(INDEX(yControl_Code,MATCH(Inventory!M737,yControlTypes,0),1),"")</f>
        <v/>
      </c>
      <c r="P737" s="860" t="str">
        <f>'Lighting Inventory (Ref only)'!AG740</f>
        <v/>
      </c>
      <c r="Q737" s="861" t="str">
        <f>'Lighting Inventory (Ref only)'!AF740</f>
        <v/>
      </c>
      <c r="R737" s="856" t="str">
        <f t="shared" si="23"/>
        <v/>
      </c>
      <c r="S737" s="856" t="str">
        <f>IFERROR(ROUND(R737*'Project Info and Summary'!$J$5/'Project Info and Summary'!$L$5,2),"")</f>
        <v/>
      </c>
    </row>
    <row r="738" spans="1:19" ht="30" customHeight="1">
      <c r="A738" s="948"/>
      <c r="B738" s="496">
        <f t="shared" si="22"/>
        <v>729</v>
      </c>
      <c r="C738" s="864"/>
      <c r="D738" s="505"/>
      <c r="E738" s="866"/>
      <c r="F738" s="498"/>
      <c r="G738" s="499"/>
      <c r="H738" s="492"/>
      <c r="I738" s="855">
        <f>IFERROR(IFERROR(INDEX('Fixture and LED Schedule'!D:D,MATCH(F738,'Fixture and LED Schedule'!C:C,""),1),F738),"")</f>
        <v>0</v>
      </c>
      <c r="J738" s="855" t="str">
        <f>IFERROR(IF(PRJ_Type="New Construction",H738,INDEX(yControl_Code,MATCH(Inventory!H738,yControlTypes,0),1)),"")</f>
        <v/>
      </c>
      <c r="K738" s="493"/>
      <c r="L738" s="501"/>
      <c r="M738" s="502"/>
      <c r="N738" s="855">
        <f>IFERROR(IFERROR(INDEX('Fixture and LED Schedule'!D:D,MATCH(K738,'Fixture and LED Schedule'!C:C,0),1),K738),"")</f>
        <v>0</v>
      </c>
      <c r="O738" s="858" t="str">
        <f>IFERROR(INDEX(yControl_Code,MATCH(Inventory!M738,yControlTypes,0),1),"")</f>
        <v/>
      </c>
      <c r="P738" s="860" t="str">
        <f>'Lighting Inventory (Ref only)'!AG741</f>
        <v/>
      </c>
      <c r="Q738" s="861" t="str">
        <f>'Lighting Inventory (Ref only)'!AF741</f>
        <v/>
      </c>
      <c r="R738" s="856" t="str">
        <f t="shared" si="23"/>
        <v/>
      </c>
      <c r="S738" s="856" t="str">
        <f>IFERROR(ROUND(R738*'Project Info and Summary'!$J$5/'Project Info and Summary'!$L$5,2),"")</f>
        <v/>
      </c>
    </row>
    <row r="739" spans="1:19" ht="30" customHeight="1">
      <c r="A739" s="948"/>
      <c r="B739" s="496">
        <f t="shared" si="22"/>
        <v>730</v>
      </c>
      <c r="C739" s="864"/>
      <c r="D739" s="505"/>
      <c r="E739" s="866"/>
      <c r="F739" s="498"/>
      <c r="G739" s="499"/>
      <c r="H739" s="492"/>
      <c r="I739" s="855">
        <f>IFERROR(IFERROR(INDEX('Fixture and LED Schedule'!D:D,MATCH(F739,'Fixture and LED Schedule'!C:C,""),1),F739),"")</f>
        <v>0</v>
      </c>
      <c r="J739" s="855" t="str">
        <f>IFERROR(IF(PRJ_Type="New Construction",H739,INDEX(yControl_Code,MATCH(Inventory!H739,yControlTypes,0),1)),"")</f>
        <v/>
      </c>
      <c r="K739" s="493"/>
      <c r="L739" s="501"/>
      <c r="M739" s="502"/>
      <c r="N739" s="855">
        <f>IFERROR(IFERROR(INDEX('Fixture and LED Schedule'!D:D,MATCH(K739,'Fixture and LED Schedule'!C:C,0),1),K739),"")</f>
        <v>0</v>
      </c>
      <c r="O739" s="858" t="str">
        <f>IFERROR(INDEX(yControl_Code,MATCH(Inventory!M739,yControlTypes,0),1),"")</f>
        <v/>
      </c>
      <c r="P739" s="860" t="str">
        <f>'Lighting Inventory (Ref only)'!AG742</f>
        <v/>
      </c>
      <c r="Q739" s="861" t="str">
        <f>'Lighting Inventory (Ref only)'!AF742</f>
        <v/>
      </c>
      <c r="R739" s="856" t="str">
        <f t="shared" si="23"/>
        <v/>
      </c>
      <c r="S739" s="856" t="str">
        <f>IFERROR(ROUND(R739*'Project Info and Summary'!$J$5/'Project Info and Summary'!$L$5,2),"")</f>
        <v/>
      </c>
    </row>
    <row r="740" spans="1:19" ht="30" customHeight="1">
      <c r="A740" s="948"/>
      <c r="B740" s="496">
        <f t="shared" si="22"/>
        <v>731</v>
      </c>
      <c r="C740" s="864"/>
      <c r="D740" s="505"/>
      <c r="E740" s="866"/>
      <c r="F740" s="498"/>
      <c r="G740" s="499"/>
      <c r="H740" s="492"/>
      <c r="I740" s="855">
        <f>IFERROR(IFERROR(INDEX('Fixture and LED Schedule'!D:D,MATCH(F740,'Fixture and LED Schedule'!C:C,""),1),F740),"")</f>
        <v>0</v>
      </c>
      <c r="J740" s="855" t="str">
        <f>IFERROR(IF(PRJ_Type="New Construction",H740,INDEX(yControl_Code,MATCH(Inventory!H740,yControlTypes,0),1)),"")</f>
        <v/>
      </c>
      <c r="K740" s="493"/>
      <c r="L740" s="501"/>
      <c r="M740" s="502"/>
      <c r="N740" s="855">
        <f>IFERROR(IFERROR(INDEX('Fixture and LED Schedule'!D:D,MATCH(K740,'Fixture and LED Schedule'!C:C,0),1),K740),"")</f>
        <v>0</v>
      </c>
      <c r="O740" s="858" t="str">
        <f>IFERROR(INDEX(yControl_Code,MATCH(Inventory!M740,yControlTypes,0),1),"")</f>
        <v/>
      </c>
      <c r="P740" s="860" t="str">
        <f>'Lighting Inventory (Ref only)'!AG743</f>
        <v/>
      </c>
      <c r="Q740" s="861" t="str">
        <f>'Lighting Inventory (Ref only)'!AF743</f>
        <v/>
      </c>
      <c r="R740" s="856" t="str">
        <f t="shared" si="23"/>
        <v/>
      </c>
      <c r="S740" s="856" t="str">
        <f>IFERROR(ROUND(R740*'Project Info and Summary'!$J$5/'Project Info and Summary'!$L$5,2),"")</f>
        <v/>
      </c>
    </row>
    <row r="741" spans="1:19" ht="30" customHeight="1">
      <c r="A741" s="948"/>
      <c r="B741" s="496">
        <f t="shared" si="22"/>
        <v>732</v>
      </c>
      <c r="C741" s="864"/>
      <c r="D741" s="505"/>
      <c r="E741" s="866"/>
      <c r="F741" s="498"/>
      <c r="G741" s="499"/>
      <c r="H741" s="492"/>
      <c r="I741" s="855">
        <f>IFERROR(IFERROR(INDEX('Fixture and LED Schedule'!D:D,MATCH(F741,'Fixture and LED Schedule'!C:C,""),1),F741),"")</f>
        <v>0</v>
      </c>
      <c r="J741" s="855" t="str">
        <f>IFERROR(IF(PRJ_Type="New Construction",H741,INDEX(yControl_Code,MATCH(Inventory!H741,yControlTypes,0),1)),"")</f>
        <v/>
      </c>
      <c r="K741" s="493"/>
      <c r="L741" s="501"/>
      <c r="M741" s="502"/>
      <c r="N741" s="855">
        <f>IFERROR(IFERROR(INDEX('Fixture and LED Schedule'!D:D,MATCH(K741,'Fixture and LED Schedule'!C:C,0),1),K741),"")</f>
        <v>0</v>
      </c>
      <c r="O741" s="858" t="str">
        <f>IFERROR(INDEX(yControl_Code,MATCH(Inventory!M741,yControlTypes,0),1),"")</f>
        <v/>
      </c>
      <c r="P741" s="860" t="str">
        <f>'Lighting Inventory (Ref only)'!AG744</f>
        <v/>
      </c>
      <c r="Q741" s="861" t="str">
        <f>'Lighting Inventory (Ref only)'!AF744</f>
        <v/>
      </c>
      <c r="R741" s="856" t="str">
        <f t="shared" si="23"/>
        <v/>
      </c>
      <c r="S741" s="856" t="str">
        <f>IFERROR(ROUND(R741*'Project Info and Summary'!$J$5/'Project Info and Summary'!$L$5,2),"")</f>
        <v/>
      </c>
    </row>
    <row r="742" spans="1:19" ht="30" customHeight="1">
      <c r="A742" s="948"/>
      <c r="B742" s="496">
        <f t="shared" si="22"/>
        <v>733</v>
      </c>
      <c r="C742" s="864"/>
      <c r="D742" s="505"/>
      <c r="E742" s="866"/>
      <c r="F742" s="498"/>
      <c r="G742" s="499"/>
      <c r="H742" s="492"/>
      <c r="I742" s="855">
        <f>IFERROR(IFERROR(INDEX('Fixture and LED Schedule'!D:D,MATCH(F742,'Fixture and LED Schedule'!C:C,""),1),F742),"")</f>
        <v>0</v>
      </c>
      <c r="J742" s="855" t="str">
        <f>IFERROR(IF(PRJ_Type="New Construction",H742,INDEX(yControl_Code,MATCH(Inventory!H742,yControlTypes,0),1)),"")</f>
        <v/>
      </c>
      <c r="K742" s="493"/>
      <c r="L742" s="501"/>
      <c r="M742" s="502"/>
      <c r="N742" s="855">
        <f>IFERROR(IFERROR(INDEX('Fixture and LED Schedule'!D:D,MATCH(K742,'Fixture and LED Schedule'!C:C,0),1),K742),"")</f>
        <v>0</v>
      </c>
      <c r="O742" s="858" t="str">
        <f>IFERROR(INDEX(yControl_Code,MATCH(Inventory!M742,yControlTypes,0),1),"")</f>
        <v/>
      </c>
      <c r="P742" s="860" t="str">
        <f>'Lighting Inventory (Ref only)'!AG745</f>
        <v/>
      </c>
      <c r="Q742" s="861" t="str">
        <f>'Lighting Inventory (Ref only)'!AF745</f>
        <v/>
      </c>
      <c r="R742" s="856" t="str">
        <f t="shared" si="23"/>
        <v/>
      </c>
      <c r="S742" s="856" t="str">
        <f>IFERROR(ROUND(R742*'Project Info and Summary'!$J$5/'Project Info and Summary'!$L$5,2),"")</f>
        <v/>
      </c>
    </row>
    <row r="743" spans="1:19" ht="30" customHeight="1">
      <c r="A743" s="948"/>
      <c r="B743" s="496">
        <f t="shared" si="22"/>
        <v>734</v>
      </c>
      <c r="C743" s="864"/>
      <c r="D743" s="505"/>
      <c r="E743" s="866"/>
      <c r="F743" s="498"/>
      <c r="G743" s="499"/>
      <c r="H743" s="492"/>
      <c r="I743" s="855">
        <f>IFERROR(IFERROR(INDEX('Fixture and LED Schedule'!D:D,MATCH(F743,'Fixture and LED Schedule'!C:C,""),1),F743),"")</f>
        <v>0</v>
      </c>
      <c r="J743" s="855" t="str">
        <f>IFERROR(IF(PRJ_Type="New Construction",H743,INDEX(yControl_Code,MATCH(Inventory!H743,yControlTypes,0),1)),"")</f>
        <v/>
      </c>
      <c r="K743" s="493"/>
      <c r="L743" s="501"/>
      <c r="M743" s="502"/>
      <c r="N743" s="855">
        <f>IFERROR(IFERROR(INDEX('Fixture and LED Schedule'!D:D,MATCH(K743,'Fixture and LED Schedule'!C:C,0),1),K743),"")</f>
        <v>0</v>
      </c>
      <c r="O743" s="858" t="str">
        <f>IFERROR(INDEX(yControl_Code,MATCH(Inventory!M743,yControlTypes,0),1),"")</f>
        <v/>
      </c>
      <c r="P743" s="860" t="str">
        <f>'Lighting Inventory (Ref only)'!AG746</f>
        <v/>
      </c>
      <c r="Q743" s="861" t="str">
        <f>'Lighting Inventory (Ref only)'!AF746</f>
        <v/>
      </c>
      <c r="R743" s="856" t="str">
        <f t="shared" si="23"/>
        <v/>
      </c>
      <c r="S743" s="856" t="str">
        <f>IFERROR(ROUND(R743*'Project Info and Summary'!$J$5/'Project Info and Summary'!$L$5,2),"")</f>
        <v/>
      </c>
    </row>
    <row r="744" spans="1:19" ht="30" customHeight="1">
      <c r="A744" s="948"/>
      <c r="B744" s="496">
        <f t="shared" si="22"/>
        <v>735</v>
      </c>
      <c r="C744" s="864"/>
      <c r="D744" s="505"/>
      <c r="E744" s="866"/>
      <c r="F744" s="498"/>
      <c r="G744" s="499"/>
      <c r="H744" s="492"/>
      <c r="I744" s="855">
        <f>IFERROR(IFERROR(INDEX('Fixture and LED Schedule'!D:D,MATCH(F744,'Fixture and LED Schedule'!C:C,""),1),F744),"")</f>
        <v>0</v>
      </c>
      <c r="J744" s="855" t="str">
        <f>IFERROR(IF(PRJ_Type="New Construction",H744,INDEX(yControl_Code,MATCH(Inventory!H744,yControlTypes,0),1)),"")</f>
        <v/>
      </c>
      <c r="K744" s="493"/>
      <c r="L744" s="501"/>
      <c r="M744" s="502"/>
      <c r="N744" s="855">
        <f>IFERROR(IFERROR(INDEX('Fixture and LED Schedule'!D:D,MATCH(K744,'Fixture and LED Schedule'!C:C,0),1),K744),"")</f>
        <v>0</v>
      </c>
      <c r="O744" s="858" t="str">
        <f>IFERROR(INDEX(yControl_Code,MATCH(Inventory!M744,yControlTypes,0),1),"")</f>
        <v/>
      </c>
      <c r="P744" s="860" t="str">
        <f>'Lighting Inventory (Ref only)'!AG747</f>
        <v/>
      </c>
      <c r="Q744" s="861" t="str">
        <f>'Lighting Inventory (Ref only)'!AF747</f>
        <v/>
      </c>
      <c r="R744" s="856" t="str">
        <f t="shared" si="23"/>
        <v/>
      </c>
      <c r="S744" s="856" t="str">
        <f>IFERROR(ROUND(R744*'Project Info and Summary'!$J$5/'Project Info and Summary'!$L$5,2),"")</f>
        <v/>
      </c>
    </row>
    <row r="745" spans="1:19" ht="30" customHeight="1">
      <c r="A745" s="948"/>
      <c r="B745" s="496">
        <f t="shared" si="22"/>
        <v>736</v>
      </c>
      <c r="C745" s="864"/>
      <c r="D745" s="505"/>
      <c r="E745" s="866"/>
      <c r="F745" s="498"/>
      <c r="G745" s="499"/>
      <c r="H745" s="492"/>
      <c r="I745" s="855">
        <f>IFERROR(IFERROR(INDEX('Fixture and LED Schedule'!D:D,MATCH(F745,'Fixture and LED Schedule'!C:C,""),1),F745),"")</f>
        <v>0</v>
      </c>
      <c r="J745" s="855" t="str">
        <f>IFERROR(IF(PRJ_Type="New Construction",H745,INDEX(yControl_Code,MATCH(Inventory!H745,yControlTypes,0),1)),"")</f>
        <v/>
      </c>
      <c r="K745" s="493"/>
      <c r="L745" s="501"/>
      <c r="M745" s="502"/>
      <c r="N745" s="855">
        <f>IFERROR(IFERROR(INDEX('Fixture and LED Schedule'!D:D,MATCH(K745,'Fixture and LED Schedule'!C:C,0),1),K745),"")</f>
        <v>0</v>
      </c>
      <c r="O745" s="858" t="str">
        <f>IFERROR(INDEX(yControl_Code,MATCH(Inventory!M745,yControlTypes,0),1),"")</f>
        <v/>
      </c>
      <c r="P745" s="860" t="str">
        <f>'Lighting Inventory (Ref only)'!AG748</f>
        <v/>
      </c>
      <c r="Q745" s="861" t="str">
        <f>'Lighting Inventory (Ref only)'!AF748</f>
        <v/>
      </c>
      <c r="R745" s="856" t="str">
        <f t="shared" si="23"/>
        <v/>
      </c>
      <c r="S745" s="856" t="str">
        <f>IFERROR(ROUND(R745*'Project Info and Summary'!$J$5/'Project Info and Summary'!$L$5,2),"")</f>
        <v/>
      </c>
    </row>
    <row r="746" spans="1:19" ht="30" customHeight="1">
      <c r="A746" s="948"/>
      <c r="B746" s="496">
        <f t="shared" si="22"/>
        <v>737</v>
      </c>
      <c r="C746" s="864"/>
      <c r="D746" s="505"/>
      <c r="E746" s="866"/>
      <c r="F746" s="498"/>
      <c r="G746" s="499"/>
      <c r="H746" s="492"/>
      <c r="I746" s="855">
        <f>IFERROR(IFERROR(INDEX('Fixture and LED Schedule'!D:D,MATCH(F746,'Fixture and LED Schedule'!C:C,""),1),F746),"")</f>
        <v>0</v>
      </c>
      <c r="J746" s="855" t="str">
        <f>IFERROR(IF(PRJ_Type="New Construction",H746,INDEX(yControl_Code,MATCH(Inventory!H746,yControlTypes,0),1)),"")</f>
        <v/>
      </c>
      <c r="K746" s="493"/>
      <c r="L746" s="501"/>
      <c r="M746" s="502"/>
      <c r="N746" s="855">
        <f>IFERROR(IFERROR(INDEX('Fixture and LED Schedule'!D:D,MATCH(K746,'Fixture and LED Schedule'!C:C,0),1),K746),"")</f>
        <v>0</v>
      </c>
      <c r="O746" s="858" t="str">
        <f>IFERROR(INDEX(yControl_Code,MATCH(Inventory!M746,yControlTypes,0),1),"")</f>
        <v/>
      </c>
      <c r="P746" s="860" t="str">
        <f>'Lighting Inventory (Ref only)'!AG749</f>
        <v/>
      </c>
      <c r="Q746" s="861" t="str">
        <f>'Lighting Inventory (Ref only)'!AF749</f>
        <v/>
      </c>
      <c r="R746" s="856" t="str">
        <f t="shared" si="23"/>
        <v/>
      </c>
      <c r="S746" s="856" t="str">
        <f>IFERROR(ROUND(R746*'Project Info and Summary'!$J$5/'Project Info and Summary'!$L$5,2),"")</f>
        <v/>
      </c>
    </row>
    <row r="747" spans="1:19" ht="30" customHeight="1">
      <c r="A747" s="948"/>
      <c r="B747" s="496">
        <f t="shared" si="22"/>
        <v>738</v>
      </c>
      <c r="C747" s="864"/>
      <c r="D747" s="505"/>
      <c r="E747" s="866"/>
      <c r="F747" s="498"/>
      <c r="G747" s="499"/>
      <c r="H747" s="492"/>
      <c r="I747" s="855">
        <f>IFERROR(IFERROR(INDEX('Fixture and LED Schedule'!D:D,MATCH(F747,'Fixture and LED Schedule'!C:C,""),1),F747),"")</f>
        <v>0</v>
      </c>
      <c r="J747" s="855" t="str">
        <f>IFERROR(IF(PRJ_Type="New Construction",H747,INDEX(yControl_Code,MATCH(Inventory!H747,yControlTypes,0),1)),"")</f>
        <v/>
      </c>
      <c r="K747" s="493"/>
      <c r="L747" s="501"/>
      <c r="M747" s="502"/>
      <c r="N747" s="855">
        <f>IFERROR(IFERROR(INDEX('Fixture and LED Schedule'!D:D,MATCH(K747,'Fixture and LED Schedule'!C:C,0),1),K747),"")</f>
        <v>0</v>
      </c>
      <c r="O747" s="858" t="str">
        <f>IFERROR(INDEX(yControl_Code,MATCH(Inventory!M747,yControlTypes,0),1),"")</f>
        <v/>
      </c>
      <c r="P747" s="860" t="str">
        <f>'Lighting Inventory (Ref only)'!AG750</f>
        <v/>
      </c>
      <c r="Q747" s="861" t="str">
        <f>'Lighting Inventory (Ref only)'!AF750</f>
        <v/>
      </c>
      <c r="R747" s="856" t="str">
        <f t="shared" si="23"/>
        <v/>
      </c>
      <c r="S747" s="856" t="str">
        <f>IFERROR(ROUND(R747*'Project Info and Summary'!$J$5/'Project Info and Summary'!$L$5,2),"")</f>
        <v/>
      </c>
    </row>
    <row r="748" spans="1:19" ht="30" customHeight="1">
      <c r="A748" s="948"/>
      <c r="B748" s="496">
        <f t="shared" si="22"/>
        <v>739</v>
      </c>
      <c r="C748" s="864"/>
      <c r="D748" s="505"/>
      <c r="E748" s="866"/>
      <c r="F748" s="498"/>
      <c r="G748" s="499"/>
      <c r="H748" s="492"/>
      <c r="I748" s="855">
        <f>IFERROR(IFERROR(INDEX('Fixture and LED Schedule'!D:D,MATCH(F748,'Fixture and LED Schedule'!C:C,""),1),F748),"")</f>
        <v>0</v>
      </c>
      <c r="J748" s="855" t="str">
        <f>IFERROR(IF(PRJ_Type="New Construction",H748,INDEX(yControl_Code,MATCH(Inventory!H748,yControlTypes,0),1)),"")</f>
        <v/>
      </c>
      <c r="K748" s="493"/>
      <c r="L748" s="501"/>
      <c r="M748" s="502"/>
      <c r="N748" s="855">
        <f>IFERROR(IFERROR(INDEX('Fixture and LED Schedule'!D:D,MATCH(K748,'Fixture and LED Schedule'!C:C,0),1),K748),"")</f>
        <v>0</v>
      </c>
      <c r="O748" s="858" t="str">
        <f>IFERROR(INDEX(yControl_Code,MATCH(Inventory!M748,yControlTypes,0),1),"")</f>
        <v/>
      </c>
      <c r="P748" s="860" t="str">
        <f>'Lighting Inventory (Ref only)'!AG751</f>
        <v/>
      </c>
      <c r="Q748" s="861" t="str">
        <f>'Lighting Inventory (Ref only)'!AF751</f>
        <v/>
      </c>
      <c r="R748" s="856" t="str">
        <f t="shared" si="23"/>
        <v/>
      </c>
      <c r="S748" s="856" t="str">
        <f>IFERROR(ROUND(R748*'Project Info and Summary'!$J$5/'Project Info and Summary'!$L$5,2),"")</f>
        <v/>
      </c>
    </row>
    <row r="749" spans="1:19" ht="30" customHeight="1">
      <c r="A749" s="948"/>
      <c r="B749" s="496">
        <f t="shared" si="22"/>
        <v>740</v>
      </c>
      <c r="C749" s="864"/>
      <c r="D749" s="505"/>
      <c r="E749" s="866"/>
      <c r="F749" s="498"/>
      <c r="G749" s="499"/>
      <c r="H749" s="492"/>
      <c r="I749" s="855">
        <f>IFERROR(IFERROR(INDEX('Fixture and LED Schedule'!D:D,MATCH(F749,'Fixture and LED Schedule'!C:C,""),1),F749),"")</f>
        <v>0</v>
      </c>
      <c r="J749" s="855" t="str">
        <f>IFERROR(IF(PRJ_Type="New Construction",H749,INDEX(yControl_Code,MATCH(Inventory!H749,yControlTypes,0),1)),"")</f>
        <v/>
      </c>
      <c r="K749" s="493"/>
      <c r="L749" s="501"/>
      <c r="M749" s="502"/>
      <c r="N749" s="855">
        <f>IFERROR(IFERROR(INDEX('Fixture and LED Schedule'!D:D,MATCH(K749,'Fixture and LED Schedule'!C:C,0),1),K749),"")</f>
        <v>0</v>
      </c>
      <c r="O749" s="858" t="str">
        <f>IFERROR(INDEX(yControl_Code,MATCH(Inventory!M749,yControlTypes,0),1),"")</f>
        <v/>
      </c>
      <c r="P749" s="860" t="str">
        <f>'Lighting Inventory (Ref only)'!AG752</f>
        <v/>
      </c>
      <c r="Q749" s="861" t="str">
        <f>'Lighting Inventory (Ref only)'!AF752</f>
        <v/>
      </c>
      <c r="R749" s="856" t="str">
        <f t="shared" si="23"/>
        <v/>
      </c>
      <c r="S749" s="856" t="str">
        <f>IFERROR(ROUND(R749*'Project Info and Summary'!$J$5/'Project Info and Summary'!$L$5,2),"")</f>
        <v/>
      </c>
    </row>
    <row r="750" spans="1:19" ht="30" customHeight="1">
      <c r="A750" s="948"/>
      <c r="B750" s="496">
        <f t="shared" si="22"/>
        <v>741</v>
      </c>
      <c r="C750" s="864"/>
      <c r="D750" s="505"/>
      <c r="E750" s="866"/>
      <c r="F750" s="498"/>
      <c r="G750" s="499"/>
      <c r="H750" s="492"/>
      <c r="I750" s="855">
        <f>IFERROR(IFERROR(INDEX('Fixture and LED Schedule'!D:D,MATCH(F750,'Fixture and LED Schedule'!C:C,""),1),F750),"")</f>
        <v>0</v>
      </c>
      <c r="J750" s="855" t="str">
        <f>IFERROR(IF(PRJ_Type="New Construction",H750,INDEX(yControl_Code,MATCH(Inventory!H750,yControlTypes,0),1)),"")</f>
        <v/>
      </c>
      <c r="K750" s="493"/>
      <c r="L750" s="501"/>
      <c r="M750" s="502"/>
      <c r="N750" s="855">
        <f>IFERROR(IFERROR(INDEX('Fixture and LED Schedule'!D:D,MATCH(K750,'Fixture and LED Schedule'!C:C,0),1),K750),"")</f>
        <v>0</v>
      </c>
      <c r="O750" s="858" t="str">
        <f>IFERROR(INDEX(yControl_Code,MATCH(Inventory!M750,yControlTypes,0),1),"")</f>
        <v/>
      </c>
      <c r="P750" s="860" t="str">
        <f>'Lighting Inventory (Ref only)'!AG753</f>
        <v/>
      </c>
      <c r="Q750" s="861" t="str">
        <f>'Lighting Inventory (Ref only)'!AF753</f>
        <v/>
      </c>
      <c r="R750" s="856" t="str">
        <f t="shared" si="23"/>
        <v/>
      </c>
      <c r="S750" s="856" t="str">
        <f>IFERROR(ROUND(R750*'Project Info and Summary'!$J$5/'Project Info and Summary'!$L$5,2),"")</f>
        <v/>
      </c>
    </row>
    <row r="751" spans="1:19" ht="30" customHeight="1">
      <c r="A751" s="948"/>
      <c r="B751" s="496">
        <f t="shared" si="22"/>
        <v>742</v>
      </c>
      <c r="C751" s="864"/>
      <c r="D751" s="505"/>
      <c r="E751" s="866"/>
      <c r="F751" s="498"/>
      <c r="G751" s="499"/>
      <c r="H751" s="492"/>
      <c r="I751" s="855">
        <f>IFERROR(IFERROR(INDEX('Fixture and LED Schedule'!D:D,MATCH(F751,'Fixture and LED Schedule'!C:C,""),1),F751),"")</f>
        <v>0</v>
      </c>
      <c r="J751" s="855" t="str">
        <f>IFERROR(IF(PRJ_Type="New Construction",H751,INDEX(yControl_Code,MATCH(Inventory!H751,yControlTypes,0),1)),"")</f>
        <v/>
      </c>
      <c r="K751" s="493"/>
      <c r="L751" s="501"/>
      <c r="M751" s="502"/>
      <c r="N751" s="855">
        <f>IFERROR(IFERROR(INDEX('Fixture and LED Schedule'!D:D,MATCH(K751,'Fixture and LED Schedule'!C:C,0),1),K751),"")</f>
        <v>0</v>
      </c>
      <c r="O751" s="858" t="str">
        <f>IFERROR(INDEX(yControl_Code,MATCH(Inventory!M751,yControlTypes,0),1),"")</f>
        <v/>
      </c>
      <c r="P751" s="860" t="str">
        <f>'Lighting Inventory (Ref only)'!AG754</f>
        <v/>
      </c>
      <c r="Q751" s="861" t="str">
        <f>'Lighting Inventory (Ref only)'!AF754</f>
        <v/>
      </c>
      <c r="R751" s="856" t="str">
        <f t="shared" si="23"/>
        <v/>
      </c>
      <c r="S751" s="856" t="str">
        <f>IFERROR(ROUND(R751*'Project Info and Summary'!$J$5/'Project Info and Summary'!$L$5,2),"")</f>
        <v/>
      </c>
    </row>
    <row r="752" spans="1:19" ht="30" customHeight="1">
      <c r="A752" s="948"/>
      <c r="B752" s="496">
        <f t="shared" si="22"/>
        <v>743</v>
      </c>
      <c r="C752" s="864"/>
      <c r="D752" s="505"/>
      <c r="E752" s="866"/>
      <c r="F752" s="498"/>
      <c r="G752" s="499"/>
      <c r="H752" s="492"/>
      <c r="I752" s="855">
        <f>IFERROR(IFERROR(INDEX('Fixture and LED Schedule'!D:D,MATCH(F752,'Fixture and LED Schedule'!C:C,""),1),F752),"")</f>
        <v>0</v>
      </c>
      <c r="J752" s="855" t="str">
        <f>IFERROR(IF(PRJ_Type="New Construction",H752,INDEX(yControl_Code,MATCH(Inventory!H752,yControlTypes,0),1)),"")</f>
        <v/>
      </c>
      <c r="K752" s="493"/>
      <c r="L752" s="501"/>
      <c r="M752" s="502"/>
      <c r="N752" s="855">
        <f>IFERROR(IFERROR(INDEX('Fixture and LED Schedule'!D:D,MATCH(K752,'Fixture and LED Schedule'!C:C,0),1),K752),"")</f>
        <v>0</v>
      </c>
      <c r="O752" s="858" t="str">
        <f>IFERROR(INDEX(yControl_Code,MATCH(Inventory!M752,yControlTypes,0),1),"")</f>
        <v/>
      </c>
      <c r="P752" s="860" t="str">
        <f>'Lighting Inventory (Ref only)'!AG755</f>
        <v/>
      </c>
      <c r="Q752" s="861" t="str">
        <f>'Lighting Inventory (Ref only)'!AF755</f>
        <v/>
      </c>
      <c r="R752" s="856" t="str">
        <f t="shared" si="23"/>
        <v/>
      </c>
      <c r="S752" s="856" t="str">
        <f>IFERROR(ROUND(R752*'Project Info and Summary'!$J$5/'Project Info and Summary'!$L$5,2),"")</f>
        <v/>
      </c>
    </row>
    <row r="753" spans="1:19" ht="30" customHeight="1">
      <c r="A753" s="948"/>
      <c r="B753" s="496">
        <f t="shared" si="22"/>
        <v>744</v>
      </c>
      <c r="C753" s="864"/>
      <c r="D753" s="505"/>
      <c r="E753" s="866"/>
      <c r="F753" s="498"/>
      <c r="G753" s="499"/>
      <c r="H753" s="492"/>
      <c r="I753" s="855">
        <f>IFERROR(IFERROR(INDEX('Fixture and LED Schedule'!D:D,MATCH(F753,'Fixture and LED Schedule'!C:C,""),1),F753),"")</f>
        <v>0</v>
      </c>
      <c r="J753" s="855" t="str">
        <f>IFERROR(IF(PRJ_Type="New Construction",H753,INDEX(yControl_Code,MATCH(Inventory!H753,yControlTypes,0),1)),"")</f>
        <v/>
      </c>
      <c r="K753" s="493"/>
      <c r="L753" s="501"/>
      <c r="M753" s="502"/>
      <c r="N753" s="855">
        <f>IFERROR(IFERROR(INDEX('Fixture and LED Schedule'!D:D,MATCH(K753,'Fixture and LED Schedule'!C:C,0),1),K753),"")</f>
        <v>0</v>
      </c>
      <c r="O753" s="858" t="str">
        <f>IFERROR(INDEX(yControl_Code,MATCH(Inventory!M753,yControlTypes,0),1),"")</f>
        <v/>
      </c>
      <c r="P753" s="860" t="str">
        <f>'Lighting Inventory (Ref only)'!AG756</f>
        <v/>
      </c>
      <c r="Q753" s="861" t="str">
        <f>'Lighting Inventory (Ref only)'!AF756</f>
        <v/>
      </c>
      <c r="R753" s="856" t="str">
        <f t="shared" si="23"/>
        <v/>
      </c>
      <c r="S753" s="856" t="str">
        <f>IFERROR(ROUND(R753*'Project Info and Summary'!$J$5/'Project Info and Summary'!$L$5,2),"")</f>
        <v/>
      </c>
    </row>
    <row r="754" spans="1:19" ht="30" customHeight="1">
      <c r="A754" s="948"/>
      <c r="B754" s="496">
        <f t="shared" si="22"/>
        <v>745</v>
      </c>
      <c r="C754" s="864"/>
      <c r="D754" s="505"/>
      <c r="E754" s="866"/>
      <c r="F754" s="498"/>
      <c r="G754" s="499"/>
      <c r="H754" s="492"/>
      <c r="I754" s="855">
        <f>IFERROR(IFERROR(INDEX('Fixture and LED Schedule'!D:D,MATCH(F754,'Fixture and LED Schedule'!C:C,""),1),F754),"")</f>
        <v>0</v>
      </c>
      <c r="J754" s="855" t="str">
        <f>IFERROR(IF(PRJ_Type="New Construction",H754,INDEX(yControl_Code,MATCH(Inventory!H754,yControlTypes,0),1)),"")</f>
        <v/>
      </c>
      <c r="K754" s="493"/>
      <c r="L754" s="501"/>
      <c r="M754" s="502"/>
      <c r="N754" s="855">
        <f>IFERROR(IFERROR(INDEX('Fixture and LED Schedule'!D:D,MATCH(K754,'Fixture and LED Schedule'!C:C,0),1),K754),"")</f>
        <v>0</v>
      </c>
      <c r="O754" s="858" t="str">
        <f>IFERROR(INDEX(yControl_Code,MATCH(Inventory!M754,yControlTypes,0),1),"")</f>
        <v/>
      </c>
      <c r="P754" s="860" t="str">
        <f>'Lighting Inventory (Ref only)'!AG757</f>
        <v/>
      </c>
      <c r="Q754" s="861" t="str">
        <f>'Lighting Inventory (Ref only)'!AF757</f>
        <v/>
      </c>
      <c r="R754" s="856" t="str">
        <f t="shared" si="23"/>
        <v/>
      </c>
      <c r="S754" s="856" t="str">
        <f>IFERROR(ROUND(R754*'Project Info and Summary'!$J$5/'Project Info and Summary'!$L$5,2),"")</f>
        <v/>
      </c>
    </row>
    <row r="755" spans="1:19" ht="30" customHeight="1">
      <c r="A755" s="948"/>
      <c r="B755" s="496">
        <f t="shared" si="22"/>
        <v>746</v>
      </c>
      <c r="C755" s="864"/>
      <c r="D755" s="505"/>
      <c r="E755" s="866"/>
      <c r="F755" s="498"/>
      <c r="G755" s="499"/>
      <c r="H755" s="492"/>
      <c r="I755" s="855">
        <f>IFERROR(IFERROR(INDEX('Fixture and LED Schedule'!D:D,MATCH(F755,'Fixture and LED Schedule'!C:C,""),1),F755),"")</f>
        <v>0</v>
      </c>
      <c r="J755" s="855" t="str">
        <f>IFERROR(IF(PRJ_Type="New Construction",H755,INDEX(yControl_Code,MATCH(Inventory!H755,yControlTypes,0),1)),"")</f>
        <v/>
      </c>
      <c r="K755" s="493"/>
      <c r="L755" s="501"/>
      <c r="M755" s="502"/>
      <c r="N755" s="855">
        <f>IFERROR(IFERROR(INDEX('Fixture and LED Schedule'!D:D,MATCH(K755,'Fixture and LED Schedule'!C:C,0),1),K755),"")</f>
        <v>0</v>
      </c>
      <c r="O755" s="858" t="str">
        <f>IFERROR(INDEX(yControl_Code,MATCH(Inventory!M755,yControlTypes,0),1),"")</f>
        <v/>
      </c>
      <c r="P755" s="860" t="str">
        <f>'Lighting Inventory (Ref only)'!AG758</f>
        <v/>
      </c>
      <c r="Q755" s="861" t="str">
        <f>'Lighting Inventory (Ref only)'!AF758</f>
        <v/>
      </c>
      <c r="R755" s="856" t="str">
        <f t="shared" si="23"/>
        <v/>
      </c>
      <c r="S755" s="856" t="str">
        <f>IFERROR(ROUND(R755*'Project Info and Summary'!$J$5/'Project Info and Summary'!$L$5,2),"")</f>
        <v/>
      </c>
    </row>
    <row r="756" spans="1:19" ht="30" customHeight="1">
      <c r="A756" s="948"/>
      <c r="B756" s="496">
        <f t="shared" si="22"/>
        <v>747</v>
      </c>
      <c r="C756" s="864"/>
      <c r="D756" s="505"/>
      <c r="E756" s="866"/>
      <c r="F756" s="498"/>
      <c r="G756" s="499"/>
      <c r="H756" s="492"/>
      <c r="I756" s="855">
        <f>IFERROR(IFERROR(INDEX('Fixture and LED Schedule'!D:D,MATCH(F756,'Fixture and LED Schedule'!C:C,""),1),F756),"")</f>
        <v>0</v>
      </c>
      <c r="J756" s="855" t="str">
        <f>IFERROR(IF(PRJ_Type="New Construction",H756,INDEX(yControl_Code,MATCH(Inventory!H756,yControlTypes,0),1)),"")</f>
        <v/>
      </c>
      <c r="K756" s="493"/>
      <c r="L756" s="501"/>
      <c r="M756" s="502"/>
      <c r="N756" s="855">
        <f>IFERROR(IFERROR(INDEX('Fixture and LED Schedule'!D:D,MATCH(K756,'Fixture and LED Schedule'!C:C,0),1),K756),"")</f>
        <v>0</v>
      </c>
      <c r="O756" s="858" t="str">
        <f>IFERROR(INDEX(yControl_Code,MATCH(Inventory!M756,yControlTypes,0),1),"")</f>
        <v/>
      </c>
      <c r="P756" s="860" t="str">
        <f>'Lighting Inventory (Ref only)'!AG759</f>
        <v/>
      </c>
      <c r="Q756" s="861" t="str">
        <f>'Lighting Inventory (Ref only)'!AF759</f>
        <v/>
      </c>
      <c r="R756" s="856" t="str">
        <f t="shared" si="23"/>
        <v/>
      </c>
      <c r="S756" s="856" t="str">
        <f>IFERROR(ROUND(R756*'Project Info and Summary'!$J$5/'Project Info and Summary'!$L$5,2),"")</f>
        <v/>
      </c>
    </row>
    <row r="757" spans="1:19" ht="30" customHeight="1">
      <c r="A757" s="948"/>
      <c r="B757" s="496">
        <f t="shared" si="22"/>
        <v>748</v>
      </c>
      <c r="C757" s="864"/>
      <c r="D757" s="505"/>
      <c r="E757" s="866"/>
      <c r="F757" s="498"/>
      <c r="G757" s="499"/>
      <c r="H757" s="492"/>
      <c r="I757" s="855">
        <f>IFERROR(IFERROR(INDEX('Fixture and LED Schedule'!D:D,MATCH(F757,'Fixture and LED Schedule'!C:C,""),1),F757),"")</f>
        <v>0</v>
      </c>
      <c r="J757" s="855" t="str">
        <f>IFERROR(IF(PRJ_Type="New Construction",H757,INDEX(yControl_Code,MATCH(Inventory!H757,yControlTypes,0),1)),"")</f>
        <v/>
      </c>
      <c r="K757" s="493"/>
      <c r="L757" s="501"/>
      <c r="M757" s="502"/>
      <c r="N757" s="855">
        <f>IFERROR(IFERROR(INDEX('Fixture and LED Schedule'!D:D,MATCH(K757,'Fixture and LED Schedule'!C:C,0),1),K757),"")</f>
        <v>0</v>
      </c>
      <c r="O757" s="858" t="str">
        <f>IFERROR(INDEX(yControl_Code,MATCH(Inventory!M757,yControlTypes,0),1),"")</f>
        <v/>
      </c>
      <c r="P757" s="860" t="str">
        <f>'Lighting Inventory (Ref only)'!AG760</f>
        <v/>
      </c>
      <c r="Q757" s="861" t="str">
        <f>'Lighting Inventory (Ref only)'!AF760</f>
        <v/>
      </c>
      <c r="R757" s="856" t="str">
        <f t="shared" si="23"/>
        <v/>
      </c>
      <c r="S757" s="856" t="str">
        <f>IFERROR(ROUND(R757*'Project Info and Summary'!$J$5/'Project Info and Summary'!$L$5,2),"")</f>
        <v/>
      </c>
    </row>
    <row r="758" spans="1:19" ht="30" customHeight="1">
      <c r="A758" s="948"/>
      <c r="B758" s="496">
        <f t="shared" si="22"/>
        <v>749</v>
      </c>
      <c r="C758" s="864"/>
      <c r="D758" s="505"/>
      <c r="E758" s="866"/>
      <c r="F758" s="498"/>
      <c r="G758" s="499"/>
      <c r="H758" s="492"/>
      <c r="I758" s="855">
        <f>IFERROR(IFERROR(INDEX('Fixture and LED Schedule'!D:D,MATCH(F758,'Fixture and LED Schedule'!C:C,""),1),F758),"")</f>
        <v>0</v>
      </c>
      <c r="J758" s="855" t="str">
        <f>IFERROR(IF(PRJ_Type="New Construction",H758,INDEX(yControl_Code,MATCH(Inventory!H758,yControlTypes,0),1)),"")</f>
        <v/>
      </c>
      <c r="K758" s="493"/>
      <c r="L758" s="501"/>
      <c r="M758" s="502"/>
      <c r="N758" s="855">
        <f>IFERROR(IFERROR(INDEX('Fixture and LED Schedule'!D:D,MATCH(K758,'Fixture and LED Schedule'!C:C,0),1),K758),"")</f>
        <v>0</v>
      </c>
      <c r="O758" s="858" t="str">
        <f>IFERROR(INDEX(yControl_Code,MATCH(Inventory!M758,yControlTypes,0),1),"")</f>
        <v/>
      </c>
      <c r="P758" s="860" t="str">
        <f>'Lighting Inventory (Ref only)'!AG761</f>
        <v/>
      </c>
      <c r="Q758" s="861" t="str">
        <f>'Lighting Inventory (Ref only)'!AF761</f>
        <v/>
      </c>
      <c r="R758" s="856" t="str">
        <f t="shared" si="23"/>
        <v/>
      </c>
      <c r="S758" s="856" t="str">
        <f>IFERROR(ROUND(R758*'Project Info and Summary'!$J$5/'Project Info and Summary'!$L$5,2),"")</f>
        <v/>
      </c>
    </row>
    <row r="759" spans="1:19" ht="30" customHeight="1">
      <c r="A759" s="948"/>
      <c r="B759" s="496">
        <f t="shared" si="22"/>
        <v>750</v>
      </c>
      <c r="C759" s="864"/>
      <c r="D759" s="505"/>
      <c r="E759" s="866"/>
      <c r="F759" s="498"/>
      <c r="G759" s="499"/>
      <c r="H759" s="492"/>
      <c r="I759" s="855">
        <f>IFERROR(IFERROR(INDEX('Fixture and LED Schedule'!D:D,MATCH(F759,'Fixture and LED Schedule'!C:C,""),1),F759),"")</f>
        <v>0</v>
      </c>
      <c r="J759" s="855" t="str">
        <f>IFERROR(IF(PRJ_Type="New Construction",H759,INDEX(yControl_Code,MATCH(Inventory!H759,yControlTypes,0),1)),"")</f>
        <v/>
      </c>
      <c r="K759" s="493"/>
      <c r="L759" s="501"/>
      <c r="M759" s="502"/>
      <c r="N759" s="855">
        <f>IFERROR(IFERROR(INDEX('Fixture and LED Schedule'!D:D,MATCH(K759,'Fixture and LED Schedule'!C:C,0),1),K759),"")</f>
        <v>0</v>
      </c>
      <c r="O759" s="858" t="str">
        <f>IFERROR(INDEX(yControl_Code,MATCH(Inventory!M759,yControlTypes,0),1),"")</f>
        <v/>
      </c>
      <c r="P759" s="860" t="str">
        <f>'Lighting Inventory (Ref only)'!AG762</f>
        <v/>
      </c>
      <c r="Q759" s="861" t="str">
        <f>'Lighting Inventory (Ref only)'!AF762</f>
        <v/>
      </c>
      <c r="R759" s="856" t="str">
        <f t="shared" si="23"/>
        <v/>
      </c>
      <c r="S759" s="856" t="str">
        <f>IFERROR(ROUND(R759*'Project Info and Summary'!$J$5/'Project Info and Summary'!$L$5,2),"")</f>
        <v/>
      </c>
    </row>
    <row r="760" spans="1:19" ht="30" customHeight="1">
      <c r="A760" s="948"/>
      <c r="B760" s="496">
        <f t="shared" si="22"/>
        <v>751</v>
      </c>
      <c r="C760" s="864"/>
      <c r="D760" s="505"/>
      <c r="E760" s="866"/>
      <c r="F760" s="498"/>
      <c r="G760" s="499"/>
      <c r="H760" s="492"/>
      <c r="I760" s="855">
        <f>IFERROR(IFERROR(INDEX('Fixture and LED Schedule'!D:D,MATCH(F760,'Fixture and LED Schedule'!C:C,""),1),F760),"")</f>
        <v>0</v>
      </c>
      <c r="J760" s="855" t="str">
        <f>IFERROR(IF(PRJ_Type="New Construction",H760,INDEX(yControl_Code,MATCH(Inventory!H760,yControlTypes,0),1)),"")</f>
        <v/>
      </c>
      <c r="K760" s="493"/>
      <c r="L760" s="501"/>
      <c r="M760" s="502"/>
      <c r="N760" s="855">
        <f>IFERROR(IFERROR(INDEX('Fixture and LED Schedule'!D:D,MATCH(K760,'Fixture and LED Schedule'!C:C,0),1),K760),"")</f>
        <v>0</v>
      </c>
      <c r="O760" s="858" t="str">
        <f>IFERROR(INDEX(yControl_Code,MATCH(Inventory!M760,yControlTypes,0),1),"")</f>
        <v/>
      </c>
      <c r="P760" s="860" t="str">
        <f>'Lighting Inventory (Ref only)'!AG763</f>
        <v/>
      </c>
      <c r="Q760" s="861" t="str">
        <f>'Lighting Inventory (Ref only)'!AF763</f>
        <v/>
      </c>
      <c r="R760" s="856" t="str">
        <f t="shared" si="23"/>
        <v/>
      </c>
      <c r="S760" s="856" t="str">
        <f>IFERROR(ROUND(R760*'Project Info and Summary'!$J$5/'Project Info and Summary'!$L$5,2),"")</f>
        <v/>
      </c>
    </row>
    <row r="761" spans="1:19" ht="30" customHeight="1">
      <c r="A761" s="948"/>
      <c r="B761" s="496">
        <f t="shared" si="22"/>
        <v>752</v>
      </c>
      <c r="C761" s="864"/>
      <c r="D761" s="505"/>
      <c r="E761" s="866"/>
      <c r="F761" s="498"/>
      <c r="G761" s="499"/>
      <c r="H761" s="492"/>
      <c r="I761" s="855">
        <f>IFERROR(IFERROR(INDEX('Fixture and LED Schedule'!D:D,MATCH(F761,'Fixture and LED Schedule'!C:C,""),1),F761),"")</f>
        <v>0</v>
      </c>
      <c r="J761" s="855" t="str">
        <f>IFERROR(IF(PRJ_Type="New Construction",H761,INDEX(yControl_Code,MATCH(Inventory!H761,yControlTypes,0),1)),"")</f>
        <v/>
      </c>
      <c r="K761" s="493"/>
      <c r="L761" s="501"/>
      <c r="M761" s="502"/>
      <c r="N761" s="855">
        <f>IFERROR(IFERROR(INDEX('Fixture and LED Schedule'!D:D,MATCH(K761,'Fixture and LED Schedule'!C:C,0),1),K761),"")</f>
        <v>0</v>
      </c>
      <c r="O761" s="858" t="str">
        <f>IFERROR(INDEX(yControl_Code,MATCH(Inventory!M761,yControlTypes,0),1),"")</f>
        <v/>
      </c>
      <c r="P761" s="860" t="str">
        <f>'Lighting Inventory (Ref only)'!AG764</f>
        <v/>
      </c>
      <c r="Q761" s="861" t="str">
        <f>'Lighting Inventory (Ref only)'!AF764</f>
        <v/>
      </c>
      <c r="R761" s="856" t="str">
        <f t="shared" si="23"/>
        <v/>
      </c>
      <c r="S761" s="856" t="str">
        <f>IFERROR(ROUND(R761*'Project Info and Summary'!$J$5/'Project Info and Summary'!$L$5,2),"")</f>
        <v/>
      </c>
    </row>
    <row r="762" spans="1:19" ht="30" customHeight="1">
      <c r="A762" s="948"/>
      <c r="B762" s="496">
        <f t="shared" si="22"/>
        <v>753</v>
      </c>
      <c r="C762" s="864"/>
      <c r="D762" s="505"/>
      <c r="E762" s="866"/>
      <c r="F762" s="498"/>
      <c r="G762" s="499"/>
      <c r="H762" s="492"/>
      <c r="I762" s="855">
        <f>IFERROR(IFERROR(INDEX('Fixture and LED Schedule'!D:D,MATCH(F762,'Fixture and LED Schedule'!C:C,""),1),F762),"")</f>
        <v>0</v>
      </c>
      <c r="J762" s="855" t="str">
        <f>IFERROR(IF(PRJ_Type="New Construction",H762,INDEX(yControl_Code,MATCH(Inventory!H762,yControlTypes,0),1)),"")</f>
        <v/>
      </c>
      <c r="K762" s="493"/>
      <c r="L762" s="501"/>
      <c r="M762" s="502"/>
      <c r="N762" s="855">
        <f>IFERROR(IFERROR(INDEX('Fixture and LED Schedule'!D:D,MATCH(K762,'Fixture and LED Schedule'!C:C,0),1),K762),"")</f>
        <v>0</v>
      </c>
      <c r="O762" s="858" t="str">
        <f>IFERROR(INDEX(yControl_Code,MATCH(Inventory!M762,yControlTypes,0),1),"")</f>
        <v/>
      </c>
      <c r="P762" s="860" t="str">
        <f>'Lighting Inventory (Ref only)'!AG765</f>
        <v/>
      </c>
      <c r="Q762" s="861" t="str">
        <f>'Lighting Inventory (Ref only)'!AF765</f>
        <v/>
      </c>
      <c r="R762" s="856" t="str">
        <f t="shared" si="23"/>
        <v/>
      </c>
      <c r="S762" s="856" t="str">
        <f>IFERROR(ROUND(R762*'Project Info and Summary'!$J$5/'Project Info and Summary'!$L$5,2),"")</f>
        <v/>
      </c>
    </row>
    <row r="763" spans="1:19" ht="30" customHeight="1">
      <c r="A763" s="948"/>
      <c r="B763" s="496">
        <f t="shared" si="22"/>
        <v>754</v>
      </c>
      <c r="C763" s="864"/>
      <c r="D763" s="505"/>
      <c r="E763" s="866"/>
      <c r="F763" s="498"/>
      <c r="G763" s="499"/>
      <c r="H763" s="492"/>
      <c r="I763" s="855">
        <f>IFERROR(IFERROR(INDEX('Fixture and LED Schedule'!D:D,MATCH(F763,'Fixture and LED Schedule'!C:C,""),1),F763),"")</f>
        <v>0</v>
      </c>
      <c r="J763" s="855" t="str">
        <f>IFERROR(IF(PRJ_Type="New Construction",H763,INDEX(yControl_Code,MATCH(Inventory!H763,yControlTypes,0),1)),"")</f>
        <v/>
      </c>
      <c r="K763" s="493"/>
      <c r="L763" s="501"/>
      <c r="M763" s="502"/>
      <c r="N763" s="855">
        <f>IFERROR(IFERROR(INDEX('Fixture and LED Schedule'!D:D,MATCH(K763,'Fixture and LED Schedule'!C:C,0),1),K763),"")</f>
        <v>0</v>
      </c>
      <c r="O763" s="858" t="str">
        <f>IFERROR(INDEX(yControl_Code,MATCH(Inventory!M763,yControlTypes,0),1),"")</f>
        <v/>
      </c>
      <c r="P763" s="860" t="str">
        <f>'Lighting Inventory (Ref only)'!AG766</f>
        <v/>
      </c>
      <c r="Q763" s="861" t="str">
        <f>'Lighting Inventory (Ref only)'!AF766</f>
        <v/>
      </c>
      <c r="R763" s="856" t="str">
        <f t="shared" si="23"/>
        <v/>
      </c>
      <c r="S763" s="856" t="str">
        <f>IFERROR(ROUND(R763*'Project Info and Summary'!$J$5/'Project Info and Summary'!$L$5,2),"")</f>
        <v/>
      </c>
    </row>
    <row r="764" spans="1:19" ht="30" customHeight="1">
      <c r="A764" s="948"/>
      <c r="B764" s="496">
        <f t="shared" si="22"/>
        <v>755</v>
      </c>
      <c r="C764" s="864"/>
      <c r="D764" s="505"/>
      <c r="E764" s="866"/>
      <c r="F764" s="498"/>
      <c r="G764" s="499"/>
      <c r="H764" s="492"/>
      <c r="I764" s="855">
        <f>IFERROR(IFERROR(INDEX('Fixture and LED Schedule'!D:D,MATCH(F764,'Fixture and LED Schedule'!C:C,""),1),F764),"")</f>
        <v>0</v>
      </c>
      <c r="J764" s="855" t="str">
        <f>IFERROR(IF(PRJ_Type="New Construction",H764,INDEX(yControl_Code,MATCH(Inventory!H764,yControlTypes,0),1)),"")</f>
        <v/>
      </c>
      <c r="K764" s="493"/>
      <c r="L764" s="501"/>
      <c r="M764" s="502"/>
      <c r="N764" s="855">
        <f>IFERROR(IFERROR(INDEX('Fixture and LED Schedule'!D:D,MATCH(K764,'Fixture and LED Schedule'!C:C,0),1),K764),"")</f>
        <v>0</v>
      </c>
      <c r="O764" s="858" t="str">
        <f>IFERROR(INDEX(yControl_Code,MATCH(Inventory!M764,yControlTypes,0),1),"")</f>
        <v/>
      </c>
      <c r="P764" s="860" t="str">
        <f>'Lighting Inventory (Ref only)'!AG767</f>
        <v/>
      </c>
      <c r="Q764" s="861" t="str">
        <f>'Lighting Inventory (Ref only)'!AF767</f>
        <v/>
      </c>
      <c r="R764" s="856" t="str">
        <f t="shared" si="23"/>
        <v/>
      </c>
      <c r="S764" s="856" t="str">
        <f>IFERROR(ROUND(R764*'Project Info and Summary'!$J$5/'Project Info and Summary'!$L$5,2),"")</f>
        <v/>
      </c>
    </row>
    <row r="765" spans="1:19" ht="30" customHeight="1">
      <c r="A765" s="948"/>
      <c r="B765" s="496">
        <f t="shared" ref="B765:B828" si="24">B764+1</f>
        <v>756</v>
      </c>
      <c r="C765" s="864"/>
      <c r="D765" s="505"/>
      <c r="E765" s="866"/>
      <c r="F765" s="498"/>
      <c r="G765" s="499"/>
      <c r="H765" s="492"/>
      <c r="I765" s="855">
        <f>IFERROR(IFERROR(INDEX('Fixture and LED Schedule'!D:D,MATCH(F765,'Fixture and LED Schedule'!C:C,""),1),F765),"")</f>
        <v>0</v>
      </c>
      <c r="J765" s="855" t="str">
        <f>IFERROR(IF(PRJ_Type="New Construction",H765,INDEX(yControl_Code,MATCH(Inventory!H765,yControlTypes,0),1)),"")</f>
        <v/>
      </c>
      <c r="K765" s="493"/>
      <c r="L765" s="501"/>
      <c r="M765" s="502"/>
      <c r="N765" s="855">
        <f>IFERROR(IFERROR(INDEX('Fixture and LED Schedule'!D:D,MATCH(K765,'Fixture and LED Schedule'!C:C,0),1),K765),"")</f>
        <v>0</v>
      </c>
      <c r="O765" s="858" t="str">
        <f>IFERROR(INDEX(yControl_Code,MATCH(Inventory!M765,yControlTypes,0),1),"")</f>
        <v/>
      </c>
      <c r="P765" s="860" t="str">
        <f>'Lighting Inventory (Ref only)'!AG768</f>
        <v/>
      </c>
      <c r="Q765" s="861" t="str">
        <f>'Lighting Inventory (Ref only)'!AF768</f>
        <v/>
      </c>
      <c r="R765" s="856" t="str">
        <f t="shared" si="23"/>
        <v/>
      </c>
      <c r="S765" s="856" t="str">
        <f>IFERROR(ROUND(R765*'Project Info and Summary'!$J$5/'Project Info and Summary'!$L$5,2),"")</f>
        <v/>
      </c>
    </row>
    <row r="766" spans="1:19" ht="30" customHeight="1">
      <c r="A766" s="948"/>
      <c r="B766" s="496">
        <f t="shared" si="24"/>
        <v>757</v>
      </c>
      <c r="C766" s="864"/>
      <c r="D766" s="505"/>
      <c r="E766" s="866"/>
      <c r="F766" s="498"/>
      <c r="G766" s="499"/>
      <c r="H766" s="492"/>
      <c r="I766" s="855">
        <f>IFERROR(IFERROR(INDEX('Fixture and LED Schedule'!D:D,MATCH(F766,'Fixture and LED Schedule'!C:C,""),1),F766),"")</f>
        <v>0</v>
      </c>
      <c r="J766" s="855" t="str">
        <f>IFERROR(IF(PRJ_Type="New Construction",H766,INDEX(yControl_Code,MATCH(Inventory!H766,yControlTypes,0),1)),"")</f>
        <v/>
      </c>
      <c r="K766" s="493"/>
      <c r="L766" s="501"/>
      <c r="M766" s="502"/>
      <c r="N766" s="855">
        <f>IFERROR(IFERROR(INDEX('Fixture and LED Schedule'!D:D,MATCH(K766,'Fixture and LED Schedule'!C:C,0),1),K766),"")</f>
        <v>0</v>
      </c>
      <c r="O766" s="858" t="str">
        <f>IFERROR(INDEX(yControl_Code,MATCH(Inventory!M766,yControlTypes,0),1),"")</f>
        <v/>
      </c>
      <c r="P766" s="860" t="str">
        <f>'Lighting Inventory (Ref only)'!AG769</f>
        <v/>
      </c>
      <c r="Q766" s="861" t="str">
        <f>'Lighting Inventory (Ref only)'!AF769</f>
        <v/>
      </c>
      <c r="R766" s="856" t="str">
        <f t="shared" si="23"/>
        <v/>
      </c>
      <c r="S766" s="856" t="str">
        <f>IFERROR(ROUND(R766*'Project Info and Summary'!$J$5/'Project Info and Summary'!$L$5,2),"")</f>
        <v/>
      </c>
    </row>
    <row r="767" spans="1:19" ht="30" customHeight="1">
      <c r="A767" s="948"/>
      <c r="B767" s="496">
        <f t="shared" si="24"/>
        <v>758</v>
      </c>
      <c r="C767" s="864"/>
      <c r="D767" s="505"/>
      <c r="E767" s="866"/>
      <c r="F767" s="498"/>
      <c r="G767" s="499"/>
      <c r="H767" s="492"/>
      <c r="I767" s="855">
        <f>IFERROR(IFERROR(INDEX('Fixture and LED Schedule'!D:D,MATCH(F767,'Fixture and LED Schedule'!C:C,""),1),F767),"")</f>
        <v>0</v>
      </c>
      <c r="J767" s="855" t="str">
        <f>IFERROR(IF(PRJ_Type="New Construction",H767,INDEX(yControl_Code,MATCH(Inventory!H767,yControlTypes,0),1)),"")</f>
        <v/>
      </c>
      <c r="K767" s="493"/>
      <c r="L767" s="501"/>
      <c r="M767" s="502"/>
      <c r="N767" s="855">
        <f>IFERROR(IFERROR(INDEX('Fixture and LED Schedule'!D:D,MATCH(K767,'Fixture and LED Schedule'!C:C,0),1),K767),"")</f>
        <v>0</v>
      </c>
      <c r="O767" s="858" t="str">
        <f>IFERROR(INDEX(yControl_Code,MATCH(Inventory!M767,yControlTypes,0),1),"")</f>
        <v/>
      </c>
      <c r="P767" s="860" t="str">
        <f>'Lighting Inventory (Ref only)'!AG770</f>
        <v/>
      </c>
      <c r="Q767" s="861" t="str">
        <f>'Lighting Inventory (Ref only)'!AF770</f>
        <v/>
      </c>
      <c r="R767" s="856" t="str">
        <f t="shared" si="23"/>
        <v/>
      </c>
      <c r="S767" s="856" t="str">
        <f>IFERROR(ROUND(R767*'Project Info and Summary'!$J$5/'Project Info and Summary'!$L$5,2),"")</f>
        <v/>
      </c>
    </row>
    <row r="768" spans="1:19" ht="30" customHeight="1">
      <c r="A768" s="948"/>
      <c r="B768" s="496">
        <f t="shared" si="24"/>
        <v>759</v>
      </c>
      <c r="C768" s="864"/>
      <c r="D768" s="505"/>
      <c r="E768" s="866"/>
      <c r="F768" s="498"/>
      <c r="G768" s="499"/>
      <c r="H768" s="492"/>
      <c r="I768" s="855">
        <f>IFERROR(IFERROR(INDEX('Fixture and LED Schedule'!D:D,MATCH(F768,'Fixture and LED Schedule'!C:C,""),1),F768),"")</f>
        <v>0</v>
      </c>
      <c r="J768" s="855" t="str">
        <f>IFERROR(IF(PRJ_Type="New Construction",H768,INDEX(yControl_Code,MATCH(Inventory!H768,yControlTypes,0),1)),"")</f>
        <v/>
      </c>
      <c r="K768" s="493"/>
      <c r="L768" s="501"/>
      <c r="M768" s="502"/>
      <c r="N768" s="855">
        <f>IFERROR(IFERROR(INDEX('Fixture and LED Schedule'!D:D,MATCH(K768,'Fixture and LED Schedule'!C:C,0),1),K768),"")</f>
        <v>0</v>
      </c>
      <c r="O768" s="858" t="str">
        <f>IFERROR(INDEX(yControl_Code,MATCH(Inventory!M768,yControlTypes,0),1),"")</f>
        <v/>
      </c>
      <c r="P768" s="860" t="str">
        <f>'Lighting Inventory (Ref only)'!AG771</f>
        <v/>
      </c>
      <c r="Q768" s="861" t="str">
        <f>'Lighting Inventory (Ref only)'!AF771</f>
        <v/>
      </c>
      <c r="R768" s="856" t="str">
        <f t="shared" si="23"/>
        <v/>
      </c>
      <c r="S768" s="856" t="str">
        <f>IFERROR(ROUND(R768*'Project Info and Summary'!$J$5/'Project Info and Summary'!$L$5,2),"")</f>
        <v/>
      </c>
    </row>
    <row r="769" spans="1:19" ht="30" customHeight="1">
      <c r="A769" s="948"/>
      <c r="B769" s="496">
        <f t="shared" si="24"/>
        <v>760</v>
      </c>
      <c r="C769" s="864"/>
      <c r="D769" s="505"/>
      <c r="E769" s="866"/>
      <c r="F769" s="498"/>
      <c r="G769" s="499"/>
      <c r="H769" s="492"/>
      <c r="I769" s="855">
        <f>IFERROR(IFERROR(INDEX('Fixture and LED Schedule'!D:D,MATCH(F769,'Fixture and LED Schedule'!C:C,""),1),F769),"")</f>
        <v>0</v>
      </c>
      <c r="J769" s="855" t="str">
        <f>IFERROR(IF(PRJ_Type="New Construction",H769,INDEX(yControl_Code,MATCH(Inventory!H769,yControlTypes,0),1)),"")</f>
        <v/>
      </c>
      <c r="K769" s="493"/>
      <c r="L769" s="501"/>
      <c r="M769" s="502"/>
      <c r="N769" s="855">
        <f>IFERROR(IFERROR(INDEX('Fixture and LED Schedule'!D:D,MATCH(K769,'Fixture and LED Schedule'!C:C,0),1),K769),"")</f>
        <v>0</v>
      </c>
      <c r="O769" s="858" t="str">
        <f>IFERROR(INDEX(yControl_Code,MATCH(Inventory!M769,yControlTypes,0),1),"")</f>
        <v/>
      </c>
      <c r="P769" s="860" t="str">
        <f>'Lighting Inventory (Ref only)'!AG772</f>
        <v/>
      </c>
      <c r="Q769" s="861" t="str">
        <f>'Lighting Inventory (Ref only)'!AF772</f>
        <v/>
      </c>
      <c r="R769" s="856" t="str">
        <f t="shared" si="23"/>
        <v/>
      </c>
      <c r="S769" s="856" t="str">
        <f>IFERROR(ROUND(R769*'Project Info and Summary'!$J$5/'Project Info and Summary'!$L$5,2),"")</f>
        <v/>
      </c>
    </row>
    <row r="770" spans="1:19" ht="30" customHeight="1">
      <c r="A770" s="948"/>
      <c r="B770" s="496">
        <f t="shared" si="24"/>
        <v>761</v>
      </c>
      <c r="C770" s="864"/>
      <c r="D770" s="505"/>
      <c r="E770" s="866"/>
      <c r="F770" s="498"/>
      <c r="G770" s="499"/>
      <c r="H770" s="492"/>
      <c r="I770" s="855">
        <f>IFERROR(IFERROR(INDEX('Fixture and LED Schedule'!D:D,MATCH(F770,'Fixture and LED Schedule'!C:C,""),1),F770),"")</f>
        <v>0</v>
      </c>
      <c r="J770" s="855" t="str">
        <f>IFERROR(IF(PRJ_Type="New Construction",H770,INDEX(yControl_Code,MATCH(Inventory!H770,yControlTypes,0),1)),"")</f>
        <v/>
      </c>
      <c r="K770" s="493"/>
      <c r="L770" s="501"/>
      <c r="M770" s="502"/>
      <c r="N770" s="855">
        <f>IFERROR(IFERROR(INDEX('Fixture and LED Schedule'!D:D,MATCH(K770,'Fixture and LED Schedule'!C:C,0),1),K770),"")</f>
        <v>0</v>
      </c>
      <c r="O770" s="858" t="str">
        <f>IFERROR(INDEX(yControl_Code,MATCH(Inventory!M770,yControlTypes,0),1),"")</f>
        <v/>
      </c>
      <c r="P770" s="860" t="str">
        <f>'Lighting Inventory (Ref only)'!AG773</f>
        <v/>
      </c>
      <c r="Q770" s="861" t="str">
        <f>'Lighting Inventory (Ref only)'!AF773</f>
        <v/>
      </c>
      <c r="R770" s="856" t="str">
        <f t="shared" si="23"/>
        <v/>
      </c>
      <c r="S770" s="856" t="str">
        <f>IFERROR(ROUND(R770*'Project Info and Summary'!$J$5/'Project Info and Summary'!$L$5,2),"")</f>
        <v/>
      </c>
    </row>
    <row r="771" spans="1:19" ht="30" customHeight="1">
      <c r="A771" s="948"/>
      <c r="B771" s="496">
        <f t="shared" si="24"/>
        <v>762</v>
      </c>
      <c r="C771" s="864"/>
      <c r="D771" s="505"/>
      <c r="E771" s="866"/>
      <c r="F771" s="498"/>
      <c r="G771" s="499"/>
      <c r="H771" s="492"/>
      <c r="I771" s="855">
        <f>IFERROR(IFERROR(INDEX('Fixture and LED Schedule'!D:D,MATCH(F771,'Fixture and LED Schedule'!C:C,""),1),F771),"")</f>
        <v>0</v>
      </c>
      <c r="J771" s="855" t="str">
        <f>IFERROR(IF(PRJ_Type="New Construction",H771,INDEX(yControl_Code,MATCH(Inventory!H771,yControlTypes,0),1)),"")</f>
        <v/>
      </c>
      <c r="K771" s="493"/>
      <c r="L771" s="501"/>
      <c r="M771" s="502"/>
      <c r="N771" s="855">
        <f>IFERROR(IFERROR(INDEX('Fixture and LED Schedule'!D:D,MATCH(K771,'Fixture and LED Schedule'!C:C,0),1),K771),"")</f>
        <v>0</v>
      </c>
      <c r="O771" s="858" t="str">
        <f>IFERROR(INDEX(yControl_Code,MATCH(Inventory!M771,yControlTypes,0),1),"")</f>
        <v/>
      </c>
      <c r="P771" s="860" t="str">
        <f>'Lighting Inventory (Ref only)'!AG774</f>
        <v/>
      </c>
      <c r="Q771" s="861" t="str">
        <f>'Lighting Inventory (Ref only)'!AF774</f>
        <v/>
      </c>
      <c r="R771" s="856" t="str">
        <f t="shared" si="23"/>
        <v/>
      </c>
      <c r="S771" s="856" t="str">
        <f>IFERROR(ROUND(R771*'Project Info and Summary'!$J$5/'Project Info and Summary'!$L$5,2),"")</f>
        <v/>
      </c>
    </row>
    <row r="772" spans="1:19" ht="30" customHeight="1">
      <c r="A772" s="948"/>
      <c r="B772" s="496">
        <f t="shared" si="24"/>
        <v>763</v>
      </c>
      <c r="C772" s="864"/>
      <c r="D772" s="505"/>
      <c r="E772" s="866"/>
      <c r="F772" s="498"/>
      <c r="G772" s="499"/>
      <c r="H772" s="492"/>
      <c r="I772" s="855">
        <f>IFERROR(IFERROR(INDEX('Fixture and LED Schedule'!D:D,MATCH(F772,'Fixture and LED Schedule'!C:C,""),1),F772),"")</f>
        <v>0</v>
      </c>
      <c r="J772" s="855" t="str">
        <f>IFERROR(IF(PRJ_Type="New Construction",H772,INDEX(yControl_Code,MATCH(Inventory!H772,yControlTypes,0),1)),"")</f>
        <v/>
      </c>
      <c r="K772" s="493"/>
      <c r="L772" s="501"/>
      <c r="M772" s="502"/>
      <c r="N772" s="855">
        <f>IFERROR(IFERROR(INDEX('Fixture and LED Schedule'!D:D,MATCH(K772,'Fixture and LED Schedule'!C:C,0),1),K772),"")</f>
        <v>0</v>
      </c>
      <c r="O772" s="858" t="str">
        <f>IFERROR(INDEX(yControl_Code,MATCH(Inventory!M772,yControlTypes,0),1),"")</f>
        <v/>
      </c>
      <c r="P772" s="860" t="str">
        <f>'Lighting Inventory (Ref only)'!AG775</f>
        <v/>
      </c>
      <c r="Q772" s="861" t="str">
        <f>'Lighting Inventory (Ref only)'!AF775</f>
        <v/>
      </c>
      <c r="R772" s="856" t="str">
        <f t="shared" si="23"/>
        <v/>
      </c>
      <c r="S772" s="856" t="str">
        <f>IFERROR(ROUND(R772*'Project Info and Summary'!$J$5/'Project Info and Summary'!$L$5,2),"")</f>
        <v/>
      </c>
    </row>
    <row r="773" spans="1:19" ht="30" customHeight="1">
      <c r="A773" s="948"/>
      <c r="B773" s="496">
        <f t="shared" si="24"/>
        <v>764</v>
      </c>
      <c r="C773" s="864"/>
      <c r="D773" s="505"/>
      <c r="E773" s="866"/>
      <c r="F773" s="498"/>
      <c r="G773" s="499"/>
      <c r="H773" s="492"/>
      <c r="I773" s="855">
        <f>IFERROR(IFERROR(INDEX('Fixture and LED Schedule'!D:D,MATCH(F773,'Fixture and LED Schedule'!C:C,""),1),F773),"")</f>
        <v>0</v>
      </c>
      <c r="J773" s="855" t="str">
        <f>IFERROR(IF(PRJ_Type="New Construction",H773,INDEX(yControl_Code,MATCH(Inventory!H773,yControlTypes,0),1)),"")</f>
        <v/>
      </c>
      <c r="K773" s="493"/>
      <c r="L773" s="501"/>
      <c r="M773" s="502"/>
      <c r="N773" s="855">
        <f>IFERROR(IFERROR(INDEX('Fixture and LED Schedule'!D:D,MATCH(K773,'Fixture and LED Schedule'!C:C,0),1),K773),"")</f>
        <v>0</v>
      </c>
      <c r="O773" s="858" t="str">
        <f>IFERROR(INDEX(yControl_Code,MATCH(Inventory!M773,yControlTypes,0),1),"")</f>
        <v/>
      </c>
      <c r="P773" s="860" t="str">
        <f>'Lighting Inventory (Ref only)'!AG776</f>
        <v/>
      </c>
      <c r="Q773" s="861" t="str">
        <f>'Lighting Inventory (Ref only)'!AF776</f>
        <v/>
      </c>
      <c r="R773" s="856" t="str">
        <f t="shared" si="23"/>
        <v/>
      </c>
      <c r="S773" s="856" t="str">
        <f>IFERROR(ROUND(R773*'Project Info and Summary'!$J$5/'Project Info and Summary'!$L$5,2),"")</f>
        <v/>
      </c>
    </row>
    <row r="774" spans="1:19" ht="30" customHeight="1">
      <c r="A774" s="948"/>
      <c r="B774" s="496">
        <f t="shared" si="24"/>
        <v>765</v>
      </c>
      <c r="C774" s="864"/>
      <c r="D774" s="505"/>
      <c r="E774" s="866"/>
      <c r="F774" s="498"/>
      <c r="G774" s="499"/>
      <c r="H774" s="492"/>
      <c r="I774" s="855">
        <f>IFERROR(IFERROR(INDEX('Fixture and LED Schedule'!D:D,MATCH(F774,'Fixture and LED Schedule'!C:C,""),1),F774),"")</f>
        <v>0</v>
      </c>
      <c r="J774" s="855" t="str">
        <f>IFERROR(IF(PRJ_Type="New Construction",H774,INDEX(yControl_Code,MATCH(Inventory!H774,yControlTypes,0),1)),"")</f>
        <v/>
      </c>
      <c r="K774" s="493"/>
      <c r="L774" s="501"/>
      <c r="M774" s="502"/>
      <c r="N774" s="855">
        <f>IFERROR(IFERROR(INDEX('Fixture and LED Schedule'!D:D,MATCH(K774,'Fixture and LED Schedule'!C:C,0),1),K774),"")</f>
        <v>0</v>
      </c>
      <c r="O774" s="858" t="str">
        <f>IFERROR(INDEX(yControl_Code,MATCH(Inventory!M774,yControlTypes,0),1),"")</f>
        <v/>
      </c>
      <c r="P774" s="860" t="str">
        <f>'Lighting Inventory (Ref only)'!AG777</f>
        <v/>
      </c>
      <c r="Q774" s="861" t="str">
        <f>'Lighting Inventory (Ref only)'!AF777</f>
        <v/>
      </c>
      <c r="R774" s="856" t="str">
        <f t="shared" si="23"/>
        <v/>
      </c>
      <c r="S774" s="856" t="str">
        <f>IFERROR(ROUND(R774*'Project Info and Summary'!$J$5/'Project Info and Summary'!$L$5,2),"")</f>
        <v/>
      </c>
    </row>
    <row r="775" spans="1:19" ht="30" customHeight="1">
      <c r="A775" s="948"/>
      <c r="B775" s="496">
        <f t="shared" si="24"/>
        <v>766</v>
      </c>
      <c r="C775" s="864"/>
      <c r="D775" s="505"/>
      <c r="E775" s="866"/>
      <c r="F775" s="498"/>
      <c r="G775" s="499"/>
      <c r="H775" s="492"/>
      <c r="I775" s="855">
        <f>IFERROR(IFERROR(INDEX('Fixture and LED Schedule'!D:D,MATCH(F775,'Fixture and LED Schedule'!C:C,""),1),F775),"")</f>
        <v>0</v>
      </c>
      <c r="J775" s="855" t="str">
        <f>IFERROR(IF(PRJ_Type="New Construction",H775,INDEX(yControl_Code,MATCH(Inventory!H775,yControlTypes,0),1)),"")</f>
        <v/>
      </c>
      <c r="K775" s="493"/>
      <c r="L775" s="501"/>
      <c r="M775" s="502"/>
      <c r="N775" s="855">
        <f>IFERROR(IFERROR(INDEX('Fixture and LED Schedule'!D:D,MATCH(K775,'Fixture and LED Schedule'!C:C,0),1),K775),"")</f>
        <v>0</v>
      </c>
      <c r="O775" s="858" t="str">
        <f>IFERROR(INDEX(yControl_Code,MATCH(Inventory!M775,yControlTypes,0),1),"")</f>
        <v/>
      </c>
      <c r="P775" s="860" t="str">
        <f>'Lighting Inventory (Ref only)'!AG778</f>
        <v/>
      </c>
      <c r="Q775" s="861" t="str">
        <f>'Lighting Inventory (Ref only)'!AF778</f>
        <v/>
      </c>
      <c r="R775" s="856" t="str">
        <f t="shared" si="23"/>
        <v/>
      </c>
      <c r="S775" s="856" t="str">
        <f>IFERROR(ROUND(R775*'Project Info and Summary'!$J$5/'Project Info and Summary'!$L$5,2),"")</f>
        <v/>
      </c>
    </row>
    <row r="776" spans="1:19" ht="30" customHeight="1">
      <c r="A776" s="948"/>
      <c r="B776" s="496">
        <f t="shared" si="24"/>
        <v>767</v>
      </c>
      <c r="C776" s="864"/>
      <c r="D776" s="505"/>
      <c r="E776" s="866"/>
      <c r="F776" s="498"/>
      <c r="G776" s="499"/>
      <c r="H776" s="492"/>
      <c r="I776" s="855">
        <f>IFERROR(IFERROR(INDEX('Fixture and LED Schedule'!D:D,MATCH(F776,'Fixture and LED Schedule'!C:C,""),1),F776),"")</f>
        <v>0</v>
      </c>
      <c r="J776" s="855" t="str">
        <f>IFERROR(IF(PRJ_Type="New Construction",H776,INDEX(yControl_Code,MATCH(Inventory!H776,yControlTypes,0),1)),"")</f>
        <v/>
      </c>
      <c r="K776" s="493"/>
      <c r="L776" s="501"/>
      <c r="M776" s="502"/>
      <c r="N776" s="855">
        <f>IFERROR(IFERROR(INDEX('Fixture and LED Schedule'!D:D,MATCH(K776,'Fixture and LED Schedule'!C:C,0),1),K776),"")</f>
        <v>0</v>
      </c>
      <c r="O776" s="858" t="str">
        <f>IFERROR(INDEX(yControl_Code,MATCH(Inventory!M776,yControlTypes,0),1),"")</f>
        <v/>
      </c>
      <c r="P776" s="860" t="str">
        <f>'Lighting Inventory (Ref only)'!AG779</f>
        <v/>
      </c>
      <c r="Q776" s="861" t="str">
        <f>'Lighting Inventory (Ref only)'!AF779</f>
        <v/>
      </c>
      <c r="R776" s="856" t="str">
        <f t="shared" si="23"/>
        <v/>
      </c>
      <c r="S776" s="856" t="str">
        <f>IFERROR(ROUND(R776*'Project Info and Summary'!$J$5/'Project Info and Summary'!$L$5,2),"")</f>
        <v/>
      </c>
    </row>
    <row r="777" spans="1:19" ht="30" customHeight="1">
      <c r="A777" s="948"/>
      <c r="B777" s="496">
        <f t="shared" si="24"/>
        <v>768</v>
      </c>
      <c r="C777" s="864"/>
      <c r="D777" s="505"/>
      <c r="E777" s="866"/>
      <c r="F777" s="498"/>
      <c r="G777" s="499"/>
      <c r="H777" s="492"/>
      <c r="I777" s="855">
        <f>IFERROR(IFERROR(INDEX('Fixture and LED Schedule'!D:D,MATCH(F777,'Fixture and LED Schedule'!C:C,""),1),F777),"")</f>
        <v>0</v>
      </c>
      <c r="J777" s="855" t="str">
        <f>IFERROR(IF(PRJ_Type="New Construction",H777,INDEX(yControl_Code,MATCH(Inventory!H777,yControlTypes,0),1)),"")</f>
        <v/>
      </c>
      <c r="K777" s="493"/>
      <c r="L777" s="501"/>
      <c r="M777" s="502"/>
      <c r="N777" s="855">
        <f>IFERROR(IFERROR(INDEX('Fixture and LED Schedule'!D:D,MATCH(K777,'Fixture and LED Schedule'!C:C,0),1),K777),"")</f>
        <v>0</v>
      </c>
      <c r="O777" s="858" t="str">
        <f>IFERROR(INDEX(yControl_Code,MATCH(Inventory!M777,yControlTypes,0),1),"")</f>
        <v/>
      </c>
      <c r="P777" s="860" t="str">
        <f>'Lighting Inventory (Ref only)'!AG780</f>
        <v/>
      </c>
      <c r="Q777" s="861" t="str">
        <f>'Lighting Inventory (Ref only)'!AF780</f>
        <v/>
      </c>
      <c r="R777" s="856" t="str">
        <f t="shared" si="23"/>
        <v/>
      </c>
      <c r="S777" s="856" t="str">
        <f>IFERROR(ROUND(R777*'Project Info and Summary'!$J$5/'Project Info and Summary'!$L$5,2),"")</f>
        <v/>
      </c>
    </row>
    <row r="778" spans="1:19" ht="30" customHeight="1">
      <c r="A778" s="948"/>
      <c r="B778" s="496">
        <f t="shared" si="24"/>
        <v>769</v>
      </c>
      <c r="C778" s="864"/>
      <c r="D778" s="505"/>
      <c r="E778" s="866"/>
      <c r="F778" s="498"/>
      <c r="G778" s="499"/>
      <c r="H778" s="492"/>
      <c r="I778" s="855">
        <f>IFERROR(IFERROR(INDEX('Fixture and LED Schedule'!D:D,MATCH(F778,'Fixture and LED Schedule'!C:C,""),1),F778),"")</f>
        <v>0</v>
      </c>
      <c r="J778" s="855" t="str">
        <f>IFERROR(IF(PRJ_Type="New Construction",H778,INDEX(yControl_Code,MATCH(Inventory!H778,yControlTypes,0),1)),"")</f>
        <v/>
      </c>
      <c r="K778" s="493"/>
      <c r="L778" s="501"/>
      <c r="M778" s="502"/>
      <c r="N778" s="855">
        <f>IFERROR(IFERROR(INDEX('Fixture and LED Schedule'!D:D,MATCH(K778,'Fixture and LED Schedule'!C:C,0),1),K778),"")</f>
        <v>0</v>
      </c>
      <c r="O778" s="858" t="str">
        <f>IFERROR(INDEX(yControl_Code,MATCH(Inventory!M778,yControlTypes,0),1),"")</f>
        <v/>
      </c>
      <c r="P778" s="860" t="str">
        <f>'Lighting Inventory (Ref only)'!AG781</f>
        <v/>
      </c>
      <c r="Q778" s="861" t="str">
        <f>'Lighting Inventory (Ref only)'!AF781</f>
        <v/>
      </c>
      <c r="R778" s="856" t="str">
        <f t="shared" si="23"/>
        <v/>
      </c>
      <c r="S778" s="856" t="str">
        <f>IFERROR(ROUND(R778*'Project Info and Summary'!$J$5/'Project Info and Summary'!$L$5,2),"")</f>
        <v/>
      </c>
    </row>
    <row r="779" spans="1:19" ht="30" customHeight="1">
      <c r="A779" s="948"/>
      <c r="B779" s="496">
        <f t="shared" si="24"/>
        <v>770</v>
      </c>
      <c r="C779" s="864"/>
      <c r="D779" s="505"/>
      <c r="E779" s="866"/>
      <c r="F779" s="498"/>
      <c r="G779" s="499"/>
      <c r="H779" s="492"/>
      <c r="I779" s="855">
        <f>IFERROR(IFERROR(INDEX('Fixture and LED Schedule'!D:D,MATCH(F779,'Fixture and LED Schedule'!C:C,""),1),F779),"")</f>
        <v>0</v>
      </c>
      <c r="J779" s="855" t="str">
        <f>IFERROR(IF(PRJ_Type="New Construction",H779,INDEX(yControl_Code,MATCH(Inventory!H779,yControlTypes,0),1)),"")</f>
        <v/>
      </c>
      <c r="K779" s="493"/>
      <c r="L779" s="501"/>
      <c r="M779" s="502"/>
      <c r="N779" s="855">
        <f>IFERROR(IFERROR(INDEX('Fixture and LED Schedule'!D:D,MATCH(K779,'Fixture and LED Schedule'!C:C,0),1),K779),"")</f>
        <v>0</v>
      </c>
      <c r="O779" s="858" t="str">
        <f>IFERROR(INDEX(yControl_Code,MATCH(Inventory!M779,yControlTypes,0),1),"")</f>
        <v/>
      </c>
      <c r="P779" s="860" t="str">
        <f>'Lighting Inventory (Ref only)'!AG782</f>
        <v/>
      </c>
      <c r="Q779" s="861" t="str">
        <f>'Lighting Inventory (Ref only)'!AF782</f>
        <v/>
      </c>
      <c r="R779" s="856" t="str">
        <f t="shared" ref="R779:R842" si="25">IFERROR(P779*0.02+Q779*185,"")</f>
        <v/>
      </c>
      <c r="S779" s="856" t="str">
        <f>IFERROR(ROUND(R779*'Project Info and Summary'!$J$5/'Project Info and Summary'!$L$5,2),"")</f>
        <v/>
      </c>
    </row>
    <row r="780" spans="1:19" ht="30" customHeight="1">
      <c r="A780" s="948"/>
      <c r="B780" s="496">
        <f t="shared" si="24"/>
        <v>771</v>
      </c>
      <c r="C780" s="864"/>
      <c r="D780" s="505"/>
      <c r="E780" s="866"/>
      <c r="F780" s="498"/>
      <c r="G780" s="499"/>
      <c r="H780" s="492"/>
      <c r="I780" s="855">
        <f>IFERROR(IFERROR(INDEX('Fixture and LED Schedule'!D:D,MATCH(F780,'Fixture and LED Schedule'!C:C,""),1),F780),"")</f>
        <v>0</v>
      </c>
      <c r="J780" s="855" t="str">
        <f>IFERROR(IF(PRJ_Type="New Construction",H780,INDEX(yControl_Code,MATCH(Inventory!H780,yControlTypes,0),1)),"")</f>
        <v/>
      </c>
      <c r="K780" s="493"/>
      <c r="L780" s="501"/>
      <c r="M780" s="502"/>
      <c r="N780" s="855">
        <f>IFERROR(IFERROR(INDEX('Fixture and LED Schedule'!D:D,MATCH(K780,'Fixture and LED Schedule'!C:C,0),1),K780),"")</f>
        <v>0</v>
      </c>
      <c r="O780" s="858" t="str">
        <f>IFERROR(INDEX(yControl_Code,MATCH(Inventory!M780,yControlTypes,0),1),"")</f>
        <v/>
      </c>
      <c r="P780" s="860" t="str">
        <f>'Lighting Inventory (Ref only)'!AG783</f>
        <v/>
      </c>
      <c r="Q780" s="861" t="str">
        <f>'Lighting Inventory (Ref only)'!AF783</f>
        <v/>
      </c>
      <c r="R780" s="856" t="str">
        <f t="shared" si="25"/>
        <v/>
      </c>
      <c r="S780" s="856" t="str">
        <f>IFERROR(ROUND(R780*'Project Info and Summary'!$J$5/'Project Info and Summary'!$L$5,2),"")</f>
        <v/>
      </c>
    </row>
    <row r="781" spans="1:19" ht="30" customHeight="1">
      <c r="A781" s="948"/>
      <c r="B781" s="496">
        <f t="shared" si="24"/>
        <v>772</v>
      </c>
      <c r="C781" s="864"/>
      <c r="D781" s="505"/>
      <c r="E781" s="866"/>
      <c r="F781" s="498"/>
      <c r="G781" s="499"/>
      <c r="H781" s="492"/>
      <c r="I781" s="855">
        <f>IFERROR(IFERROR(INDEX('Fixture and LED Schedule'!D:D,MATCH(F781,'Fixture and LED Schedule'!C:C,""),1),F781),"")</f>
        <v>0</v>
      </c>
      <c r="J781" s="855" t="str">
        <f>IFERROR(IF(PRJ_Type="New Construction",H781,INDEX(yControl_Code,MATCH(Inventory!H781,yControlTypes,0),1)),"")</f>
        <v/>
      </c>
      <c r="K781" s="493"/>
      <c r="L781" s="501"/>
      <c r="M781" s="502"/>
      <c r="N781" s="855">
        <f>IFERROR(IFERROR(INDEX('Fixture and LED Schedule'!D:D,MATCH(K781,'Fixture and LED Schedule'!C:C,0),1),K781),"")</f>
        <v>0</v>
      </c>
      <c r="O781" s="858" t="str">
        <f>IFERROR(INDEX(yControl_Code,MATCH(Inventory!M781,yControlTypes,0),1),"")</f>
        <v/>
      </c>
      <c r="P781" s="860" t="str">
        <f>'Lighting Inventory (Ref only)'!AG784</f>
        <v/>
      </c>
      <c r="Q781" s="861" t="str">
        <f>'Lighting Inventory (Ref only)'!AF784</f>
        <v/>
      </c>
      <c r="R781" s="856" t="str">
        <f t="shared" si="25"/>
        <v/>
      </c>
      <c r="S781" s="856" t="str">
        <f>IFERROR(ROUND(R781*'Project Info and Summary'!$J$5/'Project Info and Summary'!$L$5,2),"")</f>
        <v/>
      </c>
    </row>
    <row r="782" spans="1:19" ht="30" customHeight="1">
      <c r="A782" s="948"/>
      <c r="B782" s="496">
        <f t="shared" si="24"/>
        <v>773</v>
      </c>
      <c r="C782" s="864"/>
      <c r="D782" s="505"/>
      <c r="E782" s="866"/>
      <c r="F782" s="498"/>
      <c r="G782" s="499"/>
      <c r="H782" s="492"/>
      <c r="I782" s="855">
        <f>IFERROR(IFERROR(INDEX('Fixture and LED Schedule'!D:D,MATCH(F782,'Fixture and LED Schedule'!C:C,""),1),F782),"")</f>
        <v>0</v>
      </c>
      <c r="J782" s="855" t="str">
        <f>IFERROR(IF(PRJ_Type="New Construction",H782,INDEX(yControl_Code,MATCH(Inventory!H782,yControlTypes,0),1)),"")</f>
        <v/>
      </c>
      <c r="K782" s="493"/>
      <c r="L782" s="501"/>
      <c r="M782" s="502"/>
      <c r="N782" s="855">
        <f>IFERROR(IFERROR(INDEX('Fixture and LED Schedule'!D:D,MATCH(K782,'Fixture and LED Schedule'!C:C,0),1),K782),"")</f>
        <v>0</v>
      </c>
      <c r="O782" s="858" t="str">
        <f>IFERROR(INDEX(yControl_Code,MATCH(Inventory!M782,yControlTypes,0),1),"")</f>
        <v/>
      </c>
      <c r="P782" s="860" t="str">
        <f>'Lighting Inventory (Ref only)'!AG785</f>
        <v/>
      </c>
      <c r="Q782" s="861" t="str">
        <f>'Lighting Inventory (Ref only)'!AF785</f>
        <v/>
      </c>
      <c r="R782" s="856" t="str">
        <f t="shared" si="25"/>
        <v/>
      </c>
      <c r="S782" s="856" t="str">
        <f>IFERROR(ROUND(R782*'Project Info and Summary'!$J$5/'Project Info and Summary'!$L$5,2),"")</f>
        <v/>
      </c>
    </row>
    <row r="783" spans="1:19" ht="30" customHeight="1">
      <c r="A783" s="948"/>
      <c r="B783" s="496">
        <f t="shared" si="24"/>
        <v>774</v>
      </c>
      <c r="C783" s="864"/>
      <c r="D783" s="505"/>
      <c r="E783" s="866"/>
      <c r="F783" s="498"/>
      <c r="G783" s="499"/>
      <c r="H783" s="492"/>
      <c r="I783" s="855">
        <f>IFERROR(IFERROR(INDEX('Fixture and LED Schedule'!D:D,MATCH(F783,'Fixture and LED Schedule'!C:C,""),1),F783),"")</f>
        <v>0</v>
      </c>
      <c r="J783" s="855" t="str">
        <f>IFERROR(IF(PRJ_Type="New Construction",H783,INDEX(yControl_Code,MATCH(Inventory!H783,yControlTypes,0),1)),"")</f>
        <v/>
      </c>
      <c r="K783" s="493"/>
      <c r="L783" s="501"/>
      <c r="M783" s="502"/>
      <c r="N783" s="855">
        <f>IFERROR(IFERROR(INDEX('Fixture and LED Schedule'!D:D,MATCH(K783,'Fixture and LED Schedule'!C:C,0),1),K783),"")</f>
        <v>0</v>
      </c>
      <c r="O783" s="858" t="str">
        <f>IFERROR(INDEX(yControl_Code,MATCH(Inventory!M783,yControlTypes,0),1),"")</f>
        <v/>
      </c>
      <c r="P783" s="860" t="str">
        <f>'Lighting Inventory (Ref only)'!AG786</f>
        <v/>
      </c>
      <c r="Q783" s="861" t="str">
        <f>'Lighting Inventory (Ref only)'!AF786</f>
        <v/>
      </c>
      <c r="R783" s="856" t="str">
        <f t="shared" si="25"/>
        <v/>
      </c>
      <c r="S783" s="856" t="str">
        <f>IFERROR(ROUND(R783*'Project Info and Summary'!$J$5/'Project Info and Summary'!$L$5,2),"")</f>
        <v/>
      </c>
    </row>
    <row r="784" spans="1:19" ht="30" customHeight="1">
      <c r="A784" s="948"/>
      <c r="B784" s="496">
        <f t="shared" si="24"/>
        <v>775</v>
      </c>
      <c r="C784" s="864"/>
      <c r="D784" s="505"/>
      <c r="E784" s="866"/>
      <c r="F784" s="498"/>
      <c r="G784" s="499"/>
      <c r="H784" s="492"/>
      <c r="I784" s="855">
        <f>IFERROR(IFERROR(INDEX('Fixture and LED Schedule'!D:D,MATCH(F784,'Fixture and LED Schedule'!C:C,""),1),F784),"")</f>
        <v>0</v>
      </c>
      <c r="J784" s="855" t="str">
        <f>IFERROR(IF(PRJ_Type="New Construction",H784,INDEX(yControl_Code,MATCH(Inventory!H784,yControlTypes,0),1)),"")</f>
        <v/>
      </c>
      <c r="K784" s="493"/>
      <c r="L784" s="501"/>
      <c r="M784" s="502"/>
      <c r="N784" s="855">
        <f>IFERROR(IFERROR(INDEX('Fixture and LED Schedule'!D:D,MATCH(K784,'Fixture and LED Schedule'!C:C,0),1),K784),"")</f>
        <v>0</v>
      </c>
      <c r="O784" s="858" t="str">
        <f>IFERROR(INDEX(yControl_Code,MATCH(Inventory!M784,yControlTypes,0),1),"")</f>
        <v/>
      </c>
      <c r="P784" s="860" t="str">
        <f>'Lighting Inventory (Ref only)'!AG787</f>
        <v/>
      </c>
      <c r="Q784" s="861" t="str">
        <f>'Lighting Inventory (Ref only)'!AF787</f>
        <v/>
      </c>
      <c r="R784" s="856" t="str">
        <f t="shared" si="25"/>
        <v/>
      </c>
      <c r="S784" s="856" t="str">
        <f>IFERROR(ROUND(R784*'Project Info and Summary'!$J$5/'Project Info and Summary'!$L$5,2),"")</f>
        <v/>
      </c>
    </row>
    <row r="785" spans="1:19" ht="30" customHeight="1">
      <c r="A785" s="948"/>
      <c r="B785" s="496">
        <f t="shared" si="24"/>
        <v>776</v>
      </c>
      <c r="C785" s="864"/>
      <c r="D785" s="505"/>
      <c r="E785" s="866"/>
      <c r="F785" s="498"/>
      <c r="G785" s="499"/>
      <c r="H785" s="492"/>
      <c r="I785" s="855">
        <f>IFERROR(IFERROR(INDEX('Fixture and LED Schedule'!D:D,MATCH(F785,'Fixture and LED Schedule'!C:C,""),1),F785),"")</f>
        <v>0</v>
      </c>
      <c r="J785" s="855" t="str">
        <f>IFERROR(IF(PRJ_Type="New Construction",H785,INDEX(yControl_Code,MATCH(Inventory!H785,yControlTypes,0),1)),"")</f>
        <v/>
      </c>
      <c r="K785" s="493"/>
      <c r="L785" s="501"/>
      <c r="M785" s="502"/>
      <c r="N785" s="855">
        <f>IFERROR(IFERROR(INDEX('Fixture and LED Schedule'!D:D,MATCH(K785,'Fixture and LED Schedule'!C:C,0),1),K785),"")</f>
        <v>0</v>
      </c>
      <c r="O785" s="858" t="str">
        <f>IFERROR(INDEX(yControl_Code,MATCH(Inventory!M785,yControlTypes,0),1),"")</f>
        <v/>
      </c>
      <c r="P785" s="860" t="str">
        <f>'Lighting Inventory (Ref only)'!AG788</f>
        <v/>
      </c>
      <c r="Q785" s="861" t="str">
        <f>'Lighting Inventory (Ref only)'!AF788</f>
        <v/>
      </c>
      <c r="R785" s="856" t="str">
        <f t="shared" si="25"/>
        <v/>
      </c>
      <c r="S785" s="856" t="str">
        <f>IFERROR(ROUND(R785*'Project Info and Summary'!$J$5/'Project Info and Summary'!$L$5,2),"")</f>
        <v/>
      </c>
    </row>
    <row r="786" spans="1:19" ht="30" customHeight="1">
      <c r="A786" s="948"/>
      <c r="B786" s="496">
        <f t="shared" si="24"/>
        <v>777</v>
      </c>
      <c r="C786" s="864"/>
      <c r="D786" s="505"/>
      <c r="E786" s="866"/>
      <c r="F786" s="498"/>
      <c r="G786" s="499"/>
      <c r="H786" s="492"/>
      <c r="I786" s="855">
        <f>IFERROR(IFERROR(INDEX('Fixture and LED Schedule'!D:D,MATCH(F786,'Fixture and LED Schedule'!C:C,""),1),F786),"")</f>
        <v>0</v>
      </c>
      <c r="J786" s="855" t="str">
        <f>IFERROR(IF(PRJ_Type="New Construction",H786,INDEX(yControl_Code,MATCH(Inventory!H786,yControlTypes,0),1)),"")</f>
        <v/>
      </c>
      <c r="K786" s="493"/>
      <c r="L786" s="501"/>
      <c r="M786" s="502"/>
      <c r="N786" s="855">
        <f>IFERROR(IFERROR(INDEX('Fixture and LED Schedule'!D:D,MATCH(K786,'Fixture and LED Schedule'!C:C,0),1),K786),"")</f>
        <v>0</v>
      </c>
      <c r="O786" s="858" t="str">
        <f>IFERROR(INDEX(yControl_Code,MATCH(Inventory!M786,yControlTypes,0),1),"")</f>
        <v/>
      </c>
      <c r="P786" s="860" t="str">
        <f>'Lighting Inventory (Ref only)'!AG789</f>
        <v/>
      </c>
      <c r="Q786" s="861" t="str">
        <f>'Lighting Inventory (Ref only)'!AF789</f>
        <v/>
      </c>
      <c r="R786" s="856" t="str">
        <f t="shared" si="25"/>
        <v/>
      </c>
      <c r="S786" s="856" t="str">
        <f>IFERROR(ROUND(R786*'Project Info and Summary'!$J$5/'Project Info and Summary'!$L$5,2),"")</f>
        <v/>
      </c>
    </row>
    <row r="787" spans="1:19" ht="30" customHeight="1">
      <c r="A787" s="948"/>
      <c r="B787" s="496">
        <f t="shared" si="24"/>
        <v>778</v>
      </c>
      <c r="C787" s="864"/>
      <c r="D787" s="505"/>
      <c r="E787" s="866"/>
      <c r="F787" s="498"/>
      <c r="G787" s="499"/>
      <c r="H787" s="492"/>
      <c r="I787" s="855">
        <f>IFERROR(IFERROR(INDEX('Fixture and LED Schedule'!D:D,MATCH(F787,'Fixture and LED Schedule'!C:C,""),1),F787),"")</f>
        <v>0</v>
      </c>
      <c r="J787" s="855" t="str">
        <f>IFERROR(IF(PRJ_Type="New Construction",H787,INDEX(yControl_Code,MATCH(Inventory!H787,yControlTypes,0),1)),"")</f>
        <v/>
      </c>
      <c r="K787" s="493"/>
      <c r="L787" s="501"/>
      <c r="M787" s="502"/>
      <c r="N787" s="855">
        <f>IFERROR(IFERROR(INDEX('Fixture and LED Schedule'!D:D,MATCH(K787,'Fixture and LED Schedule'!C:C,0),1),K787),"")</f>
        <v>0</v>
      </c>
      <c r="O787" s="858" t="str">
        <f>IFERROR(INDEX(yControl_Code,MATCH(Inventory!M787,yControlTypes,0),1),"")</f>
        <v/>
      </c>
      <c r="P787" s="860" t="str">
        <f>'Lighting Inventory (Ref only)'!AG790</f>
        <v/>
      </c>
      <c r="Q787" s="861" t="str">
        <f>'Lighting Inventory (Ref only)'!AF790</f>
        <v/>
      </c>
      <c r="R787" s="856" t="str">
        <f t="shared" si="25"/>
        <v/>
      </c>
      <c r="S787" s="856" t="str">
        <f>IFERROR(ROUND(R787*'Project Info and Summary'!$J$5/'Project Info and Summary'!$L$5,2),"")</f>
        <v/>
      </c>
    </row>
    <row r="788" spans="1:19" ht="30" customHeight="1">
      <c r="A788" s="948"/>
      <c r="B788" s="496">
        <f t="shared" si="24"/>
        <v>779</v>
      </c>
      <c r="C788" s="864"/>
      <c r="D788" s="505"/>
      <c r="E788" s="866"/>
      <c r="F788" s="498"/>
      <c r="G788" s="499"/>
      <c r="H788" s="492"/>
      <c r="I788" s="855">
        <f>IFERROR(IFERROR(INDEX('Fixture and LED Schedule'!D:D,MATCH(F788,'Fixture and LED Schedule'!C:C,""),1),F788),"")</f>
        <v>0</v>
      </c>
      <c r="J788" s="855" t="str">
        <f>IFERROR(IF(PRJ_Type="New Construction",H788,INDEX(yControl_Code,MATCH(Inventory!H788,yControlTypes,0),1)),"")</f>
        <v/>
      </c>
      <c r="K788" s="493"/>
      <c r="L788" s="501"/>
      <c r="M788" s="502"/>
      <c r="N788" s="855">
        <f>IFERROR(IFERROR(INDEX('Fixture and LED Schedule'!D:D,MATCH(K788,'Fixture and LED Schedule'!C:C,0),1),K788),"")</f>
        <v>0</v>
      </c>
      <c r="O788" s="858" t="str">
        <f>IFERROR(INDEX(yControl_Code,MATCH(Inventory!M788,yControlTypes,0),1),"")</f>
        <v/>
      </c>
      <c r="P788" s="860" t="str">
        <f>'Lighting Inventory (Ref only)'!AG791</f>
        <v/>
      </c>
      <c r="Q788" s="861" t="str">
        <f>'Lighting Inventory (Ref only)'!AF791</f>
        <v/>
      </c>
      <c r="R788" s="856" t="str">
        <f t="shared" si="25"/>
        <v/>
      </c>
      <c r="S788" s="856" t="str">
        <f>IFERROR(ROUND(R788*'Project Info and Summary'!$J$5/'Project Info and Summary'!$L$5,2),"")</f>
        <v/>
      </c>
    </row>
    <row r="789" spans="1:19" ht="30" customHeight="1">
      <c r="A789" s="948"/>
      <c r="B789" s="496">
        <f t="shared" si="24"/>
        <v>780</v>
      </c>
      <c r="C789" s="864"/>
      <c r="D789" s="505"/>
      <c r="E789" s="866"/>
      <c r="F789" s="498"/>
      <c r="G789" s="499"/>
      <c r="H789" s="492"/>
      <c r="I789" s="855">
        <f>IFERROR(IFERROR(INDEX('Fixture and LED Schedule'!D:D,MATCH(F789,'Fixture and LED Schedule'!C:C,""),1),F789),"")</f>
        <v>0</v>
      </c>
      <c r="J789" s="855" t="str">
        <f>IFERROR(IF(PRJ_Type="New Construction",H789,INDEX(yControl_Code,MATCH(Inventory!H789,yControlTypes,0),1)),"")</f>
        <v/>
      </c>
      <c r="K789" s="493"/>
      <c r="L789" s="501"/>
      <c r="M789" s="502"/>
      <c r="N789" s="855">
        <f>IFERROR(IFERROR(INDEX('Fixture and LED Schedule'!D:D,MATCH(K789,'Fixture and LED Schedule'!C:C,0),1),K789),"")</f>
        <v>0</v>
      </c>
      <c r="O789" s="858" t="str">
        <f>IFERROR(INDEX(yControl_Code,MATCH(Inventory!M789,yControlTypes,0),1),"")</f>
        <v/>
      </c>
      <c r="P789" s="860" t="str">
        <f>'Lighting Inventory (Ref only)'!AG792</f>
        <v/>
      </c>
      <c r="Q789" s="861" t="str">
        <f>'Lighting Inventory (Ref only)'!AF792</f>
        <v/>
      </c>
      <c r="R789" s="856" t="str">
        <f t="shared" si="25"/>
        <v/>
      </c>
      <c r="S789" s="856" t="str">
        <f>IFERROR(ROUND(R789*'Project Info and Summary'!$J$5/'Project Info and Summary'!$L$5,2),"")</f>
        <v/>
      </c>
    </row>
    <row r="790" spans="1:19" ht="30" customHeight="1">
      <c r="A790" s="948"/>
      <c r="B790" s="496">
        <f t="shared" si="24"/>
        <v>781</v>
      </c>
      <c r="C790" s="864"/>
      <c r="D790" s="505"/>
      <c r="E790" s="866"/>
      <c r="F790" s="498"/>
      <c r="G790" s="499"/>
      <c r="H790" s="492"/>
      <c r="I790" s="855">
        <f>IFERROR(IFERROR(INDEX('Fixture and LED Schedule'!D:D,MATCH(F790,'Fixture and LED Schedule'!C:C,""),1),F790),"")</f>
        <v>0</v>
      </c>
      <c r="J790" s="855" t="str">
        <f>IFERROR(IF(PRJ_Type="New Construction",H790,INDEX(yControl_Code,MATCH(Inventory!H790,yControlTypes,0),1)),"")</f>
        <v/>
      </c>
      <c r="K790" s="493"/>
      <c r="L790" s="501"/>
      <c r="M790" s="502"/>
      <c r="N790" s="855">
        <f>IFERROR(IFERROR(INDEX('Fixture and LED Schedule'!D:D,MATCH(K790,'Fixture and LED Schedule'!C:C,0),1),K790),"")</f>
        <v>0</v>
      </c>
      <c r="O790" s="858" t="str">
        <f>IFERROR(INDEX(yControl_Code,MATCH(Inventory!M790,yControlTypes,0),1),"")</f>
        <v/>
      </c>
      <c r="P790" s="860" t="str">
        <f>'Lighting Inventory (Ref only)'!AG793</f>
        <v/>
      </c>
      <c r="Q790" s="861" t="str">
        <f>'Lighting Inventory (Ref only)'!AF793</f>
        <v/>
      </c>
      <c r="R790" s="856" t="str">
        <f t="shared" si="25"/>
        <v/>
      </c>
      <c r="S790" s="856" t="str">
        <f>IFERROR(ROUND(R790*'Project Info and Summary'!$J$5/'Project Info and Summary'!$L$5,2),"")</f>
        <v/>
      </c>
    </row>
    <row r="791" spans="1:19" ht="30" customHeight="1">
      <c r="A791" s="948"/>
      <c r="B791" s="496">
        <f t="shared" si="24"/>
        <v>782</v>
      </c>
      <c r="C791" s="864"/>
      <c r="D791" s="505"/>
      <c r="E791" s="866"/>
      <c r="F791" s="498"/>
      <c r="G791" s="499"/>
      <c r="H791" s="492"/>
      <c r="I791" s="855">
        <f>IFERROR(IFERROR(INDEX('Fixture and LED Schedule'!D:D,MATCH(F791,'Fixture and LED Schedule'!C:C,""),1),F791),"")</f>
        <v>0</v>
      </c>
      <c r="J791" s="855" t="str">
        <f>IFERROR(IF(PRJ_Type="New Construction",H791,INDEX(yControl_Code,MATCH(Inventory!H791,yControlTypes,0),1)),"")</f>
        <v/>
      </c>
      <c r="K791" s="493"/>
      <c r="L791" s="501"/>
      <c r="M791" s="502"/>
      <c r="N791" s="855">
        <f>IFERROR(IFERROR(INDEX('Fixture and LED Schedule'!D:D,MATCH(K791,'Fixture and LED Schedule'!C:C,0),1),K791),"")</f>
        <v>0</v>
      </c>
      <c r="O791" s="858" t="str">
        <f>IFERROR(INDEX(yControl_Code,MATCH(Inventory!M791,yControlTypes,0),1),"")</f>
        <v/>
      </c>
      <c r="P791" s="860" t="str">
        <f>'Lighting Inventory (Ref only)'!AG794</f>
        <v/>
      </c>
      <c r="Q791" s="861" t="str">
        <f>'Lighting Inventory (Ref only)'!AF794</f>
        <v/>
      </c>
      <c r="R791" s="856" t="str">
        <f t="shared" si="25"/>
        <v/>
      </c>
      <c r="S791" s="856" t="str">
        <f>IFERROR(ROUND(R791*'Project Info and Summary'!$J$5/'Project Info and Summary'!$L$5,2),"")</f>
        <v/>
      </c>
    </row>
    <row r="792" spans="1:19" ht="30" customHeight="1">
      <c r="A792" s="948"/>
      <c r="B792" s="496">
        <f t="shared" si="24"/>
        <v>783</v>
      </c>
      <c r="C792" s="864"/>
      <c r="D792" s="505"/>
      <c r="E792" s="866"/>
      <c r="F792" s="498"/>
      <c r="G792" s="499"/>
      <c r="H792" s="492"/>
      <c r="I792" s="855">
        <f>IFERROR(IFERROR(INDEX('Fixture and LED Schedule'!D:D,MATCH(F792,'Fixture and LED Schedule'!C:C,""),1),F792),"")</f>
        <v>0</v>
      </c>
      <c r="J792" s="855" t="str">
        <f>IFERROR(IF(PRJ_Type="New Construction",H792,INDEX(yControl_Code,MATCH(Inventory!H792,yControlTypes,0),1)),"")</f>
        <v/>
      </c>
      <c r="K792" s="493"/>
      <c r="L792" s="501"/>
      <c r="M792" s="502"/>
      <c r="N792" s="855">
        <f>IFERROR(IFERROR(INDEX('Fixture and LED Schedule'!D:D,MATCH(K792,'Fixture and LED Schedule'!C:C,0),1),K792),"")</f>
        <v>0</v>
      </c>
      <c r="O792" s="858" t="str">
        <f>IFERROR(INDEX(yControl_Code,MATCH(Inventory!M792,yControlTypes,0),1),"")</f>
        <v/>
      </c>
      <c r="P792" s="860" t="str">
        <f>'Lighting Inventory (Ref only)'!AG795</f>
        <v/>
      </c>
      <c r="Q792" s="861" t="str">
        <f>'Lighting Inventory (Ref only)'!AF795</f>
        <v/>
      </c>
      <c r="R792" s="856" t="str">
        <f t="shared" si="25"/>
        <v/>
      </c>
      <c r="S792" s="856" t="str">
        <f>IFERROR(ROUND(R792*'Project Info and Summary'!$J$5/'Project Info and Summary'!$L$5,2),"")</f>
        <v/>
      </c>
    </row>
    <row r="793" spans="1:19" ht="30" customHeight="1">
      <c r="A793" s="948"/>
      <c r="B793" s="496">
        <f t="shared" si="24"/>
        <v>784</v>
      </c>
      <c r="C793" s="864"/>
      <c r="D793" s="505"/>
      <c r="E793" s="866"/>
      <c r="F793" s="498"/>
      <c r="G793" s="499"/>
      <c r="H793" s="492"/>
      <c r="I793" s="855">
        <f>IFERROR(IFERROR(INDEX('Fixture and LED Schedule'!D:D,MATCH(F793,'Fixture and LED Schedule'!C:C,""),1),F793),"")</f>
        <v>0</v>
      </c>
      <c r="J793" s="855" t="str">
        <f>IFERROR(IF(PRJ_Type="New Construction",H793,INDEX(yControl_Code,MATCH(Inventory!H793,yControlTypes,0),1)),"")</f>
        <v/>
      </c>
      <c r="K793" s="493"/>
      <c r="L793" s="501"/>
      <c r="M793" s="502"/>
      <c r="N793" s="855">
        <f>IFERROR(IFERROR(INDEX('Fixture and LED Schedule'!D:D,MATCH(K793,'Fixture and LED Schedule'!C:C,0),1),K793),"")</f>
        <v>0</v>
      </c>
      <c r="O793" s="858" t="str">
        <f>IFERROR(INDEX(yControl_Code,MATCH(Inventory!M793,yControlTypes,0),1),"")</f>
        <v/>
      </c>
      <c r="P793" s="860" t="str">
        <f>'Lighting Inventory (Ref only)'!AG796</f>
        <v/>
      </c>
      <c r="Q793" s="861" t="str">
        <f>'Lighting Inventory (Ref only)'!AF796</f>
        <v/>
      </c>
      <c r="R793" s="856" t="str">
        <f t="shared" si="25"/>
        <v/>
      </c>
      <c r="S793" s="856" t="str">
        <f>IFERROR(ROUND(R793*'Project Info and Summary'!$J$5/'Project Info and Summary'!$L$5,2),"")</f>
        <v/>
      </c>
    </row>
    <row r="794" spans="1:19" ht="30" customHeight="1">
      <c r="A794" s="948"/>
      <c r="B794" s="496">
        <f t="shared" si="24"/>
        <v>785</v>
      </c>
      <c r="C794" s="864"/>
      <c r="D794" s="505"/>
      <c r="E794" s="866"/>
      <c r="F794" s="498"/>
      <c r="G794" s="499"/>
      <c r="H794" s="492"/>
      <c r="I794" s="855">
        <f>IFERROR(IFERROR(INDEX('Fixture and LED Schedule'!D:D,MATCH(F794,'Fixture and LED Schedule'!C:C,""),1),F794),"")</f>
        <v>0</v>
      </c>
      <c r="J794" s="855" t="str">
        <f>IFERROR(IF(PRJ_Type="New Construction",H794,INDEX(yControl_Code,MATCH(Inventory!H794,yControlTypes,0),1)),"")</f>
        <v/>
      </c>
      <c r="K794" s="493"/>
      <c r="L794" s="501"/>
      <c r="M794" s="502"/>
      <c r="N794" s="855">
        <f>IFERROR(IFERROR(INDEX('Fixture and LED Schedule'!D:D,MATCH(K794,'Fixture and LED Schedule'!C:C,0),1),K794),"")</f>
        <v>0</v>
      </c>
      <c r="O794" s="858" t="str">
        <f>IFERROR(INDEX(yControl_Code,MATCH(Inventory!M794,yControlTypes,0),1),"")</f>
        <v/>
      </c>
      <c r="P794" s="860" t="str">
        <f>'Lighting Inventory (Ref only)'!AG797</f>
        <v/>
      </c>
      <c r="Q794" s="861" t="str">
        <f>'Lighting Inventory (Ref only)'!AF797</f>
        <v/>
      </c>
      <c r="R794" s="856" t="str">
        <f t="shared" si="25"/>
        <v/>
      </c>
      <c r="S794" s="856" t="str">
        <f>IFERROR(ROUND(R794*'Project Info and Summary'!$J$5/'Project Info and Summary'!$L$5,2),"")</f>
        <v/>
      </c>
    </row>
    <row r="795" spans="1:19" ht="30" customHeight="1">
      <c r="A795" s="948"/>
      <c r="B795" s="496">
        <f t="shared" si="24"/>
        <v>786</v>
      </c>
      <c r="C795" s="864"/>
      <c r="D795" s="505"/>
      <c r="E795" s="866"/>
      <c r="F795" s="498"/>
      <c r="G795" s="499"/>
      <c r="H795" s="492"/>
      <c r="I795" s="855">
        <f>IFERROR(IFERROR(INDEX('Fixture and LED Schedule'!D:D,MATCH(F795,'Fixture and LED Schedule'!C:C,""),1),F795),"")</f>
        <v>0</v>
      </c>
      <c r="J795" s="855" t="str">
        <f>IFERROR(IF(PRJ_Type="New Construction",H795,INDEX(yControl_Code,MATCH(Inventory!H795,yControlTypes,0),1)),"")</f>
        <v/>
      </c>
      <c r="K795" s="493"/>
      <c r="L795" s="501"/>
      <c r="M795" s="502"/>
      <c r="N795" s="855">
        <f>IFERROR(IFERROR(INDEX('Fixture and LED Schedule'!D:D,MATCH(K795,'Fixture and LED Schedule'!C:C,0),1),K795),"")</f>
        <v>0</v>
      </c>
      <c r="O795" s="858" t="str">
        <f>IFERROR(INDEX(yControl_Code,MATCH(Inventory!M795,yControlTypes,0),1),"")</f>
        <v/>
      </c>
      <c r="P795" s="860" t="str">
        <f>'Lighting Inventory (Ref only)'!AG798</f>
        <v/>
      </c>
      <c r="Q795" s="861" t="str">
        <f>'Lighting Inventory (Ref only)'!AF798</f>
        <v/>
      </c>
      <c r="R795" s="856" t="str">
        <f t="shared" si="25"/>
        <v/>
      </c>
      <c r="S795" s="856" t="str">
        <f>IFERROR(ROUND(R795*'Project Info and Summary'!$J$5/'Project Info and Summary'!$L$5,2),"")</f>
        <v/>
      </c>
    </row>
    <row r="796" spans="1:19" ht="30" customHeight="1">
      <c r="A796" s="948"/>
      <c r="B796" s="496">
        <f t="shared" si="24"/>
        <v>787</v>
      </c>
      <c r="C796" s="864"/>
      <c r="D796" s="505"/>
      <c r="E796" s="866"/>
      <c r="F796" s="498"/>
      <c r="G796" s="499"/>
      <c r="H796" s="492"/>
      <c r="I796" s="855">
        <f>IFERROR(IFERROR(INDEX('Fixture and LED Schedule'!D:D,MATCH(F796,'Fixture and LED Schedule'!C:C,""),1),F796),"")</f>
        <v>0</v>
      </c>
      <c r="J796" s="855" t="str">
        <f>IFERROR(IF(PRJ_Type="New Construction",H796,INDEX(yControl_Code,MATCH(Inventory!H796,yControlTypes,0),1)),"")</f>
        <v/>
      </c>
      <c r="K796" s="493"/>
      <c r="L796" s="501"/>
      <c r="M796" s="502"/>
      <c r="N796" s="855">
        <f>IFERROR(IFERROR(INDEX('Fixture and LED Schedule'!D:D,MATCH(K796,'Fixture and LED Schedule'!C:C,0),1),K796),"")</f>
        <v>0</v>
      </c>
      <c r="O796" s="858" t="str">
        <f>IFERROR(INDEX(yControl_Code,MATCH(Inventory!M796,yControlTypes,0),1),"")</f>
        <v/>
      </c>
      <c r="P796" s="860" t="str">
        <f>'Lighting Inventory (Ref only)'!AG799</f>
        <v/>
      </c>
      <c r="Q796" s="861" t="str">
        <f>'Lighting Inventory (Ref only)'!AF799</f>
        <v/>
      </c>
      <c r="R796" s="856" t="str">
        <f t="shared" si="25"/>
        <v/>
      </c>
      <c r="S796" s="856" t="str">
        <f>IFERROR(ROUND(R796*'Project Info and Summary'!$J$5/'Project Info and Summary'!$L$5,2),"")</f>
        <v/>
      </c>
    </row>
    <row r="797" spans="1:19" ht="30" customHeight="1">
      <c r="A797" s="948"/>
      <c r="B797" s="496">
        <f t="shared" si="24"/>
        <v>788</v>
      </c>
      <c r="C797" s="864"/>
      <c r="D797" s="505"/>
      <c r="E797" s="866"/>
      <c r="F797" s="498"/>
      <c r="G797" s="499"/>
      <c r="H797" s="492"/>
      <c r="I797" s="855">
        <f>IFERROR(IFERROR(INDEX('Fixture and LED Schedule'!D:D,MATCH(F797,'Fixture and LED Schedule'!C:C,""),1),F797),"")</f>
        <v>0</v>
      </c>
      <c r="J797" s="855" t="str">
        <f>IFERROR(IF(PRJ_Type="New Construction",H797,INDEX(yControl_Code,MATCH(Inventory!H797,yControlTypes,0),1)),"")</f>
        <v/>
      </c>
      <c r="K797" s="493"/>
      <c r="L797" s="501"/>
      <c r="M797" s="502"/>
      <c r="N797" s="855">
        <f>IFERROR(IFERROR(INDEX('Fixture and LED Schedule'!D:D,MATCH(K797,'Fixture and LED Schedule'!C:C,0),1),K797),"")</f>
        <v>0</v>
      </c>
      <c r="O797" s="858" t="str">
        <f>IFERROR(INDEX(yControl_Code,MATCH(Inventory!M797,yControlTypes,0),1),"")</f>
        <v/>
      </c>
      <c r="P797" s="860" t="str">
        <f>'Lighting Inventory (Ref only)'!AG800</f>
        <v/>
      </c>
      <c r="Q797" s="861" t="str">
        <f>'Lighting Inventory (Ref only)'!AF800</f>
        <v/>
      </c>
      <c r="R797" s="856" t="str">
        <f t="shared" si="25"/>
        <v/>
      </c>
      <c r="S797" s="856" t="str">
        <f>IFERROR(ROUND(R797*'Project Info and Summary'!$J$5/'Project Info and Summary'!$L$5,2),"")</f>
        <v/>
      </c>
    </row>
    <row r="798" spans="1:19" ht="30" customHeight="1">
      <c r="A798" s="948"/>
      <c r="B798" s="496">
        <f t="shared" si="24"/>
        <v>789</v>
      </c>
      <c r="C798" s="864"/>
      <c r="D798" s="505"/>
      <c r="E798" s="866"/>
      <c r="F798" s="498"/>
      <c r="G798" s="499"/>
      <c r="H798" s="492"/>
      <c r="I798" s="855">
        <f>IFERROR(IFERROR(INDEX('Fixture and LED Schedule'!D:D,MATCH(F798,'Fixture and LED Schedule'!C:C,""),1),F798),"")</f>
        <v>0</v>
      </c>
      <c r="J798" s="855" t="str">
        <f>IFERROR(IF(PRJ_Type="New Construction",H798,INDEX(yControl_Code,MATCH(Inventory!H798,yControlTypes,0),1)),"")</f>
        <v/>
      </c>
      <c r="K798" s="493"/>
      <c r="L798" s="501"/>
      <c r="M798" s="502"/>
      <c r="N798" s="855">
        <f>IFERROR(IFERROR(INDEX('Fixture and LED Schedule'!D:D,MATCH(K798,'Fixture and LED Schedule'!C:C,0),1),K798),"")</f>
        <v>0</v>
      </c>
      <c r="O798" s="858" t="str">
        <f>IFERROR(INDEX(yControl_Code,MATCH(Inventory!M798,yControlTypes,0),1),"")</f>
        <v/>
      </c>
      <c r="P798" s="860" t="str">
        <f>'Lighting Inventory (Ref only)'!AG801</f>
        <v/>
      </c>
      <c r="Q798" s="861" t="str">
        <f>'Lighting Inventory (Ref only)'!AF801</f>
        <v/>
      </c>
      <c r="R798" s="856" t="str">
        <f t="shared" si="25"/>
        <v/>
      </c>
      <c r="S798" s="856" t="str">
        <f>IFERROR(ROUND(R798*'Project Info and Summary'!$J$5/'Project Info and Summary'!$L$5,2),"")</f>
        <v/>
      </c>
    </row>
    <row r="799" spans="1:19" ht="30" customHeight="1">
      <c r="A799" s="948"/>
      <c r="B799" s="496">
        <f t="shared" si="24"/>
        <v>790</v>
      </c>
      <c r="C799" s="864"/>
      <c r="D799" s="505"/>
      <c r="E799" s="866"/>
      <c r="F799" s="498"/>
      <c r="G799" s="499"/>
      <c r="H799" s="492"/>
      <c r="I799" s="855">
        <f>IFERROR(IFERROR(INDEX('Fixture and LED Schedule'!D:D,MATCH(F799,'Fixture and LED Schedule'!C:C,""),1),F799),"")</f>
        <v>0</v>
      </c>
      <c r="J799" s="855" t="str">
        <f>IFERROR(IF(PRJ_Type="New Construction",H799,INDEX(yControl_Code,MATCH(Inventory!H799,yControlTypes,0),1)),"")</f>
        <v/>
      </c>
      <c r="K799" s="493"/>
      <c r="L799" s="501"/>
      <c r="M799" s="502"/>
      <c r="N799" s="855">
        <f>IFERROR(IFERROR(INDEX('Fixture and LED Schedule'!D:D,MATCH(K799,'Fixture and LED Schedule'!C:C,0),1),K799),"")</f>
        <v>0</v>
      </c>
      <c r="O799" s="858" t="str">
        <f>IFERROR(INDEX(yControl_Code,MATCH(Inventory!M799,yControlTypes,0),1),"")</f>
        <v/>
      </c>
      <c r="P799" s="860" t="str">
        <f>'Lighting Inventory (Ref only)'!AG802</f>
        <v/>
      </c>
      <c r="Q799" s="861" t="str">
        <f>'Lighting Inventory (Ref only)'!AF802</f>
        <v/>
      </c>
      <c r="R799" s="856" t="str">
        <f t="shared" si="25"/>
        <v/>
      </c>
      <c r="S799" s="856" t="str">
        <f>IFERROR(ROUND(R799*'Project Info and Summary'!$J$5/'Project Info and Summary'!$L$5,2),"")</f>
        <v/>
      </c>
    </row>
    <row r="800" spans="1:19" ht="30" customHeight="1">
      <c r="A800" s="948"/>
      <c r="B800" s="496">
        <f t="shared" si="24"/>
        <v>791</v>
      </c>
      <c r="C800" s="864"/>
      <c r="D800" s="505"/>
      <c r="E800" s="866"/>
      <c r="F800" s="498"/>
      <c r="G800" s="499"/>
      <c r="H800" s="492"/>
      <c r="I800" s="855">
        <f>IFERROR(IFERROR(INDEX('Fixture and LED Schedule'!D:D,MATCH(F800,'Fixture and LED Schedule'!C:C,""),1),F800),"")</f>
        <v>0</v>
      </c>
      <c r="J800" s="855" t="str">
        <f>IFERROR(IF(PRJ_Type="New Construction",H800,INDEX(yControl_Code,MATCH(Inventory!H800,yControlTypes,0),1)),"")</f>
        <v/>
      </c>
      <c r="K800" s="493"/>
      <c r="L800" s="501"/>
      <c r="M800" s="502"/>
      <c r="N800" s="855">
        <f>IFERROR(IFERROR(INDEX('Fixture and LED Schedule'!D:D,MATCH(K800,'Fixture and LED Schedule'!C:C,0),1),K800),"")</f>
        <v>0</v>
      </c>
      <c r="O800" s="858" t="str">
        <f>IFERROR(INDEX(yControl_Code,MATCH(Inventory!M800,yControlTypes,0),1),"")</f>
        <v/>
      </c>
      <c r="P800" s="860" t="str">
        <f>'Lighting Inventory (Ref only)'!AG803</f>
        <v/>
      </c>
      <c r="Q800" s="861" t="str">
        <f>'Lighting Inventory (Ref only)'!AF803</f>
        <v/>
      </c>
      <c r="R800" s="856" t="str">
        <f t="shared" si="25"/>
        <v/>
      </c>
      <c r="S800" s="856" t="str">
        <f>IFERROR(ROUND(R800*'Project Info and Summary'!$J$5/'Project Info and Summary'!$L$5,2),"")</f>
        <v/>
      </c>
    </row>
    <row r="801" spans="1:19" ht="30" customHeight="1">
      <c r="A801" s="948"/>
      <c r="B801" s="496">
        <f t="shared" si="24"/>
        <v>792</v>
      </c>
      <c r="C801" s="864"/>
      <c r="D801" s="505"/>
      <c r="E801" s="866"/>
      <c r="F801" s="498"/>
      <c r="G801" s="499"/>
      <c r="H801" s="492"/>
      <c r="I801" s="855">
        <f>IFERROR(IFERROR(INDEX('Fixture and LED Schedule'!D:D,MATCH(F801,'Fixture and LED Schedule'!C:C,""),1),F801),"")</f>
        <v>0</v>
      </c>
      <c r="J801" s="855" t="str">
        <f>IFERROR(IF(PRJ_Type="New Construction",H801,INDEX(yControl_Code,MATCH(Inventory!H801,yControlTypes,0),1)),"")</f>
        <v/>
      </c>
      <c r="K801" s="493"/>
      <c r="L801" s="501"/>
      <c r="M801" s="502"/>
      <c r="N801" s="855">
        <f>IFERROR(IFERROR(INDEX('Fixture and LED Schedule'!D:D,MATCH(K801,'Fixture and LED Schedule'!C:C,0),1),K801),"")</f>
        <v>0</v>
      </c>
      <c r="O801" s="858" t="str">
        <f>IFERROR(INDEX(yControl_Code,MATCH(Inventory!M801,yControlTypes,0),1),"")</f>
        <v/>
      </c>
      <c r="P801" s="860" t="str">
        <f>'Lighting Inventory (Ref only)'!AG804</f>
        <v/>
      </c>
      <c r="Q801" s="861" t="str">
        <f>'Lighting Inventory (Ref only)'!AF804</f>
        <v/>
      </c>
      <c r="R801" s="856" t="str">
        <f t="shared" si="25"/>
        <v/>
      </c>
      <c r="S801" s="856" t="str">
        <f>IFERROR(ROUND(R801*'Project Info and Summary'!$J$5/'Project Info and Summary'!$L$5,2),"")</f>
        <v/>
      </c>
    </row>
    <row r="802" spans="1:19" ht="30" customHeight="1">
      <c r="A802" s="948"/>
      <c r="B802" s="496">
        <f t="shared" si="24"/>
        <v>793</v>
      </c>
      <c r="C802" s="864"/>
      <c r="D802" s="505"/>
      <c r="E802" s="866"/>
      <c r="F802" s="498"/>
      <c r="G802" s="499"/>
      <c r="H802" s="492"/>
      <c r="I802" s="855">
        <f>IFERROR(IFERROR(INDEX('Fixture and LED Schedule'!D:D,MATCH(F802,'Fixture and LED Schedule'!C:C,""),1),F802),"")</f>
        <v>0</v>
      </c>
      <c r="J802" s="855" t="str">
        <f>IFERROR(IF(PRJ_Type="New Construction",H802,INDEX(yControl_Code,MATCH(Inventory!H802,yControlTypes,0),1)),"")</f>
        <v/>
      </c>
      <c r="K802" s="493"/>
      <c r="L802" s="501"/>
      <c r="M802" s="502"/>
      <c r="N802" s="855">
        <f>IFERROR(IFERROR(INDEX('Fixture and LED Schedule'!D:D,MATCH(K802,'Fixture and LED Schedule'!C:C,0),1),K802),"")</f>
        <v>0</v>
      </c>
      <c r="O802" s="858" t="str">
        <f>IFERROR(INDEX(yControl_Code,MATCH(Inventory!M802,yControlTypes,0),1),"")</f>
        <v/>
      </c>
      <c r="P802" s="860" t="str">
        <f>'Lighting Inventory (Ref only)'!AG805</f>
        <v/>
      </c>
      <c r="Q802" s="861" t="str">
        <f>'Lighting Inventory (Ref only)'!AF805</f>
        <v/>
      </c>
      <c r="R802" s="856" t="str">
        <f t="shared" si="25"/>
        <v/>
      </c>
      <c r="S802" s="856" t="str">
        <f>IFERROR(ROUND(R802*'Project Info and Summary'!$J$5/'Project Info and Summary'!$L$5,2),"")</f>
        <v/>
      </c>
    </row>
    <row r="803" spans="1:19" ht="30" customHeight="1">
      <c r="A803" s="948"/>
      <c r="B803" s="496">
        <f t="shared" si="24"/>
        <v>794</v>
      </c>
      <c r="C803" s="864"/>
      <c r="D803" s="505"/>
      <c r="E803" s="866"/>
      <c r="F803" s="498"/>
      <c r="G803" s="499"/>
      <c r="H803" s="492"/>
      <c r="I803" s="855">
        <f>IFERROR(IFERROR(INDEX('Fixture and LED Schedule'!D:D,MATCH(F803,'Fixture and LED Schedule'!C:C,""),1),F803),"")</f>
        <v>0</v>
      </c>
      <c r="J803" s="855" t="str">
        <f>IFERROR(IF(PRJ_Type="New Construction",H803,INDEX(yControl_Code,MATCH(Inventory!H803,yControlTypes,0),1)),"")</f>
        <v/>
      </c>
      <c r="K803" s="493"/>
      <c r="L803" s="501"/>
      <c r="M803" s="502"/>
      <c r="N803" s="855">
        <f>IFERROR(IFERROR(INDEX('Fixture and LED Schedule'!D:D,MATCH(K803,'Fixture and LED Schedule'!C:C,0),1),K803),"")</f>
        <v>0</v>
      </c>
      <c r="O803" s="858" t="str">
        <f>IFERROR(INDEX(yControl_Code,MATCH(Inventory!M803,yControlTypes,0),1),"")</f>
        <v/>
      </c>
      <c r="P803" s="860" t="str">
        <f>'Lighting Inventory (Ref only)'!AG806</f>
        <v/>
      </c>
      <c r="Q803" s="861" t="str">
        <f>'Lighting Inventory (Ref only)'!AF806</f>
        <v/>
      </c>
      <c r="R803" s="856" t="str">
        <f t="shared" si="25"/>
        <v/>
      </c>
      <c r="S803" s="856" t="str">
        <f>IFERROR(ROUND(R803*'Project Info and Summary'!$J$5/'Project Info and Summary'!$L$5,2),"")</f>
        <v/>
      </c>
    </row>
    <row r="804" spans="1:19" ht="30" customHeight="1">
      <c r="A804" s="948"/>
      <c r="B804" s="496">
        <f t="shared" si="24"/>
        <v>795</v>
      </c>
      <c r="C804" s="864"/>
      <c r="D804" s="505"/>
      <c r="E804" s="866"/>
      <c r="F804" s="498"/>
      <c r="G804" s="499"/>
      <c r="H804" s="492"/>
      <c r="I804" s="855">
        <f>IFERROR(IFERROR(INDEX('Fixture and LED Schedule'!D:D,MATCH(F804,'Fixture and LED Schedule'!C:C,""),1),F804),"")</f>
        <v>0</v>
      </c>
      <c r="J804" s="855" t="str">
        <f>IFERROR(IF(PRJ_Type="New Construction",H804,INDEX(yControl_Code,MATCH(Inventory!H804,yControlTypes,0),1)),"")</f>
        <v/>
      </c>
      <c r="K804" s="493"/>
      <c r="L804" s="501"/>
      <c r="M804" s="502"/>
      <c r="N804" s="855">
        <f>IFERROR(IFERROR(INDEX('Fixture and LED Schedule'!D:D,MATCH(K804,'Fixture and LED Schedule'!C:C,0),1),K804),"")</f>
        <v>0</v>
      </c>
      <c r="O804" s="858" t="str">
        <f>IFERROR(INDEX(yControl_Code,MATCH(Inventory!M804,yControlTypes,0),1),"")</f>
        <v/>
      </c>
      <c r="P804" s="860" t="str">
        <f>'Lighting Inventory (Ref only)'!AG807</f>
        <v/>
      </c>
      <c r="Q804" s="861" t="str">
        <f>'Lighting Inventory (Ref only)'!AF807</f>
        <v/>
      </c>
      <c r="R804" s="856" t="str">
        <f t="shared" si="25"/>
        <v/>
      </c>
      <c r="S804" s="856" t="str">
        <f>IFERROR(ROUND(R804*'Project Info and Summary'!$J$5/'Project Info and Summary'!$L$5,2),"")</f>
        <v/>
      </c>
    </row>
    <row r="805" spans="1:19" ht="30" customHeight="1">
      <c r="A805" s="948"/>
      <c r="B805" s="496">
        <f t="shared" si="24"/>
        <v>796</v>
      </c>
      <c r="C805" s="864"/>
      <c r="D805" s="505"/>
      <c r="E805" s="866"/>
      <c r="F805" s="498"/>
      <c r="G805" s="499"/>
      <c r="H805" s="492"/>
      <c r="I805" s="855">
        <f>IFERROR(IFERROR(INDEX('Fixture and LED Schedule'!D:D,MATCH(F805,'Fixture and LED Schedule'!C:C,""),1),F805),"")</f>
        <v>0</v>
      </c>
      <c r="J805" s="855" t="str">
        <f>IFERROR(IF(PRJ_Type="New Construction",H805,INDEX(yControl_Code,MATCH(Inventory!H805,yControlTypes,0),1)),"")</f>
        <v/>
      </c>
      <c r="K805" s="493"/>
      <c r="L805" s="501"/>
      <c r="M805" s="502"/>
      <c r="N805" s="855">
        <f>IFERROR(IFERROR(INDEX('Fixture and LED Schedule'!D:D,MATCH(K805,'Fixture and LED Schedule'!C:C,0),1),K805),"")</f>
        <v>0</v>
      </c>
      <c r="O805" s="858" t="str">
        <f>IFERROR(INDEX(yControl_Code,MATCH(Inventory!M805,yControlTypes,0),1),"")</f>
        <v/>
      </c>
      <c r="P805" s="860" t="str">
        <f>'Lighting Inventory (Ref only)'!AG808</f>
        <v/>
      </c>
      <c r="Q805" s="861" t="str">
        <f>'Lighting Inventory (Ref only)'!AF808</f>
        <v/>
      </c>
      <c r="R805" s="856" t="str">
        <f t="shared" si="25"/>
        <v/>
      </c>
      <c r="S805" s="856" t="str">
        <f>IFERROR(ROUND(R805*'Project Info and Summary'!$J$5/'Project Info and Summary'!$L$5,2),"")</f>
        <v/>
      </c>
    </row>
    <row r="806" spans="1:19" ht="30" customHeight="1">
      <c r="A806" s="948"/>
      <c r="B806" s="496">
        <f t="shared" si="24"/>
        <v>797</v>
      </c>
      <c r="C806" s="864"/>
      <c r="D806" s="505"/>
      <c r="E806" s="866"/>
      <c r="F806" s="498"/>
      <c r="G806" s="499"/>
      <c r="H806" s="492"/>
      <c r="I806" s="855">
        <f>IFERROR(IFERROR(INDEX('Fixture and LED Schedule'!D:D,MATCH(F806,'Fixture and LED Schedule'!C:C,""),1),F806),"")</f>
        <v>0</v>
      </c>
      <c r="J806" s="855" t="str">
        <f>IFERROR(IF(PRJ_Type="New Construction",H806,INDEX(yControl_Code,MATCH(Inventory!H806,yControlTypes,0),1)),"")</f>
        <v/>
      </c>
      <c r="K806" s="493"/>
      <c r="L806" s="501"/>
      <c r="M806" s="502"/>
      <c r="N806" s="855">
        <f>IFERROR(IFERROR(INDEX('Fixture and LED Schedule'!D:D,MATCH(K806,'Fixture and LED Schedule'!C:C,0),1),K806),"")</f>
        <v>0</v>
      </c>
      <c r="O806" s="858" t="str">
        <f>IFERROR(INDEX(yControl_Code,MATCH(Inventory!M806,yControlTypes,0),1),"")</f>
        <v/>
      </c>
      <c r="P806" s="860" t="str">
        <f>'Lighting Inventory (Ref only)'!AG809</f>
        <v/>
      </c>
      <c r="Q806" s="861" t="str">
        <f>'Lighting Inventory (Ref only)'!AF809</f>
        <v/>
      </c>
      <c r="R806" s="856" t="str">
        <f t="shared" si="25"/>
        <v/>
      </c>
      <c r="S806" s="856" t="str">
        <f>IFERROR(ROUND(R806*'Project Info and Summary'!$J$5/'Project Info and Summary'!$L$5,2),"")</f>
        <v/>
      </c>
    </row>
    <row r="807" spans="1:19" ht="30" customHeight="1">
      <c r="A807" s="948"/>
      <c r="B807" s="496">
        <f t="shared" si="24"/>
        <v>798</v>
      </c>
      <c r="C807" s="864"/>
      <c r="D807" s="505"/>
      <c r="E807" s="866"/>
      <c r="F807" s="498"/>
      <c r="G807" s="499"/>
      <c r="H807" s="492"/>
      <c r="I807" s="855">
        <f>IFERROR(IFERROR(INDEX('Fixture and LED Schedule'!D:D,MATCH(F807,'Fixture and LED Schedule'!C:C,""),1),F807),"")</f>
        <v>0</v>
      </c>
      <c r="J807" s="855" t="str">
        <f>IFERROR(IF(PRJ_Type="New Construction",H807,INDEX(yControl_Code,MATCH(Inventory!H807,yControlTypes,0),1)),"")</f>
        <v/>
      </c>
      <c r="K807" s="493"/>
      <c r="L807" s="501"/>
      <c r="M807" s="502"/>
      <c r="N807" s="855">
        <f>IFERROR(IFERROR(INDEX('Fixture and LED Schedule'!D:D,MATCH(K807,'Fixture and LED Schedule'!C:C,0),1),K807),"")</f>
        <v>0</v>
      </c>
      <c r="O807" s="858" t="str">
        <f>IFERROR(INDEX(yControl_Code,MATCH(Inventory!M807,yControlTypes,0),1),"")</f>
        <v/>
      </c>
      <c r="P807" s="860" t="str">
        <f>'Lighting Inventory (Ref only)'!AG810</f>
        <v/>
      </c>
      <c r="Q807" s="861" t="str">
        <f>'Lighting Inventory (Ref only)'!AF810</f>
        <v/>
      </c>
      <c r="R807" s="856" t="str">
        <f t="shared" si="25"/>
        <v/>
      </c>
      <c r="S807" s="856" t="str">
        <f>IFERROR(ROUND(R807*'Project Info and Summary'!$J$5/'Project Info and Summary'!$L$5,2),"")</f>
        <v/>
      </c>
    </row>
    <row r="808" spans="1:19" ht="30" customHeight="1">
      <c r="A808" s="948"/>
      <c r="B808" s="496">
        <f t="shared" si="24"/>
        <v>799</v>
      </c>
      <c r="C808" s="864"/>
      <c r="D808" s="505"/>
      <c r="E808" s="866"/>
      <c r="F808" s="498"/>
      <c r="G808" s="499"/>
      <c r="H808" s="492"/>
      <c r="I808" s="855">
        <f>IFERROR(IFERROR(INDEX('Fixture and LED Schedule'!D:D,MATCH(F808,'Fixture and LED Schedule'!C:C,""),1),F808),"")</f>
        <v>0</v>
      </c>
      <c r="J808" s="855" t="str">
        <f>IFERROR(IF(PRJ_Type="New Construction",H808,INDEX(yControl_Code,MATCH(Inventory!H808,yControlTypes,0),1)),"")</f>
        <v/>
      </c>
      <c r="K808" s="493"/>
      <c r="L808" s="501"/>
      <c r="M808" s="502"/>
      <c r="N808" s="855">
        <f>IFERROR(IFERROR(INDEX('Fixture and LED Schedule'!D:D,MATCH(K808,'Fixture and LED Schedule'!C:C,0),1),K808),"")</f>
        <v>0</v>
      </c>
      <c r="O808" s="858" t="str">
        <f>IFERROR(INDEX(yControl_Code,MATCH(Inventory!M808,yControlTypes,0),1),"")</f>
        <v/>
      </c>
      <c r="P808" s="860" t="str">
        <f>'Lighting Inventory (Ref only)'!AG811</f>
        <v/>
      </c>
      <c r="Q808" s="861" t="str">
        <f>'Lighting Inventory (Ref only)'!AF811</f>
        <v/>
      </c>
      <c r="R808" s="856" t="str">
        <f t="shared" si="25"/>
        <v/>
      </c>
      <c r="S808" s="856" t="str">
        <f>IFERROR(ROUND(R808*'Project Info and Summary'!$J$5/'Project Info and Summary'!$L$5,2),"")</f>
        <v/>
      </c>
    </row>
    <row r="809" spans="1:19" ht="30" customHeight="1">
      <c r="A809" s="948"/>
      <c r="B809" s="496">
        <f t="shared" si="24"/>
        <v>800</v>
      </c>
      <c r="C809" s="864"/>
      <c r="D809" s="505"/>
      <c r="E809" s="866"/>
      <c r="F809" s="498"/>
      <c r="G809" s="499"/>
      <c r="H809" s="492"/>
      <c r="I809" s="855">
        <f>IFERROR(IFERROR(INDEX('Fixture and LED Schedule'!D:D,MATCH(F809,'Fixture and LED Schedule'!C:C,""),1),F809),"")</f>
        <v>0</v>
      </c>
      <c r="J809" s="855" t="str">
        <f>IFERROR(IF(PRJ_Type="New Construction",H809,INDEX(yControl_Code,MATCH(Inventory!H809,yControlTypes,0),1)),"")</f>
        <v/>
      </c>
      <c r="K809" s="493"/>
      <c r="L809" s="501"/>
      <c r="M809" s="502"/>
      <c r="N809" s="855">
        <f>IFERROR(IFERROR(INDEX('Fixture and LED Schedule'!D:D,MATCH(K809,'Fixture and LED Schedule'!C:C,0),1),K809),"")</f>
        <v>0</v>
      </c>
      <c r="O809" s="858" t="str">
        <f>IFERROR(INDEX(yControl_Code,MATCH(Inventory!M809,yControlTypes,0),1),"")</f>
        <v/>
      </c>
      <c r="P809" s="860" t="str">
        <f>'Lighting Inventory (Ref only)'!AG812</f>
        <v/>
      </c>
      <c r="Q809" s="861" t="str">
        <f>'Lighting Inventory (Ref only)'!AF812</f>
        <v/>
      </c>
      <c r="R809" s="856" t="str">
        <f t="shared" si="25"/>
        <v/>
      </c>
      <c r="S809" s="856" t="str">
        <f>IFERROR(ROUND(R809*'Project Info and Summary'!$J$5/'Project Info and Summary'!$L$5,2),"")</f>
        <v/>
      </c>
    </row>
    <row r="810" spans="1:19" ht="30" customHeight="1">
      <c r="A810" s="948"/>
      <c r="B810" s="496">
        <f t="shared" si="24"/>
        <v>801</v>
      </c>
      <c r="C810" s="864"/>
      <c r="D810" s="505"/>
      <c r="E810" s="866"/>
      <c r="F810" s="498"/>
      <c r="G810" s="499"/>
      <c r="H810" s="492"/>
      <c r="I810" s="855">
        <f>IFERROR(IFERROR(INDEX('Fixture and LED Schedule'!D:D,MATCH(F810,'Fixture and LED Schedule'!C:C,""),1),F810),"")</f>
        <v>0</v>
      </c>
      <c r="J810" s="855" t="str">
        <f>IFERROR(IF(PRJ_Type="New Construction",H810,INDEX(yControl_Code,MATCH(Inventory!H810,yControlTypes,0),1)),"")</f>
        <v/>
      </c>
      <c r="K810" s="493"/>
      <c r="L810" s="501"/>
      <c r="M810" s="502"/>
      <c r="N810" s="855">
        <f>IFERROR(IFERROR(INDEX('Fixture and LED Schedule'!D:D,MATCH(K810,'Fixture and LED Schedule'!C:C,0),1),K810),"")</f>
        <v>0</v>
      </c>
      <c r="O810" s="858" t="str">
        <f>IFERROR(INDEX(yControl_Code,MATCH(Inventory!M810,yControlTypes,0),1),"")</f>
        <v/>
      </c>
      <c r="P810" s="860" t="str">
        <f>'Lighting Inventory (Ref only)'!AG813</f>
        <v/>
      </c>
      <c r="Q810" s="861" t="str">
        <f>'Lighting Inventory (Ref only)'!AF813</f>
        <v/>
      </c>
      <c r="R810" s="856" t="str">
        <f t="shared" si="25"/>
        <v/>
      </c>
      <c r="S810" s="856" t="str">
        <f>IFERROR(ROUND(R810*'Project Info and Summary'!$J$5/'Project Info and Summary'!$L$5,2),"")</f>
        <v/>
      </c>
    </row>
    <row r="811" spans="1:19" ht="30" customHeight="1">
      <c r="A811" s="948"/>
      <c r="B811" s="496">
        <f t="shared" si="24"/>
        <v>802</v>
      </c>
      <c r="C811" s="864"/>
      <c r="D811" s="505"/>
      <c r="E811" s="866"/>
      <c r="F811" s="498"/>
      <c r="G811" s="499"/>
      <c r="H811" s="492"/>
      <c r="I811" s="855">
        <f>IFERROR(IFERROR(INDEX('Fixture and LED Schedule'!D:D,MATCH(F811,'Fixture and LED Schedule'!C:C,""),1),F811),"")</f>
        <v>0</v>
      </c>
      <c r="J811" s="855" t="str">
        <f>IFERROR(IF(PRJ_Type="New Construction",H811,INDEX(yControl_Code,MATCH(Inventory!H811,yControlTypes,0),1)),"")</f>
        <v/>
      </c>
      <c r="K811" s="493"/>
      <c r="L811" s="501"/>
      <c r="M811" s="502"/>
      <c r="N811" s="855">
        <f>IFERROR(IFERROR(INDEX('Fixture and LED Schedule'!D:D,MATCH(K811,'Fixture and LED Schedule'!C:C,0),1),K811),"")</f>
        <v>0</v>
      </c>
      <c r="O811" s="858" t="str">
        <f>IFERROR(INDEX(yControl_Code,MATCH(Inventory!M811,yControlTypes,0),1),"")</f>
        <v/>
      </c>
      <c r="P811" s="860" t="str">
        <f>'Lighting Inventory (Ref only)'!AG814</f>
        <v/>
      </c>
      <c r="Q811" s="861" t="str">
        <f>'Lighting Inventory (Ref only)'!AF814</f>
        <v/>
      </c>
      <c r="R811" s="856" t="str">
        <f t="shared" si="25"/>
        <v/>
      </c>
      <c r="S811" s="856" t="str">
        <f>IFERROR(ROUND(R811*'Project Info and Summary'!$J$5/'Project Info and Summary'!$L$5,2),"")</f>
        <v/>
      </c>
    </row>
    <row r="812" spans="1:19" ht="30" customHeight="1">
      <c r="A812" s="948"/>
      <c r="B812" s="496">
        <f t="shared" si="24"/>
        <v>803</v>
      </c>
      <c r="C812" s="864"/>
      <c r="D812" s="505"/>
      <c r="E812" s="866"/>
      <c r="F812" s="498"/>
      <c r="G812" s="499"/>
      <c r="H812" s="492"/>
      <c r="I812" s="855">
        <f>IFERROR(IFERROR(INDEX('Fixture and LED Schedule'!D:D,MATCH(F812,'Fixture and LED Schedule'!C:C,""),1),F812),"")</f>
        <v>0</v>
      </c>
      <c r="J812" s="855" t="str">
        <f>IFERROR(IF(PRJ_Type="New Construction",H812,INDEX(yControl_Code,MATCH(Inventory!H812,yControlTypes,0),1)),"")</f>
        <v/>
      </c>
      <c r="K812" s="493"/>
      <c r="L812" s="501"/>
      <c r="M812" s="502"/>
      <c r="N812" s="855">
        <f>IFERROR(IFERROR(INDEX('Fixture and LED Schedule'!D:D,MATCH(K812,'Fixture and LED Schedule'!C:C,0),1),K812),"")</f>
        <v>0</v>
      </c>
      <c r="O812" s="858" t="str">
        <f>IFERROR(INDEX(yControl_Code,MATCH(Inventory!M812,yControlTypes,0),1),"")</f>
        <v/>
      </c>
      <c r="P812" s="860" t="str">
        <f>'Lighting Inventory (Ref only)'!AG815</f>
        <v/>
      </c>
      <c r="Q812" s="861" t="str">
        <f>'Lighting Inventory (Ref only)'!AF815</f>
        <v/>
      </c>
      <c r="R812" s="856" t="str">
        <f t="shared" si="25"/>
        <v/>
      </c>
      <c r="S812" s="856" t="str">
        <f>IFERROR(ROUND(R812*'Project Info and Summary'!$J$5/'Project Info and Summary'!$L$5,2),"")</f>
        <v/>
      </c>
    </row>
    <row r="813" spans="1:19" ht="30" customHeight="1">
      <c r="A813" s="948"/>
      <c r="B813" s="496">
        <f t="shared" si="24"/>
        <v>804</v>
      </c>
      <c r="C813" s="864"/>
      <c r="D813" s="505"/>
      <c r="E813" s="866"/>
      <c r="F813" s="498"/>
      <c r="G813" s="499"/>
      <c r="H813" s="492"/>
      <c r="I813" s="855">
        <f>IFERROR(IFERROR(INDEX('Fixture and LED Schedule'!D:D,MATCH(F813,'Fixture and LED Schedule'!C:C,""),1),F813),"")</f>
        <v>0</v>
      </c>
      <c r="J813" s="855" t="str">
        <f>IFERROR(IF(PRJ_Type="New Construction",H813,INDEX(yControl_Code,MATCH(Inventory!H813,yControlTypes,0),1)),"")</f>
        <v/>
      </c>
      <c r="K813" s="493"/>
      <c r="L813" s="501"/>
      <c r="M813" s="502"/>
      <c r="N813" s="855">
        <f>IFERROR(IFERROR(INDEX('Fixture and LED Schedule'!D:D,MATCH(K813,'Fixture and LED Schedule'!C:C,0),1),K813),"")</f>
        <v>0</v>
      </c>
      <c r="O813" s="858" t="str">
        <f>IFERROR(INDEX(yControl_Code,MATCH(Inventory!M813,yControlTypes,0),1),"")</f>
        <v/>
      </c>
      <c r="P813" s="860" t="str">
        <f>'Lighting Inventory (Ref only)'!AG816</f>
        <v/>
      </c>
      <c r="Q813" s="861" t="str">
        <f>'Lighting Inventory (Ref only)'!AF816</f>
        <v/>
      </c>
      <c r="R813" s="856" t="str">
        <f t="shared" si="25"/>
        <v/>
      </c>
      <c r="S813" s="856" t="str">
        <f>IFERROR(ROUND(R813*'Project Info and Summary'!$J$5/'Project Info and Summary'!$L$5,2),"")</f>
        <v/>
      </c>
    </row>
    <row r="814" spans="1:19" ht="30" customHeight="1">
      <c r="A814" s="948"/>
      <c r="B814" s="496">
        <f t="shared" si="24"/>
        <v>805</v>
      </c>
      <c r="C814" s="864"/>
      <c r="D814" s="505"/>
      <c r="E814" s="866"/>
      <c r="F814" s="498"/>
      <c r="G814" s="499"/>
      <c r="H814" s="492"/>
      <c r="I814" s="855">
        <f>IFERROR(IFERROR(INDEX('Fixture and LED Schedule'!D:D,MATCH(F814,'Fixture and LED Schedule'!C:C,""),1),F814),"")</f>
        <v>0</v>
      </c>
      <c r="J814" s="855" t="str">
        <f>IFERROR(IF(PRJ_Type="New Construction",H814,INDEX(yControl_Code,MATCH(Inventory!H814,yControlTypes,0),1)),"")</f>
        <v/>
      </c>
      <c r="K814" s="493"/>
      <c r="L814" s="501"/>
      <c r="M814" s="502"/>
      <c r="N814" s="855">
        <f>IFERROR(IFERROR(INDEX('Fixture and LED Schedule'!D:D,MATCH(K814,'Fixture and LED Schedule'!C:C,0),1),K814),"")</f>
        <v>0</v>
      </c>
      <c r="O814" s="858" t="str">
        <f>IFERROR(INDEX(yControl_Code,MATCH(Inventory!M814,yControlTypes,0),1),"")</f>
        <v/>
      </c>
      <c r="P814" s="860" t="str">
        <f>'Lighting Inventory (Ref only)'!AG817</f>
        <v/>
      </c>
      <c r="Q814" s="861" t="str">
        <f>'Lighting Inventory (Ref only)'!AF817</f>
        <v/>
      </c>
      <c r="R814" s="856" t="str">
        <f t="shared" si="25"/>
        <v/>
      </c>
      <c r="S814" s="856" t="str">
        <f>IFERROR(ROUND(R814*'Project Info and Summary'!$J$5/'Project Info and Summary'!$L$5,2),"")</f>
        <v/>
      </c>
    </row>
    <row r="815" spans="1:19" ht="30" customHeight="1">
      <c r="A815" s="948"/>
      <c r="B815" s="496">
        <f t="shared" si="24"/>
        <v>806</v>
      </c>
      <c r="C815" s="864"/>
      <c r="D815" s="505"/>
      <c r="E815" s="866"/>
      <c r="F815" s="498"/>
      <c r="G815" s="499"/>
      <c r="H815" s="492"/>
      <c r="I815" s="855">
        <f>IFERROR(IFERROR(INDEX('Fixture and LED Schedule'!D:D,MATCH(F815,'Fixture and LED Schedule'!C:C,""),1),F815),"")</f>
        <v>0</v>
      </c>
      <c r="J815" s="855" t="str">
        <f>IFERROR(IF(PRJ_Type="New Construction",H815,INDEX(yControl_Code,MATCH(Inventory!H815,yControlTypes,0),1)),"")</f>
        <v/>
      </c>
      <c r="K815" s="493"/>
      <c r="L815" s="501"/>
      <c r="M815" s="502"/>
      <c r="N815" s="855">
        <f>IFERROR(IFERROR(INDEX('Fixture and LED Schedule'!D:D,MATCH(K815,'Fixture and LED Schedule'!C:C,0),1),K815),"")</f>
        <v>0</v>
      </c>
      <c r="O815" s="858" t="str">
        <f>IFERROR(INDEX(yControl_Code,MATCH(Inventory!M815,yControlTypes,0),1),"")</f>
        <v/>
      </c>
      <c r="P815" s="860" t="str">
        <f>'Lighting Inventory (Ref only)'!AG818</f>
        <v/>
      </c>
      <c r="Q815" s="861" t="str">
        <f>'Lighting Inventory (Ref only)'!AF818</f>
        <v/>
      </c>
      <c r="R815" s="856" t="str">
        <f t="shared" si="25"/>
        <v/>
      </c>
      <c r="S815" s="856" t="str">
        <f>IFERROR(ROUND(R815*'Project Info and Summary'!$J$5/'Project Info and Summary'!$L$5,2),"")</f>
        <v/>
      </c>
    </row>
    <row r="816" spans="1:19" ht="30" customHeight="1">
      <c r="A816" s="948"/>
      <c r="B816" s="496">
        <f t="shared" si="24"/>
        <v>807</v>
      </c>
      <c r="C816" s="864"/>
      <c r="D816" s="505"/>
      <c r="E816" s="866"/>
      <c r="F816" s="498"/>
      <c r="G816" s="499"/>
      <c r="H816" s="492"/>
      <c r="I816" s="855">
        <f>IFERROR(IFERROR(INDEX('Fixture and LED Schedule'!D:D,MATCH(F816,'Fixture and LED Schedule'!C:C,""),1),F816),"")</f>
        <v>0</v>
      </c>
      <c r="J816" s="855" t="str">
        <f>IFERROR(IF(PRJ_Type="New Construction",H816,INDEX(yControl_Code,MATCH(Inventory!H816,yControlTypes,0),1)),"")</f>
        <v/>
      </c>
      <c r="K816" s="493"/>
      <c r="L816" s="501"/>
      <c r="M816" s="502"/>
      <c r="N816" s="855">
        <f>IFERROR(IFERROR(INDEX('Fixture and LED Schedule'!D:D,MATCH(K816,'Fixture and LED Schedule'!C:C,0),1),K816),"")</f>
        <v>0</v>
      </c>
      <c r="O816" s="858" t="str">
        <f>IFERROR(INDEX(yControl_Code,MATCH(Inventory!M816,yControlTypes,0),1),"")</f>
        <v/>
      </c>
      <c r="P816" s="860" t="str">
        <f>'Lighting Inventory (Ref only)'!AG819</f>
        <v/>
      </c>
      <c r="Q816" s="861" t="str">
        <f>'Lighting Inventory (Ref only)'!AF819</f>
        <v/>
      </c>
      <c r="R816" s="856" t="str">
        <f t="shared" si="25"/>
        <v/>
      </c>
      <c r="S816" s="856" t="str">
        <f>IFERROR(ROUND(R816*'Project Info and Summary'!$J$5/'Project Info and Summary'!$L$5,2),"")</f>
        <v/>
      </c>
    </row>
    <row r="817" spans="1:19" ht="30" customHeight="1">
      <c r="A817" s="948"/>
      <c r="B817" s="496">
        <f t="shared" si="24"/>
        <v>808</v>
      </c>
      <c r="C817" s="864"/>
      <c r="D817" s="505"/>
      <c r="E817" s="866"/>
      <c r="F817" s="498"/>
      <c r="G817" s="499"/>
      <c r="H817" s="492"/>
      <c r="I817" s="855">
        <f>IFERROR(IFERROR(INDEX('Fixture and LED Schedule'!D:D,MATCH(F817,'Fixture and LED Schedule'!C:C,""),1),F817),"")</f>
        <v>0</v>
      </c>
      <c r="J817" s="855" t="str">
        <f>IFERROR(IF(PRJ_Type="New Construction",H817,INDEX(yControl_Code,MATCH(Inventory!H817,yControlTypes,0),1)),"")</f>
        <v/>
      </c>
      <c r="K817" s="493"/>
      <c r="L817" s="501"/>
      <c r="M817" s="502"/>
      <c r="N817" s="855">
        <f>IFERROR(IFERROR(INDEX('Fixture and LED Schedule'!D:D,MATCH(K817,'Fixture and LED Schedule'!C:C,0),1),K817),"")</f>
        <v>0</v>
      </c>
      <c r="O817" s="858" t="str">
        <f>IFERROR(INDEX(yControl_Code,MATCH(Inventory!M817,yControlTypes,0),1),"")</f>
        <v/>
      </c>
      <c r="P817" s="860" t="str">
        <f>'Lighting Inventory (Ref only)'!AG820</f>
        <v/>
      </c>
      <c r="Q817" s="861" t="str">
        <f>'Lighting Inventory (Ref only)'!AF820</f>
        <v/>
      </c>
      <c r="R817" s="856" t="str">
        <f t="shared" si="25"/>
        <v/>
      </c>
      <c r="S817" s="856" t="str">
        <f>IFERROR(ROUND(R817*'Project Info and Summary'!$J$5/'Project Info and Summary'!$L$5,2),"")</f>
        <v/>
      </c>
    </row>
    <row r="818" spans="1:19" ht="30" customHeight="1">
      <c r="A818" s="948"/>
      <c r="B818" s="496">
        <f t="shared" si="24"/>
        <v>809</v>
      </c>
      <c r="C818" s="864"/>
      <c r="D818" s="505"/>
      <c r="E818" s="866"/>
      <c r="F818" s="498"/>
      <c r="G818" s="499"/>
      <c r="H818" s="492"/>
      <c r="I818" s="855">
        <f>IFERROR(IFERROR(INDEX('Fixture and LED Schedule'!D:D,MATCH(F818,'Fixture and LED Schedule'!C:C,""),1),F818),"")</f>
        <v>0</v>
      </c>
      <c r="J818" s="855" t="str">
        <f>IFERROR(IF(PRJ_Type="New Construction",H818,INDEX(yControl_Code,MATCH(Inventory!H818,yControlTypes,0),1)),"")</f>
        <v/>
      </c>
      <c r="K818" s="493"/>
      <c r="L818" s="501"/>
      <c r="M818" s="502"/>
      <c r="N818" s="855">
        <f>IFERROR(IFERROR(INDEX('Fixture and LED Schedule'!D:D,MATCH(K818,'Fixture and LED Schedule'!C:C,0),1),K818),"")</f>
        <v>0</v>
      </c>
      <c r="O818" s="858" t="str">
        <f>IFERROR(INDEX(yControl_Code,MATCH(Inventory!M818,yControlTypes,0),1),"")</f>
        <v/>
      </c>
      <c r="P818" s="860" t="str">
        <f>'Lighting Inventory (Ref only)'!AG821</f>
        <v/>
      </c>
      <c r="Q818" s="861" t="str">
        <f>'Lighting Inventory (Ref only)'!AF821</f>
        <v/>
      </c>
      <c r="R818" s="856" t="str">
        <f t="shared" si="25"/>
        <v/>
      </c>
      <c r="S818" s="856" t="str">
        <f>IFERROR(ROUND(R818*'Project Info and Summary'!$J$5/'Project Info and Summary'!$L$5,2),"")</f>
        <v/>
      </c>
    </row>
    <row r="819" spans="1:19" ht="30" customHeight="1">
      <c r="A819" s="948"/>
      <c r="B819" s="496">
        <f t="shared" si="24"/>
        <v>810</v>
      </c>
      <c r="C819" s="864"/>
      <c r="D819" s="505"/>
      <c r="E819" s="866"/>
      <c r="F819" s="498"/>
      <c r="G819" s="499"/>
      <c r="H819" s="492"/>
      <c r="I819" s="855">
        <f>IFERROR(IFERROR(INDEX('Fixture and LED Schedule'!D:D,MATCH(F819,'Fixture and LED Schedule'!C:C,""),1),F819),"")</f>
        <v>0</v>
      </c>
      <c r="J819" s="855" t="str">
        <f>IFERROR(IF(PRJ_Type="New Construction",H819,INDEX(yControl_Code,MATCH(Inventory!H819,yControlTypes,0),1)),"")</f>
        <v/>
      </c>
      <c r="K819" s="493"/>
      <c r="L819" s="501"/>
      <c r="M819" s="502"/>
      <c r="N819" s="855">
        <f>IFERROR(IFERROR(INDEX('Fixture and LED Schedule'!D:D,MATCH(K819,'Fixture and LED Schedule'!C:C,0),1),K819),"")</f>
        <v>0</v>
      </c>
      <c r="O819" s="858" t="str">
        <f>IFERROR(INDEX(yControl_Code,MATCH(Inventory!M819,yControlTypes,0),1),"")</f>
        <v/>
      </c>
      <c r="P819" s="860" t="str">
        <f>'Lighting Inventory (Ref only)'!AG822</f>
        <v/>
      </c>
      <c r="Q819" s="861" t="str">
        <f>'Lighting Inventory (Ref only)'!AF822</f>
        <v/>
      </c>
      <c r="R819" s="856" t="str">
        <f t="shared" si="25"/>
        <v/>
      </c>
      <c r="S819" s="856" t="str">
        <f>IFERROR(ROUND(R819*'Project Info and Summary'!$J$5/'Project Info and Summary'!$L$5,2),"")</f>
        <v/>
      </c>
    </row>
    <row r="820" spans="1:19" ht="30" customHeight="1">
      <c r="A820" s="948"/>
      <c r="B820" s="496">
        <f t="shared" si="24"/>
        <v>811</v>
      </c>
      <c r="C820" s="864"/>
      <c r="D820" s="505"/>
      <c r="E820" s="866"/>
      <c r="F820" s="498"/>
      <c r="G820" s="499"/>
      <c r="H820" s="492"/>
      <c r="I820" s="855">
        <f>IFERROR(IFERROR(INDEX('Fixture and LED Schedule'!D:D,MATCH(F820,'Fixture and LED Schedule'!C:C,""),1),F820),"")</f>
        <v>0</v>
      </c>
      <c r="J820" s="855" t="str">
        <f>IFERROR(IF(PRJ_Type="New Construction",H820,INDEX(yControl_Code,MATCH(Inventory!H820,yControlTypes,0),1)),"")</f>
        <v/>
      </c>
      <c r="K820" s="493"/>
      <c r="L820" s="501"/>
      <c r="M820" s="502"/>
      <c r="N820" s="855">
        <f>IFERROR(IFERROR(INDEX('Fixture and LED Schedule'!D:D,MATCH(K820,'Fixture and LED Schedule'!C:C,0),1),K820),"")</f>
        <v>0</v>
      </c>
      <c r="O820" s="858" t="str">
        <f>IFERROR(INDEX(yControl_Code,MATCH(Inventory!M820,yControlTypes,0),1),"")</f>
        <v/>
      </c>
      <c r="P820" s="860" t="str">
        <f>'Lighting Inventory (Ref only)'!AG823</f>
        <v/>
      </c>
      <c r="Q820" s="861" t="str">
        <f>'Lighting Inventory (Ref only)'!AF823</f>
        <v/>
      </c>
      <c r="R820" s="856" t="str">
        <f t="shared" si="25"/>
        <v/>
      </c>
      <c r="S820" s="856" t="str">
        <f>IFERROR(ROUND(R820*'Project Info and Summary'!$J$5/'Project Info and Summary'!$L$5,2),"")</f>
        <v/>
      </c>
    </row>
    <row r="821" spans="1:19" ht="30" customHeight="1">
      <c r="A821" s="948"/>
      <c r="B821" s="496">
        <f t="shared" si="24"/>
        <v>812</v>
      </c>
      <c r="C821" s="864"/>
      <c r="D821" s="505"/>
      <c r="E821" s="866"/>
      <c r="F821" s="498"/>
      <c r="G821" s="499"/>
      <c r="H821" s="492"/>
      <c r="I821" s="855">
        <f>IFERROR(IFERROR(INDEX('Fixture and LED Schedule'!D:D,MATCH(F821,'Fixture and LED Schedule'!C:C,""),1),F821),"")</f>
        <v>0</v>
      </c>
      <c r="J821" s="855" t="str">
        <f>IFERROR(IF(PRJ_Type="New Construction",H821,INDEX(yControl_Code,MATCH(Inventory!H821,yControlTypes,0),1)),"")</f>
        <v/>
      </c>
      <c r="K821" s="493"/>
      <c r="L821" s="501"/>
      <c r="M821" s="502"/>
      <c r="N821" s="855">
        <f>IFERROR(IFERROR(INDEX('Fixture and LED Schedule'!D:D,MATCH(K821,'Fixture and LED Schedule'!C:C,0),1),K821),"")</f>
        <v>0</v>
      </c>
      <c r="O821" s="858" t="str">
        <f>IFERROR(INDEX(yControl_Code,MATCH(Inventory!M821,yControlTypes,0),1),"")</f>
        <v/>
      </c>
      <c r="P821" s="860" t="str">
        <f>'Lighting Inventory (Ref only)'!AG824</f>
        <v/>
      </c>
      <c r="Q821" s="861" t="str">
        <f>'Lighting Inventory (Ref only)'!AF824</f>
        <v/>
      </c>
      <c r="R821" s="856" t="str">
        <f t="shared" si="25"/>
        <v/>
      </c>
      <c r="S821" s="856" t="str">
        <f>IFERROR(ROUND(R821*'Project Info and Summary'!$J$5/'Project Info and Summary'!$L$5,2),"")</f>
        <v/>
      </c>
    </row>
    <row r="822" spans="1:19" ht="30" customHeight="1">
      <c r="A822" s="948"/>
      <c r="B822" s="496">
        <f t="shared" si="24"/>
        <v>813</v>
      </c>
      <c r="C822" s="864"/>
      <c r="D822" s="505"/>
      <c r="E822" s="866"/>
      <c r="F822" s="498"/>
      <c r="G822" s="499"/>
      <c r="H822" s="492"/>
      <c r="I822" s="855">
        <f>IFERROR(IFERROR(INDEX('Fixture and LED Schedule'!D:D,MATCH(F822,'Fixture and LED Schedule'!C:C,""),1),F822),"")</f>
        <v>0</v>
      </c>
      <c r="J822" s="855" t="str">
        <f>IFERROR(IF(PRJ_Type="New Construction",H822,INDEX(yControl_Code,MATCH(Inventory!H822,yControlTypes,0),1)),"")</f>
        <v/>
      </c>
      <c r="K822" s="493"/>
      <c r="L822" s="501"/>
      <c r="M822" s="502"/>
      <c r="N822" s="855">
        <f>IFERROR(IFERROR(INDEX('Fixture and LED Schedule'!D:D,MATCH(K822,'Fixture and LED Schedule'!C:C,0),1),K822),"")</f>
        <v>0</v>
      </c>
      <c r="O822" s="858" t="str">
        <f>IFERROR(INDEX(yControl_Code,MATCH(Inventory!M822,yControlTypes,0),1),"")</f>
        <v/>
      </c>
      <c r="P822" s="860" t="str">
        <f>'Lighting Inventory (Ref only)'!AG825</f>
        <v/>
      </c>
      <c r="Q822" s="861" t="str">
        <f>'Lighting Inventory (Ref only)'!AF825</f>
        <v/>
      </c>
      <c r="R822" s="856" t="str">
        <f t="shared" si="25"/>
        <v/>
      </c>
      <c r="S822" s="856" t="str">
        <f>IFERROR(ROUND(R822*'Project Info and Summary'!$J$5/'Project Info and Summary'!$L$5,2),"")</f>
        <v/>
      </c>
    </row>
    <row r="823" spans="1:19" ht="30" customHeight="1">
      <c r="A823" s="948"/>
      <c r="B823" s="496">
        <f t="shared" si="24"/>
        <v>814</v>
      </c>
      <c r="C823" s="864"/>
      <c r="D823" s="505"/>
      <c r="E823" s="866"/>
      <c r="F823" s="498"/>
      <c r="G823" s="499"/>
      <c r="H823" s="492"/>
      <c r="I823" s="855">
        <f>IFERROR(IFERROR(INDEX('Fixture and LED Schedule'!D:D,MATCH(F823,'Fixture and LED Schedule'!C:C,""),1),F823),"")</f>
        <v>0</v>
      </c>
      <c r="J823" s="855" t="str">
        <f>IFERROR(IF(PRJ_Type="New Construction",H823,INDEX(yControl_Code,MATCH(Inventory!H823,yControlTypes,0),1)),"")</f>
        <v/>
      </c>
      <c r="K823" s="493"/>
      <c r="L823" s="501"/>
      <c r="M823" s="502"/>
      <c r="N823" s="855">
        <f>IFERROR(IFERROR(INDEX('Fixture and LED Schedule'!D:D,MATCH(K823,'Fixture and LED Schedule'!C:C,0),1),K823),"")</f>
        <v>0</v>
      </c>
      <c r="O823" s="858" t="str">
        <f>IFERROR(INDEX(yControl_Code,MATCH(Inventory!M823,yControlTypes,0),1),"")</f>
        <v/>
      </c>
      <c r="P823" s="860" t="str">
        <f>'Lighting Inventory (Ref only)'!AG826</f>
        <v/>
      </c>
      <c r="Q823" s="861" t="str">
        <f>'Lighting Inventory (Ref only)'!AF826</f>
        <v/>
      </c>
      <c r="R823" s="856" t="str">
        <f t="shared" si="25"/>
        <v/>
      </c>
      <c r="S823" s="856" t="str">
        <f>IFERROR(ROUND(R823*'Project Info and Summary'!$J$5/'Project Info and Summary'!$L$5,2),"")</f>
        <v/>
      </c>
    </row>
    <row r="824" spans="1:19" ht="30" customHeight="1">
      <c r="A824" s="948"/>
      <c r="B824" s="496">
        <f t="shared" si="24"/>
        <v>815</v>
      </c>
      <c r="C824" s="864"/>
      <c r="D824" s="505"/>
      <c r="E824" s="866"/>
      <c r="F824" s="498"/>
      <c r="G824" s="499"/>
      <c r="H824" s="492"/>
      <c r="I824" s="855">
        <f>IFERROR(IFERROR(INDEX('Fixture and LED Schedule'!D:D,MATCH(F824,'Fixture and LED Schedule'!C:C,""),1),F824),"")</f>
        <v>0</v>
      </c>
      <c r="J824" s="855" t="str">
        <f>IFERROR(IF(PRJ_Type="New Construction",H824,INDEX(yControl_Code,MATCH(Inventory!H824,yControlTypes,0),1)),"")</f>
        <v/>
      </c>
      <c r="K824" s="493"/>
      <c r="L824" s="501"/>
      <c r="M824" s="502"/>
      <c r="N824" s="855">
        <f>IFERROR(IFERROR(INDEX('Fixture and LED Schedule'!D:D,MATCH(K824,'Fixture and LED Schedule'!C:C,0),1),K824),"")</f>
        <v>0</v>
      </c>
      <c r="O824" s="858" t="str">
        <f>IFERROR(INDEX(yControl_Code,MATCH(Inventory!M824,yControlTypes,0),1),"")</f>
        <v/>
      </c>
      <c r="P824" s="860" t="str">
        <f>'Lighting Inventory (Ref only)'!AG827</f>
        <v/>
      </c>
      <c r="Q824" s="861" t="str">
        <f>'Lighting Inventory (Ref only)'!AF827</f>
        <v/>
      </c>
      <c r="R824" s="856" t="str">
        <f t="shared" si="25"/>
        <v/>
      </c>
      <c r="S824" s="856" t="str">
        <f>IFERROR(ROUND(R824*'Project Info and Summary'!$J$5/'Project Info and Summary'!$L$5,2),"")</f>
        <v/>
      </c>
    </row>
    <row r="825" spans="1:19" ht="30" customHeight="1">
      <c r="A825" s="948"/>
      <c r="B825" s="496">
        <f t="shared" si="24"/>
        <v>816</v>
      </c>
      <c r="C825" s="864"/>
      <c r="D825" s="505"/>
      <c r="E825" s="866"/>
      <c r="F825" s="498"/>
      <c r="G825" s="499"/>
      <c r="H825" s="492"/>
      <c r="I825" s="855">
        <f>IFERROR(IFERROR(INDEX('Fixture and LED Schedule'!D:D,MATCH(F825,'Fixture and LED Schedule'!C:C,""),1),F825),"")</f>
        <v>0</v>
      </c>
      <c r="J825" s="855" t="str">
        <f>IFERROR(IF(PRJ_Type="New Construction",H825,INDEX(yControl_Code,MATCH(Inventory!H825,yControlTypes,0),1)),"")</f>
        <v/>
      </c>
      <c r="K825" s="493"/>
      <c r="L825" s="501"/>
      <c r="M825" s="502"/>
      <c r="N825" s="855">
        <f>IFERROR(IFERROR(INDEX('Fixture and LED Schedule'!D:D,MATCH(K825,'Fixture and LED Schedule'!C:C,0),1),K825),"")</f>
        <v>0</v>
      </c>
      <c r="O825" s="858" t="str">
        <f>IFERROR(INDEX(yControl_Code,MATCH(Inventory!M825,yControlTypes,0),1),"")</f>
        <v/>
      </c>
      <c r="P825" s="860" t="str">
        <f>'Lighting Inventory (Ref only)'!AG828</f>
        <v/>
      </c>
      <c r="Q825" s="861" t="str">
        <f>'Lighting Inventory (Ref only)'!AF828</f>
        <v/>
      </c>
      <c r="R825" s="856" t="str">
        <f t="shared" si="25"/>
        <v/>
      </c>
      <c r="S825" s="856" t="str">
        <f>IFERROR(ROUND(R825*'Project Info and Summary'!$J$5/'Project Info and Summary'!$L$5,2),"")</f>
        <v/>
      </c>
    </row>
    <row r="826" spans="1:19" ht="30" customHeight="1">
      <c r="A826" s="948"/>
      <c r="B826" s="496">
        <f t="shared" si="24"/>
        <v>817</v>
      </c>
      <c r="C826" s="864"/>
      <c r="D826" s="505"/>
      <c r="E826" s="866"/>
      <c r="F826" s="498"/>
      <c r="G826" s="499"/>
      <c r="H826" s="492"/>
      <c r="I826" s="855">
        <f>IFERROR(IFERROR(INDEX('Fixture and LED Schedule'!D:D,MATCH(F826,'Fixture and LED Schedule'!C:C,""),1),F826),"")</f>
        <v>0</v>
      </c>
      <c r="J826" s="855" t="str">
        <f>IFERROR(IF(PRJ_Type="New Construction",H826,INDEX(yControl_Code,MATCH(Inventory!H826,yControlTypes,0),1)),"")</f>
        <v/>
      </c>
      <c r="K826" s="493"/>
      <c r="L826" s="501"/>
      <c r="M826" s="502"/>
      <c r="N826" s="855">
        <f>IFERROR(IFERROR(INDEX('Fixture and LED Schedule'!D:D,MATCH(K826,'Fixture and LED Schedule'!C:C,0),1),K826),"")</f>
        <v>0</v>
      </c>
      <c r="O826" s="858" t="str">
        <f>IFERROR(INDEX(yControl_Code,MATCH(Inventory!M826,yControlTypes,0),1),"")</f>
        <v/>
      </c>
      <c r="P826" s="860" t="str">
        <f>'Lighting Inventory (Ref only)'!AG829</f>
        <v/>
      </c>
      <c r="Q826" s="861" t="str">
        <f>'Lighting Inventory (Ref only)'!AF829</f>
        <v/>
      </c>
      <c r="R826" s="856" t="str">
        <f t="shared" si="25"/>
        <v/>
      </c>
      <c r="S826" s="856" t="str">
        <f>IFERROR(ROUND(R826*'Project Info and Summary'!$J$5/'Project Info and Summary'!$L$5,2),"")</f>
        <v/>
      </c>
    </row>
    <row r="827" spans="1:19" ht="30" customHeight="1">
      <c r="A827" s="948"/>
      <c r="B827" s="496">
        <f t="shared" si="24"/>
        <v>818</v>
      </c>
      <c r="C827" s="864"/>
      <c r="D827" s="505"/>
      <c r="E827" s="866"/>
      <c r="F827" s="498"/>
      <c r="G827" s="499"/>
      <c r="H827" s="492"/>
      <c r="I827" s="855">
        <f>IFERROR(IFERROR(INDEX('Fixture and LED Schedule'!D:D,MATCH(F827,'Fixture and LED Schedule'!C:C,""),1),F827),"")</f>
        <v>0</v>
      </c>
      <c r="J827" s="855" t="str">
        <f>IFERROR(IF(PRJ_Type="New Construction",H827,INDEX(yControl_Code,MATCH(Inventory!H827,yControlTypes,0),1)),"")</f>
        <v/>
      </c>
      <c r="K827" s="493"/>
      <c r="L827" s="501"/>
      <c r="M827" s="502"/>
      <c r="N827" s="855">
        <f>IFERROR(IFERROR(INDEX('Fixture and LED Schedule'!D:D,MATCH(K827,'Fixture and LED Schedule'!C:C,0),1),K827),"")</f>
        <v>0</v>
      </c>
      <c r="O827" s="858" t="str">
        <f>IFERROR(INDEX(yControl_Code,MATCH(Inventory!M827,yControlTypes,0),1),"")</f>
        <v/>
      </c>
      <c r="P827" s="860" t="str">
        <f>'Lighting Inventory (Ref only)'!AG830</f>
        <v/>
      </c>
      <c r="Q827" s="861" t="str">
        <f>'Lighting Inventory (Ref only)'!AF830</f>
        <v/>
      </c>
      <c r="R827" s="856" t="str">
        <f t="shared" si="25"/>
        <v/>
      </c>
      <c r="S827" s="856" t="str">
        <f>IFERROR(ROUND(R827*'Project Info and Summary'!$J$5/'Project Info and Summary'!$L$5,2),"")</f>
        <v/>
      </c>
    </row>
    <row r="828" spans="1:19" ht="30" customHeight="1">
      <c r="A828" s="948"/>
      <c r="B828" s="496">
        <f t="shared" si="24"/>
        <v>819</v>
      </c>
      <c r="C828" s="864"/>
      <c r="D828" s="505"/>
      <c r="E828" s="866"/>
      <c r="F828" s="498"/>
      <c r="G828" s="499"/>
      <c r="H828" s="492"/>
      <c r="I828" s="855">
        <f>IFERROR(IFERROR(INDEX('Fixture and LED Schedule'!D:D,MATCH(F828,'Fixture and LED Schedule'!C:C,""),1),F828),"")</f>
        <v>0</v>
      </c>
      <c r="J828" s="855" t="str">
        <f>IFERROR(IF(PRJ_Type="New Construction",H828,INDEX(yControl_Code,MATCH(Inventory!H828,yControlTypes,0),1)),"")</f>
        <v/>
      </c>
      <c r="K828" s="493"/>
      <c r="L828" s="501"/>
      <c r="M828" s="502"/>
      <c r="N828" s="855">
        <f>IFERROR(IFERROR(INDEX('Fixture and LED Schedule'!D:D,MATCH(K828,'Fixture and LED Schedule'!C:C,0),1),K828),"")</f>
        <v>0</v>
      </c>
      <c r="O828" s="858" t="str">
        <f>IFERROR(INDEX(yControl_Code,MATCH(Inventory!M828,yControlTypes,0),1),"")</f>
        <v/>
      </c>
      <c r="P828" s="860" t="str">
        <f>'Lighting Inventory (Ref only)'!AG831</f>
        <v/>
      </c>
      <c r="Q828" s="861" t="str">
        <f>'Lighting Inventory (Ref only)'!AF831</f>
        <v/>
      </c>
      <c r="R828" s="856" t="str">
        <f t="shared" si="25"/>
        <v/>
      </c>
      <c r="S828" s="856" t="str">
        <f>IFERROR(ROUND(R828*'Project Info and Summary'!$J$5/'Project Info and Summary'!$L$5,2),"")</f>
        <v/>
      </c>
    </row>
    <row r="829" spans="1:19" ht="30" customHeight="1">
      <c r="A829" s="948"/>
      <c r="B829" s="496">
        <f t="shared" ref="B829:B892" si="26">B828+1</f>
        <v>820</v>
      </c>
      <c r="C829" s="864"/>
      <c r="D829" s="505"/>
      <c r="E829" s="866"/>
      <c r="F829" s="498"/>
      <c r="G829" s="499"/>
      <c r="H829" s="492"/>
      <c r="I829" s="855">
        <f>IFERROR(IFERROR(INDEX('Fixture and LED Schedule'!D:D,MATCH(F829,'Fixture and LED Schedule'!C:C,""),1),F829),"")</f>
        <v>0</v>
      </c>
      <c r="J829" s="855" t="str">
        <f>IFERROR(IF(PRJ_Type="New Construction",H829,INDEX(yControl_Code,MATCH(Inventory!H829,yControlTypes,0),1)),"")</f>
        <v/>
      </c>
      <c r="K829" s="493"/>
      <c r="L829" s="501"/>
      <c r="M829" s="502"/>
      <c r="N829" s="855">
        <f>IFERROR(IFERROR(INDEX('Fixture and LED Schedule'!D:D,MATCH(K829,'Fixture and LED Schedule'!C:C,0),1),K829),"")</f>
        <v>0</v>
      </c>
      <c r="O829" s="858" t="str">
        <f>IFERROR(INDEX(yControl_Code,MATCH(Inventory!M829,yControlTypes,0),1),"")</f>
        <v/>
      </c>
      <c r="P829" s="860" t="str">
        <f>'Lighting Inventory (Ref only)'!AG832</f>
        <v/>
      </c>
      <c r="Q829" s="861" t="str">
        <f>'Lighting Inventory (Ref only)'!AF832</f>
        <v/>
      </c>
      <c r="R829" s="856" t="str">
        <f t="shared" si="25"/>
        <v/>
      </c>
      <c r="S829" s="856" t="str">
        <f>IFERROR(ROUND(R829*'Project Info and Summary'!$J$5/'Project Info and Summary'!$L$5,2),"")</f>
        <v/>
      </c>
    </row>
    <row r="830" spans="1:19" ht="30" customHeight="1">
      <c r="A830" s="948"/>
      <c r="B830" s="496">
        <f t="shared" si="26"/>
        <v>821</v>
      </c>
      <c r="C830" s="864"/>
      <c r="D830" s="505"/>
      <c r="E830" s="866"/>
      <c r="F830" s="498"/>
      <c r="G830" s="499"/>
      <c r="H830" s="492"/>
      <c r="I830" s="855">
        <f>IFERROR(IFERROR(INDEX('Fixture and LED Schedule'!D:D,MATCH(F830,'Fixture and LED Schedule'!C:C,""),1),F830),"")</f>
        <v>0</v>
      </c>
      <c r="J830" s="855" t="str">
        <f>IFERROR(IF(PRJ_Type="New Construction",H830,INDEX(yControl_Code,MATCH(Inventory!H830,yControlTypes,0),1)),"")</f>
        <v/>
      </c>
      <c r="K830" s="493"/>
      <c r="L830" s="501"/>
      <c r="M830" s="502"/>
      <c r="N830" s="855">
        <f>IFERROR(IFERROR(INDEX('Fixture and LED Schedule'!D:D,MATCH(K830,'Fixture and LED Schedule'!C:C,0),1),K830),"")</f>
        <v>0</v>
      </c>
      <c r="O830" s="858" t="str">
        <f>IFERROR(INDEX(yControl_Code,MATCH(Inventory!M830,yControlTypes,0),1),"")</f>
        <v/>
      </c>
      <c r="P830" s="860" t="str">
        <f>'Lighting Inventory (Ref only)'!AG833</f>
        <v/>
      </c>
      <c r="Q830" s="861" t="str">
        <f>'Lighting Inventory (Ref only)'!AF833</f>
        <v/>
      </c>
      <c r="R830" s="856" t="str">
        <f t="shared" si="25"/>
        <v/>
      </c>
      <c r="S830" s="856" t="str">
        <f>IFERROR(ROUND(R830*'Project Info and Summary'!$J$5/'Project Info and Summary'!$L$5,2),"")</f>
        <v/>
      </c>
    </row>
    <row r="831" spans="1:19" ht="30" customHeight="1">
      <c r="A831" s="948"/>
      <c r="B831" s="496">
        <f t="shared" si="26"/>
        <v>822</v>
      </c>
      <c r="C831" s="864"/>
      <c r="D831" s="505"/>
      <c r="E831" s="866"/>
      <c r="F831" s="498"/>
      <c r="G831" s="499"/>
      <c r="H831" s="492"/>
      <c r="I831" s="855">
        <f>IFERROR(IFERROR(INDEX('Fixture and LED Schedule'!D:D,MATCH(F831,'Fixture and LED Schedule'!C:C,""),1),F831),"")</f>
        <v>0</v>
      </c>
      <c r="J831" s="855" t="str">
        <f>IFERROR(IF(PRJ_Type="New Construction",H831,INDEX(yControl_Code,MATCH(Inventory!H831,yControlTypes,0),1)),"")</f>
        <v/>
      </c>
      <c r="K831" s="493"/>
      <c r="L831" s="501"/>
      <c r="M831" s="502"/>
      <c r="N831" s="855">
        <f>IFERROR(IFERROR(INDEX('Fixture and LED Schedule'!D:D,MATCH(K831,'Fixture and LED Schedule'!C:C,0),1),K831),"")</f>
        <v>0</v>
      </c>
      <c r="O831" s="858" t="str">
        <f>IFERROR(INDEX(yControl_Code,MATCH(Inventory!M831,yControlTypes,0),1),"")</f>
        <v/>
      </c>
      <c r="P831" s="860" t="str">
        <f>'Lighting Inventory (Ref only)'!AG834</f>
        <v/>
      </c>
      <c r="Q831" s="861" t="str">
        <f>'Lighting Inventory (Ref only)'!AF834</f>
        <v/>
      </c>
      <c r="R831" s="856" t="str">
        <f t="shared" si="25"/>
        <v/>
      </c>
      <c r="S831" s="856" t="str">
        <f>IFERROR(ROUND(R831*'Project Info and Summary'!$J$5/'Project Info and Summary'!$L$5,2),"")</f>
        <v/>
      </c>
    </row>
    <row r="832" spans="1:19" ht="30" customHeight="1">
      <c r="A832" s="948"/>
      <c r="B832" s="496">
        <f t="shared" si="26"/>
        <v>823</v>
      </c>
      <c r="C832" s="864"/>
      <c r="D832" s="505"/>
      <c r="E832" s="866"/>
      <c r="F832" s="498"/>
      <c r="G832" s="499"/>
      <c r="H832" s="492"/>
      <c r="I832" s="855">
        <f>IFERROR(IFERROR(INDEX('Fixture and LED Schedule'!D:D,MATCH(F832,'Fixture and LED Schedule'!C:C,""),1),F832),"")</f>
        <v>0</v>
      </c>
      <c r="J832" s="855" t="str">
        <f>IFERROR(IF(PRJ_Type="New Construction",H832,INDEX(yControl_Code,MATCH(Inventory!H832,yControlTypes,0),1)),"")</f>
        <v/>
      </c>
      <c r="K832" s="493"/>
      <c r="L832" s="501"/>
      <c r="M832" s="502"/>
      <c r="N832" s="855">
        <f>IFERROR(IFERROR(INDEX('Fixture and LED Schedule'!D:D,MATCH(K832,'Fixture and LED Schedule'!C:C,0),1),K832),"")</f>
        <v>0</v>
      </c>
      <c r="O832" s="858" t="str">
        <f>IFERROR(INDEX(yControl_Code,MATCH(Inventory!M832,yControlTypes,0),1),"")</f>
        <v/>
      </c>
      <c r="P832" s="860" t="str">
        <f>'Lighting Inventory (Ref only)'!AG835</f>
        <v/>
      </c>
      <c r="Q832" s="861" t="str">
        <f>'Lighting Inventory (Ref only)'!AF835</f>
        <v/>
      </c>
      <c r="R832" s="856" t="str">
        <f t="shared" si="25"/>
        <v/>
      </c>
      <c r="S832" s="856" t="str">
        <f>IFERROR(ROUND(R832*'Project Info and Summary'!$J$5/'Project Info and Summary'!$L$5,2),"")</f>
        <v/>
      </c>
    </row>
    <row r="833" spans="1:19" ht="30" customHeight="1">
      <c r="A833" s="948"/>
      <c r="B833" s="496">
        <f t="shared" si="26"/>
        <v>824</v>
      </c>
      <c r="C833" s="864"/>
      <c r="D833" s="505"/>
      <c r="E833" s="866"/>
      <c r="F833" s="498"/>
      <c r="G833" s="499"/>
      <c r="H833" s="492"/>
      <c r="I833" s="855">
        <f>IFERROR(IFERROR(INDEX('Fixture and LED Schedule'!D:D,MATCH(F833,'Fixture and LED Schedule'!C:C,""),1),F833),"")</f>
        <v>0</v>
      </c>
      <c r="J833" s="855" t="str">
        <f>IFERROR(IF(PRJ_Type="New Construction",H833,INDEX(yControl_Code,MATCH(Inventory!H833,yControlTypes,0),1)),"")</f>
        <v/>
      </c>
      <c r="K833" s="493"/>
      <c r="L833" s="501"/>
      <c r="M833" s="502"/>
      <c r="N833" s="855">
        <f>IFERROR(IFERROR(INDEX('Fixture and LED Schedule'!D:D,MATCH(K833,'Fixture and LED Schedule'!C:C,0),1),K833),"")</f>
        <v>0</v>
      </c>
      <c r="O833" s="858" t="str">
        <f>IFERROR(INDEX(yControl_Code,MATCH(Inventory!M833,yControlTypes,0),1),"")</f>
        <v/>
      </c>
      <c r="P833" s="860" t="str">
        <f>'Lighting Inventory (Ref only)'!AG836</f>
        <v/>
      </c>
      <c r="Q833" s="861" t="str">
        <f>'Lighting Inventory (Ref only)'!AF836</f>
        <v/>
      </c>
      <c r="R833" s="856" t="str">
        <f t="shared" si="25"/>
        <v/>
      </c>
      <c r="S833" s="856" t="str">
        <f>IFERROR(ROUND(R833*'Project Info and Summary'!$J$5/'Project Info and Summary'!$L$5,2),"")</f>
        <v/>
      </c>
    </row>
    <row r="834" spans="1:19" ht="30" customHeight="1">
      <c r="A834" s="948"/>
      <c r="B834" s="496">
        <f t="shared" si="26"/>
        <v>825</v>
      </c>
      <c r="C834" s="864"/>
      <c r="D834" s="505"/>
      <c r="E834" s="866"/>
      <c r="F834" s="498"/>
      <c r="G834" s="499"/>
      <c r="H834" s="492"/>
      <c r="I834" s="855">
        <f>IFERROR(IFERROR(INDEX('Fixture and LED Schedule'!D:D,MATCH(F834,'Fixture and LED Schedule'!C:C,""),1),F834),"")</f>
        <v>0</v>
      </c>
      <c r="J834" s="855" t="str">
        <f>IFERROR(IF(PRJ_Type="New Construction",H834,INDEX(yControl_Code,MATCH(Inventory!H834,yControlTypes,0),1)),"")</f>
        <v/>
      </c>
      <c r="K834" s="493"/>
      <c r="L834" s="501"/>
      <c r="M834" s="502"/>
      <c r="N834" s="855">
        <f>IFERROR(IFERROR(INDEX('Fixture and LED Schedule'!D:D,MATCH(K834,'Fixture and LED Schedule'!C:C,0),1),K834),"")</f>
        <v>0</v>
      </c>
      <c r="O834" s="858" t="str">
        <f>IFERROR(INDEX(yControl_Code,MATCH(Inventory!M834,yControlTypes,0),1),"")</f>
        <v/>
      </c>
      <c r="P834" s="860" t="str">
        <f>'Lighting Inventory (Ref only)'!AG837</f>
        <v/>
      </c>
      <c r="Q834" s="861" t="str">
        <f>'Lighting Inventory (Ref only)'!AF837</f>
        <v/>
      </c>
      <c r="R834" s="856" t="str">
        <f t="shared" si="25"/>
        <v/>
      </c>
      <c r="S834" s="856" t="str">
        <f>IFERROR(ROUND(R834*'Project Info and Summary'!$J$5/'Project Info and Summary'!$L$5,2),"")</f>
        <v/>
      </c>
    </row>
    <row r="835" spans="1:19" ht="30" customHeight="1">
      <c r="A835" s="948"/>
      <c r="B835" s="496">
        <f t="shared" si="26"/>
        <v>826</v>
      </c>
      <c r="C835" s="864"/>
      <c r="D835" s="505"/>
      <c r="E835" s="866"/>
      <c r="F835" s="498"/>
      <c r="G835" s="499"/>
      <c r="H835" s="492"/>
      <c r="I835" s="855">
        <f>IFERROR(IFERROR(INDEX('Fixture and LED Schedule'!D:D,MATCH(F835,'Fixture and LED Schedule'!C:C,""),1),F835),"")</f>
        <v>0</v>
      </c>
      <c r="J835" s="855" t="str">
        <f>IFERROR(IF(PRJ_Type="New Construction",H835,INDEX(yControl_Code,MATCH(Inventory!H835,yControlTypes,0),1)),"")</f>
        <v/>
      </c>
      <c r="K835" s="493"/>
      <c r="L835" s="501"/>
      <c r="M835" s="502"/>
      <c r="N835" s="855">
        <f>IFERROR(IFERROR(INDEX('Fixture and LED Schedule'!D:D,MATCH(K835,'Fixture and LED Schedule'!C:C,0),1),K835),"")</f>
        <v>0</v>
      </c>
      <c r="O835" s="858" t="str">
        <f>IFERROR(INDEX(yControl_Code,MATCH(Inventory!M835,yControlTypes,0),1),"")</f>
        <v/>
      </c>
      <c r="P835" s="860" t="str">
        <f>'Lighting Inventory (Ref only)'!AG838</f>
        <v/>
      </c>
      <c r="Q835" s="861" t="str">
        <f>'Lighting Inventory (Ref only)'!AF838</f>
        <v/>
      </c>
      <c r="R835" s="856" t="str">
        <f t="shared" si="25"/>
        <v/>
      </c>
      <c r="S835" s="856" t="str">
        <f>IFERROR(ROUND(R835*'Project Info and Summary'!$J$5/'Project Info and Summary'!$L$5,2),"")</f>
        <v/>
      </c>
    </row>
    <row r="836" spans="1:19" ht="30" customHeight="1">
      <c r="A836" s="948"/>
      <c r="B836" s="496">
        <f t="shared" si="26"/>
        <v>827</v>
      </c>
      <c r="C836" s="864"/>
      <c r="D836" s="505"/>
      <c r="E836" s="866"/>
      <c r="F836" s="498"/>
      <c r="G836" s="499"/>
      <c r="H836" s="492"/>
      <c r="I836" s="855">
        <f>IFERROR(IFERROR(INDEX('Fixture and LED Schedule'!D:D,MATCH(F836,'Fixture and LED Schedule'!C:C,""),1),F836),"")</f>
        <v>0</v>
      </c>
      <c r="J836" s="855" t="str">
        <f>IFERROR(IF(PRJ_Type="New Construction",H836,INDEX(yControl_Code,MATCH(Inventory!H836,yControlTypes,0),1)),"")</f>
        <v/>
      </c>
      <c r="K836" s="493"/>
      <c r="L836" s="501"/>
      <c r="M836" s="502"/>
      <c r="N836" s="855">
        <f>IFERROR(IFERROR(INDEX('Fixture and LED Schedule'!D:D,MATCH(K836,'Fixture and LED Schedule'!C:C,0),1),K836),"")</f>
        <v>0</v>
      </c>
      <c r="O836" s="858" t="str">
        <f>IFERROR(INDEX(yControl_Code,MATCH(Inventory!M836,yControlTypes,0),1),"")</f>
        <v/>
      </c>
      <c r="P836" s="860" t="str">
        <f>'Lighting Inventory (Ref only)'!AG839</f>
        <v/>
      </c>
      <c r="Q836" s="861" t="str">
        <f>'Lighting Inventory (Ref only)'!AF839</f>
        <v/>
      </c>
      <c r="R836" s="856" t="str">
        <f t="shared" si="25"/>
        <v/>
      </c>
      <c r="S836" s="856" t="str">
        <f>IFERROR(ROUND(R836*'Project Info and Summary'!$J$5/'Project Info and Summary'!$L$5,2),"")</f>
        <v/>
      </c>
    </row>
    <row r="837" spans="1:19" ht="30" customHeight="1">
      <c r="A837" s="948"/>
      <c r="B837" s="496">
        <f t="shared" si="26"/>
        <v>828</v>
      </c>
      <c r="C837" s="864"/>
      <c r="D837" s="505"/>
      <c r="E837" s="866"/>
      <c r="F837" s="498"/>
      <c r="G837" s="499"/>
      <c r="H837" s="492"/>
      <c r="I837" s="855">
        <f>IFERROR(IFERROR(INDEX('Fixture and LED Schedule'!D:D,MATCH(F837,'Fixture and LED Schedule'!C:C,""),1),F837),"")</f>
        <v>0</v>
      </c>
      <c r="J837" s="855" t="str">
        <f>IFERROR(IF(PRJ_Type="New Construction",H837,INDEX(yControl_Code,MATCH(Inventory!H837,yControlTypes,0),1)),"")</f>
        <v/>
      </c>
      <c r="K837" s="493"/>
      <c r="L837" s="501"/>
      <c r="M837" s="502"/>
      <c r="N837" s="855">
        <f>IFERROR(IFERROR(INDEX('Fixture and LED Schedule'!D:D,MATCH(K837,'Fixture and LED Schedule'!C:C,0),1),K837),"")</f>
        <v>0</v>
      </c>
      <c r="O837" s="858" t="str">
        <f>IFERROR(INDEX(yControl_Code,MATCH(Inventory!M837,yControlTypes,0),1),"")</f>
        <v/>
      </c>
      <c r="P837" s="860" t="str">
        <f>'Lighting Inventory (Ref only)'!AG840</f>
        <v/>
      </c>
      <c r="Q837" s="861" t="str">
        <f>'Lighting Inventory (Ref only)'!AF840</f>
        <v/>
      </c>
      <c r="R837" s="856" t="str">
        <f t="shared" si="25"/>
        <v/>
      </c>
      <c r="S837" s="856" t="str">
        <f>IFERROR(ROUND(R837*'Project Info and Summary'!$J$5/'Project Info and Summary'!$L$5,2),"")</f>
        <v/>
      </c>
    </row>
    <row r="838" spans="1:19" ht="30" customHeight="1">
      <c r="A838" s="948"/>
      <c r="B838" s="496">
        <f t="shared" si="26"/>
        <v>829</v>
      </c>
      <c r="C838" s="864"/>
      <c r="D838" s="505"/>
      <c r="E838" s="866"/>
      <c r="F838" s="498"/>
      <c r="G838" s="499"/>
      <c r="H838" s="492"/>
      <c r="I838" s="855">
        <f>IFERROR(IFERROR(INDEX('Fixture and LED Schedule'!D:D,MATCH(F838,'Fixture and LED Schedule'!C:C,""),1),F838),"")</f>
        <v>0</v>
      </c>
      <c r="J838" s="855" t="str">
        <f>IFERROR(IF(PRJ_Type="New Construction",H838,INDEX(yControl_Code,MATCH(Inventory!H838,yControlTypes,0),1)),"")</f>
        <v/>
      </c>
      <c r="K838" s="493"/>
      <c r="L838" s="501"/>
      <c r="M838" s="502"/>
      <c r="N838" s="855">
        <f>IFERROR(IFERROR(INDEX('Fixture and LED Schedule'!D:D,MATCH(K838,'Fixture and LED Schedule'!C:C,0),1),K838),"")</f>
        <v>0</v>
      </c>
      <c r="O838" s="858" t="str">
        <f>IFERROR(INDEX(yControl_Code,MATCH(Inventory!M838,yControlTypes,0),1),"")</f>
        <v/>
      </c>
      <c r="P838" s="860" t="str">
        <f>'Lighting Inventory (Ref only)'!AG841</f>
        <v/>
      </c>
      <c r="Q838" s="861" t="str">
        <f>'Lighting Inventory (Ref only)'!AF841</f>
        <v/>
      </c>
      <c r="R838" s="856" t="str">
        <f t="shared" si="25"/>
        <v/>
      </c>
      <c r="S838" s="856" t="str">
        <f>IFERROR(ROUND(R838*'Project Info and Summary'!$J$5/'Project Info and Summary'!$L$5,2),"")</f>
        <v/>
      </c>
    </row>
    <row r="839" spans="1:19" ht="30" customHeight="1">
      <c r="A839" s="948"/>
      <c r="B839" s="496">
        <f t="shared" si="26"/>
        <v>830</v>
      </c>
      <c r="C839" s="864"/>
      <c r="D839" s="505"/>
      <c r="E839" s="866"/>
      <c r="F839" s="498"/>
      <c r="G839" s="499"/>
      <c r="H839" s="492"/>
      <c r="I839" s="855">
        <f>IFERROR(IFERROR(INDEX('Fixture and LED Schedule'!D:D,MATCH(F839,'Fixture and LED Schedule'!C:C,""),1),F839),"")</f>
        <v>0</v>
      </c>
      <c r="J839" s="855" t="str">
        <f>IFERROR(IF(PRJ_Type="New Construction",H839,INDEX(yControl_Code,MATCH(Inventory!H839,yControlTypes,0),1)),"")</f>
        <v/>
      </c>
      <c r="K839" s="493"/>
      <c r="L839" s="501"/>
      <c r="M839" s="502"/>
      <c r="N839" s="855">
        <f>IFERROR(IFERROR(INDEX('Fixture and LED Schedule'!D:D,MATCH(K839,'Fixture and LED Schedule'!C:C,0),1),K839),"")</f>
        <v>0</v>
      </c>
      <c r="O839" s="858" t="str">
        <f>IFERROR(INDEX(yControl_Code,MATCH(Inventory!M839,yControlTypes,0),1),"")</f>
        <v/>
      </c>
      <c r="P839" s="860" t="str">
        <f>'Lighting Inventory (Ref only)'!AG842</f>
        <v/>
      </c>
      <c r="Q839" s="861" t="str">
        <f>'Lighting Inventory (Ref only)'!AF842</f>
        <v/>
      </c>
      <c r="R839" s="856" t="str">
        <f t="shared" si="25"/>
        <v/>
      </c>
      <c r="S839" s="856" t="str">
        <f>IFERROR(ROUND(R839*'Project Info and Summary'!$J$5/'Project Info and Summary'!$L$5,2),"")</f>
        <v/>
      </c>
    </row>
    <row r="840" spans="1:19" ht="30" customHeight="1">
      <c r="A840" s="948"/>
      <c r="B840" s="496">
        <f t="shared" si="26"/>
        <v>831</v>
      </c>
      <c r="C840" s="864"/>
      <c r="D840" s="505"/>
      <c r="E840" s="866"/>
      <c r="F840" s="498"/>
      <c r="G840" s="499"/>
      <c r="H840" s="492"/>
      <c r="I840" s="855">
        <f>IFERROR(IFERROR(INDEX('Fixture and LED Schedule'!D:D,MATCH(F840,'Fixture and LED Schedule'!C:C,""),1),F840),"")</f>
        <v>0</v>
      </c>
      <c r="J840" s="855" t="str">
        <f>IFERROR(IF(PRJ_Type="New Construction",H840,INDEX(yControl_Code,MATCH(Inventory!H840,yControlTypes,0),1)),"")</f>
        <v/>
      </c>
      <c r="K840" s="493"/>
      <c r="L840" s="501"/>
      <c r="M840" s="502"/>
      <c r="N840" s="855">
        <f>IFERROR(IFERROR(INDEX('Fixture and LED Schedule'!D:D,MATCH(K840,'Fixture and LED Schedule'!C:C,0),1),K840),"")</f>
        <v>0</v>
      </c>
      <c r="O840" s="858" t="str">
        <f>IFERROR(INDEX(yControl_Code,MATCH(Inventory!M840,yControlTypes,0),1),"")</f>
        <v/>
      </c>
      <c r="P840" s="860" t="str">
        <f>'Lighting Inventory (Ref only)'!AG843</f>
        <v/>
      </c>
      <c r="Q840" s="861" t="str">
        <f>'Lighting Inventory (Ref only)'!AF843</f>
        <v/>
      </c>
      <c r="R840" s="856" t="str">
        <f t="shared" si="25"/>
        <v/>
      </c>
      <c r="S840" s="856" t="str">
        <f>IFERROR(ROUND(R840*'Project Info and Summary'!$J$5/'Project Info and Summary'!$L$5,2),"")</f>
        <v/>
      </c>
    </row>
    <row r="841" spans="1:19" ht="30" customHeight="1">
      <c r="A841" s="948"/>
      <c r="B841" s="496">
        <f t="shared" si="26"/>
        <v>832</v>
      </c>
      <c r="C841" s="864"/>
      <c r="D841" s="505"/>
      <c r="E841" s="866"/>
      <c r="F841" s="498"/>
      <c r="G841" s="499"/>
      <c r="H841" s="492"/>
      <c r="I841" s="855">
        <f>IFERROR(IFERROR(INDEX('Fixture and LED Schedule'!D:D,MATCH(F841,'Fixture and LED Schedule'!C:C,""),1),F841),"")</f>
        <v>0</v>
      </c>
      <c r="J841" s="855" t="str">
        <f>IFERROR(IF(PRJ_Type="New Construction",H841,INDEX(yControl_Code,MATCH(Inventory!H841,yControlTypes,0),1)),"")</f>
        <v/>
      </c>
      <c r="K841" s="493"/>
      <c r="L841" s="501"/>
      <c r="M841" s="502"/>
      <c r="N841" s="855">
        <f>IFERROR(IFERROR(INDEX('Fixture and LED Schedule'!D:D,MATCH(K841,'Fixture and LED Schedule'!C:C,0),1),K841),"")</f>
        <v>0</v>
      </c>
      <c r="O841" s="858" t="str">
        <f>IFERROR(INDEX(yControl_Code,MATCH(Inventory!M841,yControlTypes,0),1),"")</f>
        <v/>
      </c>
      <c r="P841" s="860" t="str">
        <f>'Lighting Inventory (Ref only)'!AG844</f>
        <v/>
      </c>
      <c r="Q841" s="861" t="str">
        <f>'Lighting Inventory (Ref only)'!AF844</f>
        <v/>
      </c>
      <c r="R841" s="856" t="str">
        <f t="shared" si="25"/>
        <v/>
      </c>
      <c r="S841" s="856" t="str">
        <f>IFERROR(ROUND(R841*'Project Info and Summary'!$J$5/'Project Info and Summary'!$L$5,2),"")</f>
        <v/>
      </c>
    </row>
    <row r="842" spans="1:19" ht="30" customHeight="1">
      <c r="A842" s="948"/>
      <c r="B842" s="496">
        <f t="shared" si="26"/>
        <v>833</v>
      </c>
      <c r="C842" s="864"/>
      <c r="D842" s="505"/>
      <c r="E842" s="866"/>
      <c r="F842" s="498"/>
      <c r="G842" s="499"/>
      <c r="H842" s="492"/>
      <c r="I842" s="855">
        <f>IFERROR(IFERROR(INDEX('Fixture and LED Schedule'!D:D,MATCH(F842,'Fixture and LED Schedule'!C:C,""),1),F842),"")</f>
        <v>0</v>
      </c>
      <c r="J842" s="855" t="str">
        <f>IFERROR(IF(PRJ_Type="New Construction",H842,INDEX(yControl_Code,MATCH(Inventory!H842,yControlTypes,0),1)),"")</f>
        <v/>
      </c>
      <c r="K842" s="493"/>
      <c r="L842" s="501"/>
      <c r="M842" s="502"/>
      <c r="N842" s="855">
        <f>IFERROR(IFERROR(INDEX('Fixture and LED Schedule'!D:D,MATCH(K842,'Fixture and LED Schedule'!C:C,0),1),K842),"")</f>
        <v>0</v>
      </c>
      <c r="O842" s="858" t="str">
        <f>IFERROR(INDEX(yControl_Code,MATCH(Inventory!M842,yControlTypes,0),1),"")</f>
        <v/>
      </c>
      <c r="P842" s="860" t="str">
        <f>'Lighting Inventory (Ref only)'!AG845</f>
        <v/>
      </c>
      <c r="Q842" s="861" t="str">
        <f>'Lighting Inventory (Ref only)'!AF845</f>
        <v/>
      </c>
      <c r="R842" s="856" t="str">
        <f t="shared" si="25"/>
        <v/>
      </c>
      <c r="S842" s="856" t="str">
        <f>IFERROR(ROUND(R842*'Project Info and Summary'!$J$5/'Project Info and Summary'!$L$5,2),"")</f>
        <v/>
      </c>
    </row>
    <row r="843" spans="1:19" ht="30" customHeight="1">
      <c r="A843" s="948"/>
      <c r="B843" s="496">
        <f t="shared" si="26"/>
        <v>834</v>
      </c>
      <c r="C843" s="864"/>
      <c r="D843" s="505"/>
      <c r="E843" s="866"/>
      <c r="F843" s="498"/>
      <c r="G843" s="499"/>
      <c r="H843" s="492"/>
      <c r="I843" s="855">
        <f>IFERROR(IFERROR(INDEX('Fixture and LED Schedule'!D:D,MATCH(F843,'Fixture and LED Schedule'!C:C,""),1),F843),"")</f>
        <v>0</v>
      </c>
      <c r="J843" s="855" t="str">
        <f>IFERROR(IF(PRJ_Type="New Construction",H843,INDEX(yControl_Code,MATCH(Inventory!H843,yControlTypes,0),1)),"")</f>
        <v/>
      </c>
      <c r="K843" s="493"/>
      <c r="L843" s="501"/>
      <c r="M843" s="502"/>
      <c r="N843" s="855">
        <f>IFERROR(IFERROR(INDEX('Fixture and LED Schedule'!D:D,MATCH(K843,'Fixture and LED Schedule'!C:C,0),1),K843),"")</f>
        <v>0</v>
      </c>
      <c r="O843" s="858" t="str">
        <f>IFERROR(INDEX(yControl_Code,MATCH(Inventory!M843,yControlTypes,0),1),"")</f>
        <v/>
      </c>
      <c r="P843" s="860" t="str">
        <f>'Lighting Inventory (Ref only)'!AG846</f>
        <v/>
      </c>
      <c r="Q843" s="861" t="str">
        <f>'Lighting Inventory (Ref only)'!AF846</f>
        <v/>
      </c>
      <c r="R843" s="856" t="str">
        <f t="shared" ref="R843:R906" si="27">IFERROR(P843*0.02+Q843*185,"")</f>
        <v/>
      </c>
      <c r="S843" s="856" t="str">
        <f>IFERROR(ROUND(R843*'Project Info and Summary'!$J$5/'Project Info and Summary'!$L$5,2),"")</f>
        <v/>
      </c>
    </row>
    <row r="844" spans="1:19" ht="30" customHeight="1">
      <c r="A844" s="948"/>
      <c r="B844" s="496">
        <f t="shared" si="26"/>
        <v>835</v>
      </c>
      <c r="C844" s="864"/>
      <c r="D844" s="505"/>
      <c r="E844" s="866"/>
      <c r="F844" s="498"/>
      <c r="G844" s="499"/>
      <c r="H844" s="492"/>
      <c r="I844" s="855">
        <f>IFERROR(IFERROR(INDEX('Fixture and LED Schedule'!D:D,MATCH(F844,'Fixture and LED Schedule'!C:C,""),1),F844),"")</f>
        <v>0</v>
      </c>
      <c r="J844" s="855" t="str">
        <f>IFERROR(IF(PRJ_Type="New Construction",H844,INDEX(yControl_Code,MATCH(Inventory!H844,yControlTypes,0),1)),"")</f>
        <v/>
      </c>
      <c r="K844" s="493"/>
      <c r="L844" s="501"/>
      <c r="M844" s="502"/>
      <c r="N844" s="855">
        <f>IFERROR(IFERROR(INDEX('Fixture and LED Schedule'!D:D,MATCH(K844,'Fixture and LED Schedule'!C:C,0),1),K844),"")</f>
        <v>0</v>
      </c>
      <c r="O844" s="858" t="str">
        <f>IFERROR(INDEX(yControl_Code,MATCH(Inventory!M844,yControlTypes,0),1),"")</f>
        <v/>
      </c>
      <c r="P844" s="860" t="str">
        <f>'Lighting Inventory (Ref only)'!AG847</f>
        <v/>
      </c>
      <c r="Q844" s="861" t="str">
        <f>'Lighting Inventory (Ref only)'!AF847</f>
        <v/>
      </c>
      <c r="R844" s="856" t="str">
        <f t="shared" si="27"/>
        <v/>
      </c>
      <c r="S844" s="856" t="str">
        <f>IFERROR(ROUND(R844*'Project Info and Summary'!$J$5/'Project Info and Summary'!$L$5,2),"")</f>
        <v/>
      </c>
    </row>
    <row r="845" spans="1:19" ht="30" customHeight="1">
      <c r="A845" s="948"/>
      <c r="B845" s="496">
        <f t="shared" si="26"/>
        <v>836</v>
      </c>
      <c r="C845" s="864"/>
      <c r="D845" s="505"/>
      <c r="E845" s="866"/>
      <c r="F845" s="498"/>
      <c r="G845" s="499"/>
      <c r="H845" s="492"/>
      <c r="I845" s="855">
        <f>IFERROR(IFERROR(INDEX('Fixture and LED Schedule'!D:D,MATCH(F845,'Fixture and LED Schedule'!C:C,""),1),F845),"")</f>
        <v>0</v>
      </c>
      <c r="J845" s="855" t="str">
        <f>IFERROR(IF(PRJ_Type="New Construction",H845,INDEX(yControl_Code,MATCH(Inventory!H845,yControlTypes,0),1)),"")</f>
        <v/>
      </c>
      <c r="K845" s="493"/>
      <c r="L845" s="501"/>
      <c r="M845" s="502"/>
      <c r="N845" s="855">
        <f>IFERROR(IFERROR(INDEX('Fixture and LED Schedule'!D:D,MATCH(K845,'Fixture and LED Schedule'!C:C,0),1),K845),"")</f>
        <v>0</v>
      </c>
      <c r="O845" s="858" t="str">
        <f>IFERROR(INDEX(yControl_Code,MATCH(Inventory!M845,yControlTypes,0),1),"")</f>
        <v/>
      </c>
      <c r="P845" s="860" t="str">
        <f>'Lighting Inventory (Ref only)'!AG848</f>
        <v/>
      </c>
      <c r="Q845" s="861" t="str">
        <f>'Lighting Inventory (Ref only)'!AF848</f>
        <v/>
      </c>
      <c r="R845" s="856" t="str">
        <f t="shared" si="27"/>
        <v/>
      </c>
      <c r="S845" s="856" t="str">
        <f>IFERROR(ROUND(R845*'Project Info and Summary'!$J$5/'Project Info and Summary'!$L$5,2),"")</f>
        <v/>
      </c>
    </row>
    <row r="846" spans="1:19" ht="30" customHeight="1">
      <c r="A846" s="948"/>
      <c r="B846" s="496">
        <f t="shared" si="26"/>
        <v>837</v>
      </c>
      <c r="C846" s="864"/>
      <c r="D846" s="505"/>
      <c r="E846" s="866"/>
      <c r="F846" s="498"/>
      <c r="G846" s="499"/>
      <c r="H846" s="492"/>
      <c r="I846" s="855">
        <f>IFERROR(IFERROR(INDEX('Fixture and LED Schedule'!D:D,MATCH(F846,'Fixture and LED Schedule'!C:C,""),1),F846),"")</f>
        <v>0</v>
      </c>
      <c r="J846" s="855" t="str">
        <f>IFERROR(IF(PRJ_Type="New Construction",H846,INDEX(yControl_Code,MATCH(Inventory!H846,yControlTypes,0),1)),"")</f>
        <v/>
      </c>
      <c r="K846" s="493"/>
      <c r="L846" s="501"/>
      <c r="M846" s="502"/>
      <c r="N846" s="855">
        <f>IFERROR(IFERROR(INDEX('Fixture and LED Schedule'!D:D,MATCH(K846,'Fixture and LED Schedule'!C:C,0),1),K846),"")</f>
        <v>0</v>
      </c>
      <c r="O846" s="858" t="str">
        <f>IFERROR(INDEX(yControl_Code,MATCH(Inventory!M846,yControlTypes,0),1),"")</f>
        <v/>
      </c>
      <c r="P846" s="860" t="str">
        <f>'Lighting Inventory (Ref only)'!AG849</f>
        <v/>
      </c>
      <c r="Q846" s="861" t="str">
        <f>'Lighting Inventory (Ref only)'!AF849</f>
        <v/>
      </c>
      <c r="R846" s="856" t="str">
        <f t="shared" si="27"/>
        <v/>
      </c>
      <c r="S846" s="856" t="str">
        <f>IFERROR(ROUND(R846*'Project Info and Summary'!$J$5/'Project Info and Summary'!$L$5,2),"")</f>
        <v/>
      </c>
    </row>
    <row r="847" spans="1:19" ht="30" customHeight="1">
      <c r="A847" s="948"/>
      <c r="B847" s="496">
        <f t="shared" si="26"/>
        <v>838</v>
      </c>
      <c r="C847" s="864"/>
      <c r="D847" s="505"/>
      <c r="E847" s="866"/>
      <c r="F847" s="498"/>
      <c r="G847" s="499"/>
      <c r="H847" s="492"/>
      <c r="I847" s="855">
        <f>IFERROR(IFERROR(INDEX('Fixture and LED Schedule'!D:D,MATCH(F847,'Fixture and LED Schedule'!C:C,""),1),F847),"")</f>
        <v>0</v>
      </c>
      <c r="J847" s="855" t="str">
        <f>IFERROR(IF(PRJ_Type="New Construction",H847,INDEX(yControl_Code,MATCH(Inventory!H847,yControlTypes,0),1)),"")</f>
        <v/>
      </c>
      <c r="K847" s="493"/>
      <c r="L847" s="501"/>
      <c r="M847" s="502"/>
      <c r="N847" s="855">
        <f>IFERROR(IFERROR(INDEX('Fixture and LED Schedule'!D:D,MATCH(K847,'Fixture and LED Schedule'!C:C,0),1),K847),"")</f>
        <v>0</v>
      </c>
      <c r="O847" s="858" t="str">
        <f>IFERROR(INDEX(yControl_Code,MATCH(Inventory!M847,yControlTypes,0),1),"")</f>
        <v/>
      </c>
      <c r="P847" s="860" t="str">
        <f>'Lighting Inventory (Ref only)'!AG850</f>
        <v/>
      </c>
      <c r="Q847" s="861" t="str">
        <f>'Lighting Inventory (Ref only)'!AF850</f>
        <v/>
      </c>
      <c r="R847" s="856" t="str">
        <f t="shared" si="27"/>
        <v/>
      </c>
      <c r="S847" s="856" t="str">
        <f>IFERROR(ROUND(R847*'Project Info and Summary'!$J$5/'Project Info and Summary'!$L$5,2),"")</f>
        <v/>
      </c>
    </row>
    <row r="848" spans="1:19" ht="30" customHeight="1">
      <c r="A848" s="948"/>
      <c r="B848" s="496">
        <f t="shared" si="26"/>
        <v>839</v>
      </c>
      <c r="C848" s="864"/>
      <c r="D848" s="505"/>
      <c r="E848" s="866"/>
      <c r="F848" s="498"/>
      <c r="G848" s="499"/>
      <c r="H848" s="492"/>
      <c r="I848" s="855">
        <f>IFERROR(IFERROR(INDEX('Fixture and LED Schedule'!D:D,MATCH(F848,'Fixture and LED Schedule'!C:C,""),1),F848),"")</f>
        <v>0</v>
      </c>
      <c r="J848" s="855" t="str">
        <f>IFERROR(IF(PRJ_Type="New Construction",H848,INDEX(yControl_Code,MATCH(Inventory!H848,yControlTypes,0),1)),"")</f>
        <v/>
      </c>
      <c r="K848" s="493"/>
      <c r="L848" s="501"/>
      <c r="M848" s="502"/>
      <c r="N848" s="855">
        <f>IFERROR(IFERROR(INDEX('Fixture and LED Schedule'!D:D,MATCH(K848,'Fixture and LED Schedule'!C:C,0),1),K848),"")</f>
        <v>0</v>
      </c>
      <c r="O848" s="858" t="str">
        <f>IFERROR(INDEX(yControl_Code,MATCH(Inventory!M848,yControlTypes,0),1),"")</f>
        <v/>
      </c>
      <c r="P848" s="860" t="str">
        <f>'Lighting Inventory (Ref only)'!AG851</f>
        <v/>
      </c>
      <c r="Q848" s="861" t="str">
        <f>'Lighting Inventory (Ref only)'!AF851</f>
        <v/>
      </c>
      <c r="R848" s="856" t="str">
        <f t="shared" si="27"/>
        <v/>
      </c>
      <c r="S848" s="856" t="str">
        <f>IFERROR(ROUND(R848*'Project Info and Summary'!$J$5/'Project Info and Summary'!$L$5,2),"")</f>
        <v/>
      </c>
    </row>
    <row r="849" spans="1:19" ht="30" customHeight="1">
      <c r="A849" s="948"/>
      <c r="B849" s="496">
        <f t="shared" si="26"/>
        <v>840</v>
      </c>
      <c r="C849" s="864"/>
      <c r="D849" s="505"/>
      <c r="E849" s="866"/>
      <c r="F849" s="498"/>
      <c r="G849" s="499"/>
      <c r="H849" s="492"/>
      <c r="I849" s="855">
        <f>IFERROR(IFERROR(INDEX('Fixture and LED Schedule'!D:D,MATCH(F849,'Fixture and LED Schedule'!C:C,""),1),F849),"")</f>
        <v>0</v>
      </c>
      <c r="J849" s="855" t="str">
        <f>IFERROR(IF(PRJ_Type="New Construction",H849,INDEX(yControl_Code,MATCH(Inventory!H849,yControlTypes,0),1)),"")</f>
        <v/>
      </c>
      <c r="K849" s="493"/>
      <c r="L849" s="501"/>
      <c r="M849" s="502"/>
      <c r="N849" s="855">
        <f>IFERROR(IFERROR(INDEX('Fixture and LED Schedule'!D:D,MATCH(K849,'Fixture and LED Schedule'!C:C,0),1),K849),"")</f>
        <v>0</v>
      </c>
      <c r="O849" s="858" t="str">
        <f>IFERROR(INDEX(yControl_Code,MATCH(Inventory!M849,yControlTypes,0),1),"")</f>
        <v/>
      </c>
      <c r="P849" s="860" t="str">
        <f>'Lighting Inventory (Ref only)'!AG852</f>
        <v/>
      </c>
      <c r="Q849" s="861" t="str">
        <f>'Lighting Inventory (Ref only)'!AF852</f>
        <v/>
      </c>
      <c r="R849" s="856" t="str">
        <f t="shared" si="27"/>
        <v/>
      </c>
      <c r="S849" s="856" t="str">
        <f>IFERROR(ROUND(R849*'Project Info and Summary'!$J$5/'Project Info and Summary'!$L$5,2),"")</f>
        <v/>
      </c>
    </row>
    <row r="850" spans="1:19" ht="30" customHeight="1">
      <c r="A850" s="948"/>
      <c r="B850" s="496">
        <f t="shared" si="26"/>
        <v>841</v>
      </c>
      <c r="C850" s="864"/>
      <c r="D850" s="505"/>
      <c r="E850" s="866"/>
      <c r="F850" s="498"/>
      <c r="G850" s="499"/>
      <c r="H850" s="492"/>
      <c r="I850" s="855">
        <f>IFERROR(IFERROR(INDEX('Fixture and LED Schedule'!D:D,MATCH(F850,'Fixture and LED Schedule'!C:C,""),1),F850),"")</f>
        <v>0</v>
      </c>
      <c r="J850" s="855" t="str">
        <f>IFERROR(IF(PRJ_Type="New Construction",H850,INDEX(yControl_Code,MATCH(Inventory!H850,yControlTypes,0),1)),"")</f>
        <v/>
      </c>
      <c r="K850" s="493"/>
      <c r="L850" s="501"/>
      <c r="M850" s="502"/>
      <c r="N850" s="855">
        <f>IFERROR(IFERROR(INDEX('Fixture and LED Schedule'!D:D,MATCH(K850,'Fixture and LED Schedule'!C:C,0),1),K850),"")</f>
        <v>0</v>
      </c>
      <c r="O850" s="858" t="str">
        <f>IFERROR(INDEX(yControl_Code,MATCH(Inventory!M850,yControlTypes,0),1),"")</f>
        <v/>
      </c>
      <c r="P850" s="860" t="str">
        <f>'Lighting Inventory (Ref only)'!AG853</f>
        <v/>
      </c>
      <c r="Q850" s="861" t="str">
        <f>'Lighting Inventory (Ref only)'!AF853</f>
        <v/>
      </c>
      <c r="R850" s="856" t="str">
        <f t="shared" si="27"/>
        <v/>
      </c>
      <c r="S850" s="856" t="str">
        <f>IFERROR(ROUND(R850*'Project Info and Summary'!$J$5/'Project Info and Summary'!$L$5,2),"")</f>
        <v/>
      </c>
    </row>
    <row r="851" spans="1:19" ht="30" customHeight="1">
      <c r="A851" s="948"/>
      <c r="B851" s="496">
        <f t="shared" si="26"/>
        <v>842</v>
      </c>
      <c r="C851" s="864"/>
      <c r="D851" s="505"/>
      <c r="E851" s="866"/>
      <c r="F851" s="498"/>
      <c r="G851" s="499"/>
      <c r="H851" s="492"/>
      <c r="I851" s="855">
        <f>IFERROR(IFERROR(INDEX('Fixture and LED Schedule'!D:D,MATCH(F851,'Fixture and LED Schedule'!C:C,""),1),F851),"")</f>
        <v>0</v>
      </c>
      <c r="J851" s="855" t="str">
        <f>IFERROR(IF(PRJ_Type="New Construction",H851,INDEX(yControl_Code,MATCH(Inventory!H851,yControlTypes,0),1)),"")</f>
        <v/>
      </c>
      <c r="K851" s="493"/>
      <c r="L851" s="501"/>
      <c r="M851" s="502"/>
      <c r="N851" s="855">
        <f>IFERROR(IFERROR(INDEX('Fixture and LED Schedule'!D:D,MATCH(K851,'Fixture and LED Schedule'!C:C,0),1),K851),"")</f>
        <v>0</v>
      </c>
      <c r="O851" s="858" t="str">
        <f>IFERROR(INDEX(yControl_Code,MATCH(Inventory!M851,yControlTypes,0),1),"")</f>
        <v/>
      </c>
      <c r="P851" s="860" t="str">
        <f>'Lighting Inventory (Ref only)'!AG854</f>
        <v/>
      </c>
      <c r="Q851" s="861" t="str">
        <f>'Lighting Inventory (Ref only)'!AF854</f>
        <v/>
      </c>
      <c r="R851" s="856" t="str">
        <f t="shared" si="27"/>
        <v/>
      </c>
      <c r="S851" s="856" t="str">
        <f>IFERROR(ROUND(R851*'Project Info and Summary'!$J$5/'Project Info and Summary'!$L$5,2),"")</f>
        <v/>
      </c>
    </row>
    <row r="852" spans="1:19" ht="30" customHeight="1">
      <c r="A852" s="948"/>
      <c r="B852" s="496">
        <f t="shared" si="26"/>
        <v>843</v>
      </c>
      <c r="C852" s="864"/>
      <c r="D852" s="505"/>
      <c r="E852" s="866"/>
      <c r="F852" s="498"/>
      <c r="G852" s="499"/>
      <c r="H852" s="492"/>
      <c r="I852" s="855">
        <f>IFERROR(IFERROR(INDEX('Fixture and LED Schedule'!D:D,MATCH(F852,'Fixture and LED Schedule'!C:C,""),1),F852),"")</f>
        <v>0</v>
      </c>
      <c r="J852" s="855" t="str">
        <f>IFERROR(IF(PRJ_Type="New Construction",H852,INDEX(yControl_Code,MATCH(Inventory!H852,yControlTypes,0),1)),"")</f>
        <v/>
      </c>
      <c r="K852" s="493"/>
      <c r="L852" s="501"/>
      <c r="M852" s="502"/>
      <c r="N852" s="855">
        <f>IFERROR(IFERROR(INDEX('Fixture and LED Schedule'!D:D,MATCH(K852,'Fixture and LED Schedule'!C:C,0),1),K852),"")</f>
        <v>0</v>
      </c>
      <c r="O852" s="858" t="str">
        <f>IFERROR(INDEX(yControl_Code,MATCH(Inventory!M852,yControlTypes,0),1),"")</f>
        <v/>
      </c>
      <c r="P852" s="860" t="str">
        <f>'Lighting Inventory (Ref only)'!AG855</f>
        <v/>
      </c>
      <c r="Q852" s="861" t="str">
        <f>'Lighting Inventory (Ref only)'!AF855</f>
        <v/>
      </c>
      <c r="R852" s="856" t="str">
        <f t="shared" si="27"/>
        <v/>
      </c>
      <c r="S852" s="856" t="str">
        <f>IFERROR(ROUND(R852*'Project Info and Summary'!$J$5/'Project Info and Summary'!$L$5,2),"")</f>
        <v/>
      </c>
    </row>
    <row r="853" spans="1:19" ht="30" customHeight="1">
      <c r="A853" s="948"/>
      <c r="B853" s="496">
        <f t="shared" si="26"/>
        <v>844</v>
      </c>
      <c r="C853" s="864"/>
      <c r="D853" s="505"/>
      <c r="E853" s="866"/>
      <c r="F853" s="498"/>
      <c r="G853" s="499"/>
      <c r="H853" s="492"/>
      <c r="I853" s="855">
        <f>IFERROR(IFERROR(INDEX('Fixture and LED Schedule'!D:D,MATCH(F853,'Fixture and LED Schedule'!C:C,""),1),F853),"")</f>
        <v>0</v>
      </c>
      <c r="J853" s="855" t="str">
        <f>IFERROR(IF(PRJ_Type="New Construction",H853,INDEX(yControl_Code,MATCH(Inventory!H853,yControlTypes,0),1)),"")</f>
        <v/>
      </c>
      <c r="K853" s="493"/>
      <c r="L853" s="501"/>
      <c r="M853" s="502"/>
      <c r="N853" s="855">
        <f>IFERROR(IFERROR(INDEX('Fixture and LED Schedule'!D:D,MATCH(K853,'Fixture and LED Schedule'!C:C,0),1),K853),"")</f>
        <v>0</v>
      </c>
      <c r="O853" s="858" t="str">
        <f>IFERROR(INDEX(yControl_Code,MATCH(Inventory!M853,yControlTypes,0),1),"")</f>
        <v/>
      </c>
      <c r="P853" s="860" t="str">
        <f>'Lighting Inventory (Ref only)'!AG856</f>
        <v/>
      </c>
      <c r="Q853" s="861" t="str">
        <f>'Lighting Inventory (Ref only)'!AF856</f>
        <v/>
      </c>
      <c r="R853" s="856" t="str">
        <f t="shared" si="27"/>
        <v/>
      </c>
      <c r="S853" s="856" t="str">
        <f>IFERROR(ROUND(R853*'Project Info and Summary'!$J$5/'Project Info and Summary'!$L$5,2),"")</f>
        <v/>
      </c>
    </row>
    <row r="854" spans="1:19" ht="30" customHeight="1">
      <c r="A854" s="948"/>
      <c r="B854" s="496">
        <f t="shared" si="26"/>
        <v>845</v>
      </c>
      <c r="C854" s="864"/>
      <c r="D854" s="505"/>
      <c r="E854" s="866"/>
      <c r="F854" s="498"/>
      <c r="G854" s="499"/>
      <c r="H854" s="492"/>
      <c r="I854" s="855">
        <f>IFERROR(IFERROR(INDEX('Fixture and LED Schedule'!D:D,MATCH(F854,'Fixture and LED Schedule'!C:C,""),1),F854),"")</f>
        <v>0</v>
      </c>
      <c r="J854" s="855" t="str">
        <f>IFERROR(IF(PRJ_Type="New Construction",H854,INDEX(yControl_Code,MATCH(Inventory!H854,yControlTypes,0),1)),"")</f>
        <v/>
      </c>
      <c r="K854" s="493"/>
      <c r="L854" s="501"/>
      <c r="M854" s="502"/>
      <c r="N854" s="855">
        <f>IFERROR(IFERROR(INDEX('Fixture and LED Schedule'!D:D,MATCH(K854,'Fixture and LED Schedule'!C:C,0),1),K854),"")</f>
        <v>0</v>
      </c>
      <c r="O854" s="858" t="str">
        <f>IFERROR(INDEX(yControl_Code,MATCH(Inventory!M854,yControlTypes,0),1),"")</f>
        <v/>
      </c>
      <c r="P854" s="860" t="str">
        <f>'Lighting Inventory (Ref only)'!AG857</f>
        <v/>
      </c>
      <c r="Q854" s="861" t="str">
        <f>'Lighting Inventory (Ref only)'!AF857</f>
        <v/>
      </c>
      <c r="R854" s="856" t="str">
        <f t="shared" si="27"/>
        <v/>
      </c>
      <c r="S854" s="856" t="str">
        <f>IFERROR(ROUND(R854*'Project Info and Summary'!$J$5/'Project Info and Summary'!$L$5,2),"")</f>
        <v/>
      </c>
    </row>
    <row r="855" spans="1:19" ht="30" customHeight="1">
      <c r="A855" s="948"/>
      <c r="B855" s="496">
        <f t="shared" si="26"/>
        <v>846</v>
      </c>
      <c r="C855" s="864"/>
      <c r="D855" s="505"/>
      <c r="E855" s="866"/>
      <c r="F855" s="498"/>
      <c r="G855" s="499"/>
      <c r="H855" s="492"/>
      <c r="I855" s="855">
        <f>IFERROR(IFERROR(INDEX('Fixture and LED Schedule'!D:D,MATCH(F855,'Fixture and LED Schedule'!C:C,""),1),F855),"")</f>
        <v>0</v>
      </c>
      <c r="J855" s="855" t="str">
        <f>IFERROR(IF(PRJ_Type="New Construction",H855,INDEX(yControl_Code,MATCH(Inventory!H855,yControlTypes,0),1)),"")</f>
        <v/>
      </c>
      <c r="K855" s="493"/>
      <c r="L855" s="501"/>
      <c r="M855" s="502"/>
      <c r="N855" s="855">
        <f>IFERROR(IFERROR(INDEX('Fixture and LED Schedule'!D:D,MATCH(K855,'Fixture and LED Schedule'!C:C,0),1),K855),"")</f>
        <v>0</v>
      </c>
      <c r="O855" s="858" t="str">
        <f>IFERROR(INDEX(yControl_Code,MATCH(Inventory!M855,yControlTypes,0),1),"")</f>
        <v/>
      </c>
      <c r="P855" s="860" t="str">
        <f>'Lighting Inventory (Ref only)'!AG858</f>
        <v/>
      </c>
      <c r="Q855" s="861" t="str">
        <f>'Lighting Inventory (Ref only)'!AF858</f>
        <v/>
      </c>
      <c r="R855" s="856" t="str">
        <f t="shared" si="27"/>
        <v/>
      </c>
      <c r="S855" s="856" t="str">
        <f>IFERROR(ROUND(R855*'Project Info and Summary'!$J$5/'Project Info and Summary'!$L$5,2),"")</f>
        <v/>
      </c>
    </row>
    <row r="856" spans="1:19" ht="30" customHeight="1">
      <c r="A856" s="948"/>
      <c r="B856" s="496">
        <f t="shared" si="26"/>
        <v>847</v>
      </c>
      <c r="C856" s="864"/>
      <c r="D856" s="505"/>
      <c r="E856" s="866"/>
      <c r="F856" s="498"/>
      <c r="G856" s="499"/>
      <c r="H856" s="492"/>
      <c r="I856" s="855">
        <f>IFERROR(IFERROR(INDEX('Fixture and LED Schedule'!D:D,MATCH(F856,'Fixture and LED Schedule'!C:C,""),1),F856),"")</f>
        <v>0</v>
      </c>
      <c r="J856" s="855" t="str">
        <f>IFERROR(IF(PRJ_Type="New Construction",H856,INDEX(yControl_Code,MATCH(Inventory!H856,yControlTypes,0),1)),"")</f>
        <v/>
      </c>
      <c r="K856" s="493"/>
      <c r="L856" s="501"/>
      <c r="M856" s="502"/>
      <c r="N856" s="855">
        <f>IFERROR(IFERROR(INDEX('Fixture and LED Schedule'!D:D,MATCH(K856,'Fixture and LED Schedule'!C:C,0),1),K856),"")</f>
        <v>0</v>
      </c>
      <c r="O856" s="858" t="str">
        <f>IFERROR(INDEX(yControl_Code,MATCH(Inventory!M856,yControlTypes,0),1),"")</f>
        <v/>
      </c>
      <c r="P856" s="860" t="str">
        <f>'Lighting Inventory (Ref only)'!AG859</f>
        <v/>
      </c>
      <c r="Q856" s="861" t="str">
        <f>'Lighting Inventory (Ref only)'!AF859</f>
        <v/>
      </c>
      <c r="R856" s="856" t="str">
        <f t="shared" si="27"/>
        <v/>
      </c>
      <c r="S856" s="856" t="str">
        <f>IFERROR(ROUND(R856*'Project Info and Summary'!$J$5/'Project Info and Summary'!$L$5,2),"")</f>
        <v/>
      </c>
    </row>
    <row r="857" spans="1:19" ht="30" customHeight="1">
      <c r="A857" s="948"/>
      <c r="B857" s="496">
        <f t="shared" si="26"/>
        <v>848</v>
      </c>
      <c r="C857" s="864"/>
      <c r="D857" s="505"/>
      <c r="E857" s="866"/>
      <c r="F857" s="498"/>
      <c r="G857" s="499"/>
      <c r="H857" s="492"/>
      <c r="I857" s="855">
        <f>IFERROR(IFERROR(INDEX('Fixture and LED Schedule'!D:D,MATCH(F857,'Fixture and LED Schedule'!C:C,""),1),F857),"")</f>
        <v>0</v>
      </c>
      <c r="J857" s="855" t="str">
        <f>IFERROR(IF(PRJ_Type="New Construction",H857,INDEX(yControl_Code,MATCH(Inventory!H857,yControlTypes,0),1)),"")</f>
        <v/>
      </c>
      <c r="K857" s="493"/>
      <c r="L857" s="501"/>
      <c r="M857" s="502"/>
      <c r="N857" s="855">
        <f>IFERROR(IFERROR(INDEX('Fixture and LED Schedule'!D:D,MATCH(K857,'Fixture and LED Schedule'!C:C,0),1),K857),"")</f>
        <v>0</v>
      </c>
      <c r="O857" s="858" t="str">
        <f>IFERROR(INDEX(yControl_Code,MATCH(Inventory!M857,yControlTypes,0),1),"")</f>
        <v/>
      </c>
      <c r="P857" s="860" t="str">
        <f>'Lighting Inventory (Ref only)'!AG860</f>
        <v/>
      </c>
      <c r="Q857" s="861" t="str">
        <f>'Lighting Inventory (Ref only)'!AF860</f>
        <v/>
      </c>
      <c r="R857" s="856" t="str">
        <f t="shared" si="27"/>
        <v/>
      </c>
      <c r="S857" s="856" t="str">
        <f>IFERROR(ROUND(R857*'Project Info and Summary'!$J$5/'Project Info and Summary'!$L$5,2),"")</f>
        <v/>
      </c>
    </row>
    <row r="858" spans="1:19" ht="30" customHeight="1">
      <c r="A858" s="948"/>
      <c r="B858" s="496">
        <f t="shared" si="26"/>
        <v>849</v>
      </c>
      <c r="C858" s="864"/>
      <c r="D858" s="505"/>
      <c r="E858" s="866"/>
      <c r="F858" s="498"/>
      <c r="G858" s="499"/>
      <c r="H858" s="492"/>
      <c r="I858" s="855">
        <f>IFERROR(IFERROR(INDEX('Fixture and LED Schedule'!D:D,MATCH(F858,'Fixture and LED Schedule'!C:C,""),1),F858),"")</f>
        <v>0</v>
      </c>
      <c r="J858" s="855" t="str">
        <f>IFERROR(IF(PRJ_Type="New Construction",H858,INDEX(yControl_Code,MATCH(Inventory!H858,yControlTypes,0),1)),"")</f>
        <v/>
      </c>
      <c r="K858" s="493"/>
      <c r="L858" s="501"/>
      <c r="M858" s="502"/>
      <c r="N858" s="855">
        <f>IFERROR(IFERROR(INDEX('Fixture and LED Schedule'!D:D,MATCH(K858,'Fixture and LED Schedule'!C:C,0),1),K858),"")</f>
        <v>0</v>
      </c>
      <c r="O858" s="858" t="str">
        <f>IFERROR(INDEX(yControl_Code,MATCH(Inventory!M858,yControlTypes,0),1),"")</f>
        <v/>
      </c>
      <c r="P858" s="860" t="str">
        <f>'Lighting Inventory (Ref only)'!AG861</f>
        <v/>
      </c>
      <c r="Q858" s="861" t="str">
        <f>'Lighting Inventory (Ref only)'!AF861</f>
        <v/>
      </c>
      <c r="R858" s="856" t="str">
        <f t="shared" si="27"/>
        <v/>
      </c>
      <c r="S858" s="856" t="str">
        <f>IFERROR(ROUND(R858*'Project Info and Summary'!$J$5/'Project Info and Summary'!$L$5,2),"")</f>
        <v/>
      </c>
    </row>
    <row r="859" spans="1:19" ht="30" customHeight="1">
      <c r="A859" s="948"/>
      <c r="B859" s="496">
        <f t="shared" si="26"/>
        <v>850</v>
      </c>
      <c r="C859" s="864"/>
      <c r="D859" s="505"/>
      <c r="E859" s="866"/>
      <c r="F859" s="498"/>
      <c r="G859" s="499"/>
      <c r="H859" s="492"/>
      <c r="I859" s="855">
        <f>IFERROR(IFERROR(INDEX('Fixture and LED Schedule'!D:D,MATCH(F859,'Fixture and LED Schedule'!C:C,""),1),F859),"")</f>
        <v>0</v>
      </c>
      <c r="J859" s="855" t="str">
        <f>IFERROR(IF(PRJ_Type="New Construction",H859,INDEX(yControl_Code,MATCH(Inventory!H859,yControlTypes,0),1)),"")</f>
        <v/>
      </c>
      <c r="K859" s="493"/>
      <c r="L859" s="501"/>
      <c r="M859" s="502"/>
      <c r="N859" s="855">
        <f>IFERROR(IFERROR(INDEX('Fixture and LED Schedule'!D:D,MATCH(K859,'Fixture and LED Schedule'!C:C,0),1),K859),"")</f>
        <v>0</v>
      </c>
      <c r="O859" s="858" t="str">
        <f>IFERROR(INDEX(yControl_Code,MATCH(Inventory!M859,yControlTypes,0),1),"")</f>
        <v/>
      </c>
      <c r="P859" s="860" t="str">
        <f>'Lighting Inventory (Ref only)'!AG862</f>
        <v/>
      </c>
      <c r="Q859" s="861" t="str">
        <f>'Lighting Inventory (Ref only)'!AF862</f>
        <v/>
      </c>
      <c r="R859" s="856" t="str">
        <f t="shared" si="27"/>
        <v/>
      </c>
      <c r="S859" s="856" t="str">
        <f>IFERROR(ROUND(R859*'Project Info and Summary'!$J$5/'Project Info and Summary'!$L$5,2),"")</f>
        <v/>
      </c>
    </row>
    <row r="860" spans="1:19" ht="30" customHeight="1">
      <c r="A860" s="948"/>
      <c r="B860" s="496">
        <f t="shared" si="26"/>
        <v>851</v>
      </c>
      <c r="C860" s="864"/>
      <c r="D860" s="505"/>
      <c r="E860" s="866"/>
      <c r="F860" s="498"/>
      <c r="G860" s="499"/>
      <c r="H860" s="492"/>
      <c r="I860" s="855">
        <f>IFERROR(IFERROR(INDEX('Fixture and LED Schedule'!D:D,MATCH(F860,'Fixture and LED Schedule'!C:C,""),1),F860),"")</f>
        <v>0</v>
      </c>
      <c r="J860" s="855" t="str">
        <f>IFERROR(IF(PRJ_Type="New Construction",H860,INDEX(yControl_Code,MATCH(Inventory!H860,yControlTypes,0),1)),"")</f>
        <v/>
      </c>
      <c r="K860" s="493"/>
      <c r="L860" s="501"/>
      <c r="M860" s="502"/>
      <c r="N860" s="855">
        <f>IFERROR(IFERROR(INDEX('Fixture and LED Schedule'!D:D,MATCH(K860,'Fixture and LED Schedule'!C:C,0),1),K860),"")</f>
        <v>0</v>
      </c>
      <c r="O860" s="858" t="str">
        <f>IFERROR(INDEX(yControl_Code,MATCH(Inventory!M860,yControlTypes,0),1),"")</f>
        <v/>
      </c>
      <c r="P860" s="860" t="str">
        <f>'Lighting Inventory (Ref only)'!AG863</f>
        <v/>
      </c>
      <c r="Q860" s="861" t="str">
        <f>'Lighting Inventory (Ref only)'!AF863</f>
        <v/>
      </c>
      <c r="R860" s="856" t="str">
        <f t="shared" si="27"/>
        <v/>
      </c>
      <c r="S860" s="856" t="str">
        <f>IFERROR(ROUND(R860*'Project Info and Summary'!$J$5/'Project Info and Summary'!$L$5,2),"")</f>
        <v/>
      </c>
    </row>
    <row r="861" spans="1:19" ht="30" customHeight="1">
      <c r="A861" s="948"/>
      <c r="B861" s="496">
        <f t="shared" si="26"/>
        <v>852</v>
      </c>
      <c r="C861" s="864"/>
      <c r="D861" s="505"/>
      <c r="E861" s="866"/>
      <c r="F861" s="498"/>
      <c r="G861" s="499"/>
      <c r="H861" s="492"/>
      <c r="I861" s="855">
        <f>IFERROR(IFERROR(INDEX('Fixture and LED Schedule'!D:D,MATCH(F861,'Fixture and LED Schedule'!C:C,""),1),F861),"")</f>
        <v>0</v>
      </c>
      <c r="J861" s="855" t="str">
        <f>IFERROR(IF(PRJ_Type="New Construction",H861,INDEX(yControl_Code,MATCH(Inventory!H861,yControlTypes,0),1)),"")</f>
        <v/>
      </c>
      <c r="K861" s="493"/>
      <c r="L861" s="501"/>
      <c r="M861" s="502"/>
      <c r="N861" s="855">
        <f>IFERROR(IFERROR(INDEX('Fixture and LED Schedule'!D:D,MATCH(K861,'Fixture and LED Schedule'!C:C,0),1),K861),"")</f>
        <v>0</v>
      </c>
      <c r="O861" s="858" t="str">
        <f>IFERROR(INDEX(yControl_Code,MATCH(Inventory!M861,yControlTypes,0),1),"")</f>
        <v/>
      </c>
      <c r="P861" s="860" t="str">
        <f>'Lighting Inventory (Ref only)'!AG864</f>
        <v/>
      </c>
      <c r="Q861" s="861" t="str">
        <f>'Lighting Inventory (Ref only)'!AF864</f>
        <v/>
      </c>
      <c r="R861" s="856" t="str">
        <f t="shared" si="27"/>
        <v/>
      </c>
      <c r="S861" s="856" t="str">
        <f>IFERROR(ROUND(R861*'Project Info and Summary'!$J$5/'Project Info and Summary'!$L$5,2),"")</f>
        <v/>
      </c>
    </row>
    <row r="862" spans="1:19" ht="30" customHeight="1">
      <c r="A862" s="948"/>
      <c r="B862" s="496">
        <f t="shared" si="26"/>
        <v>853</v>
      </c>
      <c r="C862" s="864"/>
      <c r="D862" s="505"/>
      <c r="E862" s="866"/>
      <c r="F862" s="498"/>
      <c r="G862" s="499"/>
      <c r="H862" s="492"/>
      <c r="I862" s="855">
        <f>IFERROR(IFERROR(INDEX('Fixture and LED Schedule'!D:D,MATCH(F862,'Fixture and LED Schedule'!C:C,""),1),F862),"")</f>
        <v>0</v>
      </c>
      <c r="J862" s="855" t="str">
        <f>IFERROR(IF(PRJ_Type="New Construction",H862,INDEX(yControl_Code,MATCH(Inventory!H862,yControlTypes,0),1)),"")</f>
        <v/>
      </c>
      <c r="K862" s="493"/>
      <c r="L862" s="501"/>
      <c r="M862" s="502"/>
      <c r="N862" s="855">
        <f>IFERROR(IFERROR(INDEX('Fixture and LED Schedule'!D:D,MATCH(K862,'Fixture and LED Schedule'!C:C,0),1),K862),"")</f>
        <v>0</v>
      </c>
      <c r="O862" s="858" t="str">
        <f>IFERROR(INDEX(yControl_Code,MATCH(Inventory!M862,yControlTypes,0),1),"")</f>
        <v/>
      </c>
      <c r="P862" s="860" t="str">
        <f>'Lighting Inventory (Ref only)'!AG865</f>
        <v/>
      </c>
      <c r="Q862" s="861" t="str">
        <f>'Lighting Inventory (Ref only)'!AF865</f>
        <v/>
      </c>
      <c r="R862" s="856" t="str">
        <f t="shared" si="27"/>
        <v/>
      </c>
      <c r="S862" s="856" t="str">
        <f>IFERROR(ROUND(R862*'Project Info and Summary'!$J$5/'Project Info and Summary'!$L$5,2),"")</f>
        <v/>
      </c>
    </row>
    <row r="863" spans="1:19" ht="30" customHeight="1">
      <c r="A863" s="948"/>
      <c r="B863" s="496">
        <f t="shared" si="26"/>
        <v>854</v>
      </c>
      <c r="C863" s="864"/>
      <c r="D863" s="505"/>
      <c r="E863" s="866"/>
      <c r="F863" s="498"/>
      <c r="G863" s="499"/>
      <c r="H863" s="492"/>
      <c r="I863" s="855">
        <f>IFERROR(IFERROR(INDEX('Fixture and LED Schedule'!D:D,MATCH(F863,'Fixture and LED Schedule'!C:C,""),1),F863),"")</f>
        <v>0</v>
      </c>
      <c r="J863" s="855" t="str">
        <f>IFERROR(IF(PRJ_Type="New Construction",H863,INDEX(yControl_Code,MATCH(Inventory!H863,yControlTypes,0),1)),"")</f>
        <v/>
      </c>
      <c r="K863" s="493"/>
      <c r="L863" s="501"/>
      <c r="M863" s="502"/>
      <c r="N863" s="855">
        <f>IFERROR(IFERROR(INDEX('Fixture and LED Schedule'!D:D,MATCH(K863,'Fixture and LED Schedule'!C:C,0),1),K863),"")</f>
        <v>0</v>
      </c>
      <c r="O863" s="858" t="str">
        <f>IFERROR(INDEX(yControl_Code,MATCH(Inventory!M863,yControlTypes,0),1),"")</f>
        <v/>
      </c>
      <c r="P863" s="860" t="str">
        <f>'Lighting Inventory (Ref only)'!AG866</f>
        <v/>
      </c>
      <c r="Q863" s="861" t="str">
        <f>'Lighting Inventory (Ref only)'!AF866</f>
        <v/>
      </c>
      <c r="R863" s="856" t="str">
        <f t="shared" si="27"/>
        <v/>
      </c>
      <c r="S863" s="856" t="str">
        <f>IFERROR(ROUND(R863*'Project Info and Summary'!$J$5/'Project Info and Summary'!$L$5,2),"")</f>
        <v/>
      </c>
    </row>
    <row r="864" spans="1:19" ht="30" customHeight="1">
      <c r="A864" s="948"/>
      <c r="B864" s="496">
        <f t="shared" si="26"/>
        <v>855</v>
      </c>
      <c r="C864" s="864"/>
      <c r="D864" s="505"/>
      <c r="E864" s="866"/>
      <c r="F864" s="498"/>
      <c r="G864" s="499"/>
      <c r="H864" s="492"/>
      <c r="I864" s="855">
        <f>IFERROR(IFERROR(INDEX('Fixture and LED Schedule'!D:D,MATCH(F864,'Fixture and LED Schedule'!C:C,""),1),F864),"")</f>
        <v>0</v>
      </c>
      <c r="J864" s="855" t="str">
        <f>IFERROR(IF(PRJ_Type="New Construction",H864,INDEX(yControl_Code,MATCH(Inventory!H864,yControlTypes,0),1)),"")</f>
        <v/>
      </c>
      <c r="K864" s="493"/>
      <c r="L864" s="501"/>
      <c r="M864" s="502"/>
      <c r="N864" s="855">
        <f>IFERROR(IFERROR(INDEX('Fixture and LED Schedule'!D:D,MATCH(K864,'Fixture and LED Schedule'!C:C,0),1),K864),"")</f>
        <v>0</v>
      </c>
      <c r="O864" s="858" t="str">
        <f>IFERROR(INDEX(yControl_Code,MATCH(Inventory!M864,yControlTypes,0),1),"")</f>
        <v/>
      </c>
      <c r="P864" s="860" t="str">
        <f>'Lighting Inventory (Ref only)'!AG867</f>
        <v/>
      </c>
      <c r="Q864" s="861" t="str">
        <f>'Lighting Inventory (Ref only)'!AF867</f>
        <v/>
      </c>
      <c r="R864" s="856" t="str">
        <f t="shared" si="27"/>
        <v/>
      </c>
      <c r="S864" s="856" t="str">
        <f>IFERROR(ROUND(R864*'Project Info and Summary'!$J$5/'Project Info and Summary'!$L$5,2),"")</f>
        <v/>
      </c>
    </row>
    <row r="865" spans="1:19" ht="30" customHeight="1">
      <c r="A865" s="948"/>
      <c r="B865" s="496">
        <f t="shared" si="26"/>
        <v>856</v>
      </c>
      <c r="C865" s="864"/>
      <c r="D865" s="505"/>
      <c r="E865" s="866"/>
      <c r="F865" s="498"/>
      <c r="G865" s="499"/>
      <c r="H865" s="492"/>
      <c r="I865" s="855">
        <f>IFERROR(IFERROR(INDEX('Fixture and LED Schedule'!D:D,MATCH(F865,'Fixture and LED Schedule'!C:C,""),1),F865),"")</f>
        <v>0</v>
      </c>
      <c r="J865" s="855" t="str">
        <f>IFERROR(IF(PRJ_Type="New Construction",H865,INDEX(yControl_Code,MATCH(Inventory!H865,yControlTypes,0),1)),"")</f>
        <v/>
      </c>
      <c r="K865" s="493"/>
      <c r="L865" s="501"/>
      <c r="M865" s="502"/>
      <c r="N865" s="855">
        <f>IFERROR(IFERROR(INDEX('Fixture and LED Schedule'!D:D,MATCH(K865,'Fixture and LED Schedule'!C:C,0),1),K865),"")</f>
        <v>0</v>
      </c>
      <c r="O865" s="858" t="str">
        <f>IFERROR(INDEX(yControl_Code,MATCH(Inventory!M865,yControlTypes,0),1),"")</f>
        <v/>
      </c>
      <c r="P865" s="860" t="str">
        <f>'Lighting Inventory (Ref only)'!AG868</f>
        <v/>
      </c>
      <c r="Q865" s="861" t="str">
        <f>'Lighting Inventory (Ref only)'!AF868</f>
        <v/>
      </c>
      <c r="R865" s="856" t="str">
        <f t="shared" si="27"/>
        <v/>
      </c>
      <c r="S865" s="856" t="str">
        <f>IFERROR(ROUND(R865*'Project Info and Summary'!$J$5/'Project Info and Summary'!$L$5,2),"")</f>
        <v/>
      </c>
    </row>
    <row r="866" spans="1:19" ht="30" customHeight="1">
      <c r="A866" s="948"/>
      <c r="B866" s="496">
        <f t="shared" si="26"/>
        <v>857</v>
      </c>
      <c r="C866" s="864"/>
      <c r="D866" s="505"/>
      <c r="E866" s="866"/>
      <c r="F866" s="498"/>
      <c r="G866" s="499"/>
      <c r="H866" s="492"/>
      <c r="I866" s="855">
        <f>IFERROR(IFERROR(INDEX('Fixture and LED Schedule'!D:D,MATCH(F866,'Fixture and LED Schedule'!C:C,""),1),F866),"")</f>
        <v>0</v>
      </c>
      <c r="J866" s="855" t="str">
        <f>IFERROR(IF(PRJ_Type="New Construction",H866,INDEX(yControl_Code,MATCH(Inventory!H866,yControlTypes,0),1)),"")</f>
        <v/>
      </c>
      <c r="K866" s="493"/>
      <c r="L866" s="501"/>
      <c r="M866" s="502"/>
      <c r="N866" s="855">
        <f>IFERROR(IFERROR(INDEX('Fixture and LED Schedule'!D:D,MATCH(K866,'Fixture and LED Schedule'!C:C,0),1),K866),"")</f>
        <v>0</v>
      </c>
      <c r="O866" s="858" t="str">
        <f>IFERROR(INDEX(yControl_Code,MATCH(Inventory!M866,yControlTypes,0),1),"")</f>
        <v/>
      </c>
      <c r="P866" s="860" t="str">
        <f>'Lighting Inventory (Ref only)'!AG869</f>
        <v/>
      </c>
      <c r="Q866" s="861" t="str">
        <f>'Lighting Inventory (Ref only)'!AF869</f>
        <v/>
      </c>
      <c r="R866" s="856" t="str">
        <f t="shared" si="27"/>
        <v/>
      </c>
      <c r="S866" s="856" t="str">
        <f>IFERROR(ROUND(R866*'Project Info and Summary'!$J$5/'Project Info and Summary'!$L$5,2),"")</f>
        <v/>
      </c>
    </row>
    <row r="867" spans="1:19" ht="30" customHeight="1">
      <c r="A867" s="948"/>
      <c r="B867" s="496">
        <f t="shared" si="26"/>
        <v>858</v>
      </c>
      <c r="C867" s="864"/>
      <c r="D867" s="505"/>
      <c r="E867" s="866"/>
      <c r="F867" s="498"/>
      <c r="G867" s="499"/>
      <c r="H867" s="492"/>
      <c r="I867" s="855">
        <f>IFERROR(IFERROR(INDEX('Fixture and LED Schedule'!D:D,MATCH(F867,'Fixture and LED Schedule'!C:C,""),1),F867),"")</f>
        <v>0</v>
      </c>
      <c r="J867" s="855" t="str">
        <f>IFERROR(IF(PRJ_Type="New Construction",H867,INDEX(yControl_Code,MATCH(Inventory!H867,yControlTypes,0),1)),"")</f>
        <v/>
      </c>
      <c r="K867" s="493"/>
      <c r="L867" s="501"/>
      <c r="M867" s="502"/>
      <c r="N867" s="855">
        <f>IFERROR(IFERROR(INDEX('Fixture and LED Schedule'!D:D,MATCH(K867,'Fixture and LED Schedule'!C:C,0),1),K867),"")</f>
        <v>0</v>
      </c>
      <c r="O867" s="858" t="str">
        <f>IFERROR(INDEX(yControl_Code,MATCH(Inventory!M867,yControlTypes,0),1),"")</f>
        <v/>
      </c>
      <c r="P867" s="860" t="str">
        <f>'Lighting Inventory (Ref only)'!AG870</f>
        <v/>
      </c>
      <c r="Q867" s="861" t="str">
        <f>'Lighting Inventory (Ref only)'!AF870</f>
        <v/>
      </c>
      <c r="R867" s="856" t="str">
        <f t="shared" si="27"/>
        <v/>
      </c>
      <c r="S867" s="856" t="str">
        <f>IFERROR(ROUND(R867*'Project Info and Summary'!$J$5/'Project Info and Summary'!$L$5,2),"")</f>
        <v/>
      </c>
    </row>
    <row r="868" spans="1:19" ht="30" customHeight="1">
      <c r="A868" s="948"/>
      <c r="B868" s="496">
        <f t="shared" si="26"/>
        <v>859</v>
      </c>
      <c r="C868" s="864"/>
      <c r="D868" s="505"/>
      <c r="E868" s="866"/>
      <c r="F868" s="498"/>
      <c r="G868" s="499"/>
      <c r="H868" s="492"/>
      <c r="I868" s="855">
        <f>IFERROR(IFERROR(INDEX('Fixture and LED Schedule'!D:D,MATCH(F868,'Fixture and LED Schedule'!C:C,""),1),F868),"")</f>
        <v>0</v>
      </c>
      <c r="J868" s="855" t="str">
        <f>IFERROR(IF(PRJ_Type="New Construction",H868,INDEX(yControl_Code,MATCH(Inventory!H868,yControlTypes,0),1)),"")</f>
        <v/>
      </c>
      <c r="K868" s="493"/>
      <c r="L868" s="501"/>
      <c r="M868" s="502"/>
      <c r="N868" s="855">
        <f>IFERROR(IFERROR(INDEX('Fixture and LED Schedule'!D:D,MATCH(K868,'Fixture and LED Schedule'!C:C,0),1),K868),"")</f>
        <v>0</v>
      </c>
      <c r="O868" s="858" t="str">
        <f>IFERROR(INDEX(yControl_Code,MATCH(Inventory!M868,yControlTypes,0),1),"")</f>
        <v/>
      </c>
      <c r="P868" s="860" t="str">
        <f>'Lighting Inventory (Ref only)'!AG871</f>
        <v/>
      </c>
      <c r="Q868" s="861" t="str">
        <f>'Lighting Inventory (Ref only)'!AF871</f>
        <v/>
      </c>
      <c r="R868" s="856" t="str">
        <f t="shared" si="27"/>
        <v/>
      </c>
      <c r="S868" s="856" t="str">
        <f>IFERROR(ROUND(R868*'Project Info and Summary'!$J$5/'Project Info and Summary'!$L$5,2),"")</f>
        <v/>
      </c>
    </row>
    <row r="869" spans="1:19" ht="30" customHeight="1">
      <c r="A869" s="948"/>
      <c r="B869" s="496">
        <f t="shared" si="26"/>
        <v>860</v>
      </c>
      <c r="C869" s="864"/>
      <c r="D869" s="505"/>
      <c r="E869" s="866"/>
      <c r="F869" s="498"/>
      <c r="G869" s="499"/>
      <c r="H869" s="492"/>
      <c r="I869" s="855">
        <f>IFERROR(IFERROR(INDEX('Fixture and LED Schedule'!D:D,MATCH(F869,'Fixture and LED Schedule'!C:C,""),1),F869),"")</f>
        <v>0</v>
      </c>
      <c r="J869" s="855" t="str">
        <f>IFERROR(IF(PRJ_Type="New Construction",H869,INDEX(yControl_Code,MATCH(Inventory!H869,yControlTypes,0),1)),"")</f>
        <v/>
      </c>
      <c r="K869" s="493"/>
      <c r="L869" s="501"/>
      <c r="M869" s="502"/>
      <c r="N869" s="855">
        <f>IFERROR(IFERROR(INDEX('Fixture and LED Schedule'!D:D,MATCH(K869,'Fixture and LED Schedule'!C:C,0),1),K869),"")</f>
        <v>0</v>
      </c>
      <c r="O869" s="858" t="str">
        <f>IFERROR(INDEX(yControl_Code,MATCH(Inventory!M869,yControlTypes,0),1),"")</f>
        <v/>
      </c>
      <c r="P869" s="860" t="str">
        <f>'Lighting Inventory (Ref only)'!AG872</f>
        <v/>
      </c>
      <c r="Q869" s="861" t="str">
        <f>'Lighting Inventory (Ref only)'!AF872</f>
        <v/>
      </c>
      <c r="R869" s="856" t="str">
        <f t="shared" si="27"/>
        <v/>
      </c>
      <c r="S869" s="856" t="str">
        <f>IFERROR(ROUND(R869*'Project Info and Summary'!$J$5/'Project Info and Summary'!$L$5,2),"")</f>
        <v/>
      </c>
    </row>
    <row r="870" spans="1:19" ht="30" customHeight="1">
      <c r="A870" s="948"/>
      <c r="B870" s="496">
        <f t="shared" si="26"/>
        <v>861</v>
      </c>
      <c r="C870" s="864"/>
      <c r="D870" s="505"/>
      <c r="E870" s="866"/>
      <c r="F870" s="498"/>
      <c r="G870" s="499"/>
      <c r="H870" s="492"/>
      <c r="I870" s="855">
        <f>IFERROR(IFERROR(INDEX('Fixture and LED Schedule'!D:D,MATCH(F870,'Fixture and LED Schedule'!C:C,""),1),F870),"")</f>
        <v>0</v>
      </c>
      <c r="J870" s="855" t="str">
        <f>IFERROR(IF(PRJ_Type="New Construction",H870,INDEX(yControl_Code,MATCH(Inventory!H870,yControlTypes,0),1)),"")</f>
        <v/>
      </c>
      <c r="K870" s="493"/>
      <c r="L870" s="501"/>
      <c r="M870" s="502"/>
      <c r="N870" s="855">
        <f>IFERROR(IFERROR(INDEX('Fixture and LED Schedule'!D:D,MATCH(K870,'Fixture and LED Schedule'!C:C,0),1),K870),"")</f>
        <v>0</v>
      </c>
      <c r="O870" s="858" t="str">
        <f>IFERROR(INDEX(yControl_Code,MATCH(Inventory!M870,yControlTypes,0),1),"")</f>
        <v/>
      </c>
      <c r="P870" s="860" t="str">
        <f>'Lighting Inventory (Ref only)'!AG873</f>
        <v/>
      </c>
      <c r="Q870" s="861" t="str">
        <f>'Lighting Inventory (Ref only)'!AF873</f>
        <v/>
      </c>
      <c r="R870" s="856" t="str">
        <f t="shared" si="27"/>
        <v/>
      </c>
      <c r="S870" s="856" t="str">
        <f>IFERROR(ROUND(R870*'Project Info and Summary'!$J$5/'Project Info and Summary'!$L$5,2),"")</f>
        <v/>
      </c>
    </row>
    <row r="871" spans="1:19" ht="30" customHeight="1">
      <c r="A871" s="948"/>
      <c r="B871" s="496">
        <f t="shared" si="26"/>
        <v>862</v>
      </c>
      <c r="C871" s="864"/>
      <c r="D871" s="505"/>
      <c r="E871" s="866"/>
      <c r="F871" s="498"/>
      <c r="G871" s="499"/>
      <c r="H871" s="492"/>
      <c r="I871" s="855">
        <f>IFERROR(IFERROR(INDEX('Fixture and LED Schedule'!D:D,MATCH(F871,'Fixture and LED Schedule'!C:C,""),1),F871),"")</f>
        <v>0</v>
      </c>
      <c r="J871" s="855" t="str">
        <f>IFERROR(IF(PRJ_Type="New Construction",H871,INDEX(yControl_Code,MATCH(Inventory!H871,yControlTypes,0),1)),"")</f>
        <v/>
      </c>
      <c r="K871" s="493"/>
      <c r="L871" s="501"/>
      <c r="M871" s="502"/>
      <c r="N871" s="855">
        <f>IFERROR(IFERROR(INDEX('Fixture and LED Schedule'!D:D,MATCH(K871,'Fixture and LED Schedule'!C:C,0),1),K871),"")</f>
        <v>0</v>
      </c>
      <c r="O871" s="858" t="str">
        <f>IFERROR(INDEX(yControl_Code,MATCH(Inventory!M871,yControlTypes,0),1),"")</f>
        <v/>
      </c>
      <c r="P871" s="860" t="str">
        <f>'Lighting Inventory (Ref only)'!AG874</f>
        <v/>
      </c>
      <c r="Q871" s="861" t="str">
        <f>'Lighting Inventory (Ref only)'!AF874</f>
        <v/>
      </c>
      <c r="R871" s="856" t="str">
        <f t="shared" si="27"/>
        <v/>
      </c>
      <c r="S871" s="856" t="str">
        <f>IFERROR(ROUND(R871*'Project Info and Summary'!$J$5/'Project Info and Summary'!$L$5,2),"")</f>
        <v/>
      </c>
    </row>
    <row r="872" spans="1:19" ht="30" customHeight="1">
      <c r="A872" s="948"/>
      <c r="B872" s="496">
        <f t="shared" si="26"/>
        <v>863</v>
      </c>
      <c r="C872" s="864"/>
      <c r="D872" s="505"/>
      <c r="E872" s="866"/>
      <c r="F872" s="498"/>
      <c r="G872" s="499"/>
      <c r="H872" s="492"/>
      <c r="I872" s="855">
        <f>IFERROR(IFERROR(INDEX('Fixture and LED Schedule'!D:D,MATCH(F872,'Fixture and LED Schedule'!C:C,""),1),F872),"")</f>
        <v>0</v>
      </c>
      <c r="J872" s="855" t="str">
        <f>IFERROR(IF(PRJ_Type="New Construction",H872,INDEX(yControl_Code,MATCH(Inventory!H872,yControlTypes,0),1)),"")</f>
        <v/>
      </c>
      <c r="K872" s="493"/>
      <c r="L872" s="501"/>
      <c r="M872" s="502"/>
      <c r="N872" s="855">
        <f>IFERROR(IFERROR(INDEX('Fixture and LED Schedule'!D:D,MATCH(K872,'Fixture and LED Schedule'!C:C,0),1),K872),"")</f>
        <v>0</v>
      </c>
      <c r="O872" s="858" t="str">
        <f>IFERROR(INDEX(yControl_Code,MATCH(Inventory!M872,yControlTypes,0),1),"")</f>
        <v/>
      </c>
      <c r="P872" s="860" t="str">
        <f>'Lighting Inventory (Ref only)'!AG875</f>
        <v/>
      </c>
      <c r="Q872" s="861" t="str">
        <f>'Lighting Inventory (Ref only)'!AF875</f>
        <v/>
      </c>
      <c r="R872" s="856" t="str">
        <f t="shared" si="27"/>
        <v/>
      </c>
      <c r="S872" s="856" t="str">
        <f>IFERROR(ROUND(R872*'Project Info and Summary'!$J$5/'Project Info and Summary'!$L$5,2),"")</f>
        <v/>
      </c>
    </row>
    <row r="873" spans="1:19" ht="30" customHeight="1">
      <c r="A873" s="948"/>
      <c r="B873" s="496">
        <f t="shared" si="26"/>
        <v>864</v>
      </c>
      <c r="C873" s="864"/>
      <c r="D873" s="505"/>
      <c r="E873" s="866"/>
      <c r="F873" s="498"/>
      <c r="G873" s="499"/>
      <c r="H873" s="492"/>
      <c r="I873" s="855">
        <f>IFERROR(IFERROR(INDEX('Fixture and LED Schedule'!D:D,MATCH(F873,'Fixture and LED Schedule'!C:C,""),1),F873),"")</f>
        <v>0</v>
      </c>
      <c r="J873" s="855" t="str">
        <f>IFERROR(IF(PRJ_Type="New Construction",H873,INDEX(yControl_Code,MATCH(Inventory!H873,yControlTypes,0),1)),"")</f>
        <v/>
      </c>
      <c r="K873" s="493"/>
      <c r="L873" s="501"/>
      <c r="M873" s="502"/>
      <c r="N873" s="855">
        <f>IFERROR(IFERROR(INDEX('Fixture and LED Schedule'!D:D,MATCH(K873,'Fixture and LED Schedule'!C:C,0),1),K873),"")</f>
        <v>0</v>
      </c>
      <c r="O873" s="858" t="str">
        <f>IFERROR(INDEX(yControl_Code,MATCH(Inventory!M873,yControlTypes,0),1),"")</f>
        <v/>
      </c>
      <c r="P873" s="860" t="str">
        <f>'Lighting Inventory (Ref only)'!AG876</f>
        <v/>
      </c>
      <c r="Q873" s="861" t="str">
        <f>'Lighting Inventory (Ref only)'!AF876</f>
        <v/>
      </c>
      <c r="R873" s="856" t="str">
        <f t="shared" si="27"/>
        <v/>
      </c>
      <c r="S873" s="856" t="str">
        <f>IFERROR(ROUND(R873*'Project Info and Summary'!$J$5/'Project Info and Summary'!$L$5,2),"")</f>
        <v/>
      </c>
    </row>
    <row r="874" spans="1:19" ht="30" customHeight="1">
      <c r="A874" s="948"/>
      <c r="B874" s="496">
        <f t="shared" si="26"/>
        <v>865</v>
      </c>
      <c r="C874" s="864"/>
      <c r="D874" s="505"/>
      <c r="E874" s="866"/>
      <c r="F874" s="498"/>
      <c r="G874" s="499"/>
      <c r="H874" s="492"/>
      <c r="I874" s="855">
        <f>IFERROR(IFERROR(INDEX('Fixture and LED Schedule'!D:D,MATCH(F874,'Fixture and LED Schedule'!C:C,""),1),F874),"")</f>
        <v>0</v>
      </c>
      <c r="J874" s="855" t="str">
        <f>IFERROR(IF(PRJ_Type="New Construction",H874,INDEX(yControl_Code,MATCH(Inventory!H874,yControlTypes,0),1)),"")</f>
        <v/>
      </c>
      <c r="K874" s="493"/>
      <c r="L874" s="501"/>
      <c r="M874" s="502"/>
      <c r="N874" s="855">
        <f>IFERROR(IFERROR(INDEX('Fixture and LED Schedule'!D:D,MATCH(K874,'Fixture and LED Schedule'!C:C,0),1),K874),"")</f>
        <v>0</v>
      </c>
      <c r="O874" s="858" t="str">
        <f>IFERROR(INDEX(yControl_Code,MATCH(Inventory!M874,yControlTypes,0),1),"")</f>
        <v/>
      </c>
      <c r="P874" s="860" t="str">
        <f>'Lighting Inventory (Ref only)'!AG877</f>
        <v/>
      </c>
      <c r="Q874" s="861" t="str">
        <f>'Lighting Inventory (Ref only)'!AF877</f>
        <v/>
      </c>
      <c r="R874" s="856" t="str">
        <f t="shared" si="27"/>
        <v/>
      </c>
      <c r="S874" s="856" t="str">
        <f>IFERROR(ROUND(R874*'Project Info and Summary'!$J$5/'Project Info and Summary'!$L$5,2),"")</f>
        <v/>
      </c>
    </row>
    <row r="875" spans="1:19" ht="30" customHeight="1">
      <c r="A875" s="948"/>
      <c r="B875" s="496">
        <f t="shared" si="26"/>
        <v>866</v>
      </c>
      <c r="C875" s="864"/>
      <c r="D875" s="505"/>
      <c r="E875" s="866"/>
      <c r="F875" s="498"/>
      <c r="G875" s="499"/>
      <c r="H875" s="492"/>
      <c r="I875" s="855">
        <f>IFERROR(IFERROR(INDEX('Fixture and LED Schedule'!D:D,MATCH(F875,'Fixture and LED Schedule'!C:C,""),1),F875),"")</f>
        <v>0</v>
      </c>
      <c r="J875" s="855" t="str">
        <f>IFERROR(IF(PRJ_Type="New Construction",H875,INDEX(yControl_Code,MATCH(Inventory!H875,yControlTypes,0),1)),"")</f>
        <v/>
      </c>
      <c r="K875" s="493"/>
      <c r="L875" s="501"/>
      <c r="M875" s="502"/>
      <c r="N875" s="855">
        <f>IFERROR(IFERROR(INDEX('Fixture and LED Schedule'!D:D,MATCH(K875,'Fixture and LED Schedule'!C:C,0),1),K875),"")</f>
        <v>0</v>
      </c>
      <c r="O875" s="858" t="str">
        <f>IFERROR(INDEX(yControl_Code,MATCH(Inventory!M875,yControlTypes,0),1),"")</f>
        <v/>
      </c>
      <c r="P875" s="860" t="str">
        <f>'Lighting Inventory (Ref only)'!AG878</f>
        <v/>
      </c>
      <c r="Q875" s="861" t="str">
        <f>'Lighting Inventory (Ref only)'!AF878</f>
        <v/>
      </c>
      <c r="R875" s="856" t="str">
        <f t="shared" si="27"/>
        <v/>
      </c>
      <c r="S875" s="856" t="str">
        <f>IFERROR(ROUND(R875*'Project Info and Summary'!$J$5/'Project Info and Summary'!$L$5,2),"")</f>
        <v/>
      </c>
    </row>
    <row r="876" spans="1:19" ht="30" customHeight="1">
      <c r="A876" s="948"/>
      <c r="B876" s="496">
        <f t="shared" si="26"/>
        <v>867</v>
      </c>
      <c r="C876" s="864"/>
      <c r="D876" s="505"/>
      <c r="E876" s="866"/>
      <c r="F876" s="498"/>
      <c r="G876" s="499"/>
      <c r="H876" s="492"/>
      <c r="I876" s="855">
        <f>IFERROR(IFERROR(INDEX('Fixture and LED Schedule'!D:D,MATCH(F876,'Fixture and LED Schedule'!C:C,""),1),F876),"")</f>
        <v>0</v>
      </c>
      <c r="J876" s="855" t="str">
        <f>IFERROR(IF(PRJ_Type="New Construction",H876,INDEX(yControl_Code,MATCH(Inventory!H876,yControlTypes,0),1)),"")</f>
        <v/>
      </c>
      <c r="K876" s="493"/>
      <c r="L876" s="501"/>
      <c r="M876" s="502"/>
      <c r="N876" s="855">
        <f>IFERROR(IFERROR(INDEX('Fixture and LED Schedule'!D:D,MATCH(K876,'Fixture and LED Schedule'!C:C,0),1),K876),"")</f>
        <v>0</v>
      </c>
      <c r="O876" s="858" t="str">
        <f>IFERROR(INDEX(yControl_Code,MATCH(Inventory!M876,yControlTypes,0),1),"")</f>
        <v/>
      </c>
      <c r="P876" s="860" t="str">
        <f>'Lighting Inventory (Ref only)'!AG879</f>
        <v/>
      </c>
      <c r="Q876" s="861" t="str">
        <f>'Lighting Inventory (Ref only)'!AF879</f>
        <v/>
      </c>
      <c r="R876" s="856" t="str">
        <f t="shared" si="27"/>
        <v/>
      </c>
      <c r="S876" s="856" t="str">
        <f>IFERROR(ROUND(R876*'Project Info and Summary'!$J$5/'Project Info and Summary'!$L$5,2),"")</f>
        <v/>
      </c>
    </row>
    <row r="877" spans="1:19" ht="30" customHeight="1">
      <c r="A877" s="948"/>
      <c r="B877" s="496">
        <f t="shared" si="26"/>
        <v>868</v>
      </c>
      <c r="C877" s="864"/>
      <c r="D877" s="505"/>
      <c r="E877" s="866"/>
      <c r="F877" s="498"/>
      <c r="G877" s="499"/>
      <c r="H877" s="492"/>
      <c r="I877" s="855">
        <f>IFERROR(IFERROR(INDEX('Fixture and LED Schedule'!D:D,MATCH(F877,'Fixture and LED Schedule'!C:C,""),1),F877),"")</f>
        <v>0</v>
      </c>
      <c r="J877" s="855" t="str">
        <f>IFERROR(IF(PRJ_Type="New Construction",H877,INDEX(yControl_Code,MATCH(Inventory!H877,yControlTypes,0),1)),"")</f>
        <v/>
      </c>
      <c r="K877" s="493"/>
      <c r="L877" s="501"/>
      <c r="M877" s="502"/>
      <c r="N877" s="855">
        <f>IFERROR(IFERROR(INDEX('Fixture and LED Schedule'!D:D,MATCH(K877,'Fixture and LED Schedule'!C:C,0),1),K877),"")</f>
        <v>0</v>
      </c>
      <c r="O877" s="858" t="str">
        <f>IFERROR(INDEX(yControl_Code,MATCH(Inventory!M877,yControlTypes,0),1),"")</f>
        <v/>
      </c>
      <c r="P877" s="860" t="str">
        <f>'Lighting Inventory (Ref only)'!AG880</f>
        <v/>
      </c>
      <c r="Q877" s="861" t="str">
        <f>'Lighting Inventory (Ref only)'!AF880</f>
        <v/>
      </c>
      <c r="R877" s="856" t="str">
        <f t="shared" si="27"/>
        <v/>
      </c>
      <c r="S877" s="856" t="str">
        <f>IFERROR(ROUND(R877*'Project Info and Summary'!$J$5/'Project Info and Summary'!$L$5,2),"")</f>
        <v/>
      </c>
    </row>
    <row r="878" spans="1:19" ht="30" customHeight="1">
      <c r="A878" s="948"/>
      <c r="B878" s="496">
        <f t="shared" si="26"/>
        <v>869</v>
      </c>
      <c r="C878" s="864"/>
      <c r="D878" s="505"/>
      <c r="E878" s="866"/>
      <c r="F878" s="498"/>
      <c r="G878" s="499"/>
      <c r="H878" s="492"/>
      <c r="I878" s="855">
        <f>IFERROR(IFERROR(INDEX('Fixture and LED Schedule'!D:D,MATCH(F878,'Fixture and LED Schedule'!C:C,""),1),F878),"")</f>
        <v>0</v>
      </c>
      <c r="J878" s="855" t="str">
        <f>IFERROR(IF(PRJ_Type="New Construction",H878,INDEX(yControl_Code,MATCH(Inventory!H878,yControlTypes,0),1)),"")</f>
        <v/>
      </c>
      <c r="K878" s="493"/>
      <c r="L878" s="501"/>
      <c r="M878" s="502"/>
      <c r="N878" s="855">
        <f>IFERROR(IFERROR(INDEX('Fixture and LED Schedule'!D:D,MATCH(K878,'Fixture and LED Schedule'!C:C,0),1),K878),"")</f>
        <v>0</v>
      </c>
      <c r="O878" s="858" t="str">
        <f>IFERROR(INDEX(yControl_Code,MATCH(Inventory!M878,yControlTypes,0),1),"")</f>
        <v/>
      </c>
      <c r="P878" s="860" t="str">
        <f>'Lighting Inventory (Ref only)'!AG881</f>
        <v/>
      </c>
      <c r="Q878" s="861" t="str">
        <f>'Lighting Inventory (Ref only)'!AF881</f>
        <v/>
      </c>
      <c r="R878" s="856" t="str">
        <f t="shared" si="27"/>
        <v/>
      </c>
      <c r="S878" s="856" t="str">
        <f>IFERROR(ROUND(R878*'Project Info and Summary'!$J$5/'Project Info and Summary'!$L$5,2),"")</f>
        <v/>
      </c>
    </row>
    <row r="879" spans="1:19" ht="30" customHeight="1">
      <c r="A879" s="948"/>
      <c r="B879" s="496">
        <f t="shared" si="26"/>
        <v>870</v>
      </c>
      <c r="C879" s="864"/>
      <c r="D879" s="505"/>
      <c r="E879" s="866"/>
      <c r="F879" s="498"/>
      <c r="G879" s="499"/>
      <c r="H879" s="492"/>
      <c r="I879" s="855">
        <f>IFERROR(IFERROR(INDEX('Fixture and LED Schedule'!D:D,MATCH(F879,'Fixture and LED Schedule'!C:C,""),1),F879),"")</f>
        <v>0</v>
      </c>
      <c r="J879" s="855" t="str">
        <f>IFERROR(IF(PRJ_Type="New Construction",H879,INDEX(yControl_Code,MATCH(Inventory!H879,yControlTypes,0),1)),"")</f>
        <v/>
      </c>
      <c r="K879" s="493"/>
      <c r="L879" s="501"/>
      <c r="M879" s="502"/>
      <c r="N879" s="855">
        <f>IFERROR(IFERROR(INDEX('Fixture and LED Schedule'!D:D,MATCH(K879,'Fixture and LED Schedule'!C:C,0),1),K879),"")</f>
        <v>0</v>
      </c>
      <c r="O879" s="858" t="str">
        <f>IFERROR(INDEX(yControl_Code,MATCH(Inventory!M879,yControlTypes,0),1),"")</f>
        <v/>
      </c>
      <c r="P879" s="860" t="str">
        <f>'Lighting Inventory (Ref only)'!AG882</f>
        <v/>
      </c>
      <c r="Q879" s="861" t="str">
        <f>'Lighting Inventory (Ref only)'!AF882</f>
        <v/>
      </c>
      <c r="R879" s="856" t="str">
        <f t="shared" si="27"/>
        <v/>
      </c>
      <c r="S879" s="856" t="str">
        <f>IFERROR(ROUND(R879*'Project Info and Summary'!$J$5/'Project Info and Summary'!$L$5,2),"")</f>
        <v/>
      </c>
    </row>
    <row r="880" spans="1:19" ht="30" customHeight="1">
      <c r="A880" s="948"/>
      <c r="B880" s="496">
        <f t="shared" si="26"/>
        <v>871</v>
      </c>
      <c r="C880" s="864"/>
      <c r="D880" s="505"/>
      <c r="E880" s="866"/>
      <c r="F880" s="498"/>
      <c r="G880" s="499"/>
      <c r="H880" s="492"/>
      <c r="I880" s="855">
        <f>IFERROR(IFERROR(INDEX('Fixture and LED Schedule'!D:D,MATCH(F880,'Fixture and LED Schedule'!C:C,""),1),F880),"")</f>
        <v>0</v>
      </c>
      <c r="J880" s="855" t="str">
        <f>IFERROR(IF(PRJ_Type="New Construction",H880,INDEX(yControl_Code,MATCH(Inventory!H880,yControlTypes,0),1)),"")</f>
        <v/>
      </c>
      <c r="K880" s="493"/>
      <c r="L880" s="501"/>
      <c r="M880" s="502"/>
      <c r="N880" s="855">
        <f>IFERROR(IFERROR(INDEX('Fixture and LED Schedule'!D:D,MATCH(K880,'Fixture and LED Schedule'!C:C,0),1),K880),"")</f>
        <v>0</v>
      </c>
      <c r="O880" s="858" t="str">
        <f>IFERROR(INDEX(yControl_Code,MATCH(Inventory!M880,yControlTypes,0),1),"")</f>
        <v/>
      </c>
      <c r="P880" s="860" t="str">
        <f>'Lighting Inventory (Ref only)'!AG883</f>
        <v/>
      </c>
      <c r="Q880" s="861" t="str">
        <f>'Lighting Inventory (Ref only)'!AF883</f>
        <v/>
      </c>
      <c r="R880" s="856" t="str">
        <f t="shared" si="27"/>
        <v/>
      </c>
      <c r="S880" s="856" t="str">
        <f>IFERROR(ROUND(R880*'Project Info and Summary'!$J$5/'Project Info and Summary'!$L$5,2),"")</f>
        <v/>
      </c>
    </row>
    <row r="881" spans="1:19" ht="30" customHeight="1">
      <c r="A881" s="948"/>
      <c r="B881" s="496">
        <f t="shared" si="26"/>
        <v>872</v>
      </c>
      <c r="C881" s="864"/>
      <c r="D881" s="505"/>
      <c r="E881" s="866"/>
      <c r="F881" s="498"/>
      <c r="G881" s="499"/>
      <c r="H881" s="492"/>
      <c r="I881" s="855">
        <f>IFERROR(IFERROR(INDEX('Fixture and LED Schedule'!D:D,MATCH(F881,'Fixture and LED Schedule'!C:C,""),1),F881),"")</f>
        <v>0</v>
      </c>
      <c r="J881" s="855" t="str">
        <f>IFERROR(IF(PRJ_Type="New Construction",H881,INDEX(yControl_Code,MATCH(Inventory!H881,yControlTypes,0),1)),"")</f>
        <v/>
      </c>
      <c r="K881" s="493"/>
      <c r="L881" s="501"/>
      <c r="M881" s="502"/>
      <c r="N881" s="855">
        <f>IFERROR(IFERROR(INDEX('Fixture and LED Schedule'!D:D,MATCH(K881,'Fixture and LED Schedule'!C:C,0),1),K881),"")</f>
        <v>0</v>
      </c>
      <c r="O881" s="858" t="str">
        <f>IFERROR(INDEX(yControl_Code,MATCH(Inventory!M881,yControlTypes,0),1),"")</f>
        <v/>
      </c>
      <c r="P881" s="860" t="str">
        <f>'Lighting Inventory (Ref only)'!AG884</f>
        <v/>
      </c>
      <c r="Q881" s="861" t="str">
        <f>'Lighting Inventory (Ref only)'!AF884</f>
        <v/>
      </c>
      <c r="R881" s="856" t="str">
        <f t="shared" si="27"/>
        <v/>
      </c>
      <c r="S881" s="856" t="str">
        <f>IFERROR(ROUND(R881*'Project Info and Summary'!$J$5/'Project Info and Summary'!$L$5,2),"")</f>
        <v/>
      </c>
    </row>
    <row r="882" spans="1:19" ht="30" customHeight="1">
      <c r="A882" s="948"/>
      <c r="B882" s="496">
        <f t="shared" si="26"/>
        <v>873</v>
      </c>
      <c r="C882" s="864"/>
      <c r="D882" s="505"/>
      <c r="E882" s="866"/>
      <c r="F882" s="498"/>
      <c r="G882" s="499"/>
      <c r="H882" s="492"/>
      <c r="I882" s="855">
        <f>IFERROR(IFERROR(INDEX('Fixture and LED Schedule'!D:D,MATCH(F882,'Fixture and LED Schedule'!C:C,""),1),F882),"")</f>
        <v>0</v>
      </c>
      <c r="J882" s="855" t="str">
        <f>IFERROR(IF(PRJ_Type="New Construction",H882,INDEX(yControl_Code,MATCH(Inventory!H882,yControlTypes,0),1)),"")</f>
        <v/>
      </c>
      <c r="K882" s="493"/>
      <c r="L882" s="501"/>
      <c r="M882" s="502"/>
      <c r="N882" s="855">
        <f>IFERROR(IFERROR(INDEX('Fixture and LED Schedule'!D:D,MATCH(K882,'Fixture and LED Schedule'!C:C,0),1),K882),"")</f>
        <v>0</v>
      </c>
      <c r="O882" s="858" t="str">
        <f>IFERROR(INDEX(yControl_Code,MATCH(Inventory!M882,yControlTypes,0),1),"")</f>
        <v/>
      </c>
      <c r="P882" s="860" t="str">
        <f>'Lighting Inventory (Ref only)'!AG885</f>
        <v/>
      </c>
      <c r="Q882" s="861" t="str">
        <f>'Lighting Inventory (Ref only)'!AF885</f>
        <v/>
      </c>
      <c r="R882" s="856" t="str">
        <f t="shared" si="27"/>
        <v/>
      </c>
      <c r="S882" s="856" t="str">
        <f>IFERROR(ROUND(R882*'Project Info and Summary'!$J$5/'Project Info and Summary'!$L$5,2),"")</f>
        <v/>
      </c>
    </row>
    <row r="883" spans="1:19" ht="30" customHeight="1">
      <c r="A883" s="948"/>
      <c r="B883" s="496">
        <f t="shared" si="26"/>
        <v>874</v>
      </c>
      <c r="C883" s="864"/>
      <c r="D883" s="505"/>
      <c r="E883" s="866"/>
      <c r="F883" s="498"/>
      <c r="G883" s="499"/>
      <c r="H883" s="492"/>
      <c r="I883" s="855">
        <f>IFERROR(IFERROR(INDEX('Fixture and LED Schedule'!D:D,MATCH(F883,'Fixture and LED Schedule'!C:C,""),1),F883),"")</f>
        <v>0</v>
      </c>
      <c r="J883" s="855" t="str">
        <f>IFERROR(IF(PRJ_Type="New Construction",H883,INDEX(yControl_Code,MATCH(Inventory!H883,yControlTypes,0),1)),"")</f>
        <v/>
      </c>
      <c r="K883" s="493"/>
      <c r="L883" s="501"/>
      <c r="M883" s="502"/>
      <c r="N883" s="855">
        <f>IFERROR(IFERROR(INDEX('Fixture and LED Schedule'!D:D,MATCH(K883,'Fixture and LED Schedule'!C:C,0),1),K883),"")</f>
        <v>0</v>
      </c>
      <c r="O883" s="858" t="str">
        <f>IFERROR(INDEX(yControl_Code,MATCH(Inventory!M883,yControlTypes,0),1),"")</f>
        <v/>
      </c>
      <c r="P883" s="860" t="str">
        <f>'Lighting Inventory (Ref only)'!AG886</f>
        <v/>
      </c>
      <c r="Q883" s="861" t="str">
        <f>'Lighting Inventory (Ref only)'!AF886</f>
        <v/>
      </c>
      <c r="R883" s="856" t="str">
        <f t="shared" si="27"/>
        <v/>
      </c>
      <c r="S883" s="856" t="str">
        <f>IFERROR(ROUND(R883*'Project Info and Summary'!$J$5/'Project Info and Summary'!$L$5,2),"")</f>
        <v/>
      </c>
    </row>
    <row r="884" spans="1:19" ht="30" customHeight="1">
      <c r="A884" s="948"/>
      <c r="B884" s="496">
        <f t="shared" si="26"/>
        <v>875</v>
      </c>
      <c r="C884" s="864"/>
      <c r="D884" s="505"/>
      <c r="E884" s="866"/>
      <c r="F884" s="498"/>
      <c r="G884" s="499"/>
      <c r="H884" s="492"/>
      <c r="I884" s="855">
        <f>IFERROR(IFERROR(INDEX('Fixture and LED Schedule'!D:D,MATCH(F884,'Fixture and LED Schedule'!C:C,""),1),F884),"")</f>
        <v>0</v>
      </c>
      <c r="J884" s="855" t="str">
        <f>IFERROR(IF(PRJ_Type="New Construction",H884,INDEX(yControl_Code,MATCH(Inventory!H884,yControlTypes,0),1)),"")</f>
        <v/>
      </c>
      <c r="K884" s="493"/>
      <c r="L884" s="501"/>
      <c r="M884" s="502"/>
      <c r="N884" s="855">
        <f>IFERROR(IFERROR(INDEX('Fixture and LED Schedule'!D:D,MATCH(K884,'Fixture and LED Schedule'!C:C,0),1),K884),"")</f>
        <v>0</v>
      </c>
      <c r="O884" s="858" t="str">
        <f>IFERROR(INDEX(yControl_Code,MATCH(Inventory!M884,yControlTypes,0),1),"")</f>
        <v/>
      </c>
      <c r="P884" s="860" t="str">
        <f>'Lighting Inventory (Ref only)'!AG887</f>
        <v/>
      </c>
      <c r="Q884" s="861" t="str">
        <f>'Lighting Inventory (Ref only)'!AF887</f>
        <v/>
      </c>
      <c r="R884" s="856" t="str">
        <f t="shared" si="27"/>
        <v/>
      </c>
      <c r="S884" s="856" t="str">
        <f>IFERROR(ROUND(R884*'Project Info and Summary'!$J$5/'Project Info and Summary'!$L$5,2),"")</f>
        <v/>
      </c>
    </row>
    <row r="885" spans="1:19" ht="30" customHeight="1">
      <c r="A885" s="948"/>
      <c r="B885" s="496">
        <f t="shared" si="26"/>
        <v>876</v>
      </c>
      <c r="C885" s="864"/>
      <c r="D885" s="505"/>
      <c r="E885" s="866"/>
      <c r="F885" s="498"/>
      <c r="G885" s="499"/>
      <c r="H885" s="492"/>
      <c r="I885" s="855">
        <f>IFERROR(IFERROR(INDEX('Fixture and LED Schedule'!D:D,MATCH(F885,'Fixture and LED Schedule'!C:C,""),1),F885),"")</f>
        <v>0</v>
      </c>
      <c r="J885" s="855" t="str">
        <f>IFERROR(IF(PRJ_Type="New Construction",H885,INDEX(yControl_Code,MATCH(Inventory!H885,yControlTypes,0),1)),"")</f>
        <v/>
      </c>
      <c r="K885" s="493"/>
      <c r="L885" s="501"/>
      <c r="M885" s="502"/>
      <c r="N885" s="855">
        <f>IFERROR(IFERROR(INDEX('Fixture and LED Schedule'!D:D,MATCH(K885,'Fixture and LED Schedule'!C:C,0),1),K885),"")</f>
        <v>0</v>
      </c>
      <c r="O885" s="858" t="str">
        <f>IFERROR(INDEX(yControl_Code,MATCH(Inventory!M885,yControlTypes,0),1),"")</f>
        <v/>
      </c>
      <c r="P885" s="860" t="str">
        <f>'Lighting Inventory (Ref only)'!AG888</f>
        <v/>
      </c>
      <c r="Q885" s="861" t="str">
        <f>'Lighting Inventory (Ref only)'!AF888</f>
        <v/>
      </c>
      <c r="R885" s="856" t="str">
        <f t="shared" si="27"/>
        <v/>
      </c>
      <c r="S885" s="856" t="str">
        <f>IFERROR(ROUND(R885*'Project Info and Summary'!$J$5/'Project Info and Summary'!$L$5,2),"")</f>
        <v/>
      </c>
    </row>
    <row r="886" spans="1:19" ht="30" customHeight="1">
      <c r="A886" s="948"/>
      <c r="B886" s="496">
        <f t="shared" si="26"/>
        <v>877</v>
      </c>
      <c r="C886" s="864"/>
      <c r="D886" s="505"/>
      <c r="E886" s="866"/>
      <c r="F886" s="498"/>
      <c r="G886" s="499"/>
      <c r="H886" s="492"/>
      <c r="I886" s="855">
        <f>IFERROR(IFERROR(INDEX('Fixture and LED Schedule'!D:D,MATCH(F886,'Fixture and LED Schedule'!C:C,""),1),F886),"")</f>
        <v>0</v>
      </c>
      <c r="J886" s="855" t="str">
        <f>IFERROR(IF(PRJ_Type="New Construction",H886,INDEX(yControl_Code,MATCH(Inventory!H886,yControlTypes,0),1)),"")</f>
        <v/>
      </c>
      <c r="K886" s="493"/>
      <c r="L886" s="501"/>
      <c r="M886" s="502"/>
      <c r="N886" s="855">
        <f>IFERROR(IFERROR(INDEX('Fixture and LED Schedule'!D:D,MATCH(K886,'Fixture and LED Schedule'!C:C,0),1),K886),"")</f>
        <v>0</v>
      </c>
      <c r="O886" s="858" t="str">
        <f>IFERROR(INDEX(yControl_Code,MATCH(Inventory!M886,yControlTypes,0),1),"")</f>
        <v/>
      </c>
      <c r="P886" s="860" t="str">
        <f>'Lighting Inventory (Ref only)'!AG889</f>
        <v/>
      </c>
      <c r="Q886" s="861" t="str">
        <f>'Lighting Inventory (Ref only)'!AF889</f>
        <v/>
      </c>
      <c r="R886" s="856" t="str">
        <f t="shared" si="27"/>
        <v/>
      </c>
      <c r="S886" s="856" t="str">
        <f>IFERROR(ROUND(R886*'Project Info and Summary'!$J$5/'Project Info and Summary'!$L$5,2),"")</f>
        <v/>
      </c>
    </row>
    <row r="887" spans="1:19" ht="30" customHeight="1">
      <c r="A887" s="948"/>
      <c r="B887" s="496">
        <f t="shared" si="26"/>
        <v>878</v>
      </c>
      <c r="C887" s="864"/>
      <c r="D887" s="505"/>
      <c r="E887" s="866"/>
      <c r="F887" s="498"/>
      <c r="G887" s="499"/>
      <c r="H887" s="492"/>
      <c r="I887" s="855">
        <f>IFERROR(IFERROR(INDEX('Fixture and LED Schedule'!D:D,MATCH(F887,'Fixture and LED Schedule'!C:C,""),1),F887),"")</f>
        <v>0</v>
      </c>
      <c r="J887" s="855" t="str">
        <f>IFERROR(IF(PRJ_Type="New Construction",H887,INDEX(yControl_Code,MATCH(Inventory!H887,yControlTypes,0),1)),"")</f>
        <v/>
      </c>
      <c r="K887" s="493"/>
      <c r="L887" s="501"/>
      <c r="M887" s="502"/>
      <c r="N887" s="855">
        <f>IFERROR(IFERROR(INDEX('Fixture and LED Schedule'!D:D,MATCH(K887,'Fixture and LED Schedule'!C:C,0),1),K887),"")</f>
        <v>0</v>
      </c>
      <c r="O887" s="858" t="str">
        <f>IFERROR(INDEX(yControl_Code,MATCH(Inventory!M887,yControlTypes,0),1),"")</f>
        <v/>
      </c>
      <c r="P887" s="860" t="str">
        <f>'Lighting Inventory (Ref only)'!AG890</f>
        <v/>
      </c>
      <c r="Q887" s="861" t="str">
        <f>'Lighting Inventory (Ref only)'!AF890</f>
        <v/>
      </c>
      <c r="R887" s="856" t="str">
        <f t="shared" si="27"/>
        <v/>
      </c>
      <c r="S887" s="856" t="str">
        <f>IFERROR(ROUND(R887*'Project Info and Summary'!$J$5/'Project Info and Summary'!$L$5,2),"")</f>
        <v/>
      </c>
    </row>
    <row r="888" spans="1:19" ht="30" customHeight="1">
      <c r="A888" s="948"/>
      <c r="B888" s="496">
        <f t="shared" si="26"/>
        <v>879</v>
      </c>
      <c r="C888" s="864"/>
      <c r="D888" s="505"/>
      <c r="E888" s="866"/>
      <c r="F888" s="498"/>
      <c r="G888" s="499"/>
      <c r="H888" s="492"/>
      <c r="I888" s="855">
        <f>IFERROR(IFERROR(INDEX('Fixture and LED Schedule'!D:D,MATCH(F888,'Fixture and LED Schedule'!C:C,""),1),F888),"")</f>
        <v>0</v>
      </c>
      <c r="J888" s="855" t="str">
        <f>IFERROR(IF(PRJ_Type="New Construction",H888,INDEX(yControl_Code,MATCH(Inventory!H888,yControlTypes,0),1)),"")</f>
        <v/>
      </c>
      <c r="K888" s="493"/>
      <c r="L888" s="501"/>
      <c r="M888" s="502"/>
      <c r="N888" s="855">
        <f>IFERROR(IFERROR(INDEX('Fixture and LED Schedule'!D:D,MATCH(K888,'Fixture and LED Schedule'!C:C,0),1),K888),"")</f>
        <v>0</v>
      </c>
      <c r="O888" s="858" t="str">
        <f>IFERROR(INDEX(yControl_Code,MATCH(Inventory!M888,yControlTypes,0),1),"")</f>
        <v/>
      </c>
      <c r="P888" s="860" t="str">
        <f>'Lighting Inventory (Ref only)'!AG891</f>
        <v/>
      </c>
      <c r="Q888" s="861" t="str">
        <f>'Lighting Inventory (Ref only)'!AF891</f>
        <v/>
      </c>
      <c r="R888" s="856" t="str">
        <f t="shared" si="27"/>
        <v/>
      </c>
      <c r="S888" s="856" t="str">
        <f>IFERROR(ROUND(R888*'Project Info and Summary'!$J$5/'Project Info and Summary'!$L$5,2),"")</f>
        <v/>
      </c>
    </row>
    <row r="889" spans="1:19" ht="30" customHeight="1">
      <c r="A889" s="948"/>
      <c r="B889" s="496">
        <f t="shared" si="26"/>
        <v>880</v>
      </c>
      <c r="C889" s="864"/>
      <c r="D889" s="505"/>
      <c r="E889" s="866"/>
      <c r="F889" s="498"/>
      <c r="G889" s="499"/>
      <c r="H889" s="492"/>
      <c r="I889" s="855">
        <f>IFERROR(IFERROR(INDEX('Fixture and LED Schedule'!D:D,MATCH(F889,'Fixture and LED Schedule'!C:C,""),1),F889),"")</f>
        <v>0</v>
      </c>
      <c r="J889" s="855" t="str">
        <f>IFERROR(IF(PRJ_Type="New Construction",H889,INDEX(yControl_Code,MATCH(Inventory!H889,yControlTypes,0),1)),"")</f>
        <v/>
      </c>
      <c r="K889" s="493"/>
      <c r="L889" s="501"/>
      <c r="M889" s="502"/>
      <c r="N889" s="855">
        <f>IFERROR(IFERROR(INDEX('Fixture and LED Schedule'!D:D,MATCH(K889,'Fixture and LED Schedule'!C:C,0),1),K889),"")</f>
        <v>0</v>
      </c>
      <c r="O889" s="858" t="str">
        <f>IFERROR(INDEX(yControl_Code,MATCH(Inventory!M889,yControlTypes,0),1),"")</f>
        <v/>
      </c>
      <c r="P889" s="860" t="str">
        <f>'Lighting Inventory (Ref only)'!AG892</f>
        <v/>
      </c>
      <c r="Q889" s="861" t="str">
        <f>'Lighting Inventory (Ref only)'!AF892</f>
        <v/>
      </c>
      <c r="R889" s="856" t="str">
        <f t="shared" si="27"/>
        <v/>
      </c>
      <c r="S889" s="856" t="str">
        <f>IFERROR(ROUND(R889*'Project Info and Summary'!$J$5/'Project Info and Summary'!$L$5,2),"")</f>
        <v/>
      </c>
    </row>
    <row r="890" spans="1:19" ht="30" customHeight="1">
      <c r="A890" s="948"/>
      <c r="B890" s="496">
        <f t="shared" si="26"/>
        <v>881</v>
      </c>
      <c r="C890" s="864"/>
      <c r="D890" s="505"/>
      <c r="E890" s="866"/>
      <c r="F890" s="498"/>
      <c r="G890" s="499"/>
      <c r="H890" s="492"/>
      <c r="I890" s="855">
        <f>IFERROR(IFERROR(INDEX('Fixture and LED Schedule'!D:D,MATCH(F890,'Fixture and LED Schedule'!C:C,""),1),F890),"")</f>
        <v>0</v>
      </c>
      <c r="J890" s="855" t="str">
        <f>IFERROR(IF(PRJ_Type="New Construction",H890,INDEX(yControl_Code,MATCH(Inventory!H890,yControlTypes,0),1)),"")</f>
        <v/>
      </c>
      <c r="K890" s="493"/>
      <c r="L890" s="501"/>
      <c r="M890" s="502"/>
      <c r="N890" s="855">
        <f>IFERROR(IFERROR(INDEX('Fixture and LED Schedule'!D:D,MATCH(K890,'Fixture and LED Schedule'!C:C,0),1),K890),"")</f>
        <v>0</v>
      </c>
      <c r="O890" s="858" t="str">
        <f>IFERROR(INDEX(yControl_Code,MATCH(Inventory!M890,yControlTypes,0),1),"")</f>
        <v/>
      </c>
      <c r="P890" s="860" t="str">
        <f>'Lighting Inventory (Ref only)'!AG893</f>
        <v/>
      </c>
      <c r="Q890" s="861" t="str">
        <f>'Lighting Inventory (Ref only)'!AF893</f>
        <v/>
      </c>
      <c r="R890" s="856" t="str">
        <f t="shared" si="27"/>
        <v/>
      </c>
      <c r="S890" s="856" t="str">
        <f>IFERROR(ROUND(R890*'Project Info and Summary'!$J$5/'Project Info and Summary'!$L$5,2),"")</f>
        <v/>
      </c>
    </row>
    <row r="891" spans="1:19" ht="30" customHeight="1">
      <c r="A891" s="948"/>
      <c r="B891" s="496">
        <f t="shared" si="26"/>
        <v>882</v>
      </c>
      <c r="C891" s="864"/>
      <c r="D891" s="505"/>
      <c r="E891" s="866"/>
      <c r="F891" s="498"/>
      <c r="G891" s="499"/>
      <c r="H891" s="492"/>
      <c r="I891" s="855">
        <f>IFERROR(IFERROR(INDEX('Fixture and LED Schedule'!D:D,MATCH(F891,'Fixture and LED Schedule'!C:C,""),1),F891),"")</f>
        <v>0</v>
      </c>
      <c r="J891" s="855" t="str">
        <f>IFERROR(IF(PRJ_Type="New Construction",H891,INDEX(yControl_Code,MATCH(Inventory!H891,yControlTypes,0),1)),"")</f>
        <v/>
      </c>
      <c r="K891" s="493"/>
      <c r="L891" s="501"/>
      <c r="M891" s="502"/>
      <c r="N891" s="855">
        <f>IFERROR(IFERROR(INDEX('Fixture and LED Schedule'!D:D,MATCH(K891,'Fixture and LED Schedule'!C:C,0),1),K891),"")</f>
        <v>0</v>
      </c>
      <c r="O891" s="858" t="str">
        <f>IFERROR(INDEX(yControl_Code,MATCH(Inventory!M891,yControlTypes,0),1),"")</f>
        <v/>
      </c>
      <c r="P891" s="860" t="str">
        <f>'Lighting Inventory (Ref only)'!AG894</f>
        <v/>
      </c>
      <c r="Q891" s="861" t="str">
        <f>'Lighting Inventory (Ref only)'!AF894</f>
        <v/>
      </c>
      <c r="R891" s="856" t="str">
        <f t="shared" si="27"/>
        <v/>
      </c>
      <c r="S891" s="856" t="str">
        <f>IFERROR(ROUND(R891*'Project Info and Summary'!$J$5/'Project Info and Summary'!$L$5,2),"")</f>
        <v/>
      </c>
    </row>
    <row r="892" spans="1:19" ht="30" customHeight="1">
      <c r="A892" s="948"/>
      <c r="B892" s="496">
        <f t="shared" si="26"/>
        <v>883</v>
      </c>
      <c r="C892" s="864"/>
      <c r="D892" s="505"/>
      <c r="E892" s="866"/>
      <c r="F892" s="498"/>
      <c r="G892" s="499"/>
      <c r="H892" s="492"/>
      <c r="I892" s="855">
        <f>IFERROR(IFERROR(INDEX('Fixture and LED Schedule'!D:D,MATCH(F892,'Fixture and LED Schedule'!C:C,""),1),F892),"")</f>
        <v>0</v>
      </c>
      <c r="J892" s="855" t="str">
        <f>IFERROR(IF(PRJ_Type="New Construction",H892,INDEX(yControl_Code,MATCH(Inventory!H892,yControlTypes,0),1)),"")</f>
        <v/>
      </c>
      <c r="K892" s="493"/>
      <c r="L892" s="501"/>
      <c r="M892" s="502"/>
      <c r="N892" s="855">
        <f>IFERROR(IFERROR(INDEX('Fixture and LED Schedule'!D:D,MATCH(K892,'Fixture and LED Schedule'!C:C,0),1),K892),"")</f>
        <v>0</v>
      </c>
      <c r="O892" s="858" t="str">
        <f>IFERROR(INDEX(yControl_Code,MATCH(Inventory!M892,yControlTypes,0),1),"")</f>
        <v/>
      </c>
      <c r="P892" s="860" t="str">
        <f>'Lighting Inventory (Ref only)'!AG895</f>
        <v/>
      </c>
      <c r="Q892" s="861" t="str">
        <f>'Lighting Inventory (Ref only)'!AF895</f>
        <v/>
      </c>
      <c r="R892" s="856" t="str">
        <f t="shared" si="27"/>
        <v/>
      </c>
      <c r="S892" s="856" t="str">
        <f>IFERROR(ROUND(R892*'Project Info and Summary'!$J$5/'Project Info and Summary'!$L$5,2),"")</f>
        <v/>
      </c>
    </row>
    <row r="893" spans="1:19" ht="30" customHeight="1">
      <c r="A893" s="948"/>
      <c r="B893" s="496">
        <f t="shared" ref="B893:B956" si="28">B892+1</f>
        <v>884</v>
      </c>
      <c r="C893" s="864"/>
      <c r="D893" s="505"/>
      <c r="E893" s="866"/>
      <c r="F893" s="498"/>
      <c r="G893" s="499"/>
      <c r="H893" s="492"/>
      <c r="I893" s="855">
        <f>IFERROR(IFERROR(INDEX('Fixture and LED Schedule'!D:D,MATCH(F893,'Fixture and LED Schedule'!C:C,""),1),F893),"")</f>
        <v>0</v>
      </c>
      <c r="J893" s="855" t="str">
        <f>IFERROR(IF(PRJ_Type="New Construction",H893,INDEX(yControl_Code,MATCH(Inventory!H893,yControlTypes,0),1)),"")</f>
        <v/>
      </c>
      <c r="K893" s="493"/>
      <c r="L893" s="501"/>
      <c r="M893" s="502"/>
      <c r="N893" s="855">
        <f>IFERROR(IFERROR(INDEX('Fixture and LED Schedule'!D:D,MATCH(K893,'Fixture and LED Schedule'!C:C,0),1),K893),"")</f>
        <v>0</v>
      </c>
      <c r="O893" s="858" t="str">
        <f>IFERROR(INDEX(yControl_Code,MATCH(Inventory!M893,yControlTypes,0),1),"")</f>
        <v/>
      </c>
      <c r="P893" s="860" t="str">
        <f>'Lighting Inventory (Ref only)'!AG896</f>
        <v/>
      </c>
      <c r="Q893" s="861" t="str">
        <f>'Lighting Inventory (Ref only)'!AF896</f>
        <v/>
      </c>
      <c r="R893" s="856" t="str">
        <f t="shared" si="27"/>
        <v/>
      </c>
      <c r="S893" s="856" t="str">
        <f>IFERROR(ROUND(R893*'Project Info and Summary'!$J$5/'Project Info and Summary'!$L$5,2),"")</f>
        <v/>
      </c>
    </row>
    <row r="894" spans="1:19" ht="30" customHeight="1">
      <c r="A894" s="948"/>
      <c r="B894" s="496">
        <f t="shared" si="28"/>
        <v>885</v>
      </c>
      <c r="C894" s="864"/>
      <c r="D894" s="505"/>
      <c r="E894" s="866"/>
      <c r="F894" s="498"/>
      <c r="G894" s="499"/>
      <c r="H894" s="492"/>
      <c r="I894" s="855">
        <f>IFERROR(IFERROR(INDEX('Fixture and LED Schedule'!D:D,MATCH(F894,'Fixture and LED Schedule'!C:C,""),1),F894),"")</f>
        <v>0</v>
      </c>
      <c r="J894" s="855" t="str">
        <f>IFERROR(IF(PRJ_Type="New Construction",H894,INDEX(yControl_Code,MATCH(Inventory!H894,yControlTypes,0),1)),"")</f>
        <v/>
      </c>
      <c r="K894" s="493"/>
      <c r="L894" s="501"/>
      <c r="M894" s="502"/>
      <c r="N894" s="855">
        <f>IFERROR(IFERROR(INDEX('Fixture and LED Schedule'!D:D,MATCH(K894,'Fixture and LED Schedule'!C:C,0),1),K894),"")</f>
        <v>0</v>
      </c>
      <c r="O894" s="858" t="str">
        <f>IFERROR(INDEX(yControl_Code,MATCH(Inventory!M894,yControlTypes,0),1),"")</f>
        <v/>
      </c>
      <c r="P894" s="860" t="str">
        <f>'Lighting Inventory (Ref only)'!AG897</f>
        <v/>
      </c>
      <c r="Q894" s="861" t="str">
        <f>'Lighting Inventory (Ref only)'!AF897</f>
        <v/>
      </c>
      <c r="R894" s="856" t="str">
        <f t="shared" si="27"/>
        <v/>
      </c>
      <c r="S894" s="856" t="str">
        <f>IFERROR(ROUND(R894*'Project Info and Summary'!$J$5/'Project Info and Summary'!$L$5,2),"")</f>
        <v/>
      </c>
    </row>
    <row r="895" spans="1:19" ht="30" customHeight="1">
      <c r="A895" s="948"/>
      <c r="B895" s="496">
        <f t="shared" si="28"/>
        <v>886</v>
      </c>
      <c r="C895" s="864"/>
      <c r="D895" s="505"/>
      <c r="E895" s="866"/>
      <c r="F895" s="498"/>
      <c r="G895" s="499"/>
      <c r="H895" s="492"/>
      <c r="I895" s="855">
        <f>IFERROR(IFERROR(INDEX('Fixture and LED Schedule'!D:D,MATCH(F895,'Fixture and LED Schedule'!C:C,""),1),F895),"")</f>
        <v>0</v>
      </c>
      <c r="J895" s="855" t="str">
        <f>IFERROR(IF(PRJ_Type="New Construction",H895,INDEX(yControl_Code,MATCH(Inventory!H895,yControlTypes,0),1)),"")</f>
        <v/>
      </c>
      <c r="K895" s="493"/>
      <c r="L895" s="501"/>
      <c r="M895" s="502"/>
      <c r="N895" s="855">
        <f>IFERROR(IFERROR(INDEX('Fixture and LED Schedule'!D:D,MATCH(K895,'Fixture and LED Schedule'!C:C,0),1),K895),"")</f>
        <v>0</v>
      </c>
      <c r="O895" s="858" t="str">
        <f>IFERROR(INDEX(yControl_Code,MATCH(Inventory!M895,yControlTypes,0),1),"")</f>
        <v/>
      </c>
      <c r="P895" s="860" t="str">
        <f>'Lighting Inventory (Ref only)'!AG898</f>
        <v/>
      </c>
      <c r="Q895" s="861" t="str">
        <f>'Lighting Inventory (Ref only)'!AF898</f>
        <v/>
      </c>
      <c r="R895" s="856" t="str">
        <f t="shared" si="27"/>
        <v/>
      </c>
      <c r="S895" s="856" t="str">
        <f>IFERROR(ROUND(R895*'Project Info and Summary'!$J$5/'Project Info and Summary'!$L$5,2),"")</f>
        <v/>
      </c>
    </row>
    <row r="896" spans="1:19" ht="30" customHeight="1">
      <c r="A896" s="948"/>
      <c r="B896" s="496">
        <f t="shared" si="28"/>
        <v>887</v>
      </c>
      <c r="C896" s="864"/>
      <c r="D896" s="505"/>
      <c r="E896" s="866"/>
      <c r="F896" s="498"/>
      <c r="G896" s="499"/>
      <c r="H896" s="492"/>
      <c r="I896" s="855">
        <f>IFERROR(IFERROR(INDEX('Fixture and LED Schedule'!D:D,MATCH(F896,'Fixture and LED Schedule'!C:C,""),1),F896),"")</f>
        <v>0</v>
      </c>
      <c r="J896" s="855" t="str">
        <f>IFERROR(IF(PRJ_Type="New Construction",H896,INDEX(yControl_Code,MATCH(Inventory!H896,yControlTypes,0),1)),"")</f>
        <v/>
      </c>
      <c r="K896" s="493"/>
      <c r="L896" s="501"/>
      <c r="M896" s="502"/>
      <c r="N896" s="855">
        <f>IFERROR(IFERROR(INDEX('Fixture and LED Schedule'!D:D,MATCH(K896,'Fixture and LED Schedule'!C:C,0),1),K896),"")</f>
        <v>0</v>
      </c>
      <c r="O896" s="858" t="str">
        <f>IFERROR(INDEX(yControl_Code,MATCH(Inventory!M896,yControlTypes,0),1),"")</f>
        <v/>
      </c>
      <c r="P896" s="860" t="str">
        <f>'Lighting Inventory (Ref only)'!AG899</f>
        <v/>
      </c>
      <c r="Q896" s="861" t="str">
        <f>'Lighting Inventory (Ref only)'!AF899</f>
        <v/>
      </c>
      <c r="R896" s="856" t="str">
        <f t="shared" si="27"/>
        <v/>
      </c>
      <c r="S896" s="856" t="str">
        <f>IFERROR(ROUND(R896*'Project Info and Summary'!$J$5/'Project Info and Summary'!$L$5,2),"")</f>
        <v/>
      </c>
    </row>
    <row r="897" spans="1:19" ht="30" customHeight="1">
      <c r="A897" s="948"/>
      <c r="B897" s="496">
        <f t="shared" si="28"/>
        <v>888</v>
      </c>
      <c r="C897" s="864"/>
      <c r="D897" s="505"/>
      <c r="E897" s="866"/>
      <c r="F897" s="498"/>
      <c r="G897" s="499"/>
      <c r="H897" s="492"/>
      <c r="I897" s="855">
        <f>IFERROR(IFERROR(INDEX('Fixture and LED Schedule'!D:D,MATCH(F897,'Fixture and LED Schedule'!C:C,""),1),F897),"")</f>
        <v>0</v>
      </c>
      <c r="J897" s="855" t="str">
        <f>IFERROR(IF(PRJ_Type="New Construction",H897,INDEX(yControl_Code,MATCH(Inventory!H897,yControlTypes,0),1)),"")</f>
        <v/>
      </c>
      <c r="K897" s="493"/>
      <c r="L897" s="501"/>
      <c r="M897" s="502"/>
      <c r="N897" s="855">
        <f>IFERROR(IFERROR(INDEX('Fixture and LED Schedule'!D:D,MATCH(K897,'Fixture and LED Schedule'!C:C,0),1),K897),"")</f>
        <v>0</v>
      </c>
      <c r="O897" s="858" t="str">
        <f>IFERROR(INDEX(yControl_Code,MATCH(Inventory!M897,yControlTypes,0),1),"")</f>
        <v/>
      </c>
      <c r="P897" s="860" t="str">
        <f>'Lighting Inventory (Ref only)'!AG900</f>
        <v/>
      </c>
      <c r="Q897" s="861" t="str">
        <f>'Lighting Inventory (Ref only)'!AF900</f>
        <v/>
      </c>
      <c r="R897" s="856" t="str">
        <f t="shared" si="27"/>
        <v/>
      </c>
      <c r="S897" s="856" t="str">
        <f>IFERROR(ROUND(R897*'Project Info and Summary'!$J$5/'Project Info and Summary'!$L$5,2),"")</f>
        <v/>
      </c>
    </row>
    <row r="898" spans="1:19" ht="30" customHeight="1">
      <c r="A898" s="948"/>
      <c r="B898" s="496">
        <f t="shared" si="28"/>
        <v>889</v>
      </c>
      <c r="C898" s="864"/>
      <c r="D898" s="505"/>
      <c r="E898" s="866"/>
      <c r="F898" s="498"/>
      <c r="G898" s="499"/>
      <c r="H898" s="492"/>
      <c r="I898" s="855">
        <f>IFERROR(IFERROR(INDEX('Fixture and LED Schedule'!D:D,MATCH(F898,'Fixture and LED Schedule'!C:C,""),1),F898),"")</f>
        <v>0</v>
      </c>
      <c r="J898" s="855" t="str">
        <f>IFERROR(IF(PRJ_Type="New Construction",H898,INDEX(yControl_Code,MATCH(Inventory!H898,yControlTypes,0),1)),"")</f>
        <v/>
      </c>
      <c r="K898" s="493"/>
      <c r="L898" s="501"/>
      <c r="M898" s="502"/>
      <c r="N898" s="855">
        <f>IFERROR(IFERROR(INDEX('Fixture and LED Schedule'!D:D,MATCH(K898,'Fixture and LED Schedule'!C:C,0),1),K898),"")</f>
        <v>0</v>
      </c>
      <c r="O898" s="858" t="str">
        <f>IFERROR(INDEX(yControl_Code,MATCH(Inventory!M898,yControlTypes,0),1),"")</f>
        <v/>
      </c>
      <c r="P898" s="860" t="str">
        <f>'Lighting Inventory (Ref only)'!AG901</f>
        <v/>
      </c>
      <c r="Q898" s="861" t="str">
        <f>'Lighting Inventory (Ref only)'!AF901</f>
        <v/>
      </c>
      <c r="R898" s="856" t="str">
        <f t="shared" si="27"/>
        <v/>
      </c>
      <c r="S898" s="856" t="str">
        <f>IFERROR(ROUND(R898*'Project Info and Summary'!$J$5/'Project Info and Summary'!$L$5,2),"")</f>
        <v/>
      </c>
    </row>
    <row r="899" spans="1:19" ht="30" customHeight="1">
      <c r="A899" s="948"/>
      <c r="B899" s="496">
        <f t="shared" si="28"/>
        <v>890</v>
      </c>
      <c r="C899" s="864"/>
      <c r="D899" s="505"/>
      <c r="E899" s="866"/>
      <c r="F899" s="498"/>
      <c r="G899" s="499"/>
      <c r="H899" s="492"/>
      <c r="I899" s="855">
        <f>IFERROR(IFERROR(INDEX('Fixture and LED Schedule'!D:D,MATCH(F899,'Fixture and LED Schedule'!C:C,""),1),F899),"")</f>
        <v>0</v>
      </c>
      <c r="J899" s="855" t="str">
        <f>IFERROR(IF(PRJ_Type="New Construction",H899,INDEX(yControl_Code,MATCH(Inventory!H899,yControlTypes,0),1)),"")</f>
        <v/>
      </c>
      <c r="K899" s="493"/>
      <c r="L899" s="501"/>
      <c r="M899" s="502"/>
      <c r="N899" s="855">
        <f>IFERROR(IFERROR(INDEX('Fixture and LED Schedule'!D:D,MATCH(K899,'Fixture and LED Schedule'!C:C,0),1),K899),"")</f>
        <v>0</v>
      </c>
      <c r="O899" s="858" t="str">
        <f>IFERROR(INDEX(yControl_Code,MATCH(Inventory!M899,yControlTypes,0),1),"")</f>
        <v/>
      </c>
      <c r="P899" s="860" t="str">
        <f>'Lighting Inventory (Ref only)'!AG902</f>
        <v/>
      </c>
      <c r="Q899" s="861" t="str">
        <f>'Lighting Inventory (Ref only)'!AF902</f>
        <v/>
      </c>
      <c r="R899" s="856" t="str">
        <f t="shared" si="27"/>
        <v/>
      </c>
      <c r="S899" s="856" t="str">
        <f>IFERROR(ROUND(R899*'Project Info and Summary'!$J$5/'Project Info and Summary'!$L$5,2),"")</f>
        <v/>
      </c>
    </row>
    <row r="900" spans="1:19" ht="30" customHeight="1">
      <c r="A900" s="948"/>
      <c r="B900" s="496">
        <f t="shared" si="28"/>
        <v>891</v>
      </c>
      <c r="C900" s="864"/>
      <c r="D900" s="505"/>
      <c r="E900" s="866"/>
      <c r="F900" s="498"/>
      <c r="G900" s="499"/>
      <c r="H900" s="492"/>
      <c r="I900" s="855">
        <f>IFERROR(IFERROR(INDEX('Fixture and LED Schedule'!D:D,MATCH(F900,'Fixture and LED Schedule'!C:C,""),1),F900),"")</f>
        <v>0</v>
      </c>
      <c r="J900" s="855" t="str">
        <f>IFERROR(IF(PRJ_Type="New Construction",H900,INDEX(yControl_Code,MATCH(Inventory!H900,yControlTypes,0),1)),"")</f>
        <v/>
      </c>
      <c r="K900" s="493"/>
      <c r="L900" s="501"/>
      <c r="M900" s="502"/>
      <c r="N900" s="855">
        <f>IFERROR(IFERROR(INDEX('Fixture and LED Schedule'!D:D,MATCH(K900,'Fixture and LED Schedule'!C:C,0),1),K900),"")</f>
        <v>0</v>
      </c>
      <c r="O900" s="858" t="str">
        <f>IFERROR(INDEX(yControl_Code,MATCH(Inventory!M900,yControlTypes,0),1),"")</f>
        <v/>
      </c>
      <c r="P900" s="860" t="str">
        <f>'Lighting Inventory (Ref only)'!AG903</f>
        <v/>
      </c>
      <c r="Q900" s="861" t="str">
        <f>'Lighting Inventory (Ref only)'!AF903</f>
        <v/>
      </c>
      <c r="R900" s="856" t="str">
        <f t="shared" si="27"/>
        <v/>
      </c>
      <c r="S900" s="856" t="str">
        <f>IFERROR(ROUND(R900*'Project Info and Summary'!$J$5/'Project Info and Summary'!$L$5,2),"")</f>
        <v/>
      </c>
    </row>
    <row r="901" spans="1:19" ht="30" customHeight="1">
      <c r="A901" s="948"/>
      <c r="B901" s="496">
        <f t="shared" si="28"/>
        <v>892</v>
      </c>
      <c r="C901" s="864"/>
      <c r="D901" s="505"/>
      <c r="E901" s="866"/>
      <c r="F901" s="498"/>
      <c r="G901" s="499"/>
      <c r="H901" s="492"/>
      <c r="I901" s="855">
        <f>IFERROR(IFERROR(INDEX('Fixture and LED Schedule'!D:D,MATCH(F901,'Fixture and LED Schedule'!C:C,""),1),F901),"")</f>
        <v>0</v>
      </c>
      <c r="J901" s="855" t="str">
        <f>IFERROR(IF(PRJ_Type="New Construction",H901,INDEX(yControl_Code,MATCH(Inventory!H901,yControlTypes,0),1)),"")</f>
        <v/>
      </c>
      <c r="K901" s="493"/>
      <c r="L901" s="501"/>
      <c r="M901" s="502"/>
      <c r="N901" s="855">
        <f>IFERROR(IFERROR(INDEX('Fixture and LED Schedule'!D:D,MATCH(K901,'Fixture and LED Schedule'!C:C,0),1),K901),"")</f>
        <v>0</v>
      </c>
      <c r="O901" s="858" t="str">
        <f>IFERROR(INDEX(yControl_Code,MATCH(Inventory!M901,yControlTypes,0),1),"")</f>
        <v/>
      </c>
      <c r="P901" s="860" t="str">
        <f>'Lighting Inventory (Ref only)'!AG904</f>
        <v/>
      </c>
      <c r="Q901" s="861" t="str">
        <f>'Lighting Inventory (Ref only)'!AF904</f>
        <v/>
      </c>
      <c r="R901" s="856" t="str">
        <f t="shared" si="27"/>
        <v/>
      </c>
      <c r="S901" s="856" t="str">
        <f>IFERROR(ROUND(R901*'Project Info and Summary'!$J$5/'Project Info and Summary'!$L$5,2),"")</f>
        <v/>
      </c>
    </row>
    <row r="902" spans="1:19" ht="30" customHeight="1">
      <c r="A902" s="948"/>
      <c r="B902" s="496">
        <f t="shared" si="28"/>
        <v>893</v>
      </c>
      <c r="C902" s="864"/>
      <c r="D902" s="505"/>
      <c r="E902" s="866"/>
      <c r="F902" s="498"/>
      <c r="G902" s="499"/>
      <c r="H902" s="492"/>
      <c r="I902" s="855">
        <f>IFERROR(IFERROR(INDEX('Fixture and LED Schedule'!D:D,MATCH(F902,'Fixture and LED Schedule'!C:C,""),1),F902),"")</f>
        <v>0</v>
      </c>
      <c r="J902" s="855" t="str">
        <f>IFERROR(IF(PRJ_Type="New Construction",H902,INDEX(yControl_Code,MATCH(Inventory!H902,yControlTypes,0),1)),"")</f>
        <v/>
      </c>
      <c r="K902" s="493"/>
      <c r="L902" s="501"/>
      <c r="M902" s="502"/>
      <c r="N902" s="855">
        <f>IFERROR(IFERROR(INDEX('Fixture and LED Schedule'!D:D,MATCH(K902,'Fixture and LED Schedule'!C:C,0),1),K902),"")</f>
        <v>0</v>
      </c>
      <c r="O902" s="858" t="str">
        <f>IFERROR(INDEX(yControl_Code,MATCH(Inventory!M902,yControlTypes,0),1),"")</f>
        <v/>
      </c>
      <c r="P902" s="860" t="str">
        <f>'Lighting Inventory (Ref only)'!AG905</f>
        <v/>
      </c>
      <c r="Q902" s="861" t="str">
        <f>'Lighting Inventory (Ref only)'!AF905</f>
        <v/>
      </c>
      <c r="R902" s="856" t="str">
        <f t="shared" si="27"/>
        <v/>
      </c>
      <c r="S902" s="856" t="str">
        <f>IFERROR(ROUND(R902*'Project Info and Summary'!$J$5/'Project Info and Summary'!$L$5,2),"")</f>
        <v/>
      </c>
    </row>
    <row r="903" spans="1:19" ht="30" customHeight="1">
      <c r="A903" s="948"/>
      <c r="B903" s="496">
        <f t="shared" si="28"/>
        <v>894</v>
      </c>
      <c r="C903" s="864"/>
      <c r="D903" s="505"/>
      <c r="E903" s="866"/>
      <c r="F903" s="498"/>
      <c r="G903" s="499"/>
      <c r="H903" s="492"/>
      <c r="I903" s="855">
        <f>IFERROR(IFERROR(INDEX('Fixture and LED Schedule'!D:D,MATCH(F903,'Fixture and LED Schedule'!C:C,""),1),F903),"")</f>
        <v>0</v>
      </c>
      <c r="J903" s="855" t="str">
        <f>IFERROR(IF(PRJ_Type="New Construction",H903,INDEX(yControl_Code,MATCH(Inventory!H903,yControlTypes,0),1)),"")</f>
        <v/>
      </c>
      <c r="K903" s="493"/>
      <c r="L903" s="501"/>
      <c r="M903" s="502"/>
      <c r="N903" s="855">
        <f>IFERROR(IFERROR(INDEX('Fixture and LED Schedule'!D:D,MATCH(K903,'Fixture and LED Schedule'!C:C,0),1),K903),"")</f>
        <v>0</v>
      </c>
      <c r="O903" s="858" t="str">
        <f>IFERROR(INDEX(yControl_Code,MATCH(Inventory!M903,yControlTypes,0),1),"")</f>
        <v/>
      </c>
      <c r="P903" s="860" t="str">
        <f>'Lighting Inventory (Ref only)'!AG906</f>
        <v/>
      </c>
      <c r="Q903" s="861" t="str">
        <f>'Lighting Inventory (Ref only)'!AF906</f>
        <v/>
      </c>
      <c r="R903" s="856" t="str">
        <f t="shared" si="27"/>
        <v/>
      </c>
      <c r="S903" s="856" t="str">
        <f>IFERROR(ROUND(R903*'Project Info and Summary'!$J$5/'Project Info and Summary'!$L$5,2),"")</f>
        <v/>
      </c>
    </row>
    <row r="904" spans="1:19" ht="30" customHeight="1">
      <c r="A904" s="948"/>
      <c r="B904" s="496">
        <f t="shared" si="28"/>
        <v>895</v>
      </c>
      <c r="C904" s="864"/>
      <c r="D904" s="505"/>
      <c r="E904" s="866"/>
      <c r="F904" s="498"/>
      <c r="G904" s="499"/>
      <c r="H904" s="492"/>
      <c r="I904" s="855">
        <f>IFERROR(IFERROR(INDEX('Fixture and LED Schedule'!D:D,MATCH(F904,'Fixture and LED Schedule'!C:C,""),1),F904),"")</f>
        <v>0</v>
      </c>
      <c r="J904" s="855" t="str">
        <f>IFERROR(IF(PRJ_Type="New Construction",H904,INDEX(yControl_Code,MATCH(Inventory!H904,yControlTypes,0),1)),"")</f>
        <v/>
      </c>
      <c r="K904" s="493"/>
      <c r="L904" s="501"/>
      <c r="M904" s="502"/>
      <c r="N904" s="855">
        <f>IFERROR(IFERROR(INDEX('Fixture and LED Schedule'!D:D,MATCH(K904,'Fixture and LED Schedule'!C:C,0),1),K904),"")</f>
        <v>0</v>
      </c>
      <c r="O904" s="858" t="str">
        <f>IFERROR(INDEX(yControl_Code,MATCH(Inventory!M904,yControlTypes,0),1),"")</f>
        <v/>
      </c>
      <c r="P904" s="860" t="str">
        <f>'Lighting Inventory (Ref only)'!AG907</f>
        <v/>
      </c>
      <c r="Q904" s="861" t="str">
        <f>'Lighting Inventory (Ref only)'!AF907</f>
        <v/>
      </c>
      <c r="R904" s="856" t="str">
        <f t="shared" si="27"/>
        <v/>
      </c>
      <c r="S904" s="856" t="str">
        <f>IFERROR(ROUND(R904*'Project Info and Summary'!$J$5/'Project Info and Summary'!$L$5,2),"")</f>
        <v/>
      </c>
    </row>
    <row r="905" spans="1:19" ht="30" customHeight="1">
      <c r="A905" s="948"/>
      <c r="B905" s="496">
        <f t="shared" si="28"/>
        <v>896</v>
      </c>
      <c r="C905" s="864"/>
      <c r="D905" s="505"/>
      <c r="E905" s="866"/>
      <c r="F905" s="498"/>
      <c r="G905" s="499"/>
      <c r="H905" s="492"/>
      <c r="I905" s="855">
        <f>IFERROR(IFERROR(INDEX('Fixture and LED Schedule'!D:D,MATCH(F905,'Fixture and LED Schedule'!C:C,""),1),F905),"")</f>
        <v>0</v>
      </c>
      <c r="J905" s="855" t="str">
        <f>IFERROR(IF(PRJ_Type="New Construction",H905,INDEX(yControl_Code,MATCH(Inventory!H905,yControlTypes,0),1)),"")</f>
        <v/>
      </c>
      <c r="K905" s="493"/>
      <c r="L905" s="501"/>
      <c r="M905" s="502"/>
      <c r="N905" s="855">
        <f>IFERROR(IFERROR(INDEX('Fixture and LED Schedule'!D:D,MATCH(K905,'Fixture and LED Schedule'!C:C,0),1),K905),"")</f>
        <v>0</v>
      </c>
      <c r="O905" s="858" t="str">
        <f>IFERROR(INDEX(yControl_Code,MATCH(Inventory!M905,yControlTypes,0),1),"")</f>
        <v/>
      </c>
      <c r="P905" s="860" t="str">
        <f>'Lighting Inventory (Ref only)'!AG908</f>
        <v/>
      </c>
      <c r="Q905" s="861" t="str">
        <f>'Lighting Inventory (Ref only)'!AF908</f>
        <v/>
      </c>
      <c r="R905" s="856" t="str">
        <f t="shared" si="27"/>
        <v/>
      </c>
      <c r="S905" s="856" t="str">
        <f>IFERROR(ROUND(R905*'Project Info and Summary'!$J$5/'Project Info and Summary'!$L$5,2),"")</f>
        <v/>
      </c>
    </row>
    <row r="906" spans="1:19" ht="30" customHeight="1">
      <c r="A906" s="948"/>
      <c r="B906" s="496">
        <f t="shared" si="28"/>
        <v>897</v>
      </c>
      <c r="C906" s="864"/>
      <c r="D906" s="505"/>
      <c r="E906" s="866"/>
      <c r="F906" s="498"/>
      <c r="G906" s="499"/>
      <c r="H906" s="492"/>
      <c r="I906" s="855">
        <f>IFERROR(IFERROR(INDEX('Fixture and LED Schedule'!D:D,MATCH(F906,'Fixture and LED Schedule'!C:C,""),1),F906),"")</f>
        <v>0</v>
      </c>
      <c r="J906" s="855" t="str">
        <f>IFERROR(IF(PRJ_Type="New Construction",H906,INDEX(yControl_Code,MATCH(Inventory!H906,yControlTypes,0),1)),"")</f>
        <v/>
      </c>
      <c r="K906" s="493"/>
      <c r="L906" s="501"/>
      <c r="M906" s="502"/>
      <c r="N906" s="855">
        <f>IFERROR(IFERROR(INDEX('Fixture and LED Schedule'!D:D,MATCH(K906,'Fixture and LED Schedule'!C:C,0),1),K906),"")</f>
        <v>0</v>
      </c>
      <c r="O906" s="858" t="str">
        <f>IFERROR(INDEX(yControl_Code,MATCH(Inventory!M906,yControlTypes,0),1),"")</f>
        <v/>
      </c>
      <c r="P906" s="860" t="str">
        <f>'Lighting Inventory (Ref only)'!AG909</f>
        <v/>
      </c>
      <c r="Q906" s="861" t="str">
        <f>'Lighting Inventory (Ref only)'!AF909</f>
        <v/>
      </c>
      <c r="R906" s="856" t="str">
        <f t="shared" si="27"/>
        <v/>
      </c>
      <c r="S906" s="856" t="str">
        <f>IFERROR(ROUND(R906*'Project Info and Summary'!$J$5/'Project Info and Summary'!$L$5,2),"")</f>
        <v/>
      </c>
    </row>
    <row r="907" spans="1:19" ht="30" customHeight="1">
      <c r="A907" s="948"/>
      <c r="B907" s="496">
        <f t="shared" si="28"/>
        <v>898</v>
      </c>
      <c r="C907" s="864"/>
      <c r="D907" s="505"/>
      <c r="E907" s="866"/>
      <c r="F907" s="498"/>
      <c r="G907" s="499"/>
      <c r="H907" s="492"/>
      <c r="I907" s="855">
        <f>IFERROR(IFERROR(INDEX('Fixture and LED Schedule'!D:D,MATCH(F907,'Fixture and LED Schedule'!C:C,""),1),F907),"")</f>
        <v>0</v>
      </c>
      <c r="J907" s="855" t="str">
        <f>IFERROR(IF(PRJ_Type="New Construction",H907,INDEX(yControl_Code,MATCH(Inventory!H907,yControlTypes,0),1)),"")</f>
        <v/>
      </c>
      <c r="K907" s="493"/>
      <c r="L907" s="501"/>
      <c r="M907" s="502"/>
      <c r="N907" s="855">
        <f>IFERROR(IFERROR(INDEX('Fixture and LED Schedule'!D:D,MATCH(K907,'Fixture and LED Schedule'!C:C,0),1),K907),"")</f>
        <v>0</v>
      </c>
      <c r="O907" s="858" t="str">
        <f>IFERROR(INDEX(yControl_Code,MATCH(Inventory!M907,yControlTypes,0),1),"")</f>
        <v/>
      </c>
      <c r="P907" s="860" t="str">
        <f>'Lighting Inventory (Ref only)'!AG910</f>
        <v/>
      </c>
      <c r="Q907" s="861" t="str">
        <f>'Lighting Inventory (Ref only)'!AF910</f>
        <v/>
      </c>
      <c r="R907" s="856" t="str">
        <f t="shared" ref="R907:R970" si="29">IFERROR(P907*0.02+Q907*185,"")</f>
        <v/>
      </c>
      <c r="S907" s="856" t="str">
        <f>IFERROR(ROUND(R907*'Project Info and Summary'!$J$5/'Project Info and Summary'!$L$5,2),"")</f>
        <v/>
      </c>
    </row>
    <row r="908" spans="1:19" ht="30" customHeight="1">
      <c r="A908" s="948"/>
      <c r="B908" s="496">
        <f t="shared" si="28"/>
        <v>899</v>
      </c>
      <c r="C908" s="864"/>
      <c r="D908" s="505"/>
      <c r="E908" s="866"/>
      <c r="F908" s="498"/>
      <c r="G908" s="499"/>
      <c r="H908" s="492"/>
      <c r="I908" s="855">
        <f>IFERROR(IFERROR(INDEX('Fixture and LED Schedule'!D:D,MATCH(F908,'Fixture and LED Schedule'!C:C,""),1),F908),"")</f>
        <v>0</v>
      </c>
      <c r="J908" s="855" t="str">
        <f>IFERROR(IF(PRJ_Type="New Construction",H908,INDEX(yControl_Code,MATCH(Inventory!H908,yControlTypes,0),1)),"")</f>
        <v/>
      </c>
      <c r="K908" s="493"/>
      <c r="L908" s="501"/>
      <c r="M908" s="502"/>
      <c r="N908" s="855">
        <f>IFERROR(IFERROR(INDEX('Fixture and LED Schedule'!D:D,MATCH(K908,'Fixture and LED Schedule'!C:C,0),1),K908),"")</f>
        <v>0</v>
      </c>
      <c r="O908" s="858" t="str">
        <f>IFERROR(INDEX(yControl_Code,MATCH(Inventory!M908,yControlTypes,0),1),"")</f>
        <v/>
      </c>
      <c r="P908" s="860" t="str">
        <f>'Lighting Inventory (Ref only)'!AG911</f>
        <v/>
      </c>
      <c r="Q908" s="861" t="str">
        <f>'Lighting Inventory (Ref only)'!AF911</f>
        <v/>
      </c>
      <c r="R908" s="856" t="str">
        <f t="shared" si="29"/>
        <v/>
      </c>
      <c r="S908" s="856" t="str">
        <f>IFERROR(ROUND(R908*'Project Info and Summary'!$J$5/'Project Info and Summary'!$L$5,2),"")</f>
        <v/>
      </c>
    </row>
    <row r="909" spans="1:19" ht="30" customHeight="1">
      <c r="A909" s="948"/>
      <c r="B909" s="496">
        <f t="shared" si="28"/>
        <v>900</v>
      </c>
      <c r="C909" s="864"/>
      <c r="D909" s="505"/>
      <c r="E909" s="866"/>
      <c r="F909" s="498"/>
      <c r="G909" s="499"/>
      <c r="H909" s="492"/>
      <c r="I909" s="855">
        <f>IFERROR(IFERROR(INDEX('Fixture and LED Schedule'!D:D,MATCH(F909,'Fixture and LED Schedule'!C:C,""),1),F909),"")</f>
        <v>0</v>
      </c>
      <c r="J909" s="855" t="str">
        <f>IFERROR(IF(PRJ_Type="New Construction",H909,INDEX(yControl_Code,MATCH(Inventory!H909,yControlTypes,0),1)),"")</f>
        <v/>
      </c>
      <c r="K909" s="493"/>
      <c r="L909" s="501"/>
      <c r="M909" s="502"/>
      <c r="N909" s="855">
        <f>IFERROR(IFERROR(INDEX('Fixture and LED Schedule'!D:D,MATCH(K909,'Fixture and LED Schedule'!C:C,0),1),K909),"")</f>
        <v>0</v>
      </c>
      <c r="O909" s="858" t="str">
        <f>IFERROR(INDEX(yControl_Code,MATCH(Inventory!M909,yControlTypes,0),1),"")</f>
        <v/>
      </c>
      <c r="P909" s="860" t="str">
        <f>'Lighting Inventory (Ref only)'!AG912</f>
        <v/>
      </c>
      <c r="Q909" s="861" t="str">
        <f>'Lighting Inventory (Ref only)'!AF912</f>
        <v/>
      </c>
      <c r="R909" s="856" t="str">
        <f t="shared" si="29"/>
        <v/>
      </c>
      <c r="S909" s="856" t="str">
        <f>IFERROR(ROUND(R909*'Project Info and Summary'!$J$5/'Project Info and Summary'!$L$5,2),"")</f>
        <v/>
      </c>
    </row>
    <row r="910" spans="1:19" ht="30" customHeight="1">
      <c r="A910" s="948"/>
      <c r="B910" s="496">
        <f t="shared" si="28"/>
        <v>901</v>
      </c>
      <c r="C910" s="864"/>
      <c r="D910" s="505"/>
      <c r="E910" s="866"/>
      <c r="F910" s="498"/>
      <c r="G910" s="499"/>
      <c r="H910" s="492"/>
      <c r="I910" s="855">
        <f>IFERROR(IFERROR(INDEX('Fixture and LED Schedule'!D:D,MATCH(F910,'Fixture and LED Schedule'!C:C,""),1),F910),"")</f>
        <v>0</v>
      </c>
      <c r="J910" s="855" t="str">
        <f>IFERROR(IF(PRJ_Type="New Construction",H910,INDEX(yControl_Code,MATCH(Inventory!H910,yControlTypes,0),1)),"")</f>
        <v/>
      </c>
      <c r="K910" s="493"/>
      <c r="L910" s="501"/>
      <c r="M910" s="502"/>
      <c r="N910" s="855">
        <f>IFERROR(IFERROR(INDEX('Fixture and LED Schedule'!D:D,MATCH(K910,'Fixture and LED Schedule'!C:C,0),1),K910),"")</f>
        <v>0</v>
      </c>
      <c r="O910" s="858" t="str">
        <f>IFERROR(INDEX(yControl_Code,MATCH(Inventory!M910,yControlTypes,0),1),"")</f>
        <v/>
      </c>
      <c r="P910" s="860" t="str">
        <f>'Lighting Inventory (Ref only)'!AG913</f>
        <v/>
      </c>
      <c r="Q910" s="861" t="str">
        <f>'Lighting Inventory (Ref only)'!AF913</f>
        <v/>
      </c>
      <c r="R910" s="856" t="str">
        <f t="shared" si="29"/>
        <v/>
      </c>
      <c r="S910" s="856" t="str">
        <f>IFERROR(ROUND(R910*'Project Info and Summary'!$J$5/'Project Info and Summary'!$L$5,2),"")</f>
        <v/>
      </c>
    </row>
    <row r="911" spans="1:19" ht="30" customHeight="1">
      <c r="A911" s="948"/>
      <c r="B911" s="496">
        <f t="shared" si="28"/>
        <v>902</v>
      </c>
      <c r="C911" s="864"/>
      <c r="D911" s="505"/>
      <c r="E911" s="866"/>
      <c r="F911" s="498"/>
      <c r="G911" s="499"/>
      <c r="H911" s="492"/>
      <c r="I911" s="855">
        <f>IFERROR(IFERROR(INDEX('Fixture and LED Schedule'!D:D,MATCH(F911,'Fixture and LED Schedule'!C:C,""),1),F911),"")</f>
        <v>0</v>
      </c>
      <c r="J911" s="855" t="str">
        <f>IFERROR(IF(PRJ_Type="New Construction",H911,INDEX(yControl_Code,MATCH(Inventory!H911,yControlTypes,0),1)),"")</f>
        <v/>
      </c>
      <c r="K911" s="493"/>
      <c r="L911" s="501"/>
      <c r="M911" s="502"/>
      <c r="N911" s="855">
        <f>IFERROR(IFERROR(INDEX('Fixture and LED Schedule'!D:D,MATCH(K911,'Fixture and LED Schedule'!C:C,0),1),K911),"")</f>
        <v>0</v>
      </c>
      <c r="O911" s="858" t="str">
        <f>IFERROR(INDEX(yControl_Code,MATCH(Inventory!M911,yControlTypes,0),1),"")</f>
        <v/>
      </c>
      <c r="P911" s="860" t="str">
        <f>'Lighting Inventory (Ref only)'!AG914</f>
        <v/>
      </c>
      <c r="Q911" s="861" t="str">
        <f>'Lighting Inventory (Ref only)'!AF914</f>
        <v/>
      </c>
      <c r="R911" s="856" t="str">
        <f t="shared" si="29"/>
        <v/>
      </c>
      <c r="S911" s="856" t="str">
        <f>IFERROR(ROUND(R911*'Project Info and Summary'!$J$5/'Project Info and Summary'!$L$5,2),"")</f>
        <v/>
      </c>
    </row>
    <row r="912" spans="1:19" ht="30" customHeight="1">
      <c r="A912" s="948"/>
      <c r="B912" s="496">
        <f t="shared" si="28"/>
        <v>903</v>
      </c>
      <c r="C912" s="864"/>
      <c r="D912" s="505"/>
      <c r="E912" s="866"/>
      <c r="F912" s="498"/>
      <c r="G912" s="499"/>
      <c r="H912" s="492"/>
      <c r="I912" s="855">
        <f>IFERROR(IFERROR(INDEX('Fixture and LED Schedule'!D:D,MATCH(F912,'Fixture and LED Schedule'!C:C,""),1),F912),"")</f>
        <v>0</v>
      </c>
      <c r="J912" s="855" t="str">
        <f>IFERROR(IF(PRJ_Type="New Construction",H912,INDEX(yControl_Code,MATCH(Inventory!H912,yControlTypes,0),1)),"")</f>
        <v/>
      </c>
      <c r="K912" s="493"/>
      <c r="L912" s="501"/>
      <c r="M912" s="502"/>
      <c r="N912" s="855">
        <f>IFERROR(IFERROR(INDEX('Fixture and LED Schedule'!D:D,MATCH(K912,'Fixture and LED Schedule'!C:C,0),1),K912),"")</f>
        <v>0</v>
      </c>
      <c r="O912" s="858" t="str">
        <f>IFERROR(INDEX(yControl_Code,MATCH(Inventory!M912,yControlTypes,0),1),"")</f>
        <v/>
      </c>
      <c r="P912" s="860" t="str">
        <f>'Lighting Inventory (Ref only)'!AG915</f>
        <v/>
      </c>
      <c r="Q912" s="861" t="str">
        <f>'Lighting Inventory (Ref only)'!AF915</f>
        <v/>
      </c>
      <c r="R912" s="856" t="str">
        <f t="shared" si="29"/>
        <v/>
      </c>
      <c r="S912" s="856" t="str">
        <f>IFERROR(ROUND(R912*'Project Info and Summary'!$J$5/'Project Info and Summary'!$L$5,2),"")</f>
        <v/>
      </c>
    </row>
    <row r="913" spans="1:19" ht="30" customHeight="1">
      <c r="A913" s="948"/>
      <c r="B913" s="496">
        <f t="shared" si="28"/>
        <v>904</v>
      </c>
      <c r="C913" s="864"/>
      <c r="D913" s="505"/>
      <c r="E913" s="866"/>
      <c r="F913" s="498"/>
      <c r="G913" s="499"/>
      <c r="H913" s="492"/>
      <c r="I913" s="855">
        <f>IFERROR(IFERROR(INDEX('Fixture and LED Schedule'!D:D,MATCH(F913,'Fixture and LED Schedule'!C:C,""),1),F913),"")</f>
        <v>0</v>
      </c>
      <c r="J913" s="855" t="str">
        <f>IFERROR(IF(PRJ_Type="New Construction",H913,INDEX(yControl_Code,MATCH(Inventory!H913,yControlTypes,0),1)),"")</f>
        <v/>
      </c>
      <c r="K913" s="493"/>
      <c r="L913" s="501"/>
      <c r="M913" s="502"/>
      <c r="N913" s="855">
        <f>IFERROR(IFERROR(INDEX('Fixture and LED Schedule'!D:D,MATCH(K913,'Fixture and LED Schedule'!C:C,0),1),K913),"")</f>
        <v>0</v>
      </c>
      <c r="O913" s="858" t="str">
        <f>IFERROR(INDEX(yControl_Code,MATCH(Inventory!M913,yControlTypes,0),1),"")</f>
        <v/>
      </c>
      <c r="P913" s="860" t="str">
        <f>'Lighting Inventory (Ref only)'!AG916</f>
        <v/>
      </c>
      <c r="Q913" s="861" t="str">
        <f>'Lighting Inventory (Ref only)'!AF916</f>
        <v/>
      </c>
      <c r="R913" s="856" t="str">
        <f t="shared" si="29"/>
        <v/>
      </c>
      <c r="S913" s="856" t="str">
        <f>IFERROR(ROUND(R913*'Project Info and Summary'!$J$5/'Project Info and Summary'!$L$5,2),"")</f>
        <v/>
      </c>
    </row>
    <row r="914" spans="1:19" ht="30" customHeight="1">
      <c r="A914" s="948"/>
      <c r="B914" s="496">
        <f t="shared" si="28"/>
        <v>905</v>
      </c>
      <c r="C914" s="864"/>
      <c r="D914" s="505"/>
      <c r="E914" s="866"/>
      <c r="F914" s="498"/>
      <c r="G914" s="499"/>
      <c r="H914" s="492"/>
      <c r="I914" s="855">
        <f>IFERROR(IFERROR(INDEX('Fixture and LED Schedule'!D:D,MATCH(F914,'Fixture and LED Schedule'!C:C,""),1),F914),"")</f>
        <v>0</v>
      </c>
      <c r="J914" s="855" t="str">
        <f>IFERROR(IF(PRJ_Type="New Construction",H914,INDEX(yControl_Code,MATCH(Inventory!H914,yControlTypes,0),1)),"")</f>
        <v/>
      </c>
      <c r="K914" s="493"/>
      <c r="L914" s="501"/>
      <c r="M914" s="502"/>
      <c r="N914" s="855">
        <f>IFERROR(IFERROR(INDEX('Fixture and LED Schedule'!D:D,MATCH(K914,'Fixture and LED Schedule'!C:C,0),1),K914),"")</f>
        <v>0</v>
      </c>
      <c r="O914" s="858" t="str">
        <f>IFERROR(INDEX(yControl_Code,MATCH(Inventory!M914,yControlTypes,0),1),"")</f>
        <v/>
      </c>
      <c r="P914" s="860" t="str">
        <f>'Lighting Inventory (Ref only)'!AG917</f>
        <v/>
      </c>
      <c r="Q914" s="861" t="str">
        <f>'Lighting Inventory (Ref only)'!AF917</f>
        <v/>
      </c>
      <c r="R914" s="856" t="str">
        <f t="shared" si="29"/>
        <v/>
      </c>
      <c r="S914" s="856" t="str">
        <f>IFERROR(ROUND(R914*'Project Info and Summary'!$J$5/'Project Info and Summary'!$L$5,2),"")</f>
        <v/>
      </c>
    </row>
    <row r="915" spans="1:19" ht="30" customHeight="1">
      <c r="A915" s="948"/>
      <c r="B915" s="496">
        <f t="shared" si="28"/>
        <v>906</v>
      </c>
      <c r="C915" s="864"/>
      <c r="D915" s="505"/>
      <c r="E915" s="866"/>
      <c r="F915" s="498"/>
      <c r="G915" s="499"/>
      <c r="H915" s="492"/>
      <c r="I915" s="855">
        <f>IFERROR(IFERROR(INDEX('Fixture and LED Schedule'!D:D,MATCH(F915,'Fixture and LED Schedule'!C:C,""),1),F915),"")</f>
        <v>0</v>
      </c>
      <c r="J915" s="855" t="str">
        <f>IFERROR(IF(PRJ_Type="New Construction",H915,INDEX(yControl_Code,MATCH(Inventory!H915,yControlTypes,0),1)),"")</f>
        <v/>
      </c>
      <c r="K915" s="493"/>
      <c r="L915" s="501"/>
      <c r="M915" s="502"/>
      <c r="N915" s="855">
        <f>IFERROR(IFERROR(INDEX('Fixture and LED Schedule'!D:D,MATCH(K915,'Fixture and LED Schedule'!C:C,0),1),K915),"")</f>
        <v>0</v>
      </c>
      <c r="O915" s="858" t="str">
        <f>IFERROR(INDEX(yControl_Code,MATCH(Inventory!M915,yControlTypes,0),1),"")</f>
        <v/>
      </c>
      <c r="P915" s="860" t="str">
        <f>'Lighting Inventory (Ref only)'!AG918</f>
        <v/>
      </c>
      <c r="Q915" s="861" t="str">
        <f>'Lighting Inventory (Ref only)'!AF918</f>
        <v/>
      </c>
      <c r="R915" s="856" t="str">
        <f t="shared" si="29"/>
        <v/>
      </c>
      <c r="S915" s="856" t="str">
        <f>IFERROR(ROUND(R915*'Project Info and Summary'!$J$5/'Project Info and Summary'!$L$5,2),"")</f>
        <v/>
      </c>
    </row>
    <row r="916" spans="1:19" ht="30" customHeight="1">
      <c r="A916" s="948"/>
      <c r="B916" s="496">
        <f t="shared" si="28"/>
        <v>907</v>
      </c>
      <c r="C916" s="864"/>
      <c r="D916" s="505"/>
      <c r="E916" s="866"/>
      <c r="F916" s="498"/>
      <c r="G916" s="499"/>
      <c r="H916" s="492"/>
      <c r="I916" s="855">
        <f>IFERROR(IFERROR(INDEX('Fixture and LED Schedule'!D:D,MATCH(F916,'Fixture and LED Schedule'!C:C,""),1),F916),"")</f>
        <v>0</v>
      </c>
      <c r="J916" s="855" t="str">
        <f>IFERROR(IF(PRJ_Type="New Construction",H916,INDEX(yControl_Code,MATCH(Inventory!H916,yControlTypes,0),1)),"")</f>
        <v/>
      </c>
      <c r="K916" s="493"/>
      <c r="L916" s="501"/>
      <c r="M916" s="502"/>
      <c r="N916" s="855">
        <f>IFERROR(IFERROR(INDEX('Fixture and LED Schedule'!D:D,MATCH(K916,'Fixture and LED Schedule'!C:C,0),1),K916),"")</f>
        <v>0</v>
      </c>
      <c r="O916" s="858" t="str">
        <f>IFERROR(INDEX(yControl_Code,MATCH(Inventory!M916,yControlTypes,0),1),"")</f>
        <v/>
      </c>
      <c r="P916" s="860" t="str">
        <f>'Lighting Inventory (Ref only)'!AG919</f>
        <v/>
      </c>
      <c r="Q916" s="861" t="str">
        <f>'Lighting Inventory (Ref only)'!AF919</f>
        <v/>
      </c>
      <c r="R916" s="856" t="str">
        <f t="shared" si="29"/>
        <v/>
      </c>
      <c r="S916" s="856" t="str">
        <f>IFERROR(ROUND(R916*'Project Info and Summary'!$J$5/'Project Info and Summary'!$L$5,2),"")</f>
        <v/>
      </c>
    </row>
    <row r="917" spans="1:19" ht="30" customHeight="1">
      <c r="A917" s="948"/>
      <c r="B917" s="496">
        <f t="shared" si="28"/>
        <v>908</v>
      </c>
      <c r="C917" s="864"/>
      <c r="D917" s="505"/>
      <c r="E917" s="866"/>
      <c r="F917" s="498"/>
      <c r="G917" s="499"/>
      <c r="H917" s="492"/>
      <c r="I917" s="855">
        <f>IFERROR(IFERROR(INDEX('Fixture and LED Schedule'!D:D,MATCH(F917,'Fixture and LED Schedule'!C:C,""),1),F917),"")</f>
        <v>0</v>
      </c>
      <c r="J917" s="855" t="str">
        <f>IFERROR(IF(PRJ_Type="New Construction",H917,INDEX(yControl_Code,MATCH(Inventory!H917,yControlTypes,0),1)),"")</f>
        <v/>
      </c>
      <c r="K917" s="493"/>
      <c r="L917" s="501"/>
      <c r="M917" s="502"/>
      <c r="N917" s="855">
        <f>IFERROR(IFERROR(INDEX('Fixture and LED Schedule'!D:D,MATCH(K917,'Fixture and LED Schedule'!C:C,0),1),K917),"")</f>
        <v>0</v>
      </c>
      <c r="O917" s="858" t="str">
        <f>IFERROR(INDEX(yControl_Code,MATCH(Inventory!M917,yControlTypes,0),1),"")</f>
        <v/>
      </c>
      <c r="P917" s="860" t="str">
        <f>'Lighting Inventory (Ref only)'!AG920</f>
        <v/>
      </c>
      <c r="Q917" s="861" t="str">
        <f>'Lighting Inventory (Ref only)'!AF920</f>
        <v/>
      </c>
      <c r="R917" s="856" t="str">
        <f t="shared" si="29"/>
        <v/>
      </c>
      <c r="S917" s="856" t="str">
        <f>IFERROR(ROUND(R917*'Project Info and Summary'!$J$5/'Project Info and Summary'!$L$5,2),"")</f>
        <v/>
      </c>
    </row>
    <row r="918" spans="1:19" ht="30" customHeight="1">
      <c r="A918" s="948"/>
      <c r="B918" s="496">
        <f t="shared" si="28"/>
        <v>909</v>
      </c>
      <c r="C918" s="864"/>
      <c r="D918" s="505"/>
      <c r="E918" s="866"/>
      <c r="F918" s="498"/>
      <c r="G918" s="499"/>
      <c r="H918" s="492"/>
      <c r="I918" s="855">
        <f>IFERROR(IFERROR(INDEX('Fixture and LED Schedule'!D:D,MATCH(F918,'Fixture and LED Schedule'!C:C,""),1),F918),"")</f>
        <v>0</v>
      </c>
      <c r="J918" s="855" t="str">
        <f>IFERROR(IF(PRJ_Type="New Construction",H918,INDEX(yControl_Code,MATCH(Inventory!H918,yControlTypes,0),1)),"")</f>
        <v/>
      </c>
      <c r="K918" s="493"/>
      <c r="L918" s="501"/>
      <c r="M918" s="502"/>
      <c r="N918" s="855">
        <f>IFERROR(IFERROR(INDEX('Fixture and LED Schedule'!D:D,MATCH(K918,'Fixture and LED Schedule'!C:C,0),1),K918),"")</f>
        <v>0</v>
      </c>
      <c r="O918" s="858" t="str">
        <f>IFERROR(INDEX(yControl_Code,MATCH(Inventory!M918,yControlTypes,0),1),"")</f>
        <v/>
      </c>
      <c r="P918" s="860" t="str">
        <f>'Lighting Inventory (Ref only)'!AG921</f>
        <v/>
      </c>
      <c r="Q918" s="861" t="str">
        <f>'Lighting Inventory (Ref only)'!AF921</f>
        <v/>
      </c>
      <c r="R918" s="856" t="str">
        <f t="shared" si="29"/>
        <v/>
      </c>
      <c r="S918" s="856" t="str">
        <f>IFERROR(ROUND(R918*'Project Info and Summary'!$J$5/'Project Info and Summary'!$L$5,2),"")</f>
        <v/>
      </c>
    </row>
    <row r="919" spans="1:19" ht="30" customHeight="1">
      <c r="A919" s="948"/>
      <c r="B919" s="496">
        <f t="shared" si="28"/>
        <v>910</v>
      </c>
      <c r="C919" s="864"/>
      <c r="D919" s="505"/>
      <c r="E919" s="866"/>
      <c r="F919" s="498"/>
      <c r="G919" s="499"/>
      <c r="H919" s="492"/>
      <c r="I919" s="855">
        <f>IFERROR(IFERROR(INDEX('Fixture and LED Schedule'!D:D,MATCH(F919,'Fixture and LED Schedule'!C:C,""),1),F919),"")</f>
        <v>0</v>
      </c>
      <c r="J919" s="855" t="str">
        <f>IFERROR(IF(PRJ_Type="New Construction",H919,INDEX(yControl_Code,MATCH(Inventory!H919,yControlTypes,0),1)),"")</f>
        <v/>
      </c>
      <c r="K919" s="493"/>
      <c r="L919" s="501"/>
      <c r="M919" s="502"/>
      <c r="N919" s="855">
        <f>IFERROR(IFERROR(INDEX('Fixture and LED Schedule'!D:D,MATCH(K919,'Fixture and LED Schedule'!C:C,0),1),K919),"")</f>
        <v>0</v>
      </c>
      <c r="O919" s="858" t="str">
        <f>IFERROR(INDEX(yControl_Code,MATCH(Inventory!M919,yControlTypes,0),1),"")</f>
        <v/>
      </c>
      <c r="P919" s="860" t="str">
        <f>'Lighting Inventory (Ref only)'!AG922</f>
        <v/>
      </c>
      <c r="Q919" s="861" t="str">
        <f>'Lighting Inventory (Ref only)'!AF922</f>
        <v/>
      </c>
      <c r="R919" s="856" t="str">
        <f t="shared" si="29"/>
        <v/>
      </c>
      <c r="S919" s="856" t="str">
        <f>IFERROR(ROUND(R919*'Project Info and Summary'!$J$5/'Project Info and Summary'!$L$5,2),"")</f>
        <v/>
      </c>
    </row>
    <row r="920" spans="1:19" ht="30" customHeight="1">
      <c r="A920" s="948"/>
      <c r="B920" s="496">
        <f t="shared" si="28"/>
        <v>911</v>
      </c>
      <c r="C920" s="864"/>
      <c r="D920" s="505"/>
      <c r="E920" s="866"/>
      <c r="F920" s="498"/>
      <c r="G920" s="499"/>
      <c r="H920" s="492"/>
      <c r="I920" s="855">
        <f>IFERROR(IFERROR(INDEX('Fixture and LED Schedule'!D:D,MATCH(F920,'Fixture and LED Schedule'!C:C,""),1),F920),"")</f>
        <v>0</v>
      </c>
      <c r="J920" s="855" t="str">
        <f>IFERROR(IF(PRJ_Type="New Construction",H920,INDEX(yControl_Code,MATCH(Inventory!H920,yControlTypes,0),1)),"")</f>
        <v/>
      </c>
      <c r="K920" s="493"/>
      <c r="L920" s="501"/>
      <c r="M920" s="502"/>
      <c r="N920" s="855">
        <f>IFERROR(IFERROR(INDEX('Fixture and LED Schedule'!D:D,MATCH(K920,'Fixture and LED Schedule'!C:C,0),1),K920),"")</f>
        <v>0</v>
      </c>
      <c r="O920" s="858" t="str">
        <f>IFERROR(INDEX(yControl_Code,MATCH(Inventory!M920,yControlTypes,0),1),"")</f>
        <v/>
      </c>
      <c r="P920" s="860" t="str">
        <f>'Lighting Inventory (Ref only)'!AG923</f>
        <v/>
      </c>
      <c r="Q920" s="861" t="str">
        <f>'Lighting Inventory (Ref only)'!AF923</f>
        <v/>
      </c>
      <c r="R920" s="856" t="str">
        <f t="shared" si="29"/>
        <v/>
      </c>
      <c r="S920" s="856" t="str">
        <f>IFERROR(ROUND(R920*'Project Info and Summary'!$J$5/'Project Info and Summary'!$L$5,2),"")</f>
        <v/>
      </c>
    </row>
    <row r="921" spans="1:19" ht="30" customHeight="1">
      <c r="A921" s="948"/>
      <c r="B921" s="496">
        <f t="shared" si="28"/>
        <v>912</v>
      </c>
      <c r="C921" s="864"/>
      <c r="D921" s="505"/>
      <c r="E921" s="866"/>
      <c r="F921" s="498"/>
      <c r="G921" s="499"/>
      <c r="H921" s="492"/>
      <c r="I921" s="855">
        <f>IFERROR(IFERROR(INDEX('Fixture and LED Schedule'!D:D,MATCH(F921,'Fixture and LED Schedule'!C:C,""),1),F921),"")</f>
        <v>0</v>
      </c>
      <c r="J921" s="855" t="str">
        <f>IFERROR(IF(PRJ_Type="New Construction",H921,INDEX(yControl_Code,MATCH(Inventory!H921,yControlTypes,0),1)),"")</f>
        <v/>
      </c>
      <c r="K921" s="493"/>
      <c r="L921" s="501"/>
      <c r="M921" s="502"/>
      <c r="N921" s="855">
        <f>IFERROR(IFERROR(INDEX('Fixture and LED Schedule'!D:D,MATCH(K921,'Fixture and LED Schedule'!C:C,0),1),K921),"")</f>
        <v>0</v>
      </c>
      <c r="O921" s="858" t="str">
        <f>IFERROR(INDEX(yControl_Code,MATCH(Inventory!M921,yControlTypes,0),1),"")</f>
        <v/>
      </c>
      <c r="P921" s="860" t="str">
        <f>'Lighting Inventory (Ref only)'!AG924</f>
        <v/>
      </c>
      <c r="Q921" s="861" t="str">
        <f>'Lighting Inventory (Ref only)'!AF924</f>
        <v/>
      </c>
      <c r="R921" s="856" t="str">
        <f t="shared" si="29"/>
        <v/>
      </c>
      <c r="S921" s="856" t="str">
        <f>IFERROR(ROUND(R921*'Project Info and Summary'!$J$5/'Project Info and Summary'!$L$5,2),"")</f>
        <v/>
      </c>
    </row>
    <row r="922" spans="1:19" ht="30" customHeight="1">
      <c r="A922" s="948"/>
      <c r="B922" s="496">
        <f t="shared" si="28"/>
        <v>913</v>
      </c>
      <c r="C922" s="864"/>
      <c r="D922" s="505"/>
      <c r="E922" s="866"/>
      <c r="F922" s="498"/>
      <c r="G922" s="499"/>
      <c r="H922" s="492"/>
      <c r="I922" s="855">
        <f>IFERROR(IFERROR(INDEX('Fixture and LED Schedule'!D:D,MATCH(F922,'Fixture and LED Schedule'!C:C,""),1),F922),"")</f>
        <v>0</v>
      </c>
      <c r="J922" s="855" t="str">
        <f>IFERROR(IF(PRJ_Type="New Construction",H922,INDEX(yControl_Code,MATCH(Inventory!H922,yControlTypes,0),1)),"")</f>
        <v/>
      </c>
      <c r="K922" s="493"/>
      <c r="L922" s="501"/>
      <c r="M922" s="502"/>
      <c r="N922" s="855">
        <f>IFERROR(IFERROR(INDEX('Fixture and LED Schedule'!D:D,MATCH(K922,'Fixture and LED Schedule'!C:C,0),1),K922),"")</f>
        <v>0</v>
      </c>
      <c r="O922" s="858" t="str">
        <f>IFERROR(INDEX(yControl_Code,MATCH(Inventory!M922,yControlTypes,0),1),"")</f>
        <v/>
      </c>
      <c r="P922" s="860" t="str">
        <f>'Lighting Inventory (Ref only)'!AG925</f>
        <v/>
      </c>
      <c r="Q922" s="861" t="str">
        <f>'Lighting Inventory (Ref only)'!AF925</f>
        <v/>
      </c>
      <c r="R922" s="856" t="str">
        <f t="shared" si="29"/>
        <v/>
      </c>
      <c r="S922" s="856" t="str">
        <f>IFERROR(ROUND(R922*'Project Info and Summary'!$J$5/'Project Info and Summary'!$L$5,2),"")</f>
        <v/>
      </c>
    </row>
    <row r="923" spans="1:19" ht="30" customHeight="1">
      <c r="A923" s="948"/>
      <c r="B923" s="496">
        <f t="shared" si="28"/>
        <v>914</v>
      </c>
      <c r="C923" s="864"/>
      <c r="D923" s="505"/>
      <c r="E923" s="866"/>
      <c r="F923" s="498"/>
      <c r="G923" s="499"/>
      <c r="H923" s="492"/>
      <c r="I923" s="855">
        <f>IFERROR(IFERROR(INDEX('Fixture and LED Schedule'!D:D,MATCH(F923,'Fixture and LED Schedule'!C:C,""),1),F923),"")</f>
        <v>0</v>
      </c>
      <c r="J923" s="855" t="str">
        <f>IFERROR(IF(PRJ_Type="New Construction",H923,INDEX(yControl_Code,MATCH(Inventory!H923,yControlTypes,0),1)),"")</f>
        <v/>
      </c>
      <c r="K923" s="493"/>
      <c r="L923" s="501"/>
      <c r="M923" s="502"/>
      <c r="N923" s="855">
        <f>IFERROR(IFERROR(INDEX('Fixture and LED Schedule'!D:D,MATCH(K923,'Fixture and LED Schedule'!C:C,0),1),K923),"")</f>
        <v>0</v>
      </c>
      <c r="O923" s="858" t="str">
        <f>IFERROR(INDEX(yControl_Code,MATCH(Inventory!M923,yControlTypes,0),1),"")</f>
        <v/>
      </c>
      <c r="P923" s="860" t="str">
        <f>'Lighting Inventory (Ref only)'!AG926</f>
        <v/>
      </c>
      <c r="Q923" s="861" t="str">
        <f>'Lighting Inventory (Ref only)'!AF926</f>
        <v/>
      </c>
      <c r="R923" s="856" t="str">
        <f t="shared" si="29"/>
        <v/>
      </c>
      <c r="S923" s="856" t="str">
        <f>IFERROR(ROUND(R923*'Project Info and Summary'!$J$5/'Project Info and Summary'!$L$5,2),"")</f>
        <v/>
      </c>
    </row>
    <row r="924" spans="1:19" ht="30" customHeight="1">
      <c r="A924" s="948"/>
      <c r="B924" s="496">
        <f t="shared" si="28"/>
        <v>915</v>
      </c>
      <c r="C924" s="864"/>
      <c r="D924" s="505"/>
      <c r="E924" s="866"/>
      <c r="F924" s="498"/>
      <c r="G924" s="499"/>
      <c r="H924" s="492"/>
      <c r="I924" s="855">
        <f>IFERROR(IFERROR(INDEX('Fixture and LED Schedule'!D:D,MATCH(F924,'Fixture and LED Schedule'!C:C,""),1),F924),"")</f>
        <v>0</v>
      </c>
      <c r="J924" s="855" t="str">
        <f>IFERROR(IF(PRJ_Type="New Construction",H924,INDEX(yControl_Code,MATCH(Inventory!H924,yControlTypes,0),1)),"")</f>
        <v/>
      </c>
      <c r="K924" s="493"/>
      <c r="L924" s="501"/>
      <c r="M924" s="502"/>
      <c r="N924" s="855">
        <f>IFERROR(IFERROR(INDEX('Fixture and LED Schedule'!D:D,MATCH(K924,'Fixture and LED Schedule'!C:C,0),1),K924),"")</f>
        <v>0</v>
      </c>
      <c r="O924" s="858" t="str">
        <f>IFERROR(INDEX(yControl_Code,MATCH(Inventory!M924,yControlTypes,0),1),"")</f>
        <v/>
      </c>
      <c r="P924" s="860" t="str">
        <f>'Lighting Inventory (Ref only)'!AG927</f>
        <v/>
      </c>
      <c r="Q924" s="861" t="str">
        <f>'Lighting Inventory (Ref only)'!AF927</f>
        <v/>
      </c>
      <c r="R924" s="856" t="str">
        <f t="shared" si="29"/>
        <v/>
      </c>
      <c r="S924" s="856" t="str">
        <f>IFERROR(ROUND(R924*'Project Info and Summary'!$J$5/'Project Info and Summary'!$L$5,2),"")</f>
        <v/>
      </c>
    </row>
    <row r="925" spans="1:19" ht="30" customHeight="1">
      <c r="A925" s="948"/>
      <c r="B925" s="496">
        <f t="shared" si="28"/>
        <v>916</v>
      </c>
      <c r="C925" s="864"/>
      <c r="D925" s="505"/>
      <c r="E925" s="866"/>
      <c r="F925" s="498"/>
      <c r="G925" s="499"/>
      <c r="H925" s="492"/>
      <c r="I925" s="855">
        <f>IFERROR(IFERROR(INDEX('Fixture and LED Schedule'!D:D,MATCH(F925,'Fixture and LED Schedule'!C:C,""),1),F925),"")</f>
        <v>0</v>
      </c>
      <c r="J925" s="855" t="str">
        <f>IFERROR(IF(PRJ_Type="New Construction",H925,INDEX(yControl_Code,MATCH(Inventory!H925,yControlTypes,0),1)),"")</f>
        <v/>
      </c>
      <c r="K925" s="493"/>
      <c r="L925" s="501"/>
      <c r="M925" s="502"/>
      <c r="N925" s="855">
        <f>IFERROR(IFERROR(INDEX('Fixture and LED Schedule'!D:D,MATCH(K925,'Fixture and LED Schedule'!C:C,0),1),K925),"")</f>
        <v>0</v>
      </c>
      <c r="O925" s="858" t="str">
        <f>IFERROR(INDEX(yControl_Code,MATCH(Inventory!M925,yControlTypes,0),1),"")</f>
        <v/>
      </c>
      <c r="P925" s="860" t="str">
        <f>'Lighting Inventory (Ref only)'!AG928</f>
        <v/>
      </c>
      <c r="Q925" s="861" t="str">
        <f>'Lighting Inventory (Ref only)'!AF928</f>
        <v/>
      </c>
      <c r="R925" s="856" t="str">
        <f t="shared" si="29"/>
        <v/>
      </c>
      <c r="S925" s="856" t="str">
        <f>IFERROR(ROUND(R925*'Project Info and Summary'!$J$5/'Project Info and Summary'!$L$5,2),"")</f>
        <v/>
      </c>
    </row>
    <row r="926" spans="1:19" ht="30" customHeight="1">
      <c r="A926" s="948"/>
      <c r="B926" s="496">
        <f t="shared" si="28"/>
        <v>917</v>
      </c>
      <c r="C926" s="864"/>
      <c r="D926" s="505"/>
      <c r="E926" s="866"/>
      <c r="F926" s="498"/>
      <c r="G926" s="499"/>
      <c r="H926" s="492"/>
      <c r="I926" s="855">
        <f>IFERROR(IFERROR(INDEX('Fixture and LED Schedule'!D:D,MATCH(F926,'Fixture and LED Schedule'!C:C,""),1),F926),"")</f>
        <v>0</v>
      </c>
      <c r="J926" s="855" t="str">
        <f>IFERROR(IF(PRJ_Type="New Construction",H926,INDEX(yControl_Code,MATCH(Inventory!H926,yControlTypes,0),1)),"")</f>
        <v/>
      </c>
      <c r="K926" s="493"/>
      <c r="L926" s="501"/>
      <c r="M926" s="502"/>
      <c r="N926" s="855">
        <f>IFERROR(IFERROR(INDEX('Fixture and LED Schedule'!D:D,MATCH(K926,'Fixture and LED Schedule'!C:C,0),1),K926),"")</f>
        <v>0</v>
      </c>
      <c r="O926" s="858" t="str">
        <f>IFERROR(INDEX(yControl_Code,MATCH(Inventory!M926,yControlTypes,0),1),"")</f>
        <v/>
      </c>
      <c r="P926" s="860" t="str">
        <f>'Lighting Inventory (Ref only)'!AG929</f>
        <v/>
      </c>
      <c r="Q926" s="861" t="str">
        <f>'Lighting Inventory (Ref only)'!AF929</f>
        <v/>
      </c>
      <c r="R926" s="856" t="str">
        <f t="shared" si="29"/>
        <v/>
      </c>
      <c r="S926" s="856" t="str">
        <f>IFERROR(ROUND(R926*'Project Info and Summary'!$J$5/'Project Info and Summary'!$L$5,2),"")</f>
        <v/>
      </c>
    </row>
    <row r="927" spans="1:19" ht="30" customHeight="1">
      <c r="A927" s="948"/>
      <c r="B927" s="496">
        <f t="shared" si="28"/>
        <v>918</v>
      </c>
      <c r="C927" s="864"/>
      <c r="D927" s="505"/>
      <c r="E927" s="866"/>
      <c r="F927" s="498"/>
      <c r="G927" s="499"/>
      <c r="H927" s="492"/>
      <c r="I927" s="855">
        <f>IFERROR(IFERROR(INDEX('Fixture and LED Schedule'!D:D,MATCH(F927,'Fixture and LED Schedule'!C:C,""),1),F927),"")</f>
        <v>0</v>
      </c>
      <c r="J927" s="855" t="str">
        <f>IFERROR(IF(PRJ_Type="New Construction",H927,INDEX(yControl_Code,MATCH(Inventory!H927,yControlTypes,0),1)),"")</f>
        <v/>
      </c>
      <c r="K927" s="493"/>
      <c r="L927" s="501"/>
      <c r="M927" s="502"/>
      <c r="N927" s="855">
        <f>IFERROR(IFERROR(INDEX('Fixture and LED Schedule'!D:D,MATCH(K927,'Fixture and LED Schedule'!C:C,0),1),K927),"")</f>
        <v>0</v>
      </c>
      <c r="O927" s="858" t="str">
        <f>IFERROR(INDEX(yControl_Code,MATCH(Inventory!M927,yControlTypes,0),1),"")</f>
        <v/>
      </c>
      <c r="P927" s="860" t="str">
        <f>'Lighting Inventory (Ref only)'!AG930</f>
        <v/>
      </c>
      <c r="Q927" s="861" t="str">
        <f>'Lighting Inventory (Ref only)'!AF930</f>
        <v/>
      </c>
      <c r="R927" s="856" t="str">
        <f t="shared" si="29"/>
        <v/>
      </c>
      <c r="S927" s="856" t="str">
        <f>IFERROR(ROUND(R927*'Project Info and Summary'!$J$5/'Project Info and Summary'!$L$5,2),"")</f>
        <v/>
      </c>
    </row>
    <row r="928" spans="1:19" ht="30" customHeight="1">
      <c r="A928" s="948"/>
      <c r="B928" s="496">
        <f t="shared" si="28"/>
        <v>919</v>
      </c>
      <c r="C928" s="864"/>
      <c r="D928" s="505"/>
      <c r="E928" s="866"/>
      <c r="F928" s="498"/>
      <c r="G928" s="499"/>
      <c r="H928" s="492"/>
      <c r="I928" s="855">
        <f>IFERROR(IFERROR(INDEX('Fixture and LED Schedule'!D:D,MATCH(F928,'Fixture and LED Schedule'!C:C,""),1),F928),"")</f>
        <v>0</v>
      </c>
      <c r="J928" s="855" t="str">
        <f>IFERROR(IF(PRJ_Type="New Construction",H928,INDEX(yControl_Code,MATCH(Inventory!H928,yControlTypes,0),1)),"")</f>
        <v/>
      </c>
      <c r="K928" s="493"/>
      <c r="L928" s="501"/>
      <c r="M928" s="502"/>
      <c r="N928" s="855">
        <f>IFERROR(IFERROR(INDEX('Fixture and LED Schedule'!D:D,MATCH(K928,'Fixture and LED Schedule'!C:C,0),1),K928),"")</f>
        <v>0</v>
      </c>
      <c r="O928" s="858" t="str">
        <f>IFERROR(INDEX(yControl_Code,MATCH(Inventory!M928,yControlTypes,0),1),"")</f>
        <v/>
      </c>
      <c r="P928" s="860" t="str">
        <f>'Lighting Inventory (Ref only)'!AG931</f>
        <v/>
      </c>
      <c r="Q928" s="861" t="str">
        <f>'Lighting Inventory (Ref only)'!AF931</f>
        <v/>
      </c>
      <c r="R928" s="856" t="str">
        <f t="shared" si="29"/>
        <v/>
      </c>
      <c r="S928" s="856" t="str">
        <f>IFERROR(ROUND(R928*'Project Info and Summary'!$J$5/'Project Info and Summary'!$L$5,2),"")</f>
        <v/>
      </c>
    </row>
    <row r="929" spans="1:19" ht="30" customHeight="1">
      <c r="A929" s="948"/>
      <c r="B929" s="496">
        <f t="shared" si="28"/>
        <v>920</v>
      </c>
      <c r="C929" s="864"/>
      <c r="D929" s="505"/>
      <c r="E929" s="866"/>
      <c r="F929" s="498"/>
      <c r="G929" s="499"/>
      <c r="H929" s="492"/>
      <c r="I929" s="855">
        <f>IFERROR(IFERROR(INDEX('Fixture and LED Schedule'!D:D,MATCH(F929,'Fixture and LED Schedule'!C:C,""),1),F929),"")</f>
        <v>0</v>
      </c>
      <c r="J929" s="855" t="str">
        <f>IFERROR(IF(PRJ_Type="New Construction",H929,INDEX(yControl_Code,MATCH(Inventory!H929,yControlTypes,0),1)),"")</f>
        <v/>
      </c>
      <c r="K929" s="493"/>
      <c r="L929" s="501"/>
      <c r="M929" s="502"/>
      <c r="N929" s="855">
        <f>IFERROR(IFERROR(INDEX('Fixture and LED Schedule'!D:D,MATCH(K929,'Fixture and LED Schedule'!C:C,0),1),K929),"")</f>
        <v>0</v>
      </c>
      <c r="O929" s="858" t="str">
        <f>IFERROR(INDEX(yControl_Code,MATCH(Inventory!M929,yControlTypes,0),1),"")</f>
        <v/>
      </c>
      <c r="P929" s="860" t="str">
        <f>'Lighting Inventory (Ref only)'!AG932</f>
        <v/>
      </c>
      <c r="Q929" s="861" t="str">
        <f>'Lighting Inventory (Ref only)'!AF932</f>
        <v/>
      </c>
      <c r="R929" s="856" t="str">
        <f t="shared" si="29"/>
        <v/>
      </c>
      <c r="S929" s="856" t="str">
        <f>IFERROR(ROUND(R929*'Project Info and Summary'!$J$5/'Project Info and Summary'!$L$5,2),"")</f>
        <v/>
      </c>
    </row>
    <row r="930" spans="1:19" ht="30" customHeight="1">
      <c r="A930" s="948"/>
      <c r="B930" s="496">
        <f t="shared" si="28"/>
        <v>921</v>
      </c>
      <c r="C930" s="864"/>
      <c r="D930" s="505"/>
      <c r="E930" s="866"/>
      <c r="F930" s="498"/>
      <c r="G930" s="499"/>
      <c r="H930" s="492"/>
      <c r="I930" s="855">
        <f>IFERROR(IFERROR(INDEX('Fixture and LED Schedule'!D:D,MATCH(F930,'Fixture and LED Schedule'!C:C,""),1),F930),"")</f>
        <v>0</v>
      </c>
      <c r="J930" s="855" t="str">
        <f>IFERROR(IF(PRJ_Type="New Construction",H930,INDEX(yControl_Code,MATCH(Inventory!H930,yControlTypes,0),1)),"")</f>
        <v/>
      </c>
      <c r="K930" s="493"/>
      <c r="L930" s="501"/>
      <c r="M930" s="502"/>
      <c r="N930" s="855">
        <f>IFERROR(IFERROR(INDEX('Fixture and LED Schedule'!D:D,MATCH(K930,'Fixture and LED Schedule'!C:C,0),1),K930),"")</f>
        <v>0</v>
      </c>
      <c r="O930" s="858" t="str">
        <f>IFERROR(INDEX(yControl_Code,MATCH(Inventory!M930,yControlTypes,0),1),"")</f>
        <v/>
      </c>
      <c r="P930" s="860" t="str">
        <f>'Lighting Inventory (Ref only)'!AG933</f>
        <v/>
      </c>
      <c r="Q930" s="861" t="str">
        <f>'Lighting Inventory (Ref only)'!AF933</f>
        <v/>
      </c>
      <c r="R930" s="856" t="str">
        <f t="shared" si="29"/>
        <v/>
      </c>
      <c r="S930" s="856" t="str">
        <f>IFERROR(ROUND(R930*'Project Info and Summary'!$J$5/'Project Info and Summary'!$L$5,2),"")</f>
        <v/>
      </c>
    </row>
    <row r="931" spans="1:19" ht="30" customHeight="1">
      <c r="A931" s="948"/>
      <c r="B931" s="496">
        <f t="shared" si="28"/>
        <v>922</v>
      </c>
      <c r="C931" s="864"/>
      <c r="D931" s="505"/>
      <c r="E931" s="866"/>
      <c r="F931" s="498"/>
      <c r="G931" s="499"/>
      <c r="H931" s="492"/>
      <c r="I931" s="855">
        <f>IFERROR(IFERROR(INDEX('Fixture and LED Schedule'!D:D,MATCH(F931,'Fixture and LED Schedule'!C:C,""),1),F931),"")</f>
        <v>0</v>
      </c>
      <c r="J931" s="855" t="str">
        <f>IFERROR(IF(PRJ_Type="New Construction",H931,INDEX(yControl_Code,MATCH(Inventory!H931,yControlTypes,0),1)),"")</f>
        <v/>
      </c>
      <c r="K931" s="493"/>
      <c r="L931" s="501"/>
      <c r="M931" s="502"/>
      <c r="N931" s="855">
        <f>IFERROR(IFERROR(INDEX('Fixture and LED Schedule'!D:D,MATCH(K931,'Fixture and LED Schedule'!C:C,0),1),K931),"")</f>
        <v>0</v>
      </c>
      <c r="O931" s="858" t="str">
        <f>IFERROR(INDEX(yControl_Code,MATCH(Inventory!M931,yControlTypes,0),1),"")</f>
        <v/>
      </c>
      <c r="P931" s="860" t="str">
        <f>'Lighting Inventory (Ref only)'!AG934</f>
        <v/>
      </c>
      <c r="Q931" s="861" t="str">
        <f>'Lighting Inventory (Ref only)'!AF934</f>
        <v/>
      </c>
      <c r="R931" s="856" t="str">
        <f t="shared" si="29"/>
        <v/>
      </c>
      <c r="S931" s="856" t="str">
        <f>IFERROR(ROUND(R931*'Project Info and Summary'!$J$5/'Project Info and Summary'!$L$5,2),"")</f>
        <v/>
      </c>
    </row>
    <row r="932" spans="1:19" ht="30" customHeight="1">
      <c r="A932" s="948"/>
      <c r="B932" s="496">
        <f t="shared" si="28"/>
        <v>923</v>
      </c>
      <c r="C932" s="864"/>
      <c r="D932" s="505"/>
      <c r="E932" s="866"/>
      <c r="F932" s="498"/>
      <c r="G932" s="499"/>
      <c r="H932" s="492"/>
      <c r="I932" s="855">
        <f>IFERROR(IFERROR(INDEX('Fixture and LED Schedule'!D:D,MATCH(F932,'Fixture and LED Schedule'!C:C,""),1),F932),"")</f>
        <v>0</v>
      </c>
      <c r="J932" s="855" t="str">
        <f>IFERROR(IF(PRJ_Type="New Construction",H932,INDEX(yControl_Code,MATCH(Inventory!H932,yControlTypes,0),1)),"")</f>
        <v/>
      </c>
      <c r="K932" s="493"/>
      <c r="L932" s="501"/>
      <c r="M932" s="502"/>
      <c r="N932" s="855">
        <f>IFERROR(IFERROR(INDEX('Fixture and LED Schedule'!D:D,MATCH(K932,'Fixture and LED Schedule'!C:C,0),1),K932),"")</f>
        <v>0</v>
      </c>
      <c r="O932" s="858" t="str">
        <f>IFERROR(INDEX(yControl_Code,MATCH(Inventory!M932,yControlTypes,0),1),"")</f>
        <v/>
      </c>
      <c r="P932" s="860" t="str">
        <f>'Lighting Inventory (Ref only)'!AG935</f>
        <v/>
      </c>
      <c r="Q932" s="861" t="str">
        <f>'Lighting Inventory (Ref only)'!AF935</f>
        <v/>
      </c>
      <c r="R932" s="856" t="str">
        <f t="shared" si="29"/>
        <v/>
      </c>
      <c r="S932" s="856" t="str">
        <f>IFERROR(ROUND(R932*'Project Info and Summary'!$J$5/'Project Info and Summary'!$L$5,2),"")</f>
        <v/>
      </c>
    </row>
    <row r="933" spans="1:19" ht="30" customHeight="1">
      <c r="A933" s="948"/>
      <c r="B933" s="496">
        <f t="shared" si="28"/>
        <v>924</v>
      </c>
      <c r="C933" s="864"/>
      <c r="D933" s="505"/>
      <c r="E933" s="866"/>
      <c r="F933" s="498"/>
      <c r="G933" s="499"/>
      <c r="H933" s="492"/>
      <c r="I933" s="855">
        <f>IFERROR(IFERROR(INDEX('Fixture and LED Schedule'!D:D,MATCH(F933,'Fixture and LED Schedule'!C:C,""),1),F933),"")</f>
        <v>0</v>
      </c>
      <c r="J933" s="855" t="str">
        <f>IFERROR(IF(PRJ_Type="New Construction",H933,INDEX(yControl_Code,MATCH(Inventory!H933,yControlTypes,0),1)),"")</f>
        <v/>
      </c>
      <c r="K933" s="493"/>
      <c r="L933" s="501"/>
      <c r="M933" s="502"/>
      <c r="N933" s="855">
        <f>IFERROR(IFERROR(INDEX('Fixture and LED Schedule'!D:D,MATCH(K933,'Fixture and LED Schedule'!C:C,0),1),K933),"")</f>
        <v>0</v>
      </c>
      <c r="O933" s="858" t="str">
        <f>IFERROR(INDEX(yControl_Code,MATCH(Inventory!M933,yControlTypes,0),1),"")</f>
        <v/>
      </c>
      <c r="P933" s="860" t="str">
        <f>'Lighting Inventory (Ref only)'!AG936</f>
        <v/>
      </c>
      <c r="Q933" s="861" t="str">
        <f>'Lighting Inventory (Ref only)'!AF936</f>
        <v/>
      </c>
      <c r="R933" s="856" t="str">
        <f t="shared" si="29"/>
        <v/>
      </c>
      <c r="S933" s="856" t="str">
        <f>IFERROR(ROUND(R933*'Project Info and Summary'!$J$5/'Project Info and Summary'!$L$5,2),"")</f>
        <v/>
      </c>
    </row>
    <row r="934" spans="1:19" ht="30" customHeight="1">
      <c r="A934" s="948"/>
      <c r="B934" s="496">
        <f t="shared" si="28"/>
        <v>925</v>
      </c>
      <c r="C934" s="864"/>
      <c r="D934" s="505"/>
      <c r="E934" s="866"/>
      <c r="F934" s="498"/>
      <c r="G934" s="499"/>
      <c r="H934" s="492"/>
      <c r="I934" s="855">
        <f>IFERROR(IFERROR(INDEX('Fixture and LED Schedule'!D:D,MATCH(F934,'Fixture and LED Schedule'!C:C,""),1),F934),"")</f>
        <v>0</v>
      </c>
      <c r="J934" s="855" t="str">
        <f>IFERROR(IF(PRJ_Type="New Construction",H934,INDEX(yControl_Code,MATCH(Inventory!H934,yControlTypes,0),1)),"")</f>
        <v/>
      </c>
      <c r="K934" s="493"/>
      <c r="L934" s="501"/>
      <c r="M934" s="502"/>
      <c r="N934" s="855">
        <f>IFERROR(IFERROR(INDEX('Fixture and LED Schedule'!D:D,MATCH(K934,'Fixture and LED Schedule'!C:C,0),1),K934),"")</f>
        <v>0</v>
      </c>
      <c r="O934" s="858" t="str">
        <f>IFERROR(INDEX(yControl_Code,MATCH(Inventory!M934,yControlTypes,0),1),"")</f>
        <v/>
      </c>
      <c r="P934" s="860" t="str">
        <f>'Lighting Inventory (Ref only)'!AG937</f>
        <v/>
      </c>
      <c r="Q934" s="861" t="str">
        <f>'Lighting Inventory (Ref only)'!AF937</f>
        <v/>
      </c>
      <c r="R934" s="856" t="str">
        <f t="shared" si="29"/>
        <v/>
      </c>
      <c r="S934" s="856" t="str">
        <f>IFERROR(ROUND(R934*'Project Info and Summary'!$J$5/'Project Info and Summary'!$L$5,2),"")</f>
        <v/>
      </c>
    </row>
    <row r="935" spans="1:19" ht="30" customHeight="1">
      <c r="A935" s="948"/>
      <c r="B935" s="496">
        <f t="shared" si="28"/>
        <v>926</v>
      </c>
      <c r="C935" s="864"/>
      <c r="D935" s="505"/>
      <c r="E935" s="866"/>
      <c r="F935" s="498"/>
      <c r="G935" s="499"/>
      <c r="H935" s="492"/>
      <c r="I935" s="855">
        <f>IFERROR(IFERROR(INDEX('Fixture and LED Schedule'!D:D,MATCH(F935,'Fixture and LED Schedule'!C:C,""),1),F935),"")</f>
        <v>0</v>
      </c>
      <c r="J935" s="855" t="str">
        <f>IFERROR(IF(PRJ_Type="New Construction",H935,INDEX(yControl_Code,MATCH(Inventory!H935,yControlTypes,0),1)),"")</f>
        <v/>
      </c>
      <c r="K935" s="493"/>
      <c r="L935" s="501"/>
      <c r="M935" s="502"/>
      <c r="N935" s="855">
        <f>IFERROR(IFERROR(INDEX('Fixture and LED Schedule'!D:D,MATCH(K935,'Fixture and LED Schedule'!C:C,0),1),K935),"")</f>
        <v>0</v>
      </c>
      <c r="O935" s="858" t="str">
        <f>IFERROR(INDEX(yControl_Code,MATCH(Inventory!M935,yControlTypes,0),1),"")</f>
        <v/>
      </c>
      <c r="P935" s="860" t="str">
        <f>'Lighting Inventory (Ref only)'!AG938</f>
        <v/>
      </c>
      <c r="Q935" s="861" t="str">
        <f>'Lighting Inventory (Ref only)'!AF938</f>
        <v/>
      </c>
      <c r="R935" s="856" t="str">
        <f t="shared" si="29"/>
        <v/>
      </c>
      <c r="S935" s="856" t="str">
        <f>IFERROR(ROUND(R935*'Project Info and Summary'!$J$5/'Project Info and Summary'!$L$5,2),"")</f>
        <v/>
      </c>
    </row>
    <row r="936" spans="1:19" ht="30" customHeight="1">
      <c r="A936" s="948"/>
      <c r="B936" s="496">
        <f t="shared" si="28"/>
        <v>927</v>
      </c>
      <c r="C936" s="864"/>
      <c r="D936" s="505"/>
      <c r="E936" s="866"/>
      <c r="F936" s="498"/>
      <c r="G936" s="499"/>
      <c r="H936" s="492"/>
      <c r="I936" s="855">
        <f>IFERROR(IFERROR(INDEX('Fixture and LED Schedule'!D:D,MATCH(F936,'Fixture and LED Schedule'!C:C,""),1),F936),"")</f>
        <v>0</v>
      </c>
      <c r="J936" s="855" t="str">
        <f>IFERROR(IF(PRJ_Type="New Construction",H936,INDEX(yControl_Code,MATCH(Inventory!H936,yControlTypes,0),1)),"")</f>
        <v/>
      </c>
      <c r="K936" s="493"/>
      <c r="L936" s="501"/>
      <c r="M936" s="502"/>
      <c r="N936" s="855">
        <f>IFERROR(IFERROR(INDEX('Fixture and LED Schedule'!D:D,MATCH(K936,'Fixture and LED Schedule'!C:C,0),1),K936),"")</f>
        <v>0</v>
      </c>
      <c r="O936" s="858" t="str">
        <f>IFERROR(INDEX(yControl_Code,MATCH(Inventory!M936,yControlTypes,0),1),"")</f>
        <v/>
      </c>
      <c r="P936" s="860" t="str">
        <f>'Lighting Inventory (Ref only)'!AG939</f>
        <v/>
      </c>
      <c r="Q936" s="861" t="str">
        <f>'Lighting Inventory (Ref only)'!AF939</f>
        <v/>
      </c>
      <c r="R936" s="856" t="str">
        <f t="shared" si="29"/>
        <v/>
      </c>
      <c r="S936" s="856" t="str">
        <f>IFERROR(ROUND(R936*'Project Info and Summary'!$J$5/'Project Info and Summary'!$L$5,2),"")</f>
        <v/>
      </c>
    </row>
    <row r="937" spans="1:19" ht="30" customHeight="1">
      <c r="A937" s="948"/>
      <c r="B937" s="496">
        <f t="shared" si="28"/>
        <v>928</v>
      </c>
      <c r="C937" s="864"/>
      <c r="D937" s="505"/>
      <c r="E937" s="866"/>
      <c r="F937" s="498"/>
      <c r="G937" s="499"/>
      <c r="H937" s="492"/>
      <c r="I937" s="855">
        <f>IFERROR(IFERROR(INDEX('Fixture and LED Schedule'!D:D,MATCH(F937,'Fixture and LED Schedule'!C:C,""),1),F937),"")</f>
        <v>0</v>
      </c>
      <c r="J937" s="855" t="str">
        <f>IFERROR(IF(PRJ_Type="New Construction",H937,INDEX(yControl_Code,MATCH(Inventory!H937,yControlTypes,0),1)),"")</f>
        <v/>
      </c>
      <c r="K937" s="493"/>
      <c r="L937" s="501"/>
      <c r="M937" s="502"/>
      <c r="N937" s="855">
        <f>IFERROR(IFERROR(INDEX('Fixture and LED Schedule'!D:D,MATCH(K937,'Fixture and LED Schedule'!C:C,0),1),K937),"")</f>
        <v>0</v>
      </c>
      <c r="O937" s="858" t="str">
        <f>IFERROR(INDEX(yControl_Code,MATCH(Inventory!M937,yControlTypes,0),1),"")</f>
        <v/>
      </c>
      <c r="P937" s="860" t="str">
        <f>'Lighting Inventory (Ref only)'!AG940</f>
        <v/>
      </c>
      <c r="Q937" s="861" t="str">
        <f>'Lighting Inventory (Ref only)'!AF940</f>
        <v/>
      </c>
      <c r="R937" s="856" t="str">
        <f t="shared" si="29"/>
        <v/>
      </c>
      <c r="S937" s="856" t="str">
        <f>IFERROR(ROUND(R937*'Project Info and Summary'!$J$5/'Project Info and Summary'!$L$5,2),"")</f>
        <v/>
      </c>
    </row>
    <row r="938" spans="1:19" ht="30" customHeight="1">
      <c r="A938" s="948"/>
      <c r="B938" s="496">
        <f t="shared" si="28"/>
        <v>929</v>
      </c>
      <c r="C938" s="864"/>
      <c r="D938" s="505"/>
      <c r="E938" s="866"/>
      <c r="F938" s="498"/>
      <c r="G938" s="499"/>
      <c r="H938" s="492"/>
      <c r="I938" s="855">
        <f>IFERROR(IFERROR(INDEX('Fixture and LED Schedule'!D:D,MATCH(F938,'Fixture and LED Schedule'!C:C,""),1),F938),"")</f>
        <v>0</v>
      </c>
      <c r="J938" s="855" t="str">
        <f>IFERROR(IF(PRJ_Type="New Construction",H938,INDEX(yControl_Code,MATCH(Inventory!H938,yControlTypes,0),1)),"")</f>
        <v/>
      </c>
      <c r="K938" s="493"/>
      <c r="L938" s="501"/>
      <c r="M938" s="502"/>
      <c r="N938" s="855">
        <f>IFERROR(IFERROR(INDEX('Fixture and LED Schedule'!D:D,MATCH(K938,'Fixture and LED Schedule'!C:C,0),1),K938),"")</f>
        <v>0</v>
      </c>
      <c r="O938" s="858" t="str">
        <f>IFERROR(INDEX(yControl_Code,MATCH(Inventory!M938,yControlTypes,0),1),"")</f>
        <v/>
      </c>
      <c r="P938" s="860" t="str">
        <f>'Lighting Inventory (Ref only)'!AG941</f>
        <v/>
      </c>
      <c r="Q938" s="861" t="str">
        <f>'Lighting Inventory (Ref only)'!AF941</f>
        <v/>
      </c>
      <c r="R938" s="856" t="str">
        <f t="shared" si="29"/>
        <v/>
      </c>
      <c r="S938" s="856" t="str">
        <f>IFERROR(ROUND(R938*'Project Info and Summary'!$J$5/'Project Info and Summary'!$L$5,2),"")</f>
        <v/>
      </c>
    </row>
    <row r="939" spans="1:19" ht="30" customHeight="1">
      <c r="A939" s="948"/>
      <c r="B939" s="496">
        <f t="shared" si="28"/>
        <v>930</v>
      </c>
      <c r="C939" s="864"/>
      <c r="D939" s="505"/>
      <c r="E939" s="866"/>
      <c r="F939" s="498"/>
      <c r="G939" s="499"/>
      <c r="H939" s="492"/>
      <c r="I939" s="855">
        <f>IFERROR(IFERROR(INDEX('Fixture and LED Schedule'!D:D,MATCH(F939,'Fixture and LED Schedule'!C:C,""),1),F939),"")</f>
        <v>0</v>
      </c>
      <c r="J939" s="855" t="str">
        <f>IFERROR(IF(PRJ_Type="New Construction",H939,INDEX(yControl_Code,MATCH(Inventory!H939,yControlTypes,0),1)),"")</f>
        <v/>
      </c>
      <c r="K939" s="493"/>
      <c r="L939" s="501"/>
      <c r="M939" s="502"/>
      <c r="N939" s="855">
        <f>IFERROR(IFERROR(INDEX('Fixture and LED Schedule'!D:D,MATCH(K939,'Fixture and LED Schedule'!C:C,0),1),K939),"")</f>
        <v>0</v>
      </c>
      <c r="O939" s="858" t="str">
        <f>IFERROR(INDEX(yControl_Code,MATCH(Inventory!M939,yControlTypes,0),1),"")</f>
        <v/>
      </c>
      <c r="P939" s="860" t="str">
        <f>'Lighting Inventory (Ref only)'!AG942</f>
        <v/>
      </c>
      <c r="Q939" s="861" t="str">
        <f>'Lighting Inventory (Ref only)'!AF942</f>
        <v/>
      </c>
      <c r="R939" s="856" t="str">
        <f t="shared" si="29"/>
        <v/>
      </c>
      <c r="S939" s="856" t="str">
        <f>IFERROR(ROUND(R939*'Project Info and Summary'!$J$5/'Project Info and Summary'!$L$5,2),"")</f>
        <v/>
      </c>
    </row>
    <row r="940" spans="1:19" ht="30" customHeight="1">
      <c r="A940" s="948"/>
      <c r="B940" s="496">
        <f t="shared" si="28"/>
        <v>931</v>
      </c>
      <c r="C940" s="864"/>
      <c r="D940" s="505"/>
      <c r="E940" s="866"/>
      <c r="F940" s="498"/>
      <c r="G940" s="499"/>
      <c r="H940" s="492"/>
      <c r="I940" s="855">
        <f>IFERROR(IFERROR(INDEX('Fixture and LED Schedule'!D:D,MATCH(F940,'Fixture and LED Schedule'!C:C,""),1),F940),"")</f>
        <v>0</v>
      </c>
      <c r="J940" s="855" t="str">
        <f>IFERROR(IF(PRJ_Type="New Construction",H940,INDEX(yControl_Code,MATCH(Inventory!H940,yControlTypes,0),1)),"")</f>
        <v/>
      </c>
      <c r="K940" s="493"/>
      <c r="L940" s="501"/>
      <c r="M940" s="502"/>
      <c r="N940" s="855">
        <f>IFERROR(IFERROR(INDEX('Fixture and LED Schedule'!D:D,MATCH(K940,'Fixture and LED Schedule'!C:C,0),1),K940),"")</f>
        <v>0</v>
      </c>
      <c r="O940" s="858" t="str">
        <f>IFERROR(INDEX(yControl_Code,MATCH(Inventory!M940,yControlTypes,0),1),"")</f>
        <v/>
      </c>
      <c r="P940" s="860" t="str">
        <f>'Lighting Inventory (Ref only)'!AG943</f>
        <v/>
      </c>
      <c r="Q940" s="861" t="str">
        <f>'Lighting Inventory (Ref only)'!AF943</f>
        <v/>
      </c>
      <c r="R940" s="856" t="str">
        <f t="shared" si="29"/>
        <v/>
      </c>
      <c r="S940" s="856" t="str">
        <f>IFERROR(ROUND(R940*'Project Info and Summary'!$J$5/'Project Info and Summary'!$L$5,2),"")</f>
        <v/>
      </c>
    </row>
    <row r="941" spans="1:19" ht="30" customHeight="1">
      <c r="A941" s="948"/>
      <c r="B941" s="496">
        <f t="shared" si="28"/>
        <v>932</v>
      </c>
      <c r="C941" s="864"/>
      <c r="D941" s="505"/>
      <c r="E941" s="866"/>
      <c r="F941" s="498"/>
      <c r="G941" s="499"/>
      <c r="H941" s="492"/>
      <c r="I941" s="855">
        <f>IFERROR(IFERROR(INDEX('Fixture and LED Schedule'!D:D,MATCH(F941,'Fixture and LED Schedule'!C:C,""),1),F941),"")</f>
        <v>0</v>
      </c>
      <c r="J941" s="855" t="str">
        <f>IFERROR(IF(PRJ_Type="New Construction",H941,INDEX(yControl_Code,MATCH(Inventory!H941,yControlTypes,0),1)),"")</f>
        <v/>
      </c>
      <c r="K941" s="493"/>
      <c r="L941" s="501"/>
      <c r="M941" s="502"/>
      <c r="N941" s="855">
        <f>IFERROR(IFERROR(INDEX('Fixture and LED Schedule'!D:D,MATCH(K941,'Fixture and LED Schedule'!C:C,0),1),K941),"")</f>
        <v>0</v>
      </c>
      <c r="O941" s="858" t="str">
        <f>IFERROR(INDEX(yControl_Code,MATCH(Inventory!M941,yControlTypes,0),1),"")</f>
        <v/>
      </c>
      <c r="P941" s="860" t="str">
        <f>'Lighting Inventory (Ref only)'!AG944</f>
        <v/>
      </c>
      <c r="Q941" s="861" t="str">
        <f>'Lighting Inventory (Ref only)'!AF944</f>
        <v/>
      </c>
      <c r="R941" s="856" t="str">
        <f t="shared" si="29"/>
        <v/>
      </c>
      <c r="S941" s="856" t="str">
        <f>IFERROR(ROUND(R941*'Project Info and Summary'!$J$5/'Project Info and Summary'!$L$5,2),"")</f>
        <v/>
      </c>
    </row>
    <row r="942" spans="1:19" ht="30" customHeight="1">
      <c r="A942" s="948"/>
      <c r="B942" s="496">
        <f t="shared" si="28"/>
        <v>933</v>
      </c>
      <c r="C942" s="864"/>
      <c r="D942" s="505"/>
      <c r="E942" s="866"/>
      <c r="F942" s="498"/>
      <c r="G942" s="499"/>
      <c r="H942" s="492"/>
      <c r="I942" s="855">
        <f>IFERROR(IFERROR(INDEX('Fixture and LED Schedule'!D:D,MATCH(F942,'Fixture and LED Schedule'!C:C,""),1),F942),"")</f>
        <v>0</v>
      </c>
      <c r="J942" s="855" t="str">
        <f>IFERROR(IF(PRJ_Type="New Construction",H942,INDEX(yControl_Code,MATCH(Inventory!H942,yControlTypes,0),1)),"")</f>
        <v/>
      </c>
      <c r="K942" s="493"/>
      <c r="L942" s="501"/>
      <c r="M942" s="502"/>
      <c r="N942" s="855">
        <f>IFERROR(IFERROR(INDEX('Fixture and LED Schedule'!D:D,MATCH(K942,'Fixture and LED Schedule'!C:C,0),1),K942),"")</f>
        <v>0</v>
      </c>
      <c r="O942" s="858" t="str">
        <f>IFERROR(INDEX(yControl_Code,MATCH(Inventory!M942,yControlTypes,0),1),"")</f>
        <v/>
      </c>
      <c r="P942" s="860" t="str">
        <f>'Lighting Inventory (Ref only)'!AG945</f>
        <v/>
      </c>
      <c r="Q942" s="861" t="str">
        <f>'Lighting Inventory (Ref only)'!AF945</f>
        <v/>
      </c>
      <c r="R942" s="856" t="str">
        <f t="shared" si="29"/>
        <v/>
      </c>
      <c r="S942" s="856" t="str">
        <f>IFERROR(ROUND(R942*'Project Info and Summary'!$J$5/'Project Info and Summary'!$L$5,2),"")</f>
        <v/>
      </c>
    </row>
    <row r="943" spans="1:19" ht="30" customHeight="1">
      <c r="A943" s="948"/>
      <c r="B943" s="496">
        <f t="shared" si="28"/>
        <v>934</v>
      </c>
      <c r="C943" s="864"/>
      <c r="D943" s="505"/>
      <c r="E943" s="866"/>
      <c r="F943" s="498"/>
      <c r="G943" s="499"/>
      <c r="H943" s="492"/>
      <c r="I943" s="855">
        <f>IFERROR(IFERROR(INDEX('Fixture and LED Schedule'!D:D,MATCH(F943,'Fixture and LED Schedule'!C:C,""),1),F943),"")</f>
        <v>0</v>
      </c>
      <c r="J943" s="855" t="str">
        <f>IFERROR(IF(PRJ_Type="New Construction",H943,INDEX(yControl_Code,MATCH(Inventory!H943,yControlTypes,0),1)),"")</f>
        <v/>
      </c>
      <c r="K943" s="493"/>
      <c r="L943" s="501"/>
      <c r="M943" s="502"/>
      <c r="N943" s="855">
        <f>IFERROR(IFERROR(INDEX('Fixture and LED Schedule'!D:D,MATCH(K943,'Fixture and LED Schedule'!C:C,0),1),K943),"")</f>
        <v>0</v>
      </c>
      <c r="O943" s="858" t="str">
        <f>IFERROR(INDEX(yControl_Code,MATCH(Inventory!M943,yControlTypes,0),1),"")</f>
        <v/>
      </c>
      <c r="P943" s="860" t="str">
        <f>'Lighting Inventory (Ref only)'!AG946</f>
        <v/>
      </c>
      <c r="Q943" s="861" t="str">
        <f>'Lighting Inventory (Ref only)'!AF946</f>
        <v/>
      </c>
      <c r="R943" s="856" t="str">
        <f t="shared" si="29"/>
        <v/>
      </c>
      <c r="S943" s="856" t="str">
        <f>IFERROR(ROUND(R943*'Project Info and Summary'!$J$5/'Project Info and Summary'!$L$5,2),"")</f>
        <v/>
      </c>
    </row>
    <row r="944" spans="1:19" ht="30" customHeight="1">
      <c r="A944" s="948"/>
      <c r="B944" s="496">
        <f t="shared" si="28"/>
        <v>935</v>
      </c>
      <c r="C944" s="864"/>
      <c r="D944" s="505"/>
      <c r="E944" s="866"/>
      <c r="F944" s="498"/>
      <c r="G944" s="499"/>
      <c r="H944" s="492"/>
      <c r="I944" s="855">
        <f>IFERROR(IFERROR(INDEX('Fixture and LED Schedule'!D:D,MATCH(F944,'Fixture and LED Schedule'!C:C,""),1),F944),"")</f>
        <v>0</v>
      </c>
      <c r="J944" s="855" t="str">
        <f>IFERROR(IF(PRJ_Type="New Construction",H944,INDEX(yControl_Code,MATCH(Inventory!H944,yControlTypes,0),1)),"")</f>
        <v/>
      </c>
      <c r="K944" s="493"/>
      <c r="L944" s="501"/>
      <c r="M944" s="502"/>
      <c r="N944" s="855">
        <f>IFERROR(IFERROR(INDEX('Fixture and LED Schedule'!D:D,MATCH(K944,'Fixture and LED Schedule'!C:C,0),1),K944),"")</f>
        <v>0</v>
      </c>
      <c r="O944" s="858" t="str">
        <f>IFERROR(INDEX(yControl_Code,MATCH(Inventory!M944,yControlTypes,0),1),"")</f>
        <v/>
      </c>
      <c r="P944" s="860" t="str">
        <f>'Lighting Inventory (Ref only)'!AG947</f>
        <v/>
      </c>
      <c r="Q944" s="861" t="str">
        <f>'Lighting Inventory (Ref only)'!AF947</f>
        <v/>
      </c>
      <c r="R944" s="856" t="str">
        <f t="shared" si="29"/>
        <v/>
      </c>
      <c r="S944" s="856" t="str">
        <f>IFERROR(ROUND(R944*'Project Info and Summary'!$J$5/'Project Info and Summary'!$L$5,2),"")</f>
        <v/>
      </c>
    </row>
    <row r="945" spans="1:19" ht="30" customHeight="1">
      <c r="A945" s="948"/>
      <c r="B945" s="496">
        <f t="shared" si="28"/>
        <v>936</v>
      </c>
      <c r="C945" s="864"/>
      <c r="D945" s="505"/>
      <c r="E945" s="866"/>
      <c r="F945" s="498"/>
      <c r="G945" s="499"/>
      <c r="H945" s="492"/>
      <c r="I945" s="855">
        <f>IFERROR(IFERROR(INDEX('Fixture and LED Schedule'!D:D,MATCH(F945,'Fixture and LED Schedule'!C:C,""),1),F945),"")</f>
        <v>0</v>
      </c>
      <c r="J945" s="855" t="str">
        <f>IFERROR(IF(PRJ_Type="New Construction",H945,INDEX(yControl_Code,MATCH(Inventory!H945,yControlTypes,0),1)),"")</f>
        <v/>
      </c>
      <c r="K945" s="493"/>
      <c r="L945" s="501"/>
      <c r="M945" s="502"/>
      <c r="N945" s="855">
        <f>IFERROR(IFERROR(INDEX('Fixture and LED Schedule'!D:D,MATCH(K945,'Fixture and LED Schedule'!C:C,0),1),K945),"")</f>
        <v>0</v>
      </c>
      <c r="O945" s="858" t="str">
        <f>IFERROR(INDEX(yControl_Code,MATCH(Inventory!M945,yControlTypes,0),1),"")</f>
        <v/>
      </c>
      <c r="P945" s="860" t="str">
        <f>'Lighting Inventory (Ref only)'!AG948</f>
        <v/>
      </c>
      <c r="Q945" s="861" t="str">
        <f>'Lighting Inventory (Ref only)'!AF948</f>
        <v/>
      </c>
      <c r="R945" s="856" t="str">
        <f t="shared" si="29"/>
        <v/>
      </c>
      <c r="S945" s="856" t="str">
        <f>IFERROR(ROUND(R945*'Project Info and Summary'!$J$5/'Project Info and Summary'!$L$5,2),"")</f>
        <v/>
      </c>
    </row>
    <row r="946" spans="1:19" ht="30" customHeight="1">
      <c r="A946" s="948"/>
      <c r="B946" s="496">
        <f t="shared" si="28"/>
        <v>937</v>
      </c>
      <c r="C946" s="864"/>
      <c r="D946" s="505"/>
      <c r="E946" s="866"/>
      <c r="F946" s="498"/>
      <c r="G946" s="499"/>
      <c r="H946" s="492"/>
      <c r="I946" s="855">
        <f>IFERROR(IFERROR(INDEX('Fixture and LED Schedule'!D:D,MATCH(F946,'Fixture and LED Schedule'!C:C,""),1),F946),"")</f>
        <v>0</v>
      </c>
      <c r="J946" s="855" t="str">
        <f>IFERROR(IF(PRJ_Type="New Construction",H946,INDEX(yControl_Code,MATCH(Inventory!H946,yControlTypes,0),1)),"")</f>
        <v/>
      </c>
      <c r="K946" s="493"/>
      <c r="L946" s="501"/>
      <c r="M946" s="502"/>
      <c r="N946" s="855">
        <f>IFERROR(IFERROR(INDEX('Fixture and LED Schedule'!D:D,MATCH(K946,'Fixture and LED Schedule'!C:C,0),1),K946),"")</f>
        <v>0</v>
      </c>
      <c r="O946" s="858" t="str">
        <f>IFERROR(INDEX(yControl_Code,MATCH(Inventory!M946,yControlTypes,0),1),"")</f>
        <v/>
      </c>
      <c r="P946" s="860" t="str">
        <f>'Lighting Inventory (Ref only)'!AG949</f>
        <v/>
      </c>
      <c r="Q946" s="861" t="str">
        <f>'Lighting Inventory (Ref only)'!AF949</f>
        <v/>
      </c>
      <c r="R946" s="856" t="str">
        <f t="shared" si="29"/>
        <v/>
      </c>
      <c r="S946" s="856" t="str">
        <f>IFERROR(ROUND(R946*'Project Info and Summary'!$J$5/'Project Info and Summary'!$L$5,2),"")</f>
        <v/>
      </c>
    </row>
    <row r="947" spans="1:19" ht="30" customHeight="1">
      <c r="A947" s="948"/>
      <c r="B947" s="496">
        <f t="shared" si="28"/>
        <v>938</v>
      </c>
      <c r="C947" s="864"/>
      <c r="D947" s="505"/>
      <c r="E947" s="866"/>
      <c r="F947" s="498"/>
      <c r="G947" s="499"/>
      <c r="H947" s="492"/>
      <c r="I947" s="855">
        <f>IFERROR(IFERROR(INDEX('Fixture and LED Schedule'!D:D,MATCH(F947,'Fixture and LED Schedule'!C:C,""),1),F947),"")</f>
        <v>0</v>
      </c>
      <c r="J947" s="855" t="str">
        <f>IFERROR(IF(PRJ_Type="New Construction",H947,INDEX(yControl_Code,MATCH(Inventory!H947,yControlTypes,0),1)),"")</f>
        <v/>
      </c>
      <c r="K947" s="493"/>
      <c r="L947" s="501"/>
      <c r="M947" s="502"/>
      <c r="N947" s="855">
        <f>IFERROR(IFERROR(INDEX('Fixture and LED Schedule'!D:D,MATCH(K947,'Fixture and LED Schedule'!C:C,0),1),K947),"")</f>
        <v>0</v>
      </c>
      <c r="O947" s="858" t="str">
        <f>IFERROR(INDEX(yControl_Code,MATCH(Inventory!M947,yControlTypes,0),1),"")</f>
        <v/>
      </c>
      <c r="P947" s="860" t="str">
        <f>'Lighting Inventory (Ref only)'!AG950</f>
        <v/>
      </c>
      <c r="Q947" s="861" t="str">
        <f>'Lighting Inventory (Ref only)'!AF950</f>
        <v/>
      </c>
      <c r="R947" s="856" t="str">
        <f t="shared" si="29"/>
        <v/>
      </c>
      <c r="S947" s="856" t="str">
        <f>IFERROR(ROUND(R947*'Project Info and Summary'!$J$5/'Project Info and Summary'!$L$5,2),"")</f>
        <v/>
      </c>
    </row>
    <row r="948" spans="1:19" ht="30" customHeight="1">
      <c r="A948" s="948"/>
      <c r="B948" s="496">
        <f t="shared" si="28"/>
        <v>939</v>
      </c>
      <c r="C948" s="864"/>
      <c r="D948" s="505"/>
      <c r="E948" s="866"/>
      <c r="F948" s="498"/>
      <c r="G948" s="499"/>
      <c r="H948" s="492"/>
      <c r="I948" s="855">
        <f>IFERROR(IFERROR(INDEX('Fixture and LED Schedule'!D:D,MATCH(F948,'Fixture and LED Schedule'!C:C,""),1),F948),"")</f>
        <v>0</v>
      </c>
      <c r="J948" s="855" t="str">
        <f>IFERROR(IF(PRJ_Type="New Construction",H948,INDEX(yControl_Code,MATCH(Inventory!H948,yControlTypes,0),1)),"")</f>
        <v/>
      </c>
      <c r="K948" s="493"/>
      <c r="L948" s="501"/>
      <c r="M948" s="502"/>
      <c r="N948" s="855">
        <f>IFERROR(IFERROR(INDEX('Fixture and LED Schedule'!D:D,MATCH(K948,'Fixture and LED Schedule'!C:C,0),1),K948),"")</f>
        <v>0</v>
      </c>
      <c r="O948" s="858" t="str">
        <f>IFERROR(INDEX(yControl_Code,MATCH(Inventory!M948,yControlTypes,0),1),"")</f>
        <v/>
      </c>
      <c r="P948" s="860" t="str">
        <f>'Lighting Inventory (Ref only)'!AG951</f>
        <v/>
      </c>
      <c r="Q948" s="861" t="str">
        <f>'Lighting Inventory (Ref only)'!AF951</f>
        <v/>
      </c>
      <c r="R948" s="856" t="str">
        <f t="shared" si="29"/>
        <v/>
      </c>
      <c r="S948" s="856" t="str">
        <f>IFERROR(ROUND(R948*'Project Info and Summary'!$J$5/'Project Info and Summary'!$L$5,2),"")</f>
        <v/>
      </c>
    </row>
    <row r="949" spans="1:19" ht="30" customHeight="1">
      <c r="A949" s="948"/>
      <c r="B949" s="496">
        <f t="shared" si="28"/>
        <v>940</v>
      </c>
      <c r="C949" s="864"/>
      <c r="D949" s="505"/>
      <c r="E949" s="866"/>
      <c r="F949" s="498"/>
      <c r="G949" s="499"/>
      <c r="H949" s="492"/>
      <c r="I949" s="855">
        <f>IFERROR(IFERROR(INDEX('Fixture and LED Schedule'!D:D,MATCH(F949,'Fixture and LED Schedule'!C:C,""),1),F949),"")</f>
        <v>0</v>
      </c>
      <c r="J949" s="855" t="str">
        <f>IFERROR(IF(PRJ_Type="New Construction",H949,INDEX(yControl_Code,MATCH(Inventory!H949,yControlTypes,0),1)),"")</f>
        <v/>
      </c>
      <c r="K949" s="493"/>
      <c r="L949" s="501"/>
      <c r="M949" s="502"/>
      <c r="N949" s="855">
        <f>IFERROR(IFERROR(INDEX('Fixture and LED Schedule'!D:D,MATCH(K949,'Fixture and LED Schedule'!C:C,0),1),K949),"")</f>
        <v>0</v>
      </c>
      <c r="O949" s="858" t="str">
        <f>IFERROR(INDEX(yControl_Code,MATCH(Inventory!M949,yControlTypes,0),1),"")</f>
        <v/>
      </c>
      <c r="P949" s="860" t="str">
        <f>'Lighting Inventory (Ref only)'!AG952</f>
        <v/>
      </c>
      <c r="Q949" s="861" t="str">
        <f>'Lighting Inventory (Ref only)'!AF952</f>
        <v/>
      </c>
      <c r="R949" s="856" t="str">
        <f t="shared" si="29"/>
        <v/>
      </c>
      <c r="S949" s="856" t="str">
        <f>IFERROR(ROUND(R949*'Project Info and Summary'!$J$5/'Project Info and Summary'!$L$5,2),"")</f>
        <v/>
      </c>
    </row>
    <row r="950" spans="1:19" ht="30" customHeight="1">
      <c r="A950" s="948"/>
      <c r="B950" s="496">
        <f t="shared" si="28"/>
        <v>941</v>
      </c>
      <c r="C950" s="864"/>
      <c r="D950" s="505"/>
      <c r="E950" s="866"/>
      <c r="F950" s="498"/>
      <c r="G950" s="499"/>
      <c r="H950" s="492"/>
      <c r="I950" s="855">
        <f>IFERROR(IFERROR(INDEX('Fixture and LED Schedule'!D:D,MATCH(F950,'Fixture and LED Schedule'!C:C,""),1),F950),"")</f>
        <v>0</v>
      </c>
      <c r="J950" s="855" t="str">
        <f>IFERROR(IF(PRJ_Type="New Construction",H950,INDEX(yControl_Code,MATCH(Inventory!H950,yControlTypes,0),1)),"")</f>
        <v/>
      </c>
      <c r="K950" s="493"/>
      <c r="L950" s="501"/>
      <c r="M950" s="502"/>
      <c r="N950" s="855">
        <f>IFERROR(IFERROR(INDEX('Fixture and LED Schedule'!D:D,MATCH(K950,'Fixture and LED Schedule'!C:C,0),1),K950),"")</f>
        <v>0</v>
      </c>
      <c r="O950" s="858" t="str">
        <f>IFERROR(INDEX(yControl_Code,MATCH(Inventory!M950,yControlTypes,0),1),"")</f>
        <v/>
      </c>
      <c r="P950" s="860" t="str">
        <f>'Lighting Inventory (Ref only)'!AG953</f>
        <v/>
      </c>
      <c r="Q950" s="861" t="str">
        <f>'Lighting Inventory (Ref only)'!AF953</f>
        <v/>
      </c>
      <c r="R950" s="856" t="str">
        <f t="shared" si="29"/>
        <v/>
      </c>
      <c r="S950" s="856" t="str">
        <f>IFERROR(ROUND(R950*'Project Info and Summary'!$J$5/'Project Info and Summary'!$L$5,2),"")</f>
        <v/>
      </c>
    </row>
    <row r="951" spans="1:19" ht="30" customHeight="1">
      <c r="A951" s="948"/>
      <c r="B951" s="496">
        <f t="shared" si="28"/>
        <v>942</v>
      </c>
      <c r="C951" s="864"/>
      <c r="D951" s="505"/>
      <c r="E951" s="866"/>
      <c r="F951" s="498"/>
      <c r="G951" s="499"/>
      <c r="H951" s="492"/>
      <c r="I951" s="855">
        <f>IFERROR(IFERROR(INDEX('Fixture and LED Schedule'!D:D,MATCH(F951,'Fixture and LED Schedule'!C:C,""),1),F951),"")</f>
        <v>0</v>
      </c>
      <c r="J951" s="855" t="str">
        <f>IFERROR(IF(PRJ_Type="New Construction",H951,INDEX(yControl_Code,MATCH(Inventory!H951,yControlTypes,0),1)),"")</f>
        <v/>
      </c>
      <c r="K951" s="493"/>
      <c r="L951" s="501"/>
      <c r="M951" s="502"/>
      <c r="N951" s="855">
        <f>IFERROR(IFERROR(INDEX('Fixture and LED Schedule'!D:D,MATCH(K951,'Fixture and LED Schedule'!C:C,0),1),K951),"")</f>
        <v>0</v>
      </c>
      <c r="O951" s="858" t="str">
        <f>IFERROR(INDEX(yControl_Code,MATCH(Inventory!M951,yControlTypes,0),1),"")</f>
        <v/>
      </c>
      <c r="P951" s="860" t="str">
        <f>'Lighting Inventory (Ref only)'!AG954</f>
        <v/>
      </c>
      <c r="Q951" s="861" t="str">
        <f>'Lighting Inventory (Ref only)'!AF954</f>
        <v/>
      </c>
      <c r="R951" s="856" t="str">
        <f t="shared" si="29"/>
        <v/>
      </c>
      <c r="S951" s="856" t="str">
        <f>IFERROR(ROUND(R951*'Project Info and Summary'!$J$5/'Project Info and Summary'!$L$5,2),"")</f>
        <v/>
      </c>
    </row>
    <row r="952" spans="1:19" ht="30" customHeight="1">
      <c r="A952" s="948"/>
      <c r="B952" s="496">
        <f t="shared" si="28"/>
        <v>943</v>
      </c>
      <c r="C952" s="864"/>
      <c r="D952" s="505"/>
      <c r="E952" s="866"/>
      <c r="F952" s="498"/>
      <c r="G952" s="499"/>
      <c r="H952" s="492"/>
      <c r="I952" s="855">
        <f>IFERROR(IFERROR(INDEX('Fixture and LED Schedule'!D:D,MATCH(F952,'Fixture and LED Schedule'!C:C,""),1),F952),"")</f>
        <v>0</v>
      </c>
      <c r="J952" s="855" t="str">
        <f>IFERROR(IF(PRJ_Type="New Construction",H952,INDEX(yControl_Code,MATCH(Inventory!H952,yControlTypes,0),1)),"")</f>
        <v/>
      </c>
      <c r="K952" s="493"/>
      <c r="L952" s="501"/>
      <c r="M952" s="502"/>
      <c r="N952" s="855">
        <f>IFERROR(IFERROR(INDEX('Fixture and LED Schedule'!D:D,MATCH(K952,'Fixture and LED Schedule'!C:C,0),1),K952),"")</f>
        <v>0</v>
      </c>
      <c r="O952" s="858" t="str">
        <f>IFERROR(INDEX(yControl_Code,MATCH(Inventory!M952,yControlTypes,0),1),"")</f>
        <v/>
      </c>
      <c r="P952" s="860" t="str">
        <f>'Lighting Inventory (Ref only)'!AG955</f>
        <v/>
      </c>
      <c r="Q952" s="861" t="str">
        <f>'Lighting Inventory (Ref only)'!AF955</f>
        <v/>
      </c>
      <c r="R952" s="856" t="str">
        <f t="shared" si="29"/>
        <v/>
      </c>
      <c r="S952" s="856" t="str">
        <f>IFERROR(ROUND(R952*'Project Info and Summary'!$J$5/'Project Info and Summary'!$L$5,2),"")</f>
        <v/>
      </c>
    </row>
    <row r="953" spans="1:19" ht="30" customHeight="1">
      <c r="A953" s="948"/>
      <c r="B953" s="496">
        <f t="shared" si="28"/>
        <v>944</v>
      </c>
      <c r="C953" s="864"/>
      <c r="D953" s="505"/>
      <c r="E953" s="866"/>
      <c r="F953" s="498"/>
      <c r="G953" s="499"/>
      <c r="H953" s="492"/>
      <c r="I953" s="855">
        <f>IFERROR(IFERROR(INDEX('Fixture and LED Schedule'!D:D,MATCH(F953,'Fixture and LED Schedule'!C:C,""),1),F953),"")</f>
        <v>0</v>
      </c>
      <c r="J953" s="855" t="str">
        <f>IFERROR(IF(PRJ_Type="New Construction",H953,INDEX(yControl_Code,MATCH(Inventory!H953,yControlTypes,0),1)),"")</f>
        <v/>
      </c>
      <c r="K953" s="493"/>
      <c r="L953" s="501"/>
      <c r="M953" s="502"/>
      <c r="N953" s="855">
        <f>IFERROR(IFERROR(INDEX('Fixture and LED Schedule'!D:D,MATCH(K953,'Fixture and LED Schedule'!C:C,0),1),K953),"")</f>
        <v>0</v>
      </c>
      <c r="O953" s="858" t="str">
        <f>IFERROR(INDEX(yControl_Code,MATCH(Inventory!M953,yControlTypes,0),1),"")</f>
        <v/>
      </c>
      <c r="P953" s="860" t="str">
        <f>'Lighting Inventory (Ref only)'!AG956</f>
        <v/>
      </c>
      <c r="Q953" s="861" t="str">
        <f>'Lighting Inventory (Ref only)'!AF956</f>
        <v/>
      </c>
      <c r="R953" s="856" t="str">
        <f t="shared" si="29"/>
        <v/>
      </c>
      <c r="S953" s="856" t="str">
        <f>IFERROR(ROUND(R953*'Project Info and Summary'!$J$5/'Project Info and Summary'!$L$5,2),"")</f>
        <v/>
      </c>
    </row>
    <row r="954" spans="1:19" ht="30" customHeight="1">
      <c r="A954" s="948"/>
      <c r="B954" s="496">
        <f t="shared" si="28"/>
        <v>945</v>
      </c>
      <c r="C954" s="864"/>
      <c r="D954" s="505"/>
      <c r="E954" s="866"/>
      <c r="F954" s="498"/>
      <c r="G954" s="499"/>
      <c r="H954" s="492"/>
      <c r="I954" s="855">
        <f>IFERROR(IFERROR(INDEX('Fixture and LED Schedule'!D:D,MATCH(F954,'Fixture and LED Schedule'!C:C,""),1),F954),"")</f>
        <v>0</v>
      </c>
      <c r="J954" s="855" t="str">
        <f>IFERROR(IF(PRJ_Type="New Construction",H954,INDEX(yControl_Code,MATCH(Inventory!H954,yControlTypes,0),1)),"")</f>
        <v/>
      </c>
      <c r="K954" s="493"/>
      <c r="L954" s="501"/>
      <c r="M954" s="502"/>
      <c r="N954" s="855">
        <f>IFERROR(IFERROR(INDEX('Fixture and LED Schedule'!D:D,MATCH(K954,'Fixture and LED Schedule'!C:C,0),1),K954),"")</f>
        <v>0</v>
      </c>
      <c r="O954" s="858" t="str">
        <f>IFERROR(INDEX(yControl_Code,MATCH(Inventory!M954,yControlTypes,0),1),"")</f>
        <v/>
      </c>
      <c r="P954" s="860" t="str">
        <f>'Lighting Inventory (Ref only)'!AG957</f>
        <v/>
      </c>
      <c r="Q954" s="861" t="str">
        <f>'Lighting Inventory (Ref only)'!AF957</f>
        <v/>
      </c>
      <c r="R954" s="856" t="str">
        <f t="shared" si="29"/>
        <v/>
      </c>
      <c r="S954" s="856" t="str">
        <f>IFERROR(ROUND(R954*'Project Info and Summary'!$J$5/'Project Info and Summary'!$L$5,2),"")</f>
        <v/>
      </c>
    </row>
    <row r="955" spans="1:19" ht="30" customHeight="1">
      <c r="A955" s="948"/>
      <c r="B955" s="496">
        <f t="shared" si="28"/>
        <v>946</v>
      </c>
      <c r="C955" s="864"/>
      <c r="D955" s="505"/>
      <c r="E955" s="866"/>
      <c r="F955" s="498"/>
      <c r="G955" s="499"/>
      <c r="H955" s="492"/>
      <c r="I955" s="855">
        <f>IFERROR(IFERROR(INDEX('Fixture and LED Schedule'!D:D,MATCH(F955,'Fixture and LED Schedule'!C:C,""),1),F955),"")</f>
        <v>0</v>
      </c>
      <c r="J955" s="855" t="str">
        <f>IFERROR(IF(PRJ_Type="New Construction",H955,INDEX(yControl_Code,MATCH(Inventory!H955,yControlTypes,0),1)),"")</f>
        <v/>
      </c>
      <c r="K955" s="493"/>
      <c r="L955" s="501"/>
      <c r="M955" s="502"/>
      <c r="N955" s="855">
        <f>IFERROR(IFERROR(INDEX('Fixture and LED Schedule'!D:D,MATCH(K955,'Fixture and LED Schedule'!C:C,0),1),K955),"")</f>
        <v>0</v>
      </c>
      <c r="O955" s="858" t="str">
        <f>IFERROR(INDEX(yControl_Code,MATCH(Inventory!M955,yControlTypes,0),1),"")</f>
        <v/>
      </c>
      <c r="P955" s="860" t="str">
        <f>'Lighting Inventory (Ref only)'!AG958</f>
        <v/>
      </c>
      <c r="Q955" s="861" t="str">
        <f>'Lighting Inventory (Ref only)'!AF958</f>
        <v/>
      </c>
      <c r="R955" s="856" t="str">
        <f t="shared" si="29"/>
        <v/>
      </c>
      <c r="S955" s="856" t="str">
        <f>IFERROR(ROUND(R955*'Project Info and Summary'!$J$5/'Project Info and Summary'!$L$5,2),"")</f>
        <v/>
      </c>
    </row>
    <row r="956" spans="1:19" ht="30" customHeight="1">
      <c r="A956" s="948"/>
      <c r="B956" s="496">
        <f t="shared" si="28"/>
        <v>947</v>
      </c>
      <c r="C956" s="864"/>
      <c r="D956" s="505"/>
      <c r="E956" s="866"/>
      <c r="F956" s="498"/>
      <c r="G956" s="499"/>
      <c r="H956" s="492"/>
      <c r="I956" s="855">
        <f>IFERROR(IFERROR(INDEX('Fixture and LED Schedule'!D:D,MATCH(F956,'Fixture and LED Schedule'!C:C,""),1),F956),"")</f>
        <v>0</v>
      </c>
      <c r="J956" s="855" t="str">
        <f>IFERROR(IF(PRJ_Type="New Construction",H956,INDEX(yControl_Code,MATCH(Inventory!H956,yControlTypes,0),1)),"")</f>
        <v/>
      </c>
      <c r="K956" s="493"/>
      <c r="L956" s="501"/>
      <c r="M956" s="502"/>
      <c r="N956" s="855">
        <f>IFERROR(IFERROR(INDEX('Fixture and LED Schedule'!D:D,MATCH(K956,'Fixture and LED Schedule'!C:C,0),1),K956),"")</f>
        <v>0</v>
      </c>
      <c r="O956" s="858" t="str">
        <f>IFERROR(INDEX(yControl_Code,MATCH(Inventory!M956,yControlTypes,0),1),"")</f>
        <v/>
      </c>
      <c r="P956" s="860" t="str">
        <f>'Lighting Inventory (Ref only)'!AG959</f>
        <v/>
      </c>
      <c r="Q956" s="861" t="str">
        <f>'Lighting Inventory (Ref only)'!AF959</f>
        <v/>
      </c>
      <c r="R956" s="856" t="str">
        <f t="shared" si="29"/>
        <v/>
      </c>
      <c r="S956" s="856" t="str">
        <f>IFERROR(ROUND(R956*'Project Info and Summary'!$J$5/'Project Info and Summary'!$L$5,2),"")</f>
        <v/>
      </c>
    </row>
    <row r="957" spans="1:19" ht="30" customHeight="1">
      <c r="A957" s="948"/>
      <c r="B957" s="496">
        <f t="shared" ref="B957:B1009" si="30">B956+1</f>
        <v>948</v>
      </c>
      <c r="C957" s="864"/>
      <c r="D957" s="505"/>
      <c r="E957" s="866"/>
      <c r="F957" s="498"/>
      <c r="G957" s="499"/>
      <c r="H957" s="492"/>
      <c r="I957" s="855">
        <f>IFERROR(IFERROR(INDEX('Fixture and LED Schedule'!D:D,MATCH(F957,'Fixture and LED Schedule'!C:C,""),1),F957),"")</f>
        <v>0</v>
      </c>
      <c r="J957" s="855" t="str">
        <f>IFERROR(IF(PRJ_Type="New Construction",H957,INDEX(yControl_Code,MATCH(Inventory!H957,yControlTypes,0),1)),"")</f>
        <v/>
      </c>
      <c r="K957" s="493"/>
      <c r="L957" s="501"/>
      <c r="M957" s="502"/>
      <c r="N957" s="855">
        <f>IFERROR(IFERROR(INDEX('Fixture and LED Schedule'!D:D,MATCH(K957,'Fixture and LED Schedule'!C:C,0),1),K957),"")</f>
        <v>0</v>
      </c>
      <c r="O957" s="858" t="str">
        <f>IFERROR(INDEX(yControl_Code,MATCH(Inventory!M957,yControlTypes,0),1),"")</f>
        <v/>
      </c>
      <c r="P957" s="860" t="str">
        <f>'Lighting Inventory (Ref only)'!AG960</f>
        <v/>
      </c>
      <c r="Q957" s="861" t="str">
        <f>'Lighting Inventory (Ref only)'!AF960</f>
        <v/>
      </c>
      <c r="R957" s="856" t="str">
        <f t="shared" si="29"/>
        <v/>
      </c>
      <c r="S957" s="856" t="str">
        <f>IFERROR(ROUND(R957*'Project Info and Summary'!$J$5/'Project Info and Summary'!$L$5,2),"")</f>
        <v/>
      </c>
    </row>
    <row r="958" spans="1:19" ht="30" customHeight="1">
      <c r="A958" s="948"/>
      <c r="B958" s="496">
        <f t="shared" si="30"/>
        <v>949</v>
      </c>
      <c r="C958" s="864"/>
      <c r="D958" s="505"/>
      <c r="E958" s="866"/>
      <c r="F958" s="498"/>
      <c r="G958" s="499"/>
      <c r="H958" s="492"/>
      <c r="I958" s="855">
        <f>IFERROR(IFERROR(INDEX('Fixture and LED Schedule'!D:D,MATCH(F958,'Fixture and LED Schedule'!C:C,""),1),F958),"")</f>
        <v>0</v>
      </c>
      <c r="J958" s="855" t="str">
        <f>IFERROR(IF(PRJ_Type="New Construction",H958,INDEX(yControl_Code,MATCH(Inventory!H958,yControlTypes,0),1)),"")</f>
        <v/>
      </c>
      <c r="K958" s="493"/>
      <c r="L958" s="501"/>
      <c r="M958" s="502"/>
      <c r="N958" s="855">
        <f>IFERROR(IFERROR(INDEX('Fixture and LED Schedule'!D:D,MATCH(K958,'Fixture and LED Schedule'!C:C,0),1),K958),"")</f>
        <v>0</v>
      </c>
      <c r="O958" s="858" t="str">
        <f>IFERROR(INDEX(yControl_Code,MATCH(Inventory!M958,yControlTypes,0),1),"")</f>
        <v/>
      </c>
      <c r="P958" s="860" t="str">
        <f>'Lighting Inventory (Ref only)'!AG961</f>
        <v/>
      </c>
      <c r="Q958" s="861" t="str">
        <f>'Lighting Inventory (Ref only)'!AF961</f>
        <v/>
      </c>
      <c r="R958" s="856" t="str">
        <f t="shared" si="29"/>
        <v/>
      </c>
      <c r="S958" s="856" t="str">
        <f>IFERROR(ROUND(R958*'Project Info and Summary'!$J$5/'Project Info and Summary'!$L$5,2),"")</f>
        <v/>
      </c>
    </row>
    <row r="959" spans="1:19" ht="30" customHeight="1">
      <c r="A959" s="948"/>
      <c r="B959" s="496">
        <f t="shared" si="30"/>
        <v>950</v>
      </c>
      <c r="C959" s="864"/>
      <c r="D959" s="505"/>
      <c r="E959" s="866"/>
      <c r="F959" s="498"/>
      <c r="G959" s="499"/>
      <c r="H959" s="492"/>
      <c r="I959" s="855">
        <f>IFERROR(IFERROR(INDEX('Fixture and LED Schedule'!D:D,MATCH(F959,'Fixture and LED Schedule'!C:C,""),1),F959),"")</f>
        <v>0</v>
      </c>
      <c r="J959" s="855" t="str">
        <f>IFERROR(IF(PRJ_Type="New Construction",H959,INDEX(yControl_Code,MATCH(Inventory!H959,yControlTypes,0),1)),"")</f>
        <v/>
      </c>
      <c r="K959" s="493"/>
      <c r="L959" s="501"/>
      <c r="M959" s="502"/>
      <c r="N959" s="855">
        <f>IFERROR(IFERROR(INDEX('Fixture and LED Schedule'!D:D,MATCH(K959,'Fixture and LED Schedule'!C:C,0),1),K959),"")</f>
        <v>0</v>
      </c>
      <c r="O959" s="858" t="str">
        <f>IFERROR(INDEX(yControl_Code,MATCH(Inventory!M959,yControlTypes,0),1),"")</f>
        <v/>
      </c>
      <c r="P959" s="860" t="str">
        <f>'Lighting Inventory (Ref only)'!AG962</f>
        <v/>
      </c>
      <c r="Q959" s="861" t="str">
        <f>'Lighting Inventory (Ref only)'!AF962</f>
        <v/>
      </c>
      <c r="R959" s="856" t="str">
        <f t="shared" si="29"/>
        <v/>
      </c>
      <c r="S959" s="856" t="str">
        <f>IFERROR(ROUND(R959*'Project Info and Summary'!$J$5/'Project Info and Summary'!$L$5,2),"")</f>
        <v/>
      </c>
    </row>
    <row r="960" spans="1:19" ht="30" customHeight="1">
      <c r="A960" s="948"/>
      <c r="B960" s="496">
        <f t="shared" si="30"/>
        <v>951</v>
      </c>
      <c r="C960" s="864"/>
      <c r="D960" s="505"/>
      <c r="E960" s="866"/>
      <c r="F960" s="498"/>
      <c r="G960" s="499"/>
      <c r="H960" s="492"/>
      <c r="I960" s="855">
        <f>IFERROR(IFERROR(INDEX('Fixture and LED Schedule'!D:D,MATCH(F960,'Fixture and LED Schedule'!C:C,""),1),F960),"")</f>
        <v>0</v>
      </c>
      <c r="J960" s="855" t="str">
        <f>IFERROR(IF(PRJ_Type="New Construction",H960,INDEX(yControl_Code,MATCH(Inventory!H960,yControlTypes,0),1)),"")</f>
        <v/>
      </c>
      <c r="K960" s="493"/>
      <c r="L960" s="501"/>
      <c r="M960" s="502"/>
      <c r="N960" s="855">
        <f>IFERROR(IFERROR(INDEX('Fixture and LED Schedule'!D:D,MATCH(K960,'Fixture and LED Schedule'!C:C,0),1),K960),"")</f>
        <v>0</v>
      </c>
      <c r="O960" s="858" t="str">
        <f>IFERROR(INDEX(yControl_Code,MATCH(Inventory!M960,yControlTypes,0),1),"")</f>
        <v/>
      </c>
      <c r="P960" s="860" t="str">
        <f>'Lighting Inventory (Ref only)'!AG963</f>
        <v/>
      </c>
      <c r="Q960" s="861" t="str">
        <f>'Lighting Inventory (Ref only)'!AF963</f>
        <v/>
      </c>
      <c r="R960" s="856" t="str">
        <f t="shared" si="29"/>
        <v/>
      </c>
      <c r="S960" s="856" t="str">
        <f>IFERROR(ROUND(R960*'Project Info and Summary'!$J$5/'Project Info and Summary'!$L$5,2),"")</f>
        <v/>
      </c>
    </row>
    <row r="961" spans="1:19" ht="30" customHeight="1">
      <c r="A961" s="948"/>
      <c r="B961" s="496">
        <f t="shared" si="30"/>
        <v>952</v>
      </c>
      <c r="C961" s="864"/>
      <c r="D961" s="505"/>
      <c r="E961" s="866"/>
      <c r="F961" s="498"/>
      <c r="G961" s="499"/>
      <c r="H961" s="492"/>
      <c r="I961" s="855">
        <f>IFERROR(IFERROR(INDEX('Fixture and LED Schedule'!D:D,MATCH(F961,'Fixture and LED Schedule'!C:C,""),1),F961),"")</f>
        <v>0</v>
      </c>
      <c r="J961" s="855" t="str">
        <f>IFERROR(IF(PRJ_Type="New Construction",H961,INDEX(yControl_Code,MATCH(Inventory!H961,yControlTypes,0),1)),"")</f>
        <v/>
      </c>
      <c r="K961" s="493"/>
      <c r="L961" s="501"/>
      <c r="M961" s="502"/>
      <c r="N961" s="855">
        <f>IFERROR(IFERROR(INDEX('Fixture and LED Schedule'!D:D,MATCH(K961,'Fixture and LED Schedule'!C:C,0),1),K961),"")</f>
        <v>0</v>
      </c>
      <c r="O961" s="858" t="str">
        <f>IFERROR(INDEX(yControl_Code,MATCH(Inventory!M961,yControlTypes,0),1),"")</f>
        <v/>
      </c>
      <c r="P961" s="860" t="str">
        <f>'Lighting Inventory (Ref only)'!AG964</f>
        <v/>
      </c>
      <c r="Q961" s="861" t="str">
        <f>'Lighting Inventory (Ref only)'!AF964</f>
        <v/>
      </c>
      <c r="R961" s="856" t="str">
        <f t="shared" si="29"/>
        <v/>
      </c>
      <c r="S961" s="856" t="str">
        <f>IFERROR(ROUND(R961*'Project Info and Summary'!$J$5/'Project Info and Summary'!$L$5,2),"")</f>
        <v/>
      </c>
    </row>
    <row r="962" spans="1:19" ht="30" customHeight="1">
      <c r="A962" s="948"/>
      <c r="B962" s="496">
        <f t="shared" si="30"/>
        <v>953</v>
      </c>
      <c r="C962" s="864"/>
      <c r="D962" s="505"/>
      <c r="E962" s="866"/>
      <c r="F962" s="498"/>
      <c r="G962" s="499"/>
      <c r="H962" s="492"/>
      <c r="I962" s="855">
        <f>IFERROR(IFERROR(INDEX('Fixture and LED Schedule'!D:D,MATCH(F962,'Fixture and LED Schedule'!C:C,""),1),F962),"")</f>
        <v>0</v>
      </c>
      <c r="J962" s="855" t="str">
        <f>IFERROR(IF(PRJ_Type="New Construction",H962,INDEX(yControl_Code,MATCH(Inventory!H962,yControlTypes,0),1)),"")</f>
        <v/>
      </c>
      <c r="K962" s="493"/>
      <c r="L962" s="501"/>
      <c r="M962" s="502"/>
      <c r="N962" s="855">
        <f>IFERROR(IFERROR(INDEX('Fixture and LED Schedule'!D:D,MATCH(K962,'Fixture and LED Schedule'!C:C,0),1),K962),"")</f>
        <v>0</v>
      </c>
      <c r="O962" s="858" t="str">
        <f>IFERROR(INDEX(yControl_Code,MATCH(Inventory!M962,yControlTypes,0),1),"")</f>
        <v/>
      </c>
      <c r="P962" s="860" t="str">
        <f>'Lighting Inventory (Ref only)'!AG965</f>
        <v/>
      </c>
      <c r="Q962" s="861" t="str">
        <f>'Lighting Inventory (Ref only)'!AF965</f>
        <v/>
      </c>
      <c r="R962" s="856" t="str">
        <f t="shared" si="29"/>
        <v/>
      </c>
      <c r="S962" s="856" t="str">
        <f>IFERROR(ROUND(R962*'Project Info and Summary'!$J$5/'Project Info and Summary'!$L$5,2),"")</f>
        <v/>
      </c>
    </row>
    <row r="963" spans="1:19" ht="30" customHeight="1">
      <c r="A963" s="948"/>
      <c r="B963" s="496">
        <f t="shared" si="30"/>
        <v>954</v>
      </c>
      <c r="C963" s="864"/>
      <c r="D963" s="505"/>
      <c r="E963" s="866"/>
      <c r="F963" s="498"/>
      <c r="G963" s="499"/>
      <c r="H963" s="492"/>
      <c r="I963" s="855">
        <f>IFERROR(IFERROR(INDEX('Fixture and LED Schedule'!D:D,MATCH(F963,'Fixture and LED Schedule'!C:C,""),1),F963),"")</f>
        <v>0</v>
      </c>
      <c r="J963" s="855" t="str">
        <f>IFERROR(IF(PRJ_Type="New Construction",H963,INDEX(yControl_Code,MATCH(Inventory!H963,yControlTypes,0),1)),"")</f>
        <v/>
      </c>
      <c r="K963" s="493"/>
      <c r="L963" s="501"/>
      <c r="M963" s="502"/>
      <c r="N963" s="855">
        <f>IFERROR(IFERROR(INDEX('Fixture and LED Schedule'!D:D,MATCH(K963,'Fixture and LED Schedule'!C:C,0),1),K963),"")</f>
        <v>0</v>
      </c>
      <c r="O963" s="858" t="str">
        <f>IFERROR(INDEX(yControl_Code,MATCH(Inventory!M963,yControlTypes,0),1),"")</f>
        <v/>
      </c>
      <c r="P963" s="860" t="str">
        <f>'Lighting Inventory (Ref only)'!AG966</f>
        <v/>
      </c>
      <c r="Q963" s="861" t="str">
        <f>'Lighting Inventory (Ref only)'!AF966</f>
        <v/>
      </c>
      <c r="R963" s="856" t="str">
        <f t="shared" si="29"/>
        <v/>
      </c>
      <c r="S963" s="856" t="str">
        <f>IFERROR(ROUND(R963*'Project Info and Summary'!$J$5/'Project Info and Summary'!$L$5,2),"")</f>
        <v/>
      </c>
    </row>
    <row r="964" spans="1:19" ht="30" customHeight="1">
      <c r="A964" s="948"/>
      <c r="B964" s="496">
        <f t="shared" si="30"/>
        <v>955</v>
      </c>
      <c r="C964" s="864"/>
      <c r="D964" s="505"/>
      <c r="E964" s="866"/>
      <c r="F964" s="498"/>
      <c r="G964" s="499"/>
      <c r="H964" s="492"/>
      <c r="I964" s="855">
        <f>IFERROR(IFERROR(INDEX('Fixture and LED Schedule'!D:D,MATCH(F964,'Fixture and LED Schedule'!C:C,""),1),F964),"")</f>
        <v>0</v>
      </c>
      <c r="J964" s="855" t="str">
        <f>IFERROR(IF(PRJ_Type="New Construction",H964,INDEX(yControl_Code,MATCH(Inventory!H964,yControlTypes,0),1)),"")</f>
        <v/>
      </c>
      <c r="K964" s="493"/>
      <c r="L964" s="501"/>
      <c r="M964" s="502"/>
      <c r="N964" s="855">
        <f>IFERROR(IFERROR(INDEX('Fixture and LED Schedule'!D:D,MATCH(K964,'Fixture and LED Schedule'!C:C,0),1),K964),"")</f>
        <v>0</v>
      </c>
      <c r="O964" s="858" t="str">
        <f>IFERROR(INDEX(yControl_Code,MATCH(Inventory!M964,yControlTypes,0),1),"")</f>
        <v/>
      </c>
      <c r="P964" s="860" t="str">
        <f>'Lighting Inventory (Ref only)'!AG967</f>
        <v/>
      </c>
      <c r="Q964" s="861" t="str">
        <f>'Lighting Inventory (Ref only)'!AF967</f>
        <v/>
      </c>
      <c r="R964" s="856" t="str">
        <f t="shared" si="29"/>
        <v/>
      </c>
      <c r="S964" s="856" t="str">
        <f>IFERROR(ROUND(R964*'Project Info and Summary'!$J$5/'Project Info and Summary'!$L$5,2),"")</f>
        <v/>
      </c>
    </row>
    <row r="965" spans="1:19" ht="30" customHeight="1">
      <c r="A965" s="948"/>
      <c r="B965" s="496">
        <f t="shared" si="30"/>
        <v>956</v>
      </c>
      <c r="C965" s="864"/>
      <c r="D965" s="505"/>
      <c r="E965" s="866"/>
      <c r="F965" s="498"/>
      <c r="G965" s="499"/>
      <c r="H965" s="492"/>
      <c r="I965" s="855">
        <f>IFERROR(IFERROR(INDEX('Fixture and LED Schedule'!D:D,MATCH(F965,'Fixture and LED Schedule'!C:C,""),1),F965),"")</f>
        <v>0</v>
      </c>
      <c r="J965" s="855" t="str">
        <f>IFERROR(IF(PRJ_Type="New Construction",H965,INDEX(yControl_Code,MATCH(Inventory!H965,yControlTypes,0),1)),"")</f>
        <v/>
      </c>
      <c r="K965" s="493"/>
      <c r="L965" s="501"/>
      <c r="M965" s="502"/>
      <c r="N965" s="855">
        <f>IFERROR(IFERROR(INDEX('Fixture and LED Schedule'!D:D,MATCH(K965,'Fixture and LED Schedule'!C:C,0),1),K965),"")</f>
        <v>0</v>
      </c>
      <c r="O965" s="858" t="str">
        <f>IFERROR(INDEX(yControl_Code,MATCH(Inventory!M965,yControlTypes,0),1),"")</f>
        <v/>
      </c>
      <c r="P965" s="860" t="str">
        <f>'Lighting Inventory (Ref only)'!AG968</f>
        <v/>
      </c>
      <c r="Q965" s="861" t="str">
        <f>'Lighting Inventory (Ref only)'!AF968</f>
        <v/>
      </c>
      <c r="R965" s="856" t="str">
        <f t="shared" si="29"/>
        <v/>
      </c>
      <c r="S965" s="856" t="str">
        <f>IFERROR(ROUND(R965*'Project Info and Summary'!$J$5/'Project Info and Summary'!$L$5,2),"")</f>
        <v/>
      </c>
    </row>
    <row r="966" spans="1:19" ht="30" customHeight="1">
      <c r="A966" s="948"/>
      <c r="B966" s="496">
        <f t="shared" si="30"/>
        <v>957</v>
      </c>
      <c r="C966" s="864"/>
      <c r="D966" s="505"/>
      <c r="E966" s="866"/>
      <c r="F966" s="498"/>
      <c r="G966" s="499"/>
      <c r="H966" s="492"/>
      <c r="I966" s="855">
        <f>IFERROR(IFERROR(INDEX('Fixture and LED Schedule'!D:D,MATCH(F966,'Fixture and LED Schedule'!C:C,""),1),F966),"")</f>
        <v>0</v>
      </c>
      <c r="J966" s="855" t="str">
        <f>IFERROR(IF(PRJ_Type="New Construction",H966,INDEX(yControl_Code,MATCH(Inventory!H966,yControlTypes,0),1)),"")</f>
        <v/>
      </c>
      <c r="K966" s="493"/>
      <c r="L966" s="501"/>
      <c r="M966" s="502"/>
      <c r="N966" s="855">
        <f>IFERROR(IFERROR(INDEX('Fixture and LED Schedule'!D:D,MATCH(K966,'Fixture and LED Schedule'!C:C,0),1),K966),"")</f>
        <v>0</v>
      </c>
      <c r="O966" s="858" t="str">
        <f>IFERROR(INDEX(yControl_Code,MATCH(Inventory!M966,yControlTypes,0),1),"")</f>
        <v/>
      </c>
      <c r="P966" s="860" t="str">
        <f>'Lighting Inventory (Ref only)'!AG969</f>
        <v/>
      </c>
      <c r="Q966" s="861" t="str">
        <f>'Lighting Inventory (Ref only)'!AF969</f>
        <v/>
      </c>
      <c r="R966" s="856" t="str">
        <f t="shared" si="29"/>
        <v/>
      </c>
      <c r="S966" s="856" t="str">
        <f>IFERROR(ROUND(R966*'Project Info and Summary'!$J$5/'Project Info and Summary'!$L$5,2),"")</f>
        <v/>
      </c>
    </row>
    <row r="967" spans="1:19" ht="30" customHeight="1">
      <c r="A967" s="948"/>
      <c r="B967" s="496">
        <f t="shared" si="30"/>
        <v>958</v>
      </c>
      <c r="C967" s="864"/>
      <c r="D967" s="505"/>
      <c r="E967" s="866"/>
      <c r="F967" s="498"/>
      <c r="G967" s="499"/>
      <c r="H967" s="492"/>
      <c r="I967" s="855">
        <f>IFERROR(IFERROR(INDEX('Fixture and LED Schedule'!D:D,MATCH(F967,'Fixture and LED Schedule'!C:C,""),1),F967),"")</f>
        <v>0</v>
      </c>
      <c r="J967" s="855" t="str">
        <f>IFERROR(IF(PRJ_Type="New Construction",H967,INDEX(yControl_Code,MATCH(Inventory!H967,yControlTypes,0),1)),"")</f>
        <v/>
      </c>
      <c r="K967" s="493"/>
      <c r="L967" s="501"/>
      <c r="M967" s="502"/>
      <c r="N967" s="855">
        <f>IFERROR(IFERROR(INDEX('Fixture and LED Schedule'!D:D,MATCH(K967,'Fixture and LED Schedule'!C:C,0),1),K967),"")</f>
        <v>0</v>
      </c>
      <c r="O967" s="858" t="str">
        <f>IFERROR(INDEX(yControl_Code,MATCH(Inventory!M967,yControlTypes,0),1),"")</f>
        <v/>
      </c>
      <c r="P967" s="860" t="str">
        <f>'Lighting Inventory (Ref only)'!AG970</f>
        <v/>
      </c>
      <c r="Q967" s="861" t="str">
        <f>'Lighting Inventory (Ref only)'!AF970</f>
        <v/>
      </c>
      <c r="R967" s="856" t="str">
        <f t="shared" si="29"/>
        <v/>
      </c>
      <c r="S967" s="856" t="str">
        <f>IFERROR(ROUND(R967*'Project Info and Summary'!$J$5/'Project Info and Summary'!$L$5,2),"")</f>
        <v/>
      </c>
    </row>
    <row r="968" spans="1:19" ht="30" customHeight="1">
      <c r="A968" s="948"/>
      <c r="B968" s="496">
        <f t="shared" si="30"/>
        <v>959</v>
      </c>
      <c r="C968" s="864"/>
      <c r="D968" s="505"/>
      <c r="E968" s="866"/>
      <c r="F968" s="498"/>
      <c r="G968" s="499"/>
      <c r="H968" s="492"/>
      <c r="I968" s="855">
        <f>IFERROR(IFERROR(INDEX('Fixture and LED Schedule'!D:D,MATCH(F968,'Fixture and LED Schedule'!C:C,""),1),F968),"")</f>
        <v>0</v>
      </c>
      <c r="J968" s="855" t="str">
        <f>IFERROR(IF(PRJ_Type="New Construction",H968,INDEX(yControl_Code,MATCH(Inventory!H968,yControlTypes,0),1)),"")</f>
        <v/>
      </c>
      <c r="K968" s="493"/>
      <c r="L968" s="501"/>
      <c r="M968" s="502"/>
      <c r="N968" s="855">
        <f>IFERROR(IFERROR(INDEX('Fixture and LED Schedule'!D:D,MATCH(K968,'Fixture and LED Schedule'!C:C,0),1),K968),"")</f>
        <v>0</v>
      </c>
      <c r="O968" s="858" t="str">
        <f>IFERROR(INDEX(yControl_Code,MATCH(Inventory!M968,yControlTypes,0),1),"")</f>
        <v/>
      </c>
      <c r="P968" s="860" t="str">
        <f>'Lighting Inventory (Ref only)'!AG971</f>
        <v/>
      </c>
      <c r="Q968" s="861" t="str">
        <f>'Lighting Inventory (Ref only)'!AF971</f>
        <v/>
      </c>
      <c r="R968" s="856" t="str">
        <f t="shared" si="29"/>
        <v/>
      </c>
      <c r="S968" s="856" t="str">
        <f>IFERROR(ROUND(R968*'Project Info and Summary'!$J$5/'Project Info and Summary'!$L$5,2),"")</f>
        <v/>
      </c>
    </row>
    <row r="969" spans="1:19" ht="30" customHeight="1">
      <c r="A969" s="948"/>
      <c r="B969" s="496">
        <f t="shared" si="30"/>
        <v>960</v>
      </c>
      <c r="C969" s="864"/>
      <c r="D969" s="505"/>
      <c r="E969" s="866"/>
      <c r="F969" s="498"/>
      <c r="G969" s="499"/>
      <c r="H969" s="492"/>
      <c r="I969" s="855">
        <f>IFERROR(IFERROR(INDEX('Fixture and LED Schedule'!D:D,MATCH(F969,'Fixture and LED Schedule'!C:C,""),1),F969),"")</f>
        <v>0</v>
      </c>
      <c r="J969" s="855" t="str">
        <f>IFERROR(IF(PRJ_Type="New Construction",H969,INDEX(yControl_Code,MATCH(Inventory!H969,yControlTypes,0),1)),"")</f>
        <v/>
      </c>
      <c r="K969" s="493"/>
      <c r="L969" s="501"/>
      <c r="M969" s="502"/>
      <c r="N969" s="855">
        <f>IFERROR(IFERROR(INDEX('Fixture and LED Schedule'!D:D,MATCH(K969,'Fixture and LED Schedule'!C:C,0),1),K969),"")</f>
        <v>0</v>
      </c>
      <c r="O969" s="858" t="str">
        <f>IFERROR(INDEX(yControl_Code,MATCH(Inventory!M969,yControlTypes,0),1),"")</f>
        <v/>
      </c>
      <c r="P969" s="860" t="str">
        <f>'Lighting Inventory (Ref only)'!AG972</f>
        <v/>
      </c>
      <c r="Q969" s="861" t="str">
        <f>'Lighting Inventory (Ref only)'!AF972</f>
        <v/>
      </c>
      <c r="R969" s="856" t="str">
        <f t="shared" si="29"/>
        <v/>
      </c>
      <c r="S969" s="856" t="str">
        <f>IFERROR(ROUND(R969*'Project Info and Summary'!$J$5/'Project Info and Summary'!$L$5,2),"")</f>
        <v/>
      </c>
    </row>
    <row r="970" spans="1:19" ht="30" customHeight="1">
      <c r="A970" s="948"/>
      <c r="B970" s="496">
        <f t="shared" si="30"/>
        <v>961</v>
      </c>
      <c r="C970" s="864"/>
      <c r="D970" s="505"/>
      <c r="E970" s="866"/>
      <c r="F970" s="498"/>
      <c r="G970" s="499"/>
      <c r="H970" s="492"/>
      <c r="I970" s="855">
        <f>IFERROR(IFERROR(INDEX('Fixture and LED Schedule'!D:D,MATCH(F970,'Fixture and LED Schedule'!C:C,""),1),F970),"")</f>
        <v>0</v>
      </c>
      <c r="J970" s="855" t="str">
        <f>IFERROR(IF(PRJ_Type="New Construction",H970,INDEX(yControl_Code,MATCH(Inventory!H970,yControlTypes,0),1)),"")</f>
        <v/>
      </c>
      <c r="K970" s="493"/>
      <c r="L970" s="501"/>
      <c r="M970" s="502"/>
      <c r="N970" s="855">
        <f>IFERROR(IFERROR(INDEX('Fixture and LED Schedule'!D:D,MATCH(K970,'Fixture and LED Schedule'!C:C,0),1),K970),"")</f>
        <v>0</v>
      </c>
      <c r="O970" s="858" t="str">
        <f>IFERROR(INDEX(yControl_Code,MATCH(Inventory!M970,yControlTypes,0),1),"")</f>
        <v/>
      </c>
      <c r="P970" s="860" t="str">
        <f>'Lighting Inventory (Ref only)'!AG973</f>
        <v/>
      </c>
      <c r="Q970" s="861" t="str">
        <f>'Lighting Inventory (Ref only)'!AF973</f>
        <v/>
      </c>
      <c r="R970" s="856" t="str">
        <f t="shared" si="29"/>
        <v/>
      </c>
      <c r="S970" s="856" t="str">
        <f>IFERROR(ROUND(R970*'Project Info and Summary'!$J$5/'Project Info and Summary'!$L$5,2),"")</f>
        <v/>
      </c>
    </row>
    <row r="971" spans="1:19" ht="30" customHeight="1">
      <c r="A971" s="948"/>
      <c r="B971" s="496">
        <f t="shared" si="30"/>
        <v>962</v>
      </c>
      <c r="C971" s="864"/>
      <c r="D971" s="505"/>
      <c r="E971" s="866"/>
      <c r="F971" s="498"/>
      <c r="G971" s="499"/>
      <c r="H971" s="492"/>
      <c r="I971" s="855">
        <f>IFERROR(IFERROR(INDEX('Fixture and LED Schedule'!D:D,MATCH(F971,'Fixture and LED Schedule'!C:C,""),1),F971),"")</f>
        <v>0</v>
      </c>
      <c r="J971" s="855" t="str">
        <f>IFERROR(IF(PRJ_Type="New Construction",H971,INDEX(yControl_Code,MATCH(Inventory!H971,yControlTypes,0),1)),"")</f>
        <v/>
      </c>
      <c r="K971" s="493"/>
      <c r="L971" s="501"/>
      <c r="M971" s="502"/>
      <c r="N971" s="855">
        <f>IFERROR(IFERROR(INDEX('Fixture and LED Schedule'!D:D,MATCH(K971,'Fixture and LED Schedule'!C:C,0),1),K971),"")</f>
        <v>0</v>
      </c>
      <c r="O971" s="858" t="str">
        <f>IFERROR(INDEX(yControl_Code,MATCH(Inventory!M971,yControlTypes,0),1),"")</f>
        <v/>
      </c>
      <c r="P971" s="860" t="str">
        <f>'Lighting Inventory (Ref only)'!AG974</f>
        <v/>
      </c>
      <c r="Q971" s="861" t="str">
        <f>'Lighting Inventory (Ref only)'!AF974</f>
        <v/>
      </c>
      <c r="R971" s="856" t="str">
        <f t="shared" ref="R971:R1009" si="31">IFERROR(P971*0.02+Q971*185,"")</f>
        <v/>
      </c>
      <c r="S971" s="856" t="str">
        <f>IFERROR(ROUND(R971*'Project Info and Summary'!$J$5/'Project Info and Summary'!$L$5,2),"")</f>
        <v/>
      </c>
    </row>
    <row r="972" spans="1:19" ht="30" customHeight="1">
      <c r="A972" s="948"/>
      <c r="B972" s="496">
        <f t="shared" si="30"/>
        <v>963</v>
      </c>
      <c r="C972" s="864"/>
      <c r="D972" s="505"/>
      <c r="E972" s="866"/>
      <c r="F972" s="498"/>
      <c r="G972" s="499"/>
      <c r="H972" s="492"/>
      <c r="I972" s="855">
        <f>IFERROR(IFERROR(INDEX('Fixture and LED Schedule'!D:D,MATCH(F972,'Fixture and LED Schedule'!C:C,""),1),F972),"")</f>
        <v>0</v>
      </c>
      <c r="J972" s="855" t="str">
        <f>IFERROR(IF(PRJ_Type="New Construction",H972,INDEX(yControl_Code,MATCH(Inventory!H972,yControlTypes,0),1)),"")</f>
        <v/>
      </c>
      <c r="K972" s="493"/>
      <c r="L972" s="501"/>
      <c r="M972" s="502"/>
      <c r="N972" s="855">
        <f>IFERROR(IFERROR(INDEX('Fixture and LED Schedule'!D:D,MATCH(K972,'Fixture and LED Schedule'!C:C,0),1),K972),"")</f>
        <v>0</v>
      </c>
      <c r="O972" s="858" t="str">
        <f>IFERROR(INDEX(yControl_Code,MATCH(Inventory!M972,yControlTypes,0),1),"")</f>
        <v/>
      </c>
      <c r="P972" s="860" t="str">
        <f>'Lighting Inventory (Ref only)'!AG975</f>
        <v/>
      </c>
      <c r="Q972" s="861" t="str">
        <f>'Lighting Inventory (Ref only)'!AF975</f>
        <v/>
      </c>
      <c r="R972" s="856" t="str">
        <f t="shared" si="31"/>
        <v/>
      </c>
      <c r="S972" s="856" t="str">
        <f>IFERROR(ROUND(R972*'Project Info and Summary'!$J$5/'Project Info and Summary'!$L$5,2),"")</f>
        <v/>
      </c>
    </row>
    <row r="973" spans="1:19" ht="30" customHeight="1">
      <c r="A973" s="948"/>
      <c r="B973" s="496">
        <f t="shared" si="30"/>
        <v>964</v>
      </c>
      <c r="C973" s="864"/>
      <c r="D973" s="505"/>
      <c r="E973" s="866"/>
      <c r="F973" s="498"/>
      <c r="G973" s="499"/>
      <c r="H973" s="492"/>
      <c r="I973" s="855">
        <f>IFERROR(IFERROR(INDEX('Fixture and LED Schedule'!D:D,MATCH(F973,'Fixture and LED Schedule'!C:C,""),1),F973),"")</f>
        <v>0</v>
      </c>
      <c r="J973" s="855" t="str">
        <f>IFERROR(IF(PRJ_Type="New Construction",H973,INDEX(yControl_Code,MATCH(Inventory!H973,yControlTypes,0),1)),"")</f>
        <v/>
      </c>
      <c r="K973" s="493"/>
      <c r="L973" s="501"/>
      <c r="M973" s="502"/>
      <c r="N973" s="855">
        <f>IFERROR(IFERROR(INDEX('Fixture and LED Schedule'!D:D,MATCH(K973,'Fixture and LED Schedule'!C:C,0),1),K973),"")</f>
        <v>0</v>
      </c>
      <c r="O973" s="858" t="str">
        <f>IFERROR(INDEX(yControl_Code,MATCH(Inventory!M973,yControlTypes,0),1),"")</f>
        <v/>
      </c>
      <c r="P973" s="860" t="str">
        <f>'Lighting Inventory (Ref only)'!AG976</f>
        <v/>
      </c>
      <c r="Q973" s="861" t="str">
        <f>'Lighting Inventory (Ref only)'!AF976</f>
        <v/>
      </c>
      <c r="R973" s="856" t="str">
        <f t="shared" si="31"/>
        <v/>
      </c>
      <c r="S973" s="856" t="str">
        <f>IFERROR(ROUND(R973*'Project Info and Summary'!$J$5/'Project Info and Summary'!$L$5,2),"")</f>
        <v/>
      </c>
    </row>
    <row r="974" spans="1:19" ht="30" customHeight="1">
      <c r="A974" s="948"/>
      <c r="B974" s="496">
        <f t="shared" si="30"/>
        <v>965</v>
      </c>
      <c r="C974" s="864"/>
      <c r="D974" s="505"/>
      <c r="E974" s="866"/>
      <c r="F974" s="498"/>
      <c r="G974" s="499"/>
      <c r="H974" s="492"/>
      <c r="I974" s="855">
        <f>IFERROR(IFERROR(INDEX('Fixture and LED Schedule'!D:D,MATCH(F974,'Fixture and LED Schedule'!C:C,""),1),F974),"")</f>
        <v>0</v>
      </c>
      <c r="J974" s="855" t="str">
        <f>IFERROR(IF(PRJ_Type="New Construction",H974,INDEX(yControl_Code,MATCH(Inventory!H974,yControlTypes,0),1)),"")</f>
        <v/>
      </c>
      <c r="K974" s="493"/>
      <c r="L974" s="501"/>
      <c r="M974" s="502"/>
      <c r="N974" s="855">
        <f>IFERROR(IFERROR(INDEX('Fixture and LED Schedule'!D:D,MATCH(K974,'Fixture and LED Schedule'!C:C,0),1),K974),"")</f>
        <v>0</v>
      </c>
      <c r="O974" s="858" t="str">
        <f>IFERROR(INDEX(yControl_Code,MATCH(Inventory!M974,yControlTypes,0),1),"")</f>
        <v/>
      </c>
      <c r="P974" s="860" t="str">
        <f>'Lighting Inventory (Ref only)'!AG977</f>
        <v/>
      </c>
      <c r="Q974" s="861" t="str">
        <f>'Lighting Inventory (Ref only)'!AF977</f>
        <v/>
      </c>
      <c r="R974" s="856" t="str">
        <f t="shared" si="31"/>
        <v/>
      </c>
      <c r="S974" s="856" t="str">
        <f>IFERROR(ROUND(R974*'Project Info and Summary'!$J$5/'Project Info and Summary'!$L$5,2),"")</f>
        <v/>
      </c>
    </row>
    <row r="975" spans="1:19" ht="30" customHeight="1">
      <c r="A975" s="948"/>
      <c r="B975" s="496">
        <f t="shared" si="30"/>
        <v>966</v>
      </c>
      <c r="C975" s="864"/>
      <c r="D975" s="505"/>
      <c r="E975" s="866"/>
      <c r="F975" s="498"/>
      <c r="G975" s="499"/>
      <c r="H975" s="492"/>
      <c r="I975" s="855">
        <f>IFERROR(IFERROR(INDEX('Fixture and LED Schedule'!D:D,MATCH(F975,'Fixture and LED Schedule'!C:C,""),1),F975),"")</f>
        <v>0</v>
      </c>
      <c r="J975" s="855" t="str">
        <f>IFERROR(IF(PRJ_Type="New Construction",H975,INDEX(yControl_Code,MATCH(Inventory!H975,yControlTypes,0),1)),"")</f>
        <v/>
      </c>
      <c r="K975" s="493"/>
      <c r="L975" s="501"/>
      <c r="M975" s="502"/>
      <c r="N975" s="855">
        <f>IFERROR(IFERROR(INDEX('Fixture and LED Schedule'!D:D,MATCH(K975,'Fixture and LED Schedule'!C:C,0),1),K975),"")</f>
        <v>0</v>
      </c>
      <c r="O975" s="858" t="str">
        <f>IFERROR(INDEX(yControl_Code,MATCH(Inventory!M975,yControlTypes,0),1),"")</f>
        <v/>
      </c>
      <c r="P975" s="860" t="str">
        <f>'Lighting Inventory (Ref only)'!AG978</f>
        <v/>
      </c>
      <c r="Q975" s="861" t="str">
        <f>'Lighting Inventory (Ref only)'!AF978</f>
        <v/>
      </c>
      <c r="R975" s="856" t="str">
        <f t="shared" si="31"/>
        <v/>
      </c>
      <c r="S975" s="856" t="str">
        <f>IFERROR(ROUND(R975*'Project Info and Summary'!$J$5/'Project Info and Summary'!$L$5,2),"")</f>
        <v/>
      </c>
    </row>
    <row r="976" spans="1:19" ht="30" customHeight="1">
      <c r="A976" s="948"/>
      <c r="B976" s="496">
        <f t="shared" si="30"/>
        <v>967</v>
      </c>
      <c r="C976" s="864"/>
      <c r="D976" s="505"/>
      <c r="E976" s="866"/>
      <c r="F976" s="498"/>
      <c r="G976" s="499"/>
      <c r="H976" s="492"/>
      <c r="I976" s="855">
        <f>IFERROR(IFERROR(INDEX('Fixture and LED Schedule'!D:D,MATCH(F976,'Fixture and LED Schedule'!C:C,""),1),F976),"")</f>
        <v>0</v>
      </c>
      <c r="J976" s="855" t="str">
        <f>IFERROR(IF(PRJ_Type="New Construction",H976,INDEX(yControl_Code,MATCH(Inventory!H976,yControlTypes,0),1)),"")</f>
        <v/>
      </c>
      <c r="K976" s="493"/>
      <c r="L976" s="501"/>
      <c r="M976" s="502"/>
      <c r="N976" s="855">
        <f>IFERROR(IFERROR(INDEX('Fixture and LED Schedule'!D:D,MATCH(K976,'Fixture and LED Schedule'!C:C,0),1),K976),"")</f>
        <v>0</v>
      </c>
      <c r="O976" s="858" t="str">
        <f>IFERROR(INDEX(yControl_Code,MATCH(Inventory!M976,yControlTypes,0),1),"")</f>
        <v/>
      </c>
      <c r="P976" s="860" t="str">
        <f>'Lighting Inventory (Ref only)'!AG979</f>
        <v/>
      </c>
      <c r="Q976" s="861" t="str">
        <f>'Lighting Inventory (Ref only)'!AF979</f>
        <v/>
      </c>
      <c r="R976" s="856" t="str">
        <f t="shared" si="31"/>
        <v/>
      </c>
      <c r="S976" s="856" t="str">
        <f>IFERROR(ROUND(R976*'Project Info and Summary'!$J$5/'Project Info and Summary'!$L$5,2),"")</f>
        <v/>
      </c>
    </row>
    <row r="977" spans="1:19" ht="30" customHeight="1">
      <c r="A977" s="948"/>
      <c r="B977" s="496">
        <f t="shared" si="30"/>
        <v>968</v>
      </c>
      <c r="C977" s="864"/>
      <c r="D977" s="505"/>
      <c r="E977" s="866"/>
      <c r="F977" s="498"/>
      <c r="G977" s="499"/>
      <c r="H977" s="492"/>
      <c r="I977" s="855">
        <f>IFERROR(IFERROR(INDEX('Fixture and LED Schedule'!D:D,MATCH(F977,'Fixture and LED Schedule'!C:C,""),1),F977),"")</f>
        <v>0</v>
      </c>
      <c r="J977" s="855" t="str">
        <f>IFERROR(IF(PRJ_Type="New Construction",H977,INDEX(yControl_Code,MATCH(Inventory!H977,yControlTypes,0),1)),"")</f>
        <v/>
      </c>
      <c r="K977" s="493"/>
      <c r="L977" s="501"/>
      <c r="M977" s="502"/>
      <c r="N977" s="855">
        <f>IFERROR(IFERROR(INDEX('Fixture and LED Schedule'!D:D,MATCH(K977,'Fixture and LED Schedule'!C:C,0),1),K977),"")</f>
        <v>0</v>
      </c>
      <c r="O977" s="858" t="str">
        <f>IFERROR(INDEX(yControl_Code,MATCH(Inventory!M977,yControlTypes,0),1),"")</f>
        <v/>
      </c>
      <c r="P977" s="860" t="str">
        <f>'Lighting Inventory (Ref only)'!AG980</f>
        <v/>
      </c>
      <c r="Q977" s="861" t="str">
        <f>'Lighting Inventory (Ref only)'!AF980</f>
        <v/>
      </c>
      <c r="R977" s="856" t="str">
        <f t="shared" si="31"/>
        <v/>
      </c>
      <c r="S977" s="856" t="str">
        <f>IFERROR(ROUND(R977*'Project Info and Summary'!$J$5/'Project Info and Summary'!$L$5,2),"")</f>
        <v/>
      </c>
    </row>
    <row r="978" spans="1:19" ht="30" customHeight="1">
      <c r="A978" s="948"/>
      <c r="B978" s="496">
        <f t="shared" si="30"/>
        <v>969</v>
      </c>
      <c r="C978" s="864"/>
      <c r="D978" s="505"/>
      <c r="E978" s="866"/>
      <c r="F978" s="498"/>
      <c r="G978" s="499"/>
      <c r="H978" s="492"/>
      <c r="I978" s="855">
        <f>IFERROR(IFERROR(INDEX('Fixture and LED Schedule'!D:D,MATCH(F978,'Fixture and LED Schedule'!C:C,""),1),F978),"")</f>
        <v>0</v>
      </c>
      <c r="J978" s="855" t="str">
        <f>IFERROR(IF(PRJ_Type="New Construction",H978,INDEX(yControl_Code,MATCH(Inventory!H978,yControlTypes,0),1)),"")</f>
        <v/>
      </c>
      <c r="K978" s="493"/>
      <c r="L978" s="501"/>
      <c r="M978" s="502"/>
      <c r="N978" s="855">
        <f>IFERROR(IFERROR(INDEX('Fixture and LED Schedule'!D:D,MATCH(K978,'Fixture and LED Schedule'!C:C,0),1),K978),"")</f>
        <v>0</v>
      </c>
      <c r="O978" s="858" t="str">
        <f>IFERROR(INDEX(yControl_Code,MATCH(Inventory!M978,yControlTypes,0),1),"")</f>
        <v/>
      </c>
      <c r="P978" s="860" t="str">
        <f>'Lighting Inventory (Ref only)'!AG981</f>
        <v/>
      </c>
      <c r="Q978" s="861" t="str">
        <f>'Lighting Inventory (Ref only)'!AF981</f>
        <v/>
      </c>
      <c r="R978" s="856" t="str">
        <f t="shared" si="31"/>
        <v/>
      </c>
      <c r="S978" s="856" t="str">
        <f>IFERROR(ROUND(R978*'Project Info and Summary'!$J$5/'Project Info and Summary'!$L$5,2),"")</f>
        <v/>
      </c>
    </row>
    <row r="979" spans="1:19" ht="30" customHeight="1">
      <c r="A979" s="948"/>
      <c r="B979" s="496">
        <f t="shared" si="30"/>
        <v>970</v>
      </c>
      <c r="C979" s="864"/>
      <c r="D979" s="505"/>
      <c r="E979" s="866"/>
      <c r="F979" s="498"/>
      <c r="G979" s="499"/>
      <c r="H979" s="492"/>
      <c r="I979" s="855">
        <f>IFERROR(IFERROR(INDEX('Fixture and LED Schedule'!D:D,MATCH(F979,'Fixture and LED Schedule'!C:C,""),1),F979),"")</f>
        <v>0</v>
      </c>
      <c r="J979" s="855" t="str">
        <f>IFERROR(IF(PRJ_Type="New Construction",H979,INDEX(yControl_Code,MATCH(Inventory!H979,yControlTypes,0),1)),"")</f>
        <v/>
      </c>
      <c r="K979" s="493"/>
      <c r="L979" s="501"/>
      <c r="M979" s="502"/>
      <c r="N979" s="855">
        <f>IFERROR(IFERROR(INDEX('Fixture and LED Schedule'!D:D,MATCH(K979,'Fixture and LED Schedule'!C:C,0),1),K979),"")</f>
        <v>0</v>
      </c>
      <c r="O979" s="858" t="str">
        <f>IFERROR(INDEX(yControl_Code,MATCH(Inventory!M979,yControlTypes,0),1),"")</f>
        <v/>
      </c>
      <c r="P979" s="860" t="str">
        <f>'Lighting Inventory (Ref only)'!AG982</f>
        <v/>
      </c>
      <c r="Q979" s="861" t="str">
        <f>'Lighting Inventory (Ref only)'!AF982</f>
        <v/>
      </c>
      <c r="R979" s="856" t="str">
        <f t="shared" si="31"/>
        <v/>
      </c>
      <c r="S979" s="856" t="str">
        <f>IFERROR(ROUND(R979*'Project Info and Summary'!$J$5/'Project Info and Summary'!$L$5,2),"")</f>
        <v/>
      </c>
    </row>
    <row r="980" spans="1:19" ht="30" customHeight="1">
      <c r="A980" s="948"/>
      <c r="B980" s="496">
        <f t="shared" si="30"/>
        <v>971</v>
      </c>
      <c r="C980" s="864"/>
      <c r="D980" s="505"/>
      <c r="E980" s="866"/>
      <c r="F980" s="498"/>
      <c r="G980" s="499"/>
      <c r="H980" s="492"/>
      <c r="I980" s="855">
        <f>IFERROR(IFERROR(INDEX('Fixture and LED Schedule'!D:D,MATCH(F980,'Fixture and LED Schedule'!C:C,""),1),F980),"")</f>
        <v>0</v>
      </c>
      <c r="J980" s="855" t="str">
        <f>IFERROR(IF(PRJ_Type="New Construction",H980,INDEX(yControl_Code,MATCH(Inventory!H980,yControlTypes,0),1)),"")</f>
        <v/>
      </c>
      <c r="K980" s="493"/>
      <c r="L980" s="501"/>
      <c r="M980" s="502"/>
      <c r="N980" s="855">
        <f>IFERROR(IFERROR(INDEX('Fixture and LED Schedule'!D:D,MATCH(K980,'Fixture and LED Schedule'!C:C,0),1),K980),"")</f>
        <v>0</v>
      </c>
      <c r="O980" s="858" t="str">
        <f>IFERROR(INDEX(yControl_Code,MATCH(Inventory!M980,yControlTypes,0),1),"")</f>
        <v/>
      </c>
      <c r="P980" s="860" t="str">
        <f>'Lighting Inventory (Ref only)'!AG983</f>
        <v/>
      </c>
      <c r="Q980" s="861" t="str">
        <f>'Lighting Inventory (Ref only)'!AF983</f>
        <v/>
      </c>
      <c r="R980" s="856" t="str">
        <f t="shared" si="31"/>
        <v/>
      </c>
      <c r="S980" s="856" t="str">
        <f>IFERROR(ROUND(R980*'Project Info and Summary'!$J$5/'Project Info and Summary'!$L$5,2),"")</f>
        <v/>
      </c>
    </row>
    <row r="981" spans="1:19" ht="30" customHeight="1">
      <c r="A981" s="948"/>
      <c r="B981" s="496">
        <f t="shared" si="30"/>
        <v>972</v>
      </c>
      <c r="C981" s="864"/>
      <c r="D981" s="505"/>
      <c r="E981" s="866"/>
      <c r="F981" s="498"/>
      <c r="G981" s="499"/>
      <c r="H981" s="492"/>
      <c r="I981" s="855">
        <f>IFERROR(IFERROR(INDEX('Fixture and LED Schedule'!D:D,MATCH(F981,'Fixture and LED Schedule'!C:C,""),1),F981),"")</f>
        <v>0</v>
      </c>
      <c r="J981" s="855" t="str">
        <f>IFERROR(IF(PRJ_Type="New Construction",H981,INDEX(yControl_Code,MATCH(Inventory!H981,yControlTypes,0),1)),"")</f>
        <v/>
      </c>
      <c r="K981" s="493"/>
      <c r="L981" s="501"/>
      <c r="M981" s="502"/>
      <c r="N981" s="855">
        <f>IFERROR(IFERROR(INDEX('Fixture and LED Schedule'!D:D,MATCH(K981,'Fixture and LED Schedule'!C:C,0),1),K981),"")</f>
        <v>0</v>
      </c>
      <c r="O981" s="858" t="str">
        <f>IFERROR(INDEX(yControl_Code,MATCH(Inventory!M981,yControlTypes,0),1),"")</f>
        <v/>
      </c>
      <c r="P981" s="860" t="str">
        <f>'Lighting Inventory (Ref only)'!AG984</f>
        <v/>
      </c>
      <c r="Q981" s="861" t="str">
        <f>'Lighting Inventory (Ref only)'!AF984</f>
        <v/>
      </c>
      <c r="R981" s="856" t="str">
        <f t="shared" si="31"/>
        <v/>
      </c>
      <c r="S981" s="856" t="str">
        <f>IFERROR(ROUND(R981*'Project Info and Summary'!$J$5/'Project Info and Summary'!$L$5,2),"")</f>
        <v/>
      </c>
    </row>
    <row r="982" spans="1:19" ht="30" customHeight="1">
      <c r="A982" s="948"/>
      <c r="B982" s="496">
        <f t="shared" si="30"/>
        <v>973</v>
      </c>
      <c r="C982" s="864"/>
      <c r="D982" s="505"/>
      <c r="E982" s="866"/>
      <c r="F982" s="498"/>
      <c r="G982" s="499"/>
      <c r="H982" s="492"/>
      <c r="I982" s="855">
        <f>IFERROR(IFERROR(INDEX('Fixture and LED Schedule'!D:D,MATCH(F982,'Fixture and LED Schedule'!C:C,""),1),F982),"")</f>
        <v>0</v>
      </c>
      <c r="J982" s="855" t="str">
        <f>IFERROR(IF(PRJ_Type="New Construction",H982,INDEX(yControl_Code,MATCH(Inventory!H982,yControlTypes,0),1)),"")</f>
        <v/>
      </c>
      <c r="K982" s="493"/>
      <c r="L982" s="501"/>
      <c r="M982" s="502"/>
      <c r="N982" s="855">
        <f>IFERROR(IFERROR(INDEX('Fixture and LED Schedule'!D:D,MATCH(K982,'Fixture and LED Schedule'!C:C,0),1),K982),"")</f>
        <v>0</v>
      </c>
      <c r="O982" s="858" t="str">
        <f>IFERROR(INDEX(yControl_Code,MATCH(Inventory!M982,yControlTypes,0),1),"")</f>
        <v/>
      </c>
      <c r="P982" s="860" t="str">
        <f>'Lighting Inventory (Ref only)'!AG985</f>
        <v/>
      </c>
      <c r="Q982" s="861" t="str">
        <f>'Lighting Inventory (Ref only)'!AF985</f>
        <v/>
      </c>
      <c r="R982" s="856" t="str">
        <f t="shared" si="31"/>
        <v/>
      </c>
      <c r="S982" s="856" t="str">
        <f>IFERROR(ROUND(R982*'Project Info and Summary'!$J$5/'Project Info and Summary'!$L$5,2),"")</f>
        <v/>
      </c>
    </row>
    <row r="983" spans="1:19" ht="30" customHeight="1">
      <c r="A983" s="948"/>
      <c r="B983" s="496">
        <f t="shared" si="30"/>
        <v>974</v>
      </c>
      <c r="C983" s="864"/>
      <c r="D983" s="505"/>
      <c r="E983" s="866"/>
      <c r="F983" s="498"/>
      <c r="G983" s="499"/>
      <c r="H983" s="492"/>
      <c r="I983" s="855">
        <f>IFERROR(IFERROR(INDEX('Fixture and LED Schedule'!D:D,MATCH(F983,'Fixture and LED Schedule'!C:C,""),1),F983),"")</f>
        <v>0</v>
      </c>
      <c r="J983" s="855" t="str">
        <f>IFERROR(IF(PRJ_Type="New Construction",H983,INDEX(yControl_Code,MATCH(Inventory!H983,yControlTypes,0),1)),"")</f>
        <v/>
      </c>
      <c r="K983" s="493"/>
      <c r="L983" s="501"/>
      <c r="M983" s="502"/>
      <c r="N983" s="855">
        <f>IFERROR(IFERROR(INDEX('Fixture and LED Schedule'!D:D,MATCH(K983,'Fixture and LED Schedule'!C:C,0),1),K983),"")</f>
        <v>0</v>
      </c>
      <c r="O983" s="858" t="str">
        <f>IFERROR(INDEX(yControl_Code,MATCH(Inventory!M983,yControlTypes,0),1),"")</f>
        <v/>
      </c>
      <c r="P983" s="860" t="str">
        <f>'Lighting Inventory (Ref only)'!AG986</f>
        <v/>
      </c>
      <c r="Q983" s="861" t="str">
        <f>'Lighting Inventory (Ref only)'!AF986</f>
        <v/>
      </c>
      <c r="R983" s="856" t="str">
        <f t="shared" si="31"/>
        <v/>
      </c>
      <c r="S983" s="856" t="str">
        <f>IFERROR(ROUND(R983*'Project Info and Summary'!$J$5/'Project Info and Summary'!$L$5,2),"")</f>
        <v/>
      </c>
    </row>
    <row r="984" spans="1:19" ht="30" customHeight="1">
      <c r="A984" s="948"/>
      <c r="B984" s="496">
        <f t="shared" si="30"/>
        <v>975</v>
      </c>
      <c r="C984" s="864"/>
      <c r="D984" s="505"/>
      <c r="E984" s="866"/>
      <c r="F984" s="498"/>
      <c r="G984" s="499"/>
      <c r="H984" s="492"/>
      <c r="I984" s="855">
        <f>IFERROR(IFERROR(INDEX('Fixture and LED Schedule'!D:D,MATCH(F984,'Fixture and LED Schedule'!C:C,""),1),F984),"")</f>
        <v>0</v>
      </c>
      <c r="J984" s="855" t="str">
        <f>IFERROR(IF(PRJ_Type="New Construction",H984,INDEX(yControl_Code,MATCH(Inventory!H984,yControlTypes,0),1)),"")</f>
        <v/>
      </c>
      <c r="K984" s="493"/>
      <c r="L984" s="501"/>
      <c r="M984" s="502"/>
      <c r="N984" s="855">
        <f>IFERROR(IFERROR(INDEX('Fixture and LED Schedule'!D:D,MATCH(K984,'Fixture and LED Schedule'!C:C,0),1),K984),"")</f>
        <v>0</v>
      </c>
      <c r="O984" s="858" t="str">
        <f>IFERROR(INDEX(yControl_Code,MATCH(Inventory!M984,yControlTypes,0),1),"")</f>
        <v/>
      </c>
      <c r="P984" s="860" t="str">
        <f>'Lighting Inventory (Ref only)'!AG987</f>
        <v/>
      </c>
      <c r="Q984" s="861" t="str">
        <f>'Lighting Inventory (Ref only)'!AF987</f>
        <v/>
      </c>
      <c r="R984" s="856" t="str">
        <f t="shared" si="31"/>
        <v/>
      </c>
      <c r="S984" s="856" t="str">
        <f>IFERROR(ROUND(R984*'Project Info and Summary'!$J$5/'Project Info and Summary'!$L$5,2),"")</f>
        <v/>
      </c>
    </row>
    <row r="985" spans="1:19" ht="30" customHeight="1">
      <c r="A985" s="948"/>
      <c r="B985" s="496">
        <f t="shared" si="30"/>
        <v>976</v>
      </c>
      <c r="C985" s="864"/>
      <c r="D985" s="505"/>
      <c r="E985" s="866"/>
      <c r="F985" s="498"/>
      <c r="G985" s="499"/>
      <c r="H985" s="492"/>
      <c r="I985" s="855">
        <f>IFERROR(IFERROR(INDEX('Fixture and LED Schedule'!D:D,MATCH(F985,'Fixture and LED Schedule'!C:C,""),1),F985),"")</f>
        <v>0</v>
      </c>
      <c r="J985" s="855" t="str">
        <f>IFERROR(IF(PRJ_Type="New Construction",H985,INDEX(yControl_Code,MATCH(Inventory!H985,yControlTypes,0),1)),"")</f>
        <v/>
      </c>
      <c r="K985" s="493"/>
      <c r="L985" s="501"/>
      <c r="M985" s="502"/>
      <c r="N985" s="855">
        <f>IFERROR(IFERROR(INDEX('Fixture and LED Schedule'!D:D,MATCH(K985,'Fixture and LED Schedule'!C:C,0),1),K985),"")</f>
        <v>0</v>
      </c>
      <c r="O985" s="858" t="str">
        <f>IFERROR(INDEX(yControl_Code,MATCH(Inventory!M985,yControlTypes,0),1),"")</f>
        <v/>
      </c>
      <c r="P985" s="860" t="str">
        <f>'Lighting Inventory (Ref only)'!AG988</f>
        <v/>
      </c>
      <c r="Q985" s="861" t="str">
        <f>'Lighting Inventory (Ref only)'!AF988</f>
        <v/>
      </c>
      <c r="R985" s="856" t="str">
        <f t="shared" si="31"/>
        <v/>
      </c>
      <c r="S985" s="856" t="str">
        <f>IFERROR(ROUND(R985*'Project Info and Summary'!$J$5/'Project Info and Summary'!$L$5,2),"")</f>
        <v/>
      </c>
    </row>
    <row r="986" spans="1:19" ht="30" customHeight="1">
      <c r="A986" s="948"/>
      <c r="B986" s="496">
        <f t="shared" si="30"/>
        <v>977</v>
      </c>
      <c r="C986" s="864"/>
      <c r="D986" s="505"/>
      <c r="E986" s="866"/>
      <c r="F986" s="498"/>
      <c r="G986" s="499"/>
      <c r="H986" s="492"/>
      <c r="I986" s="855">
        <f>IFERROR(IFERROR(INDEX('Fixture and LED Schedule'!D:D,MATCH(F986,'Fixture and LED Schedule'!C:C,""),1),F986),"")</f>
        <v>0</v>
      </c>
      <c r="J986" s="855" t="str">
        <f>IFERROR(IF(PRJ_Type="New Construction",H986,INDEX(yControl_Code,MATCH(Inventory!H986,yControlTypes,0),1)),"")</f>
        <v/>
      </c>
      <c r="K986" s="493"/>
      <c r="L986" s="501"/>
      <c r="M986" s="502"/>
      <c r="N986" s="855">
        <f>IFERROR(IFERROR(INDEX('Fixture and LED Schedule'!D:D,MATCH(K986,'Fixture and LED Schedule'!C:C,0),1),K986),"")</f>
        <v>0</v>
      </c>
      <c r="O986" s="858" t="str">
        <f>IFERROR(INDEX(yControl_Code,MATCH(Inventory!M986,yControlTypes,0),1),"")</f>
        <v/>
      </c>
      <c r="P986" s="860" t="str">
        <f>'Lighting Inventory (Ref only)'!AG989</f>
        <v/>
      </c>
      <c r="Q986" s="861" t="str">
        <f>'Lighting Inventory (Ref only)'!AF989</f>
        <v/>
      </c>
      <c r="R986" s="856" t="str">
        <f t="shared" si="31"/>
        <v/>
      </c>
      <c r="S986" s="856" t="str">
        <f>IFERROR(ROUND(R986*'Project Info and Summary'!$J$5/'Project Info and Summary'!$L$5,2),"")</f>
        <v/>
      </c>
    </row>
    <row r="987" spans="1:19" ht="30" customHeight="1">
      <c r="A987" s="948"/>
      <c r="B987" s="496">
        <f t="shared" si="30"/>
        <v>978</v>
      </c>
      <c r="C987" s="864"/>
      <c r="D987" s="505"/>
      <c r="E987" s="866"/>
      <c r="F987" s="498"/>
      <c r="G987" s="499"/>
      <c r="H987" s="492"/>
      <c r="I987" s="855">
        <f>IFERROR(IFERROR(INDEX('Fixture and LED Schedule'!D:D,MATCH(F987,'Fixture and LED Schedule'!C:C,""),1),F987),"")</f>
        <v>0</v>
      </c>
      <c r="J987" s="855" t="str">
        <f>IFERROR(IF(PRJ_Type="New Construction",H987,INDEX(yControl_Code,MATCH(Inventory!H987,yControlTypes,0),1)),"")</f>
        <v/>
      </c>
      <c r="K987" s="493"/>
      <c r="L987" s="501"/>
      <c r="M987" s="502"/>
      <c r="N987" s="855">
        <f>IFERROR(IFERROR(INDEX('Fixture and LED Schedule'!D:D,MATCH(K987,'Fixture and LED Schedule'!C:C,0),1),K987),"")</f>
        <v>0</v>
      </c>
      <c r="O987" s="858" t="str">
        <f>IFERROR(INDEX(yControl_Code,MATCH(Inventory!M987,yControlTypes,0),1),"")</f>
        <v/>
      </c>
      <c r="P987" s="860" t="str">
        <f>'Lighting Inventory (Ref only)'!AG990</f>
        <v/>
      </c>
      <c r="Q987" s="861" t="str">
        <f>'Lighting Inventory (Ref only)'!AF990</f>
        <v/>
      </c>
      <c r="R987" s="856" t="str">
        <f t="shared" si="31"/>
        <v/>
      </c>
      <c r="S987" s="856" t="str">
        <f>IFERROR(ROUND(R987*'Project Info and Summary'!$J$5/'Project Info and Summary'!$L$5,2),"")</f>
        <v/>
      </c>
    </row>
    <row r="988" spans="1:19" ht="30" customHeight="1">
      <c r="A988" s="948"/>
      <c r="B988" s="496">
        <f t="shared" si="30"/>
        <v>979</v>
      </c>
      <c r="C988" s="864"/>
      <c r="D988" s="505"/>
      <c r="E988" s="866"/>
      <c r="F988" s="498"/>
      <c r="G988" s="499"/>
      <c r="H988" s="492"/>
      <c r="I988" s="855">
        <f>IFERROR(IFERROR(INDEX('Fixture and LED Schedule'!D:D,MATCH(F988,'Fixture and LED Schedule'!C:C,""),1),F988),"")</f>
        <v>0</v>
      </c>
      <c r="J988" s="855" t="str">
        <f>IFERROR(IF(PRJ_Type="New Construction",H988,INDEX(yControl_Code,MATCH(Inventory!H988,yControlTypes,0),1)),"")</f>
        <v/>
      </c>
      <c r="K988" s="493"/>
      <c r="L988" s="501"/>
      <c r="M988" s="502"/>
      <c r="N988" s="855">
        <f>IFERROR(IFERROR(INDEX('Fixture and LED Schedule'!D:D,MATCH(K988,'Fixture and LED Schedule'!C:C,0),1),K988),"")</f>
        <v>0</v>
      </c>
      <c r="O988" s="858" t="str">
        <f>IFERROR(INDEX(yControl_Code,MATCH(Inventory!M988,yControlTypes,0),1),"")</f>
        <v/>
      </c>
      <c r="P988" s="860" t="str">
        <f>'Lighting Inventory (Ref only)'!AG991</f>
        <v/>
      </c>
      <c r="Q988" s="861" t="str">
        <f>'Lighting Inventory (Ref only)'!AF991</f>
        <v/>
      </c>
      <c r="R988" s="856" t="str">
        <f t="shared" si="31"/>
        <v/>
      </c>
      <c r="S988" s="856" t="str">
        <f>IFERROR(ROUND(R988*'Project Info and Summary'!$J$5/'Project Info and Summary'!$L$5,2),"")</f>
        <v/>
      </c>
    </row>
    <row r="989" spans="1:19" ht="30" customHeight="1">
      <c r="A989" s="948"/>
      <c r="B989" s="496">
        <f t="shared" si="30"/>
        <v>980</v>
      </c>
      <c r="C989" s="864"/>
      <c r="D989" s="505"/>
      <c r="E989" s="866"/>
      <c r="F989" s="498"/>
      <c r="G989" s="499"/>
      <c r="H989" s="492"/>
      <c r="I989" s="855">
        <f>IFERROR(IFERROR(INDEX('Fixture and LED Schedule'!D:D,MATCH(F989,'Fixture and LED Schedule'!C:C,""),1),F989),"")</f>
        <v>0</v>
      </c>
      <c r="J989" s="855" t="str">
        <f>IFERROR(IF(PRJ_Type="New Construction",H989,INDEX(yControl_Code,MATCH(Inventory!H989,yControlTypes,0),1)),"")</f>
        <v/>
      </c>
      <c r="K989" s="493"/>
      <c r="L989" s="501"/>
      <c r="M989" s="502"/>
      <c r="N989" s="855">
        <f>IFERROR(IFERROR(INDEX('Fixture and LED Schedule'!D:D,MATCH(K989,'Fixture and LED Schedule'!C:C,0),1),K989),"")</f>
        <v>0</v>
      </c>
      <c r="O989" s="858" t="str">
        <f>IFERROR(INDEX(yControl_Code,MATCH(Inventory!M989,yControlTypes,0),1),"")</f>
        <v/>
      </c>
      <c r="P989" s="860" t="str">
        <f>'Lighting Inventory (Ref only)'!AG992</f>
        <v/>
      </c>
      <c r="Q989" s="861" t="str">
        <f>'Lighting Inventory (Ref only)'!AF992</f>
        <v/>
      </c>
      <c r="R989" s="856" t="str">
        <f t="shared" si="31"/>
        <v/>
      </c>
      <c r="S989" s="856" t="str">
        <f>IFERROR(ROUND(R989*'Project Info and Summary'!$J$5/'Project Info and Summary'!$L$5,2),"")</f>
        <v/>
      </c>
    </row>
    <row r="990" spans="1:19" ht="30" customHeight="1">
      <c r="A990" s="948"/>
      <c r="B990" s="496">
        <f t="shared" si="30"/>
        <v>981</v>
      </c>
      <c r="C990" s="864"/>
      <c r="D990" s="505"/>
      <c r="E990" s="866"/>
      <c r="F990" s="498"/>
      <c r="G990" s="499"/>
      <c r="H990" s="492"/>
      <c r="I990" s="855">
        <f>IFERROR(IFERROR(INDEX('Fixture and LED Schedule'!D:D,MATCH(F990,'Fixture and LED Schedule'!C:C,""),1),F990),"")</f>
        <v>0</v>
      </c>
      <c r="J990" s="855" t="str">
        <f>IFERROR(IF(PRJ_Type="New Construction",H990,INDEX(yControl_Code,MATCH(Inventory!H990,yControlTypes,0),1)),"")</f>
        <v/>
      </c>
      <c r="K990" s="493"/>
      <c r="L990" s="501"/>
      <c r="M990" s="502"/>
      <c r="N990" s="855">
        <f>IFERROR(IFERROR(INDEX('Fixture and LED Schedule'!D:D,MATCH(K990,'Fixture and LED Schedule'!C:C,0),1),K990),"")</f>
        <v>0</v>
      </c>
      <c r="O990" s="858" t="str">
        <f>IFERROR(INDEX(yControl_Code,MATCH(Inventory!M990,yControlTypes,0),1),"")</f>
        <v/>
      </c>
      <c r="P990" s="860" t="str">
        <f>'Lighting Inventory (Ref only)'!AG993</f>
        <v/>
      </c>
      <c r="Q990" s="861" t="str">
        <f>'Lighting Inventory (Ref only)'!AF993</f>
        <v/>
      </c>
      <c r="R990" s="856" t="str">
        <f t="shared" si="31"/>
        <v/>
      </c>
      <c r="S990" s="856" t="str">
        <f>IFERROR(ROUND(R990*'Project Info and Summary'!$J$5/'Project Info and Summary'!$L$5,2),"")</f>
        <v/>
      </c>
    </row>
    <row r="991" spans="1:19" ht="30" customHeight="1">
      <c r="A991" s="948"/>
      <c r="B991" s="496">
        <f t="shared" si="30"/>
        <v>982</v>
      </c>
      <c r="C991" s="864"/>
      <c r="D991" s="505"/>
      <c r="E991" s="866"/>
      <c r="F991" s="498"/>
      <c r="G991" s="499"/>
      <c r="H991" s="492"/>
      <c r="I991" s="855">
        <f>IFERROR(IFERROR(INDEX('Fixture and LED Schedule'!D:D,MATCH(F991,'Fixture and LED Schedule'!C:C,""),1),F991),"")</f>
        <v>0</v>
      </c>
      <c r="J991" s="855" t="str">
        <f>IFERROR(IF(PRJ_Type="New Construction",H991,INDEX(yControl_Code,MATCH(Inventory!H991,yControlTypes,0),1)),"")</f>
        <v/>
      </c>
      <c r="K991" s="493"/>
      <c r="L991" s="501"/>
      <c r="M991" s="502"/>
      <c r="N991" s="855">
        <f>IFERROR(IFERROR(INDEX('Fixture and LED Schedule'!D:D,MATCH(K991,'Fixture and LED Schedule'!C:C,0),1),K991),"")</f>
        <v>0</v>
      </c>
      <c r="O991" s="858" t="str">
        <f>IFERROR(INDEX(yControl_Code,MATCH(Inventory!M991,yControlTypes,0),1),"")</f>
        <v/>
      </c>
      <c r="P991" s="860" t="str">
        <f>'Lighting Inventory (Ref only)'!AG994</f>
        <v/>
      </c>
      <c r="Q991" s="861" t="str">
        <f>'Lighting Inventory (Ref only)'!AF994</f>
        <v/>
      </c>
      <c r="R991" s="856" t="str">
        <f t="shared" si="31"/>
        <v/>
      </c>
      <c r="S991" s="856" t="str">
        <f>IFERROR(ROUND(R991*'Project Info and Summary'!$J$5/'Project Info and Summary'!$L$5,2),"")</f>
        <v/>
      </c>
    </row>
    <row r="992" spans="1:19" ht="30" customHeight="1">
      <c r="A992" s="948"/>
      <c r="B992" s="496">
        <f t="shared" si="30"/>
        <v>983</v>
      </c>
      <c r="C992" s="864"/>
      <c r="D992" s="505"/>
      <c r="E992" s="866"/>
      <c r="F992" s="498"/>
      <c r="G992" s="499"/>
      <c r="H992" s="492"/>
      <c r="I992" s="855">
        <f>IFERROR(IFERROR(INDEX('Fixture and LED Schedule'!D:D,MATCH(F992,'Fixture and LED Schedule'!C:C,""),1),F992),"")</f>
        <v>0</v>
      </c>
      <c r="J992" s="855" t="str">
        <f>IFERROR(IF(PRJ_Type="New Construction",H992,INDEX(yControl_Code,MATCH(Inventory!H992,yControlTypes,0),1)),"")</f>
        <v/>
      </c>
      <c r="K992" s="493"/>
      <c r="L992" s="501"/>
      <c r="M992" s="502"/>
      <c r="N992" s="855">
        <f>IFERROR(IFERROR(INDEX('Fixture and LED Schedule'!D:D,MATCH(K992,'Fixture and LED Schedule'!C:C,0),1),K992),"")</f>
        <v>0</v>
      </c>
      <c r="O992" s="858" t="str">
        <f>IFERROR(INDEX(yControl_Code,MATCH(Inventory!M992,yControlTypes,0),1),"")</f>
        <v/>
      </c>
      <c r="P992" s="860" t="str">
        <f>'Lighting Inventory (Ref only)'!AG995</f>
        <v/>
      </c>
      <c r="Q992" s="861" t="str">
        <f>'Lighting Inventory (Ref only)'!AF995</f>
        <v/>
      </c>
      <c r="R992" s="856" t="str">
        <f t="shared" si="31"/>
        <v/>
      </c>
      <c r="S992" s="856" t="str">
        <f>IFERROR(ROUND(R992*'Project Info and Summary'!$J$5/'Project Info and Summary'!$L$5,2),"")</f>
        <v/>
      </c>
    </row>
    <row r="993" spans="1:19" ht="30" customHeight="1">
      <c r="A993" s="948"/>
      <c r="B993" s="496">
        <f t="shared" si="30"/>
        <v>984</v>
      </c>
      <c r="C993" s="864"/>
      <c r="D993" s="505"/>
      <c r="E993" s="866"/>
      <c r="F993" s="498"/>
      <c r="G993" s="499"/>
      <c r="H993" s="492"/>
      <c r="I993" s="855">
        <f>IFERROR(IFERROR(INDEX('Fixture and LED Schedule'!D:D,MATCH(F993,'Fixture and LED Schedule'!C:C,""),1),F993),"")</f>
        <v>0</v>
      </c>
      <c r="J993" s="855" t="str">
        <f>IFERROR(IF(PRJ_Type="New Construction",H993,INDEX(yControl_Code,MATCH(Inventory!H993,yControlTypes,0),1)),"")</f>
        <v/>
      </c>
      <c r="K993" s="493"/>
      <c r="L993" s="501"/>
      <c r="M993" s="502"/>
      <c r="N993" s="855">
        <f>IFERROR(IFERROR(INDEX('Fixture and LED Schedule'!D:D,MATCH(K993,'Fixture and LED Schedule'!C:C,0),1),K993),"")</f>
        <v>0</v>
      </c>
      <c r="O993" s="858" t="str">
        <f>IFERROR(INDEX(yControl_Code,MATCH(Inventory!M993,yControlTypes,0),1),"")</f>
        <v/>
      </c>
      <c r="P993" s="860" t="str">
        <f>'Lighting Inventory (Ref only)'!AG996</f>
        <v/>
      </c>
      <c r="Q993" s="861" t="str">
        <f>'Lighting Inventory (Ref only)'!AF996</f>
        <v/>
      </c>
      <c r="R993" s="856" t="str">
        <f t="shared" si="31"/>
        <v/>
      </c>
      <c r="S993" s="856" t="str">
        <f>IFERROR(ROUND(R993*'Project Info and Summary'!$J$5/'Project Info and Summary'!$L$5,2),"")</f>
        <v/>
      </c>
    </row>
    <row r="994" spans="1:19" ht="30" customHeight="1">
      <c r="A994" s="948"/>
      <c r="B994" s="496">
        <f t="shared" si="30"/>
        <v>985</v>
      </c>
      <c r="C994" s="864"/>
      <c r="D994" s="505"/>
      <c r="E994" s="866"/>
      <c r="F994" s="498"/>
      <c r="G994" s="499"/>
      <c r="H994" s="492"/>
      <c r="I994" s="855">
        <f>IFERROR(IFERROR(INDEX('Fixture and LED Schedule'!D:D,MATCH(F994,'Fixture and LED Schedule'!C:C,""),1),F994),"")</f>
        <v>0</v>
      </c>
      <c r="J994" s="855" t="str">
        <f>IFERROR(IF(PRJ_Type="New Construction",H994,INDEX(yControl_Code,MATCH(Inventory!H994,yControlTypes,0),1)),"")</f>
        <v/>
      </c>
      <c r="K994" s="493"/>
      <c r="L994" s="501"/>
      <c r="M994" s="502"/>
      <c r="N994" s="855">
        <f>IFERROR(IFERROR(INDEX('Fixture and LED Schedule'!D:D,MATCH(K994,'Fixture and LED Schedule'!C:C,0),1),K994),"")</f>
        <v>0</v>
      </c>
      <c r="O994" s="858" t="str">
        <f>IFERROR(INDEX(yControl_Code,MATCH(Inventory!M994,yControlTypes,0),1),"")</f>
        <v/>
      </c>
      <c r="P994" s="860" t="str">
        <f>'Lighting Inventory (Ref only)'!AG997</f>
        <v/>
      </c>
      <c r="Q994" s="861" t="str">
        <f>'Lighting Inventory (Ref only)'!AF997</f>
        <v/>
      </c>
      <c r="R994" s="856" t="str">
        <f t="shared" si="31"/>
        <v/>
      </c>
      <c r="S994" s="856" t="str">
        <f>IFERROR(ROUND(R994*'Project Info and Summary'!$J$5/'Project Info and Summary'!$L$5,2),"")</f>
        <v/>
      </c>
    </row>
    <row r="995" spans="1:19" ht="30" customHeight="1">
      <c r="A995" s="948"/>
      <c r="B995" s="496">
        <f t="shared" si="30"/>
        <v>986</v>
      </c>
      <c r="C995" s="864"/>
      <c r="D995" s="505"/>
      <c r="E995" s="866"/>
      <c r="F995" s="498"/>
      <c r="G995" s="499"/>
      <c r="H995" s="492"/>
      <c r="I995" s="855">
        <f>IFERROR(IFERROR(INDEX('Fixture and LED Schedule'!D:D,MATCH(F995,'Fixture and LED Schedule'!C:C,""),1),F995),"")</f>
        <v>0</v>
      </c>
      <c r="J995" s="855" t="str">
        <f>IFERROR(IF(PRJ_Type="New Construction",H995,INDEX(yControl_Code,MATCH(Inventory!H995,yControlTypes,0),1)),"")</f>
        <v/>
      </c>
      <c r="K995" s="493"/>
      <c r="L995" s="501"/>
      <c r="M995" s="502"/>
      <c r="N995" s="855">
        <f>IFERROR(IFERROR(INDEX('Fixture and LED Schedule'!D:D,MATCH(K995,'Fixture and LED Schedule'!C:C,0),1),K995),"")</f>
        <v>0</v>
      </c>
      <c r="O995" s="858" t="str">
        <f>IFERROR(INDEX(yControl_Code,MATCH(Inventory!M995,yControlTypes,0),1),"")</f>
        <v/>
      </c>
      <c r="P995" s="860" t="str">
        <f>'Lighting Inventory (Ref only)'!AG998</f>
        <v/>
      </c>
      <c r="Q995" s="861" t="str">
        <f>'Lighting Inventory (Ref only)'!AF998</f>
        <v/>
      </c>
      <c r="R995" s="856" t="str">
        <f t="shared" si="31"/>
        <v/>
      </c>
      <c r="S995" s="856" t="str">
        <f>IFERROR(ROUND(R995*'Project Info and Summary'!$J$5/'Project Info and Summary'!$L$5,2),"")</f>
        <v/>
      </c>
    </row>
    <row r="996" spans="1:19" ht="30" customHeight="1">
      <c r="A996" s="948"/>
      <c r="B996" s="496">
        <f t="shared" si="30"/>
        <v>987</v>
      </c>
      <c r="C996" s="864"/>
      <c r="D996" s="505"/>
      <c r="E996" s="866"/>
      <c r="F996" s="498"/>
      <c r="G996" s="499"/>
      <c r="H996" s="492"/>
      <c r="I996" s="855">
        <f>IFERROR(IFERROR(INDEX('Fixture and LED Schedule'!D:D,MATCH(F996,'Fixture and LED Schedule'!C:C,""),1),F996),"")</f>
        <v>0</v>
      </c>
      <c r="J996" s="855" t="str">
        <f>IFERROR(IF(PRJ_Type="New Construction",H996,INDEX(yControl_Code,MATCH(Inventory!H996,yControlTypes,0),1)),"")</f>
        <v/>
      </c>
      <c r="K996" s="493"/>
      <c r="L996" s="501"/>
      <c r="M996" s="502"/>
      <c r="N996" s="855">
        <f>IFERROR(IFERROR(INDEX('Fixture and LED Schedule'!D:D,MATCH(K996,'Fixture and LED Schedule'!C:C,0),1),K996),"")</f>
        <v>0</v>
      </c>
      <c r="O996" s="858" t="str">
        <f>IFERROR(INDEX(yControl_Code,MATCH(Inventory!M996,yControlTypes,0),1),"")</f>
        <v/>
      </c>
      <c r="P996" s="860" t="str">
        <f>'Lighting Inventory (Ref only)'!AG999</f>
        <v/>
      </c>
      <c r="Q996" s="861" t="str">
        <f>'Lighting Inventory (Ref only)'!AF999</f>
        <v/>
      </c>
      <c r="R996" s="856" t="str">
        <f t="shared" si="31"/>
        <v/>
      </c>
      <c r="S996" s="856" t="str">
        <f>IFERROR(ROUND(R996*'Project Info and Summary'!$J$5/'Project Info and Summary'!$L$5,2),"")</f>
        <v/>
      </c>
    </row>
    <row r="997" spans="1:19" ht="30" customHeight="1">
      <c r="A997" s="948"/>
      <c r="B997" s="496">
        <f t="shared" si="30"/>
        <v>988</v>
      </c>
      <c r="C997" s="864"/>
      <c r="D997" s="505"/>
      <c r="E997" s="866"/>
      <c r="F997" s="498"/>
      <c r="G997" s="499"/>
      <c r="H997" s="492"/>
      <c r="I997" s="855">
        <f>IFERROR(IFERROR(INDEX('Fixture and LED Schedule'!D:D,MATCH(F997,'Fixture and LED Schedule'!C:C,""),1),F997),"")</f>
        <v>0</v>
      </c>
      <c r="J997" s="855" t="str">
        <f>IFERROR(IF(PRJ_Type="New Construction",H997,INDEX(yControl_Code,MATCH(Inventory!H997,yControlTypes,0),1)),"")</f>
        <v/>
      </c>
      <c r="K997" s="493"/>
      <c r="L997" s="501"/>
      <c r="M997" s="502"/>
      <c r="N997" s="855">
        <f>IFERROR(IFERROR(INDEX('Fixture and LED Schedule'!D:D,MATCH(K997,'Fixture and LED Schedule'!C:C,0),1),K997),"")</f>
        <v>0</v>
      </c>
      <c r="O997" s="858" t="str">
        <f>IFERROR(INDEX(yControl_Code,MATCH(Inventory!M997,yControlTypes,0),1),"")</f>
        <v/>
      </c>
      <c r="P997" s="860" t="str">
        <f>'Lighting Inventory (Ref only)'!AG1000</f>
        <v/>
      </c>
      <c r="Q997" s="861" t="str">
        <f>'Lighting Inventory (Ref only)'!AF1000</f>
        <v/>
      </c>
      <c r="R997" s="856" t="str">
        <f t="shared" si="31"/>
        <v/>
      </c>
      <c r="S997" s="856" t="str">
        <f>IFERROR(ROUND(R997*'Project Info and Summary'!$J$5/'Project Info and Summary'!$L$5,2),"")</f>
        <v/>
      </c>
    </row>
    <row r="998" spans="1:19" ht="30" customHeight="1">
      <c r="A998" s="948"/>
      <c r="B998" s="496">
        <f t="shared" si="30"/>
        <v>989</v>
      </c>
      <c r="C998" s="864"/>
      <c r="D998" s="505"/>
      <c r="E998" s="866"/>
      <c r="F998" s="498"/>
      <c r="G998" s="499"/>
      <c r="H998" s="492"/>
      <c r="I998" s="855">
        <f>IFERROR(IFERROR(INDEX('Fixture and LED Schedule'!D:D,MATCH(F998,'Fixture and LED Schedule'!C:C,""),1),F998),"")</f>
        <v>0</v>
      </c>
      <c r="J998" s="855" t="str">
        <f>IFERROR(IF(PRJ_Type="New Construction",H998,INDEX(yControl_Code,MATCH(Inventory!H998,yControlTypes,0),1)),"")</f>
        <v/>
      </c>
      <c r="K998" s="493"/>
      <c r="L998" s="501"/>
      <c r="M998" s="502"/>
      <c r="N998" s="855">
        <f>IFERROR(IFERROR(INDEX('Fixture and LED Schedule'!D:D,MATCH(K998,'Fixture and LED Schedule'!C:C,0),1),K998),"")</f>
        <v>0</v>
      </c>
      <c r="O998" s="858" t="str">
        <f>IFERROR(INDEX(yControl_Code,MATCH(Inventory!M998,yControlTypes,0),1),"")</f>
        <v/>
      </c>
      <c r="P998" s="860" t="str">
        <f>'Lighting Inventory (Ref only)'!AG1001</f>
        <v/>
      </c>
      <c r="Q998" s="861" t="str">
        <f>'Lighting Inventory (Ref only)'!AF1001</f>
        <v/>
      </c>
      <c r="R998" s="856" t="str">
        <f t="shared" si="31"/>
        <v/>
      </c>
      <c r="S998" s="856" t="str">
        <f>IFERROR(ROUND(R998*'Project Info and Summary'!$J$5/'Project Info and Summary'!$L$5,2),"")</f>
        <v/>
      </c>
    </row>
    <row r="999" spans="1:19" ht="30" customHeight="1">
      <c r="A999" s="948"/>
      <c r="B999" s="496">
        <f t="shared" si="30"/>
        <v>990</v>
      </c>
      <c r="C999" s="864"/>
      <c r="D999" s="505"/>
      <c r="E999" s="866"/>
      <c r="F999" s="498"/>
      <c r="G999" s="499"/>
      <c r="H999" s="492"/>
      <c r="I999" s="855">
        <f>IFERROR(IFERROR(INDEX('Fixture and LED Schedule'!D:D,MATCH(F999,'Fixture and LED Schedule'!C:C,""),1),F999),"")</f>
        <v>0</v>
      </c>
      <c r="J999" s="855" t="str">
        <f>IFERROR(IF(PRJ_Type="New Construction",H999,INDEX(yControl_Code,MATCH(Inventory!H999,yControlTypes,0),1)),"")</f>
        <v/>
      </c>
      <c r="K999" s="493"/>
      <c r="L999" s="501"/>
      <c r="M999" s="502"/>
      <c r="N999" s="855">
        <f>IFERROR(IFERROR(INDEX('Fixture and LED Schedule'!D:D,MATCH(K999,'Fixture and LED Schedule'!C:C,0),1),K999),"")</f>
        <v>0</v>
      </c>
      <c r="O999" s="858" t="str">
        <f>IFERROR(INDEX(yControl_Code,MATCH(Inventory!M999,yControlTypes,0),1),"")</f>
        <v/>
      </c>
      <c r="P999" s="860" t="str">
        <f>'Lighting Inventory (Ref only)'!AG1002</f>
        <v/>
      </c>
      <c r="Q999" s="861" t="str">
        <f>'Lighting Inventory (Ref only)'!AF1002</f>
        <v/>
      </c>
      <c r="R999" s="856" t="str">
        <f t="shared" si="31"/>
        <v/>
      </c>
      <c r="S999" s="856" t="str">
        <f>IFERROR(ROUND(R999*'Project Info and Summary'!$J$5/'Project Info and Summary'!$L$5,2),"")</f>
        <v/>
      </c>
    </row>
    <row r="1000" spans="1:19" ht="30" customHeight="1">
      <c r="A1000" s="948"/>
      <c r="B1000" s="496">
        <f t="shared" si="30"/>
        <v>991</v>
      </c>
      <c r="C1000" s="864"/>
      <c r="D1000" s="505"/>
      <c r="E1000" s="866"/>
      <c r="F1000" s="498"/>
      <c r="G1000" s="499"/>
      <c r="H1000" s="492"/>
      <c r="I1000" s="855">
        <f>IFERROR(IFERROR(INDEX('Fixture and LED Schedule'!D:D,MATCH(F1000,'Fixture and LED Schedule'!C:C,""),1),F1000),"")</f>
        <v>0</v>
      </c>
      <c r="J1000" s="855" t="str">
        <f>IFERROR(IF(PRJ_Type="New Construction",H1000,INDEX(yControl_Code,MATCH(Inventory!H1000,yControlTypes,0),1)),"")</f>
        <v/>
      </c>
      <c r="K1000" s="493"/>
      <c r="L1000" s="501"/>
      <c r="M1000" s="502"/>
      <c r="N1000" s="855">
        <f>IFERROR(IFERROR(INDEX('Fixture and LED Schedule'!D:D,MATCH(K1000,'Fixture and LED Schedule'!C:C,0),1),K1000),"")</f>
        <v>0</v>
      </c>
      <c r="O1000" s="858" t="str">
        <f>IFERROR(INDEX(yControl_Code,MATCH(Inventory!M1000,yControlTypes,0),1),"")</f>
        <v/>
      </c>
      <c r="P1000" s="860" t="str">
        <f>'Lighting Inventory (Ref only)'!AG1003</f>
        <v/>
      </c>
      <c r="Q1000" s="861" t="str">
        <f>'Lighting Inventory (Ref only)'!AF1003</f>
        <v/>
      </c>
      <c r="R1000" s="856" t="str">
        <f t="shared" si="31"/>
        <v/>
      </c>
      <c r="S1000" s="856" t="str">
        <f>IFERROR(ROUND(R1000*'Project Info and Summary'!$J$5/'Project Info and Summary'!$L$5,2),"")</f>
        <v/>
      </c>
    </row>
    <row r="1001" spans="1:19" ht="30" customHeight="1">
      <c r="A1001" s="948"/>
      <c r="B1001" s="496">
        <f t="shared" si="30"/>
        <v>992</v>
      </c>
      <c r="C1001" s="864"/>
      <c r="D1001" s="505"/>
      <c r="E1001" s="866"/>
      <c r="F1001" s="498"/>
      <c r="G1001" s="499"/>
      <c r="H1001" s="492"/>
      <c r="I1001" s="855">
        <f>IFERROR(IFERROR(INDEX('Fixture and LED Schedule'!D:D,MATCH(F1001,'Fixture and LED Schedule'!C:C,""),1),F1001),"")</f>
        <v>0</v>
      </c>
      <c r="J1001" s="855" t="str">
        <f>IFERROR(IF(PRJ_Type="New Construction",H1001,INDEX(yControl_Code,MATCH(Inventory!H1001,yControlTypes,0),1)),"")</f>
        <v/>
      </c>
      <c r="K1001" s="493"/>
      <c r="L1001" s="501"/>
      <c r="M1001" s="502"/>
      <c r="N1001" s="855">
        <f>IFERROR(IFERROR(INDEX('Fixture and LED Schedule'!D:D,MATCH(K1001,'Fixture and LED Schedule'!C:C,0),1),K1001),"")</f>
        <v>0</v>
      </c>
      <c r="O1001" s="858" t="str">
        <f>IFERROR(INDEX(yControl_Code,MATCH(Inventory!M1001,yControlTypes,0),1),"")</f>
        <v/>
      </c>
      <c r="P1001" s="860" t="str">
        <f>'Lighting Inventory (Ref only)'!AG1004</f>
        <v/>
      </c>
      <c r="Q1001" s="861" t="str">
        <f>'Lighting Inventory (Ref only)'!AF1004</f>
        <v/>
      </c>
      <c r="R1001" s="856" t="str">
        <f t="shared" si="31"/>
        <v/>
      </c>
      <c r="S1001" s="856" t="str">
        <f>IFERROR(ROUND(R1001*'Project Info and Summary'!$J$5/'Project Info and Summary'!$L$5,2),"")</f>
        <v/>
      </c>
    </row>
    <row r="1002" spans="1:19" ht="30" customHeight="1">
      <c r="A1002" s="948"/>
      <c r="B1002" s="496">
        <f t="shared" si="30"/>
        <v>993</v>
      </c>
      <c r="C1002" s="864"/>
      <c r="D1002" s="505"/>
      <c r="E1002" s="866"/>
      <c r="F1002" s="498"/>
      <c r="G1002" s="499"/>
      <c r="H1002" s="492"/>
      <c r="I1002" s="855">
        <f>IFERROR(IFERROR(INDEX('Fixture and LED Schedule'!D:D,MATCH(F1002,'Fixture and LED Schedule'!C:C,""),1),F1002),"")</f>
        <v>0</v>
      </c>
      <c r="J1002" s="855" t="str">
        <f>IFERROR(IF(PRJ_Type="New Construction",H1002,INDEX(yControl_Code,MATCH(Inventory!H1002,yControlTypes,0),1)),"")</f>
        <v/>
      </c>
      <c r="K1002" s="493"/>
      <c r="L1002" s="501"/>
      <c r="M1002" s="502"/>
      <c r="N1002" s="855">
        <f>IFERROR(IFERROR(INDEX('Fixture and LED Schedule'!D:D,MATCH(K1002,'Fixture and LED Schedule'!C:C,0),1),K1002),"")</f>
        <v>0</v>
      </c>
      <c r="O1002" s="858" t="str">
        <f>IFERROR(INDEX(yControl_Code,MATCH(Inventory!M1002,yControlTypes,0),1),"")</f>
        <v/>
      </c>
      <c r="P1002" s="860" t="str">
        <f>'Lighting Inventory (Ref only)'!AG1005</f>
        <v/>
      </c>
      <c r="Q1002" s="861" t="str">
        <f>'Lighting Inventory (Ref only)'!AF1005</f>
        <v/>
      </c>
      <c r="R1002" s="856" t="str">
        <f t="shared" si="31"/>
        <v/>
      </c>
      <c r="S1002" s="856" t="str">
        <f>IFERROR(ROUND(R1002*'Project Info and Summary'!$J$5/'Project Info and Summary'!$L$5,2),"")</f>
        <v/>
      </c>
    </row>
    <row r="1003" spans="1:19" ht="30" customHeight="1">
      <c r="A1003" s="948"/>
      <c r="B1003" s="496">
        <f t="shared" si="30"/>
        <v>994</v>
      </c>
      <c r="C1003" s="864"/>
      <c r="D1003" s="505"/>
      <c r="E1003" s="866"/>
      <c r="F1003" s="498"/>
      <c r="G1003" s="499"/>
      <c r="H1003" s="492"/>
      <c r="I1003" s="855">
        <f>IFERROR(IFERROR(INDEX('Fixture and LED Schedule'!D:D,MATCH(F1003,'Fixture and LED Schedule'!C:C,""),1),F1003),"")</f>
        <v>0</v>
      </c>
      <c r="J1003" s="855" t="str">
        <f>IFERROR(IF(PRJ_Type="New Construction",H1003,INDEX(yControl_Code,MATCH(Inventory!H1003,yControlTypes,0),1)),"")</f>
        <v/>
      </c>
      <c r="K1003" s="493"/>
      <c r="L1003" s="501"/>
      <c r="M1003" s="502"/>
      <c r="N1003" s="855">
        <f>IFERROR(IFERROR(INDEX('Fixture and LED Schedule'!D:D,MATCH(K1003,'Fixture and LED Schedule'!C:C,0),1),K1003),"")</f>
        <v>0</v>
      </c>
      <c r="O1003" s="858" t="str">
        <f>IFERROR(INDEX(yControl_Code,MATCH(Inventory!M1003,yControlTypes,0),1),"")</f>
        <v/>
      </c>
      <c r="P1003" s="860" t="str">
        <f>'Lighting Inventory (Ref only)'!AG1006</f>
        <v/>
      </c>
      <c r="Q1003" s="861" t="str">
        <f>'Lighting Inventory (Ref only)'!AF1006</f>
        <v/>
      </c>
      <c r="R1003" s="856" t="str">
        <f t="shared" si="31"/>
        <v/>
      </c>
      <c r="S1003" s="856" t="str">
        <f>IFERROR(ROUND(R1003*'Project Info and Summary'!$J$5/'Project Info and Summary'!$L$5,2),"")</f>
        <v/>
      </c>
    </row>
    <row r="1004" spans="1:19" ht="30" customHeight="1">
      <c r="A1004" s="948"/>
      <c r="B1004" s="496">
        <f t="shared" si="30"/>
        <v>995</v>
      </c>
      <c r="C1004" s="864"/>
      <c r="D1004" s="505"/>
      <c r="E1004" s="866"/>
      <c r="F1004" s="498"/>
      <c r="G1004" s="499"/>
      <c r="H1004" s="492"/>
      <c r="I1004" s="855">
        <f>IFERROR(IFERROR(INDEX('Fixture and LED Schedule'!D:D,MATCH(F1004,'Fixture and LED Schedule'!C:C,""),1),F1004),"")</f>
        <v>0</v>
      </c>
      <c r="J1004" s="855" t="str">
        <f>IFERROR(IF(PRJ_Type="New Construction",H1004,INDEX(yControl_Code,MATCH(Inventory!H1004,yControlTypes,0),1)),"")</f>
        <v/>
      </c>
      <c r="K1004" s="493"/>
      <c r="L1004" s="501"/>
      <c r="M1004" s="502"/>
      <c r="N1004" s="855">
        <f>IFERROR(IFERROR(INDEX('Fixture and LED Schedule'!D:D,MATCH(K1004,'Fixture and LED Schedule'!C:C,0),1),K1004),"")</f>
        <v>0</v>
      </c>
      <c r="O1004" s="858" t="str">
        <f>IFERROR(INDEX(yControl_Code,MATCH(Inventory!M1004,yControlTypes,0),1),"")</f>
        <v/>
      </c>
      <c r="P1004" s="860" t="str">
        <f>'Lighting Inventory (Ref only)'!AG1007</f>
        <v/>
      </c>
      <c r="Q1004" s="861" t="str">
        <f>'Lighting Inventory (Ref only)'!AF1007</f>
        <v/>
      </c>
      <c r="R1004" s="856" t="str">
        <f t="shared" si="31"/>
        <v/>
      </c>
      <c r="S1004" s="856" t="str">
        <f>IFERROR(ROUND(R1004*'Project Info and Summary'!$J$5/'Project Info and Summary'!$L$5,2),"")</f>
        <v/>
      </c>
    </row>
    <row r="1005" spans="1:19" ht="30" customHeight="1">
      <c r="A1005" s="948"/>
      <c r="B1005" s="496">
        <f t="shared" si="30"/>
        <v>996</v>
      </c>
      <c r="C1005" s="864"/>
      <c r="D1005" s="505"/>
      <c r="E1005" s="866"/>
      <c r="F1005" s="498"/>
      <c r="G1005" s="499"/>
      <c r="H1005" s="492"/>
      <c r="I1005" s="855">
        <f>IFERROR(IFERROR(INDEX('Fixture and LED Schedule'!D:D,MATCH(F1005,'Fixture and LED Schedule'!C:C,""),1),F1005),"")</f>
        <v>0</v>
      </c>
      <c r="J1005" s="855" t="str">
        <f>IFERROR(IF(PRJ_Type="New Construction",H1005,INDEX(yControl_Code,MATCH(Inventory!H1005,yControlTypes,0),1)),"")</f>
        <v/>
      </c>
      <c r="K1005" s="493"/>
      <c r="L1005" s="501"/>
      <c r="M1005" s="502"/>
      <c r="N1005" s="855">
        <f>IFERROR(IFERROR(INDEX('Fixture and LED Schedule'!D:D,MATCH(K1005,'Fixture and LED Schedule'!C:C,0),1),K1005),"")</f>
        <v>0</v>
      </c>
      <c r="O1005" s="858" t="str">
        <f>IFERROR(INDEX(yControl_Code,MATCH(Inventory!M1005,yControlTypes,0),1),"")</f>
        <v/>
      </c>
      <c r="P1005" s="860" t="str">
        <f>'Lighting Inventory (Ref only)'!AG1008</f>
        <v/>
      </c>
      <c r="Q1005" s="861" t="str">
        <f>'Lighting Inventory (Ref only)'!AF1008</f>
        <v/>
      </c>
      <c r="R1005" s="856" t="str">
        <f t="shared" si="31"/>
        <v/>
      </c>
      <c r="S1005" s="856" t="str">
        <f>IFERROR(ROUND(R1005*'Project Info and Summary'!$J$5/'Project Info and Summary'!$L$5,2),"")</f>
        <v/>
      </c>
    </row>
    <row r="1006" spans="1:19" ht="30" customHeight="1">
      <c r="A1006" s="948"/>
      <c r="B1006" s="496">
        <f t="shared" si="30"/>
        <v>997</v>
      </c>
      <c r="C1006" s="864"/>
      <c r="D1006" s="505"/>
      <c r="E1006" s="866"/>
      <c r="F1006" s="498"/>
      <c r="G1006" s="499"/>
      <c r="H1006" s="492"/>
      <c r="I1006" s="855">
        <f>IFERROR(IFERROR(INDEX('Fixture and LED Schedule'!D:D,MATCH(F1006,'Fixture and LED Schedule'!C:C,""),1),F1006),"")</f>
        <v>0</v>
      </c>
      <c r="J1006" s="855" t="str">
        <f>IFERROR(IF(PRJ_Type="New Construction",H1006,INDEX(yControl_Code,MATCH(Inventory!H1006,yControlTypes,0),1)),"")</f>
        <v/>
      </c>
      <c r="K1006" s="493"/>
      <c r="L1006" s="501"/>
      <c r="M1006" s="502"/>
      <c r="N1006" s="855">
        <f>IFERROR(IFERROR(INDEX('Fixture and LED Schedule'!D:D,MATCH(K1006,'Fixture and LED Schedule'!C:C,0),1),K1006),"")</f>
        <v>0</v>
      </c>
      <c r="O1006" s="858" t="str">
        <f>IFERROR(INDEX(yControl_Code,MATCH(Inventory!M1006,yControlTypes,0),1),"")</f>
        <v/>
      </c>
      <c r="P1006" s="860" t="str">
        <f>'Lighting Inventory (Ref only)'!AG1009</f>
        <v/>
      </c>
      <c r="Q1006" s="861" t="str">
        <f>'Lighting Inventory (Ref only)'!AF1009</f>
        <v/>
      </c>
      <c r="R1006" s="856" t="str">
        <f t="shared" si="31"/>
        <v/>
      </c>
      <c r="S1006" s="856" t="str">
        <f>IFERROR(ROUND(R1006*'Project Info and Summary'!$J$5/'Project Info and Summary'!$L$5,2),"")</f>
        <v/>
      </c>
    </row>
    <row r="1007" spans="1:19" ht="30" customHeight="1">
      <c r="A1007" s="948"/>
      <c r="B1007" s="496">
        <f t="shared" si="30"/>
        <v>998</v>
      </c>
      <c r="C1007" s="864"/>
      <c r="D1007" s="505"/>
      <c r="E1007" s="866"/>
      <c r="F1007" s="498"/>
      <c r="G1007" s="499"/>
      <c r="H1007" s="492"/>
      <c r="I1007" s="855">
        <f>IFERROR(IFERROR(INDEX('Fixture and LED Schedule'!D:D,MATCH(F1007,'Fixture and LED Schedule'!C:C,""),1),F1007),"")</f>
        <v>0</v>
      </c>
      <c r="J1007" s="855" t="str">
        <f>IFERROR(IF(PRJ_Type="New Construction",H1007,INDEX(yControl_Code,MATCH(Inventory!H1007,yControlTypes,0),1)),"")</f>
        <v/>
      </c>
      <c r="K1007" s="493"/>
      <c r="L1007" s="501"/>
      <c r="M1007" s="502"/>
      <c r="N1007" s="855">
        <f>IFERROR(IFERROR(INDEX('Fixture and LED Schedule'!D:D,MATCH(K1007,'Fixture and LED Schedule'!C:C,0),1),K1007),"")</f>
        <v>0</v>
      </c>
      <c r="O1007" s="858" t="str">
        <f>IFERROR(INDEX(yControl_Code,MATCH(Inventory!M1007,yControlTypes,0),1),"")</f>
        <v/>
      </c>
      <c r="P1007" s="860" t="str">
        <f>'Lighting Inventory (Ref only)'!AG1010</f>
        <v/>
      </c>
      <c r="Q1007" s="861" t="str">
        <f>'Lighting Inventory (Ref only)'!AF1010</f>
        <v/>
      </c>
      <c r="R1007" s="856" t="str">
        <f t="shared" si="31"/>
        <v/>
      </c>
      <c r="S1007" s="856" t="str">
        <f>IFERROR(ROUND(R1007*'Project Info and Summary'!$J$5/'Project Info and Summary'!$L$5,2),"")</f>
        <v/>
      </c>
    </row>
    <row r="1008" spans="1:19" ht="30" customHeight="1">
      <c r="A1008" s="948"/>
      <c r="B1008" s="496">
        <f t="shared" si="30"/>
        <v>999</v>
      </c>
      <c r="C1008" s="864"/>
      <c r="D1008" s="505"/>
      <c r="E1008" s="866"/>
      <c r="F1008" s="498"/>
      <c r="G1008" s="499"/>
      <c r="H1008" s="492"/>
      <c r="I1008" s="855">
        <f>IFERROR(IFERROR(INDEX('Fixture and LED Schedule'!D:D,MATCH(F1008,'Fixture and LED Schedule'!C:C,""),1),F1008),"")</f>
        <v>0</v>
      </c>
      <c r="J1008" s="855" t="str">
        <f>IFERROR(IF(PRJ_Type="New Construction",H1008,INDEX(yControl_Code,MATCH(Inventory!H1008,yControlTypes,0),1)),"")</f>
        <v/>
      </c>
      <c r="K1008" s="493"/>
      <c r="L1008" s="501"/>
      <c r="M1008" s="502"/>
      <c r="N1008" s="855">
        <f>IFERROR(IFERROR(INDEX('Fixture and LED Schedule'!D:D,MATCH(K1008,'Fixture and LED Schedule'!C:C,0),1),K1008),"")</f>
        <v>0</v>
      </c>
      <c r="O1008" s="858" t="str">
        <f>IFERROR(INDEX(yControl_Code,MATCH(Inventory!M1008,yControlTypes,0),1),"")</f>
        <v/>
      </c>
      <c r="P1008" s="860" t="str">
        <f>'Lighting Inventory (Ref only)'!AG1011</f>
        <v/>
      </c>
      <c r="Q1008" s="861" t="str">
        <f>'Lighting Inventory (Ref only)'!AF1011</f>
        <v/>
      </c>
      <c r="R1008" s="856" t="str">
        <f t="shared" si="31"/>
        <v/>
      </c>
      <c r="S1008" s="856" t="str">
        <f>IFERROR(ROUND(R1008*'Project Info and Summary'!$J$5/'Project Info and Summary'!$L$5,2),"")</f>
        <v/>
      </c>
    </row>
    <row r="1009" spans="1:19" ht="30" customHeight="1">
      <c r="A1009" s="948"/>
      <c r="B1009" s="496">
        <f t="shared" si="30"/>
        <v>1000</v>
      </c>
      <c r="C1009" s="864"/>
      <c r="D1009" s="505"/>
      <c r="E1009" s="866"/>
      <c r="F1009" s="498"/>
      <c r="G1009" s="499"/>
      <c r="H1009" s="492"/>
      <c r="I1009" s="855">
        <f>IFERROR(IFERROR(INDEX('Fixture and LED Schedule'!D:D,MATCH(F1009,'Fixture and LED Schedule'!C:C,""),1),F1009),"")</f>
        <v>0</v>
      </c>
      <c r="J1009" s="855" t="str">
        <f>IFERROR(IF(PRJ_Type="New Construction",H1009,INDEX(yControl_Code,MATCH(Inventory!H1009,yControlTypes,0),1)),"")</f>
        <v/>
      </c>
      <c r="K1009" s="493"/>
      <c r="L1009" s="501"/>
      <c r="M1009" s="502"/>
      <c r="N1009" s="855">
        <f>IFERROR(IFERROR(INDEX('Fixture and LED Schedule'!D:D,MATCH(K1009,'Fixture and LED Schedule'!C:C,0),1),K1009),"")</f>
        <v>0</v>
      </c>
      <c r="O1009" s="858" t="str">
        <f>IFERROR(INDEX(yControl_Code,MATCH(Inventory!M1009,yControlTypes,0),1),"")</f>
        <v/>
      </c>
      <c r="P1009" s="860" t="str">
        <f>'Lighting Inventory (Ref only)'!AG1012</f>
        <v/>
      </c>
      <c r="Q1009" s="861" t="str">
        <f>'Lighting Inventory (Ref only)'!AF1012</f>
        <v/>
      </c>
      <c r="R1009" s="856" t="str">
        <f t="shared" si="31"/>
        <v/>
      </c>
      <c r="S1009" s="856" t="str">
        <f>IFERROR(ROUND(R1009*'Project Info and Summary'!$J$5/'Project Info and Summary'!$L$5,2),"")</f>
        <v/>
      </c>
    </row>
    <row r="1010" spans="1:19" ht="30" customHeight="1"/>
  </sheetData>
  <sheetProtection algorithmName="SHA-512" hashValue="U0tAOnILyHGXJW7N5BfHWNy3gvFkvM2/hg1AJIbIjF9iSl8bWoES2t0sRYJEZumTyN4K1WNkY99FEKpuXdsFtA==" saltValue="L0UcO7vP/3FYpv+M83KOWw==" spinCount="100000" sheet="1" objects="1" scenarios="1"/>
  <protectedRanges>
    <protectedRange sqref="L10:M1009" name="Post2"/>
    <protectedRange sqref="F10:H1009" name="Pre"/>
    <protectedRange sqref="C10:E1009" name="Fixture Inputs"/>
    <protectedRange sqref="K10:K1009" name="Post"/>
  </protectedRanges>
  <dataConsolidate/>
  <mergeCells count="7">
    <mergeCell ref="R6:R7"/>
    <mergeCell ref="S6:S7"/>
    <mergeCell ref="B6:B7"/>
    <mergeCell ref="P6:P7"/>
    <mergeCell ref="A6:A1009"/>
    <mergeCell ref="C6:E6"/>
    <mergeCell ref="Q6:Q7"/>
  </mergeCells>
  <conditionalFormatting sqref="G7:G10 G15:G1009">
    <cfRule type="expression" dxfId="79" priority="42">
      <formula>PRJ_Type="New Construction"</formula>
    </cfRule>
  </conditionalFormatting>
  <conditionalFormatting sqref="F7:F9">
    <cfRule type="expression" dxfId="78" priority="38">
      <formula>PRJ_Type="New Construction"</formula>
    </cfRule>
  </conditionalFormatting>
  <conditionalFormatting sqref="H15:H1009">
    <cfRule type="expression" priority="34" stopIfTrue="1">
      <formula>C15="Y"</formula>
    </cfRule>
    <cfRule type="expression" dxfId="77" priority="35">
      <formula>PRJ_Type="New Construction"</formula>
    </cfRule>
  </conditionalFormatting>
  <conditionalFormatting sqref="H8:H9">
    <cfRule type="expression" priority="23" stopIfTrue="1">
      <formula>C8="Y"</formula>
    </cfRule>
    <cfRule type="expression" dxfId="76" priority="24">
      <formula>PRJ_Type="New Construction"</formula>
    </cfRule>
  </conditionalFormatting>
  <conditionalFormatting sqref="G11">
    <cfRule type="expression" dxfId="75" priority="21">
      <formula>PRJ_Type="New Construction"</formula>
    </cfRule>
  </conditionalFormatting>
  <conditionalFormatting sqref="H10:H11">
    <cfRule type="expression" priority="18" stopIfTrue="1">
      <formula>C10="Y"</formula>
    </cfRule>
    <cfRule type="expression" dxfId="74" priority="19">
      <formula>PRJ_Type="New Construction"</formula>
    </cfRule>
  </conditionalFormatting>
  <conditionalFormatting sqref="F10:F11 F15:F1009">
    <cfRule type="expression" dxfId="73" priority="16">
      <formula>PRJ_Type="New Construction"</formula>
    </cfRule>
  </conditionalFormatting>
  <conditionalFormatting sqref="G14">
    <cfRule type="expression" dxfId="72" priority="12">
      <formula>PRJ_Type="New Construction"</formula>
    </cfRule>
  </conditionalFormatting>
  <conditionalFormatting sqref="H14">
    <cfRule type="expression" priority="10" stopIfTrue="1">
      <formula>C14="Y"</formula>
    </cfRule>
    <cfRule type="expression" dxfId="71" priority="11">
      <formula>PRJ_Type="New Construction"</formula>
    </cfRule>
  </conditionalFormatting>
  <conditionalFormatting sqref="F14">
    <cfRule type="expression" dxfId="70" priority="9">
      <formula>PRJ_Type="New Construction"</formula>
    </cfRule>
  </conditionalFormatting>
  <conditionalFormatting sqref="G12">
    <cfRule type="expression" dxfId="69" priority="8">
      <formula>PRJ_Type="New Construction"</formula>
    </cfRule>
  </conditionalFormatting>
  <conditionalFormatting sqref="H12">
    <cfRule type="expression" priority="6" stopIfTrue="1">
      <formula>C12="Y"</formula>
    </cfRule>
    <cfRule type="expression" dxfId="68" priority="7">
      <formula>PRJ_Type="New Construction"</formula>
    </cfRule>
  </conditionalFormatting>
  <conditionalFormatting sqref="F12">
    <cfRule type="expression" dxfId="67" priority="5">
      <formula>PRJ_Type="New Construction"</formula>
    </cfRule>
  </conditionalFormatting>
  <conditionalFormatting sqref="G13">
    <cfRule type="expression" dxfId="66" priority="4">
      <formula>PRJ_Type="New Construction"</formula>
    </cfRule>
  </conditionalFormatting>
  <conditionalFormatting sqref="H13">
    <cfRule type="expression" priority="2" stopIfTrue="1">
      <formula>C13="Y"</formula>
    </cfRule>
    <cfRule type="expression" dxfId="65" priority="3">
      <formula>PRJ_Type="New Construction"</formula>
    </cfRule>
  </conditionalFormatting>
  <conditionalFormatting sqref="F13">
    <cfRule type="expression" dxfId="64" priority="1">
      <formula>PRJ_Type="New Construction"</formula>
    </cfRule>
  </conditionalFormatting>
  <dataValidations xWindow="581" yWindow="557" count="11">
    <dataValidation type="list" showErrorMessage="1" sqref="O9 M10:M1009" xr:uid="{00000000-0002-0000-0300-000000000000}">
      <formula1>yControlTypes</formula1>
      <formula2>0</formula2>
    </dataValidation>
    <dataValidation showErrorMessage="1" sqref="O10:P1009 P9 J10:J1009" xr:uid="{00000000-0002-0000-0300-000001000000}"/>
    <dataValidation type="custom" allowBlank="1" showInputMessage="1" showErrorMessage="1" sqref="M1" xr:uid="{00000000-0002-0000-0300-000002000000}">
      <formula1>OR(M1=1,M1=4)</formula1>
    </dataValidation>
    <dataValidation type="list" showErrorMessage="1" sqref="H10:H1009" xr:uid="{00000000-0002-0000-0300-000003000000}">
      <formula1>IF(AND(C10="Y",PRJ_Type="New Construction"),yNCExArea,yControlTypes)</formula1>
    </dataValidation>
    <dataValidation allowBlank="1" showInputMessage="1" showErrorMessage="1" prompt="Enter a unique space description of the light's location." sqref="D10" xr:uid="{00000000-0002-0000-0300-000004000000}"/>
    <dataValidation allowBlank="1" showInputMessage="1" showErrorMessage="1" prompt="Enter a fixture quantity" sqref="G10" xr:uid="{00000000-0002-0000-0300-000005000000}"/>
    <dataValidation type="custom" allowBlank="1" showInputMessage="1" showErrorMessage="1" errorTitle="Fixture Code Not Found" error="Fixture Code Not Found. Please enter a different fixture code." sqref="K11:K1009" xr:uid="{00000000-0002-0000-0300-000006000000}">
      <formula1>OR(ISERROR(MATCH(K11,yFixture_Type,0))=FALSE,ISERROR(MATCH(K11,yLED_Type,0))=FALSE,ISERROR(MATCH(K11,yFixture_Code,0))=FALSE)</formula1>
    </dataValidation>
    <dataValidation type="list" allowBlank="1" showInputMessage="1" showErrorMessage="1" prompt="Select a Usage Group Type_x000a__x000a_Exterior Spaces should use &quot;Exterior (Dusk to Dawn)&quot; or a Usage Group Schedule" sqref="E14" xr:uid="{00000000-0002-0000-0300-000007000000}">
      <formula1>ySpace_Types</formula1>
    </dataValidation>
    <dataValidation type="list" allowBlank="1" showInputMessage="1" showErrorMessage="1" sqref="K5" xr:uid="{00000000-0002-0000-0300-000008000000}">
      <formula1>yLED_Type</formula1>
    </dataValidation>
    <dataValidation type="list" allowBlank="1" showErrorMessage="1" sqref="C10:C1009" xr:uid="{00000000-0002-0000-0300-000009000000}">
      <formula1>"Y,N"</formula1>
    </dataValidation>
    <dataValidation type="list" allowBlank="1" showInputMessage="1" showErrorMessage="1" sqref="E15:E1009 E10:E13" xr:uid="{00000000-0002-0000-0300-00000A000000}">
      <formula1>ySpace_Types</formula1>
    </dataValidation>
  </dataValidations>
  <hyperlinks>
    <hyperlink ref="H7" location="Instructions!B300:G325" tooltip=" " display="Instructions!B300:G325" xr:uid="{00000000-0004-0000-0300-000000000000}"/>
    <hyperlink ref="M7" location="Instructions!B300:G325" display="Instructions!B300:G325" xr:uid="{00000000-0004-0000-0300-000001000000}"/>
  </hyperlinks>
  <pageMargins left="0.7" right="0.7" top="0.75" bottom="0.75" header="0.51180555555555596" footer="0.51180555555555596"/>
  <pageSetup scale="62" firstPageNumber="0" fitToHeight="10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92" id="{DE5D2AD0-E57C-47D0-879F-050443ED3381}">
            <xm:f>'Project Info and Summary'!#REF!&gt;750000</xm:f>
            <x14:dxf>
              <font>
                <b/>
                <i val="0"/>
                <color theme="4"/>
              </font>
            </x14:dxf>
          </x14:cfRule>
          <xm:sqref>F4</xm:sqref>
        </x14:conditionalFormatting>
        <x14:conditionalFormatting xmlns:xm="http://schemas.microsoft.com/office/excel/2006/main">
          <x14:cfRule type="expression" priority="193" id="{64450350-AFBD-4271-A43F-B9F28F9B0EE0}">
            <xm:f>AND('Project Info and Summary'!#REF!&gt;120000,COUNTA('Usage Groups (&gt;120 MWh only)'!$B$8:$B$12)=0)</xm:f>
            <x14:dxf>
              <font>
                <b/>
                <i val="0"/>
                <color theme="4"/>
              </font>
            </x14:dxf>
          </x14:cfRule>
          <xm:sqref>F3</xm:sqref>
        </x14:conditionalFormatting>
      </x14:conditionalFormattings>
    </ext>
    <ext xmlns:x14="http://schemas.microsoft.com/office/spreadsheetml/2009/9/main" uri="{CCE6A557-97BC-4b89-ADB6-D9C93CAAB3DF}">
      <x14:dataValidations xmlns:xm="http://schemas.microsoft.com/office/excel/2006/main" xWindow="581" yWindow="557" count="3">
        <x14:dataValidation type="custom" allowBlank="1" showInputMessage="1" showErrorMessage="1" errorTitle="Fixture Code Not Found" error="Fixture Code Not Found. Please enter a different fixture code." prompt="This must be a Fixture Code from the Utility Fixture Codes list or a Custom Fixture Code created on the Fixture and LED Schedule tab." xr:uid="{00000000-0002-0000-0300-00000B000000}">
          <x14:formula1>
            <xm:f>OR(ISERROR(MATCH(K10,'Fixture and LED Schedule'!C:C,0))=FALSE,ISERROR(MATCH(K10,'Fixture Identities'!B:B,0))=FALSE)</xm:f>
          </x14:formula1>
          <xm:sqref>K10</xm:sqref>
        </x14:dataValidation>
        <x14:dataValidation type="custom" allowBlank="1" showInputMessage="1" showErrorMessage="1" xr:uid="{00000000-0002-0000-0300-00000C000000}">
          <x14:formula1>
            <xm:f>OR(ISERROR(MATCH(F11,'Fixture and LED Schedule'!C:C,0))=FALSE,ISERROR(MATCH(F11,'Fixture Identities'!B:B,0))=FALSE)</xm:f>
          </x14:formula1>
          <xm:sqref>F11:F1009</xm:sqref>
        </x14:dataValidation>
        <x14:dataValidation type="custom" allowBlank="1" showInputMessage="1" showErrorMessage="1" promptTitle="Using unique fixture identifier?" prompt="Unfortunately, unique fixture identifiers don't work here. Instead, enter the code automatically generated (the gray box in Col. D on the Fixture and LED Schedule tab) for that fixture. " xr:uid="{00000000-0002-0000-0300-00000D000000}">
          <x14:formula1>
            <xm:f>OR(ISERROR(MATCH(F10,'Fixture and LED Schedule'!C:C,0))=FALSE,ISERROR(MATCH(F10,'Fixture Identities'!B:B,0))=FALSE)</xm:f>
          </x14:formula1>
          <xm:sqref>F10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704A-8F05-4B4F-A8B0-329C36ABD11B}">
  <sheetPr codeName="Sheet6">
    <tabColor rgb="FF00B0F0"/>
  </sheetPr>
  <dimension ref="A1:AR1001"/>
  <sheetViews>
    <sheetView workbookViewId="0">
      <pane ySplit="1" topLeftCell="A2" activePane="bottomLeft" state="frozen"/>
      <selection pane="bottomLeft" activeCell="C2" sqref="C2"/>
    </sheetView>
  </sheetViews>
  <sheetFormatPr defaultRowHeight="14.25"/>
  <cols>
    <col min="1" max="1" width="8.5" style="298" customWidth="1"/>
    <col min="2" max="2" width="9.75" style="298" customWidth="1"/>
    <col min="3" max="3" width="20.625" style="298" customWidth="1"/>
    <col min="4" max="4" width="12.875" style="298" customWidth="1"/>
    <col min="5" max="5" width="14" style="298" customWidth="1"/>
    <col min="6" max="6" width="9.625" style="298" customWidth="1"/>
    <col min="7" max="7" width="14.875" style="298" bestFit="1" customWidth="1"/>
    <col min="8" max="8" width="6.875" style="298" customWidth="1"/>
    <col min="9" max="9" width="17.625" style="298" customWidth="1"/>
    <col min="10" max="10" width="16" style="298" customWidth="1"/>
    <col min="11" max="11" width="16.875" style="298" customWidth="1"/>
    <col min="12" max="12" width="23.375" style="298" customWidth="1"/>
    <col min="13" max="13" width="37.625" style="298" customWidth="1"/>
    <col min="14" max="14" width="16.125" style="298" bestFit="1" customWidth="1"/>
    <col min="15" max="15" width="13" style="298" customWidth="1"/>
    <col min="16" max="16" width="22.75" style="298" customWidth="1"/>
    <col min="17" max="17" width="16.25" style="298" customWidth="1"/>
    <col min="18" max="18" width="17.5" style="298" bestFit="1" customWidth="1"/>
    <col min="19" max="19" width="12.25" style="298" customWidth="1"/>
    <col min="20" max="20" width="23.25" style="298" customWidth="1"/>
    <col min="21" max="21" width="15.875" style="298" customWidth="1"/>
    <col min="22" max="22" width="16.125" style="298" customWidth="1"/>
    <col min="23" max="23" width="20" style="298" customWidth="1"/>
    <col min="24" max="24" width="11.625" style="298" customWidth="1"/>
    <col min="25" max="25" width="23.875" style="298" customWidth="1"/>
    <col min="26" max="26" width="16" style="298" bestFit="1" customWidth="1"/>
    <col min="27" max="27" width="19.125" style="298" customWidth="1"/>
    <col min="28" max="28" width="20.75" style="298" customWidth="1"/>
    <col min="29" max="30" width="13.375" style="298" customWidth="1"/>
    <col min="31" max="31" width="16.25" style="298" bestFit="1" customWidth="1"/>
    <col min="32" max="32" width="14.5" style="298" bestFit="1" customWidth="1"/>
    <col min="33" max="33" width="12.5" style="298" customWidth="1"/>
    <col min="34" max="34" width="14.375" style="298" customWidth="1"/>
    <col min="35" max="35" width="15.375" style="298" customWidth="1"/>
    <col min="36" max="36" width="19.875" style="298" customWidth="1"/>
    <col min="37" max="37" width="17.25" style="375" customWidth="1"/>
    <col min="38" max="39" width="12.875" style="375" customWidth="1"/>
    <col min="40" max="40" width="17.75" style="375" customWidth="1"/>
    <col min="41" max="41" width="17.25" style="375" customWidth="1"/>
    <col min="42" max="16384" width="9" style="298"/>
  </cols>
  <sheetData>
    <row r="1" spans="1:44" ht="47.25" customHeight="1">
      <c r="A1" s="297" t="s">
        <v>436</v>
      </c>
      <c r="B1" s="297" t="s">
        <v>437</v>
      </c>
      <c r="C1" s="297" t="s">
        <v>438</v>
      </c>
      <c r="D1" s="297" t="s">
        <v>439</v>
      </c>
      <c r="E1" s="298" t="s">
        <v>440</v>
      </c>
      <c r="F1" s="297" t="s">
        <v>441</v>
      </c>
      <c r="G1" s="298" t="s">
        <v>442</v>
      </c>
      <c r="H1" s="298" t="s">
        <v>443</v>
      </c>
      <c r="I1" s="297" t="s">
        <v>444</v>
      </c>
      <c r="J1" s="297" t="s">
        <v>445</v>
      </c>
      <c r="K1" s="298" t="s">
        <v>446</v>
      </c>
      <c r="L1" s="298" t="s">
        <v>416</v>
      </c>
      <c r="M1" s="297" t="s">
        <v>447</v>
      </c>
      <c r="N1" s="297" t="s">
        <v>448</v>
      </c>
      <c r="O1" s="367" t="s">
        <v>449</v>
      </c>
      <c r="P1" s="367" t="s">
        <v>450</v>
      </c>
      <c r="Q1" s="367" t="s">
        <v>5045</v>
      </c>
      <c r="R1" s="367" t="s">
        <v>451</v>
      </c>
      <c r="S1" s="367" t="s">
        <v>452</v>
      </c>
      <c r="T1" s="367" t="s">
        <v>453</v>
      </c>
      <c r="U1" s="368" t="s">
        <v>454</v>
      </c>
      <c r="V1" s="368" t="s">
        <v>455</v>
      </c>
      <c r="W1" s="368" t="s">
        <v>456</v>
      </c>
      <c r="X1" s="368" t="s">
        <v>457</v>
      </c>
      <c r="Y1" s="368" t="s">
        <v>458</v>
      </c>
      <c r="Z1" s="368" t="s">
        <v>459</v>
      </c>
      <c r="AA1" s="368" t="s">
        <v>460</v>
      </c>
      <c r="AB1" s="368" t="s">
        <v>461</v>
      </c>
      <c r="AC1" s="297" t="s">
        <v>462</v>
      </c>
      <c r="AD1" s="297" t="s">
        <v>463</v>
      </c>
      <c r="AE1" s="297" t="s">
        <v>464</v>
      </c>
      <c r="AF1" s="297" t="s">
        <v>465</v>
      </c>
      <c r="AG1" s="297" t="s">
        <v>466</v>
      </c>
      <c r="AH1" s="297" t="s">
        <v>467</v>
      </c>
      <c r="AI1" s="297" t="s">
        <v>468</v>
      </c>
      <c r="AJ1" s="297" t="s">
        <v>469</v>
      </c>
      <c r="AK1" s="369" t="s">
        <v>470</v>
      </c>
      <c r="AL1" s="369" t="s">
        <v>471</v>
      </c>
      <c r="AM1" s="369" t="s">
        <v>472</v>
      </c>
      <c r="AN1" s="369" t="s">
        <v>473</v>
      </c>
      <c r="AO1" s="369" t="s">
        <v>474</v>
      </c>
      <c r="AP1" s="297" t="s">
        <v>475</v>
      </c>
      <c r="AQ1" s="297" t="s">
        <v>476</v>
      </c>
      <c r="AR1" s="297" t="s">
        <v>477</v>
      </c>
    </row>
    <row r="2" spans="1:44">
      <c r="A2" s="298" t="str">
        <f>IF(G2="", "", Lookups!BF4)</f>
        <v/>
      </c>
      <c r="B2" s="298" t="str">
        <f>IF('Lighting Inventory (Ref only)'!Q13="", "", 'Lighting Inventory (Ref only)'!Q13)</f>
        <v/>
      </c>
      <c r="C2" s="298" t="str">
        <f>IF(A2="", "", 'Lighting Inventory (Ref only)'!AO13)</f>
        <v/>
      </c>
      <c r="D2" s="370" t="str">
        <f>IF(B2= "","", Inventory!S10)</f>
        <v/>
      </c>
      <c r="E2" s="371"/>
      <c r="F2" s="298" t="str">
        <f>IF(B2="", "", 'Version Log'!$B$34)</f>
        <v/>
      </c>
      <c r="G2" s="298" t="str">
        <f t="shared" ref="G2:G65" si="0">IF(B2="", "", PRJ_Type)</f>
        <v/>
      </c>
      <c r="H2" s="298" t="str">
        <f t="shared" ref="H2:H65" si="1">IF(B2="", "", SqFt)</f>
        <v/>
      </c>
      <c r="I2" s="298" t="str">
        <f>IF(B2="", "",Inventory!D10)</f>
        <v/>
      </c>
      <c r="J2" s="298" t="str">
        <f>IF(B2="","",IF(Inventory!C10="N","Interior","Exterior"))</f>
        <v/>
      </c>
      <c r="K2" s="298" t="str">
        <f t="shared" ref="K2:K65" si="2">IF(B2="", "", Building_Type)</f>
        <v/>
      </c>
      <c r="L2" s="298" t="str">
        <f>IF(B2="", "", Inventory!E10)</f>
        <v/>
      </c>
      <c r="M2" s="298" t="str">
        <f>IF(B2="","",IF(Cool_Type=Lookups!$L$9,Cool_Type,IF(Cool_Type=Lookups!$L$10,Cool_Type,IF(Cool_Type=Lookups!$L$11,Cool_Type,IF(Cool_Type=Lookups!L12,Cool_Type,IF('Project Info and Summary'!$C$20="Electric",CONCATENATE(Cool_Type," ",Heating_Type," Heat"),IF('Project Info and Summary'!$C$20="Non-Electric",CONCATENATE(Cool_Type," ",Heating_Type," Heat"),CONCATENATE(Cool_Type," ",Heating_Type))))))))</f>
        <v/>
      </c>
      <c r="N2" s="298" t="str">
        <f t="shared" ref="N2:N65" si="3">IF(B2="", "",Heating_Type)</f>
        <v/>
      </c>
      <c r="O2" s="298" t="str">
        <f>IF(B2="", "", 'Lighting Inventory (Ref only)'!G13)</f>
        <v/>
      </c>
      <c r="P2" s="298" t="str">
        <f>IF(B2="", "", 'Lighting Inventory (Ref only)'!E13)</f>
        <v/>
      </c>
      <c r="Q2" s="298" t="str">
        <f>IF(B2="", "", 'Lighting Inventory (Ref only)'!J13)</f>
        <v/>
      </c>
      <c r="R2" s="298" t="str">
        <f>IF(B2="", "",'Lighting Inventory (Ref only)'!K13)</f>
        <v/>
      </c>
      <c r="S2" s="372" t="str">
        <f>IF(B2="", "", 'Lighting Inventory (Ref only)'!G13*'Lighting Inventory (Ref only)'!K13/1000)</f>
        <v/>
      </c>
      <c r="T2" s="298" t="str">
        <f>IF(B2="", "", IF('Lighting Inventory (Ref only)'!I13="", "Light Switch",Inventory!H10))</f>
        <v/>
      </c>
      <c r="U2" s="298" t="str">
        <f>IF(B2="", "", 'Lighting Inventory (Ref only)'!Q13)</f>
        <v/>
      </c>
      <c r="V2" s="298" t="str">
        <f>IF(B2="", "", 'Lighting Inventory (Ref only)'!K13)</f>
        <v/>
      </c>
      <c r="W2" s="373" t="str">
        <f>IF(B2="","",('Lighting Inventory (Ref only)'!L13/1000))</f>
        <v/>
      </c>
      <c r="X2" s="298" t="str">
        <f>IF(B2="", "", 'Lighting Inventory (Ref only)'!Q13)</f>
        <v/>
      </c>
      <c r="Y2" s="298" t="str">
        <f>IF(C2="", "", Inventory!N10)</f>
        <v/>
      </c>
      <c r="Z2" s="374" t="str">
        <f>IF(B2="", "", 'Lighting Inventory (Ref only)'!P13)</f>
        <v/>
      </c>
      <c r="AA2" s="372" t="str">
        <f>IF(B2="", "",'Lighting Inventory (Ref only)'!R13/1000)</f>
        <v/>
      </c>
      <c r="AB2" s="372" t="str">
        <f>IF(B2="", "", Inventory!M10)</f>
        <v/>
      </c>
      <c r="AC2" s="374" t="str">
        <f>IF(B2="", "", 'Lighting Inventory (Ref only)'!T13)</f>
        <v/>
      </c>
      <c r="AD2" s="374" t="str">
        <f>IF(C2="", "", 'Lighting Inventory (Ref only)'!AA13)</f>
        <v/>
      </c>
      <c r="AE2" s="375" t="str">
        <f>IF(B2="", "", 'Lighting Inventory (Ref only)'!U13)</f>
        <v/>
      </c>
      <c r="AF2" s="375" t="str">
        <f>IF(B2="", "",'Lighting Inventory (Ref only)'!W13)</f>
        <v/>
      </c>
      <c r="AG2" s="375" t="str">
        <f>IF(B2="", "", 'Lighting Inventory (Ref only)'!V13)</f>
        <v/>
      </c>
      <c r="AH2" s="375" t="str">
        <f>IF(B2="", "",'Lighting Inventory (Ref only)'!Z13)</f>
        <v/>
      </c>
      <c r="AI2" s="375" t="str">
        <f>IF(B2="", "", 'Lighting Inventory (Ref only)'!Y13)</f>
        <v/>
      </c>
      <c r="AJ2" s="375" t="str">
        <f>IF(C2="", "",'Lighting Inventory (Ref only)'!AB13)</f>
        <v/>
      </c>
      <c r="AK2" s="375" t="str">
        <f>IF(B2="", "", 'Lighting Inventory (Ref only)'!AG13)</f>
        <v/>
      </c>
      <c r="AL2" s="375" t="str">
        <f>IF(B2="", "", 'Lighting Inventory (Ref only)'!AD13)</f>
        <v/>
      </c>
      <c r="AM2" s="375" t="str">
        <f>IF(B2="", "", 'Lighting Inventory (Ref only)'!AE13)</f>
        <v/>
      </c>
      <c r="AN2" s="375" t="str">
        <f>IF(B2="", "", 'Lighting Inventory (Ref only)'!AF13)</f>
        <v/>
      </c>
      <c r="AO2" s="375" t="str">
        <f>IF(B2="", "", 'Lighting Inventory (Ref only)'!AG13)</f>
        <v/>
      </c>
      <c r="AR2" s="298" t="str">
        <f>IF(B2="","",'Fixture and LED Schedule'!I39)</f>
        <v/>
      </c>
    </row>
    <row r="3" spans="1:44">
      <c r="A3" s="298" t="str">
        <f>IF(G3="", "", Lookups!BF5)</f>
        <v/>
      </c>
      <c r="B3" s="298" t="str">
        <f>IF('Lighting Inventory (Ref only)'!Q14="", "", 'Lighting Inventory (Ref only)'!Q14)</f>
        <v/>
      </c>
      <c r="C3" s="298" t="str">
        <f>IF(A3="", "", 'Lighting Inventory (Ref only)'!AO14)</f>
        <v/>
      </c>
      <c r="D3" s="370" t="str">
        <f>IF(B3= "","", Inventory!S11)</f>
        <v/>
      </c>
      <c r="E3" s="371"/>
      <c r="F3" s="298" t="str">
        <f>IF(B3="", "", 'Version Log'!$B$34)</f>
        <v/>
      </c>
      <c r="G3" s="298" t="str">
        <f t="shared" si="0"/>
        <v/>
      </c>
      <c r="H3" s="298" t="str">
        <f t="shared" si="1"/>
        <v/>
      </c>
      <c r="I3" s="298" t="str">
        <f>IF(B3="", "",Inventory!D11)</f>
        <v/>
      </c>
      <c r="J3" s="298" t="str">
        <f>IF(B3="","",IF(Inventory!C11="N","Interior","Exterior"))</f>
        <v/>
      </c>
      <c r="K3" s="298" t="str">
        <f t="shared" si="2"/>
        <v/>
      </c>
      <c r="L3" s="298" t="str">
        <f>IF(B3="", "", Inventory!E11)</f>
        <v/>
      </c>
      <c r="M3" s="298" t="str">
        <f>IF(B3="","",IF(Cool_Type=Lookups!$L$9,Cool_Type,IF(Cool_Type=Lookups!$L$10,Cool_Type,IF(Cool_Type=Lookups!$L$11,Cool_Type,IF(Cool_Type=Lookups!L13,Cool_Type,IF('Project Info and Summary'!$C$20="Electric",CONCATENATE(Cool_Type," ",Heating_Type," Heat"),IF('Project Info and Summary'!$C$20="Non-Electric",CONCATENATE(Cool_Type," ",Heating_Type," Heat"),CONCATENATE(Cool_Type," ",Heating_Type))))))))</f>
        <v/>
      </c>
      <c r="N3" s="298" t="str">
        <f t="shared" si="3"/>
        <v/>
      </c>
      <c r="O3" s="298" t="str">
        <f>IF(B3="", "", 'Lighting Inventory (Ref only)'!G14)</f>
        <v/>
      </c>
      <c r="P3" s="298" t="str">
        <f>IF(B3="", "", 'Lighting Inventory (Ref only)'!E14)</f>
        <v/>
      </c>
      <c r="Q3" s="298" t="str">
        <f>IF(B3="", "", 'Lighting Inventory (Ref only)'!J14)</f>
        <v/>
      </c>
      <c r="R3" s="298" t="str">
        <f>IF(B3="", "",'Lighting Inventory (Ref only)'!K14)</f>
        <v/>
      </c>
      <c r="S3" s="372" t="str">
        <f>IF(B3="", "", 'Lighting Inventory (Ref only)'!G14*'Lighting Inventory (Ref only)'!K14/1000)</f>
        <v/>
      </c>
      <c r="T3" s="298" t="str">
        <f>IF(B3="", "", IF('Lighting Inventory (Ref only)'!I14="", "Light Switch",Inventory!H11))</f>
        <v/>
      </c>
      <c r="U3" s="298" t="str">
        <f>IF(B3="", "", 'Lighting Inventory (Ref only)'!Q14)</f>
        <v/>
      </c>
      <c r="V3" s="298" t="str">
        <f>IF(B3="", "", 'Lighting Inventory (Ref only)'!K14)</f>
        <v/>
      </c>
      <c r="W3" s="373" t="str">
        <f>IF(B3="","",('Lighting Inventory (Ref only)'!L14/1000))</f>
        <v/>
      </c>
      <c r="X3" s="298" t="str">
        <f>IF(B3="", "", 'Lighting Inventory (Ref only)'!Q14)</f>
        <v/>
      </c>
      <c r="Y3" s="298" t="str">
        <f>IF(C3="", "", Inventory!N11)</f>
        <v/>
      </c>
      <c r="Z3" s="374" t="str">
        <f>IF(B3="", "", 'Lighting Inventory (Ref only)'!P14)</f>
        <v/>
      </c>
      <c r="AA3" s="372" t="str">
        <f>IF(B3="", "",'Lighting Inventory (Ref only)'!R14/1000)</f>
        <v/>
      </c>
      <c r="AB3" s="372" t="str">
        <f>IF(B3="", "", Inventory!M11)</f>
        <v/>
      </c>
      <c r="AC3" s="374" t="str">
        <f>IF(B3="", "", 'Lighting Inventory (Ref only)'!T14)</f>
        <v/>
      </c>
      <c r="AD3" s="374" t="str">
        <f>IF(C3="", "", 'Lighting Inventory (Ref only)'!AA14)</f>
        <v/>
      </c>
      <c r="AE3" s="375" t="str">
        <f>IF(B3="", "", 'Lighting Inventory (Ref only)'!U14)</f>
        <v/>
      </c>
      <c r="AF3" s="375" t="str">
        <f>IF(B3="", "",'Lighting Inventory (Ref only)'!W14)</f>
        <v/>
      </c>
      <c r="AG3" s="375" t="str">
        <f>IF(B3="", "", 'Lighting Inventory (Ref only)'!V14)</f>
        <v/>
      </c>
      <c r="AH3" s="375" t="str">
        <f>IF(B3="", "",'Lighting Inventory (Ref only)'!Z14)</f>
        <v/>
      </c>
      <c r="AI3" s="375" t="str">
        <f>IF(B3="", "", 'Lighting Inventory (Ref only)'!Y14)</f>
        <v/>
      </c>
      <c r="AJ3" s="375" t="str">
        <f>IF(C3="", "",'Lighting Inventory (Ref only)'!AB14)</f>
        <v/>
      </c>
      <c r="AK3" s="375" t="str">
        <f>IF(B3="", "", 'Lighting Inventory (Ref only)'!AG14)</f>
        <v/>
      </c>
      <c r="AL3" s="375" t="str">
        <f>IF(B3="", "", 'Lighting Inventory (Ref only)'!AD14)</f>
        <v/>
      </c>
      <c r="AM3" s="375" t="str">
        <f>IF(B3="", "", 'Lighting Inventory (Ref only)'!AE14)</f>
        <v/>
      </c>
      <c r="AN3" s="375" t="str">
        <f>IF(B3="", "", 'Lighting Inventory (Ref only)'!AF14)</f>
        <v/>
      </c>
      <c r="AO3" s="375" t="str">
        <f>IF(B3="", "", 'Lighting Inventory (Ref only)'!AG14)</f>
        <v/>
      </c>
    </row>
    <row r="4" spans="1:44">
      <c r="A4" s="298" t="str">
        <f>IF(G4="", "", Lookups!BF6)</f>
        <v/>
      </c>
      <c r="B4" s="298" t="str">
        <f>IF('Lighting Inventory (Ref only)'!Q15="", "", 'Lighting Inventory (Ref only)'!Q15)</f>
        <v/>
      </c>
      <c r="C4" s="298" t="str">
        <f>IF(A4="", "", 'Lighting Inventory (Ref only)'!AO15)</f>
        <v/>
      </c>
      <c r="D4" s="370" t="str">
        <f>IF(B4= "","", Inventory!S12)</f>
        <v/>
      </c>
      <c r="E4" s="371"/>
      <c r="F4" s="298" t="str">
        <f>IF(B4="", "", 'Version Log'!$B$34)</f>
        <v/>
      </c>
      <c r="G4" s="298" t="str">
        <f t="shared" si="0"/>
        <v/>
      </c>
      <c r="H4" s="298" t="str">
        <f t="shared" si="1"/>
        <v/>
      </c>
      <c r="I4" s="298" t="str">
        <f>IF(B4="", "",Inventory!D12)</f>
        <v/>
      </c>
      <c r="J4" s="298" t="str">
        <f>IF(B4="","",IF(Inventory!C12="N","Interior","Exterior"))</f>
        <v/>
      </c>
      <c r="K4" s="298" t="str">
        <f t="shared" si="2"/>
        <v/>
      </c>
      <c r="L4" s="298" t="str">
        <f>IF(B4="", "", Inventory!E12)</f>
        <v/>
      </c>
      <c r="M4" s="298" t="str">
        <f>IF(B4="","",IF(Cool_Type=Lookups!$L$9,Cool_Type,IF(Cool_Type=Lookups!$L$10,Cool_Type,IF(Cool_Type=Lookups!$L$11,Cool_Type,IF(Cool_Type=Lookups!L14,Cool_Type,IF('Project Info and Summary'!$C$20="Electric",CONCATENATE(Cool_Type," ",Heating_Type," Heat"),IF('Project Info and Summary'!$C$20="Non-Electric",CONCATENATE(Cool_Type," ",Heating_Type," Heat"),CONCATENATE(Cool_Type," ",Heating_Type))))))))</f>
        <v/>
      </c>
      <c r="N4" s="298" t="str">
        <f t="shared" si="3"/>
        <v/>
      </c>
      <c r="O4" s="298" t="str">
        <f>IF(B4="", "", 'Lighting Inventory (Ref only)'!G15)</f>
        <v/>
      </c>
      <c r="P4" s="298" t="str">
        <f>IF(B4="", "", 'Lighting Inventory (Ref only)'!E15)</f>
        <v/>
      </c>
      <c r="Q4" s="298" t="str">
        <f>IF(B4="", "", 'Lighting Inventory (Ref only)'!J15)</f>
        <v/>
      </c>
      <c r="R4" s="298" t="str">
        <f>IF(B4="", "",'Lighting Inventory (Ref only)'!K15)</f>
        <v/>
      </c>
      <c r="S4" s="372" t="str">
        <f>IF(B4="", "", 'Lighting Inventory (Ref only)'!G15*'Lighting Inventory (Ref only)'!K15/1000)</f>
        <v/>
      </c>
      <c r="T4" s="298" t="str">
        <f>IF(B4="", "", IF('Lighting Inventory (Ref only)'!I15="", "Light Switch",Inventory!H12))</f>
        <v/>
      </c>
      <c r="U4" s="298" t="str">
        <f>IF(B4="", "", 'Lighting Inventory (Ref only)'!Q15)</f>
        <v/>
      </c>
      <c r="V4" s="298" t="str">
        <f>IF(B4="", "", 'Lighting Inventory (Ref only)'!K15)</f>
        <v/>
      </c>
      <c r="W4" s="373" t="str">
        <f>IF(B4="","",('Lighting Inventory (Ref only)'!L15/1000))</f>
        <v/>
      </c>
      <c r="X4" s="298" t="str">
        <f>IF(B4="", "", 'Lighting Inventory (Ref only)'!Q15)</f>
        <v/>
      </c>
      <c r="Y4" s="298" t="str">
        <f>IF(C4="", "", Inventory!N12)</f>
        <v/>
      </c>
      <c r="Z4" s="374" t="str">
        <f>IF(B4="", "", 'Lighting Inventory (Ref only)'!P15)</f>
        <v/>
      </c>
      <c r="AA4" s="372" t="str">
        <f>IF(B4="", "",'Lighting Inventory (Ref only)'!R15/1000)</f>
        <v/>
      </c>
      <c r="AB4" s="372" t="str">
        <f>IF(B4="", "", Inventory!M12)</f>
        <v/>
      </c>
      <c r="AC4" s="374" t="str">
        <f>IF(B4="", "", 'Lighting Inventory (Ref only)'!T15)</f>
        <v/>
      </c>
      <c r="AD4" s="374" t="str">
        <f>IF(C4="", "", 'Lighting Inventory (Ref only)'!AA15)</f>
        <v/>
      </c>
      <c r="AE4" s="375" t="str">
        <f>IF(B4="", "", 'Lighting Inventory (Ref only)'!U15)</f>
        <v/>
      </c>
      <c r="AF4" s="375" t="str">
        <f>IF(B4="", "",'Lighting Inventory (Ref only)'!W15)</f>
        <v/>
      </c>
      <c r="AG4" s="375" t="str">
        <f>IF(B4="", "", 'Lighting Inventory (Ref only)'!V15)</f>
        <v/>
      </c>
      <c r="AH4" s="375" t="str">
        <f>IF(B4="", "",'Lighting Inventory (Ref only)'!Z15)</f>
        <v/>
      </c>
      <c r="AI4" s="375" t="str">
        <f>IF(B4="", "", 'Lighting Inventory (Ref only)'!Y15)</f>
        <v/>
      </c>
      <c r="AJ4" s="375" t="str">
        <f>IF(C4="", "",'Lighting Inventory (Ref only)'!AB15)</f>
        <v/>
      </c>
      <c r="AK4" s="375" t="str">
        <f>IF(B4="", "", 'Lighting Inventory (Ref only)'!AG15)</f>
        <v/>
      </c>
      <c r="AL4" s="375" t="str">
        <f>IF(B4="", "", 'Lighting Inventory (Ref only)'!AD15)</f>
        <v/>
      </c>
      <c r="AM4" s="375" t="str">
        <f>IF(B4="", "", 'Lighting Inventory (Ref only)'!AE15)</f>
        <v/>
      </c>
      <c r="AN4" s="375" t="str">
        <f>IF(B4="", "", 'Lighting Inventory (Ref only)'!AF15)</f>
        <v/>
      </c>
      <c r="AO4" s="375" t="str">
        <f>IF(B4="", "", 'Lighting Inventory (Ref only)'!AG15)</f>
        <v/>
      </c>
    </row>
    <row r="5" spans="1:44">
      <c r="A5" s="298" t="str">
        <f>IF(G5="", "", Lookups!BF7)</f>
        <v/>
      </c>
      <c r="B5" s="298" t="str">
        <f>IF('Lighting Inventory (Ref only)'!Q16="", "", 'Lighting Inventory (Ref only)'!Q16)</f>
        <v/>
      </c>
      <c r="C5" s="298" t="str">
        <f>IF(A5="", "", 'Lighting Inventory (Ref only)'!AO16)</f>
        <v/>
      </c>
      <c r="D5" s="370" t="str">
        <f>IF(B5= "","", Inventory!S13)</f>
        <v/>
      </c>
      <c r="E5" s="371"/>
      <c r="F5" s="298" t="str">
        <f>IF(B5="", "", 'Version Log'!$B$34)</f>
        <v/>
      </c>
      <c r="G5" s="298" t="str">
        <f t="shared" si="0"/>
        <v/>
      </c>
      <c r="H5" s="298" t="str">
        <f t="shared" si="1"/>
        <v/>
      </c>
      <c r="I5" s="298" t="str">
        <f>IF(B5="", "",Inventory!D13)</f>
        <v/>
      </c>
      <c r="J5" s="298" t="str">
        <f>IF(B5="","",IF(Inventory!C13="N","Interior","Exterior"))</f>
        <v/>
      </c>
      <c r="K5" s="298" t="str">
        <f t="shared" si="2"/>
        <v/>
      </c>
      <c r="L5" s="298" t="str">
        <f>IF(B5="", "", Inventory!E13)</f>
        <v/>
      </c>
      <c r="M5" s="298" t="str">
        <f>IF(B5="","",IF(Cool_Type=Lookups!$L$9,Cool_Type,IF(Cool_Type=Lookups!$L$10,Cool_Type,IF(Cool_Type=Lookups!$L$11,Cool_Type,IF(Cool_Type=Lookups!L15,Cool_Type,IF('Project Info and Summary'!$C$20="Electric",CONCATENATE(Cool_Type," ",Heating_Type," Heat"),IF('Project Info and Summary'!$C$20="Non-Electric",CONCATENATE(Cool_Type," ",Heating_Type," Heat"),CONCATENATE(Cool_Type," ",Heating_Type))))))))</f>
        <v/>
      </c>
      <c r="N5" s="298" t="str">
        <f t="shared" si="3"/>
        <v/>
      </c>
      <c r="O5" s="298" t="str">
        <f>IF(B5="", "", 'Lighting Inventory (Ref only)'!G16)</f>
        <v/>
      </c>
      <c r="P5" s="298" t="str">
        <f>IF(B5="", "", 'Lighting Inventory (Ref only)'!E16)</f>
        <v/>
      </c>
      <c r="Q5" s="298" t="str">
        <f>IF(B5="", "", 'Lighting Inventory (Ref only)'!J16)</f>
        <v/>
      </c>
      <c r="R5" s="298" t="str">
        <f>IF(B5="", "",'Lighting Inventory (Ref only)'!K16)</f>
        <v/>
      </c>
      <c r="S5" s="372" t="str">
        <f>IF(B5="", "", 'Lighting Inventory (Ref only)'!G16*'Lighting Inventory (Ref only)'!K16/1000)</f>
        <v/>
      </c>
      <c r="T5" s="298" t="str">
        <f>IF(B5="", "", IF('Lighting Inventory (Ref only)'!I16="", "Light Switch",Inventory!H13))</f>
        <v/>
      </c>
      <c r="U5" s="298" t="str">
        <f>IF(B5="", "", 'Lighting Inventory (Ref only)'!Q16)</f>
        <v/>
      </c>
      <c r="V5" s="298" t="str">
        <f>IF(B5="", "", 'Lighting Inventory (Ref only)'!K16)</f>
        <v/>
      </c>
      <c r="W5" s="373" t="str">
        <f>IF(B5="","",('Lighting Inventory (Ref only)'!L16/1000))</f>
        <v/>
      </c>
      <c r="X5" s="298" t="str">
        <f>IF(B5="", "", 'Lighting Inventory (Ref only)'!Q16)</f>
        <v/>
      </c>
      <c r="Y5" s="298" t="str">
        <f>IF(C5="", "", Inventory!N13)</f>
        <v/>
      </c>
      <c r="Z5" s="374" t="str">
        <f>IF(B5="", "", 'Lighting Inventory (Ref only)'!P16)</f>
        <v/>
      </c>
      <c r="AA5" s="372" t="str">
        <f>IF(B5="", "",'Lighting Inventory (Ref only)'!R16/1000)</f>
        <v/>
      </c>
      <c r="AB5" s="372" t="str">
        <f>IF(B5="", "", Inventory!M13)</f>
        <v/>
      </c>
      <c r="AC5" s="374" t="str">
        <f>IF(B5="", "", 'Lighting Inventory (Ref only)'!T16)</f>
        <v/>
      </c>
      <c r="AD5" s="374" t="str">
        <f>IF(C5="", "", 'Lighting Inventory (Ref only)'!AA16)</f>
        <v/>
      </c>
      <c r="AE5" s="375" t="str">
        <f>IF(B5="", "", 'Lighting Inventory (Ref only)'!U16)</f>
        <v/>
      </c>
      <c r="AF5" s="375" t="str">
        <f>IF(B5="", "",'Lighting Inventory (Ref only)'!W16)</f>
        <v/>
      </c>
      <c r="AG5" s="375" t="str">
        <f>IF(B5="", "", 'Lighting Inventory (Ref only)'!V16)</f>
        <v/>
      </c>
      <c r="AH5" s="375" t="str">
        <f>IF(B5="", "",'Lighting Inventory (Ref only)'!Z16)</f>
        <v/>
      </c>
      <c r="AI5" s="375" t="str">
        <f>IF(B5="", "", 'Lighting Inventory (Ref only)'!Y16)</f>
        <v/>
      </c>
      <c r="AJ5" s="375" t="str">
        <f>IF(C5="", "",'Lighting Inventory (Ref only)'!AB16)</f>
        <v/>
      </c>
      <c r="AK5" s="375" t="str">
        <f>IF(B5="", "", 'Lighting Inventory (Ref only)'!AG16)</f>
        <v/>
      </c>
      <c r="AL5" s="375" t="str">
        <f>IF(B5="", "", 'Lighting Inventory (Ref only)'!AD16)</f>
        <v/>
      </c>
      <c r="AM5" s="375" t="str">
        <f>IF(B5="", "", 'Lighting Inventory (Ref only)'!AE16)</f>
        <v/>
      </c>
      <c r="AN5" s="375" t="str">
        <f>IF(B5="", "", 'Lighting Inventory (Ref only)'!AF16)</f>
        <v/>
      </c>
      <c r="AO5" s="375" t="str">
        <f>IF(B5="", "", 'Lighting Inventory (Ref only)'!AG16)</f>
        <v/>
      </c>
    </row>
    <row r="6" spans="1:44">
      <c r="A6" s="298" t="str">
        <f>IF(G6="", "", Lookups!BF8)</f>
        <v/>
      </c>
      <c r="B6" s="298" t="str">
        <f>IF('Lighting Inventory (Ref only)'!Q17="", "", 'Lighting Inventory (Ref only)'!Q17)</f>
        <v/>
      </c>
      <c r="C6" s="298" t="str">
        <f>IF(A6="", "", 'Lighting Inventory (Ref only)'!AO17)</f>
        <v/>
      </c>
      <c r="D6" s="370" t="str">
        <f>IF(B6= "","", Inventory!S14)</f>
        <v/>
      </c>
      <c r="E6" s="371"/>
      <c r="F6" s="298" t="str">
        <f>IF(B6="", "", 'Version Log'!$B$34)</f>
        <v/>
      </c>
      <c r="G6" s="298" t="str">
        <f t="shared" si="0"/>
        <v/>
      </c>
      <c r="H6" s="298" t="str">
        <f t="shared" si="1"/>
        <v/>
      </c>
      <c r="I6" s="298" t="str">
        <f>IF(B6="", "",Inventory!D14)</f>
        <v/>
      </c>
      <c r="J6" s="298" t="str">
        <f>IF(B6="","",IF(Inventory!C14="N","Interior","Exterior"))</f>
        <v/>
      </c>
      <c r="K6" s="298" t="str">
        <f t="shared" si="2"/>
        <v/>
      </c>
      <c r="L6" s="298" t="str">
        <f>IF(B6="", "", Inventory!E14)</f>
        <v/>
      </c>
      <c r="M6" s="298" t="str">
        <f>IF(B6="","",IF(Cool_Type=Lookups!$L$9,Cool_Type,IF(Cool_Type=Lookups!$L$10,Cool_Type,IF(Cool_Type=Lookups!$L$11,Cool_Type,IF(Cool_Type=Lookups!L16,Cool_Type,IF('Project Info and Summary'!$C$20="Electric",CONCATENATE(Cool_Type," ",Heating_Type," Heat"),IF('Project Info and Summary'!$C$20="Non-Electric",CONCATENATE(Cool_Type," ",Heating_Type," Heat"),CONCATENATE(Cool_Type," ",Heating_Type))))))))</f>
        <v/>
      </c>
      <c r="N6" s="298" t="str">
        <f t="shared" si="3"/>
        <v/>
      </c>
      <c r="O6" s="298" t="str">
        <f>IF(B6="", "", 'Lighting Inventory (Ref only)'!G17)</f>
        <v/>
      </c>
      <c r="P6" s="298" t="str">
        <f>IF(B6="", "", 'Lighting Inventory (Ref only)'!E17)</f>
        <v/>
      </c>
      <c r="Q6" s="298" t="str">
        <f>IF(B6="", "", 'Lighting Inventory (Ref only)'!J17)</f>
        <v/>
      </c>
      <c r="R6" s="298" t="str">
        <f>IF(B6="", "",'Lighting Inventory (Ref only)'!K17)</f>
        <v/>
      </c>
      <c r="S6" s="372" t="str">
        <f>IF(B6="", "", 'Lighting Inventory (Ref only)'!G17*'Lighting Inventory (Ref only)'!K17/1000)</f>
        <v/>
      </c>
      <c r="T6" s="298" t="str">
        <f>IF(B6="", "", IF('Lighting Inventory (Ref only)'!I17="", "Light Switch",Inventory!H14))</f>
        <v/>
      </c>
      <c r="U6" s="298" t="str">
        <f>IF(B6="", "", 'Lighting Inventory (Ref only)'!Q17)</f>
        <v/>
      </c>
      <c r="V6" s="298" t="str">
        <f>IF(B6="", "", 'Lighting Inventory (Ref only)'!K17)</f>
        <v/>
      </c>
      <c r="W6" s="373" t="str">
        <f>IF(B6="","",('Lighting Inventory (Ref only)'!L17/1000))</f>
        <v/>
      </c>
      <c r="X6" s="298" t="str">
        <f>IF(B6="", "", 'Lighting Inventory (Ref only)'!Q17)</f>
        <v/>
      </c>
      <c r="Y6" s="298" t="str">
        <f>IF(C6="", "", Inventory!N14)</f>
        <v/>
      </c>
      <c r="Z6" s="374" t="str">
        <f>IF(B6="", "", 'Lighting Inventory (Ref only)'!P17)</f>
        <v/>
      </c>
      <c r="AA6" s="372" t="str">
        <f>IF(B6="", "",'Lighting Inventory (Ref only)'!R17/1000)</f>
        <v/>
      </c>
      <c r="AB6" s="372" t="str">
        <f>IF(B6="", "", Inventory!M14)</f>
        <v/>
      </c>
      <c r="AC6" s="374" t="str">
        <f>IF(B6="", "", 'Lighting Inventory (Ref only)'!T17)</f>
        <v/>
      </c>
      <c r="AD6" s="374" t="str">
        <f>IF(C6="", "", 'Lighting Inventory (Ref only)'!AA17)</f>
        <v/>
      </c>
      <c r="AE6" s="375" t="str">
        <f>IF(B6="", "", 'Lighting Inventory (Ref only)'!U17)</f>
        <v/>
      </c>
      <c r="AF6" s="375" t="str">
        <f>IF(B6="", "",'Lighting Inventory (Ref only)'!W17)</f>
        <v/>
      </c>
      <c r="AG6" s="375" t="str">
        <f>IF(B6="", "", 'Lighting Inventory (Ref only)'!V17)</f>
        <v/>
      </c>
      <c r="AH6" s="375" t="str">
        <f>IF(B6="", "",'Lighting Inventory (Ref only)'!Z17)</f>
        <v/>
      </c>
      <c r="AI6" s="375" t="str">
        <f>IF(B6="", "", 'Lighting Inventory (Ref only)'!Y17)</f>
        <v/>
      </c>
      <c r="AJ6" s="375" t="str">
        <f>IF(C6="", "",'Lighting Inventory (Ref only)'!AB17)</f>
        <v/>
      </c>
      <c r="AK6" s="375" t="str">
        <f>IF(B6="", "", 'Lighting Inventory (Ref only)'!AG17)</f>
        <v/>
      </c>
      <c r="AL6" s="375" t="str">
        <f>IF(B6="", "", 'Lighting Inventory (Ref only)'!AD17)</f>
        <v/>
      </c>
      <c r="AM6" s="375" t="str">
        <f>IF(B6="", "", 'Lighting Inventory (Ref only)'!AE17)</f>
        <v/>
      </c>
      <c r="AN6" s="375" t="str">
        <f>IF(B6="", "", 'Lighting Inventory (Ref only)'!AF17)</f>
        <v/>
      </c>
      <c r="AO6" s="375" t="str">
        <f>IF(B6="", "", 'Lighting Inventory (Ref only)'!AG17)</f>
        <v/>
      </c>
    </row>
    <row r="7" spans="1:44">
      <c r="A7" s="298" t="str">
        <f>IF(G7="", "", Lookups!BF9)</f>
        <v/>
      </c>
      <c r="B7" s="298" t="str">
        <f>IF('Lighting Inventory (Ref only)'!Q18="", "", 'Lighting Inventory (Ref only)'!Q18)</f>
        <v/>
      </c>
      <c r="C7" s="298" t="str">
        <f>IF(A7="", "", 'Lighting Inventory (Ref only)'!AO18)</f>
        <v/>
      </c>
      <c r="D7" s="370" t="str">
        <f>IF(B7= "","", Inventory!S15)</f>
        <v/>
      </c>
      <c r="E7" s="371"/>
      <c r="F7" s="298" t="str">
        <f>IF(B7="", "", 'Version Log'!$B$34)</f>
        <v/>
      </c>
      <c r="G7" s="298" t="str">
        <f t="shared" si="0"/>
        <v/>
      </c>
      <c r="H7" s="298" t="str">
        <f t="shared" si="1"/>
        <v/>
      </c>
      <c r="I7" s="298" t="str">
        <f>IF(B7="", "",Inventory!D15)</f>
        <v/>
      </c>
      <c r="J7" s="298" t="str">
        <f>IF(B7="","",IF(Inventory!C15="N","Interior","Exterior"))</f>
        <v/>
      </c>
      <c r="K7" s="298" t="str">
        <f t="shared" si="2"/>
        <v/>
      </c>
      <c r="L7" s="298" t="str">
        <f>IF(B7="", "", Inventory!E15)</f>
        <v/>
      </c>
      <c r="M7" s="298" t="str">
        <f>IF(B7="","",IF(Cool_Type=Lookups!$L$9,Cool_Type,IF(Cool_Type=Lookups!$L$10,Cool_Type,IF(Cool_Type=Lookups!$L$11,Cool_Type,IF(Cool_Type=Lookups!L17,Cool_Type,IF('Project Info and Summary'!$C$20="Electric",CONCATENATE(Cool_Type," ",Heating_Type," Heat"),IF('Project Info and Summary'!$C$20="Non-Electric",CONCATENATE(Cool_Type," ",Heating_Type," Heat"),CONCATENATE(Cool_Type," ",Heating_Type))))))))</f>
        <v/>
      </c>
      <c r="N7" s="298" t="str">
        <f t="shared" si="3"/>
        <v/>
      </c>
      <c r="O7" s="298" t="str">
        <f>IF(B7="", "", 'Lighting Inventory (Ref only)'!G18)</f>
        <v/>
      </c>
      <c r="P7" s="298" t="str">
        <f>IF(B7="", "", 'Lighting Inventory (Ref only)'!E18)</f>
        <v/>
      </c>
      <c r="Q7" s="298" t="str">
        <f>IF(B7="", "", 'Lighting Inventory (Ref only)'!J18)</f>
        <v/>
      </c>
      <c r="R7" s="298" t="str">
        <f>IF(B7="", "",'Lighting Inventory (Ref only)'!K18)</f>
        <v/>
      </c>
      <c r="S7" s="372" t="str">
        <f>IF(B7="", "", 'Lighting Inventory (Ref only)'!G18*'Lighting Inventory (Ref only)'!K18/1000)</f>
        <v/>
      </c>
      <c r="T7" s="298" t="str">
        <f>IF(B7="", "", IF('Lighting Inventory (Ref only)'!I18="", "Light Switch",Inventory!H15))</f>
        <v/>
      </c>
      <c r="U7" s="298" t="str">
        <f>IF(B7="", "", 'Lighting Inventory (Ref only)'!Q18)</f>
        <v/>
      </c>
      <c r="V7" s="298" t="str">
        <f>IF(B7="", "", 'Lighting Inventory (Ref only)'!K18)</f>
        <v/>
      </c>
      <c r="W7" s="373" t="str">
        <f>IF(B7="","",('Lighting Inventory (Ref only)'!L18/1000))</f>
        <v/>
      </c>
      <c r="X7" s="298" t="str">
        <f>IF(B7="", "", 'Lighting Inventory (Ref only)'!Q18)</f>
        <v/>
      </c>
      <c r="Y7" s="298" t="str">
        <f>IF(C7="", "", Inventory!N15)</f>
        <v/>
      </c>
      <c r="Z7" s="374" t="str">
        <f>IF(B7="", "", 'Lighting Inventory (Ref only)'!P18)</f>
        <v/>
      </c>
      <c r="AA7" s="372" t="str">
        <f>IF(B7="", "",'Lighting Inventory (Ref only)'!R18/1000)</f>
        <v/>
      </c>
      <c r="AB7" s="372" t="str">
        <f>IF(B7="", "", Inventory!M15)</f>
        <v/>
      </c>
      <c r="AC7" s="374" t="str">
        <f>IF(B7="", "", 'Lighting Inventory (Ref only)'!T18)</f>
        <v/>
      </c>
      <c r="AD7" s="374" t="str">
        <f>IF(C7="", "", 'Lighting Inventory (Ref only)'!AA18)</f>
        <v/>
      </c>
      <c r="AE7" s="375" t="str">
        <f>IF(B7="", "", 'Lighting Inventory (Ref only)'!U18)</f>
        <v/>
      </c>
      <c r="AF7" s="375" t="str">
        <f>IF(B7="", "",'Lighting Inventory (Ref only)'!W18)</f>
        <v/>
      </c>
      <c r="AG7" s="375" t="str">
        <f>IF(B7="", "", 'Lighting Inventory (Ref only)'!V18)</f>
        <v/>
      </c>
      <c r="AH7" s="375" t="str">
        <f>IF(B7="", "",'Lighting Inventory (Ref only)'!Z18)</f>
        <v/>
      </c>
      <c r="AI7" s="375" t="str">
        <f>IF(B7="", "", 'Lighting Inventory (Ref only)'!Y18)</f>
        <v/>
      </c>
      <c r="AJ7" s="375" t="str">
        <f>IF(C7="", "",'Lighting Inventory (Ref only)'!AB18)</f>
        <v/>
      </c>
      <c r="AK7" s="375" t="str">
        <f>IF(B7="", "", 'Lighting Inventory (Ref only)'!AG18)</f>
        <v/>
      </c>
      <c r="AL7" s="375" t="str">
        <f>IF(B7="", "", 'Lighting Inventory (Ref only)'!AD18)</f>
        <v/>
      </c>
      <c r="AM7" s="375" t="str">
        <f>IF(B7="", "", 'Lighting Inventory (Ref only)'!AE18)</f>
        <v/>
      </c>
      <c r="AN7" s="375" t="str">
        <f>IF(B7="", "", 'Lighting Inventory (Ref only)'!AF18)</f>
        <v/>
      </c>
      <c r="AO7" s="375" t="str">
        <f>IF(B7="", "", 'Lighting Inventory (Ref only)'!AG18)</f>
        <v/>
      </c>
    </row>
    <row r="8" spans="1:44">
      <c r="A8" s="298" t="str">
        <f>IF(G8="", "", Lookups!BF10)</f>
        <v/>
      </c>
      <c r="B8" s="298" t="str">
        <f>IF('Lighting Inventory (Ref only)'!Q19="", "", 'Lighting Inventory (Ref only)'!Q19)</f>
        <v/>
      </c>
      <c r="C8" s="298" t="str">
        <f>IF(A8="", "", 'Lighting Inventory (Ref only)'!AO19)</f>
        <v/>
      </c>
      <c r="D8" s="370" t="str">
        <f>IF(B8= "","", Inventory!S16)</f>
        <v/>
      </c>
      <c r="E8" s="371"/>
      <c r="F8" s="298" t="str">
        <f>IF(B8="", "", 'Version Log'!$B$34)</f>
        <v/>
      </c>
      <c r="G8" s="298" t="str">
        <f t="shared" si="0"/>
        <v/>
      </c>
      <c r="H8" s="298" t="str">
        <f t="shared" si="1"/>
        <v/>
      </c>
      <c r="I8" s="298" t="str">
        <f>IF(B8="", "",Inventory!D16)</f>
        <v/>
      </c>
      <c r="J8" s="298" t="str">
        <f>IF(B8="","",IF(Inventory!C16="N","Interior","Exterior"))</f>
        <v/>
      </c>
      <c r="K8" s="298" t="str">
        <f t="shared" si="2"/>
        <v/>
      </c>
      <c r="L8" s="298" t="str">
        <f>IF(B8="", "", Inventory!E16)</f>
        <v/>
      </c>
      <c r="M8" s="298" t="str">
        <f>IF(B8="","",IF(Cool_Type=Lookups!$L$9,Cool_Type,IF(Cool_Type=Lookups!$L$10,Cool_Type,IF(Cool_Type=Lookups!$L$11,Cool_Type,IF(Cool_Type=Lookups!L18,Cool_Type,IF('Project Info and Summary'!$C$20="Electric",CONCATENATE(Cool_Type," ",Heating_Type," Heat"),IF('Project Info and Summary'!$C$20="Non-Electric",CONCATENATE(Cool_Type," ",Heating_Type," Heat"),CONCATENATE(Cool_Type," ",Heating_Type))))))))</f>
        <v/>
      </c>
      <c r="N8" s="298" t="str">
        <f t="shared" si="3"/>
        <v/>
      </c>
      <c r="O8" s="298" t="str">
        <f>IF(B8="", "", 'Lighting Inventory (Ref only)'!G19)</f>
        <v/>
      </c>
      <c r="P8" s="298" t="str">
        <f>IF(B8="", "", 'Lighting Inventory (Ref only)'!E19)</f>
        <v/>
      </c>
      <c r="Q8" s="298" t="str">
        <f>IF(B8="", "", 'Lighting Inventory (Ref only)'!J19)</f>
        <v/>
      </c>
      <c r="R8" s="298" t="str">
        <f>IF(B8="", "",'Lighting Inventory (Ref only)'!K19)</f>
        <v/>
      </c>
      <c r="S8" s="372" t="str">
        <f>IF(B8="", "", 'Lighting Inventory (Ref only)'!G19*'Lighting Inventory (Ref only)'!K19/1000)</f>
        <v/>
      </c>
      <c r="T8" s="298" t="str">
        <f>IF(B8="", "", IF('Lighting Inventory (Ref only)'!I19="", "Light Switch",Inventory!H16))</f>
        <v/>
      </c>
      <c r="U8" s="298" t="str">
        <f>IF(B8="", "", 'Lighting Inventory (Ref only)'!Q19)</f>
        <v/>
      </c>
      <c r="V8" s="298" t="str">
        <f>IF(B8="", "", 'Lighting Inventory (Ref only)'!K19)</f>
        <v/>
      </c>
      <c r="W8" s="373" t="str">
        <f>IF(B8="","",('Lighting Inventory (Ref only)'!L19/1000))</f>
        <v/>
      </c>
      <c r="X8" s="298" t="str">
        <f>IF(B8="", "", 'Lighting Inventory (Ref only)'!Q19)</f>
        <v/>
      </c>
      <c r="Y8" s="298" t="str">
        <f>IF(C8="", "", Inventory!N16)</f>
        <v/>
      </c>
      <c r="Z8" s="374" t="str">
        <f>IF(B8="", "", 'Lighting Inventory (Ref only)'!P19)</f>
        <v/>
      </c>
      <c r="AA8" s="372" t="str">
        <f>IF(B8="", "",'Lighting Inventory (Ref only)'!R19/1000)</f>
        <v/>
      </c>
      <c r="AB8" s="372" t="str">
        <f>IF(B8="", "", Inventory!M16)</f>
        <v/>
      </c>
      <c r="AC8" s="374" t="str">
        <f>IF(B8="", "", 'Lighting Inventory (Ref only)'!T19)</f>
        <v/>
      </c>
      <c r="AD8" s="374" t="str">
        <f>IF(C8="", "", 'Lighting Inventory (Ref only)'!AA19)</f>
        <v/>
      </c>
      <c r="AE8" s="375" t="str">
        <f>IF(B8="", "", 'Lighting Inventory (Ref only)'!U19)</f>
        <v/>
      </c>
      <c r="AF8" s="375" t="str">
        <f>IF(B8="", "",'Lighting Inventory (Ref only)'!W19)</f>
        <v/>
      </c>
      <c r="AG8" s="375" t="str">
        <f>IF(B8="", "", 'Lighting Inventory (Ref only)'!V19)</f>
        <v/>
      </c>
      <c r="AH8" s="375" t="str">
        <f>IF(B8="", "",'Lighting Inventory (Ref only)'!Z19)</f>
        <v/>
      </c>
      <c r="AI8" s="375" t="str">
        <f>IF(B8="", "", 'Lighting Inventory (Ref only)'!Y19)</f>
        <v/>
      </c>
      <c r="AJ8" s="375" t="str">
        <f>IF(C8="", "",'Lighting Inventory (Ref only)'!AB19)</f>
        <v/>
      </c>
      <c r="AK8" s="375" t="str">
        <f>IF(B8="", "", 'Lighting Inventory (Ref only)'!AG19)</f>
        <v/>
      </c>
      <c r="AL8" s="375" t="str">
        <f>IF(B8="", "", 'Lighting Inventory (Ref only)'!AD19)</f>
        <v/>
      </c>
      <c r="AM8" s="375" t="str">
        <f>IF(B8="", "", 'Lighting Inventory (Ref only)'!AE19)</f>
        <v/>
      </c>
      <c r="AN8" s="375" t="str">
        <f>IF(B8="", "", 'Lighting Inventory (Ref only)'!AF19)</f>
        <v/>
      </c>
      <c r="AO8" s="375" t="str">
        <f>IF(B8="", "", 'Lighting Inventory (Ref only)'!AG19)</f>
        <v/>
      </c>
    </row>
    <row r="9" spans="1:44">
      <c r="A9" s="298" t="str">
        <f>IF(G9="", "", Lookups!BF11)</f>
        <v/>
      </c>
      <c r="B9" s="298" t="str">
        <f>IF('Lighting Inventory (Ref only)'!Q20="", "", 'Lighting Inventory (Ref only)'!Q20)</f>
        <v/>
      </c>
      <c r="C9" s="298" t="str">
        <f>IF(A9="", "", 'Lighting Inventory (Ref only)'!AO20)</f>
        <v/>
      </c>
      <c r="D9" s="370" t="str">
        <f>IF(B9= "","", Inventory!S17)</f>
        <v/>
      </c>
      <c r="E9" s="371"/>
      <c r="F9" s="298" t="str">
        <f>IF(B9="", "", 'Version Log'!$B$34)</f>
        <v/>
      </c>
      <c r="G9" s="298" t="str">
        <f t="shared" si="0"/>
        <v/>
      </c>
      <c r="H9" s="298" t="str">
        <f t="shared" si="1"/>
        <v/>
      </c>
      <c r="I9" s="298" t="str">
        <f>IF(B9="", "",Inventory!D17)</f>
        <v/>
      </c>
      <c r="J9" s="298" t="str">
        <f>IF(B9="","",IF(Inventory!C17="N","Interior","Exterior"))</f>
        <v/>
      </c>
      <c r="K9" s="298" t="str">
        <f t="shared" si="2"/>
        <v/>
      </c>
      <c r="L9" s="298" t="str">
        <f>IF(B9="", "", Inventory!E17)</f>
        <v/>
      </c>
      <c r="M9" s="298" t="str">
        <f>IF(B9="","",IF(Cool_Type=Lookups!$L$9,Cool_Type,IF(Cool_Type=Lookups!$L$10,Cool_Type,IF(Cool_Type=Lookups!$L$11,Cool_Type,IF(Cool_Type=Lookups!L19,Cool_Type,IF('Project Info and Summary'!$C$20="Electric",CONCATENATE(Cool_Type," ",Heating_Type," Heat"),IF('Project Info and Summary'!$C$20="Non-Electric",CONCATENATE(Cool_Type," ",Heating_Type," Heat"),CONCATENATE(Cool_Type," ",Heating_Type))))))))</f>
        <v/>
      </c>
      <c r="N9" s="298" t="str">
        <f t="shared" si="3"/>
        <v/>
      </c>
      <c r="O9" s="298" t="str">
        <f>IF(B9="", "", 'Lighting Inventory (Ref only)'!G20)</f>
        <v/>
      </c>
      <c r="P9" s="298" t="str">
        <f>IF(B9="", "", 'Lighting Inventory (Ref only)'!E20)</f>
        <v/>
      </c>
      <c r="Q9" s="298" t="str">
        <f>IF(B9="", "", 'Lighting Inventory (Ref only)'!J20)</f>
        <v/>
      </c>
      <c r="R9" s="298" t="str">
        <f>IF(B9="", "",'Lighting Inventory (Ref only)'!K20)</f>
        <v/>
      </c>
      <c r="S9" s="372" t="str">
        <f>IF(B9="", "", 'Lighting Inventory (Ref only)'!G20*'Lighting Inventory (Ref only)'!K20/1000)</f>
        <v/>
      </c>
      <c r="T9" s="298" t="str">
        <f>IF(B9="", "", IF('Lighting Inventory (Ref only)'!I20="", "Light Switch",Inventory!H17))</f>
        <v/>
      </c>
      <c r="U9" s="298" t="str">
        <f>IF(B9="", "", 'Lighting Inventory (Ref only)'!Q20)</f>
        <v/>
      </c>
      <c r="V9" s="298" t="str">
        <f>IF(B9="", "", 'Lighting Inventory (Ref only)'!K20)</f>
        <v/>
      </c>
      <c r="W9" s="373" t="str">
        <f>IF(B9="","",('Lighting Inventory (Ref only)'!L20/1000))</f>
        <v/>
      </c>
      <c r="X9" s="298" t="str">
        <f>IF(B9="", "", 'Lighting Inventory (Ref only)'!Q20)</f>
        <v/>
      </c>
      <c r="Y9" s="298" t="str">
        <f>IF(C9="", "", Inventory!N17)</f>
        <v/>
      </c>
      <c r="Z9" s="374" t="str">
        <f>IF(B9="", "", 'Lighting Inventory (Ref only)'!P20)</f>
        <v/>
      </c>
      <c r="AA9" s="372" t="str">
        <f>IF(B9="", "",'Lighting Inventory (Ref only)'!R20/1000)</f>
        <v/>
      </c>
      <c r="AB9" s="372" t="str">
        <f>IF(B9="", "", Inventory!M17)</f>
        <v/>
      </c>
      <c r="AC9" s="374" t="str">
        <f>IF(B9="", "", 'Lighting Inventory (Ref only)'!T20)</f>
        <v/>
      </c>
      <c r="AD9" s="374" t="str">
        <f>IF(C9="", "", 'Lighting Inventory (Ref only)'!AA20)</f>
        <v/>
      </c>
      <c r="AE9" s="375" t="str">
        <f>IF(B9="", "", 'Lighting Inventory (Ref only)'!U20)</f>
        <v/>
      </c>
      <c r="AF9" s="375" t="str">
        <f>IF(B9="", "",'Lighting Inventory (Ref only)'!W20)</f>
        <v/>
      </c>
      <c r="AG9" s="375" t="str">
        <f>IF(B9="", "", 'Lighting Inventory (Ref only)'!V20)</f>
        <v/>
      </c>
      <c r="AH9" s="375" t="str">
        <f>IF(B9="", "",'Lighting Inventory (Ref only)'!Z20)</f>
        <v/>
      </c>
      <c r="AI9" s="375" t="str">
        <f>IF(B9="", "", 'Lighting Inventory (Ref only)'!Y20)</f>
        <v/>
      </c>
      <c r="AJ9" s="375" t="str">
        <f>IF(C9="", "",'Lighting Inventory (Ref only)'!AB20)</f>
        <v/>
      </c>
      <c r="AK9" s="375" t="str">
        <f>IF(B9="", "", 'Lighting Inventory (Ref only)'!AG20)</f>
        <v/>
      </c>
      <c r="AL9" s="375" t="str">
        <f>IF(B9="", "", 'Lighting Inventory (Ref only)'!AD20)</f>
        <v/>
      </c>
      <c r="AM9" s="375" t="str">
        <f>IF(B9="", "", 'Lighting Inventory (Ref only)'!AE20)</f>
        <v/>
      </c>
      <c r="AN9" s="375" t="str">
        <f>IF(B9="", "", 'Lighting Inventory (Ref only)'!AF20)</f>
        <v/>
      </c>
      <c r="AO9" s="375" t="str">
        <f>IF(B9="", "", 'Lighting Inventory (Ref only)'!AG20)</f>
        <v/>
      </c>
    </row>
    <row r="10" spans="1:44">
      <c r="A10" s="298" t="str">
        <f>IF(G10="", "", Lookups!BF12)</f>
        <v/>
      </c>
      <c r="B10" s="298" t="str">
        <f>IF('Lighting Inventory (Ref only)'!Q21="", "", 'Lighting Inventory (Ref only)'!Q21)</f>
        <v/>
      </c>
      <c r="C10" s="298" t="str">
        <f>IF(A10="", "", 'Lighting Inventory (Ref only)'!AO21)</f>
        <v/>
      </c>
      <c r="D10" s="370" t="str">
        <f>IF(B10= "","", Inventory!S18)</f>
        <v/>
      </c>
      <c r="E10" s="371"/>
      <c r="F10" s="298" t="str">
        <f>IF(B10="", "", 'Version Log'!$B$34)</f>
        <v/>
      </c>
      <c r="G10" s="298" t="str">
        <f t="shared" si="0"/>
        <v/>
      </c>
      <c r="H10" s="298" t="str">
        <f t="shared" si="1"/>
        <v/>
      </c>
      <c r="I10" s="298" t="str">
        <f>IF(B10="", "",Inventory!D18)</f>
        <v/>
      </c>
      <c r="J10" s="298" t="str">
        <f>IF(B10="","",IF(Inventory!C18="N","Interior","Exterior"))</f>
        <v/>
      </c>
      <c r="K10" s="298" t="str">
        <f t="shared" si="2"/>
        <v/>
      </c>
      <c r="L10" s="298" t="str">
        <f>IF(B10="", "", Inventory!E18)</f>
        <v/>
      </c>
      <c r="M10" s="298" t="str">
        <f>IF(B10="","",IF(Cool_Type=Lookups!$L$9,Cool_Type,IF(Cool_Type=Lookups!$L$10,Cool_Type,IF(Cool_Type=Lookups!$L$11,Cool_Type,IF(Cool_Type=Lookups!L20,Cool_Type,IF('Project Info and Summary'!$C$20="Electric",CONCATENATE(Cool_Type," ",Heating_Type," Heat"),IF('Project Info and Summary'!$C$20="Non-Electric",CONCATENATE(Cool_Type," ",Heating_Type," Heat"),CONCATENATE(Cool_Type," ",Heating_Type))))))))</f>
        <v/>
      </c>
      <c r="N10" s="298" t="str">
        <f t="shared" si="3"/>
        <v/>
      </c>
      <c r="O10" s="298" t="str">
        <f>IF(B10="", "", 'Lighting Inventory (Ref only)'!G21)</f>
        <v/>
      </c>
      <c r="P10" s="298" t="str">
        <f>IF(B10="", "", 'Lighting Inventory (Ref only)'!E21)</f>
        <v/>
      </c>
      <c r="Q10" s="298" t="str">
        <f>IF(B10="", "", 'Lighting Inventory (Ref only)'!J21)</f>
        <v/>
      </c>
      <c r="R10" s="298" t="str">
        <f>IF(B10="", "",'Lighting Inventory (Ref only)'!K21)</f>
        <v/>
      </c>
      <c r="S10" s="372" t="str">
        <f>IF(B10="", "", 'Lighting Inventory (Ref only)'!G21*'Lighting Inventory (Ref only)'!K21/1000)</f>
        <v/>
      </c>
      <c r="T10" s="298" t="str">
        <f>IF(B10="", "", IF('Lighting Inventory (Ref only)'!I21="", "Light Switch",Inventory!H18))</f>
        <v/>
      </c>
      <c r="U10" s="298" t="str">
        <f>IF(B10="", "", 'Lighting Inventory (Ref only)'!Q21)</f>
        <v/>
      </c>
      <c r="V10" s="298" t="str">
        <f>IF(B10="", "", 'Lighting Inventory (Ref only)'!K21)</f>
        <v/>
      </c>
      <c r="W10" s="373" t="str">
        <f>IF(B10="","",('Lighting Inventory (Ref only)'!L21/1000))</f>
        <v/>
      </c>
      <c r="X10" s="298" t="str">
        <f>IF(B10="", "", 'Lighting Inventory (Ref only)'!Q21)</f>
        <v/>
      </c>
      <c r="Y10" s="298" t="str">
        <f>IF(C10="", "", Inventory!N18)</f>
        <v/>
      </c>
      <c r="Z10" s="374" t="str">
        <f>IF(B10="", "", 'Lighting Inventory (Ref only)'!P21)</f>
        <v/>
      </c>
      <c r="AA10" s="372" t="str">
        <f>IF(B10="", "",'Lighting Inventory (Ref only)'!R21/1000)</f>
        <v/>
      </c>
      <c r="AB10" s="372" t="str">
        <f>IF(B10="", "", Inventory!M18)</f>
        <v/>
      </c>
      <c r="AC10" s="374" t="str">
        <f>IF(B10="", "", 'Lighting Inventory (Ref only)'!T21)</f>
        <v/>
      </c>
      <c r="AD10" s="374" t="str">
        <f>IF(C10="", "", 'Lighting Inventory (Ref only)'!AA21)</f>
        <v/>
      </c>
      <c r="AE10" s="375" t="str">
        <f>IF(B10="", "", 'Lighting Inventory (Ref only)'!U21)</f>
        <v/>
      </c>
      <c r="AF10" s="375" t="str">
        <f>IF(B10="", "",'Lighting Inventory (Ref only)'!W21)</f>
        <v/>
      </c>
      <c r="AG10" s="375" t="str">
        <f>IF(B10="", "", 'Lighting Inventory (Ref only)'!V21)</f>
        <v/>
      </c>
      <c r="AH10" s="375" t="str">
        <f>IF(B10="", "",'Lighting Inventory (Ref only)'!Z21)</f>
        <v/>
      </c>
      <c r="AI10" s="375" t="str">
        <f>IF(B10="", "", 'Lighting Inventory (Ref only)'!Y21)</f>
        <v/>
      </c>
      <c r="AJ10" s="375" t="str">
        <f>IF(C10="", "",'Lighting Inventory (Ref only)'!AB21)</f>
        <v/>
      </c>
      <c r="AK10" s="375" t="str">
        <f>IF(B10="", "", 'Lighting Inventory (Ref only)'!AG21)</f>
        <v/>
      </c>
      <c r="AL10" s="375" t="str">
        <f>IF(B10="", "", 'Lighting Inventory (Ref only)'!AD21)</f>
        <v/>
      </c>
      <c r="AM10" s="375" t="str">
        <f>IF(B10="", "", 'Lighting Inventory (Ref only)'!AE21)</f>
        <v/>
      </c>
      <c r="AN10" s="375" t="str">
        <f>IF(B10="", "", 'Lighting Inventory (Ref only)'!AF21)</f>
        <v/>
      </c>
      <c r="AO10" s="375" t="str">
        <f>IF(B10="", "", 'Lighting Inventory (Ref only)'!AG21)</f>
        <v/>
      </c>
    </row>
    <row r="11" spans="1:44">
      <c r="A11" s="298" t="str">
        <f>IF(G11="", "", Lookups!BF13)</f>
        <v/>
      </c>
      <c r="B11" s="298" t="str">
        <f>IF('Lighting Inventory (Ref only)'!Q22="", "", 'Lighting Inventory (Ref only)'!Q22)</f>
        <v/>
      </c>
      <c r="C11" s="298" t="str">
        <f>IF(A11="", "", 'Lighting Inventory (Ref only)'!AO22)</f>
        <v/>
      </c>
      <c r="D11" s="370" t="str">
        <f>IF(B11= "","", Inventory!S19)</f>
        <v/>
      </c>
      <c r="E11" s="371"/>
      <c r="F11" s="298" t="str">
        <f>IF(B11="", "", 'Version Log'!$B$34)</f>
        <v/>
      </c>
      <c r="G11" s="298" t="str">
        <f t="shared" si="0"/>
        <v/>
      </c>
      <c r="H11" s="298" t="str">
        <f t="shared" si="1"/>
        <v/>
      </c>
      <c r="I11" s="298" t="str">
        <f>IF(B11="", "",Inventory!D19)</f>
        <v/>
      </c>
      <c r="J11" s="298" t="str">
        <f>IF(B11="","",IF(Inventory!C19="N","Interior","Exterior"))</f>
        <v/>
      </c>
      <c r="K11" s="298" t="str">
        <f t="shared" si="2"/>
        <v/>
      </c>
      <c r="L11" s="298" t="str">
        <f>IF(B11="", "", Inventory!E19)</f>
        <v/>
      </c>
      <c r="M11" s="298" t="str">
        <f>IF(B11="","",IF(Cool_Type=Lookups!$L$9,Cool_Type,IF(Cool_Type=Lookups!$L$10,Cool_Type,IF(Cool_Type=Lookups!$L$11,Cool_Type,IF(Cool_Type=Lookups!L21,Cool_Type,IF('Project Info and Summary'!$C$20="Electric",CONCATENATE(Cool_Type," ",Heating_Type," Heat"),IF('Project Info and Summary'!$C$20="Non-Electric",CONCATENATE(Cool_Type," ",Heating_Type," Heat"),CONCATENATE(Cool_Type," ",Heating_Type))))))))</f>
        <v/>
      </c>
      <c r="N11" s="298" t="str">
        <f t="shared" si="3"/>
        <v/>
      </c>
      <c r="O11" s="298" t="str">
        <f>IF(B11="", "", 'Lighting Inventory (Ref only)'!G22)</f>
        <v/>
      </c>
      <c r="P11" s="298" t="str">
        <f>IF(B11="", "", 'Lighting Inventory (Ref only)'!E22)</f>
        <v/>
      </c>
      <c r="Q11" s="298" t="str">
        <f>IF(B11="", "", 'Lighting Inventory (Ref only)'!J22)</f>
        <v/>
      </c>
      <c r="R11" s="298" t="str">
        <f>IF(B11="", "",'Lighting Inventory (Ref only)'!K22)</f>
        <v/>
      </c>
      <c r="S11" s="372" t="str">
        <f>IF(B11="", "", 'Lighting Inventory (Ref only)'!G22*'Lighting Inventory (Ref only)'!K22/1000)</f>
        <v/>
      </c>
      <c r="T11" s="298" t="str">
        <f>IF(B11="", "", IF('Lighting Inventory (Ref only)'!I22="", "Light Switch",Inventory!H19))</f>
        <v/>
      </c>
      <c r="U11" s="298" t="str">
        <f>IF(B11="", "", 'Lighting Inventory (Ref only)'!Q22)</f>
        <v/>
      </c>
      <c r="V11" s="298" t="str">
        <f>IF(B11="", "", 'Lighting Inventory (Ref only)'!K22)</f>
        <v/>
      </c>
      <c r="W11" s="373" t="str">
        <f>IF(B11="","",('Lighting Inventory (Ref only)'!L22/1000))</f>
        <v/>
      </c>
      <c r="X11" s="298" t="str">
        <f>IF(B11="", "", 'Lighting Inventory (Ref only)'!Q22)</f>
        <v/>
      </c>
      <c r="Y11" s="298" t="str">
        <f>IF(C11="", "", Inventory!N19)</f>
        <v/>
      </c>
      <c r="Z11" s="374" t="str">
        <f>IF(B11="", "", 'Lighting Inventory (Ref only)'!P22)</f>
        <v/>
      </c>
      <c r="AA11" s="372" t="str">
        <f>IF(B11="", "",'Lighting Inventory (Ref only)'!R22/1000)</f>
        <v/>
      </c>
      <c r="AB11" s="372" t="str">
        <f>IF(B11="", "", Inventory!M19)</f>
        <v/>
      </c>
      <c r="AC11" s="374" t="str">
        <f>IF(B11="", "", 'Lighting Inventory (Ref only)'!T22)</f>
        <v/>
      </c>
      <c r="AD11" s="374" t="str">
        <f>IF(C11="", "", 'Lighting Inventory (Ref only)'!AA22)</f>
        <v/>
      </c>
      <c r="AE11" s="375" t="str">
        <f>IF(B11="", "", 'Lighting Inventory (Ref only)'!U22)</f>
        <v/>
      </c>
      <c r="AF11" s="375" t="str">
        <f>IF(B11="", "",'Lighting Inventory (Ref only)'!W22)</f>
        <v/>
      </c>
      <c r="AG11" s="375" t="str">
        <f>IF(B11="", "", 'Lighting Inventory (Ref only)'!V22)</f>
        <v/>
      </c>
      <c r="AH11" s="375" t="str">
        <f>IF(B11="", "",'Lighting Inventory (Ref only)'!Z22)</f>
        <v/>
      </c>
      <c r="AI11" s="375" t="str">
        <f>IF(B11="", "", 'Lighting Inventory (Ref only)'!Y22)</f>
        <v/>
      </c>
      <c r="AJ11" s="375" t="str">
        <f>IF(C11="", "",'Lighting Inventory (Ref only)'!AB22)</f>
        <v/>
      </c>
      <c r="AK11" s="375" t="str">
        <f>IF(B11="", "", 'Lighting Inventory (Ref only)'!AG22)</f>
        <v/>
      </c>
      <c r="AL11" s="375" t="str">
        <f>IF(B11="", "", 'Lighting Inventory (Ref only)'!AD22)</f>
        <v/>
      </c>
      <c r="AM11" s="375" t="str">
        <f>IF(B11="", "", 'Lighting Inventory (Ref only)'!AE22)</f>
        <v/>
      </c>
      <c r="AN11" s="375" t="str">
        <f>IF(B11="", "", 'Lighting Inventory (Ref only)'!AF22)</f>
        <v/>
      </c>
      <c r="AO11" s="375" t="str">
        <f>IF(B11="", "", 'Lighting Inventory (Ref only)'!AG22)</f>
        <v/>
      </c>
    </row>
    <row r="12" spans="1:44">
      <c r="A12" s="298" t="str">
        <f>IF(G12="", "", Lookups!BF14)</f>
        <v/>
      </c>
      <c r="B12" s="298" t="str">
        <f>IF('Lighting Inventory (Ref only)'!Q23="", "", 'Lighting Inventory (Ref only)'!Q23)</f>
        <v/>
      </c>
      <c r="C12" s="298" t="str">
        <f>IF(A12="", "", 'Lighting Inventory (Ref only)'!AO23)</f>
        <v/>
      </c>
      <c r="D12" s="370" t="str">
        <f>IF(B12= "","", Inventory!S20)</f>
        <v/>
      </c>
      <c r="E12" s="371"/>
      <c r="F12" s="298" t="str">
        <f>IF(B12="", "", 'Version Log'!$B$34)</f>
        <v/>
      </c>
      <c r="G12" s="298" t="str">
        <f t="shared" si="0"/>
        <v/>
      </c>
      <c r="H12" s="298" t="str">
        <f t="shared" si="1"/>
        <v/>
      </c>
      <c r="I12" s="298" t="str">
        <f>IF(B12="", "",Inventory!D20)</f>
        <v/>
      </c>
      <c r="J12" s="298" t="str">
        <f>IF(B12="","",IF(Inventory!C20="N","Interior","Exterior"))</f>
        <v/>
      </c>
      <c r="K12" s="298" t="str">
        <f t="shared" si="2"/>
        <v/>
      </c>
      <c r="L12" s="298" t="str">
        <f>IF(B12="", "", Inventory!E20)</f>
        <v/>
      </c>
      <c r="M12" s="298" t="str">
        <f>IF(B12="","",IF(Cool_Type=Lookups!$L$9,Cool_Type,IF(Cool_Type=Lookups!$L$10,Cool_Type,IF(Cool_Type=Lookups!$L$11,Cool_Type,IF(Cool_Type=Lookups!L22,Cool_Type,IF('Project Info and Summary'!$C$20="Electric",CONCATENATE(Cool_Type," ",Heating_Type," Heat"),IF('Project Info and Summary'!$C$20="Non-Electric",CONCATENATE(Cool_Type," ",Heating_Type," Heat"),CONCATENATE(Cool_Type," ",Heating_Type))))))))</f>
        <v/>
      </c>
      <c r="N12" s="298" t="str">
        <f t="shared" si="3"/>
        <v/>
      </c>
      <c r="O12" s="298" t="str">
        <f>IF(B12="", "", 'Lighting Inventory (Ref only)'!G23)</f>
        <v/>
      </c>
      <c r="P12" s="298" t="str">
        <f>IF(B12="", "", 'Lighting Inventory (Ref only)'!E23)</f>
        <v/>
      </c>
      <c r="Q12" s="298" t="str">
        <f>IF(B12="", "", 'Lighting Inventory (Ref only)'!J23)</f>
        <v/>
      </c>
      <c r="R12" s="298" t="str">
        <f>IF(B12="", "",'Lighting Inventory (Ref only)'!K23)</f>
        <v/>
      </c>
      <c r="S12" s="372" t="str">
        <f>IF(B12="", "", 'Lighting Inventory (Ref only)'!G23*'Lighting Inventory (Ref only)'!K23/1000)</f>
        <v/>
      </c>
      <c r="T12" s="298" t="str">
        <f>IF(B12="", "", IF('Lighting Inventory (Ref only)'!I23="", "Light Switch",Inventory!H20))</f>
        <v/>
      </c>
      <c r="U12" s="298" t="str">
        <f>IF(B12="", "", 'Lighting Inventory (Ref only)'!Q23)</f>
        <v/>
      </c>
      <c r="V12" s="298" t="str">
        <f>IF(B12="", "", 'Lighting Inventory (Ref only)'!K23)</f>
        <v/>
      </c>
      <c r="W12" s="373" t="str">
        <f>IF(B12="","",('Lighting Inventory (Ref only)'!L23/1000))</f>
        <v/>
      </c>
      <c r="X12" s="298" t="str">
        <f>IF(B12="", "", 'Lighting Inventory (Ref only)'!Q23)</f>
        <v/>
      </c>
      <c r="Y12" s="298" t="str">
        <f>IF(C12="", "", Inventory!N20)</f>
        <v/>
      </c>
      <c r="Z12" s="374" t="str">
        <f>IF(B12="", "", 'Lighting Inventory (Ref only)'!P23)</f>
        <v/>
      </c>
      <c r="AA12" s="372" t="str">
        <f>IF(B12="", "",'Lighting Inventory (Ref only)'!R23/1000)</f>
        <v/>
      </c>
      <c r="AB12" s="372" t="str">
        <f>IF(B12="", "", Inventory!M20)</f>
        <v/>
      </c>
      <c r="AC12" s="374" t="str">
        <f>IF(B12="", "", 'Lighting Inventory (Ref only)'!T23)</f>
        <v/>
      </c>
      <c r="AD12" s="374" t="str">
        <f>IF(C12="", "", 'Lighting Inventory (Ref only)'!AA23)</f>
        <v/>
      </c>
      <c r="AE12" s="375" t="str">
        <f>IF(B12="", "", 'Lighting Inventory (Ref only)'!U23)</f>
        <v/>
      </c>
      <c r="AF12" s="375" t="str">
        <f>IF(B12="", "",'Lighting Inventory (Ref only)'!W23)</f>
        <v/>
      </c>
      <c r="AG12" s="375" t="str">
        <f>IF(B12="", "", 'Lighting Inventory (Ref only)'!V23)</f>
        <v/>
      </c>
      <c r="AH12" s="375" t="str">
        <f>IF(B12="", "",'Lighting Inventory (Ref only)'!Z23)</f>
        <v/>
      </c>
      <c r="AI12" s="375" t="str">
        <f>IF(B12="", "", 'Lighting Inventory (Ref only)'!Y23)</f>
        <v/>
      </c>
      <c r="AJ12" s="375" t="str">
        <f>IF(C12="", "",'Lighting Inventory (Ref only)'!AB23)</f>
        <v/>
      </c>
      <c r="AK12" s="375" t="str">
        <f>IF(B12="", "", 'Lighting Inventory (Ref only)'!AG23)</f>
        <v/>
      </c>
      <c r="AL12" s="375" t="str">
        <f>IF(B12="", "", 'Lighting Inventory (Ref only)'!AD23)</f>
        <v/>
      </c>
      <c r="AM12" s="375" t="str">
        <f>IF(B12="", "", 'Lighting Inventory (Ref only)'!AE23)</f>
        <v/>
      </c>
      <c r="AN12" s="375" t="str">
        <f>IF(B12="", "", 'Lighting Inventory (Ref only)'!AF23)</f>
        <v/>
      </c>
      <c r="AO12" s="375" t="str">
        <f>IF(B12="", "", 'Lighting Inventory (Ref only)'!AG23)</f>
        <v/>
      </c>
    </row>
    <row r="13" spans="1:44">
      <c r="A13" s="298" t="str">
        <f>IF(G13="", "", Lookups!BF15)</f>
        <v/>
      </c>
      <c r="B13" s="298" t="str">
        <f>IF('Lighting Inventory (Ref only)'!Q24="", "", 'Lighting Inventory (Ref only)'!Q24)</f>
        <v/>
      </c>
      <c r="C13" s="298" t="str">
        <f>IF(A13="", "", 'Lighting Inventory (Ref only)'!AO24)</f>
        <v/>
      </c>
      <c r="D13" s="370" t="str">
        <f>IF(B13= "","", Inventory!S21)</f>
        <v/>
      </c>
      <c r="E13" s="371"/>
      <c r="F13" s="298" t="str">
        <f>IF(B13="", "", 'Version Log'!$B$34)</f>
        <v/>
      </c>
      <c r="G13" s="298" t="str">
        <f t="shared" si="0"/>
        <v/>
      </c>
      <c r="H13" s="298" t="str">
        <f t="shared" si="1"/>
        <v/>
      </c>
      <c r="I13" s="298" t="str">
        <f>IF(B13="", "",Inventory!D21)</f>
        <v/>
      </c>
      <c r="J13" s="298" t="str">
        <f>IF(B13="","",IF(Inventory!C21="N","Interior","Exterior"))</f>
        <v/>
      </c>
      <c r="K13" s="298" t="str">
        <f t="shared" si="2"/>
        <v/>
      </c>
      <c r="L13" s="298" t="str">
        <f>IF(B13="", "", Inventory!E21)</f>
        <v/>
      </c>
      <c r="M13" s="298" t="str">
        <f>IF(B13="","",IF(Cool_Type=Lookups!$L$9,Cool_Type,IF(Cool_Type=Lookups!$L$10,Cool_Type,IF(Cool_Type=Lookups!$L$11,Cool_Type,IF(Cool_Type=Lookups!L23,Cool_Type,IF('Project Info and Summary'!$C$20="Electric",CONCATENATE(Cool_Type," ",Heating_Type," Heat"),IF('Project Info and Summary'!$C$20="Non-Electric",CONCATENATE(Cool_Type," ",Heating_Type," Heat"),CONCATENATE(Cool_Type," ",Heating_Type))))))))</f>
        <v/>
      </c>
      <c r="N13" s="298" t="str">
        <f t="shared" si="3"/>
        <v/>
      </c>
      <c r="O13" s="298" t="str">
        <f>IF(B13="", "", 'Lighting Inventory (Ref only)'!G24)</f>
        <v/>
      </c>
      <c r="P13" s="298" t="str">
        <f>IF(B13="", "", 'Lighting Inventory (Ref only)'!E24)</f>
        <v/>
      </c>
      <c r="Q13" s="298" t="str">
        <f>IF(B13="", "", 'Lighting Inventory (Ref only)'!J24)</f>
        <v/>
      </c>
      <c r="R13" s="298" t="str">
        <f>IF(B13="", "",'Lighting Inventory (Ref only)'!K24)</f>
        <v/>
      </c>
      <c r="S13" s="372" t="str">
        <f>IF(B13="", "", 'Lighting Inventory (Ref only)'!G24*'Lighting Inventory (Ref only)'!K24/1000)</f>
        <v/>
      </c>
      <c r="T13" s="298" t="str">
        <f>IF(B13="", "", IF('Lighting Inventory (Ref only)'!I24="", "Light Switch",Inventory!H21))</f>
        <v/>
      </c>
      <c r="U13" s="298" t="str">
        <f>IF(B13="", "", 'Lighting Inventory (Ref only)'!Q24)</f>
        <v/>
      </c>
      <c r="V13" s="298" t="str">
        <f>IF(B13="", "", 'Lighting Inventory (Ref only)'!K24)</f>
        <v/>
      </c>
      <c r="W13" s="373" t="str">
        <f>IF(B13="","",('Lighting Inventory (Ref only)'!L24/1000))</f>
        <v/>
      </c>
      <c r="X13" s="298" t="str">
        <f>IF(B13="", "", 'Lighting Inventory (Ref only)'!Q24)</f>
        <v/>
      </c>
      <c r="Y13" s="298" t="str">
        <f>IF(C13="", "", Inventory!N21)</f>
        <v/>
      </c>
      <c r="Z13" s="374" t="str">
        <f>IF(B13="", "", 'Lighting Inventory (Ref only)'!P24)</f>
        <v/>
      </c>
      <c r="AA13" s="372" t="str">
        <f>IF(B13="", "",'Lighting Inventory (Ref only)'!R24/1000)</f>
        <v/>
      </c>
      <c r="AB13" s="372" t="str">
        <f>IF(B13="", "", Inventory!M21)</f>
        <v/>
      </c>
      <c r="AC13" s="374" t="str">
        <f>IF(B13="", "", 'Lighting Inventory (Ref only)'!T24)</f>
        <v/>
      </c>
      <c r="AD13" s="374" t="str">
        <f>IF(C13="", "", 'Lighting Inventory (Ref only)'!AA24)</f>
        <v/>
      </c>
      <c r="AE13" s="375" t="str">
        <f>IF(B13="", "", 'Lighting Inventory (Ref only)'!U24)</f>
        <v/>
      </c>
      <c r="AF13" s="375" t="str">
        <f>IF(B13="", "",'Lighting Inventory (Ref only)'!W24)</f>
        <v/>
      </c>
      <c r="AG13" s="375" t="str">
        <f>IF(B13="", "", 'Lighting Inventory (Ref only)'!V24)</f>
        <v/>
      </c>
      <c r="AH13" s="375" t="str">
        <f>IF(B13="", "",'Lighting Inventory (Ref only)'!Z24)</f>
        <v/>
      </c>
      <c r="AI13" s="375" t="str">
        <f>IF(B13="", "", 'Lighting Inventory (Ref only)'!Y24)</f>
        <v/>
      </c>
      <c r="AJ13" s="375" t="str">
        <f>IF(C13="", "",'Lighting Inventory (Ref only)'!AB24)</f>
        <v/>
      </c>
      <c r="AK13" s="375" t="str">
        <f>IF(B13="", "", 'Lighting Inventory (Ref only)'!AG24)</f>
        <v/>
      </c>
      <c r="AL13" s="375" t="str">
        <f>IF(B13="", "", 'Lighting Inventory (Ref only)'!AD24)</f>
        <v/>
      </c>
      <c r="AM13" s="375" t="str">
        <f>IF(B13="", "", 'Lighting Inventory (Ref only)'!AE24)</f>
        <v/>
      </c>
      <c r="AN13" s="375" t="str">
        <f>IF(B13="", "", 'Lighting Inventory (Ref only)'!AF24)</f>
        <v/>
      </c>
      <c r="AO13" s="375" t="str">
        <f>IF(B13="", "", 'Lighting Inventory (Ref only)'!AG24)</f>
        <v/>
      </c>
    </row>
    <row r="14" spans="1:44">
      <c r="A14" s="298" t="str">
        <f>IF(G14="", "", Lookups!BF16)</f>
        <v/>
      </c>
      <c r="B14" s="298" t="str">
        <f>IF('Lighting Inventory (Ref only)'!Q25="", "", 'Lighting Inventory (Ref only)'!Q25)</f>
        <v/>
      </c>
      <c r="C14" s="298" t="str">
        <f>IF(A14="", "", 'Lighting Inventory (Ref only)'!AO25)</f>
        <v/>
      </c>
      <c r="D14" s="370" t="str">
        <f>IF(B14= "","", Inventory!S22)</f>
        <v/>
      </c>
      <c r="E14" s="371"/>
      <c r="F14" s="298" t="str">
        <f>IF(B14="", "", 'Version Log'!$B$34)</f>
        <v/>
      </c>
      <c r="G14" s="298" t="str">
        <f t="shared" si="0"/>
        <v/>
      </c>
      <c r="H14" s="298" t="str">
        <f t="shared" si="1"/>
        <v/>
      </c>
      <c r="I14" s="298" t="str">
        <f>IF(B14="", "",Inventory!D22)</f>
        <v/>
      </c>
      <c r="J14" s="298" t="str">
        <f>IF(B14="","",IF(Inventory!C22="N","Interior","Exterior"))</f>
        <v/>
      </c>
      <c r="K14" s="298" t="str">
        <f t="shared" si="2"/>
        <v/>
      </c>
      <c r="L14" s="298" t="str">
        <f>IF(B14="", "", Inventory!E22)</f>
        <v/>
      </c>
      <c r="M14" s="298" t="str">
        <f>IF(B14="","",IF(Cool_Type=Lookups!$L$9,Cool_Type,IF(Cool_Type=Lookups!$L$10,Cool_Type,IF(Cool_Type=Lookups!$L$11,Cool_Type,IF(Cool_Type=Lookups!L24,Cool_Type,IF('Project Info and Summary'!$C$20="Electric",CONCATENATE(Cool_Type," ",Heating_Type," Heat"),IF('Project Info and Summary'!$C$20="Non-Electric",CONCATENATE(Cool_Type," ",Heating_Type," Heat"),CONCATENATE(Cool_Type," ",Heating_Type))))))))</f>
        <v/>
      </c>
      <c r="N14" s="298" t="str">
        <f t="shared" si="3"/>
        <v/>
      </c>
      <c r="O14" s="298" t="str">
        <f>IF(B14="", "", 'Lighting Inventory (Ref only)'!G25)</f>
        <v/>
      </c>
      <c r="P14" s="298" t="str">
        <f>IF(B14="", "", 'Lighting Inventory (Ref only)'!E25)</f>
        <v/>
      </c>
      <c r="Q14" s="298" t="str">
        <f>IF(B14="", "", 'Lighting Inventory (Ref only)'!J25)</f>
        <v/>
      </c>
      <c r="R14" s="298" t="str">
        <f>IF(B14="", "",'Lighting Inventory (Ref only)'!K25)</f>
        <v/>
      </c>
      <c r="S14" s="372" t="str">
        <f>IF(B14="", "", 'Lighting Inventory (Ref only)'!G25*'Lighting Inventory (Ref only)'!K25/1000)</f>
        <v/>
      </c>
      <c r="T14" s="298" t="str">
        <f>IF(B14="", "", IF('Lighting Inventory (Ref only)'!I25="", "Light Switch",Inventory!H22))</f>
        <v/>
      </c>
      <c r="U14" s="298" t="str">
        <f>IF(B14="", "", 'Lighting Inventory (Ref only)'!Q25)</f>
        <v/>
      </c>
      <c r="V14" s="298" t="str">
        <f>IF(B14="", "", 'Lighting Inventory (Ref only)'!K25)</f>
        <v/>
      </c>
      <c r="W14" s="373" t="str">
        <f>IF(B14="","",('Lighting Inventory (Ref only)'!L25/1000))</f>
        <v/>
      </c>
      <c r="X14" s="298" t="str">
        <f>IF(B14="", "", 'Lighting Inventory (Ref only)'!Q25)</f>
        <v/>
      </c>
      <c r="Y14" s="298" t="str">
        <f>IF(C14="", "", Inventory!N22)</f>
        <v/>
      </c>
      <c r="Z14" s="374" t="str">
        <f>IF(B14="", "", 'Lighting Inventory (Ref only)'!P25)</f>
        <v/>
      </c>
      <c r="AA14" s="372" t="str">
        <f>IF(B14="", "",'Lighting Inventory (Ref only)'!R25/1000)</f>
        <v/>
      </c>
      <c r="AB14" s="372" t="str">
        <f>IF(B14="", "", Inventory!M22)</f>
        <v/>
      </c>
      <c r="AC14" s="374" t="str">
        <f>IF(B14="", "", 'Lighting Inventory (Ref only)'!T25)</f>
        <v/>
      </c>
      <c r="AD14" s="374" t="str">
        <f>IF(C14="", "", 'Lighting Inventory (Ref only)'!AA25)</f>
        <v/>
      </c>
      <c r="AE14" s="375" t="str">
        <f>IF(B14="", "", 'Lighting Inventory (Ref only)'!U25)</f>
        <v/>
      </c>
      <c r="AF14" s="375" t="str">
        <f>IF(B14="", "",'Lighting Inventory (Ref only)'!W25)</f>
        <v/>
      </c>
      <c r="AG14" s="375" t="str">
        <f>IF(B14="", "", 'Lighting Inventory (Ref only)'!V25)</f>
        <v/>
      </c>
      <c r="AH14" s="375" t="str">
        <f>IF(B14="", "",'Lighting Inventory (Ref only)'!Z25)</f>
        <v/>
      </c>
      <c r="AI14" s="375" t="str">
        <f>IF(B14="", "", 'Lighting Inventory (Ref only)'!Y25)</f>
        <v/>
      </c>
      <c r="AJ14" s="375" t="str">
        <f>IF(C14="", "",'Lighting Inventory (Ref only)'!AB25)</f>
        <v/>
      </c>
      <c r="AK14" s="375" t="str">
        <f>IF(B14="", "", 'Lighting Inventory (Ref only)'!AG25)</f>
        <v/>
      </c>
      <c r="AL14" s="375" t="str">
        <f>IF(B14="", "", 'Lighting Inventory (Ref only)'!AD25)</f>
        <v/>
      </c>
      <c r="AM14" s="375" t="str">
        <f>IF(B14="", "", 'Lighting Inventory (Ref only)'!AE25)</f>
        <v/>
      </c>
      <c r="AN14" s="375" t="str">
        <f>IF(B14="", "", 'Lighting Inventory (Ref only)'!AF25)</f>
        <v/>
      </c>
      <c r="AO14" s="375" t="str">
        <f>IF(B14="", "", 'Lighting Inventory (Ref only)'!AG25)</f>
        <v/>
      </c>
    </row>
    <row r="15" spans="1:44">
      <c r="A15" s="298" t="str">
        <f>IF(G15="", "", Lookups!BF17)</f>
        <v/>
      </c>
      <c r="B15" s="298" t="str">
        <f>IF('Lighting Inventory (Ref only)'!Q26="", "", 'Lighting Inventory (Ref only)'!Q26)</f>
        <v/>
      </c>
      <c r="C15" s="298" t="str">
        <f>IF(A15="", "", 'Lighting Inventory (Ref only)'!AO26)</f>
        <v/>
      </c>
      <c r="D15" s="370" t="str">
        <f>IF(B15= "","", Inventory!S23)</f>
        <v/>
      </c>
      <c r="E15" s="371"/>
      <c r="F15" s="298" t="str">
        <f>IF(B15="", "", 'Version Log'!$B$34)</f>
        <v/>
      </c>
      <c r="G15" s="298" t="str">
        <f t="shared" si="0"/>
        <v/>
      </c>
      <c r="H15" s="298" t="str">
        <f t="shared" si="1"/>
        <v/>
      </c>
      <c r="I15" s="298" t="str">
        <f>IF(B15="", "",Inventory!D23)</f>
        <v/>
      </c>
      <c r="J15" s="298" t="str">
        <f>IF(B15="","",IF(Inventory!C23="N","Interior","Exterior"))</f>
        <v/>
      </c>
      <c r="K15" s="298" t="str">
        <f t="shared" si="2"/>
        <v/>
      </c>
      <c r="L15" s="298" t="str">
        <f>IF(B15="", "", Inventory!E23)</f>
        <v/>
      </c>
      <c r="M15" s="298" t="str">
        <f>IF(B15="","",IF(Cool_Type=Lookups!$L$9,Cool_Type,IF(Cool_Type=Lookups!$L$10,Cool_Type,IF(Cool_Type=Lookups!$L$11,Cool_Type,IF(Cool_Type=Lookups!L25,Cool_Type,IF('Project Info and Summary'!$C$20="Electric",CONCATENATE(Cool_Type," ",Heating_Type," Heat"),IF('Project Info and Summary'!$C$20="Non-Electric",CONCATENATE(Cool_Type," ",Heating_Type," Heat"),CONCATENATE(Cool_Type," ",Heating_Type))))))))</f>
        <v/>
      </c>
      <c r="N15" s="298" t="str">
        <f t="shared" si="3"/>
        <v/>
      </c>
      <c r="O15" s="298" t="str">
        <f>IF(B15="", "", 'Lighting Inventory (Ref only)'!G26)</f>
        <v/>
      </c>
      <c r="P15" s="298" t="str">
        <f>IF(B15="", "", 'Lighting Inventory (Ref only)'!E26)</f>
        <v/>
      </c>
      <c r="Q15" s="298" t="str">
        <f>IF(B15="", "", 'Lighting Inventory (Ref only)'!J26)</f>
        <v/>
      </c>
      <c r="R15" s="298" t="str">
        <f>IF(B15="", "",'Lighting Inventory (Ref only)'!K26)</f>
        <v/>
      </c>
      <c r="S15" s="372" t="str">
        <f>IF(B15="", "", 'Lighting Inventory (Ref only)'!G26*'Lighting Inventory (Ref only)'!K26/1000)</f>
        <v/>
      </c>
      <c r="T15" s="298" t="str">
        <f>IF(B15="", "", IF('Lighting Inventory (Ref only)'!I26="", "Light Switch",Inventory!H23))</f>
        <v/>
      </c>
      <c r="U15" s="298" t="str">
        <f>IF(B15="", "", 'Lighting Inventory (Ref only)'!Q26)</f>
        <v/>
      </c>
      <c r="V15" s="298" t="str">
        <f>IF(B15="", "", 'Lighting Inventory (Ref only)'!K26)</f>
        <v/>
      </c>
      <c r="W15" s="373" t="str">
        <f>IF(B15="","",('Lighting Inventory (Ref only)'!L26/1000))</f>
        <v/>
      </c>
      <c r="X15" s="298" t="str">
        <f>IF(B15="", "", 'Lighting Inventory (Ref only)'!Q26)</f>
        <v/>
      </c>
      <c r="Y15" s="298" t="str">
        <f>IF(C15="", "", Inventory!N23)</f>
        <v/>
      </c>
      <c r="Z15" s="374" t="str">
        <f>IF(B15="", "", 'Lighting Inventory (Ref only)'!P26)</f>
        <v/>
      </c>
      <c r="AA15" s="372" t="str">
        <f>IF(B15="", "",'Lighting Inventory (Ref only)'!R26/1000)</f>
        <v/>
      </c>
      <c r="AB15" s="372" t="str">
        <f>IF(B15="", "", Inventory!M23)</f>
        <v/>
      </c>
      <c r="AC15" s="374" t="str">
        <f>IF(B15="", "", 'Lighting Inventory (Ref only)'!T26)</f>
        <v/>
      </c>
      <c r="AD15" s="374" t="str">
        <f>IF(C15="", "", 'Lighting Inventory (Ref only)'!AA26)</f>
        <v/>
      </c>
      <c r="AE15" s="375" t="str">
        <f>IF(B15="", "", 'Lighting Inventory (Ref only)'!U26)</f>
        <v/>
      </c>
      <c r="AF15" s="375" t="str">
        <f>IF(B15="", "",'Lighting Inventory (Ref only)'!W26)</f>
        <v/>
      </c>
      <c r="AG15" s="375" t="str">
        <f>IF(B15="", "", 'Lighting Inventory (Ref only)'!V26)</f>
        <v/>
      </c>
      <c r="AH15" s="375" t="str">
        <f>IF(B15="", "",'Lighting Inventory (Ref only)'!Z26)</f>
        <v/>
      </c>
      <c r="AI15" s="375" t="str">
        <f>IF(B15="", "", 'Lighting Inventory (Ref only)'!Y26)</f>
        <v/>
      </c>
      <c r="AJ15" s="375" t="str">
        <f>IF(C15="", "",'Lighting Inventory (Ref only)'!AB26)</f>
        <v/>
      </c>
      <c r="AK15" s="375" t="str">
        <f>IF(B15="", "", 'Lighting Inventory (Ref only)'!AG26)</f>
        <v/>
      </c>
      <c r="AL15" s="375" t="str">
        <f>IF(B15="", "", 'Lighting Inventory (Ref only)'!AD26)</f>
        <v/>
      </c>
      <c r="AM15" s="375" t="str">
        <f>IF(B15="", "", 'Lighting Inventory (Ref only)'!AE26)</f>
        <v/>
      </c>
      <c r="AN15" s="375" t="str">
        <f>IF(B15="", "", 'Lighting Inventory (Ref only)'!AF26)</f>
        <v/>
      </c>
      <c r="AO15" s="375" t="str">
        <f>IF(B15="", "", 'Lighting Inventory (Ref only)'!AG26)</f>
        <v/>
      </c>
    </row>
    <row r="16" spans="1:44">
      <c r="A16" s="298" t="str">
        <f>IF(G16="", "", Lookups!BF18)</f>
        <v/>
      </c>
      <c r="B16" s="298" t="str">
        <f>IF('Lighting Inventory (Ref only)'!Q27="", "", 'Lighting Inventory (Ref only)'!Q27)</f>
        <v/>
      </c>
      <c r="C16" s="298" t="str">
        <f>IF(A16="", "", 'Lighting Inventory (Ref only)'!AO27)</f>
        <v/>
      </c>
      <c r="D16" s="370" t="str">
        <f>IF(B16= "","", Inventory!S24)</f>
        <v/>
      </c>
      <c r="E16" s="371"/>
      <c r="F16" s="298" t="str">
        <f>IF(B16="", "", 'Version Log'!$B$34)</f>
        <v/>
      </c>
      <c r="G16" s="298" t="str">
        <f t="shared" si="0"/>
        <v/>
      </c>
      <c r="H16" s="298" t="str">
        <f t="shared" si="1"/>
        <v/>
      </c>
      <c r="I16" s="298" t="str">
        <f>IF(B16="", "",Inventory!D24)</f>
        <v/>
      </c>
      <c r="J16" s="298" t="str">
        <f>IF(B16="","",IF(Inventory!C24="N","Interior","Exterior"))</f>
        <v/>
      </c>
      <c r="K16" s="298" t="str">
        <f t="shared" si="2"/>
        <v/>
      </c>
      <c r="L16" s="298" t="str">
        <f>IF(B16="", "", Inventory!E24)</f>
        <v/>
      </c>
      <c r="M16" s="298" t="str">
        <f>IF(B16="","",IF(Cool_Type=Lookups!$L$9,Cool_Type,IF(Cool_Type=Lookups!$L$10,Cool_Type,IF(Cool_Type=Lookups!$L$11,Cool_Type,IF(Cool_Type=Lookups!L26,Cool_Type,IF('Project Info and Summary'!$C$20="Electric",CONCATENATE(Cool_Type," ",Heating_Type," Heat"),IF('Project Info and Summary'!$C$20="Non-Electric",CONCATENATE(Cool_Type," ",Heating_Type," Heat"),CONCATENATE(Cool_Type," ",Heating_Type))))))))</f>
        <v/>
      </c>
      <c r="N16" s="298" t="str">
        <f t="shared" si="3"/>
        <v/>
      </c>
      <c r="O16" s="298" t="str">
        <f>IF(B16="", "", 'Lighting Inventory (Ref only)'!G27)</f>
        <v/>
      </c>
      <c r="P16" s="298" t="str">
        <f>IF(B16="", "", 'Lighting Inventory (Ref only)'!E27)</f>
        <v/>
      </c>
      <c r="Q16" s="298" t="str">
        <f>IF(B16="", "", 'Lighting Inventory (Ref only)'!J27)</f>
        <v/>
      </c>
      <c r="R16" s="298" t="str">
        <f>IF(B16="", "",'Lighting Inventory (Ref only)'!K27)</f>
        <v/>
      </c>
      <c r="S16" s="372" t="str">
        <f>IF(B16="", "", 'Lighting Inventory (Ref only)'!G27*'Lighting Inventory (Ref only)'!K27/1000)</f>
        <v/>
      </c>
      <c r="T16" s="298" t="str">
        <f>IF(B16="", "", IF('Lighting Inventory (Ref only)'!I27="", "Light Switch",Inventory!H24))</f>
        <v/>
      </c>
      <c r="U16" s="298" t="str">
        <f>IF(B16="", "", 'Lighting Inventory (Ref only)'!Q27)</f>
        <v/>
      </c>
      <c r="V16" s="298" t="str">
        <f>IF(B16="", "", 'Lighting Inventory (Ref only)'!K27)</f>
        <v/>
      </c>
      <c r="W16" s="373" t="str">
        <f>IF(B16="","",('Lighting Inventory (Ref only)'!L27/1000))</f>
        <v/>
      </c>
      <c r="X16" s="298" t="str">
        <f>IF(B16="", "", 'Lighting Inventory (Ref only)'!Q27)</f>
        <v/>
      </c>
      <c r="Y16" s="298" t="str">
        <f>IF(C16="", "", Inventory!N24)</f>
        <v/>
      </c>
      <c r="Z16" s="374" t="str">
        <f>IF(B16="", "", 'Lighting Inventory (Ref only)'!P27)</f>
        <v/>
      </c>
      <c r="AA16" s="372" t="str">
        <f>IF(B16="", "",'Lighting Inventory (Ref only)'!R27/1000)</f>
        <v/>
      </c>
      <c r="AB16" s="372" t="str">
        <f>IF(B16="", "", Inventory!M24)</f>
        <v/>
      </c>
      <c r="AC16" s="374" t="str">
        <f>IF(B16="", "", 'Lighting Inventory (Ref only)'!T27)</f>
        <v/>
      </c>
      <c r="AD16" s="374" t="str">
        <f>IF(C16="", "", 'Lighting Inventory (Ref only)'!AA27)</f>
        <v/>
      </c>
      <c r="AE16" s="375" t="str">
        <f>IF(B16="", "", 'Lighting Inventory (Ref only)'!U27)</f>
        <v/>
      </c>
      <c r="AF16" s="375" t="str">
        <f>IF(B16="", "",'Lighting Inventory (Ref only)'!W27)</f>
        <v/>
      </c>
      <c r="AG16" s="375" t="str">
        <f>IF(B16="", "", 'Lighting Inventory (Ref only)'!V27)</f>
        <v/>
      </c>
      <c r="AH16" s="375" t="str">
        <f>IF(B16="", "",'Lighting Inventory (Ref only)'!Z27)</f>
        <v/>
      </c>
      <c r="AI16" s="375" t="str">
        <f>IF(B16="", "", 'Lighting Inventory (Ref only)'!Y27)</f>
        <v/>
      </c>
      <c r="AJ16" s="375" t="str">
        <f>IF(C16="", "",'Lighting Inventory (Ref only)'!AB27)</f>
        <v/>
      </c>
      <c r="AK16" s="375" t="str">
        <f>IF(B16="", "", 'Lighting Inventory (Ref only)'!AG27)</f>
        <v/>
      </c>
      <c r="AL16" s="375" t="str">
        <f>IF(B16="", "", 'Lighting Inventory (Ref only)'!AD27)</f>
        <v/>
      </c>
      <c r="AM16" s="375" t="str">
        <f>IF(B16="", "", 'Lighting Inventory (Ref only)'!AE27)</f>
        <v/>
      </c>
      <c r="AN16" s="375" t="str">
        <f>IF(B16="", "", 'Lighting Inventory (Ref only)'!AF27)</f>
        <v/>
      </c>
      <c r="AO16" s="375" t="str">
        <f>IF(B16="", "", 'Lighting Inventory (Ref only)'!AG27)</f>
        <v/>
      </c>
    </row>
    <row r="17" spans="1:41">
      <c r="A17" s="298" t="str">
        <f>IF(G17="", "", Lookups!BF19)</f>
        <v/>
      </c>
      <c r="B17" s="298" t="str">
        <f>IF('Lighting Inventory (Ref only)'!Q28="", "", 'Lighting Inventory (Ref only)'!Q28)</f>
        <v/>
      </c>
      <c r="C17" s="298" t="str">
        <f>IF(A17="", "", 'Lighting Inventory (Ref only)'!AO28)</f>
        <v/>
      </c>
      <c r="D17" s="370" t="str">
        <f>IF(B17= "","", Inventory!S25)</f>
        <v/>
      </c>
      <c r="E17" s="371"/>
      <c r="F17" s="298" t="str">
        <f>IF(B17="", "", 'Version Log'!$B$34)</f>
        <v/>
      </c>
      <c r="G17" s="298" t="str">
        <f t="shared" si="0"/>
        <v/>
      </c>
      <c r="H17" s="298" t="str">
        <f t="shared" si="1"/>
        <v/>
      </c>
      <c r="I17" s="298" t="str">
        <f>IF(B17="", "",Inventory!D25)</f>
        <v/>
      </c>
      <c r="J17" s="298" t="str">
        <f>IF(B17="","",IF(Inventory!C25="N","Interior","Exterior"))</f>
        <v/>
      </c>
      <c r="K17" s="298" t="str">
        <f t="shared" si="2"/>
        <v/>
      </c>
      <c r="L17" s="298" t="str">
        <f>IF(B17="", "", Inventory!E25)</f>
        <v/>
      </c>
      <c r="M17" s="298" t="str">
        <f>IF(B17="","",IF(Cool_Type=Lookups!$L$9,Cool_Type,IF(Cool_Type=Lookups!$L$10,Cool_Type,IF(Cool_Type=Lookups!$L$11,Cool_Type,IF(Cool_Type=Lookups!L27,Cool_Type,IF('Project Info and Summary'!$C$20="Electric",CONCATENATE(Cool_Type," ",Heating_Type," Heat"),IF('Project Info and Summary'!$C$20="Non-Electric",CONCATENATE(Cool_Type," ",Heating_Type," Heat"),CONCATENATE(Cool_Type," ",Heating_Type))))))))</f>
        <v/>
      </c>
      <c r="N17" s="298" t="str">
        <f t="shared" si="3"/>
        <v/>
      </c>
      <c r="O17" s="298" t="str">
        <f>IF(B17="", "", 'Lighting Inventory (Ref only)'!G28)</f>
        <v/>
      </c>
      <c r="P17" s="298" t="str">
        <f>IF(B17="", "", 'Lighting Inventory (Ref only)'!E28)</f>
        <v/>
      </c>
      <c r="Q17" s="298" t="str">
        <f>IF(B17="", "", 'Lighting Inventory (Ref only)'!J28)</f>
        <v/>
      </c>
      <c r="R17" s="298" t="str">
        <f>IF(B17="", "",'Lighting Inventory (Ref only)'!K28)</f>
        <v/>
      </c>
      <c r="S17" s="372" t="str">
        <f>IF(B17="", "", 'Lighting Inventory (Ref only)'!G28*'Lighting Inventory (Ref only)'!K28/1000)</f>
        <v/>
      </c>
      <c r="T17" s="298" t="str">
        <f>IF(B17="", "", IF('Lighting Inventory (Ref only)'!I28="", "Light Switch",Inventory!H25))</f>
        <v/>
      </c>
      <c r="U17" s="298" t="str">
        <f>IF(B17="", "", 'Lighting Inventory (Ref only)'!Q28)</f>
        <v/>
      </c>
      <c r="V17" s="298" t="str">
        <f>IF(B17="", "", 'Lighting Inventory (Ref only)'!K28)</f>
        <v/>
      </c>
      <c r="W17" s="373" t="str">
        <f>IF(B17="","",('Lighting Inventory (Ref only)'!L28/1000))</f>
        <v/>
      </c>
      <c r="X17" s="298" t="str">
        <f>IF(B17="", "", 'Lighting Inventory (Ref only)'!Q28)</f>
        <v/>
      </c>
      <c r="Y17" s="298" t="str">
        <f>IF(C17="", "", Inventory!N25)</f>
        <v/>
      </c>
      <c r="Z17" s="374" t="str">
        <f>IF(B17="", "", 'Lighting Inventory (Ref only)'!P28)</f>
        <v/>
      </c>
      <c r="AA17" s="372" t="str">
        <f>IF(B17="", "",'Lighting Inventory (Ref only)'!R28/1000)</f>
        <v/>
      </c>
      <c r="AB17" s="372" t="str">
        <f>IF(B17="", "", Inventory!M25)</f>
        <v/>
      </c>
      <c r="AC17" s="374" t="str">
        <f>IF(B17="", "", 'Lighting Inventory (Ref only)'!T28)</f>
        <v/>
      </c>
      <c r="AD17" s="374" t="str">
        <f>IF(C17="", "", 'Lighting Inventory (Ref only)'!AA28)</f>
        <v/>
      </c>
      <c r="AE17" s="375" t="str">
        <f>IF(B17="", "", 'Lighting Inventory (Ref only)'!U28)</f>
        <v/>
      </c>
      <c r="AF17" s="375" t="str">
        <f>IF(B17="", "",'Lighting Inventory (Ref only)'!W28)</f>
        <v/>
      </c>
      <c r="AG17" s="375" t="str">
        <f>IF(B17="", "", 'Lighting Inventory (Ref only)'!V28)</f>
        <v/>
      </c>
      <c r="AH17" s="375" t="str">
        <f>IF(B17="", "",'Lighting Inventory (Ref only)'!Z28)</f>
        <v/>
      </c>
      <c r="AI17" s="375" t="str">
        <f>IF(B17="", "", 'Lighting Inventory (Ref only)'!Y28)</f>
        <v/>
      </c>
      <c r="AJ17" s="375" t="str">
        <f>IF(C17="", "",'Lighting Inventory (Ref only)'!AB28)</f>
        <v/>
      </c>
      <c r="AK17" s="375" t="str">
        <f>IF(B17="", "", 'Lighting Inventory (Ref only)'!AG28)</f>
        <v/>
      </c>
      <c r="AL17" s="375" t="str">
        <f>IF(B17="", "", 'Lighting Inventory (Ref only)'!AD28)</f>
        <v/>
      </c>
      <c r="AM17" s="375" t="str">
        <f>IF(B17="", "", 'Lighting Inventory (Ref only)'!AE28)</f>
        <v/>
      </c>
      <c r="AN17" s="375" t="str">
        <f>IF(B17="", "", 'Lighting Inventory (Ref only)'!AF28)</f>
        <v/>
      </c>
      <c r="AO17" s="375" t="str">
        <f>IF(B17="", "", 'Lighting Inventory (Ref only)'!AG28)</f>
        <v/>
      </c>
    </row>
    <row r="18" spans="1:41">
      <c r="A18" s="298" t="str">
        <f>IF(G18="", "", Lookups!BF20)</f>
        <v/>
      </c>
      <c r="B18" s="298" t="str">
        <f>IF('Lighting Inventory (Ref only)'!Q29="", "", 'Lighting Inventory (Ref only)'!Q29)</f>
        <v/>
      </c>
      <c r="C18" s="298" t="str">
        <f>IF(A18="", "", 'Lighting Inventory (Ref only)'!AO29)</f>
        <v/>
      </c>
      <c r="D18" s="370" t="str">
        <f>IF(B18= "","", Inventory!S26)</f>
        <v/>
      </c>
      <c r="E18" s="371"/>
      <c r="F18" s="298" t="str">
        <f>IF(B18="", "", 'Version Log'!$B$34)</f>
        <v/>
      </c>
      <c r="G18" s="298" t="str">
        <f t="shared" si="0"/>
        <v/>
      </c>
      <c r="H18" s="298" t="str">
        <f t="shared" si="1"/>
        <v/>
      </c>
      <c r="I18" s="298" t="str">
        <f>IF(B18="", "",Inventory!D26)</f>
        <v/>
      </c>
      <c r="J18" s="298" t="str">
        <f>IF(B18="","",IF(Inventory!C26="N","Interior","Exterior"))</f>
        <v/>
      </c>
      <c r="K18" s="298" t="str">
        <f t="shared" si="2"/>
        <v/>
      </c>
      <c r="L18" s="298" t="str">
        <f>IF(B18="", "", Inventory!E26)</f>
        <v/>
      </c>
      <c r="M18" s="298" t="str">
        <f>IF(B18="","",IF(Cool_Type=Lookups!$L$9,Cool_Type,IF(Cool_Type=Lookups!$L$10,Cool_Type,IF(Cool_Type=Lookups!$L$11,Cool_Type,IF(Cool_Type=Lookups!L28,Cool_Type,IF('Project Info and Summary'!$C$20="Electric",CONCATENATE(Cool_Type," ",Heating_Type," Heat"),IF('Project Info and Summary'!$C$20="Non-Electric",CONCATENATE(Cool_Type," ",Heating_Type," Heat"),CONCATENATE(Cool_Type," ",Heating_Type))))))))</f>
        <v/>
      </c>
      <c r="N18" s="298" t="str">
        <f t="shared" si="3"/>
        <v/>
      </c>
      <c r="O18" s="298" t="str">
        <f>IF(B18="", "", 'Lighting Inventory (Ref only)'!G29)</f>
        <v/>
      </c>
      <c r="P18" s="298" t="str">
        <f>IF(B18="", "", 'Lighting Inventory (Ref only)'!E29)</f>
        <v/>
      </c>
      <c r="Q18" s="298" t="str">
        <f>IF(B18="", "", 'Lighting Inventory (Ref only)'!J29)</f>
        <v/>
      </c>
      <c r="R18" s="298" t="str">
        <f>IF(B18="", "",'Lighting Inventory (Ref only)'!K29)</f>
        <v/>
      </c>
      <c r="S18" s="372" t="str">
        <f>IF(B18="", "", 'Lighting Inventory (Ref only)'!G29*'Lighting Inventory (Ref only)'!K29/1000)</f>
        <v/>
      </c>
      <c r="T18" s="298" t="str">
        <f>IF(B18="", "", IF('Lighting Inventory (Ref only)'!I29="", "Light Switch",Inventory!H26))</f>
        <v/>
      </c>
      <c r="U18" s="298" t="str">
        <f>IF(B18="", "", 'Lighting Inventory (Ref only)'!Q29)</f>
        <v/>
      </c>
      <c r="V18" s="298" t="str">
        <f>IF(B18="", "", 'Lighting Inventory (Ref only)'!K29)</f>
        <v/>
      </c>
      <c r="W18" s="373" t="str">
        <f>IF(B18="","",('Lighting Inventory (Ref only)'!L29/1000))</f>
        <v/>
      </c>
      <c r="X18" s="298" t="str">
        <f>IF(B18="", "", 'Lighting Inventory (Ref only)'!Q29)</f>
        <v/>
      </c>
      <c r="Y18" s="298" t="str">
        <f>IF(C18="", "", Inventory!N26)</f>
        <v/>
      </c>
      <c r="Z18" s="374" t="str">
        <f>IF(B18="", "", 'Lighting Inventory (Ref only)'!P29)</f>
        <v/>
      </c>
      <c r="AA18" s="372" t="str">
        <f>IF(B18="", "",'Lighting Inventory (Ref only)'!R29/1000)</f>
        <v/>
      </c>
      <c r="AB18" s="372" t="str">
        <f>IF(B18="", "", Inventory!M26)</f>
        <v/>
      </c>
      <c r="AC18" s="374" t="str">
        <f>IF(B18="", "", 'Lighting Inventory (Ref only)'!T29)</f>
        <v/>
      </c>
      <c r="AD18" s="374" t="str">
        <f>IF(C18="", "", 'Lighting Inventory (Ref only)'!AA29)</f>
        <v/>
      </c>
      <c r="AE18" s="375" t="str">
        <f>IF(B18="", "", 'Lighting Inventory (Ref only)'!U29)</f>
        <v/>
      </c>
      <c r="AF18" s="375" t="str">
        <f>IF(B18="", "",'Lighting Inventory (Ref only)'!W29)</f>
        <v/>
      </c>
      <c r="AG18" s="375" t="str">
        <f>IF(B18="", "", 'Lighting Inventory (Ref only)'!V29)</f>
        <v/>
      </c>
      <c r="AH18" s="375" t="str">
        <f>IF(B18="", "",'Lighting Inventory (Ref only)'!Z29)</f>
        <v/>
      </c>
      <c r="AI18" s="375" t="str">
        <f>IF(B18="", "", 'Lighting Inventory (Ref only)'!Y29)</f>
        <v/>
      </c>
      <c r="AJ18" s="375" t="str">
        <f>IF(C18="", "",'Lighting Inventory (Ref only)'!AB29)</f>
        <v/>
      </c>
      <c r="AK18" s="375" t="str">
        <f>IF(B18="", "", 'Lighting Inventory (Ref only)'!AG29)</f>
        <v/>
      </c>
      <c r="AL18" s="375" t="str">
        <f>IF(B18="", "", 'Lighting Inventory (Ref only)'!AD29)</f>
        <v/>
      </c>
      <c r="AM18" s="375" t="str">
        <f>IF(B18="", "", 'Lighting Inventory (Ref only)'!AE29)</f>
        <v/>
      </c>
      <c r="AN18" s="375" t="str">
        <f>IF(B18="", "", 'Lighting Inventory (Ref only)'!AF29)</f>
        <v/>
      </c>
      <c r="AO18" s="375" t="str">
        <f>IF(B18="", "", 'Lighting Inventory (Ref only)'!AG29)</f>
        <v/>
      </c>
    </row>
    <row r="19" spans="1:41">
      <c r="A19" s="298" t="str">
        <f>IF(G19="", "", Lookups!BF21)</f>
        <v/>
      </c>
      <c r="B19" s="298" t="str">
        <f>IF('Lighting Inventory (Ref only)'!Q30="", "", 'Lighting Inventory (Ref only)'!Q30)</f>
        <v/>
      </c>
      <c r="C19" s="298" t="str">
        <f>IF(A19="", "", 'Lighting Inventory (Ref only)'!AO30)</f>
        <v/>
      </c>
      <c r="D19" s="370" t="str">
        <f>IF(B19= "","", Inventory!S27)</f>
        <v/>
      </c>
      <c r="E19" s="371"/>
      <c r="F19" s="298" t="str">
        <f>IF(B19="", "", 'Version Log'!$B$34)</f>
        <v/>
      </c>
      <c r="G19" s="298" t="str">
        <f t="shared" si="0"/>
        <v/>
      </c>
      <c r="H19" s="298" t="str">
        <f t="shared" si="1"/>
        <v/>
      </c>
      <c r="I19" s="298" t="str">
        <f>IF(B19="", "",Inventory!D27)</f>
        <v/>
      </c>
      <c r="J19" s="298" t="str">
        <f>IF(B19="","",IF(Inventory!C27="N","Interior","Exterior"))</f>
        <v/>
      </c>
      <c r="K19" s="298" t="str">
        <f t="shared" si="2"/>
        <v/>
      </c>
      <c r="L19" s="298" t="str">
        <f>IF(B19="", "", Inventory!E27)</f>
        <v/>
      </c>
      <c r="M19" s="298" t="str">
        <f>IF(B19="","",IF(Cool_Type=Lookups!$L$9,Cool_Type,IF(Cool_Type=Lookups!$L$10,Cool_Type,IF(Cool_Type=Lookups!$L$11,Cool_Type,IF(Cool_Type=Lookups!L29,Cool_Type,IF('Project Info and Summary'!$C$20="Electric",CONCATENATE(Cool_Type," ",Heating_Type," Heat"),IF('Project Info and Summary'!$C$20="Non-Electric",CONCATENATE(Cool_Type," ",Heating_Type," Heat"),CONCATENATE(Cool_Type," ",Heating_Type))))))))</f>
        <v/>
      </c>
      <c r="N19" s="298" t="str">
        <f t="shared" si="3"/>
        <v/>
      </c>
      <c r="O19" s="298" t="str">
        <f>IF(B19="", "", 'Lighting Inventory (Ref only)'!G30)</f>
        <v/>
      </c>
      <c r="P19" s="298" t="str">
        <f>IF(B19="", "", 'Lighting Inventory (Ref only)'!E30)</f>
        <v/>
      </c>
      <c r="Q19" s="298" t="str">
        <f>IF(B19="", "", 'Lighting Inventory (Ref only)'!J30)</f>
        <v/>
      </c>
      <c r="R19" s="298" t="str">
        <f>IF(B19="", "",'Lighting Inventory (Ref only)'!K30)</f>
        <v/>
      </c>
      <c r="S19" s="372" t="str">
        <f>IF(B19="", "", 'Lighting Inventory (Ref only)'!G30*'Lighting Inventory (Ref only)'!K30/1000)</f>
        <v/>
      </c>
      <c r="T19" s="298" t="str">
        <f>IF(B19="", "", IF('Lighting Inventory (Ref only)'!I30="", "Light Switch",Inventory!H27))</f>
        <v/>
      </c>
      <c r="U19" s="298" t="str">
        <f>IF(B19="", "", 'Lighting Inventory (Ref only)'!Q30)</f>
        <v/>
      </c>
      <c r="V19" s="298" t="str">
        <f>IF(B19="", "", 'Lighting Inventory (Ref only)'!K30)</f>
        <v/>
      </c>
      <c r="W19" s="373" t="str">
        <f>IF(B19="","",('Lighting Inventory (Ref only)'!L30/1000))</f>
        <v/>
      </c>
      <c r="X19" s="298" t="str">
        <f>IF(B19="", "", 'Lighting Inventory (Ref only)'!Q30)</f>
        <v/>
      </c>
      <c r="Y19" s="298" t="str">
        <f>IF(C19="", "", Inventory!N27)</f>
        <v/>
      </c>
      <c r="Z19" s="374" t="str">
        <f>IF(B19="", "", 'Lighting Inventory (Ref only)'!P30)</f>
        <v/>
      </c>
      <c r="AA19" s="372" t="str">
        <f>IF(B19="", "",'Lighting Inventory (Ref only)'!R30/1000)</f>
        <v/>
      </c>
      <c r="AB19" s="372" t="str">
        <f>IF(B19="", "", Inventory!M27)</f>
        <v/>
      </c>
      <c r="AC19" s="374" t="str">
        <f>IF(B19="", "", 'Lighting Inventory (Ref only)'!T30)</f>
        <v/>
      </c>
      <c r="AD19" s="374" t="str">
        <f>IF(C19="", "", 'Lighting Inventory (Ref only)'!AA30)</f>
        <v/>
      </c>
      <c r="AE19" s="375" t="str">
        <f>IF(B19="", "", 'Lighting Inventory (Ref only)'!U30)</f>
        <v/>
      </c>
      <c r="AF19" s="375" t="str">
        <f>IF(B19="", "",'Lighting Inventory (Ref only)'!W30)</f>
        <v/>
      </c>
      <c r="AG19" s="375" t="str">
        <f>IF(B19="", "", 'Lighting Inventory (Ref only)'!V30)</f>
        <v/>
      </c>
      <c r="AH19" s="375" t="str">
        <f>IF(B19="", "",'Lighting Inventory (Ref only)'!Z30)</f>
        <v/>
      </c>
      <c r="AI19" s="375" t="str">
        <f>IF(B19="", "", 'Lighting Inventory (Ref only)'!Y30)</f>
        <v/>
      </c>
      <c r="AJ19" s="375" t="str">
        <f>IF(C19="", "",'Lighting Inventory (Ref only)'!AB30)</f>
        <v/>
      </c>
      <c r="AK19" s="375" t="str">
        <f>IF(B19="", "", 'Lighting Inventory (Ref only)'!AG30)</f>
        <v/>
      </c>
      <c r="AL19" s="375" t="str">
        <f>IF(B19="", "", 'Lighting Inventory (Ref only)'!AD30)</f>
        <v/>
      </c>
      <c r="AM19" s="375" t="str">
        <f>IF(B19="", "", 'Lighting Inventory (Ref only)'!AE30)</f>
        <v/>
      </c>
      <c r="AN19" s="375" t="str">
        <f>IF(B19="", "", 'Lighting Inventory (Ref only)'!AF30)</f>
        <v/>
      </c>
      <c r="AO19" s="375" t="str">
        <f>IF(B19="", "", 'Lighting Inventory (Ref only)'!AG30)</f>
        <v/>
      </c>
    </row>
    <row r="20" spans="1:41">
      <c r="A20" s="298" t="str">
        <f>IF(G20="", "", Lookups!BF22)</f>
        <v/>
      </c>
      <c r="B20" s="298" t="str">
        <f>IF('Lighting Inventory (Ref only)'!Q31="", "", 'Lighting Inventory (Ref only)'!Q31)</f>
        <v/>
      </c>
      <c r="C20" s="298" t="str">
        <f>IF(A20="", "", 'Lighting Inventory (Ref only)'!AO31)</f>
        <v/>
      </c>
      <c r="D20" s="370" t="str">
        <f>IF(B20= "","", Inventory!S28)</f>
        <v/>
      </c>
      <c r="E20" s="371"/>
      <c r="F20" s="298" t="str">
        <f>IF(B20="", "", 'Version Log'!$B$34)</f>
        <v/>
      </c>
      <c r="G20" s="298" t="str">
        <f t="shared" si="0"/>
        <v/>
      </c>
      <c r="H20" s="298" t="str">
        <f t="shared" si="1"/>
        <v/>
      </c>
      <c r="I20" s="298" t="str">
        <f>IF(B20="", "",Inventory!D28)</f>
        <v/>
      </c>
      <c r="J20" s="298" t="str">
        <f>IF(B20="","",IF(Inventory!C28="N","Interior","Exterior"))</f>
        <v/>
      </c>
      <c r="K20" s="298" t="str">
        <f t="shared" si="2"/>
        <v/>
      </c>
      <c r="L20" s="298" t="str">
        <f>IF(B20="", "", Inventory!E28)</f>
        <v/>
      </c>
      <c r="M20" s="298" t="str">
        <f>IF(B20="","",IF(Cool_Type=Lookups!$L$9,Cool_Type,IF(Cool_Type=Lookups!$L$10,Cool_Type,IF(Cool_Type=Lookups!$L$11,Cool_Type,IF(Cool_Type=Lookups!L30,Cool_Type,IF('Project Info and Summary'!$C$20="Electric",CONCATENATE(Cool_Type," ",Heating_Type," Heat"),IF('Project Info and Summary'!$C$20="Non-Electric",CONCATENATE(Cool_Type," ",Heating_Type," Heat"),CONCATENATE(Cool_Type," ",Heating_Type))))))))</f>
        <v/>
      </c>
      <c r="N20" s="298" t="str">
        <f t="shared" si="3"/>
        <v/>
      </c>
      <c r="O20" s="298" t="str">
        <f>IF(B20="", "", 'Lighting Inventory (Ref only)'!G31)</f>
        <v/>
      </c>
      <c r="P20" s="298" t="str">
        <f>IF(B20="", "", 'Lighting Inventory (Ref only)'!E31)</f>
        <v/>
      </c>
      <c r="Q20" s="298" t="str">
        <f>IF(B20="", "", 'Lighting Inventory (Ref only)'!J31)</f>
        <v/>
      </c>
      <c r="R20" s="298" t="str">
        <f>IF(B20="", "",'Lighting Inventory (Ref only)'!K31)</f>
        <v/>
      </c>
      <c r="S20" s="372" t="str">
        <f>IF(B20="", "", 'Lighting Inventory (Ref only)'!G31*'Lighting Inventory (Ref only)'!K31/1000)</f>
        <v/>
      </c>
      <c r="T20" s="298" t="str">
        <f>IF(B20="", "", IF('Lighting Inventory (Ref only)'!I31="", "Light Switch",Inventory!H28))</f>
        <v/>
      </c>
      <c r="U20" s="298" t="str">
        <f>IF(B20="", "", 'Lighting Inventory (Ref only)'!Q31)</f>
        <v/>
      </c>
      <c r="V20" s="298" t="str">
        <f>IF(B20="", "", 'Lighting Inventory (Ref only)'!K31)</f>
        <v/>
      </c>
      <c r="W20" s="373" t="str">
        <f>IF(B20="","",('Lighting Inventory (Ref only)'!L31/1000))</f>
        <v/>
      </c>
      <c r="X20" s="298" t="str">
        <f>IF(B20="", "", 'Lighting Inventory (Ref only)'!Q31)</f>
        <v/>
      </c>
      <c r="Y20" s="298" t="str">
        <f>IF(C20="", "", Inventory!N28)</f>
        <v/>
      </c>
      <c r="Z20" s="374" t="str">
        <f>IF(B20="", "", 'Lighting Inventory (Ref only)'!P31)</f>
        <v/>
      </c>
      <c r="AA20" s="372" t="str">
        <f>IF(B20="", "",'Lighting Inventory (Ref only)'!R31/1000)</f>
        <v/>
      </c>
      <c r="AB20" s="372" t="str">
        <f>IF(B20="", "", Inventory!M28)</f>
        <v/>
      </c>
      <c r="AC20" s="374" t="str">
        <f>IF(B20="", "", 'Lighting Inventory (Ref only)'!T31)</f>
        <v/>
      </c>
      <c r="AD20" s="374" t="str">
        <f>IF(C20="", "", 'Lighting Inventory (Ref only)'!AA31)</f>
        <v/>
      </c>
      <c r="AE20" s="375" t="str">
        <f>IF(B20="", "", 'Lighting Inventory (Ref only)'!U31)</f>
        <v/>
      </c>
      <c r="AF20" s="375" t="str">
        <f>IF(B20="", "",'Lighting Inventory (Ref only)'!W31)</f>
        <v/>
      </c>
      <c r="AG20" s="375" t="str">
        <f>IF(B20="", "", 'Lighting Inventory (Ref only)'!V31)</f>
        <v/>
      </c>
      <c r="AH20" s="375" t="str">
        <f>IF(B20="", "",'Lighting Inventory (Ref only)'!Z31)</f>
        <v/>
      </c>
      <c r="AI20" s="375" t="str">
        <f>IF(B20="", "", 'Lighting Inventory (Ref only)'!Y31)</f>
        <v/>
      </c>
      <c r="AJ20" s="375" t="str">
        <f>IF(C20="", "",'Lighting Inventory (Ref only)'!AB31)</f>
        <v/>
      </c>
      <c r="AK20" s="375" t="str">
        <f>IF(B20="", "", 'Lighting Inventory (Ref only)'!AG31)</f>
        <v/>
      </c>
      <c r="AL20" s="375" t="str">
        <f>IF(B20="", "", 'Lighting Inventory (Ref only)'!AD31)</f>
        <v/>
      </c>
      <c r="AM20" s="375" t="str">
        <f>IF(B20="", "", 'Lighting Inventory (Ref only)'!AE31)</f>
        <v/>
      </c>
      <c r="AN20" s="375" t="str">
        <f>IF(B20="", "", 'Lighting Inventory (Ref only)'!AF31)</f>
        <v/>
      </c>
      <c r="AO20" s="375" t="str">
        <f>IF(B20="", "", 'Lighting Inventory (Ref only)'!AG31)</f>
        <v/>
      </c>
    </row>
    <row r="21" spans="1:41">
      <c r="A21" s="298" t="str">
        <f>IF(G21="", "", Lookups!BF23)</f>
        <v/>
      </c>
      <c r="B21" s="298" t="str">
        <f>IF('Lighting Inventory (Ref only)'!Q32="", "", 'Lighting Inventory (Ref only)'!Q32)</f>
        <v/>
      </c>
      <c r="C21" s="298" t="str">
        <f>IF(A21="", "", 'Lighting Inventory (Ref only)'!AO32)</f>
        <v/>
      </c>
      <c r="D21" s="370" t="str">
        <f>IF(B21= "","", Inventory!S29)</f>
        <v/>
      </c>
      <c r="E21" s="371"/>
      <c r="F21" s="298" t="str">
        <f>IF(B21="", "", 'Version Log'!$B$34)</f>
        <v/>
      </c>
      <c r="G21" s="298" t="str">
        <f t="shared" si="0"/>
        <v/>
      </c>
      <c r="H21" s="298" t="str">
        <f t="shared" si="1"/>
        <v/>
      </c>
      <c r="I21" s="298" t="str">
        <f>IF(B21="", "",Inventory!D29)</f>
        <v/>
      </c>
      <c r="J21" s="298" t="str">
        <f>IF(B21="","",IF(Inventory!C29="N","Interior","Exterior"))</f>
        <v/>
      </c>
      <c r="K21" s="298" t="str">
        <f t="shared" si="2"/>
        <v/>
      </c>
      <c r="L21" s="298" t="str">
        <f>IF(B21="", "", Inventory!E29)</f>
        <v/>
      </c>
      <c r="M21" s="298" t="str">
        <f>IF(B21="","",IF(Cool_Type=Lookups!$L$9,Cool_Type,IF(Cool_Type=Lookups!$L$10,Cool_Type,IF(Cool_Type=Lookups!$L$11,Cool_Type,IF(Cool_Type=Lookups!L31,Cool_Type,IF('Project Info and Summary'!$C$20="Electric",CONCATENATE(Cool_Type," ",Heating_Type," Heat"),IF('Project Info and Summary'!$C$20="Non-Electric",CONCATENATE(Cool_Type," ",Heating_Type," Heat"),CONCATENATE(Cool_Type," ",Heating_Type))))))))</f>
        <v/>
      </c>
      <c r="N21" s="298" t="str">
        <f t="shared" si="3"/>
        <v/>
      </c>
      <c r="O21" s="298" t="str">
        <f>IF(B21="", "", 'Lighting Inventory (Ref only)'!G32)</f>
        <v/>
      </c>
      <c r="P21" s="298" t="str">
        <f>IF(B21="", "", 'Lighting Inventory (Ref only)'!E32)</f>
        <v/>
      </c>
      <c r="Q21" s="298" t="str">
        <f>IF(B21="", "", 'Lighting Inventory (Ref only)'!J32)</f>
        <v/>
      </c>
      <c r="R21" s="298" t="str">
        <f>IF(B21="", "",'Lighting Inventory (Ref only)'!K32)</f>
        <v/>
      </c>
      <c r="S21" s="372" t="str">
        <f>IF(B21="", "", 'Lighting Inventory (Ref only)'!G32*'Lighting Inventory (Ref only)'!K32/1000)</f>
        <v/>
      </c>
      <c r="T21" s="298" t="str">
        <f>IF(B21="", "", IF('Lighting Inventory (Ref only)'!I32="", "Light Switch",Inventory!H29))</f>
        <v/>
      </c>
      <c r="U21" s="298" t="str">
        <f>IF(B21="", "", 'Lighting Inventory (Ref only)'!Q32)</f>
        <v/>
      </c>
      <c r="V21" s="298" t="str">
        <f>IF(B21="", "", 'Lighting Inventory (Ref only)'!K32)</f>
        <v/>
      </c>
      <c r="W21" s="373" t="str">
        <f>IF(B21="","",('Lighting Inventory (Ref only)'!L32/1000))</f>
        <v/>
      </c>
      <c r="X21" s="298" t="str">
        <f>IF(B21="", "", 'Lighting Inventory (Ref only)'!Q32)</f>
        <v/>
      </c>
      <c r="Y21" s="298" t="str">
        <f>IF(C21="", "", Inventory!N29)</f>
        <v/>
      </c>
      <c r="Z21" s="374" t="str">
        <f>IF(B21="", "", 'Lighting Inventory (Ref only)'!P32)</f>
        <v/>
      </c>
      <c r="AA21" s="372" t="str">
        <f>IF(B21="", "",'Lighting Inventory (Ref only)'!R32/1000)</f>
        <v/>
      </c>
      <c r="AB21" s="372" t="str">
        <f>IF(B21="", "", Inventory!M29)</f>
        <v/>
      </c>
      <c r="AC21" s="374" t="str">
        <f>IF(B21="", "", 'Lighting Inventory (Ref only)'!T32)</f>
        <v/>
      </c>
      <c r="AD21" s="374" t="str">
        <f>IF(C21="", "", 'Lighting Inventory (Ref only)'!AA32)</f>
        <v/>
      </c>
      <c r="AE21" s="375" t="str">
        <f>IF(B21="", "", 'Lighting Inventory (Ref only)'!U32)</f>
        <v/>
      </c>
      <c r="AF21" s="375" t="str">
        <f>IF(B21="", "",'Lighting Inventory (Ref only)'!W32)</f>
        <v/>
      </c>
      <c r="AG21" s="375" t="str">
        <f>IF(B21="", "", 'Lighting Inventory (Ref only)'!V32)</f>
        <v/>
      </c>
      <c r="AH21" s="375" t="str">
        <f>IF(B21="", "",'Lighting Inventory (Ref only)'!Z32)</f>
        <v/>
      </c>
      <c r="AI21" s="375" t="str">
        <f>IF(B21="", "", 'Lighting Inventory (Ref only)'!Y32)</f>
        <v/>
      </c>
      <c r="AJ21" s="375" t="str">
        <f>IF(C21="", "",'Lighting Inventory (Ref only)'!AB32)</f>
        <v/>
      </c>
      <c r="AK21" s="375" t="str">
        <f>IF(B21="", "", 'Lighting Inventory (Ref only)'!AG32)</f>
        <v/>
      </c>
      <c r="AL21" s="375" t="str">
        <f>IF(B21="", "", 'Lighting Inventory (Ref only)'!AD32)</f>
        <v/>
      </c>
      <c r="AM21" s="375" t="str">
        <f>IF(B21="", "", 'Lighting Inventory (Ref only)'!AE32)</f>
        <v/>
      </c>
      <c r="AN21" s="375" t="str">
        <f>IF(B21="", "", 'Lighting Inventory (Ref only)'!AF32)</f>
        <v/>
      </c>
      <c r="AO21" s="375" t="str">
        <f>IF(B21="", "", 'Lighting Inventory (Ref only)'!AG32)</f>
        <v/>
      </c>
    </row>
    <row r="22" spans="1:41">
      <c r="A22" s="298" t="str">
        <f>IF(G22="", "", Lookups!BF24)</f>
        <v/>
      </c>
      <c r="B22" s="298" t="str">
        <f>IF('Lighting Inventory (Ref only)'!Q33="", "", 'Lighting Inventory (Ref only)'!Q33)</f>
        <v/>
      </c>
      <c r="C22" s="298" t="str">
        <f>IF(A22="", "", 'Lighting Inventory (Ref only)'!AO33)</f>
        <v/>
      </c>
      <c r="D22" s="370" t="str">
        <f>IF(B22= "","", Inventory!S30)</f>
        <v/>
      </c>
      <c r="E22" s="371"/>
      <c r="F22" s="298" t="str">
        <f>IF(B22="", "", 'Version Log'!$B$34)</f>
        <v/>
      </c>
      <c r="G22" s="298" t="str">
        <f t="shared" si="0"/>
        <v/>
      </c>
      <c r="H22" s="298" t="str">
        <f t="shared" si="1"/>
        <v/>
      </c>
      <c r="I22" s="298" t="str">
        <f>IF(B22="", "",Inventory!D30)</f>
        <v/>
      </c>
      <c r="J22" s="298" t="str">
        <f>IF(B22="","",IF(Inventory!C30="N","Interior","Exterior"))</f>
        <v/>
      </c>
      <c r="K22" s="298" t="str">
        <f t="shared" si="2"/>
        <v/>
      </c>
      <c r="L22" s="298" t="str">
        <f>IF(B22="", "", Inventory!E30)</f>
        <v/>
      </c>
      <c r="M22" s="298" t="str">
        <f>IF(B22="","",IF(Cool_Type=Lookups!$L$9,Cool_Type,IF(Cool_Type=Lookups!$L$10,Cool_Type,IF(Cool_Type=Lookups!$L$11,Cool_Type,IF(Cool_Type=Lookups!L32,Cool_Type,IF('Project Info and Summary'!$C$20="Electric",CONCATENATE(Cool_Type," ",Heating_Type," Heat"),IF('Project Info and Summary'!$C$20="Non-Electric",CONCATENATE(Cool_Type," ",Heating_Type," Heat"),CONCATENATE(Cool_Type," ",Heating_Type))))))))</f>
        <v/>
      </c>
      <c r="N22" s="298" t="str">
        <f t="shared" si="3"/>
        <v/>
      </c>
      <c r="O22" s="298" t="str">
        <f>IF(B22="", "", 'Lighting Inventory (Ref only)'!G33)</f>
        <v/>
      </c>
      <c r="P22" s="298" t="str">
        <f>IF(B22="", "", 'Lighting Inventory (Ref only)'!E33)</f>
        <v/>
      </c>
      <c r="Q22" s="298" t="str">
        <f>IF(B22="", "", 'Lighting Inventory (Ref only)'!J33)</f>
        <v/>
      </c>
      <c r="R22" s="298" t="str">
        <f>IF(B22="", "",'Lighting Inventory (Ref only)'!K33)</f>
        <v/>
      </c>
      <c r="S22" s="372" t="str">
        <f>IF(B22="", "", 'Lighting Inventory (Ref only)'!G33*'Lighting Inventory (Ref only)'!K33/1000)</f>
        <v/>
      </c>
      <c r="T22" s="298" t="str">
        <f>IF(B22="", "", IF('Lighting Inventory (Ref only)'!I33="", "Light Switch",Inventory!H30))</f>
        <v/>
      </c>
      <c r="U22" s="298" t="str">
        <f>IF(B22="", "", 'Lighting Inventory (Ref only)'!Q33)</f>
        <v/>
      </c>
      <c r="V22" s="298" t="str">
        <f>IF(B22="", "", 'Lighting Inventory (Ref only)'!K33)</f>
        <v/>
      </c>
      <c r="W22" s="373" t="str">
        <f>IF(B22="","",('Lighting Inventory (Ref only)'!L33/1000))</f>
        <v/>
      </c>
      <c r="X22" s="298" t="str">
        <f>IF(B22="", "", 'Lighting Inventory (Ref only)'!Q33)</f>
        <v/>
      </c>
      <c r="Y22" s="298" t="str">
        <f>IF(C22="", "", Inventory!N30)</f>
        <v/>
      </c>
      <c r="Z22" s="374" t="str">
        <f>IF(B22="", "", 'Lighting Inventory (Ref only)'!P33)</f>
        <v/>
      </c>
      <c r="AA22" s="372" t="str">
        <f>IF(B22="", "",'Lighting Inventory (Ref only)'!R33/1000)</f>
        <v/>
      </c>
      <c r="AB22" s="372" t="str">
        <f>IF(B22="", "", Inventory!M30)</f>
        <v/>
      </c>
      <c r="AC22" s="374" t="str">
        <f>IF(B22="", "", 'Lighting Inventory (Ref only)'!T33)</f>
        <v/>
      </c>
      <c r="AD22" s="374" t="str">
        <f>IF(C22="", "", 'Lighting Inventory (Ref only)'!AA33)</f>
        <v/>
      </c>
      <c r="AE22" s="375" t="str">
        <f>IF(B22="", "", 'Lighting Inventory (Ref only)'!U33)</f>
        <v/>
      </c>
      <c r="AF22" s="375" t="str">
        <f>IF(B22="", "",'Lighting Inventory (Ref only)'!W33)</f>
        <v/>
      </c>
      <c r="AG22" s="375" t="str">
        <f>IF(B22="", "", 'Lighting Inventory (Ref only)'!V33)</f>
        <v/>
      </c>
      <c r="AH22" s="375" t="str">
        <f>IF(B22="", "",'Lighting Inventory (Ref only)'!Z33)</f>
        <v/>
      </c>
      <c r="AI22" s="375" t="str">
        <f>IF(B22="", "", 'Lighting Inventory (Ref only)'!Y33)</f>
        <v/>
      </c>
      <c r="AJ22" s="375" t="str">
        <f>IF(C22="", "",'Lighting Inventory (Ref only)'!AB33)</f>
        <v/>
      </c>
      <c r="AK22" s="375" t="str">
        <f>IF(B22="", "", 'Lighting Inventory (Ref only)'!AG33)</f>
        <v/>
      </c>
      <c r="AL22" s="375" t="str">
        <f>IF(B22="", "", 'Lighting Inventory (Ref only)'!AD33)</f>
        <v/>
      </c>
      <c r="AM22" s="375" t="str">
        <f>IF(B22="", "", 'Lighting Inventory (Ref only)'!AE33)</f>
        <v/>
      </c>
      <c r="AN22" s="375" t="str">
        <f>IF(B22="", "", 'Lighting Inventory (Ref only)'!AF33)</f>
        <v/>
      </c>
      <c r="AO22" s="375" t="str">
        <f>IF(B22="", "", 'Lighting Inventory (Ref only)'!AG33)</f>
        <v/>
      </c>
    </row>
    <row r="23" spans="1:41">
      <c r="A23" s="298" t="str">
        <f>IF(G23="", "", Lookups!BF25)</f>
        <v/>
      </c>
      <c r="B23" s="298" t="str">
        <f>IF('Lighting Inventory (Ref only)'!Q34="", "", 'Lighting Inventory (Ref only)'!Q34)</f>
        <v/>
      </c>
      <c r="C23" s="298" t="str">
        <f>IF(A23="", "", 'Lighting Inventory (Ref only)'!AO34)</f>
        <v/>
      </c>
      <c r="D23" s="370" t="str">
        <f>IF(B23= "","", Inventory!S31)</f>
        <v/>
      </c>
      <c r="E23" s="371"/>
      <c r="F23" s="298" t="str">
        <f>IF(B23="", "", 'Version Log'!$B$34)</f>
        <v/>
      </c>
      <c r="G23" s="298" t="str">
        <f t="shared" si="0"/>
        <v/>
      </c>
      <c r="H23" s="298" t="str">
        <f t="shared" si="1"/>
        <v/>
      </c>
      <c r="I23" s="298" t="str">
        <f>IF(B23="", "",Inventory!D31)</f>
        <v/>
      </c>
      <c r="J23" s="298" t="str">
        <f>IF(B23="","",IF(Inventory!C31="N","Interior","Exterior"))</f>
        <v/>
      </c>
      <c r="K23" s="298" t="str">
        <f t="shared" si="2"/>
        <v/>
      </c>
      <c r="L23" s="298" t="str">
        <f>IF(B23="", "", Inventory!E31)</f>
        <v/>
      </c>
      <c r="M23" s="298" t="str">
        <f>IF(B23="","",IF(Cool_Type=Lookups!$L$9,Cool_Type,IF(Cool_Type=Lookups!$L$10,Cool_Type,IF(Cool_Type=Lookups!$L$11,Cool_Type,IF(Cool_Type=Lookups!L33,Cool_Type,IF('Project Info and Summary'!$C$20="Electric",CONCATENATE(Cool_Type," ",Heating_Type," Heat"),IF('Project Info and Summary'!$C$20="Non-Electric",CONCATENATE(Cool_Type," ",Heating_Type," Heat"),CONCATENATE(Cool_Type," ",Heating_Type))))))))</f>
        <v/>
      </c>
      <c r="N23" s="298" t="str">
        <f t="shared" si="3"/>
        <v/>
      </c>
      <c r="O23" s="298" t="str">
        <f>IF(B23="", "", 'Lighting Inventory (Ref only)'!G34)</f>
        <v/>
      </c>
      <c r="P23" s="298" t="str">
        <f>IF(B23="", "", 'Lighting Inventory (Ref only)'!E34)</f>
        <v/>
      </c>
      <c r="Q23" s="298" t="str">
        <f>IF(B23="", "", 'Lighting Inventory (Ref only)'!J34)</f>
        <v/>
      </c>
      <c r="R23" s="298" t="str">
        <f>IF(B23="", "",'Lighting Inventory (Ref only)'!K34)</f>
        <v/>
      </c>
      <c r="S23" s="372" t="str">
        <f>IF(B23="", "", 'Lighting Inventory (Ref only)'!G34*'Lighting Inventory (Ref only)'!K34/1000)</f>
        <v/>
      </c>
      <c r="T23" s="298" t="str">
        <f>IF(B23="", "", IF('Lighting Inventory (Ref only)'!I34="", "Light Switch",Inventory!H31))</f>
        <v/>
      </c>
      <c r="U23" s="298" t="str">
        <f>IF(B23="", "", 'Lighting Inventory (Ref only)'!Q34)</f>
        <v/>
      </c>
      <c r="V23" s="298" t="str">
        <f>IF(B23="", "", 'Lighting Inventory (Ref only)'!K34)</f>
        <v/>
      </c>
      <c r="W23" s="373" t="str">
        <f>IF(B23="","",('Lighting Inventory (Ref only)'!L34/1000))</f>
        <v/>
      </c>
      <c r="X23" s="298" t="str">
        <f>IF(B23="", "", 'Lighting Inventory (Ref only)'!Q34)</f>
        <v/>
      </c>
      <c r="Y23" s="298" t="str">
        <f>IF(C23="", "", Inventory!N31)</f>
        <v/>
      </c>
      <c r="Z23" s="374" t="str">
        <f>IF(B23="", "", 'Lighting Inventory (Ref only)'!P34)</f>
        <v/>
      </c>
      <c r="AA23" s="372" t="str">
        <f>IF(B23="", "",'Lighting Inventory (Ref only)'!R34/1000)</f>
        <v/>
      </c>
      <c r="AB23" s="372" t="str">
        <f>IF(B23="", "", Inventory!M31)</f>
        <v/>
      </c>
      <c r="AC23" s="374" t="str">
        <f>IF(B23="", "", 'Lighting Inventory (Ref only)'!T34)</f>
        <v/>
      </c>
      <c r="AD23" s="374" t="str">
        <f>IF(C23="", "", 'Lighting Inventory (Ref only)'!AA34)</f>
        <v/>
      </c>
      <c r="AE23" s="375" t="str">
        <f>IF(B23="", "", 'Lighting Inventory (Ref only)'!U34)</f>
        <v/>
      </c>
      <c r="AF23" s="375" t="str">
        <f>IF(B23="", "",'Lighting Inventory (Ref only)'!W34)</f>
        <v/>
      </c>
      <c r="AG23" s="375" t="str">
        <f>IF(B23="", "", 'Lighting Inventory (Ref only)'!V34)</f>
        <v/>
      </c>
      <c r="AH23" s="375" t="str">
        <f>IF(B23="", "",'Lighting Inventory (Ref only)'!Z34)</f>
        <v/>
      </c>
      <c r="AI23" s="375" t="str">
        <f>IF(B23="", "", 'Lighting Inventory (Ref only)'!Y34)</f>
        <v/>
      </c>
      <c r="AJ23" s="375" t="str">
        <f>IF(C23="", "",'Lighting Inventory (Ref only)'!AB34)</f>
        <v/>
      </c>
      <c r="AK23" s="375" t="str">
        <f>IF(B23="", "", 'Lighting Inventory (Ref only)'!AG34)</f>
        <v/>
      </c>
      <c r="AL23" s="375" t="str">
        <f>IF(B23="", "", 'Lighting Inventory (Ref only)'!AD34)</f>
        <v/>
      </c>
      <c r="AM23" s="375" t="str">
        <f>IF(B23="", "", 'Lighting Inventory (Ref only)'!AE34)</f>
        <v/>
      </c>
      <c r="AN23" s="375" t="str">
        <f>IF(B23="", "", 'Lighting Inventory (Ref only)'!AF34)</f>
        <v/>
      </c>
      <c r="AO23" s="375" t="str">
        <f>IF(B23="", "", 'Lighting Inventory (Ref only)'!AG34)</f>
        <v/>
      </c>
    </row>
    <row r="24" spans="1:41">
      <c r="A24" s="298" t="str">
        <f>IF(G24="", "", Lookups!BF26)</f>
        <v/>
      </c>
      <c r="B24" s="298" t="str">
        <f>IF('Lighting Inventory (Ref only)'!Q35="", "", 'Lighting Inventory (Ref only)'!Q35)</f>
        <v/>
      </c>
      <c r="C24" s="298" t="str">
        <f>IF(A24="", "", 'Lighting Inventory (Ref only)'!AO35)</f>
        <v/>
      </c>
      <c r="D24" s="370" t="str">
        <f>IF(B24= "","", Inventory!S32)</f>
        <v/>
      </c>
      <c r="E24" s="371"/>
      <c r="F24" s="298" t="str">
        <f>IF(B24="", "", 'Version Log'!$B$34)</f>
        <v/>
      </c>
      <c r="G24" s="298" t="str">
        <f t="shared" si="0"/>
        <v/>
      </c>
      <c r="H24" s="298" t="str">
        <f t="shared" si="1"/>
        <v/>
      </c>
      <c r="I24" s="298" t="str">
        <f>IF(B24="", "",Inventory!D32)</f>
        <v/>
      </c>
      <c r="J24" s="298" t="str">
        <f>IF(B24="","",IF(Inventory!C32="N","Interior","Exterior"))</f>
        <v/>
      </c>
      <c r="K24" s="298" t="str">
        <f t="shared" si="2"/>
        <v/>
      </c>
      <c r="L24" s="298" t="str">
        <f>IF(B24="", "", Inventory!E32)</f>
        <v/>
      </c>
      <c r="M24" s="298" t="str">
        <f>IF(B24="","",IF(Cool_Type=Lookups!$L$9,Cool_Type,IF(Cool_Type=Lookups!$L$10,Cool_Type,IF(Cool_Type=Lookups!$L$11,Cool_Type,IF(Cool_Type=Lookups!L34,Cool_Type,IF('Project Info and Summary'!$C$20="Electric",CONCATENATE(Cool_Type," ",Heating_Type," Heat"),IF('Project Info and Summary'!$C$20="Non-Electric",CONCATENATE(Cool_Type," ",Heating_Type," Heat"),CONCATENATE(Cool_Type," ",Heating_Type))))))))</f>
        <v/>
      </c>
      <c r="N24" s="298" t="str">
        <f t="shared" si="3"/>
        <v/>
      </c>
      <c r="O24" s="298" t="str">
        <f>IF(B24="", "", 'Lighting Inventory (Ref only)'!G35)</f>
        <v/>
      </c>
      <c r="P24" s="298" t="str">
        <f>IF(B24="", "", 'Lighting Inventory (Ref only)'!E35)</f>
        <v/>
      </c>
      <c r="Q24" s="298" t="str">
        <f>IF(B24="", "", 'Lighting Inventory (Ref only)'!J35)</f>
        <v/>
      </c>
      <c r="R24" s="298" t="str">
        <f>IF(B24="", "",'Lighting Inventory (Ref only)'!K35)</f>
        <v/>
      </c>
      <c r="S24" s="372" t="str">
        <f>IF(B24="", "", 'Lighting Inventory (Ref only)'!G35*'Lighting Inventory (Ref only)'!K35/1000)</f>
        <v/>
      </c>
      <c r="T24" s="298" t="str">
        <f>IF(B24="", "", IF('Lighting Inventory (Ref only)'!I35="", "Light Switch",Inventory!H32))</f>
        <v/>
      </c>
      <c r="U24" s="298" t="str">
        <f>IF(B24="", "", 'Lighting Inventory (Ref only)'!Q35)</f>
        <v/>
      </c>
      <c r="V24" s="298" t="str">
        <f>IF(B24="", "", 'Lighting Inventory (Ref only)'!K35)</f>
        <v/>
      </c>
      <c r="W24" s="373" t="str">
        <f>IF(B24="","",('Lighting Inventory (Ref only)'!L35/1000))</f>
        <v/>
      </c>
      <c r="X24" s="298" t="str">
        <f>IF(B24="", "", 'Lighting Inventory (Ref only)'!Q35)</f>
        <v/>
      </c>
      <c r="Y24" s="298" t="str">
        <f>IF(C24="", "", Inventory!N32)</f>
        <v/>
      </c>
      <c r="Z24" s="374" t="str">
        <f>IF(B24="", "", 'Lighting Inventory (Ref only)'!P35)</f>
        <v/>
      </c>
      <c r="AA24" s="372" t="str">
        <f>IF(B24="", "",'Lighting Inventory (Ref only)'!R35/1000)</f>
        <v/>
      </c>
      <c r="AB24" s="372" t="str">
        <f>IF(B24="", "", Inventory!M32)</f>
        <v/>
      </c>
      <c r="AC24" s="374" t="str">
        <f>IF(B24="", "", 'Lighting Inventory (Ref only)'!T35)</f>
        <v/>
      </c>
      <c r="AD24" s="374" t="str">
        <f>IF(C24="", "", 'Lighting Inventory (Ref only)'!AA35)</f>
        <v/>
      </c>
      <c r="AE24" s="375" t="str">
        <f>IF(B24="", "", 'Lighting Inventory (Ref only)'!U35)</f>
        <v/>
      </c>
      <c r="AF24" s="375" t="str">
        <f>IF(B24="", "",'Lighting Inventory (Ref only)'!W35)</f>
        <v/>
      </c>
      <c r="AG24" s="375" t="str">
        <f>IF(B24="", "", 'Lighting Inventory (Ref only)'!V35)</f>
        <v/>
      </c>
      <c r="AH24" s="375" t="str">
        <f>IF(B24="", "",'Lighting Inventory (Ref only)'!Z35)</f>
        <v/>
      </c>
      <c r="AI24" s="375" t="str">
        <f>IF(B24="", "", 'Lighting Inventory (Ref only)'!Y35)</f>
        <v/>
      </c>
      <c r="AJ24" s="375" t="str">
        <f>IF(C24="", "",'Lighting Inventory (Ref only)'!AB35)</f>
        <v/>
      </c>
      <c r="AK24" s="375" t="str">
        <f>IF(B24="", "", 'Lighting Inventory (Ref only)'!AG35)</f>
        <v/>
      </c>
      <c r="AL24" s="375" t="str">
        <f>IF(B24="", "", 'Lighting Inventory (Ref only)'!AD35)</f>
        <v/>
      </c>
      <c r="AM24" s="375" t="str">
        <f>IF(B24="", "", 'Lighting Inventory (Ref only)'!AE35)</f>
        <v/>
      </c>
      <c r="AN24" s="375" t="str">
        <f>IF(B24="", "", 'Lighting Inventory (Ref only)'!AF35)</f>
        <v/>
      </c>
      <c r="AO24" s="375" t="str">
        <f>IF(B24="", "", 'Lighting Inventory (Ref only)'!AG35)</f>
        <v/>
      </c>
    </row>
    <row r="25" spans="1:41">
      <c r="A25" s="298" t="str">
        <f>IF(G25="", "", Lookups!BF27)</f>
        <v/>
      </c>
      <c r="B25" s="298" t="str">
        <f>IF('Lighting Inventory (Ref only)'!Q36="", "", 'Lighting Inventory (Ref only)'!Q36)</f>
        <v/>
      </c>
      <c r="C25" s="298" t="str">
        <f>IF(A25="", "", 'Lighting Inventory (Ref only)'!AO36)</f>
        <v/>
      </c>
      <c r="D25" s="370" t="str">
        <f>IF(B25= "","", Inventory!S33)</f>
        <v/>
      </c>
      <c r="E25" s="371"/>
      <c r="F25" s="298" t="str">
        <f>IF(B25="", "", 'Version Log'!$B$34)</f>
        <v/>
      </c>
      <c r="G25" s="298" t="str">
        <f t="shared" si="0"/>
        <v/>
      </c>
      <c r="H25" s="298" t="str">
        <f t="shared" si="1"/>
        <v/>
      </c>
      <c r="I25" s="298" t="str">
        <f>IF(B25="", "",Inventory!D33)</f>
        <v/>
      </c>
      <c r="J25" s="298" t="str">
        <f>IF(B25="","",IF(Inventory!C33="N","Interior","Exterior"))</f>
        <v/>
      </c>
      <c r="K25" s="298" t="str">
        <f t="shared" si="2"/>
        <v/>
      </c>
      <c r="L25" s="298" t="str">
        <f>IF(B25="", "", Inventory!E33)</f>
        <v/>
      </c>
      <c r="M25" s="298" t="str">
        <f>IF(B25="","",IF(Cool_Type=Lookups!$L$9,Cool_Type,IF(Cool_Type=Lookups!$L$10,Cool_Type,IF(Cool_Type=Lookups!$L$11,Cool_Type,IF(Cool_Type=Lookups!L35,Cool_Type,IF('Project Info and Summary'!$C$20="Electric",CONCATENATE(Cool_Type," ",Heating_Type," Heat"),IF('Project Info and Summary'!$C$20="Non-Electric",CONCATENATE(Cool_Type," ",Heating_Type," Heat"),CONCATENATE(Cool_Type," ",Heating_Type))))))))</f>
        <v/>
      </c>
      <c r="N25" s="298" t="str">
        <f t="shared" si="3"/>
        <v/>
      </c>
      <c r="O25" s="298" t="str">
        <f>IF(B25="", "", 'Lighting Inventory (Ref only)'!G36)</f>
        <v/>
      </c>
      <c r="P25" s="298" t="str">
        <f>IF(B25="", "", 'Lighting Inventory (Ref only)'!E36)</f>
        <v/>
      </c>
      <c r="Q25" s="298" t="str">
        <f>IF(B25="", "", 'Lighting Inventory (Ref only)'!J36)</f>
        <v/>
      </c>
      <c r="R25" s="298" t="str">
        <f>IF(B25="", "",'Lighting Inventory (Ref only)'!K36)</f>
        <v/>
      </c>
      <c r="S25" s="372" t="str">
        <f>IF(B25="", "", 'Lighting Inventory (Ref only)'!G36*'Lighting Inventory (Ref only)'!K36/1000)</f>
        <v/>
      </c>
      <c r="T25" s="298" t="str">
        <f>IF(B25="", "", IF('Lighting Inventory (Ref only)'!I36="", "Light Switch",Inventory!H33))</f>
        <v/>
      </c>
      <c r="U25" s="298" t="str">
        <f>IF(B25="", "", 'Lighting Inventory (Ref only)'!Q36)</f>
        <v/>
      </c>
      <c r="V25" s="298" t="str">
        <f>IF(B25="", "", 'Lighting Inventory (Ref only)'!K36)</f>
        <v/>
      </c>
      <c r="W25" s="373" t="str">
        <f>IF(B25="","",('Lighting Inventory (Ref only)'!L36/1000))</f>
        <v/>
      </c>
      <c r="X25" s="298" t="str">
        <f>IF(B25="", "", 'Lighting Inventory (Ref only)'!Q36)</f>
        <v/>
      </c>
      <c r="Y25" s="298" t="str">
        <f>IF(C25="", "", Inventory!N33)</f>
        <v/>
      </c>
      <c r="Z25" s="374" t="str">
        <f>IF(B25="", "", 'Lighting Inventory (Ref only)'!P36)</f>
        <v/>
      </c>
      <c r="AA25" s="372" t="str">
        <f>IF(B25="", "",'Lighting Inventory (Ref only)'!R36/1000)</f>
        <v/>
      </c>
      <c r="AB25" s="372" t="str">
        <f>IF(B25="", "", Inventory!M33)</f>
        <v/>
      </c>
      <c r="AC25" s="374" t="str">
        <f>IF(B25="", "", 'Lighting Inventory (Ref only)'!T36)</f>
        <v/>
      </c>
      <c r="AD25" s="374" t="str">
        <f>IF(C25="", "", 'Lighting Inventory (Ref only)'!AA36)</f>
        <v/>
      </c>
      <c r="AE25" s="375" t="str">
        <f>IF(B25="", "", 'Lighting Inventory (Ref only)'!U36)</f>
        <v/>
      </c>
      <c r="AF25" s="375" t="str">
        <f>IF(B25="", "",'Lighting Inventory (Ref only)'!W36)</f>
        <v/>
      </c>
      <c r="AG25" s="375" t="str">
        <f>IF(B25="", "", 'Lighting Inventory (Ref only)'!V36)</f>
        <v/>
      </c>
      <c r="AH25" s="375" t="str">
        <f>IF(B25="", "",'Lighting Inventory (Ref only)'!Z36)</f>
        <v/>
      </c>
      <c r="AI25" s="375" t="str">
        <f>IF(B25="", "", 'Lighting Inventory (Ref only)'!Y36)</f>
        <v/>
      </c>
      <c r="AJ25" s="375" t="str">
        <f>IF(C25="", "",'Lighting Inventory (Ref only)'!AB36)</f>
        <v/>
      </c>
      <c r="AK25" s="375" t="str">
        <f>IF(B25="", "", 'Lighting Inventory (Ref only)'!AG36)</f>
        <v/>
      </c>
      <c r="AL25" s="375" t="str">
        <f>IF(B25="", "", 'Lighting Inventory (Ref only)'!AD36)</f>
        <v/>
      </c>
      <c r="AM25" s="375" t="str">
        <f>IF(B25="", "", 'Lighting Inventory (Ref only)'!AE36)</f>
        <v/>
      </c>
      <c r="AN25" s="375" t="str">
        <f>IF(B25="", "", 'Lighting Inventory (Ref only)'!AF36)</f>
        <v/>
      </c>
      <c r="AO25" s="375" t="str">
        <f>IF(B25="", "", 'Lighting Inventory (Ref only)'!AG36)</f>
        <v/>
      </c>
    </row>
    <row r="26" spans="1:41">
      <c r="A26" s="298" t="str">
        <f>IF(G26="", "", Lookups!BF28)</f>
        <v/>
      </c>
      <c r="B26" s="298" t="str">
        <f>IF('Lighting Inventory (Ref only)'!Q37="", "", 'Lighting Inventory (Ref only)'!Q37)</f>
        <v/>
      </c>
      <c r="C26" s="298" t="str">
        <f>IF(A26="", "", 'Lighting Inventory (Ref only)'!AO37)</f>
        <v/>
      </c>
      <c r="D26" s="370" t="str">
        <f>IF(B26= "","", Inventory!S34)</f>
        <v/>
      </c>
      <c r="E26" s="371"/>
      <c r="F26" s="298" t="str">
        <f>IF(B26="", "", 'Version Log'!$B$34)</f>
        <v/>
      </c>
      <c r="G26" s="298" t="str">
        <f t="shared" si="0"/>
        <v/>
      </c>
      <c r="H26" s="298" t="str">
        <f t="shared" si="1"/>
        <v/>
      </c>
      <c r="I26" s="298" t="str">
        <f>IF(B26="", "",Inventory!D34)</f>
        <v/>
      </c>
      <c r="J26" s="298" t="str">
        <f>IF(B26="","",IF(Inventory!C34="N","Interior","Exterior"))</f>
        <v/>
      </c>
      <c r="K26" s="298" t="str">
        <f t="shared" si="2"/>
        <v/>
      </c>
      <c r="L26" s="298" t="str">
        <f>IF(B26="", "", Inventory!E34)</f>
        <v/>
      </c>
      <c r="M26" s="298" t="str">
        <f>IF(B26="","",IF(Cool_Type=Lookups!$L$9,Cool_Type,IF(Cool_Type=Lookups!$L$10,Cool_Type,IF(Cool_Type=Lookups!$L$11,Cool_Type,IF(Cool_Type=Lookups!L36,Cool_Type,IF('Project Info and Summary'!$C$20="Electric",CONCATENATE(Cool_Type," ",Heating_Type," Heat"),IF('Project Info and Summary'!$C$20="Non-Electric",CONCATENATE(Cool_Type," ",Heating_Type," Heat"),CONCATENATE(Cool_Type," ",Heating_Type))))))))</f>
        <v/>
      </c>
      <c r="N26" s="298" t="str">
        <f t="shared" si="3"/>
        <v/>
      </c>
      <c r="O26" s="298" t="str">
        <f>IF(B26="", "", 'Lighting Inventory (Ref only)'!G37)</f>
        <v/>
      </c>
      <c r="P26" s="298" t="str">
        <f>IF(B26="", "", 'Lighting Inventory (Ref only)'!E37)</f>
        <v/>
      </c>
      <c r="Q26" s="298" t="str">
        <f>IF(B26="", "", 'Lighting Inventory (Ref only)'!J37)</f>
        <v/>
      </c>
      <c r="R26" s="298" t="str">
        <f>IF(B26="", "",'Lighting Inventory (Ref only)'!K37)</f>
        <v/>
      </c>
      <c r="S26" s="372" t="str">
        <f>IF(B26="", "", 'Lighting Inventory (Ref only)'!G37*'Lighting Inventory (Ref only)'!K37/1000)</f>
        <v/>
      </c>
      <c r="T26" s="298" t="str">
        <f>IF(B26="", "", IF('Lighting Inventory (Ref only)'!I37="", "Light Switch",Inventory!H34))</f>
        <v/>
      </c>
      <c r="U26" s="298" t="str">
        <f>IF(B26="", "", 'Lighting Inventory (Ref only)'!Q37)</f>
        <v/>
      </c>
      <c r="V26" s="298" t="str">
        <f>IF(B26="", "", 'Lighting Inventory (Ref only)'!K37)</f>
        <v/>
      </c>
      <c r="W26" s="373" t="str">
        <f>IF(B26="","",('Lighting Inventory (Ref only)'!L37/1000))</f>
        <v/>
      </c>
      <c r="X26" s="298" t="str">
        <f>IF(B26="", "", 'Lighting Inventory (Ref only)'!Q37)</f>
        <v/>
      </c>
      <c r="Y26" s="298" t="str">
        <f>IF(C26="", "", Inventory!N34)</f>
        <v/>
      </c>
      <c r="Z26" s="374" t="str">
        <f>IF(B26="", "", 'Lighting Inventory (Ref only)'!P37)</f>
        <v/>
      </c>
      <c r="AA26" s="372" t="str">
        <f>IF(B26="", "",'Lighting Inventory (Ref only)'!R37/1000)</f>
        <v/>
      </c>
      <c r="AB26" s="372" t="str">
        <f>IF(B26="", "", Inventory!M34)</f>
        <v/>
      </c>
      <c r="AC26" s="374" t="str">
        <f>IF(B26="", "", 'Lighting Inventory (Ref only)'!T37)</f>
        <v/>
      </c>
      <c r="AD26" s="374" t="str">
        <f>IF(C26="", "", 'Lighting Inventory (Ref only)'!AA37)</f>
        <v/>
      </c>
      <c r="AE26" s="375" t="str">
        <f>IF(B26="", "", 'Lighting Inventory (Ref only)'!U37)</f>
        <v/>
      </c>
      <c r="AF26" s="375" t="str">
        <f>IF(B26="", "",'Lighting Inventory (Ref only)'!W37)</f>
        <v/>
      </c>
      <c r="AG26" s="375" t="str">
        <f>IF(B26="", "", 'Lighting Inventory (Ref only)'!V37)</f>
        <v/>
      </c>
      <c r="AH26" s="375" t="str">
        <f>IF(B26="", "",'Lighting Inventory (Ref only)'!Z37)</f>
        <v/>
      </c>
      <c r="AI26" s="375" t="str">
        <f>IF(B26="", "", 'Lighting Inventory (Ref only)'!Y37)</f>
        <v/>
      </c>
      <c r="AJ26" s="375" t="str">
        <f>IF(C26="", "",'Lighting Inventory (Ref only)'!AB37)</f>
        <v/>
      </c>
      <c r="AK26" s="375" t="str">
        <f>IF(B26="", "", 'Lighting Inventory (Ref only)'!AG37)</f>
        <v/>
      </c>
      <c r="AL26" s="375" t="str">
        <f>IF(B26="", "", 'Lighting Inventory (Ref only)'!AD37)</f>
        <v/>
      </c>
      <c r="AM26" s="375" t="str">
        <f>IF(B26="", "", 'Lighting Inventory (Ref only)'!AE37)</f>
        <v/>
      </c>
      <c r="AN26" s="375" t="str">
        <f>IF(B26="", "", 'Lighting Inventory (Ref only)'!AF37)</f>
        <v/>
      </c>
      <c r="AO26" s="375" t="str">
        <f>IF(B26="", "", 'Lighting Inventory (Ref only)'!AG37)</f>
        <v/>
      </c>
    </row>
    <row r="27" spans="1:41">
      <c r="A27" s="298" t="str">
        <f>IF(G27="", "", Lookups!BF29)</f>
        <v/>
      </c>
      <c r="B27" s="298" t="str">
        <f>IF('Lighting Inventory (Ref only)'!Q38="", "", 'Lighting Inventory (Ref only)'!Q38)</f>
        <v/>
      </c>
      <c r="C27" s="298" t="str">
        <f>IF(A27="", "", 'Lighting Inventory (Ref only)'!AO38)</f>
        <v/>
      </c>
      <c r="D27" s="370" t="str">
        <f>IF(B27= "","", Inventory!S35)</f>
        <v/>
      </c>
      <c r="E27" s="371"/>
      <c r="F27" s="298" t="str">
        <f>IF(B27="", "", 'Version Log'!$B$34)</f>
        <v/>
      </c>
      <c r="G27" s="298" t="str">
        <f t="shared" si="0"/>
        <v/>
      </c>
      <c r="H27" s="298" t="str">
        <f t="shared" si="1"/>
        <v/>
      </c>
      <c r="I27" s="298" t="str">
        <f>IF(B27="", "",Inventory!D35)</f>
        <v/>
      </c>
      <c r="J27" s="298" t="str">
        <f>IF(B27="","",IF(Inventory!C35="N","Interior","Exterior"))</f>
        <v/>
      </c>
      <c r="K27" s="298" t="str">
        <f t="shared" si="2"/>
        <v/>
      </c>
      <c r="L27" s="298" t="str">
        <f>IF(B27="", "", Inventory!E35)</f>
        <v/>
      </c>
      <c r="M27" s="298" t="str">
        <f>IF(B27="","",IF(Cool_Type=Lookups!$L$9,Cool_Type,IF(Cool_Type=Lookups!$L$10,Cool_Type,IF(Cool_Type=Lookups!$L$11,Cool_Type,IF(Cool_Type=Lookups!L37,Cool_Type,IF('Project Info and Summary'!$C$20="Electric",CONCATENATE(Cool_Type," ",Heating_Type," Heat"),IF('Project Info and Summary'!$C$20="Non-Electric",CONCATENATE(Cool_Type," ",Heating_Type," Heat"),CONCATENATE(Cool_Type," ",Heating_Type))))))))</f>
        <v/>
      </c>
      <c r="N27" s="298" t="str">
        <f t="shared" si="3"/>
        <v/>
      </c>
      <c r="O27" s="298" t="str">
        <f>IF(B27="", "", 'Lighting Inventory (Ref only)'!G38)</f>
        <v/>
      </c>
      <c r="P27" s="298" t="str">
        <f>IF(B27="", "", 'Lighting Inventory (Ref only)'!E38)</f>
        <v/>
      </c>
      <c r="Q27" s="298" t="str">
        <f>IF(B27="", "", 'Lighting Inventory (Ref only)'!J38)</f>
        <v/>
      </c>
      <c r="R27" s="298" t="str">
        <f>IF(B27="", "",'Lighting Inventory (Ref only)'!K38)</f>
        <v/>
      </c>
      <c r="S27" s="372" t="str">
        <f>IF(B27="", "", 'Lighting Inventory (Ref only)'!G38*'Lighting Inventory (Ref only)'!K38/1000)</f>
        <v/>
      </c>
      <c r="T27" s="298" t="str">
        <f>IF(B27="", "", IF('Lighting Inventory (Ref only)'!I38="", "Light Switch",Inventory!H35))</f>
        <v/>
      </c>
      <c r="U27" s="298" t="str">
        <f>IF(B27="", "", 'Lighting Inventory (Ref only)'!Q38)</f>
        <v/>
      </c>
      <c r="V27" s="298" t="str">
        <f>IF(B27="", "", 'Lighting Inventory (Ref only)'!K38)</f>
        <v/>
      </c>
      <c r="W27" s="373" t="str">
        <f>IF(B27="","",('Lighting Inventory (Ref only)'!L38/1000))</f>
        <v/>
      </c>
      <c r="X27" s="298" t="str">
        <f>IF(B27="", "", 'Lighting Inventory (Ref only)'!Q38)</f>
        <v/>
      </c>
      <c r="Y27" s="298" t="str">
        <f>IF(C27="", "", Inventory!N35)</f>
        <v/>
      </c>
      <c r="Z27" s="374" t="str">
        <f>IF(B27="", "", 'Lighting Inventory (Ref only)'!P38)</f>
        <v/>
      </c>
      <c r="AA27" s="372" t="str">
        <f>IF(B27="", "",'Lighting Inventory (Ref only)'!R38/1000)</f>
        <v/>
      </c>
      <c r="AB27" s="372" t="str">
        <f>IF(B27="", "", Inventory!M35)</f>
        <v/>
      </c>
      <c r="AC27" s="374" t="str">
        <f>IF(B27="", "", 'Lighting Inventory (Ref only)'!T38)</f>
        <v/>
      </c>
      <c r="AD27" s="374" t="str">
        <f>IF(C27="", "", 'Lighting Inventory (Ref only)'!AA38)</f>
        <v/>
      </c>
      <c r="AE27" s="375" t="str">
        <f>IF(B27="", "", 'Lighting Inventory (Ref only)'!U38)</f>
        <v/>
      </c>
      <c r="AF27" s="375" t="str">
        <f>IF(B27="", "",'Lighting Inventory (Ref only)'!W38)</f>
        <v/>
      </c>
      <c r="AG27" s="375" t="str">
        <f>IF(B27="", "", 'Lighting Inventory (Ref only)'!V38)</f>
        <v/>
      </c>
      <c r="AH27" s="375" t="str">
        <f>IF(B27="", "",'Lighting Inventory (Ref only)'!Z38)</f>
        <v/>
      </c>
      <c r="AI27" s="375" t="str">
        <f>IF(B27="", "", 'Lighting Inventory (Ref only)'!Y38)</f>
        <v/>
      </c>
      <c r="AJ27" s="375" t="str">
        <f>IF(C27="", "",'Lighting Inventory (Ref only)'!AB38)</f>
        <v/>
      </c>
      <c r="AK27" s="375" t="str">
        <f>IF(B27="", "", 'Lighting Inventory (Ref only)'!AG38)</f>
        <v/>
      </c>
      <c r="AL27" s="375" t="str">
        <f>IF(B27="", "", 'Lighting Inventory (Ref only)'!AD38)</f>
        <v/>
      </c>
      <c r="AM27" s="375" t="str">
        <f>IF(B27="", "", 'Lighting Inventory (Ref only)'!AE38)</f>
        <v/>
      </c>
      <c r="AN27" s="375" t="str">
        <f>IF(B27="", "", 'Lighting Inventory (Ref only)'!AF38)</f>
        <v/>
      </c>
      <c r="AO27" s="375" t="str">
        <f>IF(B27="", "", 'Lighting Inventory (Ref only)'!AG38)</f>
        <v/>
      </c>
    </row>
    <row r="28" spans="1:41">
      <c r="A28" s="298" t="str">
        <f>IF(G28="", "", Lookups!BF30)</f>
        <v/>
      </c>
      <c r="B28" s="298" t="str">
        <f>IF('Lighting Inventory (Ref only)'!Q39="", "", 'Lighting Inventory (Ref only)'!Q39)</f>
        <v/>
      </c>
      <c r="C28" s="298" t="str">
        <f>IF(A28="", "", 'Lighting Inventory (Ref only)'!AO39)</f>
        <v/>
      </c>
      <c r="D28" s="370" t="str">
        <f>IF(B28= "","", Inventory!S36)</f>
        <v/>
      </c>
      <c r="E28" s="371"/>
      <c r="F28" s="298" t="str">
        <f>IF(B28="", "", 'Version Log'!$B$34)</f>
        <v/>
      </c>
      <c r="G28" s="298" t="str">
        <f t="shared" si="0"/>
        <v/>
      </c>
      <c r="H28" s="298" t="str">
        <f t="shared" si="1"/>
        <v/>
      </c>
      <c r="I28" s="298" t="str">
        <f>IF(B28="", "",Inventory!D36)</f>
        <v/>
      </c>
      <c r="J28" s="298" t="str">
        <f>IF(B28="","",IF(Inventory!C36="N","Interior","Exterior"))</f>
        <v/>
      </c>
      <c r="K28" s="298" t="str">
        <f t="shared" si="2"/>
        <v/>
      </c>
      <c r="L28" s="298" t="str">
        <f>IF(B28="", "", Inventory!E36)</f>
        <v/>
      </c>
      <c r="M28" s="298" t="str">
        <f>IF(B28="","",IF(Cool_Type=Lookups!$L$9,Cool_Type,IF(Cool_Type=Lookups!$L$10,Cool_Type,IF(Cool_Type=Lookups!$L$11,Cool_Type,IF(Cool_Type=Lookups!L38,Cool_Type,IF('Project Info and Summary'!$C$20="Electric",CONCATENATE(Cool_Type," ",Heating_Type," Heat"),IF('Project Info and Summary'!$C$20="Non-Electric",CONCATENATE(Cool_Type," ",Heating_Type," Heat"),CONCATENATE(Cool_Type," ",Heating_Type))))))))</f>
        <v/>
      </c>
      <c r="N28" s="298" t="str">
        <f t="shared" si="3"/>
        <v/>
      </c>
      <c r="O28" s="298" t="str">
        <f>IF(B28="", "", 'Lighting Inventory (Ref only)'!G39)</f>
        <v/>
      </c>
      <c r="P28" s="298" t="str">
        <f>IF(B28="", "", 'Lighting Inventory (Ref only)'!E39)</f>
        <v/>
      </c>
      <c r="Q28" s="298" t="str">
        <f>IF(B28="", "", 'Lighting Inventory (Ref only)'!J39)</f>
        <v/>
      </c>
      <c r="R28" s="298" t="str">
        <f>IF(B28="", "",'Lighting Inventory (Ref only)'!K39)</f>
        <v/>
      </c>
      <c r="S28" s="372" t="str">
        <f>IF(B28="", "", 'Lighting Inventory (Ref only)'!G39*'Lighting Inventory (Ref only)'!K39/1000)</f>
        <v/>
      </c>
      <c r="T28" s="298" t="str">
        <f>IF(B28="", "", IF('Lighting Inventory (Ref only)'!I39="", "Light Switch",Inventory!H36))</f>
        <v/>
      </c>
      <c r="U28" s="298" t="str">
        <f>IF(B28="", "", 'Lighting Inventory (Ref only)'!Q39)</f>
        <v/>
      </c>
      <c r="V28" s="298" t="str">
        <f>IF(B28="", "", 'Lighting Inventory (Ref only)'!K39)</f>
        <v/>
      </c>
      <c r="W28" s="373" t="str">
        <f>IF(B28="","",('Lighting Inventory (Ref only)'!L39/1000))</f>
        <v/>
      </c>
      <c r="X28" s="298" t="str">
        <f>IF(B28="", "", 'Lighting Inventory (Ref only)'!Q39)</f>
        <v/>
      </c>
      <c r="Y28" s="298" t="str">
        <f>IF(C28="", "", Inventory!N36)</f>
        <v/>
      </c>
      <c r="Z28" s="374" t="str">
        <f>IF(B28="", "", 'Lighting Inventory (Ref only)'!P39)</f>
        <v/>
      </c>
      <c r="AA28" s="372" t="str">
        <f>IF(B28="", "",'Lighting Inventory (Ref only)'!R39/1000)</f>
        <v/>
      </c>
      <c r="AB28" s="372" t="str">
        <f>IF(B28="", "", Inventory!M36)</f>
        <v/>
      </c>
      <c r="AC28" s="374" t="str">
        <f>IF(B28="", "", 'Lighting Inventory (Ref only)'!T39)</f>
        <v/>
      </c>
      <c r="AD28" s="374" t="str">
        <f>IF(C28="", "", 'Lighting Inventory (Ref only)'!AA39)</f>
        <v/>
      </c>
      <c r="AE28" s="375" t="str">
        <f>IF(B28="", "", 'Lighting Inventory (Ref only)'!U39)</f>
        <v/>
      </c>
      <c r="AF28" s="375" t="str">
        <f>IF(B28="", "",'Lighting Inventory (Ref only)'!W39)</f>
        <v/>
      </c>
      <c r="AG28" s="375" t="str">
        <f>IF(B28="", "", 'Lighting Inventory (Ref only)'!V39)</f>
        <v/>
      </c>
      <c r="AH28" s="375" t="str">
        <f>IF(B28="", "",'Lighting Inventory (Ref only)'!Z39)</f>
        <v/>
      </c>
      <c r="AI28" s="375" t="str">
        <f>IF(B28="", "", 'Lighting Inventory (Ref only)'!Y39)</f>
        <v/>
      </c>
      <c r="AJ28" s="375" t="str">
        <f>IF(C28="", "",'Lighting Inventory (Ref only)'!AB39)</f>
        <v/>
      </c>
      <c r="AK28" s="375" t="str">
        <f>IF(B28="", "", 'Lighting Inventory (Ref only)'!AG39)</f>
        <v/>
      </c>
      <c r="AL28" s="375" t="str">
        <f>IF(B28="", "", 'Lighting Inventory (Ref only)'!AD39)</f>
        <v/>
      </c>
      <c r="AM28" s="375" t="str">
        <f>IF(B28="", "", 'Lighting Inventory (Ref only)'!AE39)</f>
        <v/>
      </c>
      <c r="AN28" s="375" t="str">
        <f>IF(B28="", "", 'Lighting Inventory (Ref only)'!AF39)</f>
        <v/>
      </c>
      <c r="AO28" s="375" t="str">
        <f>IF(B28="", "", 'Lighting Inventory (Ref only)'!AG39)</f>
        <v/>
      </c>
    </row>
    <row r="29" spans="1:41">
      <c r="A29" s="298" t="str">
        <f>IF(G29="", "", Lookups!BF31)</f>
        <v/>
      </c>
      <c r="B29" s="298" t="str">
        <f>IF('Lighting Inventory (Ref only)'!Q40="", "", 'Lighting Inventory (Ref only)'!Q40)</f>
        <v/>
      </c>
      <c r="C29" s="298" t="str">
        <f>IF(A29="", "", 'Lighting Inventory (Ref only)'!AO40)</f>
        <v/>
      </c>
      <c r="D29" s="370" t="str">
        <f>IF(B29= "","", Inventory!S37)</f>
        <v/>
      </c>
      <c r="E29" s="371"/>
      <c r="F29" s="298" t="str">
        <f>IF(B29="", "", 'Version Log'!$B$34)</f>
        <v/>
      </c>
      <c r="G29" s="298" t="str">
        <f t="shared" si="0"/>
        <v/>
      </c>
      <c r="H29" s="298" t="str">
        <f t="shared" si="1"/>
        <v/>
      </c>
      <c r="I29" s="298" t="str">
        <f>IF(B29="", "",Inventory!D37)</f>
        <v/>
      </c>
      <c r="J29" s="298" t="str">
        <f>IF(B29="","",IF(Inventory!C37="N","Interior","Exterior"))</f>
        <v/>
      </c>
      <c r="K29" s="298" t="str">
        <f t="shared" si="2"/>
        <v/>
      </c>
      <c r="L29" s="298" t="str">
        <f>IF(B29="", "", Inventory!E37)</f>
        <v/>
      </c>
      <c r="M29" s="298" t="str">
        <f>IF(B29="","",IF(Cool_Type=Lookups!$L$9,Cool_Type,IF(Cool_Type=Lookups!$L$10,Cool_Type,IF(Cool_Type=Lookups!$L$11,Cool_Type,IF(Cool_Type=Lookups!L39,Cool_Type,IF('Project Info and Summary'!$C$20="Electric",CONCATENATE(Cool_Type," ",Heating_Type," Heat"),IF('Project Info and Summary'!$C$20="Non-Electric",CONCATENATE(Cool_Type," ",Heating_Type," Heat"),CONCATENATE(Cool_Type," ",Heating_Type))))))))</f>
        <v/>
      </c>
      <c r="N29" s="298" t="str">
        <f t="shared" si="3"/>
        <v/>
      </c>
      <c r="O29" s="298" t="str">
        <f>IF(B29="", "", 'Lighting Inventory (Ref only)'!G40)</f>
        <v/>
      </c>
      <c r="P29" s="298" t="str">
        <f>IF(B29="", "", 'Lighting Inventory (Ref only)'!E40)</f>
        <v/>
      </c>
      <c r="Q29" s="298" t="str">
        <f>IF(B29="", "", 'Lighting Inventory (Ref only)'!J40)</f>
        <v/>
      </c>
      <c r="R29" s="298" t="str">
        <f>IF(B29="", "",'Lighting Inventory (Ref only)'!K40)</f>
        <v/>
      </c>
      <c r="S29" s="372" t="str">
        <f>IF(B29="", "", 'Lighting Inventory (Ref only)'!G40*'Lighting Inventory (Ref only)'!K40/1000)</f>
        <v/>
      </c>
      <c r="T29" s="298" t="str">
        <f>IF(B29="", "", IF('Lighting Inventory (Ref only)'!I40="", "Light Switch",Inventory!H37))</f>
        <v/>
      </c>
      <c r="U29" s="298" t="str">
        <f>IF(B29="", "", 'Lighting Inventory (Ref only)'!Q40)</f>
        <v/>
      </c>
      <c r="V29" s="298" t="str">
        <f>IF(B29="", "", 'Lighting Inventory (Ref only)'!K40)</f>
        <v/>
      </c>
      <c r="W29" s="373" t="str">
        <f>IF(B29="","",('Lighting Inventory (Ref only)'!L40/1000))</f>
        <v/>
      </c>
      <c r="X29" s="298" t="str">
        <f>IF(B29="", "", 'Lighting Inventory (Ref only)'!Q40)</f>
        <v/>
      </c>
      <c r="Y29" s="298" t="str">
        <f>IF(C29="", "", Inventory!N37)</f>
        <v/>
      </c>
      <c r="Z29" s="374" t="str">
        <f>IF(B29="", "", 'Lighting Inventory (Ref only)'!P40)</f>
        <v/>
      </c>
      <c r="AA29" s="372" t="str">
        <f>IF(B29="", "",'Lighting Inventory (Ref only)'!R40/1000)</f>
        <v/>
      </c>
      <c r="AB29" s="372" t="str">
        <f>IF(B29="", "", Inventory!M37)</f>
        <v/>
      </c>
      <c r="AC29" s="374" t="str">
        <f>IF(B29="", "", 'Lighting Inventory (Ref only)'!T40)</f>
        <v/>
      </c>
      <c r="AD29" s="374" t="str">
        <f>IF(C29="", "", 'Lighting Inventory (Ref only)'!AA40)</f>
        <v/>
      </c>
      <c r="AE29" s="375" t="str">
        <f>IF(B29="", "", 'Lighting Inventory (Ref only)'!U40)</f>
        <v/>
      </c>
      <c r="AF29" s="375" t="str">
        <f>IF(B29="", "",'Lighting Inventory (Ref only)'!W40)</f>
        <v/>
      </c>
      <c r="AG29" s="375" t="str">
        <f>IF(B29="", "", 'Lighting Inventory (Ref only)'!V40)</f>
        <v/>
      </c>
      <c r="AH29" s="375" t="str">
        <f>IF(B29="", "",'Lighting Inventory (Ref only)'!Z40)</f>
        <v/>
      </c>
      <c r="AI29" s="375" t="str">
        <f>IF(B29="", "", 'Lighting Inventory (Ref only)'!Y40)</f>
        <v/>
      </c>
      <c r="AJ29" s="375" t="str">
        <f>IF(C29="", "",'Lighting Inventory (Ref only)'!AB40)</f>
        <v/>
      </c>
      <c r="AK29" s="375" t="str">
        <f>IF(B29="", "", 'Lighting Inventory (Ref only)'!AG40)</f>
        <v/>
      </c>
      <c r="AL29" s="375" t="str">
        <f>IF(B29="", "", 'Lighting Inventory (Ref only)'!AD40)</f>
        <v/>
      </c>
      <c r="AM29" s="375" t="str">
        <f>IF(B29="", "", 'Lighting Inventory (Ref only)'!AE40)</f>
        <v/>
      </c>
      <c r="AN29" s="375" t="str">
        <f>IF(B29="", "", 'Lighting Inventory (Ref only)'!AF40)</f>
        <v/>
      </c>
      <c r="AO29" s="375" t="str">
        <f>IF(B29="", "", 'Lighting Inventory (Ref only)'!AG40)</f>
        <v/>
      </c>
    </row>
    <row r="30" spans="1:41">
      <c r="A30" s="298" t="str">
        <f>IF(G30="", "", Lookups!BF32)</f>
        <v/>
      </c>
      <c r="B30" s="298" t="str">
        <f>IF('Lighting Inventory (Ref only)'!Q41="", "", 'Lighting Inventory (Ref only)'!Q41)</f>
        <v/>
      </c>
      <c r="C30" s="298" t="str">
        <f>IF(A30="", "", 'Lighting Inventory (Ref only)'!AO41)</f>
        <v/>
      </c>
      <c r="D30" s="370" t="str">
        <f>IF(B30= "","", Inventory!S38)</f>
        <v/>
      </c>
      <c r="E30" s="371"/>
      <c r="F30" s="298" t="str">
        <f>IF(B30="", "", 'Version Log'!$B$34)</f>
        <v/>
      </c>
      <c r="G30" s="298" t="str">
        <f t="shared" si="0"/>
        <v/>
      </c>
      <c r="H30" s="298" t="str">
        <f t="shared" si="1"/>
        <v/>
      </c>
      <c r="I30" s="298" t="str">
        <f>IF(B30="", "",Inventory!D38)</f>
        <v/>
      </c>
      <c r="J30" s="298" t="str">
        <f>IF(B30="","",IF(Inventory!C38="N","Interior","Exterior"))</f>
        <v/>
      </c>
      <c r="K30" s="298" t="str">
        <f t="shared" si="2"/>
        <v/>
      </c>
      <c r="L30" s="298" t="str">
        <f>IF(B30="", "", Inventory!E38)</f>
        <v/>
      </c>
      <c r="M30" s="298" t="str">
        <f>IF(B30="","",IF(Cool_Type=Lookups!$L$9,Cool_Type,IF(Cool_Type=Lookups!$L$10,Cool_Type,IF(Cool_Type=Lookups!$L$11,Cool_Type,IF(Cool_Type=Lookups!L40,Cool_Type,IF('Project Info and Summary'!$C$20="Electric",CONCATENATE(Cool_Type," ",Heating_Type," Heat"),IF('Project Info and Summary'!$C$20="Non-Electric",CONCATENATE(Cool_Type," ",Heating_Type," Heat"),CONCATENATE(Cool_Type," ",Heating_Type))))))))</f>
        <v/>
      </c>
      <c r="N30" s="298" t="str">
        <f t="shared" si="3"/>
        <v/>
      </c>
      <c r="O30" s="298" t="str">
        <f>IF(B30="", "", 'Lighting Inventory (Ref only)'!G41)</f>
        <v/>
      </c>
      <c r="P30" s="298" t="str">
        <f>IF(B30="", "", 'Lighting Inventory (Ref only)'!E41)</f>
        <v/>
      </c>
      <c r="Q30" s="298" t="str">
        <f>IF(B30="", "", 'Lighting Inventory (Ref only)'!J41)</f>
        <v/>
      </c>
      <c r="R30" s="298" t="str">
        <f>IF(B30="", "",'Lighting Inventory (Ref only)'!K41)</f>
        <v/>
      </c>
      <c r="S30" s="372" t="str">
        <f>IF(B30="", "", 'Lighting Inventory (Ref only)'!G41*'Lighting Inventory (Ref only)'!K41/1000)</f>
        <v/>
      </c>
      <c r="T30" s="298" t="str">
        <f>IF(B30="", "", IF('Lighting Inventory (Ref only)'!I41="", "Light Switch",Inventory!H38))</f>
        <v/>
      </c>
      <c r="U30" s="298" t="str">
        <f>IF(B30="", "", 'Lighting Inventory (Ref only)'!Q41)</f>
        <v/>
      </c>
      <c r="V30" s="298" t="str">
        <f>IF(B30="", "", 'Lighting Inventory (Ref only)'!K41)</f>
        <v/>
      </c>
      <c r="W30" s="373" t="str">
        <f>IF(B30="","",('Lighting Inventory (Ref only)'!L41/1000))</f>
        <v/>
      </c>
      <c r="X30" s="298" t="str">
        <f>IF(B30="", "", 'Lighting Inventory (Ref only)'!Q41)</f>
        <v/>
      </c>
      <c r="Y30" s="298" t="str">
        <f>IF(C30="", "", Inventory!N38)</f>
        <v/>
      </c>
      <c r="Z30" s="374" t="str">
        <f>IF(B30="", "", 'Lighting Inventory (Ref only)'!P41)</f>
        <v/>
      </c>
      <c r="AA30" s="372" t="str">
        <f>IF(B30="", "",'Lighting Inventory (Ref only)'!R41/1000)</f>
        <v/>
      </c>
      <c r="AB30" s="372" t="str">
        <f>IF(B30="", "", Inventory!M38)</f>
        <v/>
      </c>
      <c r="AC30" s="374" t="str">
        <f>IF(B30="", "", 'Lighting Inventory (Ref only)'!T41)</f>
        <v/>
      </c>
      <c r="AD30" s="374" t="str">
        <f>IF(C30="", "", 'Lighting Inventory (Ref only)'!AA41)</f>
        <v/>
      </c>
      <c r="AE30" s="375" t="str">
        <f>IF(B30="", "", 'Lighting Inventory (Ref only)'!U41)</f>
        <v/>
      </c>
      <c r="AF30" s="375" t="str">
        <f>IF(B30="", "",'Lighting Inventory (Ref only)'!W41)</f>
        <v/>
      </c>
      <c r="AG30" s="375" t="str">
        <f>IF(B30="", "", 'Lighting Inventory (Ref only)'!V41)</f>
        <v/>
      </c>
      <c r="AH30" s="375" t="str">
        <f>IF(B30="", "",'Lighting Inventory (Ref only)'!Z41)</f>
        <v/>
      </c>
      <c r="AI30" s="375" t="str">
        <f>IF(B30="", "", 'Lighting Inventory (Ref only)'!Y41)</f>
        <v/>
      </c>
      <c r="AJ30" s="375" t="str">
        <f>IF(C30="", "",'Lighting Inventory (Ref only)'!AB41)</f>
        <v/>
      </c>
      <c r="AK30" s="375" t="str">
        <f>IF(B30="", "", 'Lighting Inventory (Ref only)'!AG41)</f>
        <v/>
      </c>
      <c r="AL30" s="375" t="str">
        <f>IF(B30="", "", 'Lighting Inventory (Ref only)'!AD41)</f>
        <v/>
      </c>
      <c r="AM30" s="375" t="str">
        <f>IF(B30="", "", 'Lighting Inventory (Ref only)'!AE41)</f>
        <v/>
      </c>
      <c r="AN30" s="375" t="str">
        <f>IF(B30="", "", 'Lighting Inventory (Ref only)'!AF41)</f>
        <v/>
      </c>
      <c r="AO30" s="375" t="str">
        <f>IF(B30="", "", 'Lighting Inventory (Ref only)'!AG41)</f>
        <v/>
      </c>
    </row>
    <row r="31" spans="1:41">
      <c r="A31" s="298" t="str">
        <f>IF(G31="", "", Lookups!BF33)</f>
        <v/>
      </c>
      <c r="B31" s="298" t="str">
        <f>IF('Lighting Inventory (Ref only)'!Q42="", "", 'Lighting Inventory (Ref only)'!Q42)</f>
        <v/>
      </c>
      <c r="C31" s="298" t="str">
        <f>IF(A31="", "", 'Lighting Inventory (Ref only)'!AO42)</f>
        <v/>
      </c>
      <c r="D31" s="370" t="str">
        <f>IF(B31= "","", Inventory!S39)</f>
        <v/>
      </c>
      <c r="E31" s="371"/>
      <c r="F31" s="298" t="str">
        <f>IF(B31="", "", 'Version Log'!$B$34)</f>
        <v/>
      </c>
      <c r="G31" s="298" t="str">
        <f t="shared" si="0"/>
        <v/>
      </c>
      <c r="H31" s="298" t="str">
        <f t="shared" si="1"/>
        <v/>
      </c>
      <c r="I31" s="298" t="str">
        <f>IF(B31="", "",Inventory!D39)</f>
        <v/>
      </c>
      <c r="J31" s="298" t="str">
        <f>IF(B31="","",IF(Inventory!C39="N","Interior","Exterior"))</f>
        <v/>
      </c>
      <c r="K31" s="298" t="str">
        <f t="shared" si="2"/>
        <v/>
      </c>
      <c r="L31" s="298" t="str">
        <f>IF(B31="", "", Inventory!E39)</f>
        <v/>
      </c>
      <c r="M31" s="298" t="str">
        <f>IF(B31="","",IF(Cool_Type=Lookups!$L$9,Cool_Type,IF(Cool_Type=Lookups!$L$10,Cool_Type,IF(Cool_Type=Lookups!$L$11,Cool_Type,IF(Cool_Type=Lookups!L41,Cool_Type,IF('Project Info and Summary'!$C$20="Electric",CONCATENATE(Cool_Type," ",Heating_Type," Heat"),IF('Project Info and Summary'!$C$20="Non-Electric",CONCATENATE(Cool_Type," ",Heating_Type," Heat"),CONCATENATE(Cool_Type," ",Heating_Type))))))))</f>
        <v/>
      </c>
      <c r="N31" s="298" t="str">
        <f t="shared" si="3"/>
        <v/>
      </c>
      <c r="O31" s="298" t="str">
        <f>IF(B31="", "", 'Lighting Inventory (Ref only)'!G42)</f>
        <v/>
      </c>
      <c r="P31" s="298" t="str">
        <f>IF(B31="", "", 'Lighting Inventory (Ref only)'!E42)</f>
        <v/>
      </c>
      <c r="Q31" s="298" t="str">
        <f>IF(B31="", "", 'Lighting Inventory (Ref only)'!J42)</f>
        <v/>
      </c>
      <c r="R31" s="298" t="str">
        <f>IF(B31="", "",'Lighting Inventory (Ref only)'!K42)</f>
        <v/>
      </c>
      <c r="S31" s="372" t="str">
        <f>IF(B31="", "", 'Lighting Inventory (Ref only)'!G42*'Lighting Inventory (Ref only)'!K42/1000)</f>
        <v/>
      </c>
      <c r="T31" s="298" t="str">
        <f>IF(B31="", "", IF('Lighting Inventory (Ref only)'!I42="", "Light Switch",Inventory!H39))</f>
        <v/>
      </c>
      <c r="U31" s="298" t="str">
        <f>IF(B31="", "", 'Lighting Inventory (Ref only)'!Q42)</f>
        <v/>
      </c>
      <c r="V31" s="298" t="str">
        <f>IF(B31="", "", 'Lighting Inventory (Ref only)'!K42)</f>
        <v/>
      </c>
      <c r="W31" s="373" t="str">
        <f>IF(B31="","",('Lighting Inventory (Ref only)'!L42/1000))</f>
        <v/>
      </c>
      <c r="X31" s="298" t="str">
        <f>IF(B31="", "", 'Lighting Inventory (Ref only)'!Q42)</f>
        <v/>
      </c>
      <c r="Y31" s="298" t="str">
        <f>IF(C31="", "", Inventory!N39)</f>
        <v/>
      </c>
      <c r="Z31" s="374" t="str">
        <f>IF(B31="", "", 'Lighting Inventory (Ref only)'!P42)</f>
        <v/>
      </c>
      <c r="AA31" s="372" t="str">
        <f>IF(B31="", "",'Lighting Inventory (Ref only)'!R42/1000)</f>
        <v/>
      </c>
      <c r="AB31" s="372" t="str">
        <f>IF(B31="", "", Inventory!M39)</f>
        <v/>
      </c>
      <c r="AC31" s="374" t="str">
        <f>IF(B31="", "", 'Lighting Inventory (Ref only)'!T42)</f>
        <v/>
      </c>
      <c r="AD31" s="374" t="str">
        <f>IF(C31="", "", 'Lighting Inventory (Ref only)'!AA42)</f>
        <v/>
      </c>
      <c r="AE31" s="375" t="str">
        <f>IF(B31="", "", 'Lighting Inventory (Ref only)'!U42)</f>
        <v/>
      </c>
      <c r="AF31" s="375" t="str">
        <f>IF(B31="", "",'Lighting Inventory (Ref only)'!W42)</f>
        <v/>
      </c>
      <c r="AG31" s="375" t="str">
        <f>IF(B31="", "", 'Lighting Inventory (Ref only)'!V42)</f>
        <v/>
      </c>
      <c r="AH31" s="375" t="str">
        <f>IF(B31="", "",'Lighting Inventory (Ref only)'!Z42)</f>
        <v/>
      </c>
      <c r="AI31" s="375" t="str">
        <f>IF(B31="", "", 'Lighting Inventory (Ref only)'!Y42)</f>
        <v/>
      </c>
      <c r="AJ31" s="375" t="str">
        <f>IF(C31="", "",'Lighting Inventory (Ref only)'!AB42)</f>
        <v/>
      </c>
      <c r="AK31" s="375" t="str">
        <f>IF(B31="", "", 'Lighting Inventory (Ref only)'!AG42)</f>
        <v/>
      </c>
      <c r="AL31" s="375" t="str">
        <f>IF(B31="", "", 'Lighting Inventory (Ref only)'!AD42)</f>
        <v/>
      </c>
      <c r="AM31" s="375" t="str">
        <f>IF(B31="", "", 'Lighting Inventory (Ref only)'!AE42)</f>
        <v/>
      </c>
      <c r="AN31" s="375" t="str">
        <f>IF(B31="", "", 'Lighting Inventory (Ref only)'!AF42)</f>
        <v/>
      </c>
      <c r="AO31" s="375" t="str">
        <f>IF(B31="", "", 'Lighting Inventory (Ref only)'!AG42)</f>
        <v/>
      </c>
    </row>
    <row r="32" spans="1:41">
      <c r="A32" s="298" t="str">
        <f>IF(G32="", "", Lookups!BF34)</f>
        <v/>
      </c>
      <c r="B32" s="298" t="str">
        <f>IF('Lighting Inventory (Ref only)'!Q43="", "", 'Lighting Inventory (Ref only)'!Q43)</f>
        <v/>
      </c>
      <c r="C32" s="298" t="str">
        <f>IF(A32="", "", 'Lighting Inventory (Ref only)'!AO43)</f>
        <v/>
      </c>
      <c r="D32" s="370" t="str">
        <f>IF(B32= "","", Inventory!S40)</f>
        <v/>
      </c>
      <c r="E32" s="371"/>
      <c r="F32" s="298" t="str">
        <f>IF(B32="", "", 'Version Log'!$B$34)</f>
        <v/>
      </c>
      <c r="G32" s="298" t="str">
        <f t="shared" si="0"/>
        <v/>
      </c>
      <c r="H32" s="298" t="str">
        <f t="shared" si="1"/>
        <v/>
      </c>
      <c r="I32" s="298" t="str">
        <f>IF(B32="", "",Inventory!D40)</f>
        <v/>
      </c>
      <c r="J32" s="298" t="str">
        <f>IF(B32="","",IF(Inventory!C40="N","Interior","Exterior"))</f>
        <v/>
      </c>
      <c r="K32" s="298" t="str">
        <f t="shared" si="2"/>
        <v/>
      </c>
      <c r="L32" s="298" t="str">
        <f>IF(B32="", "", Inventory!E40)</f>
        <v/>
      </c>
      <c r="M32" s="298" t="str">
        <f>IF(B32="","",IF(Cool_Type=Lookups!$L$9,Cool_Type,IF(Cool_Type=Lookups!$L$10,Cool_Type,IF(Cool_Type=Lookups!$L$11,Cool_Type,IF(Cool_Type=Lookups!L42,Cool_Type,IF('Project Info and Summary'!$C$20="Electric",CONCATENATE(Cool_Type," ",Heating_Type," Heat"),IF('Project Info and Summary'!$C$20="Non-Electric",CONCATENATE(Cool_Type," ",Heating_Type," Heat"),CONCATENATE(Cool_Type," ",Heating_Type))))))))</f>
        <v/>
      </c>
      <c r="N32" s="298" t="str">
        <f t="shared" si="3"/>
        <v/>
      </c>
      <c r="O32" s="298" t="str">
        <f>IF(B32="", "", 'Lighting Inventory (Ref only)'!G43)</f>
        <v/>
      </c>
      <c r="P32" s="298" t="str">
        <f>IF(B32="", "", 'Lighting Inventory (Ref only)'!E43)</f>
        <v/>
      </c>
      <c r="Q32" s="298" t="str">
        <f>IF(B32="", "", 'Lighting Inventory (Ref only)'!J43)</f>
        <v/>
      </c>
      <c r="R32" s="298" t="str">
        <f>IF(B32="", "",'Lighting Inventory (Ref only)'!K43)</f>
        <v/>
      </c>
      <c r="S32" s="372" t="str">
        <f>IF(B32="", "", 'Lighting Inventory (Ref only)'!G43*'Lighting Inventory (Ref only)'!K43/1000)</f>
        <v/>
      </c>
      <c r="T32" s="298" t="str">
        <f>IF(B32="", "", IF('Lighting Inventory (Ref only)'!I43="", "Light Switch",Inventory!H40))</f>
        <v/>
      </c>
      <c r="U32" s="298" t="str">
        <f>IF(B32="", "", 'Lighting Inventory (Ref only)'!Q43)</f>
        <v/>
      </c>
      <c r="V32" s="298" t="str">
        <f>IF(B32="", "", 'Lighting Inventory (Ref only)'!K43)</f>
        <v/>
      </c>
      <c r="W32" s="373" t="str">
        <f>IF(B32="","",('Lighting Inventory (Ref only)'!L43/1000))</f>
        <v/>
      </c>
      <c r="X32" s="298" t="str">
        <f>IF(B32="", "", 'Lighting Inventory (Ref only)'!Q43)</f>
        <v/>
      </c>
      <c r="Y32" s="298" t="str">
        <f>IF(C32="", "", Inventory!N40)</f>
        <v/>
      </c>
      <c r="Z32" s="374" t="str">
        <f>IF(B32="", "", 'Lighting Inventory (Ref only)'!P43)</f>
        <v/>
      </c>
      <c r="AA32" s="372" t="str">
        <f>IF(B32="", "",'Lighting Inventory (Ref only)'!R43/1000)</f>
        <v/>
      </c>
      <c r="AB32" s="372" t="str">
        <f>IF(B32="", "", Inventory!M40)</f>
        <v/>
      </c>
      <c r="AC32" s="374" t="str">
        <f>IF(B32="", "", 'Lighting Inventory (Ref only)'!T43)</f>
        <v/>
      </c>
      <c r="AD32" s="374" t="str">
        <f>IF(C32="", "", 'Lighting Inventory (Ref only)'!AA43)</f>
        <v/>
      </c>
      <c r="AE32" s="375" t="str">
        <f>IF(B32="", "", 'Lighting Inventory (Ref only)'!U43)</f>
        <v/>
      </c>
      <c r="AF32" s="375" t="str">
        <f>IF(B32="", "",'Lighting Inventory (Ref only)'!W43)</f>
        <v/>
      </c>
      <c r="AG32" s="375" t="str">
        <f>IF(B32="", "", 'Lighting Inventory (Ref only)'!V43)</f>
        <v/>
      </c>
      <c r="AH32" s="375" t="str">
        <f>IF(B32="", "",'Lighting Inventory (Ref only)'!Z43)</f>
        <v/>
      </c>
      <c r="AI32" s="375" t="str">
        <f>IF(B32="", "", 'Lighting Inventory (Ref only)'!Y43)</f>
        <v/>
      </c>
      <c r="AJ32" s="375" t="str">
        <f>IF(C32="", "",'Lighting Inventory (Ref only)'!AB43)</f>
        <v/>
      </c>
      <c r="AK32" s="375" t="str">
        <f>IF(B32="", "", 'Lighting Inventory (Ref only)'!AG43)</f>
        <v/>
      </c>
      <c r="AL32" s="375" t="str">
        <f>IF(B32="", "", 'Lighting Inventory (Ref only)'!AD43)</f>
        <v/>
      </c>
      <c r="AM32" s="375" t="str">
        <f>IF(B32="", "", 'Lighting Inventory (Ref only)'!AE43)</f>
        <v/>
      </c>
      <c r="AN32" s="375" t="str">
        <f>IF(B32="", "", 'Lighting Inventory (Ref only)'!AF43)</f>
        <v/>
      </c>
      <c r="AO32" s="375" t="str">
        <f>IF(B32="", "", 'Lighting Inventory (Ref only)'!AG43)</f>
        <v/>
      </c>
    </row>
    <row r="33" spans="1:41">
      <c r="A33" s="298" t="str">
        <f>IF(G33="", "", Lookups!BF35)</f>
        <v/>
      </c>
      <c r="B33" s="298" t="str">
        <f>IF('Lighting Inventory (Ref only)'!Q44="", "", 'Lighting Inventory (Ref only)'!Q44)</f>
        <v/>
      </c>
      <c r="C33" s="298" t="str">
        <f>IF(A33="", "", 'Lighting Inventory (Ref only)'!AO44)</f>
        <v/>
      </c>
      <c r="D33" s="370" t="str">
        <f>IF(B33= "","", Inventory!S41)</f>
        <v/>
      </c>
      <c r="E33" s="371"/>
      <c r="F33" s="298" t="str">
        <f>IF(B33="", "", 'Version Log'!$B$34)</f>
        <v/>
      </c>
      <c r="G33" s="298" t="str">
        <f t="shared" si="0"/>
        <v/>
      </c>
      <c r="H33" s="298" t="str">
        <f t="shared" si="1"/>
        <v/>
      </c>
      <c r="I33" s="298" t="str">
        <f>IF(B33="", "",Inventory!D41)</f>
        <v/>
      </c>
      <c r="J33" s="298" t="str">
        <f>IF(B33="","",IF(Inventory!C41="N","Interior","Exterior"))</f>
        <v/>
      </c>
      <c r="K33" s="298" t="str">
        <f t="shared" si="2"/>
        <v/>
      </c>
      <c r="L33" s="298" t="str">
        <f>IF(B33="", "", Inventory!E41)</f>
        <v/>
      </c>
      <c r="M33" s="298" t="str">
        <f>IF(B33="","",IF(Cool_Type=Lookups!$L$9,Cool_Type,IF(Cool_Type=Lookups!$L$10,Cool_Type,IF(Cool_Type=Lookups!$L$11,Cool_Type,IF(Cool_Type=Lookups!L43,Cool_Type,IF('Project Info and Summary'!$C$20="Electric",CONCATENATE(Cool_Type," ",Heating_Type," Heat"),IF('Project Info and Summary'!$C$20="Non-Electric",CONCATENATE(Cool_Type," ",Heating_Type," Heat"),CONCATENATE(Cool_Type," ",Heating_Type))))))))</f>
        <v/>
      </c>
      <c r="N33" s="298" t="str">
        <f t="shared" si="3"/>
        <v/>
      </c>
      <c r="O33" s="298" t="str">
        <f>IF(B33="", "", 'Lighting Inventory (Ref only)'!G44)</f>
        <v/>
      </c>
      <c r="P33" s="298" t="str">
        <f>IF(B33="", "", 'Lighting Inventory (Ref only)'!E44)</f>
        <v/>
      </c>
      <c r="Q33" s="298" t="str">
        <f>IF(B33="", "", 'Lighting Inventory (Ref only)'!J44)</f>
        <v/>
      </c>
      <c r="R33" s="298" t="str">
        <f>IF(B33="", "",'Lighting Inventory (Ref only)'!K44)</f>
        <v/>
      </c>
      <c r="S33" s="372" t="str">
        <f>IF(B33="", "", 'Lighting Inventory (Ref only)'!G44*'Lighting Inventory (Ref only)'!K44/1000)</f>
        <v/>
      </c>
      <c r="T33" s="298" t="str">
        <f>IF(B33="", "", IF('Lighting Inventory (Ref only)'!I44="", "Light Switch",Inventory!H41))</f>
        <v/>
      </c>
      <c r="U33" s="298" t="str">
        <f>IF(B33="", "", 'Lighting Inventory (Ref only)'!Q44)</f>
        <v/>
      </c>
      <c r="V33" s="298" t="str">
        <f>IF(B33="", "", 'Lighting Inventory (Ref only)'!K44)</f>
        <v/>
      </c>
      <c r="W33" s="373" t="str">
        <f>IF(B33="","",('Lighting Inventory (Ref only)'!L44/1000))</f>
        <v/>
      </c>
      <c r="X33" s="298" t="str">
        <f>IF(B33="", "", 'Lighting Inventory (Ref only)'!Q44)</f>
        <v/>
      </c>
      <c r="Y33" s="298" t="str">
        <f>IF(C33="", "", Inventory!N41)</f>
        <v/>
      </c>
      <c r="Z33" s="374" t="str">
        <f>IF(B33="", "", 'Lighting Inventory (Ref only)'!P44)</f>
        <v/>
      </c>
      <c r="AA33" s="372" t="str">
        <f>IF(B33="", "",'Lighting Inventory (Ref only)'!R44/1000)</f>
        <v/>
      </c>
      <c r="AB33" s="372" t="str">
        <f>IF(B33="", "", Inventory!M41)</f>
        <v/>
      </c>
      <c r="AC33" s="374" t="str">
        <f>IF(B33="", "", 'Lighting Inventory (Ref only)'!T44)</f>
        <v/>
      </c>
      <c r="AD33" s="374" t="str">
        <f>IF(C33="", "", 'Lighting Inventory (Ref only)'!AA44)</f>
        <v/>
      </c>
      <c r="AE33" s="375" t="str">
        <f>IF(B33="", "", 'Lighting Inventory (Ref only)'!U44)</f>
        <v/>
      </c>
      <c r="AF33" s="375" t="str">
        <f>IF(B33="", "",'Lighting Inventory (Ref only)'!W44)</f>
        <v/>
      </c>
      <c r="AG33" s="375" t="str">
        <f>IF(B33="", "", 'Lighting Inventory (Ref only)'!V44)</f>
        <v/>
      </c>
      <c r="AH33" s="375" t="str">
        <f>IF(B33="", "",'Lighting Inventory (Ref only)'!Z44)</f>
        <v/>
      </c>
      <c r="AI33" s="375" t="str">
        <f>IF(B33="", "", 'Lighting Inventory (Ref only)'!Y44)</f>
        <v/>
      </c>
      <c r="AJ33" s="375" t="str">
        <f>IF(C33="", "",'Lighting Inventory (Ref only)'!AB44)</f>
        <v/>
      </c>
      <c r="AK33" s="375" t="str">
        <f>IF(B33="", "", 'Lighting Inventory (Ref only)'!AG44)</f>
        <v/>
      </c>
      <c r="AL33" s="375" t="str">
        <f>IF(B33="", "", 'Lighting Inventory (Ref only)'!AD44)</f>
        <v/>
      </c>
      <c r="AM33" s="375" t="str">
        <f>IF(B33="", "", 'Lighting Inventory (Ref only)'!AE44)</f>
        <v/>
      </c>
      <c r="AN33" s="375" t="str">
        <f>IF(B33="", "", 'Lighting Inventory (Ref only)'!AF44)</f>
        <v/>
      </c>
      <c r="AO33" s="375" t="str">
        <f>IF(B33="", "", 'Lighting Inventory (Ref only)'!AG44)</f>
        <v/>
      </c>
    </row>
    <row r="34" spans="1:41">
      <c r="A34" s="298" t="str">
        <f>IF(G34="", "", Lookups!BF36)</f>
        <v/>
      </c>
      <c r="B34" s="298" t="str">
        <f>IF('Lighting Inventory (Ref only)'!Q45="", "", 'Lighting Inventory (Ref only)'!Q45)</f>
        <v/>
      </c>
      <c r="C34" s="298" t="str">
        <f>IF(A34="", "", 'Lighting Inventory (Ref only)'!AO45)</f>
        <v/>
      </c>
      <c r="D34" s="370" t="str">
        <f>IF(B34= "","", Inventory!S42)</f>
        <v/>
      </c>
      <c r="E34" s="371"/>
      <c r="F34" s="298" t="str">
        <f>IF(B34="", "", 'Version Log'!$B$34)</f>
        <v/>
      </c>
      <c r="G34" s="298" t="str">
        <f t="shared" si="0"/>
        <v/>
      </c>
      <c r="H34" s="298" t="str">
        <f t="shared" si="1"/>
        <v/>
      </c>
      <c r="I34" s="298" t="str">
        <f>IF(B34="", "",Inventory!D42)</f>
        <v/>
      </c>
      <c r="J34" s="298" t="str">
        <f>IF(B34="","",IF(Inventory!C42="N","Interior","Exterior"))</f>
        <v/>
      </c>
      <c r="K34" s="298" t="str">
        <f t="shared" si="2"/>
        <v/>
      </c>
      <c r="L34" s="298" t="str">
        <f>IF(B34="", "", Inventory!E42)</f>
        <v/>
      </c>
      <c r="M34" s="298" t="str">
        <f>IF(B34="","",IF(Cool_Type=Lookups!$L$9,Cool_Type,IF(Cool_Type=Lookups!$L$10,Cool_Type,IF(Cool_Type=Lookups!$L$11,Cool_Type,IF(Cool_Type=Lookups!L44,Cool_Type,IF('Project Info and Summary'!$C$20="Electric",CONCATENATE(Cool_Type," ",Heating_Type," Heat"),IF('Project Info and Summary'!$C$20="Non-Electric",CONCATENATE(Cool_Type," ",Heating_Type," Heat"),CONCATENATE(Cool_Type," ",Heating_Type))))))))</f>
        <v/>
      </c>
      <c r="N34" s="298" t="str">
        <f t="shared" si="3"/>
        <v/>
      </c>
      <c r="O34" s="298" t="str">
        <f>IF(B34="", "", 'Lighting Inventory (Ref only)'!G45)</f>
        <v/>
      </c>
      <c r="P34" s="298" t="str">
        <f>IF(B34="", "", 'Lighting Inventory (Ref only)'!E45)</f>
        <v/>
      </c>
      <c r="Q34" s="298" t="str">
        <f>IF(B34="", "", 'Lighting Inventory (Ref only)'!J45)</f>
        <v/>
      </c>
      <c r="R34" s="298" t="str">
        <f>IF(B34="", "",'Lighting Inventory (Ref only)'!K45)</f>
        <v/>
      </c>
      <c r="S34" s="372" t="str">
        <f>IF(B34="", "", 'Lighting Inventory (Ref only)'!G45*'Lighting Inventory (Ref only)'!K45/1000)</f>
        <v/>
      </c>
      <c r="T34" s="298" t="str">
        <f>IF(B34="", "", IF('Lighting Inventory (Ref only)'!I45="", "Light Switch",Inventory!H42))</f>
        <v/>
      </c>
      <c r="U34" s="298" t="str">
        <f>IF(B34="", "", 'Lighting Inventory (Ref only)'!Q45)</f>
        <v/>
      </c>
      <c r="V34" s="298" t="str">
        <f>IF(B34="", "", 'Lighting Inventory (Ref only)'!K45)</f>
        <v/>
      </c>
      <c r="W34" s="373" t="str">
        <f>IF(B34="","",('Lighting Inventory (Ref only)'!L45/1000))</f>
        <v/>
      </c>
      <c r="X34" s="298" t="str">
        <f>IF(B34="", "", 'Lighting Inventory (Ref only)'!Q45)</f>
        <v/>
      </c>
      <c r="Y34" s="298" t="str">
        <f>IF(C34="", "", Inventory!N42)</f>
        <v/>
      </c>
      <c r="Z34" s="374" t="str">
        <f>IF(B34="", "", 'Lighting Inventory (Ref only)'!P45)</f>
        <v/>
      </c>
      <c r="AA34" s="372" t="str">
        <f>IF(B34="", "",'Lighting Inventory (Ref only)'!R45/1000)</f>
        <v/>
      </c>
      <c r="AB34" s="372" t="str">
        <f>IF(B34="", "", Inventory!M42)</f>
        <v/>
      </c>
      <c r="AC34" s="374" t="str">
        <f>IF(B34="", "", 'Lighting Inventory (Ref only)'!T45)</f>
        <v/>
      </c>
      <c r="AD34" s="374" t="str">
        <f>IF(C34="", "", 'Lighting Inventory (Ref only)'!AA45)</f>
        <v/>
      </c>
      <c r="AE34" s="375" t="str">
        <f>IF(B34="", "", 'Lighting Inventory (Ref only)'!U45)</f>
        <v/>
      </c>
      <c r="AF34" s="375" t="str">
        <f>IF(B34="", "",'Lighting Inventory (Ref only)'!W45)</f>
        <v/>
      </c>
      <c r="AG34" s="375" t="str">
        <f>IF(B34="", "", 'Lighting Inventory (Ref only)'!V45)</f>
        <v/>
      </c>
      <c r="AH34" s="375" t="str">
        <f>IF(B34="", "",'Lighting Inventory (Ref only)'!Z45)</f>
        <v/>
      </c>
      <c r="AI34" s="375" t="str">
        <f>IF(B34="", "", 'Lighting Inventory (Ref only)'!Y45)</f>
        <v/>
      </c>
      <c r="AJ34" s="375" t="str">
        <f>IF(C34="", "",'Lighting Inventory (Ref only)'!AB45)</f>
        <v/>
      </c>
      <c r="AK34" s="375" t="str">
        <f>IF(B34="", "", 'Lighting Inventory (Ref only)'!AG45)</f>
        <v/>
      </c>
      <c r="AL34" s="375" t="str">
        <f>IF(B34="", "", 'Lighting Inventory (Ref only)'!AD45)</f>
        <v/>
      </c>
      <c r="AM34" s="375" t="str">
        <f>IF(B34="", "", 'Lighting Inventory (Ref only)'!AE45)</f>
        <v/>
      </c>
      <c r="AN34" s="375" t="str">
        <f>IF(B34="", "", 'Lighting Inventory (Ref only)'!AF45)</f>
        <v/>
      </c>
      <c r="AO34" s="375" t="str">
        <f>IF(B34="", "", 'Lighting Inventory (Ref only)'!AG45)</f>
        <v/>
      </c>
    </row>
    <row r="35" spans="1:41">
      <c r="A35" s="298" t="str">
        <f>IF(G35="", "", Lookups!BF37)</f>
        <v/>
      </c>
      <c r="B35" s="298" t="str">
        <f>IF('Lighting Inventory (Ref only)'!Q46="", "", 'Lighting Inventory (Ref only)'!Q46)</f>
        <v/>
      </c>
      <c r="C35" s="298" t="str">
        <f>IF(A35="", "", 'Lighting Inventory (Ref only)'!AO46)</f>
        <v/>
      </c>
      <c r="D35" s="370" t="str">
        <f>IF(B35= "","", Inventory!S43)</f>
        <v/>
      </c>
      <c r="E35" s="371"/>
      <c r="F35" s="298" t="str">
        <f>IF(B35="", "", 'Version Log'!$B$34)</f>
        <v/>
      </c>
      <c r="G35" s="298" t="str">
        <f t="shared" si="0"/>
        <v/>
      </c>
      <c r="H35" s="298" t="str">
        <f t="shared" si="1"/>
        <v/>
      </c>
      <c r="I35" s="298" t="str">
        <f>IF(B35="", "",Inventory!D43)</f>
        <v/>
      </c>
      <c r="J35" s="298" t="str">
        <f>IF(B35="","",IF(Inventory!C43="N","Interior","Exterior"))</f>
        <v/>
      </c>
      <c r="K35" s="298" t="str">
        <f t="shared" si="2"/>
        <v/>
      </c>
      <c r="L35" s="298" t="str">
        <f>IF(B35="", "", Inventory!E43)</f>
        <v/>
      </c>
      <c r="M35" s="298" t="str">
        <f>IF(B35="","",IF(Cool_Type=Lookups!$L$9,Cool_Type,IF(Cool_Type=Lookups!$L$10,Cool_Type,IF(Cool_Type=Lookups!$L$11,Cool_Type,IF(Cool_Type=Lookups!L45,Cool_Type,IF('Project Info and Summary'!$C$20="Electric",CONCATENATE(Cool_Type," ",Heating_Type," Heat"),IF('Project Info and Summary'!$C$20="Non-Electric",CONCATENATE(Cool_Type," ",Heating_Type," Heat"),CONCATENATE(Cool_Type," ",Heating_Type))))))))</f>
        <v/>
      </c>
      <c r="N35" s="298" t="str">
        <f t="shared" si="3"/>
        <v/>
      </c>
      <c r="O35" s="298" t="str">
        <f>IF(B35="", "", 'Lighting Inventory (Ref only)'!G46)</f>
        <v/>
      </c>
      <c r="P35" s="298" t="str">
        <f>IF(B35="", "", 'Lighting Inventory (Ref only)'!E46)</f>
        <v/>
      </c>
      <c r="Q35" s="298" t="str">
        <f>IF(B35="", "", 'Lighting Inventory (Ref only)'!J46)</f>
        <v/>
      </c>
      <c r="R35" s="298" t="str">
        <f>IF(B35="", "",'Lighting Inventory (Ref only)'!K46)</f>
        <v/>
      </c>
      <c r="S35" s="372" t="str">
        <f>IF(B35="", "", 'Lighting Inventory (Ref only)'!G46*'Lighting Inventory (Ref only)'!K46/1000)</f>
        <v/>
      </c>
      <c r="T35" s="298" t="str">
        <f>IF(B35="", "", IF('Lighting Inventory (Ref only)'!I46="", "Light Switch",Inventory!H43))</f>
        <v/>
      </c>
      <c r="U35" s="298" t="str">
        <f>IF(B35="", "", 'Lighting Inventory (Ref only)'!Q46)</f>
        <v/>
      </c>
      <c r="V35" s="298" t="str">
        <f>IF(B35="", "", 'Lighting Inventory (Ref only)'!K46)</f>
        <v/>
      </c>
      <c r="W35" s="373" t="str">
        <f>IF(B35="","",('Lighting Inventory (Ref only)'!L46/1000))</f>
        <v/>
      </c>
      <c r="X35" s="298" t="str">
        <f>IF(B35="", "", 'Lighting Inventory (Ref only)'!Q46)</f>
        <v/>
      </c>
      <c r="Y35" s="298" t="str">
        <f>IF(C35="", "", Inventory!N43)</f>
        <v/>
      </c>
      <c r="Z35" s="374" t="str">
        <f>IF(B35="", "", 'Lighting Inventory (Ref only)'!P46)</f>
        <v/>
      </c>
      <c r="AA35" s="372" t="str">
        <f>IF(B35="", "",'Lighting Inventory (Ref only)'!R46/1000)</f>
        <v/>
      </c>
      <c r="AB35" s="372" t="str">
        <f>IF(B35="", "", Inventory!M43)</f>
        <v/>
      </c>
      <c r="AC35" s="374" t="str">
        <f>IF(B35="", "", 'Lighting Inventory (Ref only)'!T46)</f>
        <v/>
      </c>
      <c r="AD35" s="374" t="str">
        <f>IF(C35="", "", 'Lighting Inventory (Ref only)'!AA46)</f>
        <v/>
      </c>
      <c r="AE35" s="375" t="str">
        <f>IF(B35="", "", 'Lighting Inventory (Ref only)'!U46)</f>
        <v/>
      </c>
      <c r="AF35" s="375" t="str">
        <f>IF(B35="", "",'Lighting Inventory (Ref only)'!W46)</f>
        <v/>
      </c>
      <c r="AG35" s="375" t="str">
        <f>IF(B35="", "", 'Lighting Inventory (Ref only)'!V46)</f>
        <v/>
      </c>
      <c r="AH35" s="375" t="str">
        <f>IF(B35="", "",'Lighting Inventory (Ref only)'!Z46)</f>
        <v/>
      </c>
      <c r="AI35" s="375" t="str">
        <f>IF(B35="", "", 'Lighting Inventory (Ref only)'!Y46)</f>
        <v/>
      </c>
      <c r="AJ35" s="375" t="str">
        <f>IF(C35="", "",'Lighting Inventory (Ref only)'!AB46)</f>
        <v/>
      </c>
      <c r="AK35" s="375" t="str">
        <f>IF(B35="", "", 'Lighting Inventory (Ref only)'!AG46)</f>
        <v/>
      </c>
      <c r="AL35" s="375" t="str">
        <f>IF(B35="", "", 'Lighting Inventory (Ref only)'!AD46)</f>
        <v/>
      </c>
      <c r="AM35" s="375" t="str">
        <f>IF(B35="", "", 'Lighting Inventory (Ref only)'!AE46)</f>
        <v/>
      </c>
      <c r="AN35" s="375" t="str">
        <f>IF(B35="", "", 'Lighting Inventory (Ref only)'!AF46)</f>
        <v/>
      </c>
      <c r="AO35" s="375" t="str">
        <f>IF(B35="", "", 'Lighting Inventory (Ref only)'!AG46)</f>
        <v/>
      </c>
    </row>
    <row r="36" spans="1:41">
      <c r="A36" s="298" t="str">
        <f>IF(G36="", "", Lookups!BF38)</f>
        <v/>
      </c>
      <c r="B36" s="298" t="str">
        <f>IF('Lighting Inventory (Ref only)'!Q47="", "", 'Lighting Inventory (Ref only)'!Q47)</f>
        <v/>
      </c>
      <c r="C36" s="298" t="str">
        <f>IF(A36="", "", 'Lighting Inventory (Ref only)'!AO47)</f>
        <v/>
      </c>
      <c r="D36" s="370" t="str">
        <f>IF(B36= "","", Inventory!S44)</f>
        <v/>
      </c>
      <c r="E36" s="371"/>
      <c r="F36" s="298" t="str">
        <f>IF(B36="", "", 'Version Log'!$B$34)</f>
        <v/>
      </c>
      <c r="G36" s="298" t="str">
        <f t="shared" si="0"/>
        <v/>
      </c>
      <c r="H36" s="298" t="str">
        <f t="shared" si="1"/>
        <v/>
      </c>
      <c r="I36" s="298" t="str">
        <f>IF(B36="", "",Inventory!D44)</f>
        <v/>
      </c>
      <c r="J36" s="298" t="str">
        <f>IF(B36="","",IF(Inventory!C44="N","Interior","Exterior"))</f>
        <v/>
      </c>
      <c r="K36" s="298" t="str">
        <f t="shared" si="2"/>
        <v/>
      </c>
      <c r="L36" s="298" t="str">
        <f>IF(B36="", "", Inventory!E44)</f>
        <v/>
      </c>
      <c r="M36" s="298" t="str">
        <f>IF(B36="","",IF(Cool_Type=Lookups!$L$9,Cool_Type,IF(Cool_Type=Lookups!$L$10,Cool_Type,IF(Cool_Type=Lookups!$L$11,Cool_Type,IF(Cool_Type=Lookups!L46,Cool_Type,IF('Project Info and Summary'!$C$20="Electric",CONCATENATE(Cool_Type," ",Heating_Type," Heat"),IF('Project Info and Summary'!$C$20="Non-Electric",CONCATENATE(Cool_Type," ",Heating_Type," Heat"),CONCATENATE(Cool_Type," ",Heating_Type))))))))</f>
        <v/>
      </c>
      <c r="N36" s="298" t="str">
        <f t="shared" si="3"/>
        <v/>
      </c>
      <c r="O36" s="298" t="str">
        <f>IF(B36="", "", 'Lighting Inventory (Ref only)'!G47)</f>
        <v/>
      </c>
      <c r="P36" s="298" t="str">
        <f>IF(B36="", "", 'Lighting Inventory (Ref only)'!E47)</f>
        <v/>
      </c>
      <c r="Q36" s="298" t="str">
        <f>IF(B36="", "", 'Lighting Inventory (Ref only)'!J47)</f>
        <v/>
      </c>
      <c r="R36" s="298" t="str">
        <f>IF(B36="", "",'Lighting Inventory (Ref only)'!K47)</f>
        <v/>
      </c>
      <c r="S36" s="372" t="str">
        <f>IF(B36="", "", 'Lighting Inventory (Ref only)'!G47*'Lighting Inventory (Ref only)'!K47/1000)</f>
        <v/>
      </c>
      <c r="T36" s="298" t="str">
        <f>IF(B36="", "", IF('Lighting Inventory (Ref only)'!I47="", "Light Switch",Inventory!H44))</f>
        <v/>
      </c>
      <c r="U36" s="298" t="str">
        <f>IF(B36="", "", 'Lighting Inventory (Ref only)'!Q47)</f>
        <v/>
      </c>
      <c r="V36" s="298" t="str">
        <f>IF(B36="", "", 'Lighting Inventory (Ref only)'!K47)</f>
        <v/>
      </c>
      <c r="W36" s="373" t="str">
        <f>IF(B36="","",('Lighting Inventory (Ref only)'!L47/1000))</f>
        <v/>
      </c>
      <c r="X36" s="298" t="str">
        <f>IF(B36="", "", 'Lighting Inventory (Ref only)'!Q47)</f>
        <v/>
      </c>
      <c r="Y36" s="298" t="str">
        <f>IF(C36="", "", Inventory!N44)</f>
        <v/>
      </c>
      <c r="Z36" s="374" t="str">
        <f>IF(B36="", "", 'Lighting Inventory (Ref only)'!P47)</f>
        <v/>
      </c>
      <c r="AA36" s="372" t="str">
        <f>IF(B36="", "",'Lighting Inventory (Ref only)'!R47/1000)</f>
        <v/>
      </c>
      <c r="AB36" s="372" t="str">
        <f>IF(B36="", "", Inventory!M44)</f>
        <v/>
      </c>
      <c r="AC36" s="374" t="str">
        <f>IF(B36="", "", 'Lighting Inventory (Ref only)'!T47)</f>
        <v/>
      </c>
      <c r="AD36" s="374" t="str">
        <f>IF(C36="", "", 'Lighting Inventory (Ref only)'!AA47)</f>
        <v/>
      </c>
      <c r="AE36" s="375" t="str">
        <f>IF(B36="", "", 'Lighting Inventory (Ref only)'!U47)</f>
        <v/>
      </c>
      <c r="AF36" s="375" t="str">
        <f>IF(B36="", "",'Lighting Inventory (Ref only)'!W47)</f>
        <v/>
      </c>
      <c r="AG36" s="375" t="str">
        <f>IF(B36="", "", 'Lighting Inventory (Ref only)'!V47)</f>
        <v/>
      </c>
      <c r="AH36" s="375" t="str">
        <f>IF(B36="", "",'Lighting Inventory (Ref only)'!Z47)</f>
        <v/>
      </c>
      <c r="AI36" s="375" t="str">
        <f>IF(B36="", "", 'Lighting Inventory (Ref only)'!Y47)</f>
        <v/>
      </c>
      <c r="AJ36" s="375" t="str">
        <f>IF(C36="", "",'Lighting Inventory (Ref only)'!AB47)</f>
        <v/>
      </c>
      <c r="AK36" s="375" t="str">
        <f>IF(B36="", "", 'Lighting Inventory (Ref only)'!AG47)</f>
        <v/>
      </c>
      <c r="AL36" s="375" t="str">
        <f>IF(B36="", "", 'Lighting Inventory (Ref only)'!AD47)</f>
        <v/>
      </c>
      <c r="AM36" s="375" t="str">
        <f>IF(B36="", "", 'Lighting Inventory (Ref only)'!AE47)</f>
        <v/>
      </c>
      <c r="AN36" s="375" t="str">
        <f>IF(B36="", "", 'Lighting Inventory (Ref only)'!AF47)</f>
        <v/>
      </c>
      <c r="AO36" s="375" t="str">
        <f>IF(B36="", "", 'Lighting Inventory (Ref only)'!AG47)</f>
        <v/>
      </c>
    </row>
    <row r="37" spans="1:41">
      <c r="A37" s="298" t="str">
        <f>IF(G37="", "", Lookups!BF39)</f>
        <v/>
      </c>
      <c r="B37" s="298" t="str">
        <f>IF('Lighting Inventory (Ref only)'!Q48="", "", 'Lighting Inventory (Ref only)'!Q48)</f>
        <v/>
      </c>
      <c r="C37" s="298" t="str">
        <f>IF(A37="", "", 'Lighting Inventory (Ref only)'!AO48)</f>
        <v/>
      </c>
      <c r="D37" s="370" t="str">
        <f>IF(B37= "","", Inventory!S45)</f>
        <v/>
      </c>
      <c r="E37" s="371"/>
      <c r="F37" s="298" t="str">
        <f>IF(B37="", "", 'Version Log'!$B$34)</f>
        <v/>
      </c>
      <c r="G37" s="298" t="str">
        <f t="shared" si="0"/>
        <v/>
      </c>
      <c r="H37" s="298" t="str">
        <f t="shared" si="1"/>
        <v/>
      </c>
      <c r="I37" s="298" t="str">
        <f>IF(B37="", "",Inventory!D45)</f>
        <v/>
      </c>
      <c r="J37" s="298" t="str">
        <f>IF(B37="","",IF(Inventory!C45="N","Interior","Exterior"))</f>
        <v/>
      </c>
      <c r="K37" s="298" t="str">
        <f t="shared" si="2"/>
        <v/>
      </c>
      <c r="L37" s="298" t="str">
        <f>IF(B37="", "", Inventory!E45)</f>
        <v/>
      </c>
      <c r="M37" s="298" t="str">
        <f>IF(B37="","",IF(Cool_Type=Lookups!$L$9,Cool_Type,IF(Cool_Type=Lookups!$L$10,Cool_Type,IF(Cool_Type=Lookups!$L$11,Cool_Type,IF(Cool_Type=Lookups!L47,Cool_Type,IF('Project Info and Summary'!$C$20="Electric",CONCATENATE(Cool_Type," ",Heating_Type," Heat"),IF('Project Info and Summary'!$C$20="Non-Electric",CONCATENATE(Cool_Type," ",Heating_Type," Heat"),CONCATENATE(Cool_Type," ",Heating_Type))))))))</f>
        <v/>
      </c>
      <c r="N37" s="298" t="str">
        <f t="shared" si="3"/>
        <v/>
      </c>
      <c r="O37" s="298" t="str">
        <f>IF(B37="", "", 'Lighting Inventory (Ref only)'!G48)</f>
        <v/>
      </c>
      <c r="P37" s="298" t="str">
        <f>IF(B37="", "", 'Lighting Inventory (Ref only)'!E48)</f>
        <v/>
      </c>
      <c r="Q37" s="298" t="str">
        <f>IF(B37="", "", 'Lighting Inventory (Ref only)'!J48)</f>
        <v/>
      </c>
      <c r="R37" s="298" t="str">
        <f>IF(B37="", "",'Lighting Inventory (Ref only)'!K48)</f>
        <v/>
      </c>
      <c r="S37" s="372" t="str">
        <f>IF(B37="", "", 'Lighting Inventory (Ref only)'!G48*'Lighting Inventory (Ref only)'!K48/1000)</f>
        <v/>
      </c>
      <c r="T37" s="298" t="str">
        <f>IF(B37="", "", IF('Lighting Inventory (Ref only)'!I48="", "Light Switch",Inventory!H45))</f>
        <v/>
      </c>
      <c r="U37" s="298" t="str">
        <f>IF(B37="", "", 'Lighting Inventory (Ref only)'!Q48)</f>
        <v/>
      </c>
      <c r="V37" s="298" t="str">
        <f>IF(B37="", "", 'Lighting Inventory (Ref only)'!K48)</f>
        <v/>
      </c>
      <c r="W37" s="373" t="str">
        <f>IF(B37="","",('Lighting Inventory (Ref only)'!L48/1000))</f>
        <v/>
      </c>
      <c r="X37" s="298" t="str">
        <f>IF(B37="", "", 'Lighting Inventory (Ref only)'!Q48)</f>
        <v/>
      </c>
      <c r="Y37" s="298" t="str">
        <f>IF(C37="", "", Inventory!N45)</f>
        <v/>
      </c>
      <c r="Z37" s="374" t="str">
        <f>IF(B37="", "", 'Lighting Inventory (Ref only)'!P48)</f>
        <v/>
      </c>
      <c r="AA37" s="372" t="str">
        <f>IF(B37="", "",'Lighting Inventory (Ref only)'!R48/1000)</f>
        <v/>
      </c>
      <c r="AB37" s="372" t="str">
        <f>IF(B37="", "", Inventory!M45)</f>
        <v/>
      </c>
      <c r="AC37" s="374" t="str">
        <f>IF(B37="", "", 'Lighting Inventory (Ref only)'!T48)</f>
        <v/>
      </c>
      <c r="AD37" s="374" t="str">
        <f>IF(C37="", "", 'Lighting Inventory (Ref only)'!AA48)</f>
        <v/>
      </c>
      <c r="AE37" s="375" t="str">
        <f>IF(B37="", "", 'Lighting Inventory (Ref only)'!U48)</f>
        <v/>
      </c>
      <c r="AF37" s="375" t="str">
        <f>IF(B37="", "",'Lighting Inventory (Ref only)'!W48)</f>
        <v/>
      </c>
      <c r="AG37" s="375" t="str">
        <f>IF(B37="", "", 'Lighting Inventory (Ref only)'!V48)</f>
        <v/>
      </c>
      <c r="AH37" s="375" t="str">
        <f>IF(B37="", "",'Lighting Inventory (Ref only)'!Z48)</f>
        <v/>
      </c>
      <c r="AI37" s="375" t="str">
        <f>IF(B37="", "", 'Lighting Inventory (Ref only)'!Y48)</f>
        <v/>
      </c>
      <c r="AJ37" s="375" t="str">
        <f>IF(C37="", "",'Lighting Inventory (Ref only)'!AB48)</f>
        <v/>
      </c>
      <c r="AK37" s="375" t="str">
        <f>IF(B37="", "", 'Lighting Inventory (Ref only)'!AG48)</f>
        <v/>
      </c>
      <c r="AL37" s="375" t="str">
        <f>IF(B37="", "", 'Lighting Inventory (Ref only)'!AD48)</f>
        <v/>
      </c>
      <c r="AM37" s="375" t="str">
        <f>IF(B37="", "", 'Lighting Inventory (Ref only)'!AE48)</f>
        <v/>
      </c>
      <c r="AN37" s="375" t="str">
        <f>IF(B37="", "", 'Lighting Inventory (Ref only)'!AF48)</f>
        <v/>
      </c>
      <c r="AO37" s="375" t="str">
        <f>IF(B37="", "", 'Lighting Inventory (Ref only)'!AG48)</f>
        <v/>
      </c>
    </row>
    <row r="38" spans="1:41">
      <c r="A38" s="298" t="str">
        <f>IF(G38="", "", Lookups!BF40)</f>
        <v/>
      </c>
      <c r="B38" s="298" t="str">
        <f>IF('Lighting Inventory (Ref only)'!Q49="", "", 'Lighting Inventory (Ref only)'!Q49)</f>
        <v/>
      </c>
      <c r="C38" s="298" t="str">
        <f>IF(A38="", "", 'Lighting Inventory (Ref only)'!AO49)</f>
        <v/>
      </c>
      <c r="D38" s="370" t="str">
        <f>IF(B38= "","", Inventory!S46)</f>
        <v/>
      </c>
      <c r="E38" s="371"/>
      <c r="F38" s="298" t="str">
        <f>IF(B38="", "", 'Version Log'!$B$34)</f>
        <v/>
      </c>
      <c r="G38" s="298" t="str">
        <f t="shared" si="0"/>
        <v/>
      </c>
      <c r="H38" s="298" t="str">
        <f t="shared" si="1"/>
        <v/>
      </c>
      <c r="I38" s="298" t="str">
        <f>IF(B38="", "",Inventory!D46)</f>
        <v/>
      </c>
      <c r="J38" s="298" t="str">
        <f>IF(B38="","",IF(Inventory!C46="N","Interior","Exterior"))</f>
        <v/>
      </c>
      <c r="K38" s="298" t="str">
        <f t="shared" si="2"/>
        <v/>
      </c>
      <c r="L38" s="298" t="str">
        <f>IF(B38="", "", Inventory!E46)</f>
        <v/>
      </c>
      <c r="M38" s="298" t="str">
        <f>IF(B38="","",IF(Cool_Type=Lookups!$L$9,Cool_Type,IF(Cool_Type=Lookups!$L$10,Cool_Type,IF(Cool_Type=Lookups!$L$11,Cool_Type,IF(Cool_Type=Lookups!L48,Cool_Type,IF('Project Info and Summary'!$C$20="Electric",CONCATENATE(Cool_Type," ",Heating_Type," Heat"),IF('Project Info and Summary'!$C$20="Non-Electric",CONCATENATE(Cool_Type," ",Heating_Type," Heat"),CONCATENATE(Cool_Type," ",Heating_Type))))))))</f>
        <v/>
      </c>
      <c r="N38" s="298" t="str">
        <f t="shared" si="3"/>
        <v/>
      </c>
      <c r="O38" s="298" t="str">
        <f>IF(B38="", "", 'Lighting Inventory (Ref only)'!G49)</f>
        <v/>
      </c>
      <c r="P38" s="298" t="str">
        <f>IF(B38="", "", 'Lighting Inventory (Ref only)'!E49)</f>
        <v/>
      </c>
      <c r="Q38" s="298" t="str">
        <f>IF(B38="", "", 'Lighting Inventory (Ref only)'!J49)</f>
        <v/>
      </c>
      <c r="R38" s="298" t="str">
        <f>IF(B38="", "",'Lighting Inventory (Ref only)'!K49)</f>
        <v/>
      </c>
      <c r="S38" s="372" t="str">
        <f>IF(B38="", "", 'Lighting Inventory (Ref only)'!G49*'Lighting Inventory (Ref only)'!K49/1000)</f>
        <v/>
      </c>
      <c r="T38" s="298" t="str">
        <f>IF(B38="", "", IF('Lighting Inventory (Ref only)'!I49="", "Light Switch",Inventory!H46))</f>
        <v/>
      </c>
      <c r="U38" s="298" t="str">
        <f>IF(B38="", "", 'Lighting Inventory (Ref only)'!Q49)</f>
        <v/>
      </c>
      <c r="V38" s="298" t="str">
        <f>IF(B38="", "", 'Lighting Inventory (Ref only)'!K49)</f>
        <v/>
      </c>
      <c r="W38" s="373" t="str">
        <f>IF(B38="","",('Lighting Inventory (Ref only)'!L49/1000))</f>
        <v/>
      </c>
      <c r="X38" s="298" t="str">
        <f>IF(B38="", "", 'Lighting Inventory (Ref only)'!Q49)</f>
        <v/>
      </c>
      <c r="Y38" s="298" t="str">
        <f>IF(C38="", "", Inventory!N46)</f>
        <v/>
      </c>
      <c r="Z38" s="374" t="str">
        <f>IF(B38="", "", 'Lighting Inventory (Ref only)'!P49)</f>
        <v/>
      </c>
      <c r="AA38" s="372" t="str">
        <f>IF(B38="", "",'Lighting Inventory (Ref only)'!R49/1000)</f>
        <v/>
      </c>
      <c r="AB38" s="372" t="str">
        <f>IF(B38="", "", Inventory!M46)</f>
        <v/>
      </c>
      <c r="AC38" s="374" t="str">
        <f>IF(B38="", "", 'Lighting Inventory (Ref only)'!T49)</f>
        <v/>
      </c>
      <c r="AD38" s="374" t="str">
        <f>IF(C38="", "", 'Lighting Inventory (Ref only)'!AA49)</f>
        <v/>
      </c>
      <c r="AE38" s="375" t="str">
        <f>IF(B38="", "", 'Lighting Inventory (Ref only)'!U49)</f>
        <v/>
      </c>
      <c r="AF38" s="375" t="str">
        <f>IF(B38="", "",'Lighting Inventory (Ref only)'!W49)</f>
        <v/>
      </c>
      <c r="AG38" s="375" t="str">
        <f>IF(B38="", "", 'Lighting Inventory (Ref only)'!V49)</f>
        <v/>
      </c>
      <c r="AH38" s="375" t="str">
        <f>IF(B38="", "",'Lighting Inventory (Ref only)'!Z49)</f>
        <v/>
      </c>
      <c r="AI38" s="375" t="str">
        <f>IF(B38="", "", 'Lighting Inventory (Ref only)'!Y49)</f>
        <v/>
      </c>
      <c r="AJ38" s="375" t="str">
        <f>IF(C38="", "",'Lighting Inventory (Ref only)'!AB49)</f>
        <v/>
      </c>
      <c r="AK38" s="375" t="str">
        <f>IF(B38="", "", 'Lighting Inventory (Ref only)'!AG49)</f>
        <v/>
      </c>
      <c r="AL38" s="375" t="str">
        <f>IF(B38="", "", 'Lighting Inventory (Ref only)'!AD49)</f>
        <v/>
      </c>
      <c r="AM38" s="375" t="str">
        <f>IF(B38="", "", 'Lighting Inventory (Ref only)'!AE49)</f>
        <v/>
      </c>
      <c r="AN38" s="375" t="str">
        <f>IF(B38="", "", 'Lighting Inventory (Ref only)'!AF49)</f>
        <v/>
      </c>
      <c r="AO38" s="375" t="str">
        <f>IF(B38="", "", 'Lighting Inventory (Ref only)'!AG49)</f>
        <v/>
      </c>
    </row>
    <row r="39" spans="1:41">
      <c r="A39" s="298" t="str">
        <f>IF(G39="", "", Lookups!BF41)</f>
        <v/>
      </c>
      <c r="B39" s="298" t="str">
        <f>IF('Lighting Inventory (Ref only)'!Q50="", "", 'Lighting Inventory (Ref only)'!Q50)</f>
        <v/>
      </c>
      <c r="C39" s="298" t="str">
        <f>IF(A39="", "", 'Lighting Inventory (Ref only)'!AO50)</f>
        <v/>
      </c>
      <c r="D39" s="370" t="str">
        <f>IF(B39= "","", Inventory!S47)</f>
        <v/>
      </c>
      <c r="E39" s="371"/>
      <c r="F39" s="298" t="str">
        <f>IF(B39="", "", 'Version Log'!$B$34)</f>
        <v/>
      </c>
      <c r="G39" s="298" t="str">
        <f t="shared" si="0"/>
        <v/>
      </c>
      <c r="H39" s="298" t="str">
        <f t="shared" si="1"/>
        <v/>
      </c>
      <c r="I39" s="298" t="str">
        <f>IF(B39="", "",Inventory!D47)</f>
        <v/>
      </c>
      <c r="J39" s="298" t="str">
        <f>IF(B39="","",IF(Inventory!C47="N","Interior","Exterior"))</f>
        <v/>
      </c>
      <c r="K39" s="298" t="str">
        <f t="shared" si="2"/>
        <v/>
      </c>
      <c r="L39" s="298" t="str">
        <f>IF(B39="", "", Inventory!E47)</f>
        <v/>
      </c>
      <c r="M39" s="298" t="str">
        <f>IF(B39="","",IF(Cool_Type=Lookups!$L$9,Cool_Type,IF(Cool_Type=Lookups!$L$10,Cool_Type,IF(Cool_Type=Lookups!$L$11,Cool_Type,IF(Cool_Type=Lookups!L49,Cool_Type,IF('Project Info and Summary'!$C$20="Electric",CONCATENATE(Cool_Type," ",Heating_Type," Heat"),IF('Project Info and Summary'!$C$20="Non-Electric",CONCATENATE(Cool_Type," ",Heating_Type," Heat"),CONCATENATE(Cool_Type," ",Heating_Type))))))))</f>
        <v/>
      </c>
      <c r="N39" s="298" t="str">
        <f t="shared" si="3"/>
        <v/>
      </c>
      <c r="O39" s="298" t="str">
        <f>IF(B39="", "", 'Lighting Inventory (Ref only)'!G50)</f>
        <v/>
      </c>
      <c r="P39" s="298" t="str">
        <f>IF(B39="", "", 'Lighting Inventory (Ref only)'!E50)</f>
        <v/>
      </c>
      <c r="Q39" s="298" t="str">
        <f>IF(B39="", "", 'Lighting Inventory (Ref only)'!J50)</f>
        <v/>
      </c>
      <c r="R39" s="298" t="str">
        <f>IF(B39="", "",'Lighting Inventory (Ref only)'!K50)</f>
        <v/>
      </c>
      <c r="S39" s="372" t="str">
        <f>IF(B39="", "", 'Lighting Inventory (Ref only)'!G50*'Lighting Inventory (Ref only)'!K50/1000)</f>
        <v/>
      </c>
      <c r="T39" s="298" t="str">
        <f>IF(B39="", "", IF('Lighting Inventory (Ref only)'!I50="", "Light Switch",Inventory!H47))</f>
        <v/>
      </c>
      <c r="U39" s="298" t="str">
        <f>IF(B39="", "", 'Lighting Inventory (Ref only)'!Q50)</f>
        <v/>
      </c>
      <c r="V39" s="298" t="str">
        <f>IF(B39="", "", 'Lighting Inventory (Ref only)'!K50)</f>
        <v/>
      </c>
      <c r="W39" s="373" t="str">
        <f>IF(B39="","",('Lighting Inventory (Ref only)'!L50/1000))</f>
        <v/>
      </c>
      <c r="X39" s="298" t="str">
        <f>IF(B39="", "", 'Lighting Inventory (Ref only)'!Q50)</f>
        <v/>
      </c>
      <c r="Y39" s="298" t="str">
        <f>IF(C39="", "", Inventory!N47)</f>
        <v/>
      </c>
      <c r="Z39" s="374" t="str">
        <f>IF(B39="", "", 'Lighting Inventory (Ref only)'!P50)</f>
        <v/>
      </c>
      <c r="AA39" s="372" t="str">
        <f>IF(B39="", "",'Lighting Inventory (Ref only)'!R50/1000)</f>
        <v/>
      </c>
      <c r="AB39" s="372" t="str">
        <f>IF(B39="", "", Inventory!M47)</f>
        <v/>
      </c>
      <c r="AC39" s="374" t="str">
        <f>IF(B39="", "", 'Lighting Inventory (Ref only)'!T50)</f>
        <v/>
      </c>
      <c r="AD39" s="374" t="str">
        <f>IF(C39="", "", 'Lighting Inventory (Ref only)'!AA50)</f>
        <v/>
      </c>
      <c r="AE39" s="375" t="str">
        <f>IF(B39="", "", 'Lighting Inventory (Ref only)'!U50)</f>
        <v/>
      </c>
      <c r="AF39" s="375" t="str">
        <f>IF(B39="", "",'Lighting Inventory (Ref only)'!W50)</f>
        <v/>
      </c>
      <c r="AG39" s="375" t="str">
        <f>IF(B39="", "", 'Lighting Inventory (Ref only)'!V50)</f>
        <v/>
      </c>
      <c r="AH39" s="375" t="str">
        <f>IF(B39="", "",'Lighting Inventory (Ref only)'!Z50)</f>
        <v/>
      </c>
      <c r="AI39" s="375" t="str">
        <f>IF(B39="", "", 'Lighting Inventory (Ref only)'!Y50)</f>
        <v/>
      </c>
      <c r="AJ39" s="375" t="str">
        <f>IF(C39="", "",'Lighting Inventory (Ref only)'!AB50)</f>
        <v/>
      </c>
      <c r="AK39" s="375" t="str">
        <f>IF(B39="", "", 'Lighting Inventory (Ref only)'!AG50)</f>
        <v/>
      </c>
      <c r="AL39" s="375" t="str">
        <f>IF(B39="", "", 'Lighting Inventory (Ref only)'!AD50)</f>
        <v/>
      </c>
      <c r="AM39" s="375" t="str">
        <f>IF(B39="", "", 'Lighting Inventory (Ref only)'!AE50)</f>
        <v/>
      </c>
      <c r="AN39" s="375" t="str">
        <f>IF(B39="", "", 'Lighting Inventory (Ref only)'!AF50)</f>
        <v/>
      </c>
      <c r="AO39" s="375" t="str">
        <f>IF(B39="", "", 'Lighting Inventory (Ref only)'!AG50)</f>
        <v/>
      </c>
    </row>
    <row r="40" spans="1:41">
      <c r="A40" s="298" t="str">
        <f>IF(G40="", "", Lookups!BF42)</f>
        <v/>
      </c>
      <c r="B40" s="298" t="str">
        <f>IF('Lighting Inventory (Ref only)'!Q51="", "", 'Lighting Inventory (Ref only)'!Q51)</f>
        <v/>
      </c>
      <c r="C40" s="298" t="str">
        <f>IF(A40="", "", 'Lighting Inventory (Ref only)'!AO51)</f>
        <v/>
      </c>
      <c r="D40" s="370" t="str">
        <f>IF(B40= "","", Inventory!S48)</f>
        <v/>
      </c>
      <c r="E40" s="371"/>
      <c r="F40" s="298" t="str">
        <f>IF(B40="", "", 'Version Log'!$B$34)</f>
        <v/>
      </c>
      <c r="G40" s="298" t="str">
        <f t="shared" si="0"/>
        <v/>
      </c>
      <c r="H40" s="298" t="str">
        <f t="shared" si="1"/>
        <v/>
      </c>
      <c r="I40" s="298" t="str">
        <f>IF(B40="", "",Inventory!D48)</f>
        <v/>
      </c>
      <c r="J40" s="298" t="str">
        <f>IF(B40="","",IF(Inventory!C48="N","Interior","Exterior"))</f>
        <v/>
      </c>
      <c r="K40" s="298" t="str">
        <f t="shared" si="2"/>
        <v/>
      </c>
      <c r="L40" s="298" t="str">
        <f>IF(B40="", "", Inventory!E48)</f>
        <v/>
      </c>
      <c r="M40" s="298" t="str">
        <f>IF(B40="","",IF(Cool_Type=Lookups!$L$9,Cool_Type,IF(Cool_Type=Lookups!$L$10,Cool_Type,IF(Cool_Type=Lookups!$L$11,Cool_Type,IF(Cool_Type=Lookups!L50,Cool_Type,IF('Project Info and Summary'!$C$20="Electric",CONCATENATE(Cool_Type," ",Heating_Type," Heat"),IF('Project Info and Summary'!$C$20="Non-Electric",CONCATENATE(Cool_Type," ",Heating_Type," Heat"),CONCATENATE(Cool_Type," ",Heating_Type))))))))</f>
        <v/>
      </c>
      <c r="N40" s="298" t="str">
        <f t="shared" si="3"/>
        <v/>
      </c>
      <c r="O40" s="298" t="str">
        <f>IF(B40="", "", 'Lighting Inventory (Ref only)'!G51)</f>
        <v/>
      </c>
      <c r="P40" s="298" t="str">
        <f>IF(B40="", "", 'Lighting Inventory (Ref only)'!E51)</f>
        <v/>
      </c>
      <c r="Q40" s="298" t="str">
        <f>IF(B40="", "", 'Lighting Inventory (Ref only)'!J51)</f>
        <v/>
      </c>
      <c r="R40" s="298" t="str">
        <f>IF(B40="", "",'Lighting Inventory (Ref only)'!K51)</f>
        <v/>
      </c>
      <c r="S40" s="372" t="str">
        <f>IF(B40="", "", 'Lighting Inventory (Ref only)'!G51*'Lighting Inventory (Ref only)'!K51/1000)</f>
        <v/>
      </c>
      <c r="T40" s="298" t="str">
        <f>IF(B40="", "", IF('Lighting Inventory (Ref only)'!I51="", "Light Switch",Inventory!H48))</f>
        <v/>
      </c>
      <c r="U40" s="298" t="str">
        <f>IF(B40="", "", 'Lighting Inventory (Ref only)'!Q51)</f>
        <v/>
      </c>
      <c r="V40" s="298" t="str">
        <f>IF(B40="", "", 'Lighting Inventory (Ref only)'!K51)</f>
        <v/>
      </c>
      <c r="W40" s="373" t="str">
        <f>IF(B40="","",('Lighting Inventory (Ref only)'!L51/1000))</f>
        <v/>
      </c>
      <c r="X40" s="298" t="str">
        <f>IF(B40="", "", 'Lighting Inventory (Ref only)'!Q51)</f>
        <v/>
      </c>
      <c r="Y40" s="298" t="str">
        <f>IF(C40="", "", Inventory!N48)</f>
        <v/>
      </c>
      <c r="Z40" s="374" t="str">
        <f>IF(B40="", "", 'Lighting Inventory (Ref only)'!P51)</f>
        <v/>
      </c>
      <c r="AA40" s="372" t="str">
        <f>IF(B40="", "",'Lighting Inventory (Ref only)'!R51/1000)</f>
        <v/>
      </c>
      <c r="AB40" s="372" t="str">
        <f>IF(B40="", "", Inventory!M48)</f>
        <v/>
      </c>
      <c r="AC40" s="374" t="str">
        <f>IF(B40="", "", 'Lighting Inventory (Ref only)'!T51)</f>
        <v/>
      </c>
      <c r="AD40" s="374" t="str">
        <f>IF(C40="", "", 'Lighting Inventory (Ref only)'!AA51)</f>
        <v/>
      </c>
      <c r="AE40" s="375" t="str">
        <f>IF(B40="", "", 'Lighting Inventory (Ref only)'!U51)</f>
        <v/>
      </c>
      <c r="AF40" s="375" t="str">
        <f>IF(B40="", "",'Lighting Inventory (Ref only)'!W51)</f>
        <v/>
      </c>
      <c r="AG40" s="375" t="str">
        <f>IF(B40="", "", 'Lighting Inventory (Ref only)'!V51)</f>
        <v/>
      </c>
      <c r="AH40" s="375" t="str">
        <f>IF(B40="", "",'Lighting Inventory (Ref only)'!Z51)</f>
        <v/>
      </c>
      <c r="AI40" s="375" t="str">
        <f>IF(B40="", "", 'Lighting Inventory (Ref only)'!Y51)</f>
        <v/>
      </c>
      <c r="AJ40" s="375" t="str">
        <f>IF(C40="", "",'Lighting Inventory (Ref only)'!AB51)</f>
        <v/>
      </c>
      <c r="AK40" s="375" t="str">
        <f>IF(B40="", "", 'Lighting Inventory (Ref only)'!AG51)</f>
        <v/>
      </c>
      <c r="AL40" s="375" t="str">
        <f>IF(B40="", "", 'Lighting Inventory (Ref only)'!AD51)</f>
        <v/>
      </c>
      <c r="AM40" s="375" t="str">
        <f>IF(B40="", "", 'Lighting Inventory (Ref only)'!AE51)</f>
        <v/>
      </c>
      <c r="AN40" s="375" t="str">
        <f>IF(B40="", "", 'Lighting Inventory (Ref only)'!AF51)</f>
        <v/>
      </c>
      <c r="AO40" s="375" t="str">
        <f>IF(B40="", "", 'Lighting Inventory (Ref only)'!AG51)</f>
        <v/>
      </c>
    </row>
    <row r="41" spans="1:41">
      <c r="A41" s="298" t="str">
        <f>IF(G41="", "", Lookups!BF43)</f>
        <v/>
      </c>
      <c r="B41" s="298" t="str">
        <f>IF('Lighting Inventory (Ref only)'!Q52="", "", 'Lighting Inventory (Ref only)'!Q52)</f>
        <v/>
      </c>
      <c r="C41" s="298" t="str">
        <f>IF(A41="", "", 'Lighting Inventory (Ref only)'!AO52)</f>
        <v/>
      </c>
      <c r="D41" s="370" t="str">
        <f>IF(B41= "","", Inventory!S49)</f>
        <v/>
      </c>
      <c r="E41" s="371"/>
      <c r="F41" s="298" t="str">
        <f>IF(B41="", "", 'Version Log'!$B$34)</f>
        <v/>
      </c>
      <c r="G41" s="298" t="str">
        <f t="shared" si="0"/>
        <v/>
      </c>
      <c r="H41" s="298" t="str">
        <f t="shared" si="1"/>
        <v/>
      </c>
      <c r="I41" s="298" t="str">
        <f>IF(B41="", "",Inventory!D49)</f>
        <v/>
      </c>
      <c r="J41" s="298" t="str">
        <f>IF(B41="","",IF(Inventory!C49="N","Interior","Exterior"))</f>
        <v/>
      </c>
      <c r="K41" s="298" t="str">
        <f t="shared" si="2"/>
        <v/>
      </c>
      <c r="L41" s="298" t="str">
        <f>IF(B41="", "", Inventory!E49)</f>
        <v/>
      </c>
      <c r="M41" s="298" t="str">
        <f>IF(B41="","",IF(Cool_Type=Lookups!$L$9,Cool_Type,IF(Cool_Type=Lookups!$L$10,Cool_Type,IF(Cool_Type=Lookups!$L$11,Cool_Type,IF(Cool_Type=Lookups!L51,Cool_Type,IF('Project Info and Summary'!$C$20="Electric",CONCATENATE(Cool_Type," ",Heating_Type," Heat"),IF('Project Info and Summary'!$C$20="Non-Electric",CONCATENATE(Cool_Type," ",Heating_Type," Heat"),CONCATENATE(Cool_Type," ",Heating_Type))))))))</f>
        <v/>
      </c>
      <c r="N41" s="298" t="str">
        <f t="shared" si="3"/>
        <v/>
      </c>
      <c r="O41" s="298" t="str">
        <f>IF(B41="", "", 'Lighting Inventory (Ref only)'!G52)</f>
        <v/>
      </c>
      <c r="P41" s="298" t="str">
        <f>IF(B41="", "", 'Lighting Inventory (Ref only)'!E52)</f>
        <v/>
      </c>
      <c r="Q41" s="298" t="str">
        <f>IF(B41="", "", 'Lighting Inventory (Ref only)'!J52)</f>
        <v/>
      </c>
      <c r="R41" s="298" t="str">
        <f>IF(B41="", "",'Lighting Inventory (Ref only)'!K52)</f>
        <v/>
      </c>
      <c r="S41" s="372" t="str">
        <f>IF(B41="", "", 'Lighting Inventory (Ref only)'!G52*'Lighting Inventory (Ref only)'!K52/1000)</f>
        <v/>
      </c>
      <c r="T41" s="298" t="str">
        <f>IF(B41="", "", IF('Lighting Inventory (Ref only)'!I52="", "Light Switch",Inventory!H49))</f>
        <v/>
      </c>
      <c r="U41" s="298" t="str">
        <f>IF(B41="", "", 'Lighting Inventory (Ref only)'!Q52)</f>
        <v/>
      </c>
      <c r="V41" s="298" t="str">
        <f>IF(B41="", "", 'Lighting Inventory (Ref only)'!K52)</f>
        <v/>
      </c>
      <c r="W41" s="373" t="str">
        <f>IF(B41="","",('Lighting Inventory (Ref only)'!L52/1000))</f>
        <v/>
      </c>
      <c r="X41" s="298" t="str">
        <f>IF(B41="", "", 'Lighting Inventory (Ref only)'!Q52)</f>
        <v/>
      </c>
      <c r="Y41" s="298" t="str">
        <f>IF(C41="", "", Inventory!N49)</f>
        <v/>
      </c>
      <c r="Z41" s="374" t="str">
        <f>IF(B41="", "", 'Lighting Inventory (Ref only)'!P52)</f>
        <v/>
      </c>
      <c r="AA41" s="372" t="str">
        <f>IF(B41="", "",'Lighting Inventory (Ref only)'!R52/1000)</f>
        <v/>
      </c>
      <c r="AB41" s="372" t="str">
        <f>IF(B41="", "", Inventory!M49)</f>
        <v/>
      </c>
      <c r="AC41" s="374" t="str">
        <f>IF(B41="", "", 'Lighting Inventory (Ref only)'!T52)</f>
        <v/>
      </c>
      <c r="AD41" s="374" t="str">
        <f>IF(C41="", "", 'Lighting Inventory (Ref only)'!AA52)</f>
        <v/>
      </c>
      <c r="AE41" s="375" t="str">
        <f>IF(B41="", "", 'Lighting Inventory (Ref only)'!U52)</f>
        <v/>
      </c>
      <c r="AF41" s="375" t="str">
        <f>IF(B41="", "",'Lighting Inventory (Ref only)'!W52)</f>
        <v/>
      </c>
      <c r="AG41" s="375" t="str">
        <f>IF(B41="", "", 'Lighting Inventory (Ref only)'!V52)</f>
        <v/>
      </c>
      <c r="AH41" s="375" t="str">
        <f>IF(B41="", "",'Lighting Inventory (Ref only)'!Z52)</f>
        <v/>
      </c>
      <c r="AI41" s="375" t="str">
        <f>IF(B41="", "", 'Lighting Inventory (Ref only)'!Y52)</f>
        <v/>
      </c>
      <c r="AJ41" s="375" t="str">
        <f>IF(C41="", "",'Lighting Inventory (Ref only)'!AB52)</f>
        <v/>
      </c>
      <c r="AK41" s="375" t="str">
        <f>IF(B41="", "", 'Lighting Inventory (Ref only)'!AG52)</f>
        <v/>
      </c>
      <c r="AL41" s="375" t="str">
        <f>IF(B41="", "", 'Lighting Inventory (Ref only)'!AD52)</f>
        <v/>
      </c>
      <c r="AM41" s="375" t="str">
        <f>IF(B41="", "", 'Lighting Inventory (Ref only)'!AE52)</f>
        <v/>
      </c>
      <c r="AN41" s="375" t="str">
        <f>IF(B41="", "", 'Lighting Inventory (Ref only)'!AF52)</f>
        <v/>
      </c>
      <c r="AO41" s="375" t="str">
        <f>IF(B41="", "", 'Lighting Inventory (Ref only)'!AG52)</f>
        <v/>
      </c>
    </row>
    <row r="42" spans="1:41">
      <c r="A42" s="298" t="str">
        <f>IF(G42="", "", Lookups!BF44)</f>
        <v/>
      </c>
      <c r="B42" s="298" t="str">
        <f>IF('Lighting Inventory (Ref only)'!Q53="", "", 'Lighting Inventory (Ref only)'!Q53)</f>
        <v/>
      </c>
      <c r="C42" s="298" t="str">
        <f>IF(A42="", "", 'Lighting Inventory (Ref only)'!AO53)</f>
        <v/>
      </c>
      <c r="D42" s="370" t="str">
        <f>IF(B42= "","", Inventory!S50)</f>
        <v/>
      </c>
      <c r="E42" s="371"/>
      <c r="F42" s="298" t="str">
        <f>IF(B42="", "", 'Version Log'!$B$34)</f>
        <v/>
      </c>
      <c r="G42" s="298" t="str">
        <f t="shared" si="0"/>
        <v/>
      </c>
      <c r="H42" s="298" t="str">
        <f t="shared" si="1"/>
        <v/>
      </c>
      <c r="I42" s="298" t="str">
        <f>IF(B42="", "",Inventory!D50)</f>
        <v/>
      </c>
      <c r="J42" s="298" t="str">
        <f>IF(B42="","",IF(Inventory!C50="N","Interior","Exterior"))</f>
        <v/>
      </c>
      <c r="K42" s="298" t="str">
        <f t="shared" si="2"/>
        <v/>
      </c>
      <c r="L42" s="298" t="str">
        <f>IF(B42="", "", Inventory!E50)</f>
        <v/>
      </c>
      <c r="M42" s="298" t="str">
        <f>IF(B42="","",IF(Cool_Type=Lookups!$L$9,Cool_Type,IF(Cool_Type=Lookups!$L$10,Cool_Type,IF(Cool_Type=Lookups!$L$11,Cool_Type,IF(Cool_Type=Lookups!L52,Cool_Type,IF('Project Info and Summary'!$C$20="Electric",CONCATENATE(Cool_Type," ",Heating_Type," Heat"),IF('Project Info and Summary'!$C$20="Non-Electric",CONCATENATE(Cool_Type," ",Heating_Type," Heat"),CONCATENATE(Cool_Type," ",Heating_Type))))))))</f>
        <v/>
      </c>
      <c r="N42" s="298" t="str">
        <f t="shared" si="3"/>
        <v/>
      </c>
      <c r="O42" s="298" t="str">
        <f>IF(B42="", "", 'Lighting Inventory (Ref only)'!G53)</f>
        <v/>
      </c>
      <c r="P42" s="298" t="str">
        <f>IF(B42="", "", 'Lighting Inventory (Ref only)'!E53)</f>
        <v/>
      </c>
      <c r="Q42" s="298" t="str">
        <f>IF(B42="", "", 'Lighting Inventory (Ref only)'!J53)</f>
        <v/>
      </c>
      <c r="R42" s="298" t="str">
        <f>IF(B42="", "",'Lighting Inventory (Ref only)'!K53)</f>
        <v/>
      </c>
      <c r="S42" s="372" t="str">
        <f>IF(B42="", "", 'Lighting Inventory (Ref only)'!G53*'Lighting Inventory (Ref only)'!K53/1000)</f>
        <v/>
      </c>
      <c r="T42" s="298" t="str">
        <f>IF(B42="", "", IF('Lighting Inventory (Ref only)'!I53="", "Light Switch",Inventory!H50))</f>
        <v/>
      </c>
      <c r="U42" s="298" t="str">
        <f>IF(B42="", "", 'Lighting Inventory (Ref only)'!Q53)</f>
        <v/>
      </c>
      <c r="V42" s="298" t="str">
        <f>IF(B42="", "", 'Lighting Inventory (Ref only)'!K53)</f>
        <v/>
      </c>
      <c r="W42" s="373" t="str">
        <f>IF(B42="","",('Lighting Inventory (Ref only)'!L53/1000))</f>
        <v/>
      </c>
      <c r="X42" s="298" t="str">
        <f>IF(B42="", "", 'Lighting Inventory (Ref only)'!Q53)</f>
        <v/>
      </c>
      <c r="Y42" s="298" t="str">
        <f>IF(C42="", "", Inventory!N50)</f>
        <v/>
      </c>
      <c r="Z42" s="374" t="str">
        <f>IF(B42="", "", 'Lighting Inventory (Ref only)'!P53)</f>
        <v/>
      </c>
      <c r="AA42" s="372" t="str">
        <f>IF(B42="", "",'Lighting Inventory (Ref only)'!R53/1000)</f>
        <v/>
      </c>
      <c r="AB42" s="372" t="str">
        <f>IF(B42="", "", Inventory!M50)</f>
        <v/>
      </c>
      <c r="AC42" s="374" t="str">
        <f>IF(B42="", "", 'Lighting Inventory (Ref only)'!T53)</f>
        <v/>
      </c>
      <c r="AD42" s="374" t="str">
        <f>IF(C42="", "", 'Lighting Inventory (Ref only)'!AA53)</f>
        <v/>
      </c>
      <c r="AE42" s="375" t="str">
        <f>IF(B42="", "", 'Lighting Inventory (Ref only)'!U53)</f>
        <v/>
      </c>
      <c r="AF42" s="375" t="str">
        <f>IF(B42="", "",'Lighting Inventory (Ref only)'!W53)</f>
        <v/>
      </c>
      <c r="AG42" s="375" t="str">
        <f>IF(B42="", "", 'Lighting Inventory (Ref only)'!V53)</f>
        <v/>
      </c>
      <c r="AH42" s="375" t="str">
        <f>IF(B42="", "",'Lighting Inventory (Ref only)'!Z53)</f>
        <v/>
      </c>
      <c r="AI42" s="375" t="str">
        <f>IF(B42="", "", 'Lighting Inventory (Ref only)'!Y53)</f>
        <v/>
      </c>
      <c r="AJ42" s="375" t="str">
        <f>IF(C42="", "",'Lighting Inventory (Ref only)'!AB53)</f>
        <v/>
      </c>
      <c r="AK42" s="375" t="str">
        <f>IF(B42="", "", 'Lighting Inventory (Ref only)'!AG53)</f>
        <v/>
      </c>
      <c r="AL42" s="375" t="str">
        <f>IF(B42="", "", 'Lighting Inventory (Ref only)'!AD53)</f>
        <v/>
      </c>
      <c r="AM42" s="375" t="str">
        <f>IF(B42="", "", 'Lighting Inventory (Ref only)'!AE53)</f>
        <v/>
      </c>
      <c r="AN42" s="375" t="str">
        <f>IF(B42="", "", 'Lighting Inventory (Ref only)'!AF53)</f>
        <v/>
      </c>
      <c r="AO42" s="375" t="str">
        <f>IF(B42="", "", 'Lighting Inventory (Ref only)'!AG53)</f>
        <v/>
      </c>
    </row>
    <row r="43" spans="1:41">
      <c r="A43" s="298" t="str">
        <f>IF(G43="", "", Lookups!BF45)</f>
        <v/>
      </c>
      <c r="B43" s="298" t="str">
        <f>IF('Lighting Inventory (Ref only)'!Q54="", "", 'Lighting Inventory (Ref only)'!Q54)</f>
        <v/>
      </c>
      <c r="C43" s="298" t="str">
        <f>IF(A43="", "", 'Lighting Inventory (Ref only)'!AO54)</f>
        <v/>
      </c>
      <c r="D43" s="370" t="str">
        <f>IF(B43= "","", Inventory!S51)</f>
        <v/>
      </c>
      <c r="E43" s="371"/>
      <c r="F43" s="298" t="str">
        <f>IF(B43="", "", 'Version Log'!$B$34)</f>
        <v/>
      </c>
      <c r="G43" s="298" t="str">
        <f t="shared" si="0"/>
        <v/>
      </c>
      <c r="H43" s="298" t="str">
        <f t="shared" si="1"/>
        <v/>
      </c>
      <c r="I43" s="298" t="str">
        <f>IF(B43="", "",Inventory!D51)</f>
        <v/>
      </c>
      <c r="J43" s="298" t="str">
        <f>IF(B43="","",IF(Inventory!C51="N","Interior","Exterior"))</f>
        <v/>
      </c>
      <c r="K43" s="298" t="str">
        <f t="shared" si="2"/>
        <v/>
      </c>
      <c r="L43" s="298" t="str">
        <f>IF(B43="", "", Inventory!E51)</f>
        <v/>
      </c>
      <c r="M43" s="298" t="str">
        <f>IF(B43="","",IF(Cool_Type=Lookups!$L$9,Cool_Type,IF(Cool_Type=Lookups!$L$10,Cool_Type,IF(Cool_Type=Lookups!$L$11,Cool_Type,IF(Cool_Type=Lookups!L53,Cool_Type,IF('Project Info and Summary'!$C$20="Electric",CONCATENATE(Cool_Type," ",Heating_Type," Heat"),IF('Project Info and Summary'!$C$20="Non-Electric",CONCATENATE(Cool_Type," ",Heating_Type," Heat"),CONCATENATE(Cool_Type," ",Heating_Type))))))))</f>
        <v/>
      </c>
      <c r="N43" s="298" t="str">
        <f t="shared" si="3"/>
        <v/>
      </c>
      <c r="O43" s="298" t="str">
        <f>IF(B43="", "", 'Lighting Inventory (Ref only)'!G54)</f>
        <v/>
      </c>
      <c r="P43" s="298" t="str">
        <f>IF(B43="", "", 'Lighting Inventory (Ref only)'!E54)</f>
        <v/>
      </c>
      <c r="Q43" s="298" t="str">
        <f>IF(B43="", "", 'Lighting Inventory (Ref only)'!J54)</f>
        <v/>
      </c>
      <c r="R43" s="298" t="str">
        <f>IF(B43="", "",'Lighting Inventory (Ref only)'!K54)</f>
        <v/>
      </c>
      <c r="S43" s="372" t="str">
        <f>IF(B43="", "", 'Lighting Inventory (Ref only)'!G54*'Lighting Inventory (Ref only)'!K54/1000)</f>
        <v/>
      </c>
      <c r="T43" s="298" t="str">
        <f>IF(B43="", "", IF('Lighting Inventory (Ref only)'!I54="", "Light Switch",Inventory!H51))</f>
        <v/>
      </c>
      <c r="U43" s="298" t="str">
        <f>IF(B43="", "", 'Lighting Inventory (Ref only)'!Q54)</f>
        <v/>
      </c>
      <c r="V43" s="298" t="str">
        <f>IF(B43="", "", 'Lighting Inventory (Ref only)'!K54)</f>
        <v/>
      </c>
      <c r="W43" s="373" t="str">
        <f>IF(B43="","",('Lighting Inventory (Ref only)'!L54/1000))</f>
        <v/>
      </c>
      <c r="X43" s="298" t="str">
        <f>IF(B43="", "", 'Lighting Inventory (Ref only)'!Q54)</f>
        <v/>
      </c>
      <c r="Y43" s="298" t="str">
        <f>IF(C43="", "", Inventory!N51)</f>
        <v/>
      </c>
      <c r="Z43" s="374" t="str">
        <f>IF(B43="", "", 'Lighting Inventory (Ref only)'!P54)</f>
        <v/>
      </c>
      <c r="AA43" s="372" t="str">
        <f>IF(B43="", "",'Lighting Inventory (Ref only)'!R54/1000)</f>
        <v/>
      </c>
      <c r="AB43" s="372" t="str">
        <f>IF(B43="", "", Inventory!M51)</f>
        <v/>
      </c>
      <c r="AC43" s="374" t="str">
        <f>IF(B43="", "", 'Lighting Inventory (Ref only)'!T54)</f>
        <v/>
      </c>
      <c r="AD43" s="374" t="str">
        <f>IF(C43="", "", 'Lighting Inventory (Ref only)'!AA54)</f>
        <v/>
      </c>
      <c r="AE43" s="375" t="str">
        <f>IF(B43="", "", 'Lighting Inventory (Ref only)'!U54)</f>
        <v/>
      </c>
      <c r="AF43" s="375" t="str">
        <f>IF(B43="", "",'Lighting Inventory (Ref only)'!W54)</f>
        <v/>
      </c>
      <c r="AG43" s="375" t="str">
        <f>IF(B43="", "", 'Lighting Inventory (Ref only)'!V54)</f>
        <v/>
      </c>
      <c r="AH43" s="375" t="str">
        <f>IF(B43="", "",'Lighting Inventory (Ref only)'!Z54)</f>
        <v/>
      </c>
      <c r="AI43" s="375" t="str">
        <f>IF(B43="", "", 'Lighting Inventory (Ref only)'!Y54)</f>
        <v/>
      </c>
      <c r="AJ43" s="375" t="str">
        <f>IF(C43="", "",'Lighting Inventory (Ref only)'!AB54)</f>
        <v/>
      </c>
      <c r="AK43" s="375" t="str">
        <f>IF(B43="", "", 'Lighting Inventory (Ref only)'!AG54)</f>
        <v/>
      </c>
      <c r="AL43" s="375" t="str">
        <f>IF(B43="", "", 'Lighting Inventory (Ref only)'!AD54)</f>
        <v/>
      </c>
      <c r="AM43" s="375" t="str">
        <f>IF(B43="", "", 'Lighting Inventory (Ref only)'!AE54)</f>
        <v/>
      </c>
      <c r="AN43" s="375" t="str">
        <f>IF(B43="", "", 'Lighting Inventory (Ref only)'!AF54)</f>
        <v/>
      </c>
      <c r="AO43" s="375" t="str">
        <f>IF(B43="", "", 'Lighting Inventory (Ref only)'!AG54)</f>
        <v/>
      </c>
    </row>
    <row r="44" spans="1:41">
      <c r="A44" s="298" t="str">
        <f>IF(G44="", "", Lookups!BF46)</f>
        <v/>
      </c>
      <c r="B44" s="298" t="str">
        <f>IF('Lighting Inventory (Ref only)'!Q55="", "", 'Lighting Inventory (Ref only)'!Q55)</f>
        <v/>
      </c>
      <c r="C44" s="298" t="str">
        <f>IF(A44="", "", 'Lighting Inventory (Ref only)'!AO55)</f>
        <v/>
      </c>
      <c r="D44" s="370" t="str">
        <f>IF(B44= "","", Inventory!S52)</f>
        <v/>
      </c>
      <c r="E44" s="371"/>
      <c r="F44" s="298" t="str">
        <f>IF(B44="", "", 'Version Log'!$B$34)</f>
        <v/>
      </c>
      <c r="G44" s="298" t="str">
        <f t="shared" si="0"/>
        <v/>
      </c>
      <c r="H44" s="298" t="str">
        <f t="shared" si="1"/>
        <v/>
      </c>
      <c r="I44" s="298" t="str">
        <f>IF(B44="", "",Inventory!D52)</f>
        <v/>
      </c>
      <c r="J44" s="298" t="str">
        <f>IF(B44="","",IF(Inventory!C52="N","Interior","Exterior"))</f>
        <v/>
      </c>
      <c r="K44" s="298" t="str">
        <f t="shared" si="2"/>
        <v/>
      </c>
      <c r="L44" s="298" t="str">
        <f>IF(B44="", "", Inventory!E52)</f>
        <v/>
      </c>
      <c r="M44" s="298" t="str">
        <f>IF(B44="","",IF(Cool_Type=Lookups!$L$9,Cool_Type,IF(Cool_Type=Lookups!$L$10,Cool_Type,IF(Cool_Type=Lookups!$L$11,Cool_Type,IF(Cool_Type=Lookups!L54,Cool_Type,IF('Project Info and Summary'!$C$20="Electric",CONCATENATE(Cool_Type," ",Heating_Type," Heat"),IF('Project Info and Summary'!$C$20="Non-Electric",CONCATENATE(Cool_Type," ",Heating_Type," Heat"),CONCATENATE(Cool_Type," ",Heating_Type))))))))</f>
        <v/>
      </c>
      <c r="N44" s="298" t="str">
        <f t="shared" si="3"/>
        <v/>
      </c>
      <c r="O44" s="298" t="str">
        <f>IF(B44="", "", 'Lighting Inventory (Ref only)'!G55)</f>
        <v/>
      </c>
      <c r="P44" s="298" t="str">
        <f>IF(B44="", "", 'Lighting Inventory (Ref only)'!E55)</f>
        <v/>
      </c>
      <c r="Q44" s="298" t="str">
        <f>IF(B44="", "", 'Lighting Inventory (Ref only)'!J55)</f>
        <v/>
      </c>
      <c r="R44" s="298" t="str">
        <f>IF(B44="", "",'Lighting Inventory (Ref only)'!K55)</f>
        <v/>
      </c>
      <c r="S44" s="372" t="str">
        <f>IF(B44="", "", 'Lighting Inventory (Ref only)'!G55*'Lighting Inventory (Ref only)'!K55/1000)</f>
        <v/>
      </c>
      <c r="T44" s="298" t="str">
        <f>IF(B44="", "", IF('Lighting Inventory (Ref only)'!I55="", "Light Switch",Inventory!H52))</f>
        <v/>
      </c>
      <c r="U44" s="298" t="str">
        <f>IF(B44="", "", 'Lighting Inventory (Ref only)'!Q55)</f>
        <v/>
      </c>
      <c r="V44" s="298" t="str">
        <f>IF(B44="", "", 'Lighting Inventory (Ref only)'!K55)</f>
        <v/>
      </c>
      <c r="W44" s="373" t="str">
        <f>IF(B44="","",('Lighting Inventory (Ref only)'!L55/1000))</f>
        <v/>
      </c>
      <c r="X44" s="298" t="str">
        <f>IF(B44="", "", 'Lighting Inventory (Ref only)'!Q55)</f>
        <v/>
      </c>
      <c r="Y44" s="298" t="str">
        <f>IF(C44="", "", Inventory!N52)</f>
        <v/>
      </c>
      <c r="Z44" s="374" t="str">
        <f>IF(B44="", "", 'Lighting Inventory (Ref only)'!P55)</f>
        <v/>
      </c>
      <c r="AA44" s="372" t="str">
        <f>IF(B44="", "",'Lighting Inventory (Ref only)'!R55/1000)</f>
        <v/>
      </c>
      <c r="AB44" s="372" t="str">
        <f>IF(B44="", "", Inventory!M52)</f>
        <v/>
      </c>
      <c r="AC44" s="374" t="str">
        <f>IF(B44="", "", 'Lighting Inventory (Ref only)'!T55)</f>
        <v/>
      </c>
      <c r="AD44" s="374" t="str">
        <f>IF(C44="", "", 'Lighting Inventory (Ref only)'!AA55)</f>
        <v/>
      </c>
      <c r="AE44" s="375" t="str">
        <f>IF(B44="", "", 'Lighting Inventory (Ref only)'!U55)</f>
        <v/>
      </c>
      <c r="AF44" s="375" t="str">
        <f>IF(B44="", "",'Lighting Inventory (Ref only)'!W55)</f>
        <v/>
      </c>
      <c r="AG44" s="375" t="str">
        <f>IF(B44="", "", 'Lighting Inventory (Ref only)'!V55)</f>
        <v/>
      </c>
      <c r="AH44" s="375" t="str">
        <f>IF(B44="", "",'Lighting Inventory (Ref only)'!Z55)</f>
        <v/>
      </c>
      <c r="AI44" s="375" t="str">
        <f>IF(B44="", "", 'Lighting Inventory (Ref only)'!Y55)</f>
        <v/>
      </c>
      <c r="AJ44" s="375" t="str">
        <f>IF(C44="", "",'Lighting Inventory (Ref only)'!AB55)</f>
        <v/>
      </c>
      <c r="AK44" s="375" t="str">
        <f>IF(B44="", "", 'Lighting Inventory (Ref only)'!AG55)</f>
        <v/>
      </c>
      <c r="AL44" s="375" t="str">
        <f>IF(B44="", "", 'Lighting Inventory (Ref only)'!AD55)</f>
        <v/>
      </c>
      <c r="AM44" s="375" t="str">
        <f>IF(B44="", "", 'Lighting Inventory (Ref only)'!AE55)</f>
        <v/>
      </c>
      <c r="AN44" s="375" t="str">
        <f>IF(B44="", "", 'Lighting Inventory (Ref only)'!AF55)</f>
        <v/>
      </c>
      <c r="AO44" s="375" t="str">
        <f>IF(B44="", "", 'Lighting Inventory (Ref only)'!AG55)</f>
        <v/>
      </c>
    </row>
    <row r="45" spans="1:41">
      <c r="A45" s="298" t="str">
        <f>IF(G45="", "", Lookups!BF47)</f>
        <v/>
      </c>
      <c r="B45" s="298" t="str">
        <f>IF('Lighting Inventory (Ref only)'!Q56="", "", 'Lighting Inventory (Ref only)'!Q56)</f>
        <v/>
      </c>
      <c r="C45" s="298" t="str">
        <f>IF(A45="", "", 'Lighting Inventory (Ref only)'!AO56)</f>
        <v/>
      </c>
      <c r="D45" s="370" t="str">
        <f>IF(B45= "","", Inventory!S53)</f>
        <v/>
      </c>
      <c r="E45" s="371"/>
      <c r="F45" s="298" t="str">
        <f>IF(B45="", "", 'Version Log'!$B$34)</f>
        <v/>
      </c>
      <c r="G45" s="298" t="str">
        <f t="shared" si="0"/>
        <v/>
      </c>
      <c r="H45" s="298" t="str">
        <f t="shared" si="1"/>
        <v/>
      </c>
      <c r="I45" s="298" t="str">
        <f>IF(B45="", "",Inventory!D53)</f>
        <v/>
      </c>
      <c r="J45" s="298" t="str">
        <f>IF(B45="","",IF(Inventory!C53="N","Interior","Exterior"))</f>
        <v/>
      </c>
      <c r="K45" s="298" t="str">
        <f t="shared" si="2"/>
        <v/>
      </c>
      <c r="L45" s="298" t="str">
        <f>IF(B45="", "", Inventory!E53)</f>
        <v/>
      </c>
      <c r="M45" s="298" t="str">
        <f>IF(B45="","",IF(Cool_Type=Lookups!$L$9,Cool_Type,IF(Cool_Type=Lookups!$L$10,Cool_Type,IF(Cool_Type=Lookups!$L$11,Cool_Type,IF(Cool_Type=Lookups!L55,Cool_Type,IF('Project Info and Summary'!$C$20="Electric",CONCATENATE(Cool_Type," ",Heating_Type," Heat"),IF('Project Info and Summary'!$C$20="Non-Electric",CONCATENATE(Cool_Type," ",Heating_Type," Heat"),CONCATENATE(Cool_Type," ",Heating_Type))))))))</f>
        <v/>
      </c>
      <c r="N45" s="298" t="str">
        <f t="shared" si="3"/>
        <v/>
      </c>
      <c r="O45" s="298" t="str">
        <f>IF(B45="", "", 'Lighting Inventory (Ref only)'!G56)</f>
        <v/>
      </c>
      <c r="P45" s="298" t="str">
        <f>IF(B45="", "", 'Lighting Inventory (Ref only)'!E56)</f>
        <v/>
      </c>
      <c r="Q45" s="298" t="str">
        <f>IF(B45="", "", 'Lighting Inventory (Ref only)'!J56)</f>
        <v/>
      </c>
      <c r="R45" s="298" t="str">
        <f>IF(B45="", "",'Lighting Inventory (Ref only)'!K56)</f>
        <v/>
      </c>
      <c r="S45" s="372" t="str">
        <f>IF(B45="", "", 'Lighting Inventory (Ref only)'!G56*'Lighting Inventory (Ref only)'!K56/1000)</f>
        <v/>
      </c>
      <c r="T45" s="298" t="str">
        <f>IF(B45="", "", IF('Lighting Inventory (Ref only)'!I56="", "Light Switch",Inventory!H53))</f>
        <v/>
      </c>
      <c r="U45" s="298" t="str">
        <f>IF(B45="", "", 'Lighting Inventory (Ref only)'!Q56)</f>
        <v/>
      </c>
      <c r="V45" s="298" t="str">
        <f>IF(B45="", "", 'Lighting Inventory (Ref only)'!K56)</f>
        <v/>
      </c>
      <c r="W45" s="373" t="str">
        <f>IF(B45="","",('Lighting Inventory (Ref only)'!L56/1000))</f>
        <v/>
      </c>
      <c r="X45" s="298" t="str">
        <f>IF(B45="", "", 'Lighting Inventory (Ref only)'!Q56)</f>
        <v/>
      </c>
      <c r="Y45" s="298" t="str">
        <f>IF(C45="", "", Inventory!N53)</f>
        <v/>
      </c>
      <c r="Z45" s="374" t="str">
        <f>IF(B45="", "", 'Lighting Inventory (Ref only)'!P56)</f>
        <v/>
      </c>
      <c r="AA45" s="372" t="str">
        <f>IF(B45="", "",'Lighting Inventory (Ref only)'!R56/1000)</f>
        <v/>
      </c>
      <c r="AB45" s="372" t="str">
        <f>IF(B45="", "", Inventory!M53)</f>
        <v/>
      </c>
      <c r="AC45" s="374" t="str">
        <f>IF(B45="", "", 'Lighting Inventory (Ref only)'!T56)</f>
        <v/>
      </c>
      <c r="AD45" s="374" t="str">
        <f>IF(C45="", "", 'Lighting Inventory (Ref only)'!AA56)</f>
        <v/>
      </c>
      <c r="AE45" s="375" t="str">
        <f>IF(B45="", "", 'Lighting Inventory (Ref only)'!U56)</f>
        <v/>
      </c>
      <c r="AF45" s="375" t="str">
        <f>IF(B45="", "",'Lighting Inventory (Ref only)'!W56)</f>
        <v/>
      </c>
      <c r="AG45" s="375" t="str">
        <f>IF(B45="", "", 'Lighting Inventory (Ref only)'!V56)</f>
        <v/>
      </c>
      <c r="AH45" s="375" t="str">
        <f>IF(B45="", "",'Lighting Inventory (Ref only)'!Z56)</f>
        <v/>
      </c>
      <c r="AI45" s="375" t="str">
        <f>IF(B45="", "", 'Lighting Inventory (Ref only)'!Y56)</f>
        <v/>
      </c>
      <c r="AJ45" s="375" t="str">
        <f>IF(C45="", "",'Lighting Inventory (Ref only)'!AB56)</f>
        <v/>
      </c>
      <c r="AK45" s="375" t="str">
        <f>IF(B45="", "", 'Lighting Inventory (Ref only)'!AG56)</f>
        <v/>
      </c>
      <c r="AL45" s="375" t="str">
        <f>IF(B45="", "", 'Lighting Inventory (Ref only)'!AD56)</f>
        <v/>
      </c>
      <c r="AM45" s="375" t="str">
        <f>IF(B45="", "", 'Lighting Inventory (Ref only)'!AE56)</f>
        <v/>
      </c>
      <c r="AN45" s="375" t="str">
        <f>IF(B45="", "", 'Lighting Inventory (Ref only)'!AF56)</f>
        <v/>
      </c>
      <c r="AO45" s="375" t="str">
        <f>IF(B45="", "", 'Lighting Inventory (Ref only)'!AG56)</f>
        <v/>
      </c>
    </row>
    <row r="46" spans="1:41">
      <c r="A46" s="298" t="str">
        <f>IF(G46="", "", Lookups!BF48)</f>
        <v/>
      </c>
      <c r="B46" s="298" t="str">
        <f>IF('Lighting Inventory (Ref only)'!Q57="", "", 'Lighting Inventory (Ref only)'!Q57)</f>
        <v/>
      </c>
      <c r="C46" s="298" t="str">
        <f>IF(A46="", "", 'Lighting Inventory (Ref only)'!AO57)</f>
        <v/>
      </c>
      <c r="D46" s="370" t="str">
        <f>IF(B46= "","", Inventory!S54)</f>
        <v/>
      </c>
      <c r="E46" s="371"/>
      <c r="F46" s="298" t="str">
        <f>IF(B46="", "", 'Version Log'!$B$34)</f>
        <v/>
      </c>
      <c r="G46" s="298" t="str">
        <f t="shared" si="0"/>
        <v/>
      </c>
      <c r="H46" s="298" t="str">
        <f t="shared" si="1"/>
        <v/>
      </c>
      <c r="I46" s="298" t="str">
        <f>IF(B46="", "",Inventory!D54)</f>
        <v/>
      </c>
      <c r="J46" s="298" t="str">
        <f>IF(B46="","",IF(Inventory!C54="N","Interior","Exterior"))</f>
        <v/>
      </c>
      <c r="K46" s="298" t="str">
        <f t="shared" si="2"/>
        <v/>
      </c>
      <c r="L46" s="298" t="str">
        <f>IF(B46="", "", Inventory!E54)</f>
        <v/>
      </c>
      <c r="M46" s="298" t="str">
        <f>IF(B46="","",IF(Cool_Type=Lookups!$L$9,Cool_Type,IF(Cool_Type=Lookups!$L$10,Cool_Type,IF(Cool_Type=Lookups!$L$11,Cool_Type,IF(Cool_Type=Lookups!L56,Cool_Type,IF('Project Info and Summary'!$C$20="Electric",CONCATENATE(Cool_Type," ",Heating_Type," Heat"),IF('Project Info and Summary'!$C$20="Non-Electric",CONCATENATE(Cool_Type," ",Heating_Type," Heat"),CONCATENATE(Cool_Type," ",Heating_Type))))))))</f>
        <v/>
      </c>
      <c r="N46" s="298" t="str">
        <f t="shared" si="3"/>
        <v/>
      </c>
      <c r="O46" s="298" t="str">
        <f>IF(B46="", "", 'Lighting Inventory (Ref only)'!G57)</f>
        <v/>
      </c>
      <c r="P46" s="298" t="str">
        <f>IF(B46="", "", 'Lighting Inventory (Ref only)'!E57)</f>
        <v/>
      </c>
      <c r="Q46" s="298" t="str">
        <f>IF(B46="", "", 'Lighting Inventory (Ref only)'!J57)</f>
        <v/>
      </c>
      <c r="R46" s="298" t="str">
        <f>IF(B46="", "",'Lighting Inventory (Ref only)'!K57)</f>
        <v/>
      </c>
      <c r="S46" s="372" t="str">
        <f>IF(B46="", "", 'Lighting Inventory (Ref only)'!G57*'Lighting Inventory (Ref only)'!K57/1000)</f>
        <v/>
      </c>
      <c r="T46" s="298" t="str">
        <f>IF(B46="", "", IF('Lighting Inventory (Ref only)'!I57="", "Light Switch",Inventory!H54))</f>
        <v/>
      </c>
      <c r="U46" s="298" t="str">
        <f>IF(B46="", "", 'Lighting Inventory (Ref only)'!Q57)</f>
        <v/>
      </c>
      <c r="V46" s="298" t="str">
        <f>IF(B46="", "", 'Lighting Inventory (Ref only)'!K57)</f>
        <v/>
      </c>
      <c r="W46" s="373" t="str">
        <f>IF(B46="","",('Lighting Inventory (Ref only)'!L57/1000))</f>
        <v/>
      </c>
      <c r="X46" s="298" t="str">
        <f>IF(B46="", "", 'Lighting Inventory (Ref only)'!Q57)</f>
        <v/>
      </c>
      <c r="Y46" s="298" t="str">
        <f>IF(C46="", "", Inventory!N54)</f>
        <v/>
      </c>
      <c r="Z46" s="374" t="str">
        <f>IF(B46="", "", 'Lighting Inventory (Ref only)'!P57)</f>
        <v/>
      </c>
      <c r="AA46" s="372" t="str">
        <f>IF(B46="", "",'Lighting Inventory (Ref only)'!R57/1000)</f>
        <v/>
      </c>
      <c r="AB46" s="372" t="str">
        <f>IF(B46="", "", Inventory!M54)</f>
        <v/>
      </c>
      <c r="AC46" s="374" t="str">
        <f>IF(B46="", "", 'Lighting Inventory (Ref only)'!T57)</f>
        <v/>
      </c>
      <c r="AD46" s="374" t="str">
        <f>IF(C46="", "", 'Lighting Inventory (Ref only)'!AA57)</f>
        <v/>
      </c>
      <c r="AE46" s="375" t="str">
        <f>IF(B46="", "", 'Lighting Inventory (Ref only)'!U57)</f>
        <v/>
      </c>
      <c r="AF46" s="375" t="str">
        <f>IF(B46="", "",'Lighting Inventory (Ref only)'!W57)</f>
        <v/>
      </c>
      <c r="AG46" s="375" t="str">
        <f>IF(B46="", "", 'Lighting Inventory (Ref only)'!V57)</f>
        <v/>
      </c>
      <c r="AH46" s="375" t="str">
        <f>IF(B46="", "",'Lighting Inventory (Ref only)'!Z57)</f>
        <v/>
      </c>
      <c r="AI46" s="375" t="str">
        <f>IF(B46="", "", 'Lighting Inventory (Ref only)'!Y57)</f>
        <v/>
      </c>
      <c r="AJ46" s="375" t="str">
        <f>IF(C46="", "",'Lighting Inventory (Ref only)'!AB57)</f>
        <v/>
      </c>
      <c r="AK46" s="375" t="str">
        <f>IF(B46="", "", 'Lighting Inventory (Ref only)'!AG57)</f>
        <v/>
      </c>
      <c r="AL46" s="375" t="str">
        <f>IF(B46="", "", 'Lighting Inventory (Ref only)'!AD57)</f>
        <v/>
      </c>
      <c r="AM46" s="375" t="str">
        <f>IF(B46="", "", 'Lighting Inventory (Ref only)'!AE57)</f>
        <v/>
      </c>
      <c r="AN46" s="375" t="str">
        <f>IF(B46="", "", 'Lighting Inventory (Ref only)'!AF57)</f>
        <v/>
      </c>
      <c r="AO46" s="375" t="str">
        <f>IF(B46="", "", 'Lighting Inventory (Ref only)'!AG57)</f>
        <v/>
      </c>
    </row>
    <row r="47" spans="1:41">
      <c r="A47" s="298" t="str">
        <f>IF(G47="", "", Lookups!BF49)</f>
        <v/>
      </c>
      <c r="B47" s="298" t="str">
        <f>IF('Lighting Inventory (Ref only)'!Q58="", "", 'Lighting Inventory (Ref only)'!Q58)</f>
        <v/>
      </c>
      <c r="C47" s="298" t="str">
        <f>IF(A47="", "", 'Lighting Inventory (Ref only)'!AO58)</f>
        <v/>
      </c>
      <c r="D47" s="370" t="str">
        <f>IF(B47= "","", Inventory!S55)</f>
        <v/>
      </c>
      <c r="E47" s="371"/>
      <c r="F47" s="298" t="str">
        <f>IF(B47="", "", 'Version Log'!$B$34)</f>
        <v/>
      </c>
      <c r="G47" s="298" t="str">
        <f t="shared" si="0"/>
        <v/>
      </c>
      <c r="H47" s="298" t="str">
        <f t="shared" si="1"/>
        <v/>
      </c>
      <c r="I47" s="298" t="str">
        <f>IF(B47="", "",Inventory!D55)</f>
        <v/>
      </c>
      <c r="J47" s="298" t="str">
        <f>IF(B47="","",IF(Inventory!C55="N","Interior","Exterior"))</f>
        <v/>
      </c>
      <c r="K47" s="298" t="str">
        <f t="shared" si="2"/>
        <v/>
      </c>
      <c r="L47" s="298" t="str">
        <f>IF(B47="", "", Inventory!E55)</f>
        <v/>
      </c>
      <c r="M47" s="298" t="str">
        <f>IF(B47="","",IF(Cool_Type=Lookups!$L$9,Cool_Type,IF(Cool_Type=Lookups!$L$10,Cool_Type,IF(Cool_Type=Lookups!$L$11,Cool_Type,IF(Cool_Type=Lookups!L57,Cool_Type,IF('Project Info and Summary'!$C$20="Electric",CONCATENATE(Cool_Type," ",Heating_Type," Heat"),IF('Project Info and Summary'!$C$20="Non-Electric",CONCATENATE(Cool_Type," ",Heating_Type," Heat"),CONCATENATE(Cool_Type," ",Heating_Type))))))))</f>
        <v/>
      </c>
      <c r="N47" s="298" t="str">
        <f t="shared" si="3"/>
        <v/>
      </c>
      <c r="O47" s="298" t="str">
        <f>IF(B47="", "", 'Lighting Inventory (Ref only)'!G58)</f>
        <v/>
      </c>
      <c r="P47" s="298" t="str">
        <f>IF(B47="", "", 'Lighting Inventory (Ref only)'!E58)</f>
        <v/>
      </c>
      <c r="Q47" s="298" t="str">
        <f>IF(B47="", "", 'Lighting Inventory (Ref only)'!J58)</f>
        <v/>
      </c>
      <c r="R47" s="298" t="str">
        <f>IF(B47="", "",'Lighting Inventory (Ref only)'!K58)</f>
        <v/>
      </c>
      <c r="S47" s="372" t="str">
        <f>IF(B47="", "", 'Lighting Inventory (Ref only)'!G58*'Lighting Inventory (Ref only)'!K58/1000)</f>
        <v/>
      </c>
      <c r="T47" s="298" t="str">
        <f>IF(B47="", "", IF('Lighting Inventory (Ref only)'!I58="", "Light Switch",Inventory!H55))</f>
        <v/>
      </c>
      <c r="U47" s="298" t="str">
        <f>IF(B47="", "", 'Lighting Inventory (Ref only)'!Q58)</f>
        <v/>
      </c>
      <c r="V47" s="298" t="str">
        <f>IF(B47="", "", 'Lighting Inventory (Ref only)'!K58)</f>
        <v/>
      </c>
      <c r="W47" s="373" t="str">
        <f>IF(B47="","",('Lighting Inventory (Ref only)'!L58/1000))</f>
        <v/>
      </c>
      <c r="X47" s="298" t="str">
        <f>IF(B47="", "", 'Lighting Inventory (Ref only)'!Q58)</f>
        <v/>
      </c>
      <c r="Y47" s="298" t="str">
        <f>IF(C47="", "", Inventory!N55)</f>
        <v/>
      </c>
      <c r="Z47" s="374" t="str">
        <f>IF(B47="", "", 'Lighting Inventory (Ref only)'!P58)</f>
        <v/>
      </c>
      <c r="AA47" s="372" t="str">
        <f>IF(B47="", "",'Lighting Inventory (Ref only)'!R58/1000)</f>
        <v/>
      </c>
      <c r="AB47" s="372" t="str">
        <f>IF(B47="", "", Inventory!M55)</f>
        <v/>
      </c>
      <c r="AC47" s="374" t="str">
        <f>IF(B47="", "", 'Lighting Inventory (Ref only)'!T58)</f>
        <v/>
      </c>
      <c r="AD47" s="374" t="str">
        <f>IF(C47="", "", 'Lighting Inventory (Ref only)'!AA58)</f>
        <v/>
      </c>
      <c r="AE47" s="375" t="str">
        <f>IF(B47="", "", 'Lighting Inventory (Ref only)'!U58)</f>
        <v/>
      </c>
      <c r="AF47" s="375" t="str">
        <f>IF(B47="", "",'Lighting Inventory (Ref only)'!W58)</f>
        <v/>
      </c>
      <c r="AG47" s="375" t="str">
        <f>IF(B47="", "", 'Lighting Inventory (Ref only)'!V58)</f>
        <v/>
      </c>
      <c r="AH47" s="375" t="str">
        <f>IF(B47="", "",'Lighting Inventory (Ref only)'!Z58)</f>
        <v/>
      </c>
      <c r="AI47" s="375" t="str">
        <f>IF(B47="", "", 'Lighting Inventory (Ref only)'!Y58)</f>
        <v/>
      </c>
      <c r="AJ47" s="375" t="str">
        <f>IF(C47="", "",'Lighting Inventory (Ref only)'!AB58)</f>
        <v/>
      </c>
      <c r="AK47" s="375" t="str">
        <f>IF(B47="", "", 'Lighting Inventory (Ref only)'!AG58)</f>
        <v/>
      </c>
      <c r="AL47" s="375" t="str">
        <f>IF(B47="", "", 'Lighting Inventory (Ref only)'!AD58)</f>
        <v/>
      </c>
      <c r="AM47" s="375" t="str">
        <f>IF(B47="", "", 'Lighting Inventory (Ref only)'!AE58)</f>
        <v/>
      </c>
      <c r="AN47" s="375" t="str">
        <f>IF(B47="", "", 'Lighting Inventory (Ref only)'!AF58)</f>
        <v/>
      </c>
      <c r="AO47" s="375" t="str">
        <f>IF(B47="", "", 'Lighting Inventory (Ref only)'!AG58)</f>
        <v/>
      </c>
    </row>
    <row r="48" spans="1:41">
      <c r="A48" s="298" t="str">
        <f>IF(G48="", "", Lookups!BF50)</f>
        <v/>
      </c>
      <c r="B48" s="298" t="str">
        <f>IF('Lighting Inventory (Ref only)'!Q59="", "", 'Lighting Inventory (Ref only)'!Q59)</f>
        <v/>
      </c>
      <c r="C48" s="298" t="str">
        <f>IF(A48="", "", 'Lighting Inventory (Ref only)'!AO59)</f>
        <v/>
      </c>
      <c r="D48" s="370" t="str">
        <f>IF(B48= "","", Inventory!S56)</f>
        <v/>
      </c>
      <c r="E48" s="371"/>
      <c r="F48" s="298" t="str">
        <f>IF(B48="", "", 'Version Log'!$B$34)</f>
        <v/>
      </c>
      <c r="G48" s="298" t="str">
        <f t="shared" si="0"/>
        <v/>
      </c>
      <c r="H48" s="298" t="str">
        <f t="shared" si="1"/>
        <v/>
      </c>
      <c r="I48" s="298" t="str">
        <f>IF(B48="", "",Inventory!D56)</f>
        <v/>
      </c>
      <c r="J48" s="298" t="str">
        <f>IF(B48="","",IF(Inventory!C56="N","Interior","Exterior"))</f>
        <v/>
      </c>
      <c r="K48" s="298" t="str">
        <f t="shared" si="2"/>
        <v/>
      </c>
      <c r="L48" s="298" t="str">
        <f>IF(B48="", "", Inventory!E56)</f>
        <v/>
      </c>
      <c r="M48" s="298" t="str">
        <f>IF(B48="","",IF(Cool_Type=Lookups!$L$9,Cool_Type,IF(Cool_Type=Lookups!$L$10,Cool_Type,IF(Cool_Type=Lookups!$L$11,Cool_Type,IF(Cool_Type=Lookups!L58,Cool_Type,IF('Project Info and Summary'!$C$20="Electric",CONCATENATE(Cool_Type," ",Heating_Type," Heat"),IF('Project Info and Summary'!$C$20="Non-Electric",CONCATENATE(Cool_Type," ",Heating_Type," Heat"),CONCATENATE(Cool_Type," ",Heating_Type))))))))</f>
        <v/>
      </c>
      <c r="N48" s="298" t="str">
        <f t="shared" si="3"/>
        <v/>
      </c>
      <c r="O48" s="298" t="str">
        <f>IF(B48="", "", 'Lighting Inventory (Ref only)'!G59)</f>
        <v/>
      </c>
      <c r="P48" s="298" t="str">
        <f>IF(B48="", "", 'Lighting Inventory (Ref only)'!E59)</f>
        <v/>
      </c>
      <c r="Q48" s="298" t="str">
        <f>IF(B48="", "", 'Lighting Inventory (Ref only)'!J59)</f>
        <v/>
      </c>
      <c r="R48" s="298" t="str">
        <f>IF(B48="", "",'Lighting Inventory (Ref only)'!K59)</f>
        <v/>
      </c>
      <c r="S48" s="372" t="str">
        <f>IF(B48="", "", 'Lighting Inventory (Ref only)'!G59*'Lighting Inventory (Ref only)'!K59/1000)</f>
        <v/>
      </c>
      <c r="T48" s="298" t="str">
        <f>IF(B48="", "", IF('Lighting Inventory (Ref only)'!I59="", "Light Switch",Inventory!H56))</f>
        <v/>
      </c>
      <c r="U48" s="298" t="str">
        <f>IF(B48="", "", 'Lighting Inventory (Ref only)'!Q59)</f>
        <v/>
      </c>
      <c r="V48" s="298" t="str">
        <f>IF(B48="", "", 'Lighting Inventory (Ref only)'!K59)</f>
        <v/>
      </c>
      <c r="W48" s="373" t="str">
        <f>IF(B48="","",('Lighting Inventory (Ref only)'!L59/1000))</f>
        <v/>
      </c>
      <c r="X48" s="298" t="str">
        <f>IF(B48="", "", 'Lighting Inventory (Ref only)'!Q59)</f>
        <v/>
      </c>
      <c r="Y48" s="298" t="str">
        <f>IF(C48="", "", Inventory!N56)</f>
        <v/>
      </c>
      <c r="Z48" s="374" t="str">
        <f>IF(B48="", "", 'Lighting Inventory (Ref only)'!P59)</f>
        <v/>
      </c>
      <c r="AA48" s="372" t="str">
        <f>IF(B48="", "",'Lighting Inventory (Ref only)'!R59/1000)</f>
        <v/>
      </c>
      <c r="AB48" s="372" t="str">
        <f>IF(B48="", "", Inventory!M56)</f>
        <v/>
      </c>
      <c r="AC48" s="374" t="str">
        <f>IF(B48="", "", 'Lighting Inventory (Ref only)'!T59)</f>
        <v/>
      </c>
      <c r="AD48" s="374" t="str">
        <f>IF(C48="", "", 'Lighting Inventory (Ref only)'!AA59)</f>
        <v/>
      </c>
      <c r="AE48" s="375" t="str">
        <f>IF(B48="", "", 'Lighting Inventory (Ref only)'!U59)</f>
        <v/>
      </c>
      <c r="AF48" s="375" t="str">
        <f>IF(B48="", "",'Lighting Inventory (Ref only)'!W59)</f>
        <v/>
      </c>
      <c r="AG48" s="375" t="str">
        <f>IF(B48="", "", 'Lighting Inventory (Ref only)'!V59)</f>
        <v/>
      </c>
      <c r="AH48" s="375" t="str">
        <f>IF(B48="", "",'Lighting Inventory (Ref only)'!Z59)</f>
        <v/>
      </c>
      <c r="AI48" s="375" t="str">
        <f>IF(B48="", "", 'Lighting Inventory (Ref only)'!Y59)</f>
        <v/>
      </c>
      <c r="AJ48" s="375" t="str">
        <f>IF(C48="", "",'Lighting Inventory (Ref only)'!AB59)</f>
        <v/>
      </c>
      <c r="AK48" s="375" t="str">
        <f>IF(B48="", "", 'Lighting Inventory (Ref only)'!AG59)</f>
        <v/>
      </c>
      <c r="AL48" s="375" t="str">
        <f>IF(B48="", "", 'Lighting Inventory (Ref only)'!AD59)</f>
        <v/>
      </c>
      <c r="AM48" s="375" t="str">
        <f>IF(B48="", "", 'Lighting Inventory (Ref only)'!AE59)</f>
        <v/>
      </c>
      <c r="AN48" s="375" t="str">
        <f>IF(B48="", "", 'Lighting Inventory (Ref only)'!AF59)</f>
        <v/>
      </c>
      <c r="AO48" s="375" t="str">
        <f>IF(B48="", "", 'Lighting Inventory (Ref only)'!AG59)</f>
        <v/>
      </c>
    </row>
    <row r="49" spans="1:41">
      <c r="A49" s="298" t="str">
        <f>IF(G49="", "", Lookups!BF51)</f>
        <v/>
      </c>
      <c r="B49" s="298" t="str">
        <f>IF('Lighting Inventory (Ref only)'!Q60="", "", 'Lighting Inventory (Ref only)'!Q60)</f>
        <v/>
      </c>
      <c r="C49" s="298" t="str">
        <f>IF(A49="", "", 'Lighting Inventory (Ref only)'!AO60)</f>
        <v/>
      </c>
      <c r="D49" s="370" t="str">
        <f>IF(B49= "","", Inventory!S57)</f>
        <v/>
      </c>
      <c r="E49" s="371"/>
      <c r="F49" s="298" t="str">
        <f>IF(B49="", "", 'Version Log'!$B$34)</f>
        <v/>
      </c>
      <c r="G49" s="298" t="str">
        <f t="shared" si="0"/>
        <v/>
      </c>
      <c r="H49" s="298" t="str">
        <f t="shared" si="1"/>
        <v/>
      </c>
      <c r="I49" s="298" t="str">
        <f>IF(B49="", "",Inventory!D57)</f>
        <v/>
      </c>
      <c r="J49" s="298" t="str">
        <f>IF(B49="","",IF(Inventory!C57="N","Interior","Exterior"))</f>
        <v/>
      </c>
      <c r="K49" s="298" t="str">
        <f t="shared" si="2"/>
        <v/>
      </c>
      <c r="L49" s="298" t="str">
        <f>IF(B49="", "", Inventory!E57)</f>
        <v/>
      </c>
      <c r="M49" s="298" t="str">
        <f>IF(B49="","",IF(Cool_Type=Lookups!$L$9,Cool_Type,IF(Cool_Type=Lookups!$L$10,Cool_Type,IF(Cool_Type=Lookups!$L$11,Cool_Type,IF(Cool_Type=Lookups!L59,Cool_Type,IF('Project Info and Summary'!$C$20="Electric",CONCATENATE(Cool_Type," ",Heating_Type," Heat"),IF('Project Info and Summary'!$C$20="Non-Electric",CONCATENATE(Cool_Type," ",Heating_Type," Heat"),CONCATENATE(Cool_Type," ",Heating_Type))))))))</f>
        <v/>
      </c>
      <c r="N49" s="298" t="str">
        <f t="shared" si="3"/>
        <v/>
      </c>
      <c r="O49" s="298" t="str">
        <f>IF(B49="", "", 'Lighting Inventory (Ref only)'!G60)</f>
        <v/>
      </c>
      <c r="P49" s="298" t="str">
        <f>IF(B49="", "", 'Lighting Inventory (Ref only)'!E60)</f>
        <v/>
      </c>
      <c r="Q49" s="298" t="str">
        <f>IF(B49="", "", 'Lighting Inventory (Ref only)'!J60)</f>
        <v/>
      </c>
      <c r="R49" s="298" t="str">
        <f>IF(B49="", "",'Lighting Inventory (Ref only)'!K60)</f>
        <v/>
      </c>
      <c r="S49" s="372" t="str">
        <f>IF(B49="", "", 'Lighting Inventory (Ref only)'!G60*'Lighting Inventory (Ref only)'!K60/1000)</f>
        <v/>
      </c>
      <c r="T49" s="298" t="str">
        <f>IF(B49="", "", IF('Lighting Inventory (Ref only)'!I60="", "Light Switch",Inventory!H57))</f>
        <v/>
      </c>
      <c r="U49" s="298" t="str">
        <f>IF(B49="", "", 'Lighting Inventory (Ref only)'!Q60)</f>
        <v/>
      </c>
      <c r="V49" s="298" t="str">
        <f>IF(B49="", "", 'Lighting Inventory (Ref only)'!K60)</f>
        <v/>
      </c>
      <c r="W49" s="373" t="str">
        <f>IF(B49="","",('Lighting Inventory (Ref only)'!L60/1000))</f>
        <v/>
      </c>
      <c r="X49" s="298" t="str">
        <f>IF(B49="", "", 'Lighting Inventory (Ref only)'!Q60)</f>
        <v/>
      </c>
      <c r="Y49" s="298" t="str">
        <f>IF(C49="", "", Inventory!N57)</f>
        <v/>
      </c>
      <c r="Z49" s="374" t="str">
        <f>IF(B49="", "", 'Lighting Inventory (Ref only)'!P60)</f>
        <v/>
      </c>
      <c r="AA49" s="372" t="str">
        <f>IF(B49="", "",'Lighting Inventory (Ref only)'!R60/1000)</f>
        <v/>
      </c>
      <c r="AB49" s="372" t="str">
        <f>IF(B49="", "", Inventory!M57)</f>
        <v/>
      </c>
      <c r="AC49" s="374" t="str">
        <f>IF(B49="", "", 'Lighting Inventory (Ref only)'!T60)</f>
        <v/>
      </c>
      <c r="AD49" s="374" t="str">
        <f>IF(C49="", "", 'Lighting Inventory (Ref only)'!AA60)</f>
        <v/>
      </c>
      <c r="AE49" s="375" t="str">
        <f>IF(B49="", "", 'Lighting Inventory (Ref only)'!U60)</f>
        <v/>
      </c>
      <c r="AF49" s="375" t="str">
        <f>IF(B49="", "",'Lighting Inventory (Ref only)'!W60)</f>
        <v/>
      </c>
      <c r="AG49" s="375" t="str">
        <f>IF(B49="", "", 'Lighting Inventory (Ref only)'!V60)</f>
        <v/>
      </c>
      <c r="AH49" s="375" t="str">
        <f>IF(B49="", "",'Lighting Inventory (Ref only)'!Z60)</f>
        <v/>
      </c>
      <c r="AI49" s="375" t="str">
        <f>IF(B49="", "", 'Lighting Inventory (Ref only)'!Y60)</f>
        <v/>
      </c>
      <c r="AJ49" s="375" t="str">
        <f>IF(C49="", "",'Lighting Inventory (Ref only)'!AB60)</f>
        <v/>
      </c>
      <c r="AK49" s="375" t="str">
        <f>IF(B49="", "", 'Lighting Inventory (Ref only)'!AG60)</f>
        <v/>
      </c>
      <c r="AL49" s="375" t="str">
        <f>IF(B49="", "", 'Lighting Inventory (Ref only)'!AD60)</f>
        <v/>
      </c>
      <c r="AM49" s="375" t="str">
        <f>IF(B49="", "", 'Lighting Inventory (Ref only)'!AE60)</f>
        <v/>
      </c>
      <c r="AN49" s="375" t="str">
        <f>IF(B49="", "", 'Lighting Inventory (Ref only)'!AF60)</f>
        <v/>
      </c>
      <c r="AO49" s="375" t="str">
        <f>IF(B49="", "", 'Lighting Inventory (Ref only)'!AG60)</f>
        <v/>
      </c>
    </row>
    <row r="50" spans="1:41">
      <c r="A50" s="298" t="str">
        <f>IF(G50="", "", Lookups!BF52)</f>
        <v/>
      </c>
      <c r="B50" s="298" t="str">
        <f>IF('Lighting Inventory (Ref only)'!Q61="", "", 'Lighting Inventory (Ref only)'!Q61)</f>
        <v/>
      </c>
      <c r="C50" s="298" t="str">
        <f>IF(A50="", "", 'Lighting Inventory (Ref only)'!AO61)</f>
        <v/>
      </c>
      <c r="D50" s="370" t="str">
        <f>IF(B50= "","", Inventory!S58)</f>
        <v/>
      </c>
      <c r="E50" s="371"/>
      <c r="F50" s="298" t="str">
        <f>IF(B50="", "", 'Version Log'!$B$34)</f>
        <v/>
      </c>
      <c r="G50" s="298" t="str">
        <f t="shared" si="0"/>
        <v/>
      </c>
      <c r="H50" s="298" t="str">
        <f t="shared" si="1"/>
        <v/>
      </c>
      <c r="I50" s="298" t="str">
        <f>IF(B50="", "",Inventory!D58)</f>
        <v/>
      </c>
      <c r="J50" s="298" t="str">
        <f>IF(B50="","",IF(Inventory!C58="N","Interior","Exterior"))</f>
        <v/>
      </c>
      <c r="K50" s="298" t="str">
        <f t="shared" si="2"/>
        <v/>
      </c>
      <c r="L50" s="298" t="str">
        <f>IF(B50="", "", Inventory!E58)</f>
        <v/>
      </c>
      <c r="M50" s="298" t="str">
        <f>IF(B50="","",IF(Cool_Type=Lookups!$L$9,Cool_Type,IF(Cool_Type=Lookups!$L$10,Cool_Type,IF(Cool_Type=Lookups!$L$11,Cool_Type,IF(Cool_Type=Lookups!L60,Cool_Type,IF('Project Info and Summary'!$C$20="Electric",CONCATENATE(Cool_Type," ",Heating_Type," Heat"),IF('Project Info and Summary'!$C$20="Non-Electric",CONCATENATE(Cool_Type," ",Heating_Type," Heat"),CONCATENATE(Cool_Type," ",Heating_Type))))))))</f>
        <v/>
      </c>
      <c r="N50" s="298" t="str">
        <f t="shared" si="3"/>
        <v/>
      </c>
      <c r="O50" s="298" t="str">
        <f>IF(B50="", "", 'Lighting Inventory (Ref only)'!G61)</f>
        <v/>
      </c>
      <c r="P50" s="298" t="str">
        <f>IF(B50="", "", 'Lighting Inventory (Ref only)'!E61)</f>
        <v/>
      </c>
      <c r="Q50" s="298" t="str">
        <f>IF(B50="", "", 'Lighting Inventory (Ref only)'!J61)</f>
        <v/>
      </c>
      <c r="R50" s="298" t="str">
        <f>IF(B50="", "",'Lighting Inventory (Ref only)'!K61)</f>
        <v/>
      </c>
      <c r="S50" s="372" t="str">
        <f>IF(B50="", "", 'Lighting Inventory (Ref only)'!G61*'Lighting Inventory (Ref only)'!K61/1000)</f>
        <v/>
      </c>
      <c r="T50" s="298" t="str">
        <f>IF(B50="", "", IF('Lighting Inventory (Ref only)'!I61="", "Light Switch",Inventory!H58))</f>
        <v/>
      </c>
      <c r="U50" s="298" t="str">
        <f>IF(B50="", "", 'Lighting Inventory (Ref only)'!Q61)</f>
        <v/>
      </c>
      <c r="V50" s="298" t="str">
        <f>IF(B50="", "", 'Lighting Inventory (Ref only)'!K61)</f>
        <v/>
      </c>
      <c r="W50" s="373" t="str">
        <f>IF(B50="","",('Lighting Inventory (Ref only)'!L61/1000))</f>
        <v/>
      </c>
      <c r="X50" s="298" t="str">
        <f>IF(B50="", "", 'Lighting Inventory (Ref only)'!Q61)</f>
        <v/>
      </c>
      <c r="Y50" s="298" t="str">
        <f>IF(C50="", "", Inventory!N58)</f>
        <v/>
      </c>
      <c r="Z50" s="374" t="str">
        <f>IF(B50="", "", 'Lighting Inventory (Ref only)'!P61)</f>
        <v/>
      </c>
      <c r="AA50" s="372" t="str">
        <f>IF(B50="", "",'Lighting Inventory (Ref only)'!R61/1000)</f>
        <v/>
      </c>
      <c r="AB50" s="372" t="str">
        <f>IF(B50="", "", Inventory!M58)</f>
        <v/>
      </c>
      <c r="AC50" s="374" t="str">
        <f>IF(B50="", "", 'Lighting Inventory (Ref only)'!T61)</f>
        <v/>
      </c>
      <c r="AD50" s="374" t="str">
        <f>IF(C50="", "", 'Lighting Inventory (Ref only)'!AA61)</f>
        <v/>
      </c>
      <c r="AE50" s="375" t="str">
        <f>IF(B50="", "", 'Lighting Inventory (Ref only)'!U61)</f>
        <v/>
      </c>
      <c r="AF50" s="375" t="str">
        <f>IF(B50="", "",'Lighting Inventory (Ref only)'!W61)</f>
        <v/>
      </c>
      <c r="AG50" s="375" t="str">
        <f>IF(B50="", "", 'Lighting Inventory (Ref only)'!V61)</f>
        <v/>
      </c>
      <c r="AH50" s="375" t="str">
        <f>IF(B50="", "",'Lighting Inventory (Ref only)'!Z61)</f>
        <v/>
      </c>
      <c r="AI50" s="375" t="str">
        <f>IF(B50="", "", 'Lighting Inventory (Ref only)'!Y61)</f>
        <v/>
      </c>
      <c r="AJ50" s="375" t="str">
        <f>IF(C50="", "",'Lighting Inventory (Ref only)'!AB61)</f>
        <v/>
      </c>
      <c r="AK50" s="375" t="str">
        <f>IF(B50="", "", 'Lighting Inventory (Ref only)'!AG61)</f>
        <v/>
      </c>
      <c r="AL50" s="375" t="str">
        <f>IF(B50="", "", 'Lighting Inventory (Ref only)'!AD61)</f>
        <v/>
      </c>
      <c r="AM50" s="375" t="str">
        <f>IF(B50="", "", 'Lighting Inventory (Ref only)'!AE61)</f>
        <v/>
      </c>
      <c r="AN50" s="375" t="str">
        <f>IF(B50="", "", 'Lighting Inventory (Ref only)'!AF61)</f>
        <v/>
      </c>
      <c r="AO50" s="375" t="str">
        <f>IF(B50="", "", 'Lighting Inventory (Ref only)'!AG61)</f>
        <v/>
      </c>
    </row>
    <row r="51" spans="1:41">
      <c r="A51" s="298" t="str">
        <f>IF(G51="", "", Lookups!BF53)</f>
        <v/>
      </c>
      <c r="B51" s="298" t="str">
        <f>IF('Lighting Inventory (Ref only)'!Q62="", "", 'Lighting Inventory (Ref only)'!Q62)</f>
        <v/>
      </c>
      <c r="C51" s="298" t="str">
        <f>IF(A51="", "", 'Lighting Inventory (Ref only)'!AO62)</f>
        <v/>
      </c>
      <c r="D51" s="370" t="str">
        <f>IF(B51= "","", Inventory!S59)</f>
        <v/>
      </c>
      <c r="E51" s="371"/>
      <c r="F51" s="298" t="str">
        <f>IF(B51="", "", 'Version Log'!$B$34)</f>
        <v/>
      </c>
      <c r="G51" s="298" t="str">
        <f t="shared" si="0"/>
        <v/>
      </c>
      <c r="H51" s="298" t="str">
        <f t="shared" si="1"/>
        <v/>
      </c>
      <c r="I51" s="298" t="str">
        <f>IF(B51="", "",Inventory!D59)</f>
        <v/>
      </c>
      <c r="J51" s="298" t="str">
        <f>IF(B51="","",IF(Inventory!C59="N","Interior","Exterior"))</f>
        <v/>
      </c>
      <c r="K51" s="298" t="str">
        <f t="shared" si="2"/>
        <v/>
      </c>
      <c r="L51" s="298" t="str">
        <f>IF(B51="", "", Inventory!E59)</f>
        <v/>
      </c>
      <c r="M51" s="298" t="str">
        <f>IF(B51="","",IF(Cool_Type=Lookups!$L$9,Cool_Type,IF(Cool_Type=Lookups!$L$10,Cool_Type,IF(Cool_Type=Lookups!$L$11,Cool_Type,IF(Cool_Type=Lookups!L61,Cool_Type,IF('Project Info and Summary'!$C$20="Electric",CONCATENATE(Cool_Type," ",Heating_Type," Heat"),IF('Project Info and Summary'!$C$20="Non-Electric",CONCATENATE(Cool_Type," ",Heating_Type," Heat"),CONCATENATE(Cool_Type," ",Heating_Type))))))))</f>
        <v/>
      </c>
      <c r="N51" s="298" t="str">
        <f t="shared" si="3"/>
        <v/>
      </c>
      <c r="O51" s="298" t="str">
        <f>IF(B51="", "", 'Lighting Inventory (Ref only)'!G62)</f>
        <v/>
      </c>
      <c r="P51" s="298" t="str">
        <f>IF(B51="", "", 'Lighting Inventory (Ref only)'!E62)</f>
        <v/>
      </c>
      <c r="Q51" s="298" t="str">
        <f>IF(B51="", "", 'Lighting Inventory (Ref only)'!J62)</f>
        <v/>
      </c>
      <c r="R51" s="298" t="str">
        <f>IF(B51="", "",'Lighting Inventory (Ref only)'!K62)</f>
        <v/>
      </c>
      <c r="S51" s="372" t="str">
        <f>IF(B51="", "", 'Lighting Inventory (Ref only)'!G62*'Lighting Inventory (Ref only)'!K62/1000)</f>
        <v/>
      </c>
      <c r="T51" s="298" t="str">
        <f>IF(B51="", "", IF('Lighting Inventory (Ref only)'!I62="", "Light Switch",Inventory!H59))</f>
        <v/>
      </c>
      <c r="U51" s="298" t="str">
        <f>IF(B51="", "", 'Lighting Inventory (Ref only)'!Q62)</f>
        <v/>
      </c>
      <c r="V51" s="298" t="str">
        <f>IF(B51="", "", 'Lighting Inventory (Ref only)'!K62)</f>
        <v/>
      </c>
      <c r="W51" s="373" t="str">
        <f>IF(B51="","",('Lighting Inventory (Ref only)'!L62/1000))</f>
        <v/>
      </c>
      <c r="X51" s="298" t="str">
        <f>IF(B51="", "", 'Lighting Inventory (Ref only)'!Q62)</f>
        <v/>
      </c>
      <c r="Y51" s="298" t="str">
        <f>IF(C51="", "", Inventory!N59)</f>
        <v/>
      </c>
      <c r="Z51" s="374" t="str">
        <f>IF(B51="", "", 'Lighting Inventory (Ref only)'!P62)</f>
        <v/>
      </c>
      <c r="AA51" s="372" t="str">
        <f>IF(B51="", "",'Lighting Inventory (Ref only)'!R62/1000)</f>
        <v/>
      </c>
      <c r="AB51" s="372" t="str">
        <f>IF(B51="", "", Inventory!M59)</f>
        <v/>
      </c>
      <c r="AC51" s="374" t="str">
        <f>IF(B51="", "", 'Lighting Inventory (Ref only)'!T62)</f>
        <v/>
      </c>
      <c r="AD51" s="374" t="str">
        <f>IF(C51="", "", 'Lighting Inventory (Ref only)'!AA62)</f>
        <v/>
      </c>
      <c r="AE51" s="375" t="str">
        <f>IF(B51="", "", 'Lighting Inventory (Ref only)'!U62)</f>
        <v/>
      </c>
      <c r="AF51" s="375" t="str">
        <f>IF(B51="", "",'Lighting Inventory (Ref only)'!W62)</f>
        <v/>
      </c>
      <c r="AG51" s="375" t="str">
        <f>IF(B51="", "", 'Lighting Inventory (Ref only)'!V62)</f>
        <v/>
      </c>
      <c r="AH51" s="375" t="str">
        <f>IF(B51="", "",'Lighting Inventory (Ref only)'!Z62)</f>
        <v/>
      </c>
      <c r="AI51" s="375" t="str">
        <f>IF(B51="", "", 'Lighting Inventory (Ref only)'!Y62)</f>
        <v/>
      </c>
      <c r="AJ51" s="375" t="str">
        <f>IF(C51="", "",'Lighting Inventory (Ref only)'!AB62)</f>
        <v/>
      </c>
      <c r="AK51" s="375" t="str">
        <f>IF(B51="", "", 'Lighting Inventory (Ref only)'!AG62)</f>
        <v/>
      </c>
      <c r="AL51" s="375" t="str">
        <f>IF(B51="", "", 'Lighting Inventory (Ref only)'!AD62)</f>
        <v/>
      </c>
      <c r="AM51" s="375" t="str">
        <f>IF(B51="", "", 'Lighting Inventory (Ref only)'!AE62)</f>
        <v/>
      </c>
      <c r="AN51" s="375" t="str">
        <f>IF(B51="", "", 'Lighting Inventory (Ref only)'!AF62)</f>
        <v/>
      </c>
      <c r="AO51" s="375" t="str">
        <f>IF(B51="", "", 'Lighting Inventory (Ref only)'!AG62)</f>
        <v/>
      </c>
    </row>
    <row r="52" spans="1:41">
      <c r="A52" s="298" t="str">
        <f>IF(G52="", "", Lookups!BF54)</f>
        <v/>
      </c>
      <c r="B52" s="298" t="str">
        <f>IF('Lighting Inventory (Ref only)'!Q63="", "", 'Lighting Inventory (Ref only)'!Q63)</f>
        <v/>
      </c>
      <c r="C52" s="298" t="str">
        <f>IF(A52="", "", 'Lighting Inventory (Ref only)'!AO63)</f>
        <v/>
      </c>
      <c r="D52" s="370" t="str">
        <f>IF(B52= "","", Inventory!S60)</f>
        <v/>
      </c>
      <c r="E52" s="371"/>
      <c r="F52" s="298" t="str">
        <f>IF(B52="", "", 'Version Log'!$B$34)</f>
        <v/>
      </c>
      <c r="G52" s="298" t="str">
        <f t="shared" si="0"/>
        <v/>
      </c>
      <c r="H52" s="298" t="str">
        <f t="shared" si="1"/>
        <v/>
      </c>
      <c r="I52" s="298" t="str">
        <f>IF(B52="", "",Inventory!D60)</f>
        <v/>
      </c>
      <c r="J52" s="298" t="str">
        <f>IF(B52="","",IF(Inventory!C60="N","Interior","Exterior"))</f>
        <v/>
      </c>
      <c r="K52" s="298" t="str">
        <f t="shared" si="2"/>
        <v/>
      </c>
      <c r="L52" s="298" t="str">
        <f>IF(B52="", "", Inventory!E60)</f>
        <v/>
      </c>
      <c r="M52" s="298" t="str">
        <f>IF(B52="","",IF(Cool_Type=Lookups!$L$9,Cool_Type,IF(Cool_Type=Lookups!$L$10,Cool_Type,IF(Cool_Type=Lookups!$L$11,Cool_Type,IF(Cool_Type=Lookups!L62,Cool_Type,IF('Project Info and Summary'!$C$20="Electric",CONCATENATE(Cool_Type," ",Heating_Type," Heat"),IF('Project Info and Summary'!$C$20="Non-Electric",CONCATENATE(Cool_Type," ",Heating_Type," Heat"),CONCATENATE(Cool_Type," ",Heating_Type))))))))</f>
        <v/>
      </c>
      <c r="N52" s="298" t="str">
        <f t="shared" si="3"/>
        <v/>
      </c>
      <c r="O52" s="298" t="str">
        <f>IF(B52="", "", 'Lighting Inventory (Ref only)'!G63)</f>
        <v/>
      </c>
      <c r="P52" s="298" t="str">
        <f>IF(B52="", "", 'Lighting Inventory (Ref only)'!E63)</f>
        <v/>
      </c>
      <c r="Q52" s="298" t="str">
        <f>IF(B52="", "", 'Lighting Inventory (Ref only)'!J63)</f>
        <v/>
      </c>
      <c r="R52" s="298" t="str">
        <f>IF(B52="", "",'Lighting Inventory (Ref only)'!K63)</f>
        <v/>
      </c>
      <c r="S52" s="372" t="str">
        <f>IF(B52="", "", 'Lighting Inventory (Ref only)'!G63*'Lighting Inventory (Ref only)'!K63/1000)</f>
        <v/>
      </c>
      <c r="T52" s="298" t="str">
        <f>IF(B52="", "", IF('Lighting Inventory (Ref only)'!I63="", "Light Switch",Inventory!H60))</f>
        <v/>
      </c>
      <c r="U52" s="298" t="str">
        <f>IF(B52="", "", 'Lighting Inventory (Ref only)'!Q63)</f>
        <v/>
      </c>
      <c r="V52" s="298" t="str">
        <f>IF(B52="", "", 'Lighting Inventory (Ref only)'!K63)</f>
        <v/>
      </c>
      <c r="W52" s="373" t="str">
        <f>IF(B52="","",('Lighting Inventory (Ref only)'!L63/1000))</f>
        <v/>
      </c>
      <c r="X52" s="298" t="str">
        <f>IF(B52="", "", 'Lighting Inventory (Ref only)'!Q63)</f>
        <v/>
      </c>
      <c r="Y52" s="298" t="str">
        <f>IF(C52="", "", Inventory!N60)</f>
        <v/>
      </c>
      <c r="Z52" s="374" t="str">
        <f>IF(B52="", "", 'Lighting Inventory (Ref only)'!P63)</f>
        <v/>
      </c>
      <c r="AA52" s="372" t="str">
        <f>IF(B52="", "",'Lighting Inventory (Ref only)'!R63/1000)</f>
        <v/>
      </c>
      <c r="AB52" s="372" t="str">
        <f>IF(B52="", "", Inventory!M60)</f>
        <v/>
      </c>
      <c r="AC52" s="374" t="str">
        <f>IF(B52="", "", 'Lighting Inventory (Ref only)'!T63)</f>
        <v/>
      </c>
      <c r="AD52" s="374" t="str">
        <f>IF(C52="", "", 'Lighting Inventory (Ref only)'!AA63)</f>
        <v/>
      </c>
      <c r="AE52" s="375" t="str">
        <f>IF(B52="", "", 'Lighting Inventory (Ref only)'!U63)</f>
        <v/>
      </c>
      <c r="AF52" s="375" t="str">
        <f>IF(B52="", "",'Lighting Inventory (Ref only)'!W63)</f>
        <v/>
      </c>
      <c r="AG52" s="375" t="str">
        <f>IF(B52="", "", 'Lighting Inventory (Ref only)'!V63)</f>
        <v/>
      </c>
      <c r="AH52" s="375" t="str">
        <f>IF(B52="", "",'Lighting Inventory (Ref only)'!Z63)</f>
        <v/>
      </c>
      <c r="AI52" s="375" t="str">
        <f>IF(B52="", "", 'Lighting Inventory (Ref only)'!Y63)</f>
        <v/>
      </c>
      <c r="AJ52" s="375" t="str">
        <f>IF(C52="", "",'Lighting Inventory (Ref only)'!AB63)</f>
        <v/>
      </c>
      <c r="AK52" s="375" t="str">
        <f>IF(B52="", "", 'Lighting Inventory (Ref only)'!AG63)</f>
        <v/>
      </c>
      <c r="AL52" s="375" t="str">
        <f>IF(B52="", "", 'Lighting Inventory (Ref only)'!AD63)</f>
        <v/>
      </c>
      <c r="AM52" s="375" t="str">
        <f>IF(B52="", "", 'Lighting Inventory (Ref only)'!AE63)</f>
        <v/>
      </c>
      <c r="AN52" s="375" t="str">
        <f>IF(B52="", "", 'Lighting Inventory (Ref only)'!AF63)</f>
        <v/>
      </c>
      <c r="AO52" s="375" t="str">
        <f>IF(B52="", "", 'Lighting Inventory (Ref only)'!AG63)</f>
        <v/>
      </c>
    </row>
    <row r="53" spans="1:41">
      <c r="A53" s="298" t="str">
        <f>IF(G53="", "", Lookups!BF55)</f>
        <v/>
      </c>
      <c r="B53" s="298" t="str">
        <f>IF('Lighting Inventory (Ref only)'!Q64="", "", 'Lighting Inventory (Ref only)'!Q64)</f>
        <v/>
      </c>
      <c r="C53" s="298" t="str">
        <f>IF(A53="", "", 'Lighting Inventory (Ref only)'!AO64)</f>
        <v/>
      </c>
      <c r="D53" s="370" t="str">
        <f>IF(B53= "","", Inventory!S61)</f>
        <v/>
      </c>
      <c r="E53" s="371"/>
      <c r="F53" s="298" t="str">
        <f>IF(B53="", "", 'Version Log'!$B$34)</f>
        <v/>
      </c>
      <c r="G53" s="298" t="str">
        <f t="shared" si="0"/>
        <v/>
      </c>
      <c r="H53" s="298" t="str">
        <f t="shared" si="1"/>
        <v/>
      </c>
      <c r="I53" s="298" t="str">
        <f>IF(B53="", "",Inventory!D61)</f>
        <v/>
      </c>
      <c r="J53" s="298" t="str">
        <f>IF(B53="","",IF(Inventory!C61="N","Interior","Exterior"))</f>
        <v/>
      </c>
      <c r="K53" s="298" t="str">
        <f t="shared" si="2"/>
        <v/>
      </c>
      <c r="L53" s="298" t="str">
        <f>IF(B53="", "", Inventory!E61)</f>
        <v/>
      </c>
      <c r="M53" s="298" t="str">
        <f>IF(B53="","",IF(Cool_Type=Lookups!$L$9,Cool_Type,IF(Cool_Type=Lookups!$L$10,Cool_Type,IF(Cool_Type=Lookups!$L$11,Cool_Type,IF(Cool_Type=Lookups!L63,Cool_Type,IF('Project Info and Summary'!$C$20="Electric",CONCATENATE(Cool_Type," ",Heating_Type," Heat"),IF('Project Info and Summary'!$C$20="Non-Electric",CONCATENATE(Cool_Type," ",Heating_Type," Heat"),CONCATENATE(Cool_Type," ",Heating_Type))))))))</f>
        <v/>
      </c>
      <c r="N53" s="298" t="str">
        <f t="shared" si="3"/>
        <v/>
      </c>
      <c r="O53" s="298" t="str">
        <f>IF(B53="", "", 'Lighting Inventory (Ref only)'!G64)</f>
        <v/>
      </c>
      <c r="P53" s="298" t="str">
        <f>IF(B53="", "", 'Lighting Inventory (Ref only)'!E64)</f>
        <v/>
      </c>
      <c r="Q53" s="298" t="str">
        <f>IF(B53="", "", 'Lighting Inventory (Ref only)'!J64)</f>
        <v/>
      </c>
      <c r="R53" s="298" t="str">
        <f>IF(B53="", "",'Lighting Inventory (Ref only)'!K64)</f>
        <v/>
      </c>
      <c r="S53" s="372" t="str">
        <f>IF(B53="", "", 'Lighting Inventory (Ref only)'!G64*'Lighting Inventory (Ref only)'!K64/1000)</f>
        <v/>
      </c>
      <c r="T53" s="298" t="str">
        <f>IF(B53="", "", IF('Lighting Inventory (Ref only)'!I64="", "Light Switch",Inventory!H61))</f>
        <v/>
      </c>
      <c r="U53" s="298" t="str">
        <f>IF(B53="", "", 'Lighting Inventory (Ref only)'!Q64)</f>
        <v/>
      </c>
      <c r="V53" s="298" t="str">
        <f>IF(B53="", "", 'Lighting Inventory (Ref only)'!K64)</f>
        <v/>
      </c>
      <c r="W53" s="373" t="str">
        <f>IF(B53="","",('Lighting Inventory (Ref only)'!L64/1000))</f>
        <v/>
      </c>
      <c r="X53" s="298" t="str">
        <f>IF(B53="", "", 'Lighting Inventory (Ref only)'!Q64)</f>
        <v/>
      </c>
      <c r="Y53" s="298" t="str">
        <f>IF(C53="", "", Inventory!N61)</f>
        <v/>
      </c>
      <c r="Z53" s="374" t="str">
        <f>IF(B53="", "", 'Lighting Inventory (Ref only)'!P64)</f>
        <v/>
      </c>
      <c r="AA53" s="372" t="str">
        <f>IF(B53="", "",'Lighting Inventory (Ref only)'!R64/1000)</f>
        <v/>
      </c>
      <c r="AB53" s="372" t="str">
        <f>IF(B53="", "", Inventory!M61)</f>
        <v/>
      </c>
      <c r="AC53" s="374" t="str">
        <f>IF(B53="", "", 'Lighting Inventory (Ref only)'!T64)</f>
        <v/>
      </c>
      <c r="AD53" s="374" t="str">
        <f>IF(C53="", "", 'Lighting Inventory (Ref only)'!AA64)</f>
        <v/>
      </c>
      <c r="AE53" s="375" t="str">
        <f>IF(B53="", "", 'Lighting Inventory (Ref only)'!U64)</f>
        <v/>
      </c>
      <c r="AF53" s="375" t="str">
        <f>IF(B53="", "",'Lighting Inventory (Ref only)'!W64)</f>
        <v/>
      </c>
      <c r="AG53" s="375" t="str">
        <f>IF(B53="", "", 'Lighting Inventory (Ref only)'!V64)</f>
        <v/>
      </c>
      <c r="AH53" s="375" t="str">
        <f>IF(B53="", "",'Lighting Inventory (Ref only)'!Z64)</f>
        <v/>
      </c>
      <c r="AI53" s="375" t="str">
        <f>IF(B53="", "", 'Lighting Inventory (Ref only)'!Y64)</f>
        <v/>
      </c>
      <c r="AJ53" s="375" t="str">
        <f>IF(C53="", "",'Lighting Inventory (Ref only)'!AB64)</f>
        <v/>
      </c>
      <c r="AK53" s="375" t="str">
        <f>IF(B53="", "", 'Lighting Inventory (Ref only)'!AG64)</f>
        <v/>
      </c>
      <c r="AL53" s="375" t="str">
        <f>IF(B53="", "", 'Lighting Inventory (Ref only)'!AD64)</f>
        <v/>
      </c>
      <c r="AM53" s="375" t="str">
        <f>IF(B53="", "", 'Lighting Inventory (Ref only)'!AE64)</f>
        <v/>
      </c>
      <c r="AN53" s="375" t="str">
        <f>IF(B53="", "", 'Lighting Inventory (Ref only)'!AF64)</f>
        <v/>
      </c>
      <c r="AO53" s="375" t="str">
        <f>IF(B53="", "", 'Lighting Inventory (Ref only)'!AG64)</f>
        <v/>
      </c>
    </row>
    <row r="54" spans="1:41">
      <c r="A54" s="298" t="str">
        <f>IF(G54="", "", Lookups!BF56)</f>
        <v/>
      </c>
      <c r="B54" s="298" t="str">
        <f>IF('Lighting Inventory (Ref only)'!Q65="", "", 'Lighting Inventory (Ref only)'!Q65)</f>
        <v/>
      </c>
      <c r="C54" s="298" t="str">
        <f>IF(A54="", "", 'Lighting Inventory (Ref only)'!AO65)</f>
        <v/>
      </c>
      <c r="D54" s="370" t="str">
        <f>IF(B54= "","", Inventory!S62)</f>
        <v/>
      </c>
      <c r="E54" s="371"/>
      <c r="F54" s="298" t="str">
        <f>IF(B54="", "", 'Version Log'!$B$34)</f>
        <v/>
      </c>
      <c r="G54" s="298" t="str">
        <f t="shared" si="0"/>
        <v/>
      </c>
      <c r="H54" s="298" t="str">
        <f t="shared" si="1"/>
        <v/>
      </c>
      <c r="I54" s="298" t="str">
        <f>IF(B54="", "",Inventory!D62)</f>
        <v/>
      </c>
      <c r="J54" s="298" t="str">
        <f>IF(B54="","",IF(Inventory!C62="N","Interior","Exterior"))</f>
        <v/>
      </c>
      <c r="K54" s="298" t="str">
        <f t="shared" si="2"/>
        <v/>
      </c>
      <c r="L54" s="298" t="str">
        <f>IF(B54="", "", Inventory!E62)</f>
        <v/>
      </c>
      <c r="M54" s="298" t="str">
        <f>IF(B54="","",IF(Cool_Type=Lookups!$L$9,Cool_Type,IF(Cool_Type=Lookups!$L$10,Cool_Type,IF(Cool_Type=Lookups!$L$11,Cool_Type,IF(Cool_Type=Lookups!L64,Cool_Type,IF('Project Info and Summary'!$C$20="Electric",CONCATENATE(Cool_Type," ",Heating_Type," Heat"),IF('Project Info and Summary'!$C$20="Non-Electric",CONCATENATE(Cool_Type," ",Heating_Type," Heat"),CONCATENATE(Cool_Type," ",Heating_Type))))))))</f>
        <v/>
      </c>
      <c r="N54" s="298" t="str">
        <f t="shared" si="3"/>
        <v/>
      </c>
      <c r="O54" s="298" t="str">
        <f>IF(B54="", "", 'Lighting Inventory (Ref only)'!G65)</f>
        <v/>
      </c>
      <c r="P54" s="298" t="str">
        <f>IF(B54="", "", 'Lighting Inventory (Ref only)'!E65)</f>
        <v/>
      </c>
      <c r="Q54" s="298" t="str">
        <f>IF(B54="", "", 'Lighting Inventory (Ref only)'!J65)</f>
        <v/>
      </c>
      <c r="R54" s="298" t="str">
        <f>IF(B54="", "",'Lighting Inventory (Ref only)'!K65)</f>
        <v/>
      </c>
      <c r="S54" s="372" t="str">
        <f>IF(B54="", "", 'Lighting Inventory (Ref only)'!G65*'Lighting Inventory (Ref only)'!K65/1000)</f>
        <v/>
      </c>
      <c r="T54" s="298" t="str">
        <f>IF(B54="", "", IF('Lighting Inventory (Ref only)'!I65="", "Light Switch",Inventory!H62))</f>
        <v/>
      </c>
      <c r="U54" s="298" t="str">
        <f>IF(B54="", "", 'Lighting Inventory (Ref only)'!Q65)</f>
        <v/>
      </c>
      <c r="V54" s="298" t="str">
        <f>IF(B54="", "", 'Lighting Inventory (Ref only)'!K65)</f>
        <v/>
      </c>
      <c r="W54" s="373" t="str">
        <f>IF(B54="","",('Lighting Inventory (Ref only)'!L65/1000))</f>
        <v/>
      </c>
      <c r="X54" s="298" t="str">
        <f>IF(B54="", "", 'Lighting Inventory (Ref only)'!Q65)</f>
        <v/>
      </c>
      <c r="Y54" s="298" t="str">
        <f>IF(C54="", "", Inventory!N62)</f>
        <v/>
      </c>
      <c r="Z54" s="374" t="str">
        <f>IF(B54="", "", 'Lighting Inventory (Ref only)'!P65)</f>
        <v/>
      </c>
      <c r="AA54" s="372" t="str">
        <f>IF(B54="", "",'Lighting Inventory (Ref only)'!R65/1000)</f>
        <v/>
      </c>
      <c r="AB54" s="372" t="str">
        <f>IF(B54="", "", Inventory!M62)</f>
        <v/>
      </c>
      <c r="AC54" s="374" t="str">
        <f>IF(B54="", "", 'Lighting Inventory (Ref only)'!T65)</f>
        <v/>
      </c>
      <c r="AD54" s="374" t="str">
        <f>IF(C54="", "", 'Lighting Inventory (Ref only)'!AA65)</f>
        <v/>
      </c>
      <c r="AE54" s="375" t="str">
        <f>IF(B54="", "", 'Lighting Inventory (Ref only)'!U65)</f>
        <v/>
      </c>
      <c r="AF54" s="375" t="str">
        <f>IF(B54="", "",'Lighting Inventory (Ref only)'!W65)</f>
        <v/>
      </c>
      <c r="AG54" s="375" t="str">
        <f>IF(B54="", "", 'Lighting Inventory (Ref only)'!V65)</f>
        <v/>
      </c>
      <c r="AH54" s="375" t="str">
        <f>IF(B54="", "",'Lighting Inventory (Ref only)'!Z65)</f>
        <v/>
      </c>
      <c r="AI54" s="375" t="str">
        <f>IF(B54="", "", 'Lighting Inventory (Ref only)'!Y65)</f>
        <v/>
      </c>
      <c r="AJ54" s="375" t="str">
        <f>IF(C54="", "",'Lighting Inventory (Ref only)'!AB65)</f>
        <v/>
      </c>
      <c r="AK54" s="375" t="str">
        <f>IF(B54="", "", 'Lighting Inventory (Ref only)'!AG65)</f>
        <v/>
      </c>
      <c r="AL54" s="375" t="str">
        <f>IF(B54="", "", 'Lighting Inventory (Ref only)'!AD65)</f>
        <v/>
      </c>
      <c r="AM54" s="375" t="str">
        <f>IF(B54="", "", 'Lighting Inventory (Ref only)'!AE65)</f>
        <v/>
      </c>
      <c r="AN54" s="375" t="str">
        <f>IF(B54="", "", 'Lighting Inventory (Ref only)'!AF65)</f>
        <v/>
      </c>
      <c r="AO54" s="375" t="str">
        <f>IF(B54="", "", 'Lighting Inventory (Ref only)'!AG65)</f>
        <v/>
      </c>
    </row>
    <row r="55" spans="1:41">
      <c r="A55" s="298" t="str">
        <f>IF(G55="", "", Lookups!BF57)</f>
        <v/>
      </c>
      <c r="B55" s="298" t="str">
        <f>IF('Lighting Inventory (Ref only)'!Q66="", "", 'Lighting Inventory (Ref only)'!Q66)</f>
        <v/>
      </c>
      <c r="C55" s="298" t="str">
        <f>IF(A55="", "", 'Lighting Inventory (Ref only)'!AO66)</f>
        <v/>
      </c>
      <c r="D55" s="370" t="str">
        <f>IF(B55= "","", Inventory!S63)</f>
        <v/>
      </c>
      <c r="E55" s="371"/>
      <c r="F55" s="298" t="str">
        <f>IF(B55="", "", 'Version Log'!$B$34)</f>
        <v/>
      </c>
      <c r="G55" s="298" t="str">
        <f t="shared" si="0"/>
        <v/>
      </c>
      <c r="H55" s="298" t="str">
        <f t="shared" si="1"/>
        <v/>
      </c>
      <c r="I55" s="298" t="str">
        <f>IF(B55="", "",Inventory!D63)</f>
        <v/>
      </c>
      <c r="J55" s="298" t="str">
        <f>IF(B55="","",IF(Inventory!C63="N","Interior","Exterior"))</f>
        <v/>
      </c>
      <c r="K55" s="298" t="str">
        <f t="shared" si="2"/>
        <v/>
      </c>
      <c r="L55" s="298" t="str">
        <f>IF(B55="", "", Inventory!E63)</f>
        <v/>
      </c>
      <c r="M55" s="298" t="str">
        <f>IF(B55="","",IF(Cool_Type=Lookups!$L$9,Cool_Type,IF(Cool_Type=Lookups!$L$10,Cool_Type,IF(Cool_Type=Lookups!$L$11,Cool_Type,IF(Cool_Type=Lookups!L65,Cool_Type,IF('Project Info and Summary'!$C$20="Electric",CONCATENATE(Cool_Type," ",Heating_Type," Heat"),IF('Project Info and Summary'!$C$20="Non-Electric",CONCATENATE(Cool_Type," ",Heating_Type," Heat"),CONCATENATE(Cool_Type," ",Heating_Type))))))))</f>
        <v/>
      </c>
      <c r="N55" s="298" t="str">
        <f t="shared" si="3"/>
        <v/>
      </c>
      <c r="O55" s="298" t="str">
        <f>IF(B55="", "", 'Lighting Inventory (Ref only)'!G66)</f>
        <v/>
      </c>
      <c r="P55" s="298" t="str">
        <f>IF(B55="", "", 'Lighting Inventory (Ref only)'!E66)</f>
        <v/>
      </c>
      <c r="Q55" s="298" t="str">
        <f>IF(B55="", "", 'Lighting Inventory (Ref only)'!J66)</f>
        <v/>
      </c>
      <c r="R55" s="298" t="str">
        <f>IF(B55="", "",'Lighting Inventory (Ref only)'!K66)</f>
        <v/>
      </c>
      <c r="S55" s="372" t="str">
        <f>IF(B55="", "", 'Lighting Inventory (Ref only)'!G66*'Lighting Inventory (Ref only)'!K66/1000)</f>
        <v/>
      </c>
      <c r="T55" s="298" t="str">
        <f>IF(B55="", "", IF('Lighting Inventory (Ref only)'!I66="", "Light Switch",Inventory!H63))</f>
        <v/>
      </c>
      <c r="U55" s="298" t="str">
        <f>IF(B55="", "", 'Lighting Inventory (Ref only)'!Q66)</f>
        <v/>
      </c>
      <c r="V55" s="298" t="str">
        <f>IF(B55="", "", 'Lighting Inventory (Ref only)'!K66)</f>
        <v/>
      </c>
      <c r="W55" s="373" t="str">
        <f>IF(B55="","",('Lighting Inventory (Ref only)'!L66/1000))</f>
        <v/>
      </c>
      <c r="X55" s="298" t="str">
        <f>IF(B55="", "", 'Lighting Inventory (Ref only)'!Q66)</f>
        <v/>
      </c>
      <c r="Y55" s="298" t="str">
        <f>IF(C55="", "", Inventory!N63)</f>
        <v/>
      </c>
      <c r="Z55" s="374" t="str">
        <f>IF(B55="", "", 'Lighting Inventory (Ref only)'!P66)</f>
        <v/>
      </c>
      <c r="AA55" s="372" t="str">
        <f>IF(B55="", "",'Lighting Inventory (Ref only)'!R66/1000)</f>
        <v/>
      </c>
      <c r="AB55" s="372" t="str">
        <f>IF(B55="", "", Inventory!M63)</f>
        <v/>
      </c>
      <c r="AC55" s="374" t="str">
        <f>IF(B55="", "", 'Lighting Inventory (Ref only)'!T66)</f>
        <v/>
      </c>
      <c r="AD55" s="374" t="str">
        <f>IF(C55="", "", 'Lighting Inventory (Ref only)'!AA66)</f>
        <v/>
      </c>
      <c r="AE55" s="375" t="str">
        <f>IF(B55="", "", 'Lighting Inventory (Ref only)'!U66)</f>
        <v/>
      </c>
      <c r="AF55" s="375" t="str">
        <f>IF(B55="", "",'Lighting Inventory (Ref only)'!W66)</f>
        <v/>
      </c>
      <c r="AG55" s="375" t="str">
        <f>IF(B55="", "", 'Lighting Inventory (Ref only)'!V66)</f>
        <v/>
      </c>
      <c r="AH55" s="375" t="str">
        <f>IF(B55="", "",'Lighting Inventory (Ref only)'!Z66)</f>
        <v/>
      </c>
      <c r="AI55" s="375" t="str">
        <f>IF(B55="", "", 'Lighting Inventory (Ref only)'!Y66)</f>
        <v/>
      </c>
      <c r="AJ55" s="375" t="str">
        <f>IF(C55="", "",'Lighting Inventory (Ref only)'!AB66)</f>
        <v/>
      </c>
      <c r="AK55" s="375" t="str">
        <f>IF(B55="", "", 'Lighting Inventory (Ref only)'!AG66)</f>
        <v/>
      </c>
      <c r="AL55" s="375" t="str">
        <f>IF(B55="", "", 'Lighting Inventory (Ref only)'!AD66)</f>
        <v/>
      </c>
      <c r="AM55" s="375" t="str">
        <f>IF(B55="", "", 'Lighting Inventory (Ref only)'!AE66)</f>
        <v/>
      </c>
      <c r="AN55" s="375" t="str">
        <f>IF(B55="", "", 'Lighting Inventory (Ref only)'!AF66)</f>
        <v/>
      </c>
      <c r="AO55" s="375" t="str">
        <f>IF(B55="", "", 'Lighting Inventory (Ref only)'!AG66)</f>
        <v/>
      </c>
    </row>
    <row r="56" spans="1:41">
      <c r="A56" s="298" t="str">
        <f>IF(G56="", "", Lookups!BF58)</f>
        <v/>
      </c>
      <c r="B56" s="298" t="str">
        <f>IF('Lighting Inventory (Ref only)'!Q67="", "", 'Lighting Inventory (Ref only)'!Q67)</f>
        <v/>
      </c>
      <c r="C56" s="298" t="str">
        <f>IF(A56="", "", 'Lighting Inventory (Ref only)'!AO67)</f>
        <v/>
      </c>
      <c r="D56" s="370" t="str">
        <f>IF(B56= "","", Inventory!S64)</f>
        <v/>
      </c>
      <c r="E56" s="371"/>
      <c r="F56" s="298" t="str">
        <f>IF(B56="", "", 'Version Log'!$B$34)</f>
        <v/>
      </c>
      <c r="G56" s="298" t="str">
        <f t="shared" si="0"/>
        <v/>
      </c>
      <c r="H56" s="298" t="str">
        <f t="shared" si="1"/>
        <v/>
      </c>
      <c r="I56" s="298" t="str">
        <f>IF(B56="", "",Inventory!D64)</f>
        <v/>
      </c>
      <c r="J56" s="298" t="str">
        <f>IF(B56="","",IF(Inventory!C64="N","Interior","Exterior"))</f>
        <v/>
      </c>
      <c r="K56" s="298" t="str">
        <f t="shared" si="2"/>
        <v/>
      </c>
      <c r="L56" s="298" t="str">
        <f>IF(B56="", "", Inventory!E64)</f>
        <v/>
      </c>
      <c r="M56" s="298" t="str">
        <f>IF(B56="","",IF(Cool_Type=Lookups!$L$9,Cool_Type,IF(Cool_Type=Lookups!$L$10,Cool_Type,IF(Cool_Type=Lookups!$L$11,Cool_Type,IF(Cool_Type=Lookups!L66,Cool_Type,IF('Project Info and Summary'!$C$20="Electric",CONCATENATE(Cool_Type," ",Heating_Type," Heat"),IF('Project Info and Summary'!$C$20="Non-Electric",CONCATENATE(Cool_Type," ",Heating_Type," Heat"),CONCATENATE(Cool_Type," ",Heating_Type))))))))</f>
        <v/>
      </c>
      <c r="N56" s="298" t="str">
        <f t="shared" si="3"/>
        <v/>
      </c>
      <c r="O56" s="298" t="str">
        <f>IF(B56="", "", 'Lighting Inventory (Ref only)'!G67)</f>
        <v/>
      </c>
      <c r="P56" s="298" t="str">
        <f>IF(B56="", "", 'Lighting Inventory (Ref only)'!E67)</f>
        <v/>
      </c>
      <c r="Q56" s="298" t="str">
        <f>IF(B56="", "", 'Lighting Inventory (Ref only)'!J67)</f>
        <v/>
      </c>
      <c r="R56" s="298" t="str">
        <f>IF(B56="", "",'Lighting Inventory (Ref only)'!K67)</f>
        <v/>
      </c>
      <c r="S56" s="372" t="str">
        <f>IF(B56="", "", 'Lighting Inventory (Ref only)'!G67*'Lighting Inventory (Ref only)'!K67/1000)</f>
        <v/>
      </c>
      <c r="T56" s="298" t="str">
        <f>IF(B56="", "", IF('Lighting Inventory (Ref only)'!I67="", "Light Switch",Inventory!H64))</f>
        <v/>
      </c>
      <c r="U56" s="298" t="str">
        <f>IF(B56="", "", 'Lighting Inventory (Ref only)'!Q67)</f>
        <v/>
      </c>
      <c r="V56" s="298" t="str">
        <f>IF(B56="", "", 'Lighting Inventory (Ref only)'!K67)</f>
        <v/>
      </c>
      <c r="W56" s="373" t="str">
        <f>IF(B56="","",('Lighting Inventory (Ref only)'!L67/1000))</f>
        <v/>
      </c>
      <c r="X56" s="298" t="str">
        <f>IF(B56="", "", 'Lighting Inventory (Ref only)'!Q67)</f>
        <v/>
      </c>
      <c r="Y56" s="298" t="str">
        <f>IF(C56="", "", Inventory!N64)</f>
        <v/>
      </c>
      <c r="Z56" s="374" t="str">
        <f>IF(B56="", "", 'Lighting Inventory (Ref only)'!P67)</f>
        <v/>
      </c>
      <c r="AA56" s="372" t="str">
        <f>IF(B56="", "",'Lighting Inventory (Ref only)'!R67/1000)</f>
        <v/>
      </c>
      <c r="AB56" s="372" t="str">
        <f>IF(B56="", "", Inventory!M64)</f>
        <v/>
      </c>
      <c r="AC56" s="374" t="str">
        <f>IF(B56="", "", 'Lighting Inventory (Ref only)'!T67)</f>
        <v/>
      </c>
      <c r="AD56" s="374" t="str">
        <f>IF(C56="", "", 'Lighting Inventory (Ref only)'!AA67)</f>
        <v/>
      </c>
      <c r="AE56" s="375" t="str">
        <f>IF(B56="", "", 'Lighting Inventory (Ref only)'!U67)</f>
        <v/>
      </c>
      <c r="AF56" s="375" t="str">
        <f>IF(B56="", "",'Lighting Inventory (Ref only)'!W67)</f>
        <v/>
      </c>
      <c r="AG56" s="375" t="str">
        <f>IF(B56="", "", 'Lighting Inventory (Ref only)'!V67)</f>
        <v/>
      </c>
      <c r="AH56" s="375" t="str">
        <f>IF(B56="", "",'Lighting Inventory (Ref only)'!Z67)</f>
        <v/>
      </c>
      <c r="AI56" s="375" t="str">
        <f>IF(B56="", "", 'Lighting Inventory (Ref only)'!Y67)</f>
        <v/>
      </c>
      <c r="AJ56" s="375" t="str">
        <f>IF(C56="", "",'Lighting Inventory (Ref only)'!AB67)</f>
        <v/>
      </c>
      <c r="AK56" s="375" t="str">
        <f>IF(B56="", "", 'Lighting Inventory (Ref only)'!AG67)</f>
        <v/>
      </c>
      <c r="AL56" s="375" t="str">
        <f>IF(B56="", "", 'Lighting Inventory (Ref only)'!AD67)</f>
        <v/>
      </c>
      <c r="AM56" s="375" t="str">
        <f>IF(B56="", "", 'Lighting Inventory (Ref only)'!AE67)</f>
        <v/>
      </c>
      <c r="AN56" s="375" t="str">
        <f>IF(B56="", "", 'Lighting Inventory (Ref only)'!AF67)</f>
        <v/>
      </c>
      <c r="AO56" s="375" t="str">
        <f>IF(B56="", "", 'Lighting Inventory (Ref only)'!AG67)</f>
        <v/>
      </c>
    </row>
    <row r="57" spans="1:41">
      <c r="A57" s="298" t="str">
        <f>IF(G57="", "", Lookups!BF59)</f>
        <v/>
      </c>
      <c r="B57" s="298" t="str">
        <f>IF('Lighting Inventory (Ref only)'!Q68="", "", 'Lighting Inventory (Ref only)'!Q68)</f>
        <v/>
      </c>
      <c r="C57" s="298" t="str">
        <f>IF(A57="", "", 'Lighting Inventory (Ref only)'!AO68)</f>
        <v/>
      </c>
      <c r="D57" s="370" t="str">
        <f>IF(B57= "","", Inventory!S65)</f>
        <v/>
      </c>
      <c r="E57" s="371"/>
      <c r="F57" s="298" t="str">
        <f>IF(B57="", "", 'Version Log'!$B$34)</f>
        <v/>
      </c>
      <c r="G57" s="298" t="str">
        <f t="shared" si="0"/>
        <v/>
      </c>
      <c r="H57" s="298" t="str">
        <f t="shared" si="1"/>
        <v/>
      </c>
      <c r="I57" s="298" t="str">
        <f>IF(B57="", "",Inventory!D65)</f>
        <v/>
      </c>
      <c r="J57" s="298" t="str">
        <f>IF(B57="","",IF(Inventory!C65="N","Interior","Exterior"))</f>
        <v/>
      </c>
      <c r="K57" s="298" t="str">
        <f t="shared" si="2"/>
        <v/>
      </c>
      <c r="L57" s="298" t="str">
        <f>IF(B57="", "", Inventory!E65)</f>
        <v/>
      </c>
      <c r="M57" s="298" t="str">
        <f>IF(B57="","",IF(Cool_Type=Lookups!$L$9,Cool_Type,IF(Cool_Type=Lookups!$L$10,Cool_Type,IF(Cool_Type=Lookups!$L$11,Cool_Type,IF(Cool_Type=Lookups!L67,Cool_Type,IF('Project Info and Summary'!$C$20="Electric",CONCATENATE(Cool_Type," ",Heating_Type," Heat"),IF('Project Info and Summary'!$C$20="Non-Electric",CONCATENATE(Cool_Type," ",Heating_Type," Heat"),CONCATENATE(Cool_Type," ",Heating_Type))))))))</f>
        <v/>
      </c>
      <c r="N57" s="298" t="str">
        <f t="shared" si="3"/>
        <v/>
      </c>
      <c r="O57" s="298" t="str">
        <f>IF(B57="", "", 'Lighting Inventory (Ref only)'!G68)</f>
        <v/>
      </c>
      <c r="P57" s="298" t="str">
        <f>IF(B57="", "", 'Lighting Inventory (Ref only)'!E68)</f>
        <v/>
      </c>
      <c r="Q57" s="298" t="str">
        <f>IF(B57="", "", 'Lighting Inventory (Ref only)'!J68)</f>
        <v/>
      </c>
      <c r="R57" s="298" t="str">
        <f>IF(B57="", "",'Lighting Inventory (Ref only)'!K68)</f>
        <v/>
      </c>
      <c r="S57" s="372" t="str">
        <f>IF(B57="", "", 'Lighting Inventory (Ref only)'!G68*'Lighting Inventory (Ref only)'!K68/1000)</f>
        <v/>
      </c>
      <c r="T57" s="298" t="str">
        <f>IF(B57="", "", IF('Lighting Inventory (Ref only)'!I68="", "Light Switch",Inventory!H65))</f>
        <v/>
      </c>
      <c r="U57" s="298" t="str">
        <f>IF(B57="", "", 'Lighting Inventory (Ref only)'!Q68)</f>
        <v/>
      </c>
      <c r="V57" s="298" t="str">
        <f>IF(B57="", "", 'Lighting Inventory (Ref only)'!K68)</f>
        <v/>
      </c>
      <c r="W57" s="373" t="str">
        <f>IF(B57="","",('Lighting Inventory (Ref only)'!L68/1000))</f>
        <v/>
      </c>
      <c r="X57" s="298" t="str">
        <f>IF(B57="", "", 'Lighting Inventory (Ref only)'!Q68)</f>
        <v/>
      </c>
      <c r="Y57" s="298" t="str">
        <f>IF(C57="", "", Inventory!N65)</f>
        <v/>
      </c>
      <c r="Z57" s="374" t="str">
        <f>IF(B57="", "", 'Lighting Inventory (Ref only)'!P68)</f>
        <v/>
      </c>
      <c r="AA57" s="372" t="str">
        <f>IF(B57="", "",'Lighting Inventory (Ref only)'!R68/1000)</f>
        <v/>
      </c>
      <c r="AB57" s="372" t="str">
        <f>IF(B57="", "", Inventory!M65)</f>
        <v/>
      </c>
      <c r="AC57" s="374" t="str">
        <f>IF(B57="", "", 'Lighting Inventory (Ref only)'!T68)</f>
        <v/>
      </c>
      <c r="AD57" s="374" t="str">
        <f>IF(C57="", "", 'Lighting Inventory (Ref only)'!AA68)</f>
        <v/>
      </c>
      <c r="AE57" s="375" t="str">
        <f>IF(B57="", "", 'Lighting Inventory (Ref only)'!U68)</f>
        <v/>
      </c>
      <c r="AF57" s="375" t="str">
        <f>IF(B57="", "",'Lighting Inventory (Ref only)'!W68)</f>
        <v/>
      </c>
      <c r="AG57" s="375" t="str">
        <f>IF(B57="", "", 'Lighting Inventory (Ref only)'!V68)</f>
        <v/>
      </c>
      <c r="AH57" s="375" t="str">
        <f>IF(B57="", "",'Lighting Inventory (Ref only)'!Z68)</f>
        <v/>
      </c>
      <c r="AI57" s="375" t="str">
        <f>IF(B57="", "", 'Lighting Inventory (Ref only)'!Y68)</f>
        <v/>
      </c>
      <c r="AJ57" s="375" t="str">
        <f>IF(C57="", "",'Lighting Inventory (Ref only)'!AB68)</f>
        <v/>
      </c>
      <c r="AK57" s="375" t="str">
        <f>IF(B57="", "", 'Lighting Inventory (Ref only)'!AG68)</f>
        <v/>
      </c>
      <c r="AL57" s="375" t="str">
        <f>IF(B57="", "", 'Lighting Inventory (Ref only)'!AD68)</f>
        <v/>
      </c>
      <c r="AM57" s="375" t="str">
        <f>IF(B57="", "", 'Lighting Inventory (Ref only)'!AE68)</f>
        <v/>
      </c>
      <c r="AN57" s="375" t="str">
        <f>IF(B57="", "", 'Lighting Inventory (Ref only)'!AF68)</f>
        <v/>
      </c>
      <c r="AO57" s="375" t="str">
        <f>IF(B57="", "", 'Lighting Inventory (Ref only)'!AG68)</f>
        <v/>
      </c>
    </row>
    <row r="58" spans="1:41">
      <c r="A58" s="298" t="str">
        <f>IF(G58="", "", Lookups!BF60)</f>
        <v/>
      </c>
      <c r="B58" s="298" t="str">
        <f>IF('Lighting Inventory (Ref only)'!Q69="", "", 'Lighting Inventory (Ref only)'!Q69)</f>
        <v/>
      </c>
      <c r="C58" s="298" t="str">
        <f>IF(A58="", "", 'Lighting Inventory (Ref only)'!AO69)</f>
        <v/>
      </c>
      <c r="D58" s="370" t="str">
        <f>IF(B58= "","", Inventory!S66)</f>
        <v/>
      </c>
      <c r="E58" s="371"/>
      <c r="F58" s="298" t="str">
        <f>IF(B58="", "", 'Version Log'!$B$34)</f>
        <v/>
      </c>
      <c r="G58" s="298" t="str">
        <f t="shared" si="0"/>
        <v/>
      </c>
      <c r="H58" s="298" t="str">
        <f t="shared" si="1"/>
        <v/>
      </c>
      <c r="I58" s="298" t="str">
        <f>IF(B58="", "",Inventory!D66)</f>
        <v/>
      </c>
      <c r="J58" s="298" t="str">
        <f>IF(B58="","",IF(Inventory!C66="N","Interior","Exterior"))</f>
        <v/>
      </c>
      <c r="K58" s="298" t="str">
        <f t="shared" si="2"/>
        <v/>
      </c>
      <c r="L58" s="298" t="str">
        <f>IF(B58="", "", Inventory!E66)</f>
        <v/>
      </c>
      <c r="M58" s="298" t="str">
        <f>IF(B58="","",IF(Cool_Type=Lookups!$L$9,Cool_Type,IF(Cool_Type=Lookups!$L$10,Cool_Type,IF(Cool_Type=Lookups!$L$11,Cool_Type,IF(Cool_Type=Lookups!L68,Cool_Type,IF('Project Info and Summary'!$C$20="Electric",CONCATENATE(Cool_Type," ",Heating_Type," Heat"),IF('Project Info and Summary'!$C$20="Non-Electric",CONCATENATE(Cool_Type," ",Heating_Type," Heat"),CONCATENATE(Cool_Type," ",Heating_Type))))))))</f>
        <v/>
      </c>
      <c r="N58" s="298" t="str">
        <f t="shared" si="3"/>
        <v/>
      </c>
      <c r="O58" s="298" t="str">
        <f>IF(B58="", "", 'Lighting Inventory (Ref only)'!G69)</f>
        <v/>
      </c>
      <c r="P58" s="298" t="str">
        <f>IF(B58="", "", 'Lighting Inventory (Ref only)'!E69)</f>
        <v/>
      </c>
      <c r="Q58" s="298" t="str">
        <f>IF(B58="", "", 'Lighting Inventory (Ref only)'!J69)</f>
        <v/>
      </c>
      <c r="R58" s="298" t="str">
        <f>IF(B58="", "",'Lighting Inventory (Ref only)'!K69)</f>
        <v/>
      </c>
      <c r="S58" s="372" t="str">
        <f>IF(B58="", "", 'Lighting Inventory (Ref only)'!G69*'Lighting Inventory (Ref only)'!K69/1000)</f>
        <v/>
      </c>
      <c r="T58" s="298" t="str">
        <f>IF(B58="", "", IF('Lighting Inventory (Ref only)'!I69="", "Light Switch",Inventory!H66))</f>
        <v/>
      </c>
      <c r="U58" s="298" t="str">
        <f>IF(B58="", "", 'Lighting Inventory (Ref only)'!Q69)</f>
        <v/>
      </c>
      <c r="V58" s="298" t="str">
        <f>IF(B58="", "", 'Lighting Inventory (Ref only)'!K69)</f>
        <v/>
      </c>
      <c r="W58" s="373" t="str">
        <f>IF(B58="","",('Lighting Inventory (Ref only)'!L69/1000))</f>
        <v/>
      </c>
      <c r="X58" s="298" t="str">
        <f>IF(B58="", "", 'Lighting Inventory (Ref only)'!Q69)</f>
        <v/>
      </c>
      <c r="Y58" s="298" t="str">
        <f>IF(C58="", "", Inventory!N66)</f>
        <v/>
      </c>
      <c r="Z58" s="374" t="str">
        <f>IF(B58="", "", 'Lighting Inventory (Ref only)'!P69)</f>
        <v/>
      </c>
      <c r="AA58" s="372" t="str">
        <f>IF(B58="", "",'Lighting Inventory (Ref only)'!R69/1000)</f>
        <v/>
      </c>
      <c r="AB58" s="372" t="str">
        <f>IF(B58="", "", Inventory!M66)</f>
        <v/>
      </c>
      <c r="AC58" s="374" t="str">
        <f>IF(B58="", "", 'Lighting Inventory (Ref only)'!T69)</f>
        <v/>
      </c>
      <c r="AD58" s="374" t="str">
        <f>IF(C58="", "", 'Lighting Inventory (Ref only)'!AA69)</f>
        <v/>
      </c>
      <c r="AE58" s="375" t="str">
        <f>IF(B58="", "", 'Lighting Inventory (Ref only)'!U69)</f>
        <v/>
      </c>
      <c r="AF58" s="375" t="str">
        <f>IF(B58="", "",'Lighting Inventory (Ref only)'!W69)</f>
        <v/>
      </c>
      <c r="AG58" s="375" t="str">
        <f>IF(B58="", "", 'Lighting Inventory (Ref only)'!V69)</f>
        <v/>
      </c>
      <c r="AH58" s="375" t="str">
        <f>IF(B58="", "",'Lighting Inventory (Ref only)'!Z69)</f>
        <v/>
      </c>
      <c r="AI58" s="375" t="str">
        <f>IF(B58="", "", 'Lighting Inventory (Ref only)'!Y69)</f>
        <v/>
      </c>
      <c r="AJ58" s="375" t="str">
        <f>IF(C58="", "",'Lighting Inventory (Ref only)'!AB69)</f>
        <v/>
      </c>
      <c r="AK58" s="375" t="str">
        <f>IF(B58="", "", 'Lighting Inventory (Ref only)'!AG69)</f>
        <v/>
      </c>
      <c r="AL58" s="375" t="str">
        <f>IF(B58="", "", 'Lighting Inventory (Ref only)'!AD69)</f>
        <v/>
      </c>
      <c r="AM58" s="375" t="str">
        <f>IF(B58="", "", 'Lighting Inventory (Ref only)'!AE69)</f>
        <v/>
      </c>
      <c r="AN58" s="375" t="str">
        <f>IF(B58="", "", 'Lighting Inventory (Ref only)'!AF69)</f>
        <v/>
      </c>
      <c r="AO58" s="375" t="str">
        <f>IF(B58="", "", 'Lighting Inventory (Ref only)'!AG69)</f>
        <v/>
      </c>
    </row>
    <row r="59" spans="1:41">
      <c r="A59" s="298" t="str">
        <f>IF(G59="", "", Lookups!BF61)</f>
        <v/>
      </c>
      <c r="B59" s="298" t="str">
        <f>IF('Lighting Inventory (Ref only)'!Q70="", "", 'Lighting Inventory (Ref only)'!Q70)</f>
        <v/>
      </c>
      <c r="C59" s="298" t="str">
        <f>IF(A59="", "", 'Lighting Inventory (Ref only)'!AO70)</f>
        <v/>
      </c>
      <c r="D59" s="370" t="str">
        <f>IF(B59= "","", Inventory!S67)</f>
        <v/>
      </c>
      <c r="E59" s="371"/>
      <c r="F59" s="298" t="str">
        <f>IF(B59="", "", 'Version Log'!$B$34)</f>
        <v/>
      </c>
      <c r="G59" s="298" t="str">
        <f t="shared" si="0"/>
        <v/>
      </c>
      <c r="H59" s="298" t="str">
        <f t="shared" si="1"/>
        <v/>
      </c>
      <c r="I59" s="298" t="str">
        <f>IF(B59="", "",Inventory!D67)</f>
        <v/>
      </c>
      <c r="J59" s="298" t="str">
        <f>IF(B59="","",IF(Inventory!C67="N","Interior","Exterior"))</f>
        <v/>
      </c>
      <c r="K59" s="298" t="str">
        <f t="shared" si="2"/>
        <v/>
      </c>
      <c r="L59" s="298" t="str">
        <f>IF(B59="", "", Inventory!E67)</f>
        <v/>
      </c>
      <c r="M59" s="298" t="str">
        <f>IF(B59="","",IF(Cool_Type=Lookups!$L$9,Cool_Type,IF(Cool_Type=Lookups!$L$10,Cool_Type,IF(Cool_Type=Lookups!$L$11,Cool_Type,IF(Cool_Type=Lookups!L69,Cool_Type,IF('Project Info and Summary'!$C$20="Electric",CONCATENATE(Cool_Type," ",Heating_Type," Heat"),IF('Project Info and Summary'!$C$20="Non-Electric",CONCATENATE(Cool_Type," ",Heating_Type," Heat"),CONCATENATE(Cool_Type," ",Heating_Type))))))))</f>
        <v/>
      </c>
      <c r="N59" s="298" t="str">
        <f t="shared" si="3"/>
        <v/>
      </c>
      <c r="O59" s="298" t="str">
        <f>IF(B59="", "", 'Lighting Inventory (Ref only)'!G70)</f>
        <v/>
      </c>
      <c r="P59" s="298" t="str">
        <f>IF(B59="", "", 'Lighting Inventory (Ref only)'!E70)</f>
        <v/>
      </c>
      <c r="Q59" s="298" t="str">
        <f>IF(B59="", "", 'Lighting Inventory (Ref only)'!J70)</f>
        <v/>
      </c>
      <c r="R59" s="298" t="str">
        <f>IF(B59="", "",'Lighting Inventory (Ref only)'!K70)</f>
        <v/>
      </c>
      <c r="S59" s="372" t="str">
        <f>IF(B59="", "", 'Lighting Inventory (Ref only)'!G70*'Lighting Inventory (Ref only)'!K70/1000)</f>
        <v/>
      </c>
      <c r="T59" s="298" t="str">
        <f>IF(B59="", "", IF('Lighting Inventory (Ref only)'!I70="", "Light Switch",Inventory!H67))</f>
        <v/>
      </c>
      <c r="U59" s="298" t="str">
        <f>IF(B59="", "", 'Lighting Inventory (Ref only)'!Q70)</f>
        <v/>
      </c>
      <c r="V59" s="298" t="str">
        <f>IF(B59="", "", 'Lighting Inventory (Ref only)'!K70)</f>
        <v/>
      </c>
      <c r="W59" s="373" t="str">
        <f>IF(B59="","",('Lighting Inventory (Ref only)'!L70/1000))</f>
        <v/>
      </c>
      <c r="X59" s="298" t="str">
        <f>IF(B59="", "", 'Lighting Inventory (Ref only)'!Q70)</f>
        <v/>
      </c>
      <c r="Y59" s="298" t="str">
        <f>IF(C59="", "", Inventory!N67)</f>
        <v/>
      </c>
      <c r="Z59" s="374" t="str">
        <f>IF(B59="", "", 'Lighting Inventory (Ref only)'!P70)</f>
        <v/>
      </c>
      <c r="AA59" s="372" t="str">
        <f>IF(B59="", "",'Lighting Inventory (Ref only)'!R70/1000)</f>
        <v/>
      </c>
      <c r="AB59" s="372" t="str">
        <f>IF(B59="", "", Inventory!M67)</f>
        <v/>
      </c>
      <c r="AC59" s="374" t="str">
        <f>IF(B59="", "", 'Lighting Inventory (Ref only)'!T70)</f>
        <v/>
      </c>
      <c r="AD59" s="374" t="str">
        <f>IF(C59="", "", 'Lighting Inventory (Ref only)'!AA70)</f>
        <v/>
      </c>
      <c r="AE59" s="375" t="str">
        <f>IF(B59="", "", 'Lighting Inventory (Ref only)'!U70)</f>
        <v/>
      </c>
      <c r="AF59" s="375" t="str">
        <f>IF(B59="", "",'Lighting Inventory (Ref only)'!W70)</f>
        <v/>
      </c>
      <c r="AG59" s="375" t="str">
        <f>IF(B59="", "", 'Lighting Inventory (Ref only)'!V70)</f>
        <v/>
      </c>
      <c r="AH59" s="375" t="str">
        <f>IF(B59="", "",'Lighting Inventory (Ref only)'!Z70)</f>
        <v/>
      </c>
      <c r="AI59" s="375" t="str">
        <f>IF(B59="", "", 'Lighting Inventory (Ref only)'!Y70)</f>
        <v/>
      </c>
      <c r="AJ59" s="375" t="str">
        <f>IF(C59="", "",'Lighting Inventory (Ref only)'!AB70)</f>
        <v/>
      </c>
      <c r="AK59" s="375" t="str">
        <f>IF(B59="", "", 'Lighting Inventory (Ref only)'!AG70)</f>
        <v/>
      </c>
      <c r="AL59" s="375" t="str">
        <f>IF(B59="", "", 'Lighting Inventory (Ref only)'!AD70)</f>
        <v/>
      </c>
      <c r="AM59" s="375" t="str">
        <f>IF(B59="", "", 'Lighting Inventory (Ref only)'!AE70)</f>
        <v/>
      </c>
      <c r="AN59" s="375" t="str">
        <f>IF(B59="", "", 'Lighting Inventory (Ref only)'!AF70)</f>
        <v/>
      </c>
      <c r="AO59" s="375" t="str">
        <f>IF(B59="", "", 'Lighting Inventory (Ref only)'!AG70)</f>
        <v/>
      </c>
    </row>
    <row r="60" spans="1:41">
      <c r="A60" s="298" t="str">
        <f>IF(G60="", "", Lookups!BF62)</f>
        <v/>
      </c>
      <c r="B60" s="298" t="str">
        <f>IF('Lighting Inventory (Ref only)'!Q71="", "", 'Lighting Inventory (Ref only)'!Q71)</f>
        <v/>
      </c>
      <c r="C60" s="298" t="str">
        <f>IF(A60="", "", 'Lighting Inventory (Ref only)'!AO71)</f>
        <v/>
      </c>
      <c r="D60" s="370" t="str">
        <f>IF(B60= "","", Inventory!S68)</f>
        <v/>
      </c>
      <c r="E60" s="371"/>
      <c r="F60" s="298" t="str">
        <f>IF(B60="", "", 'Version Log'!$B$34)</f>
        <v/>
      </c>
      <c r="G60" s="298" t="str">
        <f t="shared" si="0"/>
        <v/>
      </c>
      <c r="H60" s="298" t="str">
        <f t="shared" si="1"/>
        <v/>
      </c>
      <c r="I60" s="298" t="str">
        <f>IF(B60="", "",Inventory!D68)</f>
        <v/>
      </c>
      <c r="J60" s="298" t="str">
        <f>IF(B60="","",IF(Inventory!C68="N","Interior","Exterior"))</f>
        <v/>
      </c>
      <c r="K60" s="298" t="str">
        <f t="shared" si="2"/>
        <v/>
      </c>
      <c r="L60" s="298" t="str">
        <f>IF(B60="", "", Inventory!E68)</f>
        <v/>
      </c>
      <c r="M60" s="298" t="str">
        <f>IF(B60="","",IF(Cool_Type=Lookups!$L$9,Cool_Type,IF(Cool_Type=Lookups!$L$10,Cool_Type,IF(Cool_Type=Lookups!$L$11,Cool_Type,IF(Cool_Type=Lookups!L70,Cool_Type,IF('Project Info and Summary'!$C$20="Electric",CONCATENATE(Cool_Type," ",Heating_Type," Heat"),IF('Project Info and Summary'!$C$20="Non-Electric",CONCATENATE(Cool_Type," ",Heating_Type," Heat"),CONCATENATE(Cool_Type," ",Heating_Type))))))))</f>
        <v/>
      </c>
      <c r="N60" s="298" t="str">
        <f t="shared" si="3"/>
        <v/>
      </c>
      <c r="O60" s="298" t="str">
        <f>IF(B60="", "", 'Lighting Inventory (Ref only)'!G71)</f>
        <v/>
      </c>
      <c r="P60" s="298" t="str">
        <f>IF(B60="", "", 'Lighting Inventory (Ref only)'!E71)</f>
        <v/>
      </c>
      <c r="Q60" s="298" t="str">
        <f>IF(B60="", "", 'Lighting Inventory (Ref only)'!J71)</f>
        <v/>
      </c>
      <c r="R60" s="298" t="str">
        <f>IF(B60="", "",'Lighting Inventory (Ref only)'!K71)</f>
        <v/>
      </c>
      <c r="S60" s="372" t="str">
        <f>IF(B60="", "", 'Lighting Inventory (Ref only)'!G71*'Lighting Inventory (Ref only)'!K71/1000)</f>
        <v/>
      </c>
      <c r="T60" s="298" t="str">
        <f>IF(B60="", "", IF('Lighting Inventory (Ref only)'!I71="", "Light Switch",Inventory!H68))</f>
        <v/>
      </c>
      <c r="U60" s="298" t="str">
        <f>IF(B60="", "", 'Lighting Inventory (Ref only)'!Q71)</f>
        <v/>
      </c>
      <c r="V60" s="298" t="str">
        <f>IF(B60="", "", 'Lighting Inventory (Ref only)'!K71)</f>
        <v/>
      </c>
      <c r="W60" s="373" t="str">
        <f>IF(B60="","",('Lighting Inventory (Ref only)'!L71/1000))</f>
        <v/>
      </c>
      <c r="X60" s="298" t="str">
        <f>IF(B60="", "", 'Lighting Inventory (Ref only)'!Q71)</f>
        <v/>
      </c>
      <c r="Y60" s="298" t="str">
        <f>IF(C60="", "", Inventory!N68)</f>
        <v/>
      </c>
      <c r="Z60" s="374" t="str">
        <f>IF(B60="", "", 'Lighting Inventory (Ref only)'!P71)</f>
        <v/>
      </c>
      <c r="AA60" s="372" t="str">
        <f>IF(B60="", "",'Lighting Inventory (Ref only)'!R71/1000)</f>
        <v/>
      </c>
      <c r="AB60" s="372" t="str">
        <f>IF(B60="", "", Inventory!M68)</f>
        <v/>
      </c>
      <c r="AC60" s="374" t="str">
        <f>IF(B60="", "", 'Lighting Inventory (Ref only)'!T71)</f>
        <v/>
      </c>
      <c r="AD60" s="374" t="str">
        <f>IF(C60="", "", 'Lighting Inventory (Ref only)'!AA71)</f>
        <v/>
      </c>
      <c r="AE60" s="375" t="str">
        <f>IF(B60="", "", 'Lighting Inventory (Ref only)'!U71)</f>
        <v/>
      </c>
      <c r="AF60" s="375" t="str">
        <f>IF(B60="", "",'Lighting Inventory (Ref only)'!W71)</f>
        <v/>
      </c>
      <c r="AG60" s="375" t="str">
        <f>IF(B60="", "", 'Lighting Inventory (Ref only)'!V71)</f>
        <v/>
      </c>
      <c r="AH60" s="375" t="str">
        <f>IF(B60="", "",'Lighting Inventory (Ref only)'!Z71)</f>
        <v/>
      </c>
      <c r="AI60" s="375" t="str">
        <f>IF(B60="", "", 'Lighting Inventory (Ref only)'!Y71)</f>
        <v/>
      </c>
      <c r="AJ60" s="375" t="str">
        <f>IF(C60="", "",'Lighting Inventory (Ref only)'!AB71)</f>
        <v/>
      </c>
      <c r="AK60" s="375" t="str">
        <f>IF(B60="", "", 'Lighting Inventory (Ref only)'!AG71)</f>
        <v/>
      </c>
      <c r="AL60" s="375" t="str">
        <f>IF(B60="", "", 'Lighting Inventory (Ref only)'!AD71)</f>
        <v/>
      </c>
      <c r="AM60" s="375" t="str">
        <f>IF(B60="", "", 'Lighting Inventory (Ref only)'!AE71)</f>
        <v/>
      </c>
      <c r="AN60" s="375" t="str">
        <f>IF(B60="", "", 'Lighting Inventory (Ref only)'!AF71)</f>
        <v/>
      </c>
      <c r="AO60" s="375" t="str">
        <f>IF(B60="", "", 'Lighting Inventory (Ref only)'!AG71)</f>
        <v/>
      </c>
    </row>
    <row r="61" spans="1:41">
      <c r="A61" s="298" t="str">
        <f>IF(G61="", "", Lookups!BF63)</f>
        <v/>
      </c>
      <c r="B61" s="298" t="str">
        <f>IF('Lighting Inventory (Ref only)'!Q72="", "", 'Lighting Inventory (Ref only)'!Q72)</f>
        <v/>
      </c>
      <c r="C61" s="298" t="str">
        <f>IF(A61="", "", 'Lighting Inventory (Ref only)'!AO72)</f>
        <v/>
      </c>
      <c r="D61" s="370" t="str">
        <f>IF(B61= "","", Inventory!S69)</f>
        <v/>
      </c>
      <c r="E61" s="371"/>
      <c r="F61" s="298" t="str">
        <f>IF(B61="", "", 'Version Log'!$B$34)</f>
        <v/>
      </c>
      <c r="G61" s="298" t="str">
        <f t="shared" si="0"/>
        <v/>
      </c>
      <c r="H61" s="298" t="str">
        <f t="shared" si="1"/>
        <v/>
      </c>
      <c r="I61" s="298" t="str">
        <f>IF(B61="", "",Inventory!D69)</f>
        <v/>
      </c>
      <c r="J61" s="298" t="str">
        <f>IF(B61="","",IF(Inventory!C69="N","Interior","Exterior"))</f>
        <v/>
      </c>
      <c r="K61" s="298" t="str">
        <f t="shared" si="2"/>
        <v/>
      </c>
      <c r="L61" s="298" t="str">
        <f>IF(B61="", "", Inventory!E69)</f>
        <v/>
      </c>
      <c r="M61" s="298" t="str">
        <f>IF(B61="","",IF(Cool_Type=Lookups!$L$9,Cool_Type,IF(Cool_Type=Lookups!$L$10,Cool_Type,IF(Cool_Type=Lookups!$L$11,Cool_Type,IF(Cool_Type=Lookups!L71,Cool_Type,IF('Project Info and Summary'!$C$20="Electric",CONCATENATE(Cool_Type," ",Heating_Type," Heat"),IF('Project Info and Summary'!$C$20="Non-Electric",CONCATENATE(Cool_Type," ",Heating_Type," Heat"),CONCATENATE(Cool_Type," ",Heating_Type))))))))</f>
        <v/>
      </c>
      <c r="N61" s="298" t="str">
        <f t="shared" si="3"/>
        <v/>
      </c>
      <c r="O61" s="298" t="str">
        <f>IF(B61="", "", 'Lighting Inventory (Ref only)'!G72)</f>
        <v/>
      </c>
      <c r="P61" s="298" t="str">
        <f>IF(B61="", "", 'Lighting Inventory (Ref only)'!E72)</f>
        <v/>
      </c>
      <c r="Q61" s="298" t="str">
        <f>IF(B61="", "", 'Lighting Inventory (Ref only)'!J72)</f>
        <v/>
      </c>
      <c r="R61" s="298" t="str">
        <f>IF(B61="", "",'Lighting Inventory (Ref only)'!K72)</f>
        <v/>
      </c>
      <c r="S61" s="372" t="str">
        <f>IF(B61="", "", 'Lighting Inventory (Ref only)'!G72*'Lighting Inventory (Ref only)'!K72/1000)</f>
        <v/>
      </c>
      <c r="T61" s="298" t="str">
        <f>IF(B61="", "", IF('Lighting Inventory (Ref only)'!I72="", "Light Switch",Inventory!H69))</f>
        <v/>
      </c>
      <c r="U61" s="298" t="str">
        <f>IF(B61="", "", 'Lighting Inventory (Ref only)'!Q72)</f>
        <v/>
      </c>
      <c r="V61" s="298" t="str">
        <f>IF(B61="", "", 'Lighting Inventory (Ref only)'!K72)</f>
        <v/>
      </c>
      <c r="W61" s="373" t="str">
        <f>IF(B61="","",('Lighting Inventory (Ref only)'!L72/1000))</f>
        <v/>
      </c>
      <c r="X61" s="298" t="str">
        <f>IF(B61="", "", 'Lighting Inventory (Ref only)'!Q72)</f>
        <v/>
      </c>
      <c r="Y61" s="298" t="str">
        <f>IF(C61="", "", Inventory!N69)</f>
        <v/>
      </c>
      <c r="Z61" s="374" t="str">
        <f>IF(B61="", "", 'Lighting Inventory (Ref only)'!P72)</f>
        <v/>
      </c>
      <c r="AA61" s="372" t="str">
        <f>IF(B61="", "",'Lighting Inventory (Ref only)'!R72/1000)</f>
        <v/>
      </c>
      <c r="AB61" s="372" t="str">
        <f>IF(B61="", "", Inventory!M69)</f>
        <v/>
      </c>
      <c r="AC61" s="374" t="str">
        <f>IF(B61="", "", 'Lighting Inventory (Ref only)'!T72)</f>
        <v/>
      </c>
      <c r="AD61" s="374" t="str">
        <f>IF(C61="", "", 'Lighting Inventory (Ref only)'!AA72)</f>
        <v/>
      </c>
      <c r="AE61" s="375" t="str">
        <f>IF(B61="", "", 'Lighting Inventory (Ref only)'!U72)</f>
        <v/>
      </c>
      <c r="AF61" s="375" t="str">
        <f>IF(B61="", "",'Lighting Inventory (Ref only)'!W72)</f>
        <v/>
      </c>
      <c r="AG61" s="375" t="str">
        <f>IF(B61="", "", 'Lighting Inventory (Ref only)'!V72)</f>
        <v/>
      </c>
      <c r="AH61" s="375" t="str">
        <f>IF(B61="", "",'Lighting Inventory (Ref only)'!Z72)</f>
        <v/>
      </c>
      <c r="AI61" s="375" t="str">
        <f>IF(B61="", "", 'Lighting Inventory (Ref only)'!Y72)</f>
        <v/>
      </c>
      <c r="AJ61" s="375" t="str">
        <f>IF(C61="", "",'Lighting Inventory (Ref only)'!AB72)</f>
        <v/>
      </c>
      <c r="AK61" s="375" t="str">
        <f>IF(B61="", "", 'Lighting Inventory (Ref only)'!AG72)</f>
        <v/>
      </c>
      <c r="AL61" s="375" t="str">
        <f>IF(B61="", "", 'Lighting Inventory (Ref only)'!AD72)</f>
        <v/>
      </c>
      <c r="AM61" s="375" t="str">
        <f>IF(B61="", "", 'Lighting Inventory (Ref only)'!AE72)</f>
        <v/>
      </c>
      <c r="AN61" s="375" t="str">
        <f>IF(B61="", "", 'Lighting Inventory (Ref only)'!AF72)</f>
        <v/>
      </c>
      <c r="AO61" s="375" t="str">
        <f>IF(B61="", "", 'Lighting Inventory (Ref only)'!AG72)</f>
        <v/>
      </c>
    </row>
    <row r="62" spans="1:41">
      <c r="A62" s="298" t="str">
        <f>IF(G62="", "", Lookups!BF64)</f>
        <v/>
      </c>
      <c r="B62" s="298" t="str">
        <f>IF('Lighting Inventory (Ref only)'!Q73="", "", 'Lighting Inventory (Ref only)'!Q73)</f>
        <v/>
      </c>
      <c r="C62" s="298" t="str">
        <f>IF(A62="", "", 'Lighting Inventory (Ref only)'!AO73)</f>
        <v/>
      </c>
      <c r="D62" s="370" t="str">
        <f>IF(B62= "","", Inventory!S70)</f>
        <v/>
      </c>
      <c r="E62" s="371"/>
      <c r="F62" s="298" t="str">
        <f>IF(B62="", "", 'Version Log'!$B$34)</f>
        <v/>
      </c>
      <c r="G62" s="298" t="str">
        <f t="shared" si="0"/>
        <v/>
      </c>
      <c r="H62" s="298" t="str">
        <f t="shared" si="1"/>
        <v/>
      </c>
      <c r="I62" s="298" t="str">
        <f>IF(B62="", "",Inventory!D70)</f>
        <v/>
      </c>
      <c r="J62" s="298" t="str">
        <f>IF(B62="","",IF(Inventory!C70="N","Interior","Exterior"))</f>
        <v/>
      </c>
      <c r="K62" s="298" t="str">
        <f t="shared" si="2"/>
        <v/>
      </c>
      <c r="L62" s="298" t="str">
        <f>IF(B62="", "", Inventory!E70)</f>
        <v/>
      </c>
      <c r="M62" s="298" t="str">
        <f>IF(B62="","",IF(Cool_Type=Lookups!$L$9,Cool_Type,IF(Cool_Type=Lookups!$L$10,Cool_Type,IF(Cool_Type=Lookups!$L$11,Cool_Type,IF(Cool_Type=Lookups!L72,Cool_Type,IF('Project Info and Summary'!$C$20="Electric",CONCATENATE(Cool_Type," ",Heating_Type," Heat"),IF('Project Info and Summary'!$C$20="Non-Electric",CONCATENATE(Cool_Type," ",Heating_Type," Heat"),CONCATENATE(Cool_Type," ",Heating_Type))))))))</f>
        <v/>
      </c>
      <c r="N62" s="298" t="str">
        <f t="shared" si="3"/>
        <v/>
      </c>
      <c r="O62" s="298" t="str">
        <f>IF(B62="", "", 'Lighting Inventory (Ref only)'!G73)</f>
        <v/>
      </c>
      <c r="P62" s="298" t="str">
        <f>IF(B62="", "", 'Lighting Inventory (Ref only)'!E73)</f>
        <v/>
      </c>
      <c r="Q62" s="298" t="str">
        <f>IF(B62="", "", 'Lighting Inventory (Ref only)'!J73)</f>
        <v/>
      </c>
      <c r="R62" s="298" t="str">
        <f>IF(B62="", "",'Lighting Inventory (Ref only)'!K73)</f>
        <v/>
      </c>
      <c r="S62" s="372" t="str">
        <f>IF(B62="", "", 'Lighting Inventory (Ref only)'!G73*'Lighting Inventory (Ref only)'!K73/1000)</f>
        <v/>
      </c>
      <c r="T62" s="298" t="str">
        <f>IF(B62="", "", IF('Lighting Inventory (Ref only)'!I73="", "Light Switch",Inventory!H70))</f>
        <v/>
      </c>
      <c r="U62" s="298" t="str">
        <f>IF(B62="", "", 'Lighting Inventory (Ref only)'!Q73)</f>
        <v/>
      </c>
      <c r="V62" s="298" t="str">
        <f>IF(B62="", "", 'Lighting Inventory (Ref only)'!K73)</f>
        <v/>
      </c>
      <c r="W62" s="373" t="str">
        <f>IF(B62="","",('Lighting Inventory (Ref only)'!L73/1000))</f>
        <v/>
      </c>
      <c r="X62" s="298" t="str">
        <f>IF(B62="", "", 'Lighting Inventory (Ref only)'!Q73)</f>
        <v/>
      </c>
      <c r="Y62" s="298" t="str">
        <f>IF(C62="", "", Inventory!N70)</f>
        <v/>
      </c>
      <c r="Z62" s="374" t="str">
        <f>IF(B62="", "", 'Lighting Inventory (Ref only)'!P73)</f>
        <v/>
      </c>
      <c r="AA62" s="372" t="str">
        <f>IF(B62="", "",'Lighting Inventory (Ref only)'!R73/1000)</f>
        <v/>
      </c>
      <c r="AB62" s="372" t="str">
        <f>IF(B62="", "", Inventory!M70)</f>
        <v/>
      </c>
      <c r="AC62" s="374" t="str">
        <f>IF(B62="", "", 'Lighting Inventory (Ref only)'!T73)</f>
        <v/>
      </c>
      <c r="AD62" s="374" t="str">
        <f>IF(C62="", "", 'Lighting Inventory (Ref only)'!AA73)</f>
        <v/>
      </c>
      <c r="AE62" s="375" t="str">
        <f>IF(B62="", "", 'Lighting Inventory (Ref only)'!U73)</f>
        <v/>
      </c>
      <c r="AF62" s="375" t="str">
        <f>IF(B62="", "",'Lighting Inventory (Ref only)'!W73)</f>
        <v/>
      </c>
      <c r="AG62" s="375" t="str">
        <f>IF(B62="", "", 'Lighting Inventory (Ref only)'!V73)</f>
        <v/>
      </c>
      <c r="AH62" s="375" t="str">
        <f>IF(B62="", "",'Lighting Inventory (Ref only)'!Z73)</f>
        <v/>
      </c>
      <c r="AI62" s="375" t="str">
        <f>IF(B62="", "", 'Lighting Inventory (Ref only)'!Y73)</f>
        <v/>
      </c>
      <c r="AJ62" s="375" t="str">
        <f>IF(C62="", "",'Lighting Inventory (Ref only)'!AB73)</f>
        <v/>
      </c>
      <c r="AK62" s="375" t="str">
        <f>IF(B62="", "", 'Lighting Inventory (Ref only)'!AG73)</f>
        <v/>
      </c>
      <c r="AL62" s="375" t="str">
        <f>IF(B62="", "", 'Lighting Inventory (Ref only)'!AD73)</f>
        <v/>
      </c>
      <c r="AM62" s="375" t="str">
        <f>IF(B62="", "", 'Lighting Inventory (Ref only)'!AE73)</f>
        <v/>
      </c>
      <c r="AN62" s="375" t="str">
        <f>IF(B62="", "", 'Lighting Inventory (Ref only)'!AF73)</f>
        <v/>
      </c>
      <c r="AO62" s="375" t="str">
        <f>IF(B62="", "", 'Lighting Inventory (Ref only)'!AG73)</f>
        <v/>
      </c>
    </row>
    <row r="63" spans="1:41">
      <c r="A63" s="298" t="str">
        <f>IF(G63="", "", Lookups!BF65)</f>
        <v/>
      </c>
      <c r="B63" s="298" t="str">
        <f>IF('Lighting Inventory (Ref only)'!Q74="", "", 'Lighting Inventory (Ref only)'!Q74)</f>
        <v/>
      </c>
      <c r="C63" s="298" t="str">
        <f>IF(A63="", "", 'Lighting Inventory (Ref only)'!AO74)</f>
        <v/>
      </c>
      <c r="D63" s="370" t="str">
        <f>IF(B63= "","", Inventory!S71)</f>
        <v/>
      </c>
      <c r="E63" s="371"/>
      <c r="F63" s="298" t="str">
        <f>IF(B63="", "", 'Version Log'!$B$34)</f>
        <v/>
      </c>
      <c r="G63" s="298" t="str">
        <f t="shared" si="0"/>
        <v/>
      </c>
      <c r="H63" s="298" t="str">
        <f t="shared" si="1"/>
        <v/>
      </c>
      <c r="I63" s="298" t="str">
        <f>IF(B63="", "",Inventory!D71)</f>
        <v/>
      </c>
      <c r="J63" s="298" t="str">
        <f>IF(B63="","",IF(Inventory!C71="N","Interior","Exterior"))</f>
        <v/>
      </c>
      <c r="K63" s="298" t="str">
        <f t="shared" si="2"/>
        <v/>
      </c>
      <c r="L63" s="298" t="str">
        <f>IF(B63="", "", Inventory!E71)</f>
        <v/>
      </c>
      <c r="M63" s="298" t="str">
        <f>IF(B63="","",IF(Cool_Type=Lookups!$L$9,Cool_Type,IF(Cool_Type=Lookups!$L$10,Cool_Type,IF(Cool_Type=Lookups!$L$11,Cool_Type,IF(Cool_Type=Lookups!L73,Cool_Type,IF('Project Info and Summary'!$C$20="Electric",CONCATENATE(Cool_Type," ",Heating_Type," Heat"),IF('Project Info and Summary'!$C$20="Non-Electric",CONCATENATE(Cool_Type," ",Heating_Type," Heat"),CONCATENATE(Cool_Type," ",Heating_Type))))))))</f>
        <v/>
      </c>
      <c r="N63" s="298" t="str">
        <f t="shared" si="3"/>
        <v/>
      </c>
      <c r="O63" s="298" t="str">
        <f>IF(B63="", "", 'Lighting Inventory (Ref only)'!G74)</f>
        <v/>
      </c>
      <c r="P63" s="298" t="str">
        <f>IF(B63="", "", 'Lighting Inventory (Ref only)'!E74)</f>
        <v/>
      </c>
      <c r="Q63" s="298" t="str">
        <f>IF(B63="", "", 'Lighting Inventory (Ref only)'!J74)</f>
        <v/>
      </c>
      <c r="R63" s="298" t="str">
        <f>IF(B63="", "",'Lighting Inventory (Ref only)'!K74)</f>
        <v/>
      </c>
      <c r="S63" s="372" t="str">
        <f>IF(B63="", "", 'Lighting Inventory (Ref only)'!G74*'Lighting Inventory (Ref only)'!K74/1000)</f>
        <v/>
      </c>
      <c r="T63" s="298" t="str">
        <f>IF(B63="", "", IF('Lighting Inventory (Ref only)'!I74="", "Light Switch",Inventory!H71))</f>
        <v/>
      </c>
      <c r="U63" s="298" t="str">
        <f>IF(B63="", "", 'Lighting Inventory (Ref only)'!Q74)</f>
        <v/>
      </c>
      <c r="V63" s="298" t="str">
        <f>IF(B63="", "", 'Lighting Inventory (Ref only)'!K74)</f>
        <v/>
      </c>
      <c r="W63" s="373" t="str">
        <f>IF(B63="","",('Lighting Inventory (Ref only)'!L74/1000))</f>
        <v/>
      </c>
      <c r="X63" s="298" t="str">
        <f>IF(B63="", "", 'Lighting Inventory (Ref only)'!Q74)</f>
        <v/>
      </c>
      <c r="Y63" s="298" t="str">
        <f>IF(C63="", "", Inventory!N71)</f>
        <v/>
      </c>
      <c r="Z63" s="374" t="str">
        <f>IF(B63="", "", 'Lighting Inventory (Ref only)'!P74)</f>
        <v/>
      </c>
      <c r="AA63" s="372" t="str">
        <f>IF(B63="", "",'Lighting Inventory (Ref only)'!R74/1000)</f>
        <v/>
      </c>
      <c r="AB63" s="372" t="str">
        <f>IF(B63="", "", Inventory!M71)</f>
        <v/>
      </c>
      <c r="AC63" s="374" t="str">
        <f>IF(B63="", "", 'Lighting Inventory (Ref only)'!T74)</f>
        <v/>
      </c>
      <c r="AD63" s="374" t="str">
        <f>IF(C63="", "", 'Lighting Inventory (Ref only)'!AA74)</f>
        <v/>
      </c>
      <c r="AE63" s="375" t="str">
        <f>IF(B63="", "", 'Lighting Inventory (Ref only)'!U74)</f>
        <v/>
      </c>
      <c r="AF63" s="375" t="str">
        <f>IF(B63="", "",'Lighting Inventory (Ref only)'!W74)</f>
        <v/>
      </c>
      <c r="AG63" s="375" t="str">
        <f>IF(B63="", "", 'Lighting Inventory (Ref only)'!V74)</f>
        <v/>
      </c>
      <c r="AH63" s="375" t="str">
        <f>IF(B63="", "",'Lighting Inventory (Ref only)'!Z74)</f>
        <v/>
      </c>
      <c r="AI63" s="375" t="str">
        <f>IF(B63="", "", 'Lighting Inventory (Ref only)'!Y74)</f>
        <v/>
      </c>
      <c r="AJ63" s="375" t="str">
        <f>IF(C63="", "",'Lighting Inventory (Ref only)'!AB74)</f>
        <v/>
      </c>
      <c r="AK63" s="375" t="str">
        <f>IF(B63="", "", 'Lighting Inventory (Ref only)'!AG74)</f>
        <v/>
      </c>
      <c r="AL63" s="375" t="str">
        <f>IF(B63="", "", 'Lighting Inventory (Ref only)'!AD74)</f>
        <v/>
      </c>
      <c r="AM63" s="375" t="str">
        <f>IF(B63="", "", 'Lighting Inventory (Ref only)'!AE74)</f>
        <v/>
      </c>
      <c r="AN63" s="375" t="str">
        <f>IF(B63="", "", 'Lighting Inventory (Ref only)'!AF74)</f>
        <v/>
      </c>
      <c r="AO63" s="375" t="str">
        <f>IF(B63="", "", 'Lighting Inventory (Ref only)'!AG74)</f>
        <v/>
      </c>
    </row>
    <row r="64" spans="1:41">
      <c r="A64" s="298" t="str">
        <f>IF(G64="", "", Lookups!BF66)</f>
        <v/>
      </c>
      <c r="B64" s="298" t="str">
        <f>IF('Lighting Inventory (Ref only)'!Q75="", "", 'Lighting Inventory (Ref only)'!Q75)</f>
        <v/>
      </c>
      <c r="C64" s="298" t="str">
        <f>IF(A64="", "", 'Lighting Inventory (Ref only)'!AO75)</f>
        <v/>
      </c>
      <c r="D64" s="370" t="str">
        <f>IF(B64= "","", Inventory!S72)</f>
        <v/>
      </c>
      <c r="E64" s="371"/>
      <c r="F64" s="298" t="str">
        <f>IF(B64="", "", 'Version Log'!$B$34)</f>
        <v/>
      </c>
      <c r="G64" s="298" t="str">
        <f t="shared" si="0"/>
        <v/>
      </c>
      <c r="H64" s="298" t="str">
        <f t="shared" si="1"/>
        <v/>
      </c>
      <c r="I64" s="298" t="str">
        <f>IF(B64="", "",Inventory!D72)</f>
        <v/>
      </c>
      <c r="J64" s="298" t="str">
        <f>IF(B64="","",IF(Inventory!C72="N","Interior","Exterior"))</f>
        <v/>
      </c>
      <c r="K64" s="298" t="str">
        <f t="shared" si="2"/>
        <v/>
      </c>
      <c r="L64" s="298" t="str">
        <f>IF(B64="", "", Inventory!E72)</f>
        <v/>
      </c>
      <c r="M64" s="298" t="str">
        <f>IF(B64="","",IF(Cool_Type=Lookups!$L$9,Cool_Type,IF(Cool_Type=Lookups!$L$10,Cool_Type,IF(Cool_Type=Lookups!$L$11,Cool_Type,IF(Cool_Type=Lookups!L74,Cool_Type,IF('Project Info and Summary'!$C$20="Electric",CONCATENATE(Cool_Type," ",Heating_Type," Heat"),IF('Project Info and Summary'!$C$20="Non-Electric",CONCATENATE(Cool_Type," ",Heating_Type," Heat"),CONCATENATE(Cool_Type," ",Heating_Type))))))))</f>
        <v/>
      </c>
      <c r="N64" s="298" t="str">
        <f t="shared" si="3"/>
        <v/>
      </c>
      <c r="O64" s="298" t="str">
        <f>IF(B64="", "", 'Lighting Inventory (Ref only)'!G75)</f>
        <v/>
      </c>
      <c r="P64" s="298" t="str">
        <f>IF(B64="", "", 'Lighting Inventory (Ref only)'!E75)</f>
        <v/>
      </c>
      <c r="Q64" s="298" t="str">
        <f>IF(B64="", "", 'Lighting Inventory (Ref only)'!J75)</f>
        <v/>
      </c>
      <c r="R64" s="298" t="str">
        <f>IF(B64="", "",'Lighting Inventory (Ref only)'!K75)</f>
        <v/>
      </c>
      <c r="S64" s="372" t="str">
        <f>IF(B64="", "", 'Lighting Inventory (Ref only)'!G75*'Lighting Inventory (Ref only)'!K75/1000)</f>
        <v/>
      </c>
      <c r="T64" s="298" t="str">
        <f>IF(B64="", "", IF('Lighting Inventory (Ref only)'!I75="", "Light Switch",Inventory!H72))</f>
        <v/>
      </c>
      <c r="U64" s="298" t="str">
        <f>IF(B64="", "", 'Lighting Inventory (Ref only)'!Q75)</f>
        <v/>
      </c>
      <c r="V64" s="298" t="str">
        <f>IF(B64="", "", 'Lighting Inventory (Ref only)'!K75)</f>
        <v/>
      </c>
      <c r="W64" s="373" t="str">
        <f>IF(B64="","",('Lighting Inventory (Ref only)'!L75/1000))</f>
        <v/>
      </c>
      <c r="X64" s="298" t="str">
        <f>IF(B64="", "", 'Lighting Inventory (Ref only)'!Q75)</f>
        <v/>
      </c>
      <c r="Y64" s="298" t="str">
        <f>IF(C64="", "", Inventory!N72)</f>
        <v/>
      </c>
      <c r="Z64" s="374" t="str">
        <f>IF(B64="", "", 'Lighting Inventory (Ref only)'!P75)</f>
        <v/>
      </c>
      <c r="AA64" s="372" t="str">
        <f>IF(B64="", "",'Lighting Inventory (Ref only)'!R75/1000)</f>
        <v/>
      </c>
      <c r="AB64" s="372" t="str">
        <f>IF(B64="", "", Inventory!M72)</f>
        <v/>
      </c>
      <c r="AC64" s="374" t="str">
        <f>IF(B64="", "", 'Lighting Inventory (Ref only)'!T75)</f>
        <v/>
      </c>
      <c r="AD64" s="374" t="str">
        <f>IF(C64="", "", 'Lighting Inventory (Ref only)'!AA75)</f>
        <v/>
      </c>
      <c r="AE64" s="375" t="str">
        <f>IF(B64="", "", 'Lighting Inventory (Ref only)'!U75)</f>
        <v/>
      </c>
      <c r="AF64" s="375" t="str">
        <f>IF(B64="", "",'Lighting Inventory (Ref only)'!W75)</f>
        <v/>
      </c>
      <c r="AG64" s="375" t="str">
        <f>IF(B64="", "", 'Lighting Inventory (Ref only)'!V75)</f>
        <v/>
      </c>
      <c r="AH64" s="375" t="str">
        <f>IF(B64="", "",'Lighting Inventory (Ref only)'!Z75)</f>
        <v/>
      </c>
      <c r="AI64" s="375" t="str">
        <f>IF(B64="", "", 'Lighting Inventory (Ref only)'!Y75)</f>
        <v/>
      </c>
      <c r="AJ64" s="375" t="str">
        <f>IF(C64="", "",'Lighting Inventory (Ref only)'!AB75)</f>
        <v/>
      </c>
      <c r="AK64" s="375" t="str">
        <f>IF(B64="", "", 'Lighting Inventory (Ref only)'!AG75)</f>
        <v/>
      </c>
      <c r="AL64" s="375" t="str">
        <f>IF(B64="", "", 'Lighting Inventory (Ref only)'!AD75)</f>
        <v/>
      </c>
      <c r="AM64" s="375" t="str">
        <f>IF(B64="", "", 'Lighting Inventory (Ref only)'!AE75)</f>
        <v/>
      </c>
      <c r="AN64" s="375" t="str">
        <f>IF(B64="", "", 'Lighting Inventory (Ref only)'!AF75)</f>
        <v/>
      </c>
      <c r="AO64" s="375" t="str">
        <f>IF(B64="", "", 'Lighting Inventory (Ref only)'!AG75)</f>
        <v/>
      </c>
    </row>
    <row r="65" spans="1:41">
      <c r="A65" s="298" t="str">
        <f>IF(G65="", "", Lookups!BF67)</f>
        <v/>
      </c>
      <c r="B65" s="298" t="str">
        <f>IF('Lighting Inventory (Ref only)'!Q76="", "", 'Lighting Inventory (Ref only)'!Q76)</f>
        <v/>
      </c>
      <c r="C65" s="298" t="str">
        <f>IF(A65="", "", 'Lighting Inventory (Ref only)'!AO76)</f>
        <v/>
      </c>
      <c r="D65" s="370" t="str">
        <f>IF(B65= "","", Inventory!S73)</f>
        <v/>
      </c>
      <c r="E65" s="371"/>
      <c r="F65" s="298" t="str">
        <f>IF(B65="", "", 'Version Log'!$B$34)</f>
        <v/>
      </c>
      <c r="G65" s="298" t="str">
        <f t="shared" si="0"/>
        <v/>
      </c>
      <c r="H65" s="298" t="str">
        <f t="shared" si="1"/>
        <v/>
      </c>
      <c r="I65" s="298" t="str">
        <f>IF(B65="", "",Inventory!D73)</f>
        <v/>
      </c>
      <c r="J65" s="298" t="str">
        <f>IF(B65="","",IF(Inventory!C73="N","Interior","Exterior"))</f>
        <v/>
      </c>
      <c r="K65" s="298" t="str">
        <f t="shared" si="2"/>
        <v/>
      </c>
      <c r="L65" s="298" t="str">
        <f>IF(B65="", "", Inventory!E73)</f>
        <v/>
      </c>
      <c r="M65" s="298" t="str">
        <f>IF(B65="","",IF(Cool_Type=Lookups!$L$9,Cool_Type,IF(Cool_Type=Lookups!$L$10,Cool_Type,IF(Cool_Type=Lookups!$L$11,Cool_Type,IF(Cool_Type=Lookups!L75,Cool_Type,IF('Project Info and Summary'!$C$20="Electric",CONCATENATE(Cool_Type," ",Heating_Type," Heat"),IF('Project Info and Summary'!$C$20="Non-Electric",CONCATENATE(Cool_Type," ",Heating_Type," Heat"),CONCATENATE(Cool_Type," ",Heating_Type))))))))</f>
        <v/>
      </c>
      <c r="N65" s="298" t="str">
        <f t="shared" si="3"/>
        <v/>
      </c>
      <c r="O65" s="298" t="str">
        <f>IF(B65="", "", 'Lighting Inventory (Ref only)'!G76)</f>
        <v/>
      </c>
      <c r="P65" s="298" t="str">
        <f>IF(B65="", "", 'Lighting Inventory (Ref only)'!E76)</f>
        <v/>
      </c>
      <c r="Q65" s="298" t="str">
        <f>IF(B65="", "", 'Lighting Inventory (Ref only)'!J76)</f>
        <v/>
      </c>
      <c r="R65" s="298" t="str">
        <f>IF(B65="", "",'Lighting Inventory (Ref only)'!K76)</f>
        <v/>
      </c>
      <c r="S65" s="372" t="str">
        <f>IF(B65="", "", 'Lighting Inventory (Ref only)'!G76*'Lighting Inventory (Ref only)'!K76/1000)</f>
        <v/>
      </c>
      <c r="T65" s="298" t="str">
        <f>IF(B65="", "", IF('Lighting Inventory (Ref only)'!I76="", "Light Switch",Inventory!H73))</f>
        <v/>
      </c>
      <c r="U65" s="298" t="str">
        <f>IF(B65="", "", 'Lighting Inventory (Ref only)'!Q76)</f>
        <v/>
      </c>
      <c r="V65" s="298" t="str">
        <f>IF(B65="", "", 'Lighting Inventory (Ref only)'!K76)</f>
        <v/>
      </c>
      <c r="W65" s="373" t="str">
        <f>IF(B65="","",('Lighting Inventory (Ref only)'!L76/1000))</f>
        <v/>
      </c>
      <c r="X65" s="298" t="str">
        <f>IF(B65="", "", 'Lighting Inventory (Ref only)'!Q76)</f>
        <v/>
      </c>
      <c r="Y65" s="298" t="str">
        <f>IF(C65="", "", Inventory!N73)</f>
        <v/>
      </c>
      <c r="Z65" s="374" t="str">
        <f>IF(B65="", "", 'Lighting Inventory (Ref only)'!P76)</f>
        <v/>
      </c>
      <c r="AA65" s="372" t="str">
        <f>IF(B65="", "",'Lighting Inventory (Ref only)'!R76/1000)</f>
        <v/>
      </c>
      <c r="AB65" s="372" t="str">
        <f>IF(B65="", "", Inventory!M73)</f>
        <v/>
      </c>
      <c r="AC65" s="374" t="str">
        <f>IF(B65="", "", 'Lighting Inventory (Ref only)'!T76)</f>
        <v/>
      </c>
      <c r="AD65" s="374" t="str">
        <f>IF(C65="", "", 'Lighting Inventory (Ref only)'!AA76)</f>
        <v/>
      </c>
      <c r="AE65" s="375" t="str">
        <f>IF(B65="", "", 'Lighting Inventory (Ref only)'!U76)</f>
        <v/>
      </c>
      <c r="AF65" s="375" t="str">
        <f>IF(B65="", "",'Lighting Inventory (Ref only)'!W76)</f>
        <v/>
      </c>
      <c r="AG65" s="375" t="str">
        <f>IF(B65="", "", 'Lighting Inventory (Ref only)'!V76)</f>
        <v/>
      </c>
      <c r="AH65" s="375" t="str">
        <f>IF(B65="", "",'Lighting Inventory (Ref only)'!Z76)</f>
        <v/>
      </c>
      <c r="AI65" s="375" t="str">
        <f>IF(B65="", "", 'Lighting Inventory (Ref only)'!Y76)</f>
        <v/>
      </c>
      <c r="AJ65" s="375" t="str">
        <f>IF(C65="", "",'Lighting Inventory (Ref only)'!AB76)</f>
        <v/>
      </c>
      <c r="AK65" s="375" t="str">
        <f>IF(B65="", "", 'Lighting Inventory (Ref only)'!AG76)</f>
        <v/>
      </c>
      <c r="AL65" s="375" t="str">
        <f>IF(B65="", "", 'Lighting Inventory (Ref only)'!AD76)</f>
        <v/>
      </c>
      <c r="AM65" s="375" t="str">
        <f>IF(B65="", "", 'Lighting Inventory (Ref only)'!AE76)</f>
        <v/>
      </c>
      <c r="AN65" s="375" t="str">
        <f>IF(B65="", "", 'Lighting Inventory (Ref only)'!AF76)</f>
        <v/>
      </c>
      <c r="AO65" s="375" t="str">
        <f>IF(B65="", "", 'Lighting Inventory (Ref only)'!AG76)</f>
        <v/>
      </c>
    </row>
    <row r="66" spans="1:41">
      <c r="A66" s="298" t="str">
        <f>IF(G66="", "", Lookups!BF68)</f>
        <v/>
      </c>
      <c r="B66" s="298" t="str">
        <f>IF('Lighting Inventory (Ref only)'!Q77="", "", 'Lighting Inventory (Ref only)'!Q77)</f>
        <v/>
      </c>
      <c r="C66" s="298" t="str">
        <f>IF(A66="", "", 'Lighting Inventory (Ref only)'!AO77)</f>
        <v/>
      </c>
      <c r="D66" s="370" t="str">
        <f>IF(B66= "","", Inventory!S74)</f>
        <v/>
      </c>
      <c r="E66" s="371"/>
      <c r="F66" s="298" t="str">
        <f>IF(B66="", "", 'Version Log'!$B$34)</f>
        <v/>
      </c>
      <c r="G66" s="298" t="str">
        <f t="shared" ref="G66:G129" si="4">IF(B66="", "", PRJ_Type)</f>
        <v/>
      </c>
      <c r="H66" s="298" t="str">
        <f t="shared" ref="H66:H129" si="5">IF(B66="", "", SqFt)</f>
        <v/>
      </c>
      <c r="I66" s="298" t="str">
        <f>IF(B66="", "",Inventory!D74)</f>
        <v/>
      </c>
      <c r="J66" s="298" t="str">
        <f>IF(B66="","",IF(Inventory!C74="N","Interior","Exterior"))</f>
        <v/>
      </c>
      <c r="K66" s="298" t="str">
        <f t="shared" ref="K66:K129" si="6">IF(B66="", "", Building_Type)</f>
        <v/>
      </c>
      <c r="L66" s="298" t="str">
        <f>IF(B66="", "", Inventory!E74)</f>
        <v/>
      </c>
      <c r="M66" s="298" t="str">
        <f>IF(B66="","",IF(Cool_Type=Lookups!$L$9,Cool_Type,IF(Cool_Type=Lookups!$L$10,Cool_Type,IF(Cool_Type=Lookups!$L$11,Cool_Type,IF(Cool_Type=Lookups!L76,Cool_Type,IF('Project Info and Summary'!$C$20="Electric",CONCATENATE(Cool_Type," ",Heating_Type," Heat"),IF('Project Info and Summary'!$C$20="Non-Electric",CONCATENATE(Cool_Type," ",Heating_Type," Heat"),CONCATENATE(Cool_Type," ",Heating_Type))))))))</f>
        <v/>
      </c>
      <c r="N66" s="298" t="str">
        <f t="shared" ref="N66:N129" si="7">IF(B66="", "",Heating_Type)</f>
        <v/>
      </c>
      <c r="O66" s="298" t="str">
        <f>IF(B66="", "", 'Lighting Inventory (Ref only)'!G77)</f>
        <v/>
      </c>
      <c r="P66" s="298" t="str">
        <f>IF(B66="", "", 'Lighting Inventory (Ref only)'!E77)</f>
        <v/>
      </c>
      <c r="Q66" s="298" t="str">
        <f>IF(B66="", "", 'Lighting Inventory (Ref only)'!J77)</f>
        <v/>
      </c>
      <c r="R66" s="298" t="str">
        <f>IF(B66="", "",'Lighting Inventory (Ref only)'!K77)</f>
        <v/>
      </c>
      <c r="S66" s="372" t="str">
        <f>IF(B66="", "", 'Lighting Inventory (Ref only)'!G77*'Lighting Inventory (Ref only)'!K77/1000)</f>
        <v/>
      </c>
      <c r="T66" s="298" t="str">
        <f>IF(B66="", "", IF('Lighting Inventory (Ref only)'!I77="", "Light Switch",Inventory!H74))</f>
        <v/>
      </c>
      <c r="U66" s="298" t="str">
        <f>IF(B66="", "", 'Lighting Inventory (Ref only)'!Q77)</f>
        <v/>
      </c>
      <c r="V66" s="298" t="str">
        <f>IF(B66="", "", 'Lighting Inventory (Ref only)'!K77)</f>
        <v/>
      </c>
      <c r="W66" s="373" t="str">
        <f>IF(B66="","",('Lighting Inventory (Ref only)'!L77/1000))</f>
        <v/>
      </c>
      <c r="X66" s="298" t="str">
        <f>IF(B66="", "", 'Lighting Inventory (Ref only)'!Q77)</f>
        <v/>
      </c>
      <c r="Y66" s="298" t="str">
        <f>IF(C66="", "", Inventory!N74)</f>
        <v/>
      </c>
      <c r="Z66" s="374" t="str">
        <f>IF(B66="", "", 'Lighting Inventory (Ref only)'!P77)</f>
        <v/>
      </c>
      <c r="AA66" s="372" t="str">
        <f>IF(B66="", "",'Lighting Inventory (Ref only)'!R77/1000)</f>
        <v/>
      </c>
      <c r="AB66" s="372" t="str">
        <f>IF(B66="", "", Inventory!M74)</f>
        <v/>
      </c>
      <c r="AC66" s="374" t="str">
        <f>IF(B66="", "", 'Lighting Inventory (Ref only)'!T77)</f>
        <v/>
      </c>
      <c r="AD66" s="374" t="str">
        <f>IF(C66="", "", 'Lighting Inventory (Ref only)'!AA77)</f>
        <v/>
      </c>
      <c r="AE66" s="375" t="str">
        <f>IF(B66="", "", 'Lighting Inventory (Ref only)'!U77)</f>
        <v/>
      </c>
      <c r="AF66" s="375" t="str">
        <f>IF(B66="", "",'Lighting Inventory (Ref only)'!W77)</f>
        <v/>
      </c>
      <c r="AG66" s="375" t="str">
        <f>IF(B66="", "", 'Lighting Inventory (Ref only)'!V77)</f>
        <v/>
      </c>
      <c r="AH66" s="375" t="str">
        <f>IF(B66="", "",'Lighting Inventory (Ref only)'!Z77)</f>
        <v/>
      </c>
      <c r="AI66" s="375" t="str">
        <f>IF(B66="", "", 'Lighting Inventory (Ref only)'!Y77)</f>
        <v/>
      </c>
      <c r="AJ66" s="375" t="str">
        <f>IF(C66="", "",'Lighting Inventory (Ref only)'!AB77)</f>
        <v/>
      </c>
      <c r="AK66" s="375" t="str">
        <f>IF(B66="", "", 'Lighting Inventory (Ref only)'!AG77)</f>
        <v/>
      </c>
      <c r="AL66" s="375" t="str">
        <f>IF(B66="", "", 'Lighting Inventory (Ref only)'!AD77)</f>
        <v/>
      </c>
      <c r="AM66" s="375" t="str">
        <f>IF(B66="", "", 'Lighting Inventory (Ref only)'!AE77)</f>
        <v/>
      </c>
      <c r="AN66" s="375" t="str">
        <f>IF(B66="", "", 'Lighting Inventory (Ref only)'!AF77)</f>
        <v/>
      </c>
      <c r="AO66" s="375" t="str">
        <f>IF(B66="", "", 'Lighting Inventory (Ref only)'!AG77)</f>
        <v/>
      </c>
    </row>
    <row r="67" spans="1:41">
      <c r="A67" s="298" t="str">
        <f>IF(G67="", "", Lookups!BF69)</f>
        <v/>
      </c>
      <c r="B67" s="298" t="str">
        <f>IF('Lighting Inventory (Ref only)'!Q78="", "", 'Lighting Inventory (Ref only)'!Q78)</f>
        <v/>
      </c>
      <c r="C67" s="298" t="str">
        <f>IF(A67="", "", 'Lighting Inventory (Ref only)'!AO78)</f>
        <v/>
      </c>
      <c r="D67" s="370" t="str">
        <f>IF(B67= "","", Inventory!S75)</f>
        <v/>
      </c>
      <c r="E67" s="371"/>
      <c r="F67" s="298" t="str">
        <f>IF(B67="", "", 'Version Log'!$B$34)</f>
        <v/>
      </c>
      <c r="G67" s="298" t="str">
        <f t="shared" si="4"/>
        <v/>
      </c>
      <c r="H67" s="298" t="str">
        <f t="shared" si="5"/>
        <v/>
      </c>
      <c r="I67" s="298" t="str">
        <f>IF(B67="", "",Inventory!D75)</f>
        <v/>
      </c>
      <c r="J67" s="298" t="str">
        <f>IF(B67="","",IF(Inventory!C75="N","Interior","Exterior"))</f>
        <v/>
      </c>
      <c r="K67" s="298" t="str">
        <f t="shared" si="6"/>
        <v/>
      </c>
      <c r="L67" s="298" t="str">
        <f>IF(B67="", "", Inventory!E75)</f>
        <v/>
      </c>
      <c r="M67" s="298" t="str">
        <f>IF(B67="","",IF(Cool_Type=Lookups!$L$9,Cool_Type,IF(Cool_Type=Lookups!$L$10,Cool_Type,IF(Cool_Type=Lookups!$L$11,Cool_Type,IF(Cool_Type=Lookups!L77,Cool_Type,IF('Project Info and Summary'!$C$20="Electric",CONCATENATE(Cool_Type," ",Heating_Type," Heat"),IF('Project Info and Summary'!$C$20="Non-Electric",CONCATENATE(Cool_Type," ",Heating_Type," Heat"),CONCATENATE(Cool_Type," ",Heating_Type))))))))</f>
        <v/>
      </c>
      <c r="N67" s="298" t="str">
        <f t="shared" si="7"/>
        <v/>
      </c>
      <c r="O67" s="298" t="str">
        <f>IF(B67="", "", 'Lighting Inventory (Ref only)'!G78)</f>
        <v/>
      </c>
      <c r="P67" s="298" t="str">
        <f>IF(B67="", "", 'Lighting Inventory (Ref only)'!E78)</f>
        <v/>
      </c>
      <c r="Q67" s="298" t="str">
        <f>IF(B67="", "", 'Lighting Inventory (Ref only)'!J78)</f>
        <v/>
      </c>
      <c r="R67" s="298" t="str">
        <f>IF(B67="", "",'Lighting Inventory (Ref only)'!K78)</f>
        <v/>
      </c>
      <c r="S67" s="372" t="str">
        <f>IF(B67="", "", 'Lighting Inventory (Ref only)'!G78*'Lighting Inventory (Ref only)'!K78/1000)</f>
        <v/>
      </c>
      <c r="T67" s="298" t="str">
        <f>IF(B67="", "", IF('Lighting Inventory (Ref only)'!I78="", "Light Switch",Inventory!H75))</f>
        <v/>
      </c>
      <c r="U67" s="298" t="str">
        <f>IF(B67="", "", 'Lighting Inventory (Ref only)'!Q78)</f>
        <v/>
      </c>
      <c r="V67" s="298" t="str">
        <f>IF(B67="", "", 'Lighting Inventory (Ref only)'!K78)</f>
        <v/>
      </c>
      <c r="W67" s="373" t="str">
        <f>IF(B67="","",('Lighting Inventory (Ref only)'!L78/1000))</f>
        <v/>
      </c>
      <c r="X67" s="298" t="str">
        <f>IF(B67="", "", 'Lighting Inventory (Ref only)'!Q78)</f>
        <v/>
      </c>
      <c r="Y67" s="298" t="str">
        <f>IF(C67="", "", Inventory!N75)</f>
        <v/>
      </c>
      <c r="Z67" s="374" t="str">
        <f>IF(B67="", "", 'Lighting Inventory (Ref only)'!P78)</f>
        <v/>
      </c>
      <c r="AA67" s="372" t="str">
        <f>IF(B67="", "",'Lighting Inventory (Ref only)'!R78/1000)</f>
        <v/>
      </c>
      <c r="AB67" s="372" t="str">
        <f>IF(B67="", "", Inventory!M75)</f>
        <v/>
      </c>
      <c r="AC67" s="374" t="str">
        <f>IF(B67="", "", 'Lighting Inventory (Ref only)'!T78)</f>
        <v/>
      </c>
      <c r="AD67" s="374" t="str">
        <f>IF(C67="", "", 'Lighting Inventory (Ref only)'!AA78)</f>
        <v/>
      </c>
      <c r="AE67" s="375" t="str">
        <f>IF(B67="", "", 'Lighting Inventory (Ref only)'!U78)</f>
        <v/>
      </c>
      <c r="AF67" s="375" t="str">
        <f>IF(B67="", "",'Lighting Inventory (Ref only)'!W78)</f>
        <v/>
      </c>
      <c r="AG67" s="375" t="str">
        <f>IF(B67="", "", 'Lighting Inventory (Ref only)'!V78)</f>
        <v/>
      </c>
      <c r="AH67" s="375" t="str">
        <f>IF(B67="", "",'Lighting Inventory (Ref only)'!Z78)</f>
        <v/>
      </c>
      <c r="AI67" s="375" t="str">
        <f>IF(B67="", "", 'Lighting Inventory (Ref only)'!Y78)</f>
        <v/>
      </c>
      <c r="AJ67" s="375" t="str">
        <f>IF(C67="", "",'Lighting Inventory (Ref only)'!AB78)</f>
        <v/>
      </c>
      <c r="AK67" s="375" t="str">
        <f>IF(B67="", "", 'Lighting Inventory (Ref only)'!AG78)</f>
        <v/>
      </c>
      <c r="AL67" s="375" t="str">
        <f>IF(B67="", "", 'Lighting Inventory (Ref only)'!AD78)</f>
        <v/>
      </c>
      <c r="AM67" s="375" t="str">
        <f>IF(B67="", "", 'Lighting Inventory (Ref only)'!AE78)</f>
        <v/>
      </c>
      <c r="AN67" s="375" t="str">
        <f>IF(B67="", "", 'Lighting Inventory (Ref only)'!AF78)</f>
        <v/>
      </c>
      <c r="AO67" s="375" t="str">
        <f>IF(B67="", "", 'Lighting Inventory (Ref only)'!AG78)</f>
        <v/>
      </c>
    </row>
    <row r="68" spans="1:41">
      <c r="A68" s="298" t="str">
        <f>IF(G68="", "", Lookups!BF70)</f>
        <v/>
      </c>
      <c r="B68" s="298" t="str">
        <f>IF('Lighting Inventory (Ref only)'!Q79="", "", 'Lighting Inventory (Ref only)'!Q79)</f>
        <v/>
      </c>
      <c r="C68" s="298" t="str">
        <f>IF(A68="", "", 'Lighting Inventory (Ref only)'!AO79)</f>
        <v/>
      </c>
      <c r="D68" s="370" t="str">
        <f>IF(B68= "","", Inventory!S76)</f>
        <v/>
      </c>
      <c r="E68" s="371"/>
      <c r="F68" s="298" t="str">
        <f>IF(B68="", "", 'Version Log'!$B$34)</f>
        <v/>
      </c>
      <c r="G68" s="298" t="str">
        <f t="shared" si="4"/>
        <v/>
      </c>
      <c r="H68" s="298" t="str">
        <f t="shared" si="5"/>
        <v/>
      </c>
      <c r="I68" s="298" t="str">
        <f>IF(B68="", "",Inventory!D76)</f>
        <v/>
      </c>
      <c r="J68" s="298" t="str">
        <f>IF(B68="","",IF(Inventory!C76="N","Interior","Exterior"))</f>
        <v/>
      </c>
      <c r="K68" s="298" t="str">
        <f t="shared" si="6"/>
        <v/>
      </c>
      <c r="L68" s="298" t="str">
        <f>IF(B68="", "", Inventory!E76)</f>
        <v/>
      </c>
      <c r="M68" s="298" t="str">
        <f>IF(B68="","",IF(Cool_Type=Lookups!$L$9,Cool_Type,IF(Cool_Type=Lookups!$L$10,Cool_Type,IF(Cool_Type=Lookups!$L$11,Cool_Type,IF(Cool_Type=Lookups!L78,Cool_Type,IF('Project Info and Summary'!$C$20="Electric",CONCATENATE(Cool_Type," ",Heating_Type," Heat"),IF('Project Info and Summary'!$C$20="Non-Electric",CONCATENATE(Cool_Type," ",Heating_Type," Heat"),CONCATENATE(Cool_Type," ",Heating_Type))))))))</f>
        <v/>
      </c>
      <c r="N68" s="298" t="str">
        <f t="shared" si="7"/>
        <v/>
      </c>
      <c r="O68" s="298" t="str">
        <f>IF(B68="", "", 'Lighting Inventory (Ref only)'!G79)</f>
        <v/>
      </c>
      <c r="P68" s="298" t="str">
        <f>IF(B68="", "", 'Lighting Inventory (Ref only)'!E79)</f>
        <v/>
      </c>
      <c r="Q68" s="298" t="str">
        <f>IF(B68="", "", 'Lighting Inventory (Ref only)'!J79)</f>
        <v/>
      </c>
      <c r="R68" s="298" t="str">
        <f>IF(B68="", "",'Lighting Inventory (Ref only)'!K79)</f>
        <v/>
      </c>
      <c r="S68" s="372" t="str">
        <f>IF(B68="", "", 'Lighting Inventory (Ref only)'!G79*'Lighting Inventory (Ref only)'!K79/1000)</f>
        <v/>
      </c>
      <c r="T68" s="298" t="str">
        <f>IF(B68="", "", IF('Lighting Inventory (Ref only)'!I79="", "Light Switch",Inventory!H76))</f>
        <v/>
      </c>
      <c r="U68" s="298" t="str">
        <f>IF(B68="", "", 'Lighting Inventory (Ref only)'!Q79)</f>
        <v/>
      </c>
      <c r="V68" s="298" t="str">
        <f>IF(B68="", "", 'Lighting Inventory (Ref only)'!K79)</f>
        <v/>
      </c>
      <c r="W68" s="373" t="str">
        <f>IF(B68="","",('Lighting Inventory (Ref only)'!L79/1000))</f>
        <v/>
      </c>
      <c r="X68" s="298" t="str">
        <f>IF(B68="", "", 'Lighting Inventory (Ref only)'!Q79)</f>
        <v/>
      </c>
      <c r="Y68" s="298" t="str">
        <f>IF(C68="", "", Inventory!N76)</f>
        <v/>
      </c>
      <c r="Z68" s="374" t="str">
        <f>IF(B68="", "", 'Lighting Inventory (Ref only)'!P79)</f>
        <v/>
      </c>
      <c r="AA68" s="372" t="str">
        <f>IF(B68="", "",'Lighting Inventory (Ref only)'!R79/1000)</f>
        <v/>
      </c>
      <c r="AB68" s="372" t="str">
        <f>IF(B68="", "", Inventory!M76)</f>
        <v/>
      </c>
      <c r="AC68" s="374" t="str">
        <f>IF(B68="", "", 'Lighting Inventory (Ref only)'!T79)</f>
        <v/>
      </c>
      <c r="AD68" s="374" t="str">
        <f>IF(C68="", "", 'Lighting Inventory (Ref only)'!AA79)</f>
        <v/>
      </c>
      <c r="AE68" s="375" t="str">
        <f>IF(B68="", "", 'Lighting Inventory (Ref only)'!U79)</f>
        <v/>
      </c>
      <c r="AF68" s="375" t="str">
        <f>IF(B68="", "",'Lighting Inventory (Ref only)'!W79)</f>
        <v/>
      </c>
      <c r="AG68" s="375" t="str">
        <f>IF(B68="", "", 'Lighting Inventory (Ref only)'!V79)</f>
        <v/>
      </c>
      <c r="AH68" s="375" t="str">
        <f>IF(B68="", "",'Lighting Inventory (Ref only)'!Z79)</f>
        <v/>
      </c>
      <c r="AI68" s="375" t="str">
        <f>IF(B68="", "", 'Lighting Inventory (Ref only)'!Y79)</f>
        <v/>
      </c>
      <c r="AJ68" s="375" t="str">
        <f>IF(C68="", "",'Lighting Inventory (Ref only)'!AB79)</f>
        <v/>
      </c>
      <c r="AK68" s="375" t="str">
        <f>IF(B68="", "", 'Lighting Inventory (Ref only)'!AG79)</f>
        <v/>
      </c>
      <c r="AL68" s="375" t="str">
        <f>IF(B68="", "", 'Lighting Inventory (Ref only)'!AD79)</f>
        <v/>
      </c>
      <c r="AM68" s="375" t="str">
        <f>IF(B68="", "", 'Lighting Inventory (Ref only)'!AE79)</f>
        <v/>
      </c>
      <c r="AN68" s="375" t="str">
        <f>IF(B68="", "", 'Lighting Inventory (Ref only)'!AF79)</f>
        <v/>
      </c>
      <c r="AO68" s="375" t="str">
        <f>IF(B68="", "", 'Lighting Inventory (Ref only)'!AG79)</f>
        <v/>
      </c>
    </row>
    <row r="69" spans="1:41">
      <c r="A69" s="298" t="str">
        <f>IF(G69="", "", Lookups!BF71)</f>
        <v/>
      </c>
      <c r="B69" s="298" t="str">
        <f>IF('Lighting Inventory (Ref only)'!Q80="", "", 'Lighting Inventory (Ref only)'!Q80)</f>
        <v/>
      </c>
      <c r="C69" s="298" t="str">
        <f>IF(A69="", "", 'Lighting Inventory (Ref only)'!AO80)</f>
        <v/>
      </c>
      <c r="D69" s="370" t="str">
        <f>IF(B69= "","", Inventory!S77)</f>
        <v/>
      </c>
      <c r="E69" s="371"/>
      <c r="F69" s="298" t="str">
        <f>IF(B69="", "", 'Version Log'!$B$34)</f>
        <v/>
      </c>
      <c r="G69" s="298" t="str">
        <f t="shared" si="4"/>
        <v/>
      </c>
      <c r="H69" s="298" t="str">
        <f t="shared" si="5"/>
        <v/>
      </c>
      <c r="I69" s="298" t="str">
        <f>IF(B69="", "",Inventory!D77)</f>
        <v/>
      </c>
      <c r="J69" s="298" t="str">
        <f>IF(B69="","",IF(Inventory!C77="N","Interior","Exterior"))</f>
        <v/>
      </c>
      <c r="K69" s="298" t="str">
        <f t="shared" si="6"/>
        <v/>
      </c>
      <c r="L69" s="298" t="str">
        <f>IF(B69="", "", Inventory!E77)</f>
        <v/>
      </c>
      <c r="M69" s="298" t="str">
        <f>IF(B69="","",IF(Cool_Type=Lookups!$L$9,Cool_Type,IF(Cool_Type=Lookups!$L$10,Cool_Type,IF(Cool_Type=Lookups!$L$11,Cool_Type,IF(Cool_Type=Lookups!L79,Cool_Type,IF('Project Info and Summary'!$C$20="Electric",CONCATENATE(Cool_Type," ",Heating_Type," Heat"),IF('Project Info and Summary'!$C$20="Non-Electric",CONCATENATE(Cool_Type," ",Heating_Type," Heat"),CONCATENATE(Cool_Type," ",Heating_Type))))))))</f>
        <v/>
      </c>
      <c r="N69" s="298" t="str">
        <f t="shared" si="7"/>
        <v/>
      </c>
      <c r="O69" s="298" t="str">
        <f>IF(B69="", "", 'Lighting Inventory (Ref only)'!G80)</f>
        <v/>
      </c>
      <c r="P69" s="298" t="str">
        <f>IF(B69="", "", 'Lighting Inventory (Ref only)'!E80)</f>
        <v/>
      </c>
      <c r="Q69" s="298" t="str">
        <f>IF(B69="", "", 'Lighting Inventory (Ref only)'!J80)</f>
        <v/>
      </c>
      <c r="R69" s="298" t="str">
        <f>IF(B69="", "",'Lighting Inventory (Ref only)'!K80)</f>
        <v/>
      </c>
      <c r="S69" s="372" t="str">
        <f>IF(B69="", "", 'Lighting Inventory (Ref only)'!G80*'Lighting Inventory (Ref only)'!K80/1000)</f>
        <v/>
      </c>
      <c r="T69" s="298" t="str">
        <f>IF(B69="", "", IF('Lighting Inventory (Ref only)'!I80="", "Light Switch",Inventory!H77))</f>
        <v/>
      </c>
      <c r="U69" s="298" t="str">
        <f>IF(B69="", "", 'Lighting Inventory (Ref only)'!Q80)</f>
        <v/>
      </c>
      <c r="V69" s="298" t="str">
        <f>IF(B69="", "", 'Lighting Inventory (Ref only)'!K80)</f>
        <v/>
      </c>
      <c r="W69" s="373" t="str">
        <f>IF(B69="","",('Lighting Inventory (Ref only)'!L80/1000))</f>
        <v/>
      </c>
      <c r="X69" s="298" t="str">
        <f>IF(B69="", "", 'Lighting Inventory (Ref only)'!Q80)</f>
        <v/>
      </c>
      <c r="Y69" s="298" t="str">
        <f>IF(C69="", "", Inventory!N77)</f>
        <v/>
      </c>
      <c r="Z69" s="374" t="str">
        <f>IF(B69="", "", 'Lighting Inventory (Ref only)'!P80)</f>
        <v/>
      </c>
      <c r="AA69" s="372" t="str">
        <f>IF(B69="", "",'Lighting Inventory (Ref only)'!R80/1000)</f>
        <v/>
      </c>
      <c r="AB69" s="372" t="str">
        <f>IF(B69="", "", Inventory!M77)</f>
        <v/>
      </c>
      <c r="AC69" s="374" t="str">
        <f>IF(B69="", "", 'Lighting Inventory (Ref only)'!T80)</f>
        <v/>
      </c>
      <c r="AD69" s="374" t="str">
        <f>IF(C69="", "", 'Lighting Inventory (Ref only)'!AA80)</f>
        <v/>
      </c>
      <c r="AE69" s="375" t="str">
        <f>IF(B69="", "", 'Lighting Inventory (Ref only)'!U80)</f>
        <v/>
      </c>
      <c r="AF69" s="375" t="str">
        <f>IF(B69="", "",'Lighting Inventory (Ref only)'!W80)</f>
        <v/>
      </c>
      <c r="AG69" s="375" t="str">
        <f>IF(B69="", "", 'Lighting Inventory (Ref only)'!V80)</f>
        <v/>
      </c>
      <c r="AH69" s="375" t="str">
        <f>IF(B69="", "",'Lighting Inventory (Ref only)'!Z80)</f>
        <v/>
      </c>
      <c r="AI69" s="375" t="str">
        <f>IF(B69="", "", 'Lighting Inventory (Ref only)'!Y80)</f>
        <v/>
      </c>
      <c r="AJ69" s="375" t="str">
        <f>IF(C69="", "",'Lighting Inventory (Ref only)'!AB80)</f>
        <v/>
      </c>
      <c r="AK69" s="375" t="str">
        <f>IF(B69="", "", 'Lighting Inventory (Ref only)'!AG80)</f>
        <v/>
      </c>
      <c r="AL69" s="375" t="str">
        <f>IF(B69="", "", 'Lighting Inventory (Ref only)'!AD80)</f>
        <v/>
      </c>
      <c r="AM69" s="375" t="str">
        <f>IF(B69="", "", 'Lighting Inventory (Ref only)'!AE80)</f>
        <v/>
      </c>
      <c r="AN69" s="375" t="str">
        <f>IF(B69="", "", 'Lighting Inventory (Ref only)'!AF80)</f>
        <v/>
      </c>
      <c r="AO69" s="375" t="str">
        <f>IF(B69="", "", 'Lighting Inventory (Ref only)'!AG80)</f>
        <v/>
      </c>
    </row>
    <row r="70" spans="1:41">
      <c r="A70" s="298" t="str">
        <f>IF(G70="", "", Lookups!BF72)</f>
        <v/>
      </c>
      <c r="B70" s="298" t="str">
        <f>IF('Lighting Inventory (Ref only)'!Q81="", "", 'Lighting Inventory (Ref only)'!Q81)</f>
        <v/>
      </c>
      <c r="C70" s="298" t="str">
        <f>IF(A70="", "", 'Lighting Inventory (Ref only)'!AO81)</f>
        <v/>
      </c>
      <c r="D70" s="370" t="str">
        <f>IF(B70= "","", Inventory!S78)</f>
        <v/>
      </c>
      <c r="E70" s="371"/>
      <c r="F70" s="298" t="str">
        <f>IF(B70="", "", 'Version Log'!$B$34)</f>
        <v/>
      </c>
      <c r="G70" s="298" t="str">
        <f t="shared" si="4"/>
        <v/>
      </c>
      <c r="H70" s="298" t="str">
        <f t="shared" si="5"/>
        <v/>
      </c>
      <c r="I70" s="298" t="str">
        <f>IF(B70="", "",Inventory!D78)</f>
        <v/>
      </c>
      <c r="J70" s="298" t="str">
        <f>IF(B70="","",IF(Inventory!C78="N","Interior","Exterior"))</f>
        <v/>
      </c>
      <c r="K70" s="298" t="str">
        <f t="shared" si="6"/>
        <v/>
      </c>
      <c r="L70" s="298" t="str">
        <f>IF(B70="", "", Inventory!E78)</f>
        <v/>
      </c>
      <c r="M70" s="298" t="str">
        <f>IF(B70="","",IF(Cool_Type=Lookups!$L$9,Cool_Type,IF(Cool_Type=Lookups!$L$10,Cool_Type,IF(Cool_Type=Lookups!$L$11,Cool_Type,IF(Cool_Type=Lookups!L80,Cool_Type,IF('Project Info and Summary'!$C$20="Electric",CONCATENATE(Cool_Type," ",Heating_Type," Heat"),IF('Project Info and Summary'!$C$20="Non-Electric",CONCATENATE(Cool_Type," ",Heating_Type," Heat"),CONCATENATE(Cool_Type," ",Heating_Type))))))))</f>
        <v/>
      </c>
      <c r="N70" s="298" t="str">
        <f t="shared" si="7"/>
        <v/>
      </c>
      <c r="O70" s="298" t="str">
        <f>IF(B70="", "", 'Lighting Inventory (Ref only)'!G81)</f>
        <v/>
      </c>
      <c r="P70" s="298" t="str">
        <f>IF(B70="", "", 'Lighting Inventory (Ref only)'!E81)</f>
        <v/>
      </c>
      <c r="Q70" s="298" t="str">
        <f>IF(B70="", "", 'Lighting Inventory (Ref only)'!J81)</f>
        <v/>
      </c>
      <c r="R70" s="298" t="str">
        <f>IF(B70="", "",'Lighting Inventory (Ref only)'!K81)</f>
        <v/>
      </c>
      <c r="S70" s="372" t="str">
        <f>IF(B70="", "", 'Lighting Inventory (Ref only)'!G81*'Lighting Inventory (Ref only)'!K81/1000)</f>
        <v/>
      </c>
      <c r="T70" s="298" t="str">
        <f>IF(B70="", "", IF('Lighting Inventory (Ref only)'!I81="", "Light Switch",Inventory!H78))</f>
        <v/>
      </c>
      <c r="U70" s="298" t="str">
        <f>IF(B70="", "", 'Lighting Inventory (Ref only)'!Q81)</f>
        <v/>
      </c>
      <c r="V70" s="298" t="str">
        <f>IF(B70="", "", 'Lighting Inventory (Ref only)'!K81)</f>
        <v/>
      </c>
      <c r="W70" s="373" t="str">
        <f>IF(B70="","",('Lighting Inventory (Ref only)'!L81/1000))</f>
        <v/>
      </c>
      <c r="X70" s="298" t="str">
        <f>IF(B70="", "", 'Lighting Inventory (Ref only)'!Q81)</f>
        <v/>
      </c>
      <c r="Y70" s="298" t="str">
        <f>IF(C70="", "", Inventory!N78)</f>
        <v/>
      </c>
      <c r="Z70" s="374" t="str">
        <f>IF(B70="", "", 'Lighting Inventory (Ref only)'!P81)</f>
        <v/>
      </c>
      <c r="AA70" s="372" t="str">
        <f>IF(B70="", "",'Lighting Inventory (Ref only)'!R81/1000)</f>
        <v/>
      </c>
      <c r="AB70" s="372" t="str">
        <f>IF(B70="", "", Inventory!M78)</f>
        <v/>
      </c>
      <c r="AC70" s="374" t="str">
        <f>IF(B70="", "", 'Lighting Inventory (Ref only)'!T81)</f>
        <v/>
      </c>
      <c r="AD70" s="374" t="str">
        <f>IF(C70="", "", 'Lighting Inventory (Ref only)'!AA81)</f>
        <v/>
      </c>
      <c r="AE70" s="375" t="str">
        <f>IF(B70="", "", 'Lighting Inventory (Ref only)'!U81)</f>
        <v/>
      </c>
      <c r="AF70" s="375" t="str">
        <f>IF(B70="", "",'Lighting Inventory (Ref only)'!W81)</f>
        <v/>
      </c>
      <c r="AG70" s="375" t="str">
        <f>IF(B70="", "", 'Lighting Inventory (Ref only)'!V81)</f>
        <v/>
      </c>
      <c r="AH70" s="375" t="str">
        <f>IF(B70="", "",'Lighting Inventory (Ref only)'!Z81)</f>
        <v/>
      </c>
      <c r="AI70" s="375" t="str">
        <f>IF(B70="", "", 'Lighting Inventory (Ref only)'!Y81)</f>
        <v/>
      </c>
      <c r="AJ70" s="375" t="str">
        <f>IF(C70="", "",'Lighting Inventory (Ref only)'!AB81)</f>
        <v/>
      </c>
      <c r="AK70" s="375" t="str">
        <f>IF(B70="", "", 'Lighting Inventory (Ref only)'!AG81)</f>
        <v/>
      </c>
      <c r="AL70" s="375" t="str">
        <f>IF(B70="", "", 'Lighting Inventory (Ref only)'!AD81)</f>
        <v/>
      </c>
      <c r="AM70" s="375" t="str">
        <f>IF(B70="", "", 'Lighting Inventory (Ref only)'!AE81)</f>
        <v/>
      </c>
      <c r="AN70" s="375" t="str">
        <f>IF(B70="", "", 'Lighting Inventory (Ref only)'!AF81)</f>
        <v/>
      </c>
      <c r="AO70" s="375" t="str">
        <f>IF(B70="", "", 'Lighting Inventory (Ref only)'!AG81)</f>
        <v/>
      </c>
    </row>
    <row r="71" spans="1:41">
      <c r="A71" s="298" t="str">
        <f>IF(G71="", "", Lookups!BF73)</f>
        <v/>
      </c>
      <c r="B71" s="298" t="str">
        <f>IF('Lighting Inventory (Ref only)'!Q82="", "", 'Lighting Inventory (Ref only)'!Q82)</f>
        <v/>
      </c>
      <c r="C71" s="298" t="str">
        <f>IF(A71="", "", 'Lighting Inventory (Ref only)'!AO82)</f>
        <v/>
      </c>
      <c r="D71" s="370" t="str">
        <f>IF(B71= "","", Inventory!S79)</f>
        <v/>
      </c>
      <c r="E71" s="371"/>
      <c r="F71" s="298" t="str">
        <f>IF(B71="", "", 'Version Log'!$B$34)</f>
        <v/>
      </c>
      <c r="G71" s="298" t="str">
        <f t="shared" si="4"/>
        <v/>
      </c>
      <c r="H71" s="298" t="str">
        <f t="shared" si="5"/>
        <v/>
      </c>
      <c r="I71" s="298" t="str">
        <f>IF(B71="", "",Inventory!D79)</f>
        <v/>
      </c>
      <c r="J71" s="298" t="str">
        <f>IF(B71="","",IF(Inventory!C79="N","Interior","Exterior"))</f>
        <v/>
      </c>
      <c r="K71" s="298" t="str">
        <f t="shared" si="6"/>
        <v/>
      </c>
      <c r="L71" s="298" t="str">
        <f>IF(B71="", "", Inventory!E79)</f>
        <v/>
      </c>
      <c r="M71" s="298" t="str">
        <f>IF(B71="","",IF(Cool_Type=Lookups!$L$9,Cool_Type,IF(Cool_Type=Lookups!$L$10,Cool_Type,IF(Cool_Type=Lookups!$L$11,Cool_Type,IF(Cool_Type=Lookups!L81,Cool_Type,IF('Project Info and Summary'!$C$20="Electric",CONCATENATE(Cool_Type," ",Heating_Type," Heat"),IF('Project Info and Summary'!$C$20="Non-Electric",CONCATENATE(Cool_Type," ",Heating_Type," Heat"),CONCATENATE(Cool_Type," ",Heating_Type))))))))</f>
        <v/>
      </c>
      <c r="N71" s="298" t="str">
        <f t="shared" si="7"/>
        <v/>
      </c>
      <c r="O71" s="298" t="str">
        <f>IF(B71="", "", 'Lighting Inventory (Ref only)'!G82)</f>
        <v/>
      </c>
      <c r="P71" s="298" t="str">
        <f>IF(B71="", "", 'Lighting Inventory (Ref only)'!E82)</f>
        <v/>
      </c>
      <c r="Q71" s="298" t="str">
        <f>IF(B71="", "", 'Lighting Inventory (Ref only)'!J82)</f>
        <v/>
      </c>
      <c r="R71" s="298" t="str">
        <f>IF(B71="", "",'Lighting Inventory (Ref only)'!K82)</f>
        <v/>
      </c>
      <c r="S71" s="372" t="str">
        <f>IF(B71="", "", 'Lighting Inventory (Ref only)'!G82*'Lighting Inventory (Ref only)'!K82/1000)</f>
        <v/>
      </c>
      <c r="T71" s="298" t="str">
        <f>IF(B71="", "", IF('Lighting Inventory (Ref only)'!I82="", "Light Switch",Inventory!H79))</f>
        <v/>
      </c>
      <c r="U71" s="298" t="str">
        <f>IF(B71="", "", 'Lighting Inventory (Ref only)'!Q82)</f>
        <v/>
      </c>
      <c r="V71" s="298" t="str">
        <f>IF(B71="", "", 'Lighting Inventory (Ref only)'!K82)</f>
        <v/>
      </c>
      <c r="W71" s="373" t="str">
        <f>IF(B71="","",('Lighting Inventory (Ref only)'!L82/1000))</f>
        <v/>
      </c>
      <c r="X71" s="298" t="str">
        <f>IF(B71="", "", 'Lighting Inventory (Ref only)'!Q82)</f>
        <v/>
      </c>
      <c r="Y71" s="298" t="str">
        <f>IF(C71="", "", Inventory!N79)</f>
        <v/>
      </c>
      <c r="Z71" s="374" t="str">
        <f>IF(B71="", "", 'Lighting Inventory (Ref only)'!P82)</f>
        <v/>
      </c>
      <c r="AA71" s="372" t="str">
        <f>IF(B71="", "",'Lighting Inventory (Ref only)'!R82/1000)</f>
        <v/>
      </c>
      <c r="AB71" s="372" t="str">
        <f>IF(B71="", "", Inventory!M79)</f>
        <v/>
      </c>
      <c r="AC71" s="374" t="str">
        <f>IF(B71="", "", 'Lighting Inventory (Ref only)'!T82)</f>
        <v/>
      </c>
      <c r="AD71" s="374" t="str">
        <f>IF(C71="", "", 'Lighting Inventory (Ref only)'!AA82)</f>
        <v/>
      </c>
      <c r="AE71" s="375" t="str">
        <f>IF(B71="", "", 'Lighting Inventory (Ref only)'!U82)</f>
        <v/>
      </c>
      <c r="AF71" s="375" t="str">
        <f>IF(B71="", "",'Lighting Inventory (Ref only)'!W82)</f>
        <v/>
      </c>
      <c r="AG71" s="375" t="str">
        <f>IF(B71="", "", 'Lighting Inventory (Ref only)'!V82)</f>
        <v/>
      </c>
      <c r="AH71" s="375" t="str">
        <f>IF(B71="", "",'Lighting Inventory (Ref only)'!Z82)</f>
        <v/>
      </c>
      <c r="AI71" s="375" t="str">
        <f>IF(B71="", "", 'Lighting Inventory (Ref only)'!Y82)</f>
        <v/>
      </c>
      <c r="AJ71" s="375" t="str">
        <f>IF(C71="", "",'Lighting Inventory (Ref only)'!AB82)</f>
        <v/>
      </c>
      <c r="AK71" s="375" t="str">
        <f>IF(B71="", "", 'Lighting Inventory (Ref only)'!AG82)</f>
        <v/>
      </c>
      <c r="AL71" s="375" t="str">
        <f>IF(B71="", "", 'Lighting Inventory (Ref only)'!AD82)</f>
        <v/>
      </c>
      <c r="AM71" s="375" t="str">
        <f>IF(B71="", "", 'Lighting Inventory (Ref only)'!AE82)</f>
        <v/>
      </c>
      <c r="AN71" s="375" t="str">
        <f>IF(B71="", "", 'Lighting Inventory (Ref only)'!AF82)</f>
        <v/>
      </c>
      <c r="AO71" s="375" t="str">
        <f>IF(B71="", "", 'Lighting Inventory (Ref only)'!AG82)</f>
        <v/>
      </c>
    </row>
    <row r="72" spans="1:41">
      <c r="A72" s="298" t="str">
        <f>IF(G72="", "", Lookups!BF74)</f>
        <v/>
      </c>
      <c r="B72" s="298" t="str">
        <f>IF('Lighting Inventory (Ref only)'!Q83="", "", 'Lighting Inventory (Ref only)'!Q83)</f>
        <v/>
      </c>
      <c r="C72" s="298" t="str">
        <f>IF(A72="", "", 'Lighting Inventory (Ref only)'!AO83)</f>
        <v/>
      </c>
      <c r="D72" s="370" t="str">
        <f>IF(B72= "","", Inventory!S80)</f>
        <v/>
      </c>
      <c r="E72" s="371"/>
      <c r="F72" s="298" t="str">
        <f>IF(B72="", "", 'Version Log'!$B$34)</f>
        <v/>
      </c>
      <c r="G72" s="298" t="str">
        <f t="shared" si="4"/>
        <v/>
      </c>
      <c r="H72" s="298" t="str">
        <f t="shared" si="5"/>
        <v/>
      </c>
      <c r="I72" s="298" t="str">
        <f>IF(B72="", "",Inventory!D80)</f>
        <v/>
      </c>
      <c r="J72" s="298" t="str">
        <f>IF(B72="","",IF(Inventory!C80="N","Interior","Exterior"))</f>
        <v/>
      </c>
      <c r="K72" s="298" t="str">
        <f t="shared" si="6"/>
        <v/>
      </c>
      <c r="L72" s="298" t="str">
        <f>IF(B72="", "", Inventory!E80)</f>
        <v/>
      </c>
      <c r="M72" s="298" t="str">
        <f>IF(B72="","",IF(Cool_Type=Lookups!$L$9,Cool_Type,IF(Cool_Type=Lookups!$L$10,Cool_Type,IF(Cool_Type=Lookups!$L$11,Cool_Type,IF(Cool_Type=Lookups!L82,Cool_Type,IF('Project Info and Summary'!$C$20="Electric",CONCATENATE(Cool_Type," ",Heating_Type," Heat"),IF('Project Info and Summary'!$C$20="Non-Electric",CONCATENATE(Cool_Type," ",Heating_Type," Heat"),CONCATENATE(Cool_Type," ",Heating_Type))))))))</f>
        <v/>
      </c>
      <c r="N72" s="298" t="str">
        <f t="shared" si="7"/>
        <v/>
      </c>
      <c r="O72" s="298" t="str">
        <f>IF(B72="", "", 'Lighting Inventory (Ref only)'!G83)</f>
        <v/>
      </c>
      <c r="P72" s="298" t="str">
        <f>IF(B72="", "", 'Lighting Inventory (Ref only)'!E83)</f>
        <v/>
      </c>
      <c r="Q72" s="298" t="str">
        <f>IF(B72="", "", 'Lighting Inventory (Ref only)'!J83)</f>
        <v/>
      </c>
      <c r="R72" s="298" t="str">
        <f>IF(B72="", "",'Lighting Inventory (Ref only)'!K83)</f>
        <v/>
      </c>
      <c r="S72" s="372" t="str">
        <f>IF(B72="", "", 'Lighting Inventory (Ref only)'!G83*'Lighting Inventory (Ref only)'!K83/1000)</f>
        <v/>
      </c>
      <c r="T72" s="298" t="str">
        <f>IF(B72="", "", IF('Lighting Inventory (Ref only)'!I83="", "Light Switch",Inventory!H80))</f>
        <v/>
      </c>
      <c r="U72" s="298" t="str">
        <f>IF(B72="", "", 'Lighting Inventory (Ref only)'!Q83)</f>
        <v/>
      </c>
      <c r="V72" s="298" t="str">
        <f>IF(B72="", "", 'Lighting Inventory (Ref only)'!K83)</f>
        <v/>
      </c>
      <c r="W72" s="373" t="str">
        <f>IF(B72="","",('Lighting Inventory (Ref only)'!L83/1000))</f>
        <v/>
      </c>
      <c r="X72" s="298" t="str">
        <f>IF(B72="", "", 'Lighting Inventory (Ref only)'!Q83)</f>
        <v/>
      </c>
      <c r="Y72" s="298" t="str">
        <f>IF(C72="", "", Inventory!N80)</f>
        <v/>
      </c>
      <c r="Z72" s="374" t="str">
        <f>IF(B72="", "", 'Lighting Inventory (Ref only)'!P83)</f>
        <v/>
      </c>
      <c r="AA72" s="372" t="str">
        <f>IF(B72="", "",'Lighting Inventory (Ref only)'!R83/1000)</f>
        <v/>
      </c>
      <c r="AB72" s="372" t="str">
        <f>IF(B72="", "", Inventory!M80)</f>
        <v/>
      </c>
      <c r="AC72" s="374" t="str">
        <f>IF(B72="", "", 'Lighting Inventory (Ref only)'!T83)</f>
        <v/>
      </c>
      <c r="AD72" s="374" t="str">
        <f>IF(C72="", "", 'Lighting Inventory (Ref only)'!AA83)</f>
        <v/>
      </c>
      <c r="AE72" s="375" t="str">
        <f>IF(B72="", "", 'Lighting Inventory (Ref only)'!U83)</f>
        <v/>
      </c>
      <c r="AF72" s="375" t="str">
        <f>IF(B72="", "",'Lighting Inventory (Ref only)'!W83)</f>
        <v/>
      </c>
      <c r="AG72" s="375" t="str">
        <f>IF(B72="", "", 'Lighting Inventory (Ref only)'!V83)</f>
        <v/>
      </c>
      <c r="AH72" s="375" t="str">
        <f>IF(B72="", "",'Lighting Inventory (Ref only)'!Z83)</f>
        <v/>
      </c>
      <c r="AI72" s="375" t="str">
        <f>IF(B72="", "", 'Lighting Inventory (Ref only)'!Y83)</f>
        <v/>
      </c>
      <c r="AJ72" s="375" t="str">
        <f>IF(C72="", "",'Lighting Inventory (Ref only)'!AB83)</f>
        <v/>
      </c>
      <c r="AK72" s="375" t="str">
        <f>IF(B72="", "", 'Lighting Inventory (Ref only)'!AG83)</f>
        <v/>
      </c>
      <c r="AL72" s="375" t="str">
        <f>IF(B72="", "", 'Lighting Inventory (Ref only)'!AD83)</f>
        <v/>
      </c>
      <c r="AM72" s="375" t="str">
        <f>IF(B72="", "", 'Lighting Inventory (Ref only)'!AE83)</f>
        <v/>
      </c>
      <c r="AN72" s="375" t="str">
        <f>IF(B72="", "", 'Lighting Inventory (Ref only)'!AF83)</f>
        <v/>
      </c>
      <c r="AO72" s="375" t="str">
        <f>IF(B72="", "", 'Lighting Inventory (Ref only)'!AG83)</f>
        <v/>
      </c>
    </row>
    <row r="73" spans="1:41">
      <c r="A73" s="298" t="str">
        <f>IF(G73="", "", Lookups!BF75)</f>
        <v/>
      </c>
      <c r="B73" s="298" t="str">
        <f>IF('Lighting Inventory (Ref only)'!Q84="", "", 'Lighting Inventory (Ref only)'!Q84)</f>
        <v/>
      </c>
      <c r="C73" s="298" t="str">
        <f>IF(A73="", "", 'Lighting Inventory (Ref only)'!AO84)</f>
        <v/>
      </c>
      <c r="D73" s="370" t="str">
        <f>IF(B73= "","", Inventory!S81)</f>
        <v/>
      </c>
      <c r="E73" s="371"/>
      <c r="F73" s="298" t="str">
        <f>IF(B73="", "", 'Version Log'!$B$34)</f>
        <v/>
      </c>
      <c r="G73" s="298" t="str">
        <f t="shared" si="4"/>
        <v/>
      </c>
      <c r="H73" s="298" t="str">
        <f t="shared" si="5"/>
        <v/>
      </c>
      <c r="I73" s="298" t="str">
        <f>IF(B73="", "",Inventory!D81)</f>
        <v/>
      </c>
      <c r="J73" s="298" t="str">
        <f>IF(B73="","",IF(Inventory!C81="N","Interior","Exterior"))</f>
        <v/>
      </c>
      <c r="K73" s="298" t="str">
        <f t="shared" si="6"/>
        <v/>
      </c>
      <c r="L73" s="298" t="str">
        <f>IF(B73="", "", Inventory!E81)</f>
        <v/>
      </c>
      <c r="M73" s="298" t="str">
        <f>IF(B73="","",IF(Cool_Type=Lookups!$L$9,Cool_Type,IF(Cool_Type=Lookups!$L$10,Cool_Type,IF(Cool_Type=Lookups!$L$11,Cool_Type,IF(Cool_Type=Lookups!L83,Cool_Type,IF('Project Info and Summary'!$C$20="Electric",CONCATENATE(Cool_Type," ",Heating_Type," Heat"),IF('Project Info and Summary'!$C$20="Non-Electric",CONCATENATE(Cool_Type," ",Heating_Type," Heat"),CONCATENATE(Cool_Type," ",Heating_Type))))))))</f>
        <v/>
      </c>
      <c r="N73" s="298" t="str">
        <f t="shared" si="7"/>
        <v/>
      </c>
      <c r="O73" s="298" t="str">
        <f>IF(B73="", "", 'Lighting Inventory (Ref only)'!G84)</f>
        <v/>
      </c>
      <c r="P73" s="298" t="str">
        <f>IF(B73="", "", 'Lighting Inventory (Ref only)'!E84)</f>
        <v/>
      </c>
      <c r="Q73" s="298" t="str">
        <f>IF(B73="", "", 'Lighting Inventory (Ref only)'!J84)</f>
        <v/>
      </c>
      <c r="R73" s="298" t="str">
        <f>IF(B73="", "",'Lighting Inventory (Ref only)'!K84)</f>
        <v/>
      </c>
      <c r="S73" s="372" t="str">
        <f>IF(B73="", "", 'Lighting Inventory (Ref only)'!G84*'Lighting Inventory (Ref only)'!K84/1000)</f>
        <v/>
      </c>
      <c r="T73" s="298" t="str">
        <f>IF(B73="", "", IF('Lighting Inventory (Ref only)'!I84="", "Light Switch",Inventory!H81))</f>
        <v/>
      </c>
      <c r="U73" s="298" t="str">
        <f>IF(B73="", "", 'Lighting Inventory (Ref only)'!Q84)</f>
        <v/>
      </c>
      <c r="V73" s="298" t="str">
        <f>IF(B73="", "", 'Lighting Inventory (Ref only)'!K84)</f>
        <v/>
      </c>
      <c r="W73" s="373" t="str">
        <f>IF(B73="","",('Lighting Inventory (Ref only)'!L84/1000))</f>
        <v/>
      </c>
      <c r="X73" s="298" t="str">
        <f>IF(B73="", "", 'Lighting Inventory (Ref only)'!Q84)</f>
        <v/>
      </c>
      <c r="Y73" s="298" t="str">
        <f>IF(C73="", "", Inventory!N81)</f>
        <v/>
      </c>
      <c r="Z73" s="374" t="str">
        <f>IF(B73="", "", 'Lighting Inventory (Ref only)'!P84)</f>
        <v/>
      </c>
      <c r="AA73" s="372" t="str">
        <f>IF(B73="", "",'Lighting Inventory (Ref only)'!R84/1000)</f>
        <v/>
      </c>
      <c r="AB73" s="372" t="str">
        <f>IF(B73="", "", Inventory!M81)</f>
        <v/>
      </c>
      <c r="AC73" s="374" t="str">
        <f>IF(B73="", "", 'Lighting Inventory (Ref only)'!T84)</f>
        <v/>
      </c>
      <c r="AD73" s="374" t="str">
        <f>IF(C73="", "", 'Lighting Inventory (Ref only)'!AA84)</f>
        <v/>
      </c>
      <c r="AE73" s="375" t="str">
        <f>IF(B73="", "", 'Lighting Inventory (Ref only)'!U84)</f>
        <v/>
      </c>
      <c r="AF73" s="375" t="str">
        <f>IF(B73="", "",'Lighting Inventory (Ref only)'!W84)</f>
        <v/>
      </c>
      <c r="AG73" s="375" t="str">
        <f>IF(B73="", "", 'Lighting Inventory (Ref only)'!V84)</f>
        <v/>
      </c>
      <c r="AH73" s="375" t="str">
        <f>IF(B73="", "",'Lighting Inventory (Ref only)'!Z84)</f>
        <v/>
      </c>
      <c r="AI73" s="375" t="str">
        <f>IF(B73="", "", 'Lighting Inventory (Ref only)'!Y84)</f>
        <v/>
      </c>
      <c r="AJ73" s="375" t="str">
        <f>IF(C73="", "",'Lighting Inventory (Ref only)'!AB84)</f>
        <v/>
      </c>
      <c r="AK73" s="375" t="str">
        <f>IF(B73="", "", 'Lighting Inventory (Ref only)'!AG84)</f>
        <v/>
      </c>
      <c r="AL73" s="375" t="str">
        <f>IF(B73="", "", 'Lighting Inventory (Ref only)'!AD84)</f>
        <v/>
      </c>
      <c r="AM73" s="375" t="str">
        <f>IF(B73="", "", 'Lighting Inventory (Ref only)'!AE84)</f>
        <v/>
      </c>
      <c r="AN73" s="375" t="str">
        <f>IF(B73="", "", 'Lighting Inventory (Ref only)'!AF84)</f>
        <v/>
      </c>
      <c r="AO73" s="375" t="str">
        <f>IF(B73="", "", 'Lighting Inventory (Ref only)'!AG84)</f>
        <v/>
      </c>
    </row>
    <row r="74" spans="1:41">
      <c r="A74" s="298" t="str">
        <f>IF(G74="", "", Lookups!BF76)</f>
        <v/>
      </c>
      <c r="B74" s="298" t="str">
        <f>IF('Lighting Inventory (Ref only)'!Q85="", "", 'Lighting Inventory (Ref only)'!Q85)</f>
        <v/>
      </c>
      <c r="C74" s="298" t="str">
        <f>IF(A74="", "", 'Lighting Inventory (Ref only)'!AO85)</f>
        <v/>
      </c>
      <c r="D74" s="370" t="str">
        <f>IF(B74= "","", Inventory!S82)</f>
        <v/>
      </c>
      <c r="E74" s="371"/>
      <c r="F74" s="298" t="str">
        <f>IF(B74="", "", 'Version Log'!$B$34)</f>
        <v/>
      </c>
      <c r="G74" s="298" t="str">
        <f t="shared" si="4"/>
        <v/>
      </c>
      <c r="H74" s="298" t="str">
        <f t="shared" si="5"/>
        <v/>
      </c>
      <c r="I74" s="298" t="str">
        <f>IF(B74="", "",Inventory!D82)</f>
        <v/>
      </c>
      <c r="J74" s="298" t="str">
        <f>IF(B74="","",IF(Inventory!C82="N","Interior","Exterior"))</f>
        <v/>
      </c>
      <c r="K74" s="298" t="str">
        <f t="shared" si="6"/>
        <v/>
      </c>
      <c r="L74" s="298" t="str">
        <f>IF(B74="", "", Inventory!E82)</f>
        <v/>
      </c>
      <c r="M74" s="298" t="str">
        <f>IF(B74="","",IF(Cool_Type=Lookups!$L$9,Cool_Type,IF(Cool_Type=Lookups!$L$10,Cool_Type,IF(Cool_Type=Lookups!$L$11,Cool_Type,IF(Cool_Type=Lookups!L84,Cool_Type,IF('Project Info and Summary'!$C$20="Electric",CONCATENATE(Cool_Type," ",Heating_Type," Heat"),IF('Project Info and Summary'!$C$20="Non-Electric",CONCATENATE(Cool_Type," ",Heating_Type," Heat"),CONCATENATE(Cool_Type," ",Heating_Type))))))))</f>
        <v/>
      </c>
      <c r="N74" s="298" t="str">
        <f t="shared" si="7"/>
        <v/>
      </c>
      <c r="O74" s="298" t="str">
        <f>IF(B74="", "", 'Lighting Inventory (Ref only)'!G85)</f>
        <v/>
      </c>
      <c r="P74" s="298" t="str">
        <f>IF(B74="", "", 'Lighting Inventory (Ref only)'!E85)</f>
        <v/>
      </c>
      <c r="Q74" s="298" t="str">
        <f>IF(B74="", "", 'Lighting Inventory (Ref only)'!J85)</f>
        <v/>
      </c>
      <c r="R74" s="298" t="str">
        <f>IF(B74="", "",'Lighting Inventory (Ref only)'!K85)</f>
        <v/>
      </c>
      <c r="S74" s="372" t="str">
        <f>IF(B74="", "", 'Lighting Inventory (Ref only)'!G85*'Lighting Inventory (Ref only)'!K85/1000)</f>
        <v/>
      </c>
      <c r="T74" s="298" t="str">
        <f>IF(B74="", "", IF('Lighting Inventory (Ref only)'!I85="", "Light Switch",Inventory!H82))</f>
        <v/>
      </c>
      <c r="U74" s="298" t="str">
        <f>IF(B74="", "", 'Lighting Inventory (Ref only)'!Q85)</f>
        <v/>
      </c>
      <c r="V74" s="298" t="str">
        <f>IF(B74="", "", 'Lighting Inventory (Ref only)'!K85)</f>
        <v/>
      </c>
      <c r="W74" s="373" t="str">
        <f>IF(B74="","",('Lighting Inventory (Ref only)'!L85/1000))</f>
        <v/>
      </c>
      <c r="X74" s="298" t="str">
        <f>IF(B74="", "", 'Lighting Inventory (Ref only)'!Q85)</f>
        <v/>
      </c>
      <c r="Y74" s="298" t="str">
        <f>IF(C74="", "", Inventory!N82)</f>
        <v/>
      </c>
      <c r="Z74" s="374" t="str">
        <f>IF(B74="", "", 'Lighting Inventory (Ref only)'!P85)</f>
        <v/>
      </c>
      <c r="AA74" s="372" t="str">
        <f>IF(B74="", "",'Lighting Inventory (Ref only)'!R85/1000)</f>
        <v/>
      </c>
      <c r="AB74" s="372" t="str">
        <f>IF(B74="", "", Inventory!M82)</f>
        <v/>
      </c>
      <c r="AC74" s="374" t="str">
        <f>IF(B74="", "", 'Lighting Inventory (Ref only)'!T85)</f>
        <v/>
      </c>
      <c r="AD74" s="374" t="str">
        <f>IF(C74="", "", 'Lighting Inventory (Ref only)'!AA85)</f>
        <v/>
      </c>
      <c r="AE74" s="375" t="str">
        <f>IF(B74="", "", 'Lighting Inventory (Ref only)'!U85)</f>
        <v/>
      </c>
      <c r="AF74" s="375" t="str">
        <f>IF(B74="", "",'Lighting Inventory (Ref only)'!W85)</f>
        <v/>
      </c>
      <c r="AG74" s="375" t="str">
        <f>IF(B74="", "", 'Lighting Inventory (Ref only)'!V85)</f>
        <v/>
      </c>
      <c r="AH74" s="375" t="str">
        <f>IF(B74="", "",'Lighting Inventory (Ref only)'!Z85)</f>
        <v/>
      </c>
      <c r="AI74" s="375" t="str">
        <f>IF(B74="", "", 'Lighting Inventory (Ref only)'!Y85)</f>
        <v/>
      </c>
      <c r="AJ74" s="375" t="str">
        <f>IF(C74="", "",'Lighting Inventory (Ref only)'!AB85)</f>
        <v/>
      </c>
      <c r="AK74" s="375" t="str">
        <f>IF(B74="", "", 'Lighting Inventory (Ref only)'!AG85)</f>
        <v/>
      </c>
      <c r="AL74" s="375" t="str">
        <f>IF(B74="", "", 'Lighting Inventory (Ref only)'!AD85)</f>
        <v/>
      </c>
      <c r="AM74" s="375" t="str">
        <f>IF(B74="", "", 'Lighting Inventory (Ref only)'!AE85)</f>
        <v/>
      </c>
      <c r="AN74" s="375" t="str">
        <f>IF(B74="", "", 'Lighting Inventory (Ref only)'!AF85)</f>
        <v/>
      </c>
      <c r="AO74" s="375" t="str">
        <f>IF(B74="", "", 'Lighting Inventory (Ref only)'!AG85)</f>
        <v/>
      </c>
    </row>
    <row r="75" spans="1:41">
      <c r="A75" s="298" t="str">
        <f>IF(G75="", "", Lookups!BF77)</f>
        <v/>
      </c>
      <c r="B75" s="298" t="str">
        <f>IF('Lighting Inventory (Ref only)'!Q86="", "", 'Lighting Inventory (Ref only)'!Q86)</f>
        <v/>
      </c>
      <c r="C75" s="298" t="str">
        <f>IF(A75="", "", 'Lighting Inventory (Ref only)'!AO86)</f>
        <v/>
      </c>
      <c r="D75" s="370" t="str">
        <f>IF(B75= "","", Inventory!S83)</f>
        <v/>
      </c>
      <c r="E75" s="371"/>
      <c r="F75" s="298" t="str">
        <f>IF(B75="", "", 'Version Log'!$B$34)</f>
        <v/>
      </c>
      <c r="G75" s="298" t="str">
        <f t="shared" si="4"/>
        <v/>
      </c>
      <c r="H75" s="298" t="str">
        <f t="shared" si="5"/>
        <v/>
      </c>
      <c r="I75" s="298" t="str">
        <f>IF(B75="", "",Inventory!D83)</f>
        <v/>
      </c>
      <c r="J75" s="298" t="str">
        <f>IF(B75="","",IF(Inventory!C83="N","Interior","Exterior"))</f>
        <v/>
      </c>
      <c r="K75" s="298" t="str">
        <f t="shared" si="6"/>
        <v/>
      </c>
      <c r="L75" s="298" t="str">
        <f>IF(B75="", "", Inventory!E83)</f>
        <v/>
      </c>
      <c r="M75" s="298" t="str">
        <f>IF(B75="","",IF(Cool_Type=Lookups!$L$9,Cool_Type,IF(Cool_Type=Lookups!$L$10,Cool_Type,IF(Cool_Type=Lookups!$L$11,Cool_Type,IF(Cool_Type=Lookups!L85,Cool_Type,IF('Project Info and Summary'!$C$20="Electric",CONCATENATE(Cool_Type," ",Heating_Type," Heat"),IF('Project Info and Summary'!$C$20="Non-Electric",CONCATENATE(Cool_Type," ",Heating_Type," Heat"),CONCATENATE(Cool_Type," ",Heating_Type))))))))</f>
        <v/>
      </c>
      <c r="N75" s="298" t="str">
        <f t="shared" si="7"/>
        <v/>
      </c>
      <c r="O75" s="298" t="str">
        <f>IF(B75="", "", 'Lighting Inventory (Ref only)'!G86)</f>
        <v/>
      </c>
      <c r="P75" s="298" t="str">
        <f>IF(B75="", "", 'Lighting Inventory (Ref only)'!E86)</f>
        <v/>
      </c>
      <c r="Q75" s="298" t="str">
        <f>IF(B75="", "", 'Lighting Inventory (Ref only)'!J86)</f>
        <v/>
      </c>
      <c r="R75" s="298" t="str">
        <f>IF(B75="", "",'Lighting Inventory (Ref only)'!K86)</f>
        <v/>
      </c>
      <c r="S75" s="372" t="str">
        <f>IF(B75="", "", 'Lighting Inventory (Ref only)'!G86*'Lighting Inventory (Ref only)'!K86/1000)</f>
        <v/>
      </c>
      <c r="T75" s="298" t="str">
        <f>IF(B75="", "", IF('Lighting Inventory (Ref only)'!I86="", "Light Switch",Inventory!H83))</f>
        <v/>
      </c>
      <c r="U75" s="298" t="str">
        <f>IF(B75="", "", 'Lighting Inventory (Ref only)'!Q86)</f>
        <v/>
      </c>
      <c r="V75" s="298" t="str">
        <f>IF(B75="", "", 'Lighting Inventory (Ref only)'!K86)</f>
        <v/>
      </c>
      <c r="W75" s="373" t="str">
        <f>IF(B75="","",('Lighting Inventory (Ref only)'!L86/1000))</f>
        <v/>
      </c>
      <c r="X75" s="298" t="str">
        <f>IF(B75="", "", 'Lighting Inventory (Ref only)'!Q86)</f>
        <v/>
      </c>
      <c r="Y75" s="298" t="str">
        <f>IF(C75="", "", Inventory!N83)</f>
        <v/>
      </c>
      <c r="Z75" s="374" t="str">
        <f>IF(B75="", "", 'Lighting Inventory (Ref only)'!P86)</f>
        <v/>
      </c>
      <c r="AA75" s="372" t="str">
        <f>IF(B75="", "",'Lighting Inventory (Ref only)'!R86/1000)</f>
        <v/>
      </c>
      <c r="AB75" s="372" t="str">
        <f>IF(B75="", "", Inventory!M83)</f>
        <v/>
      </c>
      <c r="AC75" s="374" t="str">
        <f>IF(B75="", "", 'Lighting Inventory (Ref only)'!T86)</f>
        <v/>
      </c>
      <c r="AD75" s="374" t="str">
        <f>IF(C75="", "", 'Lighting Inventory (Ref only)'!AA86)</f>
        <v/>
      </c>
      <c r="AE75" s="375" t="str">
        <f>IF(B75="", "", 'Lighting Inventory (Ref only)'!U86)</f>
        <v/>
      </c>
      <c r="AF75" s="375" t="str">
        <f>IF(B75="", "",'Lighting Inventory (Ref only)'!W86)</f>
        <v/>
      </c>
      <c r="AG75" s="375" t="str">
        <f>IF(B75="", "", 'Lighting Inventory (Ref only)'!V86)</f>
        <v/>
      </c>
      <c r="AH75" s="375" t="str">
        <f>IF(B75="", "",'Lighting Inventory (Ref only)'!Z86)</f>
        <v/>
      </c>
      <c r="AI75" s="375" t="str">
        <f>IF(B75="", "", 'Lighting Inventory (Ref only)'!Y86)</f>
        <v/>
      </c>
      <c r="AJ75" s="375" t="str">
        <f>IF(C75="", "",'Lighting Inventory (Ref only)'!AB86)</f>
        <v/>
      </c>
      <c r="AK75" s="375" t="str">
        <f>IF(B75="", "", 'Lighting Inventory (Ref only)'!AG86)</f>
        <v/>
      </c>
      <c r="AL75" s="375" t="str">
        <f>IF(B75="", "", 'Lighting Inventory (Ref only)'!AD86)</f>
        <v/>
      </c>
      <c r="AM75" s="375" t="str">
        <f>IF(B75="", "", 'Lighting Inventory (Ref only)'!AE86)</f>
        <v/>
      </c>
      <c r="AN75" s="375" t="str">
        <f>IF(B75="", "", 'Lighting Inventory (Ref only)'!AF86)</f>
        <v/>
      </c>
      <c r="AO75" s="375" t="str">
        <f>IF(B75="", "", 'Lighting Inventory (Ref only)'!AG86)</f>
        <v/>
      </c>
    </row>
    <row r="76" spans="1:41">
      <c r="A76" s="298" t="str">
        <f>IF(G76="", "", Lookups!BF78)</f>
        <v/>
      </c>
      <c r="B76" s="298" t="str">
        <f>IF('Lighting Inventory (Ref only)'!Q87="", "", 'Lighting Inventory (Ref only)'!Q87)</f>
        <v/>
      </c>
      <c r="C76" s="298" t="str">
        <f>IF(A76="", "", 'Lighting Inventory (Ref only)'!AO87)</f>
        <v/>
      </c>
      <c r="D76" s="370" t="str">
        <f>IF(B76= "","", Inventory!S84)</f>
        <v/>
      </c>
      <c r="E76" s="371"/>
      <c r="F76" s="298" t="str">
        <f>IF(B76="", "", 'Version Log'!$B$34)</f>
        <v/>
      </c>
      <c r="G76" s="298" t="str">
        <f t="shared" si="4"/>
        <v/>
      </c>
      <c r="H76" s="298" t="str">
        <f t="shared" si="5"/>
        <v/>
      </c>
      <c r="I76" s="298" t="str">
        <f>IF(B76="", "",Inventory!D84)</f>
        <v/>
      </c>
      <c r="J76" s="298" t="str">
        <f>IF(B76="","",IF(Inventory!C84="N","Interior","Exterior"))</f>
        <v/>
      </c>
      <c r="K76" s="298" t="str">
        <f t="shared" si="6"/>
        <v/>
      </c>
      <c r="L76" s="298" t="str">
        <f>IF(B76="", "", Inventory!E84)</f>
        <v/>
      </c>
      <c r="M76" s="298" t="str">
        <f>IF(B76="","",IF(Cool_Type=Lookups!$L$9,Cool_Type,IF(Cool_Type=Lookups!$L$10,Cool_Type,IF(Cool_Type=Lookups!$L$11,Cool_Type,IF(Cool_Type=Lookups!L86,Cool_Type,IF('Project Info and Summary'!$C$20="Electric",CONCATENATE(Cool_Type," ",Heating_Type," Heat"),IF('Project Info and Summary'!$C$20="Non-Electric",CONCATENATE(Cool_Type," ",Heating_Type," Heat"),CONCATENATE(Cool_Type," ",Heating_Type))))))))</f>
        <v/>
      </c>
      <c r="N76" s="298" t="str">
        <f t="shared" si="7"/>
        <v/>
      </c>
      <c r="O76" s="298" t="str">
        <f>IF(B76="", "", 'Lighting Inventory (Ref only)'!G87)</f>
        <v/>
      </c>
      <c r="P76" s="298" t="str">
        <f>IF(B76="", "", 'Lighting Inventory (Ref only)'!E87)</f>
        <v/>
      </c>
      <c r="Q76" s="298" t="str">
        <f>IF(B76="", "", 'Lighting Inventory (Ref only)'!J87)</f>
        <v/>
      </c>
      <c r="R76" s="298" t="str">
        <f>IF(B76="", "",'Lighting Inventory (Ref only)'!K87)</f>
        <v/>
      </c>
      <c r="S76" s="372" t="str">
        <f>IF(B76="", "", 'Lighting Inventory (Ref only)'!G87*'Lighting Inventory (Ref only)'!K87/1000)</f>
        <v/>
      </c>
      <c r="T76" s="298" t="str">
        <f>IF(B76="", "", IF('Lighting Inventory (Ref only)'!I87="", "Light Switch",Inventory!H84))</f>
        <v/>
      </c>
      <c r="U76" s="298" t="str">
        <f>IF(B76="", "", 'Lighting Inventory (Ref only)'!Q87)</f>
        <v/>
      </c>
      <c r="V76" s="298" t="str">
        <f>IF(B76="", "", 'Lighting Inventory (Ref only)'!K87)</f>
        <v/>
      </c>
      <c r="W76" s="373" t="str">
        <f>IF(B76="","",('Lighting Inventory (Ref only)'!L87/1000))</f>
        <v/>
      </c>
      <c r="X76" s="298" t="str">
        <f>IF(B76="", "", 'Lighting Inventory (Ref only)'!Q87)</f>
        <v/>
      </c>
      <c r="Y76" s="298" t="str">
        <f>IF(C76="", "", Inventory!N84)</f>
        <v/>
      </c>
      <c r="Z76" s="374" t="str">
        <f>IF(B76="", "", 'Lighting Inventory (Ref only)'!P87)</f>
        <v/>
      </c>
      <c r="AA76" s="372" t="str">
        <f>IF(B76="", "",'Lighting Inventory (Ref only)'!R87/1000)</f>
        <v/>
      </c>
      <c r="AB76" s="372" t="str">
        <f>IF(B76="", "", Inventory!M84)</f>
        <v/>
      </c>
      <c r="AC76" s="374" t="str">
        <f>IF(B76="", "", 'Lighting Inventory (Ref only)'!T87)</f>
        <v/>
      </c>
      <c r="AD76" s="374" t="str">
        <f>IF(C76="", "", 'Lighting Inventory (Ref only)'!AA87)</f>
        <v/>
      </c>
      <c r="AE76" s="375" t="str">
        <f>IF(B76="", "", 'Lighting Inventory (Ref only)'!U87)</f>
        <v/>
      </c>
      <c r="AF76" s="375" t="str">
        <f>IF(B76="", "",'Lighting Inventory (Ref only)'!W87)</f>
        <v/>
      </c>
      <c r="AG76" s="375" t="str">
        <f>IF(B76="", "", 'Lighting Inventory (Ref only)'!V87)</f>
        <v/>
      </c>
      <c r="AH76" s="375" t="str">
        <f>IF(B76="", "",'Lighting Inventory (Ref only)'!Z87)</f>
        <v/>
      </c>
      <c r="AI76" s="375" t="str">
        <f>IF(B76="", "", 'Lighting Inventory (Ref only)'!Y87)</f>
        <v/>
      </c>
      <c r="AJ76" s="375" t="str">
        <f>IF(C76="", "",'Lighting Inventory (Ref only)'!AB87)</f>
        <v/>
      </c>
      <c r="AK76" s="375" t="str">
        <f>IF(B76="", "", 'Lighting Inventory (Ref only)'!AG87)</f>
        <v/>
      </c>
      <c r="AL76" s="375" t="str">
        <f>IF(B76="", "", 'Lighting Inventory (Ref only)'!AD87)</f>
        <v/>
      </c>
      <c r="AM76" s="375" t="str">
        <f>IF(B76="", "", 'Lighting Inventory (Ref only)'!AE87)</f>
        <v/>
      </c>
      <c r="AN76" s="375" t="str">
        <f>IF(B76="", "", 'Lighting Inventory (Ref only)'!AF87)</f>
        <v/>
      </c>
      <c r="AO76" s="375" t="str">
        <f>IF(B76="", "", 'Lighting Inventory (Ref only)'!AG87)</f>
        <v/>
      </c>
    </row>
    <row r="77" spans="1:41">
      <c r="A77" s="298" t="str">
        <f>IF(G77="", "", Lookups!BF79)</f>
        <v/>
      </c>
      <c r="B77" s="298" t="str">
        <f>IF('Lighting Inventory (Ref only)'!Q88="", "", 'Lighting Inventory (Ref only)'!Q88)</f>
        <v/>
      </c>
      <c r="C77" s="298" t="str">
        <f>IF(A77="", "", 'Lighting Inventory (Ref only)'!AO88)</f>
        <v/>
      </c>
      <c r="D77" s="370" t="str">
        <f>IF(B77= "","", Inventory!S85)</f>
        <v/>
      </c>
      <c r="E77" s="371"/>
      <c r="F77" s="298" t="str">
        <f>IF(B77="", "", 'Version Log'!$B$34)</f>
        <v/>
      </c>
      <c r="G77" s="298" t="str">
        <f t="shared" si="4"/>
        <v/>
      </c>
      <c r="H77" s="298" t="str">
        <f t="shared" si="5"/>
        <v/>
      </c>
      <c r="I77" s="298" t="str">
        <f>IF(B77="", "",Inventory!D85)</f>
        <v/>
      </c>
      <c r="J77" s="298" t="str">
        <f>IF(B77="","",IF(Inventory!C85="N","Interior","Exterior"))</f>
        <v/>
      </c>
      <c r="K77" s="298" t="str">
        <f t="shared" si="6"/>
        <v/>
      </c>
      <c r="L77" s="298" t="str">
        <f>IF(B77="", "", Inventory!E85)</f>
        <v/>
      </c>
      <c r="M77" s="298" t="str">
        <f>IF(B77="","",IF(Cool_Type=Lookups!$L$9,Cool_Type,IF(Cool_Type=Lookups!$L$10,Cool_Type,IF(Cool_Type=Lookups!$L$11,Cool_Type,IF(Cool_Type=Lookups!L87,Cool_Type,IF('Project Info and Summary'!$C$20="Electric",CONCATENATE(Cool_Type," ",Heating_Type," Heat"),IF('Project Info and Summary'!$C$20="Non-Electric",CONCATENATE(Cool_Type," ",Heating_Type," Heat"),CONCATENATE(Cool_Type," ",Heating_Type))))))))</f>
        <v/>
      </c>
      <c r="N77" s="298" t="str">
        <f t="shared" si="7"/>
        <v/>
      </c>
      <c r="O77" s="298" t="str">
        <f>IF(B77="", "", 'Lighting Inventory (Ref only)'!G88)</f>
        <v/>
      </c>
      <c r="P77" s="298" t="str">
        <f>IF(B77="", "", 'Lighting Inventory (Ref only)'!E88)</f>
        <v/>
      </c>
      <c r="Q77" s="298" t="str">
        <f>IF(B77="", "", 'Lighting Inventory (Ref only)'!J88)</f>
        <v/>
      </c>
      <c r="R77" s="298" t="str">
        <f>IF(B77="", "",'Lighting Inventory (Ref only)'!K88)</f>
        <v/>
      </c>
      <c r="S77" s="372" t="str">
        <f>IF(B77="", "", 'Lighting Inventory (Ref only)'!G88*'Lighting Inventory (Ref only)'!K88/1000)</f>
        <v/>
      </c>
      <c r="T77" s="298" t="str">
        <f>IF(B77="", "", IF('Lighting Inventory (Ref only)'!I88="", "Light Switch",Inventory!H85))</f>
        <v/>
      </c>
      <c r="U77" s="298" t="str">
        <f>IF(B77="", "", 'Lighting Inventory (Ref only)'!Q88)</f>
        <v/>
      </c>
      <c r="V77" s="298" t="str">
        <f>IF(B77="", "", 'Lighting Inventory (Ref only)'!K88)</f>
        <v/>
      </c>
      <c r="W77" s="373" t="str">
        <f>IF(B77="","",('Lighting Inventory (Ref only)'!L88/1000))</f>
        <v/>
      </c>
      <c r="X77" s="298" t="str">
        <f>IF(B77="", "", 'Lighting Inventory (Ref only)'!Q88)</f>
        <v/>
      </c>
      <c r="Y77" s="298" t="str">
        <f>IF(C77="", "", Inventory!N85)</f>
        <v/>
      </c>
      <c r="Z77" s="374" t="str">
        <f>IF(B77="", "", 'Lighting Inventory (Ref only)'!P88)</f>
        <v/>
      </c>
      <c r="AA77" s="372" t="str">
        <f>IF(B77="", "",'Lighting Inventory (Ref only)'!R88/1000)</f>
        <v/>
      </c>
      <c r="AB77" s="372" t="str">
        <f>IF(B77="", "", Inventory!M85)</f>
        <v/>
      </c>
      <c r="AC77" s="374" t="str">
        <f>IF(B77="", "", 'Lighting Inventory (Ref only)'!T88)</f>
        <v/>
      </c>
      <c r="AD77" s="374" t="str">
        <f>IF(C77="", "", 'Lighting Inventory (Ref only)'!AA88)</f>
        <v/>
      </c>
      <c r="AE77" s="375" t="str">
        <f>IF(B77="", "", 'Lighting Inventory (Ref only)'!U88)</f>
        <v/>
      </c>
      <c r="AF77" s="375" t="str">
        <f>IF(B77="", "",'Lighting Inventory (Ref only)'!W88)</f>
        <v/>
      </c>
      <c r="AG77" s="375" t="str">
        <f>IF(B77="", "", 'Lighting Inventory (Ref only)'!V88)</f>
        <v/>
      </c>
      <c r="AH77" s="375" t="str">
        <f>IF(B77="", "",'Lighting Inventory (Ref only)'!Z88)</f>
        <v/>
      </c>
      <c r="AI77" s="375" t="str">
        <f>IF(B77="", "", 'Lighting Inventory (Ref only)'!Y88)</f>
        <v/>
      </c>
      <c r="AJ77" s="375" t="str">
        <f>IF(C77="", "",'Lighting Inventory (Ref only)'!AB88)</f>
        <v/>
      </c>
      <c r="AK77" s="375" t="str">
        <f>IF(B77="", "", 'Lighting Inventory (Ref only)'!AG88)</f>
        <v/>
      </c>
      <c r="AL77" s="375" t="str">
        <f>IF(B77="", "", 'Lighting Inventory (Ref only)'!AD88)</f>
        <v/>
      </c>
      <c r="AM77" s="375" t="str">
        <f>IF(B77="", "", 'Lighting Inventory (Ref only)'!AE88)</f>
        <v/>
      </c>
      <c r="AN77" s="375" t="str">
        <f>IF(B77="", "", 'Lighting Inventory (Ref only)'!AF88)</f>
        <v/>
      </c>
      <c r="AO77" s="375" t="str">
        <f>IF(B77="", "", 'Lighting Inventory (Ref only)'!AG88)</f>
        <v/>
      </c>
    </row>
    <row r="78" spans="1:41">
      <c r="A78" s="298" t="str">
        <f>IF(G78="", "", Lookups!BF80)</f>
        <v/>
      </c>
      <c r="B78" s="298" t="str">
        <f>IF('Lighting Inventory (Ref only)'!Q89="", "", 'Lighting Inventory (Ref only)'!Q89)</f>
        <v/>
      </c>
      <c r="C78" s="298" t="str">
        <f>IF(A78="", "", 'Lighting Inventory (Ref only)'!AO89)</f>
        <v/>
      </c>
      <c r="D78" s="370" t="str">
        <f>IF(B78= "","", Inventory!S86)</f>
        <v/>
      </c>
      <c r="E78" s="371"/>
      <c r="F78" s="298" t="str">
        <f>IF(B78="", "", 'Version Log'!$B$34)</f>
        <v/>
      </c>
      <c r="G78" s="298" t="str">
        <f t="shared" si="4"/>
        <v/>
      </c>
      <c r="H78" s="298" t="str">
        <f t="shared" si="5"/>
        <v/>
      </c>
      <c r="I78" s="298" t="str">
        <f>IF(B78="", "",Inventory!D86)</f>
        <v/>
      </c>
      <c r="J78" s="298" t="str">
        <f>IF(B78="","",IF(Inventory!C86="N","Interior","Exterior"))</f>
        <v/>
      </c>
      <c r="K78" s="298" t="str">
        <f t="shared" si="6"/>
        <v/>
      </c>
      <c r="L78" s="298" t="str">
        <f>IF(B78="", "", Inventory!E86)</f>
        <v/>
      </c>
      <c r="M78" s="298" t="str">
        <f>IF(B78="","",IF(Cool_Type=Lookups!$L$9,Cool_Type,IF(Cool_Type=Lookups!$L$10,Cool_Type,IF(Cool_Type=Lookups!$L$11,Cool_Type,IF(Cool_Type=Lookups!L88,Cool_Type,IF('Project Info and Summary'!$C$20="Electric",CONCATENATE(Cool_Type," ",Heating_Type," Heat"),IF('Project Info and Summary'!$C$20="Non-Electric",CONCATENATE(Cool_Type," ",Heating_Type," Heat"),CONCATENATE(Cool_Type," ",Heating_Type))))))))</f>
        <v/>
      </c>
      <c r="N78" s="298" t="str">
        <f t="shared" si="7"/>
        <v/>
      </c>
      <c r="O78" s="298" t="str">
        <f>IF(B78="", "", 'Lighting Inventory (Ref only)'!G89)</f>
        <v/>
      </c>
      <c r="P78" s="298" t="str">
        <f>IF(B78="", "", 'Lighting Inventory (Ref only)'!E89)</f>
        <v/>
      </c>
      <c r="Q78" s="298" t="str">
        <f>IF(B78="", "", 'Lighting Inventory (Ref only)'!J89)</f>
        <v/>
      </c>
      <c r="R78" s="298" t="str">
        <f>IF(B78="", "",'Lighting Inventory (Ref only)'!K89)</f>
        <v/>
      </c>
      <c r="S78" s="372" t="str">
        <f>IF(B78="", "", 'Lighting Inventory (Ref only)'!G89*'Lighting Inventory (Ref only)'!K89/1000)</f>
        <v/>
      </c>
      <c r="T78" s="298" t="str">
        <f>IF(B78="", "", IF('Lighting Inventory (Ref only)'!I89="", "Light Switch",Inventory!H86))</f>
        <v/>
      </c>
      <c r="U78" s="298" t="str">
        <f>IF(B78="", "", 'Lighting Inventory (Ref only)'!Q89)</f>
        <v/>
      </c>
      <c r="V78" s="298" t="str">
        <f>IF(B78="", "", 'Lighting Inventory (Ref only)'!K89)</f>
        <v/>
      </c>
      <c r="W78" s="373" t="str">
        <f>IF(B78="","",('Lighting Inventory (Ref only)'!L89/1000))</f>
        <v/>
      </c>
      <c r="X78" s="298" t="str">
        <f>IF(B78="", "", 'Lighting Inventory (Ref only)'!Q89)</f>
        <v/>
      </c>
      <c r="Y78" s="298" t="str">
        <f>IF(C78="", "", Inventory!N86)</f>
        <v/>
      </c>
      <c r="Z78" s="374" t="str">
        <f>IF(B78="", "", 'Lighting Inventory (Ref only)'!P89)</f>
        <v/>
      </c>
      <c r="AA78" s="372" t="str">
        <f>IF(B78="", "",'Lighting Inventory (Ref only)'!R89/1000)</f>
        <v/>
      </c>
      <c r="AB78" s="372" t="str">
        <f>IF(B78="", "", Inventory!M86)</f>
        <v/>
      </c>
      <c r="AC78" s="374" t="str">
        <f>IF(B78="", "", 'Lighting Inventory (Ref only)'!T89)</f>
        <v/>
      </c>
      <c r="AD78" s="374" t="str">
        <f>IF(C78="", "", 'Lighting Inventory (Ref only)'!AA89)</f>
        <v/>
      </c>
      <c r="AE78" s="375" t="str">
        <f>IF(B78="", "", 'Lighting Inventory (Ref only)'!U89)</f>
        <v/>
      </c>
      <c r="AF78" s="375" t="str">
        <f>IF(B78="", "",'Lighting Inventory (Ref only)'!W89)</f>
        <v/>
      </c>
      <c r="AG78" s="375" t="str">
        <f>IF(B78="", "", 'Lighting Inventory (Ref only)'!V89)</f>
        <v/>
      </c>
      <c r="AH78" s="375" t="str">
        <f>IF(B78="", "",'Lighting Inventory (Ref only)'!Z89)</f>
        <v/>
      </c>
      <c r="AI78" s="375" t="str">
        <f>IF(B78="", "", 'Lighting Inventory (Ref only)'!Y89)</f>
        <v/>
      </c>
      <c r="AJ78" s="375" t="str">
        <f>IF(C78="", "",'Lighting Inventory (Ref only)'!AB89)</f>
        <v/>
      </c>
      <c r="AK78" s="375" t="str">
        <f>IF(B78="", "", 'Lighting Inventory (Ref only)'!AG89)</f>
        <v/>
      </c>
      <c r="AL78" s="375" t="str">
        <f>IF(B78="", "", 'Lighting Inventory (Ref only)'!AD89)</f>
        <v/>
      </c>
      <c r="AM78" s="375" t="str">
        <f>IF(B78="", "", 'Lighting Inventory (Ref only)'!AE89)</f>
        <v/>
      </c>
      <c r="AN78" s="375" t="str">
        <f>IF(B78="", "", 'Lighting Inventory (Ref only)'!AF89)</f>
        <v/>
      </c>
      <c r="AO78" s="375" t="str">
        <f>IF(B78="", "", 'Lighting Inventory (Ref only)'!AG89)</f>
        <v/>
      </c>
    </row>
    <row r="79" spans="1:41">
      <c r="A79" s="298" t="str">
        <f>IF(G79="", "", Lookups!BF81)</f>
        <v/>
      </c>
      <c r="B79" s="298" t="str">
        <f>IF('Lighting Inventory (Ref only)'!Q90="", "", 'Lighting Inventory (Ref only)'!Q90)</f>
        <v/>
      </c>
      <c r="C79" s="298" t="str">
        <f>IF(A79="", "", 'Lighting Inventory (Ref only)'!AO90)</f>
        <v/>
      </c>
      <c r="D79" s="370" t="str">
        <f>IF(B79= "","", Inventory!S87)</f>
        <v/>
      </c>
      <c r="E79" s="371"/>
      <c r="F79" s="298" t="str">
        <f>IF(B79="", "", 'Version Log'!$B$34)</f>
        <v/>
      </c>
      <c r="G79" s="298" t="str">
        <f t="shared" si="4"/>
        <v/>
      </c>
      <c r="H79" s="298" t="str">
        <f t="shared" si="5"/>
        <v/>
      </c>
      <c r="I79" s="298" t="str">
        <f>IF(B79="", "",Inventory!D87)</f>
        <v/>
      </c>
      <c r="J79" s="298" t="str">
        <f>IF(B79="","",IF(Inventory!C87="N","Interior","Exterior"))</f>
        <v/>
      </c>
      <c r="K79" s="298" t="str">
        <f t="shared" si="6"/>
        <v/>
      </c>
      <c r="L79" s="298" t="str">
        <f>IF(B79="", "", Inventory!E87)</f>
        <v/>
      </c>
      <c r="M79" s="298" t="str">
        <f>IF(B79="","",IF(Cool_Type=Lookups!$L$9,Cool_Type,IF(Cool_Type=Lookups!$L$10,Cool_Type,IF(Cool_Type=Lookups!$L$11,Cool_Type,IF(Cool_Type=Lookups!L89,Cool_Type,IF('Project Info and Summary'!$C$20="Electric",CONCATENATE(Cool_Type," ",Heating_Type," Heat"),IF('Project Info and Summary'!$C$20="Non-Electric",CONCATENATE(Cool_Type," ",Heating_Type," Heat"),CONCATENATE(Cool_Type," ",Heating_Type))))))))</f>
        <v/>
      </c>
      <c r="N79" s="298" t="str">
        <f t="shared" si="7"/>
        <v/>
      </c>
      <c r="O79" s="298" t="str">
        <f>IF(B79="", "", 'Lighting Inventory (Ref only)'!G90)</f>
        <v/>
      </c>
      <c r="P79" s="298" t="str">
        <f>IF(B79="", "", 'Lighting Inventory (Ref only)'!E90)</f>
        <v/>
      </c>
      <c r="Q79" s="298" t="str">
        <f>IF(B79="", "", 'Lighting Inventory (Ref only)'!J90)</f>
        <v/>
      </c>
      <c r="R79" s="298" t="str">
        <f>IF(B79="", "",'Lighting Inventory (Ref only)'!K90)</f>
        <v/>
      </c>
      <c r="S79" s="372" t="str">
        <f>IF(B79="", "", 'Lighting Inventory (Ref only)'!G90*'Lighting Inventory (Ref only)'!K90/1000)</f>
        <v/>
      </c>
      <c r="T79" s="298" t="str">
        <f>IF(B79="", "", IF('Lighting Inventory (Ref only)'!I90="", "Light Switch",Inventory!H87))</f>
        <v/>
      </c>
      <c r="U79" s="298" t="str">
        <f>IF(B79="", "", 'Lighting Inventory (Ref only)'!Q90)</f>
        <v/>
      </c>
      <c r="V79" s="298" t="str">
        <f>IF(B79="", "", 'Lighting Inventory (Ref only)'!K90)</f>
        <v/>
      </c>
      <c r="W79" s="373" t="str">
        <f>IF(B79="","",('Lighting Inventory (Ref only)'!L90/1000))</f>
        <v/>
      </c>
      <c r="X79" s="298" t="str">
        <f>IF(B79="", "", 'Lighting Inventory (Ref only)'!Q90)</f>
        <v/>
      </c>
      <c r="Y79" s="298" t="str">
        <f>IF(C79="", "", Inventory!N87)</f>
        <v/>
      </c>
      <c r="Z79" s="374" t="str">
        <f>IF(B79="", "", 'Lighting Inventory (Ref only)'!P90)</f>
        <v/>
      </c>
      <c r="AA79" s="372" t="str">
        <f>IF(B79="", "",'Lighting Inventory (Ref only)'!R90/1000)</f>
        <v/>
      </c>
      <c r="AB79" s="372" t="str">
        <f>IF(B79="", "", Inventory!M87)</f>
        <v/>
      </c>
      <c r="AC79" s="374" t="str">
        <f>IF(B79="", "", 'Lighting Inventory (Ref only)'!T90)</f>
        <v/>
      </c>
      <c r="AD79" s="374" t="str">
        <f>IF(C79="", "", 'Lighting Inventory (Ref only)'!AA90)</f>
        <v/>
      </c>
      <c r="AE79" s="375" t="str">
        <f>IF(B79="", "", 'Lighting Inventory (Ref only)'!U90)</f>
        <v/>
      </c>
      <c r="AF79" s="375" t="str">
        <f>IF(B79="", "",'Lighting Inventory (Ref only)'!W90)</f>
        <v/>
      </c>
      <c r="AG79" s="375" t="str">
        <f>IF(B79="", "", 'Lighting Inventory (Ref only)'!V90)</f>
        <v/>
      </c>
      <c r="AH79" s="375" t="str">
        <f>IF(B79="", "",'Lighting Inventory (Ref only)'!Z90)</f>
        <v/>
      </c>
      <c r="AI79" s="375" t="str">
        <f>IF(B79="", "", 'Lighting Inventory (Ref only)'!Y90)</f>
        <v/>
      </c>
      <c r="AJ79" s="375" t="str">
        <f>IF(C79="", "",'Lighting Inventory (Ref only)'!AB90)</f>
        <v/>
      </c>
      <c r="AK79" s="375" t="str">
        <f>IF(B79="", "", 'Lighting Inventory (Ref only)'!AG90)</f>
        <v/>
      </c>
      <c r="AL79" s="375" t="str">
        <f>IF(B79="", "", 'Lighting Inventory (Ref only)'!AD90)</f>
        <v/>
      </c>
      <c r="AM79" s="375" t="str">
        <f>IF(B79="", "", 'Lighting Inventory (Ref only)'!AE90)</f>
        <v/>
      </c>
      <c r="AN79" s="375" t="str">
        <f>IF(B79="", "", 'Lighting Inventory (Ref only)'!AF90)</f>
        <v/>
      </c>
      <c r="AO79" s="375" t="str">
        <f>IF(B79="", "", 'Lighting Inventory (Ref only)'!AG90)</f>
        <v/>
      </c>
    </row>
    <row r="80" spans="1:41">
      <c r="A80" s="298" t="str">
        <f>IF(G80="", "", Lookups!BF82)</f>
        <v/>
      </c>
      <c r="B80" s="298" t="str">
        <f>IF('Lighting Inventory (Ref only)'!Q91="", "", 'Lighting Inventory (Ref only)'!Q91)</f>
        <v/>
      </c>
      <c r="C80" s="298" t="str">
        <f>IF(A80="", "", 'Lighting Inventory (Ref only)'!AO91)</f>
        <v/>
      </c>
      <c r="D80" s="370" t="str">
        <f>IF(B80= "","", Inventory!S88)</f>
        <v/>
      </c>
      <c r="E80" s="371"/>
      <c r="F80" s="298" t="str">
        <f>IF(B80="", "", 'Version Log'!$B$34)</f>
        <v/>
      </c>
      <c r="G80" s="298" t="str">
        <f t="shared" si="4"/>
        <v/>
      </c>
      <c r="H80" s="298" t="str">
        <f t="shared" si="5"/>
        <v/>
      </c>
      <c r="I80" s="298" t="str">
        <f>IF(B80="", "",Inventory!D88)</f>
        <v/>
      </c>
      <c r="J80" s="298" t="str">
        <f>IF(B80="","",IF(Inventory!C88="N","Interior","Exterior"))</f>
        <v/>
      </c>
      <c r="K80" s="298" t="str">
        <f t="shared" si="6"/>
        <v/>
      </c>
      <c r="L80" s="298" t="str">
        <f>IF(B80="", "", Inventory!E88)</f>
        <v/>
      </c>
      <c r="M80" s="298" t="str">
        <f>IF(B80="","",IF(Cool_Type=Lookups!$L$9,Cool_Type,IF(Cool_Type=Lookups!$L$10,Cool_Type,IF(Cool_Type=Lookups!$L$11,Cool_Type,IF(Cool_Type=Lookups!L90,Cool_Type,IF('Project Info and Summary'!$C$20="Electric",CONCATENATE(Cool_Type," ",Heating_Type," Heat"),IF('Project Info and Summary'!$C$20="Non-Electric",CONCATENATE(Cool_Type," ",Heating_Type," Heat"),CONCATENATE(Cool_Type," ",Heating_Type))))))))</f>
        <v/>
      </c>
      <c r="N80" s="298" t="str">
        <f t="shared" si="7"/>
        <v/>
      </c>
      <c r="O80" s="298" t="str">
        <f>IF(B80="", "", 'Lighting Inventory (Ref only)'!G91)</f>
        <v/>
      </c>
      <c r="P80" s="298" t="str">
        <f>IF(B80="", "", 'Lighting Inventory (Ref only)'!E91)</f>
        <v/>
      </c>
      <c r="Q80" s="298" t="str">
        <f>IF(B80="", "", 'Lighting Inventory (Ref only)'!J91)</f>
        <v/>
      </c>
      <c r="R80" s="298" t="str">
        <f>IF(B80="", "",'Lighting Inventory (Ref only)'!K91)</f>
        <v/>
      </c>
      <c r="S80" s="372" t="str">
        <f>IF(B80="", "", 'Lighting Inventory (Ref only)'!G91*'Lighting Inventory (Ref only)'!K91/1000)</f>
        <v/>
      </c>
      <c r="T80" s="298" t="str">
        <f>IF(B80="", "", IF('Lighting Inventory (Ref only)'!I91="", "Light Switch",Inventory!H88))</f>
        <v/>
      </c>
      <c r="U80" s="298" t="str">
        <f>IF(B80="", "", 'Lighting Inventory (Ref only)'!Q91)</f>
        <v/>
      </c>
      <c r="V80" s="298" t="str">
        <f>IF(B80="", "", 'Lighting Inventory (Ref only)'!K91)</f>
        <v/>
      </c>
      <c r="W80" s="373" t="str">
        <f>IF(B80="","",('Lighting Inventory (Ref only)'!L91/1000))</f>
        <v/>
      </c>
      <c r="X80" s="298" t="str">
        <f>IF(B80="", "", 'Lighting Inventory (Ref only)'!Q91)</f>
        <v/>
      </c>
      <c r="Y80" s="298" t="str">
        <f>IF(C80="", "", Inventory!N88)</f>
        <v/>
      </c>
      <c r="Z80" s="374" t="str">
        <f>IF(B80="", "", 'Lighting Inventory (Ref only)'!P91)</f>
        <v/>
      </c>
      <c r="AA80" s="372" t="str">
        <f>IF(B80="", "",'Lighting Inventory (Ref only)'!R91/1000)</f>
        <v/>
      </c>
      <c r="AB80" s="372" t="str">
        <f>IF(B80="", "", Inventory!M88)</f>
        <v/>
      </c>
      <c r="AC80" s="374" t="str">
        <f>IF(B80="", "", 'Lighting Inventory (Ref only)'!T91)</f>
        <v/>
      </c>
      <c r="AD80" s="374" t="str">
        <f>IF(C80="", "", 'Lighting Inventory (Ref only)'!AA91)</f>
        <v/>
      </c>
      <c r="AE80" s="375" t="str">
        <f>IF(B80="", "", 'Lighting Inventory (Ref only)'!U91)</f>
        <v/>
      </c>
      <c r="AF80" s="375" t="str">
        <f>IF(B80="", "",'Lighting Inventory (Ref only)'!W91)</f>
        <v/>
      </c>
      <c r="AG80" s="375" t="str">
        <f>IF(B80="", "", 'Lighting Inventory (Ref only)'!V91)</f>
        <v/>
      </c>
      <c r="AH80" s="375" t="str">
        <f>IF(B80="", "",'Lighting Inventory (Ref only)'!Z91)</f>
        <v/>
      </c>
      <c r="AI80" s="375" t="str">
        <f>IF(B80="", "", 'Lighting Inventory (Ref only)'!Y91)</f>
        <v/>
      </c>
      <c r="AJ80" s="375" t="str">
        <f>IF(C80="", "",'Lighting Inventory (Ref only)'!AB91)</f>
        <v/>
      </c>
      <c r="AK80" s="375" t="str">
        <f>IF(B80="", "", 'Lighting Inventory (Ref only)'!AG91)</f>
        <v/>
      </c>
      <c r="AL80" s="375" t="str">
        <f>IF(B80="", "", 'Lighting Inventory (Ref only)'!AD91)</f>
        <v/>
      </c>
      <c r="AM80" s="375" t="str">
        <f>IF(B80="", "", 'Lighting Inventory (Ref only)'!AE91)</f>
        <v/>
      </c>
      <c r="AN80" s="375" t="str">
        <f>IF(B80="", "", 'Lighting Inventory (Ref only)'!AF91)</f>
        <v/>
      </c>
      <c r="AO80" s="375" t="str">
        <f>IF(B80="", "", 'Lighting Inventory (Ref only)'!AG91)</f>
        <v/>
      </c>
    </row>
    <row r="81" spans="1:41">
      <c r="A81" s="298" t="str">
        <f>IF(G81="", "", Lookups!BF83)</f>
        <v/>
      </c>
      <c r="B81" s="298" t="str">
        <f>IF('Lighting Inventory (Ref only)'!Q92="", "", 'Lighting Inventory (Ref only)'!Q92)</f>
        <v/>
      </c>
      <c r="C81" s="298" t="str">
        <f>IF(A81="", "", 'Lighting Inventory (Ref only)'!AO92)</f>
        <v/>
      </c>
      <c r="D81" s="370" t="str">
        <f>IF(B81= "","", Inventory!S89)</f>
        <v/>
      </c>
      <c r="E81" s="371"/>
      <c r="F81" s="298" t="str">
        <f>IF(B81="", "", 'Version Log'!$B$34)</f>
        <v/>
      </c>
      <c r="G81" s="298" t="str">
        <f t="shared" si="4"/>
        <v/>
      </c>
      <c r="H81" s="298" t="str">
        <f t="shared" si="5"/>
        <v/>
      </c>
      <c r="I81" s="298" t="str">
        <f>IF(B81="", "",Inventory!D89)</f>
        <v/>
      </c>
      <c r="J81" s="298" t="str">
        <f>IF(B81="","",IF(Inventory!C89="N","Interior","Exterior"))</f>
        <v/>
      </c>
      <c r="K81" s="298" t="str">
        <f t="shared" si="6"/>
        <v/>
      </c>
      <c r="L81" s="298" t="str">
        <f>IF(B81="", "", Inventory!E89)</f>
        <v/>
      </c>
      <c r="M81" s="298" t="str">
        <f>IF(B81="","",IF(Cool_Type=Lookups!$L$9,Cool_Type,IF(Cool_Type=Lookups!$L$10,Cool_Type,IF(Cool_Type=Lookups!$L$11,Cool_Type,IF(Cool_Type=Lookups!L91,Cool_Type,IF('Project Info and Summary'!$C$20="Electric",CONCATENATE(Cool_Type," ",Heating_Type," Heat"),IF('Project Info and Summary'!$C$20="Non-Electric",CONCATENATE(Cool_Type," ",Heating_Type," Heat"),CONCATENATE(Cool_Type," ",Heating_Type))))))))</f>
        <v/>
      </c>
      <c r="N81" s="298" t="str">
        <f t="shared" si="7"/>
        <v/>
      </c>
      <c r="O81" s="298" t="str">
        <f>IF(B81="", "", 'Lighting Inventory (Ref only)'!G92)</f>
        <v/>
      </c>
      <c r="P81" s="298" t="str">
        <f>IF(B81="", "", 'Lighting Inventory (Ref only)'!E92)</f>
        <v/>
      </c>
      <c r="Q81" s="298" t="str">
        <f>IF(B81="", "", 'Lighting Inventory (Ref only)'!J92)</f>
        <v/>
      </c>
      <c r="R81" s="298" t="str">
        <f>IF(B81="", "",'Lighting Inventory (Ref only)'!K92)</f>
        <v/>
      </c>
      <c r="S81" s="372" t="str">
        <f>IF(B81="", "", 'Lighting Inventory (Ref only)'!G92*'Lighting Inventory (Ref only)'!K92/1000)</f>
        <v/>
      </c>
      <c r="T81" s="298" t="str">
        <f>IF(B81="", "", IF('Lighting Inventory (Ref only)'!I92="", "Light Switch",Inventory!H89))</f>
        <v/>
      </c>
      <c r="U81" s="298" t="str">
        <f>IF(B81="", "", 'Lighting Inventory (Ref only)'!Q92)</f>
        <v/>
      </c>
      <c r="V81" s="298" t="str">
        <f>IF(B81="", "", 'Lighting Inventory (Ref only)'!K92)</f>
        <v/>
      </c>
      <c r="W81" s="373" t="str">
        <f>IF(B81="","",('Lighting Inventory (Ref only)'!L92/1000))</f>
        <v/>
      </c>
      <c r="X81" s="298" t="str">
        <f>IF(B81="", "", 'Lighting Inventory (Ref only)'!Q92)</f>
        <v/>
      </c>
      <c r="Y81" s="298" t="str">
        <f>IF(C81="", "", Inventory!N89)</f>
        <v/>
      </c>
      <c r="Z81" s="374" t="str">
        <f>IF(B81="", "", 'Lighting Inventory (Ref only)'!P92)</f>
        <v/>
      </c>
      <c r="AA81" s="372" t="str">
        <f>IF(B81="", "",'Lighting Inventory (Ref only)'!R92/1000)</f>
        <v/>
      </c>
      <c r="AB81" s="372" t="str">
        <f>IF(B81="", "", Inventory!M89)</f>
        <v/>
      </c>
      <c r="AC81" s="374" t="str">
        <f>IF(B81="", "", 'Lighting Inventory (Ref only)'!T92)</f>
        <v/>
      </c>
      <c r="AD81" s="374" t="str">
        <f>IF(C81="", "", 'Lighting Inventory (Ref only)'!AA92)</f>
        <v/>
      </c>
      <c r="AE81" s="375" t="str">
        <f>IF(B81="", "", 'Lighting Inventory (Ref only)'!U92)</f>
        <v/>
      </c>
      <c r="AF81" s="375" t="str">
        <f>IF(B81="", "",'Lighting Inventory (Ref only)'!W92)</f>
        <v/>
      </c>
      <c r="AG81" s="375" t="str">
        <f>IF(B81="", "", 'Lighting Inventory (Ref only)'!V92)</f>
        <v/>
      </c>
      <c r="AH81" s="375" t="str">
        <f>IF(B81="", "",'Lighting Inventory (Ref only)'!Z92)</f>
        <v/>
      </c>
      <c r="AI81" s="375" t="str">
        <f>IF(B81="", "", 'Lighting Inventory (Ref only)'!Y92)</f>
        <v/>
      </c>
      <c r="AJ81" s="375" t="str">
        <f>IF(C81="", "",'Lighting Inventory (Ref only)'!AB92)</f>
        <v/>
      </c>
      <c r="AK81" s="375" t="str">
        <f>IF(B81="", "", 'Lighting Inventory (Ref only)'!AG92)</f>
        <v/>
      </c>
      <c r="AL81" s="375" t="str">
        <f>IF(B81="", "", 'Lighting Inventory (Ref only)'!AD92)</f>
        <v/>
      </c>
      <c r="AM81" s="375" t="str">
        <f>IF(B81="", "", 'Lighting Inventory (Ref only)'!AE92)</f>
        <v/>
      </c>
      <c r="AN81" s="375" t="str">
        <f>IF(B81="", "", 'Lighting Inventory (Ref only)'!AF92)</f>
        <v/>
      </c>
      <c r="AO81" s="375" t="str">
        <f>IF(B81="", "", 'Lighting Inventory (Ref only)'!AG92)</f>
        <v/>
      </c>
    </row>
    <row r="82" spans="1:41">
      <c r="A82" s="298" t="str">
        <f>IF(G82="", "", Lookups!BF84)</f>
        <v/>
      </c>
      <c r="B82" s="298" t="str">
        <f>IF('Lighting Inventory (Ref only)'!Q93="", "", 'Lighting Inventory (Ref only)'!Q93)</f>
        <v/>
      </c>
      <c r="C82" s="298" t="str">
        <f>IF(A82="", "", 'Lighting Inventory (Ref only)'!AO93)</f>
        <v/>
      </c>
      <c r="D82" s="370" t="str">
        <f>IF(B82= "","", Inventory!S90)</f>
        <v/>
      </c>
      <c r="E82" s="371"/>
      <c r="F82" s="298" t="str">
        <f>IF(B82="", "", 'Version Log'!$B$34)</f>
        <v/>
      </c>
      <c r="G82" s="298" t="str">
        <f t="shared" si="4"/>
        <v/>
      </c>
      <c r="H82" s="298" t="str">
        <f t="shared" si="5"/>
        <v/>
      </c>
      <c r="I82" s="298" t="str">
        <f>IF(B82="", "",Inventory!D90)</f>
        <v/>
      </c>
      <c r="J82" s="298" t="str">
        <f>IF(B82="","",IF(Inventory!C90="N","Interior","Exterior"))</f>
        <v/>
      </c>
      <c r="K82" s="298" t="str">
        <f t="shared" si="6"/>
        <v/>
      </c>
      <c r="L82" s="298" t="str">
        <f>IF(B82="", "", Inventory!E90)</f>
        <v/>
      </c>
      <c r="M82" s="298" t="str">
        <f>IF(B82="","",IF(Cool_Type=Lookups!$L$9,Cool_Type,IF(Cool_Type=Lookups!$L$10,Cool_Type,IF(Cool_Type=Lookups!$L$11,Cool_Type,IF(Cool_Type=Lookups!L92,Cool_Type,IF('Project Info and Summary'!$C$20="Electric",CONCATENATE(Cool_Type," ",Heating_Type," Heat"),IF('Project Info and Summary'!$C$20="Non-Electric",CONCATENATE(Cool_Type," ",Heating_Type," Heat"),CONCATENATE(Cool_Type," ",Heating_Type))))))))</f>
        <v/>
      </c>
      <c r="N82" s="298" t="str">
        <f t="shared" si="7"/>
        <v/>
      </c>
      <c r="O82" s="298" t="str">
        <f>IF(B82="", "", 'Lighting Inventory (Ref only)'!G93)</f>
        <v/>
      </c>
      <c r="P82" s="298" t="str">
        <f>IF(B82="", "", 'Lighting Inventory (Ref only)'!E93)</f>
        <v/>
      </c>
      <c r="Q82" s="298" t="str">
        <f>IF(B82="", "", 'Lighting Inventory (Ref only)'!J93)</f>
        <v/>
      </c>
      <c r="R82" s="298" t="str">
        <f>IF(B82="", "",'Lighting Inventory (Ref only)'!K93)</f>
        <v/>
      </c>
      <c r="S82" s="372" t="str">
        <f>IF(B82="", "", 'Lighting Inventory (Ref only)'!G93*'Lighting Inventory (Ref only)'!K93/1000)</f>
        <v/>
      </c>
      <c r="T82" s="298" t="str">
        <f>IF(B82="", "", IF('Lighting Inventory (Ref only)'!I93="", "Light Switch",Inventory!H90))</f>
        <v/>
      </c>
      <c r="U82" s="298" t="str">
        <f>IF(B82="", "", 'Lighting Inventory (Ref only)'!Q93)</f>
        <v/>
      </c>
      <c r="V82" s="298" t="str">
        <f>IF(B82="", "", 'Lighting Inventory (Ref only)'!K93)</f>
        <v/>
      </c>
      <c r="W82" s="373" t="str">
        <f>IF(B82="","",('Lighting Inventory (Ref only)'!L93/1000))</f>
        <v/>
      </c>
      <c r="X82" s="298" t="str">
        <f>IF(B82="", "", 'Lighting Inventory (Ref only)'!Q93)</f>
        <v/>
      </c>
      <c r="Y82" s="298" t="str">
        <f>IF(C82="", "", Inventory!N90)</f>
        <v/>
      </c>
      <c r="Z82" s="374" t="str">
        <f>IF(B82="", "", 'Lighting Inventory (Ref only)'!P93)</f>
        <v/>
      </c>
      <c r="AA82" s="372" t="str">
        <f>IF(B82="", "",'Lighting Inventory (Ref only)'!R93/1000)</f>
        <v/>
      </c>
      <c r="AB82" s="372" t="str">
        <f>IF(B82="", "", Inventory!M90)</f>
        <v/>
      </c>
      <c r="AC82" s="374" t="str">
        <f>IF(B82="", "", 'Lighting Inventory (Ref only)'!T93)</f>
        <v/>
      </c>
      <c r="AD82" s="374" t="str">
        <f>IF(C82="", "", 'Lighting Inventory (Ref only)'!AA93)</f>
        <v/>
      </c>
      <c r="AE82" s="375" t="str">
        <f>IF(B82="", "", 'Lighting Inventory (Ref only)'!U93)</f>
        <v/>
      </c>
      <c r="AF82" s="375" t="str">
        <f>IF(B82="", "",'Lighting Inventory (Ref only)'!W93)</f>
        <v/>
      </c>
      <c r="AG82" s="375" t="str">
        <f>IF(B82="", "", 'Lighting Inventory (Ref only)'!V93)</f>
        <v/>
      </c>
      <c r="AH82" s="375" t="str">
        <f>IF(B82="", "",'Lighting Inventory (Ref only)'!Z93)</f>
        <v/>
      </c>
      <c r="AI82" s="375" t="str">
        <f>IF(B82="", "", 'Lighting Inventory (Ref only)'!Y93)</f>
        <v/>
      </c>
      <c r="AJ82" s="375" t="str">
        <f>IF(C82="", "",'Lighting Inventory (Ref only)'!AB93)</f>
        <v/>
      </c>
      <c r="AK82" s="375" t="str">
        <f>IF(B82="", "", 'Lighting Inventory (Ref only)'!AG93)</f>
        <v/>
      </c>
      <c r="AL82" s="375" t="str">
        <f>IF(B82="", "", 'Lighting Inventory (Ref only)'!AD93)</f>
        <v/>
      </c>
      <c r="AM82" s="375" t="str">
        <f>IF(B82="", "", 'Lighting Inventory (Ref only)'!AE93)</f>
        <v/>
      </c>
      <c r="AN82" s="375" t="str">
        <f>IF(B82="", "", 'Lighting Inventory (Ref only)'!AF93)</f>
        <v/>
      </c>
      <c r="AO82" s="375" t="str">
        <f>IF(B82="", "", 'Lighting Inventory (Ref only)'!AG93)</f>
        <v/>
      </c>
    </row>
    <row r="83" spans="1:41">
      <c r="A83" s="298" t="str">
        <f>IF(G83="", "", Lookups!BF85)</f>
        <v/>
      </c>
      <c r="B83" s="298" t="str">
        <f>IF('Lighting Inventory (Ref only)'!Q94="", "", 'Lighting Inventory (Ref only)'!Q94)</f>
        <v/>
      </c>
      <c r="C83" s="298" t="str">
        <f>IF(A83="", "", 'Lighting Inventory (Ref only)'!AO94)</f>
        <v/>
      </c>
      <c r="D83" s="370" t="str">
        <f>IF(B83= "","", Inventory!S91)</f>
        <v/>
      </c>
      <c r="E83" s="371"/>
      <c r="F83" s="298" t="str">
        <f>IF(B83="", "", 'Version Log'!$B$34)</f>
        <v/>
      </c>
      <c r="G83" s="298" t="str">
        <f t="shared" si="4"/>
        <v/>
      </c>
      <c r="H83" s="298" t="str">
        <f t="shared" si="5"/>
        <v/>
      </c>
      <c r="I83" s="298" t="str">
        <f>IF(B83="", "",Inventory!D91)</f>
        <v/>
      </c>
      <c r="J83" s="298" t="str">
        <f>IF(B83="","",IF(Inventory!C91="N","Interior","Exterior"))</f>
        <v/>
      </c>
      <c r="K83" s="298" t="str">
        <f t="shared" si="6"/>
        <v/>
      </c>
      <c r="L83" s="298" t="str">
        <f>IF(B83="", "", Inventory!E91)</f>
        <v/>
      </c>
      <c r="M83" s="298" t="str">
        <f>IF(B83="","",IF(Cool_Type=Lookups!$L$9,Cool_Type,IF(Cool_Type=Lookups!$L$10,Cool_Type,IF(Cool_Type=Lookups!$L$11,Cool_Type,IF(Cool_Type=Lookups!L93,Cool_Type,IF('Project Info and Summary'!$C$20="Electric",CONCATENATE(Cool_Type," ",Heating_Type," Heat"),IF('Project Info and Summary'!$C$20="Non-Electric",CONCATENATE(Cool_Type," ",Heating_Type," Heat"),CONCATENATE(Cool_Type," ",Heating_Type))))))))</f>
        <v/>
      </c>
      <c r="N83" s="298" t="str">
        <f t="shared" si="7"/>
        <v/>
      </c>
      <c r="O83" s="298" t="str">
        <f>IF(B83="", "", 'Lighting Inventory (Ref only)'!G94)</f>
        <v/>
      </c>
      <c r="P83" s="298" t="str">
        <f>IF(B83="", "", 'Lighting Inventory (Ref only)'!E94)</f>
        <v/>
      </c>
      <c r="Q83" s="298" t="str">
        <f>IF(B83="", "", 'Lighting Inventory (Ref only)'!J94)</f>
        <v/>
      </c>
      <c r="R83" s="298" t="str">
        <f>IF(B83="", "",'Lighting Inventory (Ref only)'!K94)</f>
        <v/>
      </c>
      <c r="S83" s="372" t="str">
        <f>IF(B83="", "", 'Lighting Inventory (Ref only)'!G94*'Lighting Inventory (Ref only)'!K94/1000)</f>
        <v/>
      </c>
      <c r="T83" s="298" t="str">
        <f>IF(B83="", "", IF('Lighting Inventory (Ref only)'!I94="", "Light Switch",Inventory!H91))</f>
        <v/>
      </c>
      <c r="U83" s="298" t="str">
        <f>IF(B83="", "", 'Lighting Inventory (Ref only)'!Q94)</f>
        <v/>
      </c>
      <c r="V83" s="298" t="str">
        <f>IF(B83="", "", 'Lighting Inventory (Ref only)'!K94)</f>
        <v/>
      </c>
      <c r="W83" s="373" t="str">
        <f>IF(B83="","",('Lighting Inventory (Ref only)'!L94/1000))</f>
        <v/>
      </c>
      <c r="X83" s="298" t="str">
        <f>IF(B83="", "", 'Lighting Inventory (Ref only)'!Q94)</f>
        <v/>
      </c>
      <c r="Y83" s="298" t="str">
        <f>IF(C83="", "", Inventory!N91)</f>
        <v/>
      </c>
      <c r="Z83" s="374" t="str">
        <f>IF(B83="", "", 'Lighting Inventory (Ref only)'!P94)</f>
        <v/>
      </c>
      <c r="AA83" s="372" t="str">
        <f>IF(B83="", "",'Lighting Inventory (Ref only)'!R94/1000)</f>
        <v/>
      </c>
      <c r="AB83" s="372" t="str">
        <f>IF(B83="", "", Inventory!M91)</f>
        <v/>
      </c>
      <c r="AC83" s="374" t="str">
        <f>IF(B83="", "", 'Lighting Inventory (Ref only)'!T94)</f>
        <v/>
      </c>
      <c r="AD83" s="374" t="str">
        <f>IF(C83="", "", 'Lighting Inventory (Ref only)'!AA94)</f>
        <v/>
      </c>
      <c r="AE83" s="375" t="str">
        <f>IF(B83="", "", 'Lighting Inventory (Ref only)'!U94)</f>
        <v/>
      </c>
      <c r="AF83" s="375" t="str">
        <f>IF(B83="", "",'Lighting Inventory (Ref only)'!W94)</f>
        <v/>
      </c>
      <c r="AG83" s="375" t="str">
        <f>IF(B83="", "", 'Lighting Inventory (Ref only)'!V94)</f>
        <v/>
      </c>
      <c r="AH83" s="375" t="str">
        <f>IF(B83="", "",'Lighting Inventory (Ref only)'!Z94)</f>
        <v/>
      </c>
      <c r="AI83" s="375" t="str">
        <f>IF(B83="", "", 'Lighting Inventory (Ref only)'!Y94)</f>
        <v/>
      </c>
      <c r="AJ83" s="375" t="str">
        <f>IF(C83="", "",'Lighting Inventory (Ref only)'!AB94)</f>
        <v/>
      </c>
      <c r="AK83" s="375" t="str">
        <f>IF(B83="", "", 'Lighting Inventory (Ref only)'!AG94)</f>
        <v/>
      </c>
      <c r="AL83" s="375" t="str">
        <f>IF(B83="", "", 'Lighting Inventory (Ref only)'!AD94)</f>
        <v/>
      </c>
      <c r="AM83" s="375" t="str">
        <f>IF(B83="", "", 'Lighting Inventory (Ref only)'!AE94)</f>
        <v/>
      </c>
      <c r="AN83" s="375" t="str">
        <f>IF(B83="", "", 'Lighting Inventory (Ref only)'!AF94)</f>
        <v/>
      </c>
      <c r="AO83" s="375" t="str">
        <f>IF(B83="", "", 'Lighting Inventory (Ref only)'!AG94)</f>
        <v/>
      </c>
    </row>
    <row r="84" spans="1:41">
      <c r="A84" s="298" t="str">
        <f>IF(G84="", "", Lookups!BF86)</f>
        <v/>
      </c>
      <c r="B84" s="298" t="str">
        <f>IF('Lighting Inventory (Ref only)'!Q95="", "", 'Lighting Inventory (Ref only)'!Q95)</f>
        <v/>
      </c>
      <c r="C84" s="298" t="str">
        <f>IF(A84="", "", 'Lighting Inventory (Ref only)'!AO95)</f>
        <v/>
      </c>
      <c r="D84" s="370" t="str">
        <f>IF(B84= "","", Inventory!S92)</f>
        <v/>
      </c>
      <c r="E84" s="371"/>
      <c r="F84" s="298" t="str">
        <f>IF(B84="", "", 'Version Log'!$B$34)</f>
        <v/>
      </c>
      <c r="G84" s="298" t="str">
        <f t="shared" si="4"/>
        <v/>
      </c>
      <c r="H84" s="298" t="str">
        <f t="shared" si="5"/>
        <v/>
      </c>
      <c r="I84" s="298" t="str">
        <f>IF(B84="", "",Inventory!D92)</f>
        <v/>
      </c>
      <c r="J84" s="298" t="str">
        <f>IF(B84="","",IF(Inventory!C92="N","Interior","Exterior"))</f>
        <v/>
      </c>
      <c r="K84" s="298" t="str">
        <f t="shared" si="6"/>
        <v/>
      </c>
      <c r="L84" s="298" t="str">
        <f>IF(B84="", "", Inventory!E92)</f>
        <v/>
      </c>
      <c r="M84" s="298" t="str">
        <f>IF(B84="","",IF(Cool_Type=Lookups!$L$9,Cool_Type,IF(Cool_Type=Lookups!$L$10,Cool_Type,IF(Cool_Type=Lookups!$L$11,Cool_Type,IF(Cool_Type=Lookups!L94,Cool_Type,IF('Project Info and Summary'!$C$20="Electric",CONCATENATE(Cool_Type," ",Heating_Type," Heat"),IF('Project Info and Summary'!$C$20="Non-Electric",CONCATENATE(Cool_Type," ",Heating_Type," Heat"),CONCATENATE(Cool_Type," ",Heating_Type))))))))</f>
        <v/>
      </c>
      <c r="N84" s="298" t="str">
        <f t="shared" si="7"/>
        <v/>
      </c>
      <c r="O84" s="298" t="str">
        <f>IF(B84="", "", 'Lighting Inventory (Ref only)'!G95)</f>
        <v/>
      </c>
      <c r="P84" s="298" t="str">
        <f>IF(B84="", "", 'Lighting Inventory (Ref only)'!E95)</f>
        <v/>
      </c>
      <c r="Q84" s="298" t="str">
        <f>IF(B84="", "", 'Lighting Inventory (Ref only)'!J95)</f>
        <v/>
      </c>
      <c r="R84" s="298" t="str">
        <f>IF(B84="", "",'Lighting Inventory (Ref only)'!K95)</f>
        <v/>
      </c>
      <c r="S84" s="372" t="str">
        <f>IF(B84="", "", 'Lighting Inventory (Ref only)'!G95*'Lighting Inventory (Ref only)'!K95/1000)</f>
        <v/>
      </c>
      <c r="T84" s="298" t="str">
        <f>IF(B84="", "", IF('Lighting Inventory (Ref only)'!I95="", "Light Switch",Inventory!H92))</f>
        <v/>
      </c>
      <c r="U84" s="298" t="str">
        <f>IF(B84="", "", 'Lighting Inventory (Ref only)'!Q95)</f>
        <v/>
      </c>
      <c r="V84" s="298" t="str">
        <f>IF(B84="", "", 'Lighting Inventory (Ref only)'!K95)</f>
        <v/>
      </c>
      <c r="W84" s="373" t="str">
        <f>IF(B84="","",('Lighting Inventory (Ref only)'!L95/1000))</f>
        <v/>
      </c>
      <c r="X84" s="298" t="str">
        <f>IF(B84="", "", 'Lighting Inventory (Ref only)'!Q95)</f>
        <v/>
      </c>
      <c r="Y84" s="298" t="str">
        <f>IF(C84="", "", Inventory!N92)</f>
        <v/>
      </c>
      <c r="Z84" s="374" t="str">
        <f>IF(B84="", "", 'Lighting Inventory (Ref only)'!P95)</f>
        <v/>
      </c>
      <c r="AA84" s="372" t="str">
        <f>IF(B84="", "",'Lighting Inventory (Ref only)'!R95/1000)</f>
        <v/>
      </c>
      <c r="AB84" s="372" t="str">
        <f>IF(B84="", "", Inventory!M92)</f>
        <v/>
      </c>
      <c r="AC84" s="374" t="str">
        <f>IF(B84="", "", 'Lighting Inventory (Ref only)'!T95)</f>
        <v/>
      </c>
      <c r="AD84" s="374" t="str">
        <f>IF(C84="", "", 'Lighting Inventory (Ref only)'!AA95)</f>
        <v/>
      </c>
      <c r="AE84" s="375" t="str">
        <f>IF(B84="", "", 'Lighting Inventory (Ref only)'!U95)</f>
        <v/>
      </c>
      <c r="AF84" s="375" t="str">
        <f>IF(B84="", "",'Lighting Inventory (Ref only)'!W95)</f>
        <v/>
      </c>
      <c r="AG84" s="375" t="str">
        <f>IF(B84="", "", 'Lighting Inventory (Ref only)'!V95)</f>
        <v/>
      </c>
      <c r="AH84" s="375" t="str">
        <f>IF(B84="", "",'Lighting Inventory (Ref only)'!Z95)</f>
        <v/>
      </c>
      <c r="AI84" s="375" t="str">
        <f>IF(B84="", "", 'Lighting Inventory (Ref only)'!Y95)</f>
        <v/>
      </c>
      <c r="AJ84" s="375" t="str">
        <f>IF(C84="", "",'Lighting Inventory (Ref only)'!AB95)</f>
        <v/>
      </c>
      <c r="AK84" s="375" t="str">
        <f>IF(B84="", "", 'Lighting Inventory (Ref only)'!AG95)</f>
        <v/>
      </c>
      <c r="AL84" s="375" t="str">
        <f>IF(B84="", "", 'Lighting Inventory (Ref only)'!AD95)</f>
        <v/>
      </c>
      <c r="AM84" s="375" t="str">
        <f>IF(B84="", "", 'Lighting Inventory (Ref only)'!AE95)</f>
        <v/>
      </c>
      <c r="AN84" s="375" t="str">
        <f>IF(B84="", "", 'Lighting Inventory (Ref only)'!AF95)</f>
        <v/>
      </c>
      <c r="AO84" s="375" t="str">
        <f>IF(B84="", "", 'Lighting Inventory (Ref only)'!AG95)</f>
        <v/>
      </c>
    </row>
    <row r="85" spans="1:41">
      <c r="A85" s="298" t="str">
        <f>IF(G85="", "", Lookups!BF87)</f>
        <v/>
      </c>
      <c r="B85" s="298" t="str">
        <f>IF('Lighting Inventory (Ref only)'!Q96="", "", 'Lighting Inventory (Ref only)'!Q96)</f>
        <v/>
      </c>
      <c r="C85" s="298" t="str">
        <f>IF(A85="", "", 'Lighting Inventory (Ref only)'!AO96)</f>
        <v/>
      </c>
      <c r="D85" s="370" t="str">
        <f>IF(B85= "","", Inventory!S93)</f>
        <v/>
      </c>
      <c r="E85" s="371"/>
      <c r="F85" s="298" t="str">
        <f>IF(B85="", "", 'Version Log'!$B$34)</f>
        <v/>
      </c>
      <c r="G85" s="298" t="str">
        <f t="shared" si="4"/>
        <v/>
      </c>
      <c r="H85" s="298" t="str">
        <f t="shared" si="5"/>
        <v/>
      </c>
      <c r="I85" s="298" t="str">
        <f>IF(B85="", "",Inventory!D93)</f>
        <v/>
      </c>
      <c r="J85" s="298" t="str">
        <f>IF(B85="","",IF(Inventory!C93="N","Interior","Exterior"))</f>
        <v/>
      </c>
      <c r="K85" s="298" t="str">
        <f t="shared" si="6"/>
        <v/>
      </c>
      <c r="L85" s="298" t="str">
        <f>IF(B85="", "", Inventory!E93)</f>
        <v/>
      </c>
      <c r="M85" s="298" t="str">
        <f>IF(B85="","",IF(Cool_Type=Lookups!$L$9,Cool_Type,IF(Cool_Type=Lookups!$L$10,Cool_Type,IF(Cool_Type=Lookups!$L$11,Cool_Type,IF(Cool_Type=Lookups!L95,Cool_Type,IF('Project Info and Summary'!$C$20="Electric",CONCATENATE(Cool_Type," ",Heating_Type," Heat"),IF('Project Info and Summary'!$C$20="Non-Electric",CONCATENATE(Cool_Type," ",Heating_Type," Heat"),CONCATENATE(Cool_Type," ",Heating_Type))))))))</f>
        <v/>
      </c>
      <c r="N85" s="298" t="str">
        <f t="shared" si="7"/>
        <v/>
      </c>
      <c r="O85" s="298" t="str">
        <f>IF(B85="", "", 'Lighting Inventory (Ref only)'!G96)</f>
        <v/>
      </c>
      <c r="P85" s="298" t="str">
        <f>IF(B85="", "", 'Lighting Inventory (Ref only)'!E96)</f>
        <v/>
      </c>
      <c r="Q85" s="298" t="str">
        <f>IF(B85="", "", 'Lighting Inventory (Ref only)'!J96)</f>
        <v/>
      </c>
      <c r="R85" s="298" t="str">
        <f>IF(B85="", "",'Lighting Inventory (Ref only)'!K96)</f>
        <v/>
      </c>
      <c r="S85" s="372" t="str">
        <f>IF(B85="", "", 'Lighting Inventory (Ref only)'!G96*'Lighting Inventory (Ref only)'!K96/1000)</f>
        <v/>
      </c>
      <c r="T85" s="298" t="str">
        <f>IF(B85="", "", IF('Lighting Inventory (Ref only)'!I96="", "Light Switch",Inventory!H93))</f>
        <v/>
      </c>
      <c r="U85" s="298" t="str">
        <f>IF(B85="", "", 'Lighting Inventory (Ref only)'!Q96)</f>
        <v/>
      </c>
      <c r="V85" s="298" t="str">
        <f>IF(B85="", "", 'Lighting Inventory (Ref only)'!K96)</f>
        <v/>
      </c>
      <c r="W85" s="373" t="str">
        <f>IF(B85="","",('Lighting Inventory (Ref only)'!L96/1000))</f>
        <v/>
      </c>
      <c r="X85" s="298" t="str">
        <f>IF(B85="", "", 'Lighting Inventory (Ref only)'!Q96)</f>
        <v/>
      </c>
      <c r="Y85" s="298" t="str">
        <f>IF(C85="", "", Inventory!N93)</f>
        <v/>
      </c>
      <c r="Z85" s="374" t="str">
        <f>IF(B85="", "", 'Lighting Inventory (Ref only)'!P96)</f>
        <v/>
      </c>
      <c r="AA85" s="372" t="str">
        <f>IF(B85="", "",'Lighting Inventory (Ref only)'!R96/1000)</f>
        <v/>
      </c>
      <c r="AB85" s="372" t="str">
        <f>IF(B85="", "", Inventory!M93)</f>
        <v/>
      </c>
      <c r="AC85" s="374" t="str">
        <f>IF(B85="", "", 'Lighting Inventory (Ref only)'!T96)</f>
        <v/>
      </c>
      <c r="AD85" s="374" t="str">
        <f>IF(C85="", "", 'Lighting Inventory (Ref only)'!AA96)</f>
        <v/>
      </c>
      <c r="AE85" s="375" t="str">
        <f>IF(B85="", "", 'Lighting Inventory (Ref only)'!U96)</f>
        <v/>
      </c>
      <c r="AF85" s="375" t="str">
        <f>IF(B85="", "",'Lighting Inventory (Ref only)'!W96)</f>
        <v/>
      </c>
      <c r="AG85" s="375" t="str">
        <f>IF(B85="", "", 'Lighting Inventory (Ref only)'!V96)</f>
        <v/>
      </c>
      <c r="AH85" s="375" t="str">
        <f>IF(B85="", "",'Lighting Inventory (Ref only)'!Z96)</f>
        <v/>
      </c>
      <c r="AI85" s="375" t="str">
        <f>IF(B85="", "", 'Lighting Inventory (Ref only)'!Y96)</f>
        <v/>
      </c>
      <c r="AJ85" s="375" t="str">
        <f>IF(C85="", "",'Lighting Inventory (Ref only)'!AB96)</f>
        <v/>
      </c>
      <c r="AK85" s="375" t="str">
        <f>IF(B85="", "", 'Lighting Inventory (Ref only)'!AG96)</f>
        <v/>
      </c>
      <c r="AL85" s="375" t="str">
        <f>IF(B85="", "", 'Lighting Inventory (Ref only)'!AD96)</f>
        <v/>
      </c>
      <c r="AM85" s="375" t="str">
        <f>IF(B85="", "", 'Lighting Inventory (Ref only)'!AE96)</f>
        <v/>
      </c>
      <c r="AN85" s="375" t="str">
        <f>IF(B85="", "", 'Lighting Inventory (Ref only)'!AF96)</f>
        <v/>
      </c>
      <c r="AO85" s="375" t="str">
        <f>IF(B85="", "", 'Lighting Inventory (Ref only)'!AG96)</f>
        <v/>
      </c>
    </row>
    <row r="86" spans="1:41">
      <c r="A86" s="298" t="str">
        <f>IF(G86="", "", Lookups!BF88)</f>
        <v/>
      </c>
      <c r="B86" s="298" t="str">
        <f>IF('Lighting Inventory (Ref only)'!Q97="", "", 'Lighting Inventory (Ref only)'!Q97)</f>
        <v/>
      </c>
      <c r="C86" s="298" t="str">
        <f>IF(A86="", "", 'Lighting Inventory (Ref only)'!AO97)</f>
        <v/>
      </c>
      <c r="D86" s="370" t="str">
        <f>IF(B86= "","", Inventory!S94)</f>
        <v/>
      </c>
      <c r="E86" s="371"/>
      <c r="F86" s="298" t="str">
        <f>IF(B86="", "", 'Version Log'!$B$34)</f>
        <v/>
      </c>
      <c r="G86" s="298" t="str">
        <f t="shared" si="4"/>
        <v/>
      </c>
      <c r="H86" s="298" t="str">
        <f t="shared" si="5"/>
        <v/>
      </c>
      <c r="I86" s="298" t="str">
        <f>IF(B86="", "",Inventory!D94)</f>
        <v/>
      </c>
      <c r="J86" s="298" t="str">
        <f>IF(B86="","",IF(Inventory!C94="N","Interior","Exterior"))</f>
        <v/>
      </c>
      <c r="K86" s="298" t="str">
        <f t="shared" si="6"/>
        <v/>
      </c>
      <c r="L86" s="298" t="str">
        <f>IF(B86="", "", Inventory!E94)</f>
        <v/>
      </c>
      <c r="M86" s="298" t="str">
        <f>IF(B86="","",IF(Cool_Type=Lookups!$L$9,Cool_Type,IF(Cool_Type=Lookups!$L$10,Cool_Type,IF(Cool_Type=Lookups!$L$11,Cool_Type,IF(Cool_Type=Lookups!L96,Cool_Type,IF('Project Info and Summary'!$C$20="Electric",CONCATENATE(Cool_Type," ",Heating_Type," Heat"),IF('Project Info and Summary'!$C$20="Non-Electric",CONCATENATE(Cool_Type," ",Heating_Type," Heat"),CONCATENATE(Cool_Type," ",Heating_Type))))))))</f>
        <v/>
      </c>
      <c r="N86" s="298" t="str">
        <f t="shared" si="7"/>
        <v/>
      </c>
      <c r="O86" s="298" t="str">
        <f>IF(B86="", "", 'Lighting Inventory (Ref only)'!G97)</f>
        <v/>
      </c>
      <c r="P86" s="298" t="str">
        <f>IF(B86="", "", 'Lighting Inventory (Ref only)'!E97)</f>
        <v/>
      </c>
      <c r="Q86" s="298" t="str">
        <f>IF(B86="", "", 'Lighting Inventory (Ref only)'!J97)</f>
        <v/>
      </c>
      <c r="R86" s="298" t="str">
        <f>IF(B86="", "",'Lighting Inventory (Ref only)'!K97)</f>
        <v/>
      </c>
      <c r="S86" s="372" t="str">
        <f>IF(B86="", "", 'Lighting Inventory (Ref only)'!G97*'Lighting Inventory (Ref only)'!K97/1000)</f>
        <v/>
      </c>
      <c r="T86" s="298" t="str">
        <f>IF(B86="", "", IF('Lighting Inventory (Ref only)'!I97="", "Light Switch",Inventory!H94))</f>
        <v/>
      </c>
      <c r="U86" s="298" t="str">
        <f>IF(B86="", "", 'Lighting Inventory (Ref only)'!Q97)</f>
        <v/>
      </c>
      <c r="V86" s="298" t="str">
        <f>IF(B86="", "", 'Lighting Inventory (Ref only)'!K97)</f>
        <v/>
      </c>
      <c r="W86" s="373" t="str">
        <f>IF(B86="","",('Lighting Inventory (Ref only)'!L97/1000))</f>
        <v/>
      </c>
      <c r="X86" s="298" t="str">
        <f>IF(B86="", "", 'Lighting Inventory (Ref only)'!Q97)</f>
        <v/>
      </c>
      <c r="Y86" s="298" t="str">
        <f>IF(C86="", "", Inventory!N94)</f>
        <v/>
      </c>
      <c r="Z86" s="374" t="str">
        <f>IF(B86="", "", 'Lighting Inventory (Ref only)'!P97)</f>
        <v/>
      </c>
      <c r="AA86" s="372" t="str">
        <f>IF(B86="", "",'Lighting Inventory (Ref only)'!R97/1000)</f>
        <v/>
      </c>
      <c r="AB86" s="372" t="str">
        <f>IF(B86="", "", Inventory!M94)</f>
        <v/>
      </c>
      <c r="AC86" s="374" t="str">
        <f>IF(B86="", "", 'Lighting Inventory (Ref only)'!T97)</f>
        <v/>
      </c>
      <c r="AD86" s="374" t="str">
        <f>IF(C86="", "", 'Lighting Inventory (Ref only)'!AA97)</f>
        <v/>
      </c>
      <c r="AE86" s="375" t="str">
        <f>IF(B86="", "", 'Lighting Inventory (Ref only)'!U97)</f>
        <v/>
      </c>
      <c r="AF86" s="375" t="str">
        <f>IF(B86="", "",'Lighting Inventory (Ref only)'!W97)</f>
        <v/>
      </c>
      <c r="AG86" s="375" t="str">
        <f>IF(B86="", "", 'Lighting Inventory (Ref only)'!V97)</f>
        <v/>
      </c>
      <c r="AH86" s="375" t="str">
        <f>IF(B86="", "",'Lighting Inventory (Ref only)'!Z97)</f>
        <v/>
      </c>
      <c r="AI86" s="375" t="str">
        <f>IF(B86="", "", 'Lighting Inventory (Ref only)'!Y97)</f>
        <v/>
      </c>
      <c r="AJ86" s="375" t="str">
        <f>IF(C86="", "",'Lighting Inventory (Ref only)'!AB97)</f>
        <v/>
      </c>
      <c r="AK86" s="375" t="str">
        <f>IF(B86="", "", 'Lighting Inventory (Ref only)'!AG97)</f>
        <v/>
      </c>
      <c r="AL86" s="375" t="str">
        <f>IF(B86="", "", 'Lighting Inventory (Ref only)'!AD97)</f>
        <v/>
      </c>
      <c r="AM86" s="375" t="str">
        <f>IF(B86="", "", 'Lighting Inventory (Ref only)'!AE97)</f>
        <v/>
      </c>
      <c r="AN86" s="375" t="str">
        <f>IF(B86="", "", 'Lighting Inventory (Ref only)'!AF97)</f>
        <v/>
      </c>
      <c r="AO86" s="375" t="str">
        <f>IF(B86="", "", 'Lighting Inventory (Ref only)'!AG97)</f>
        <v/>
      </c>
    </row>
    <row r="87" spans="1:41">
      <c r="A87" s="298" t="str">
        <f>IF(G87="", "", Lookups!BF89)</f>
        <v/>
      </c>
      <c r="B87" s="298" t="str">
        <f>IF('Lighting Inventory (Ref only)'!Q98="", "", 'Lighting Inventory (Ref only)'!Q98)</f>
        <v/>
      </c>
      <c r="C87" s="298" t="str">
        <f>IF(A87="", "", 'Lighting Inventory (Ref only)'!AO98)</f>
        <v/>
      </c>
      <c r="D87" s="370" t="str">
        <f>IF(B87= "","", Inventory!S95)</f>
        <v/>
      </c>
      <c r="E87" s="371"/>
      <c r="F87" s="298" t="str">
        <f>IF(B87="", "", 'Version Log'!$B$34)</f>
        <v/>
      </c>
      <c r="G87" s="298" t="str">
        <f t="shared" si="4"/>
        <v/>
      </c>
      <c r="H87" s="298" t="str">
        <f t="shared" si="5"/>
        <v/>
      </c>
      <c r="I87" s="298" t="str">
        <f>IF(B87="", "",Inventory!D95)</f>
        <v/>
      </c>
      <c r="J87" s="298" t="str">
        <f>IF(B87="","",IF(Inventory!C95="N","Interior","Exterior"))</f>
        <v/>
      </c>
      <c r="K87" s="298" t="str">
        <f t="shared" si="6"/>
        <v/>
      </c>
      <c r="L87" s="298" t="str">
        <f>IF(B87="", "", Inventory!E95)</f>
        <v/>
      </c>
      <c r="M87" s="298" t="str">
        <f>IF(B87="","",IF(Cool_Type=Lookups!$L$9,Cool_Type,IF(Cool_Type=Lookups!$L$10,Cool_Type,IF(Cool_Type=Lookups!$L$11,Cool_Type,IF(Cool_Type=Lookups!L97,Cool_Type,IF('Project Info and Summary'!$C$20="Electric",CONCATENATE(Cool_Type," ",Heating_Type," Heat"),IF('Project Info and Summary'!$C$20="Non-Electric",CONCATENATE(Cool_Type," ",Heating_Type," Heat"),CONCATENATE(Cool_Type," ",Heating_Type))))))))</f>
        <v/>
      </c>
      <c r="N87" s="298" t="str">
        <f t="shared" si="7"/>
        <v/>
      </c>
      <c r="O87" s="298" t="str">
        <f>IF(B87="", "", 'Lighting Inventory (Ref only)'!G98)</f>
        <v/>
      </c>
      <c r="P87" s="298" t="str">
        <f>IF(B87="", "", 'Lighting Inventory (Ref only)'!E98)</f>
        <v/>
      </c>
      <c r="Q87" s="298" t="str">
        <f>IF(B87="", "", 'Lighting Inventory (Ref only)'!J98)</f>
        <v/>
      </c>
      <c r="R87" s="298" t="str">
        <f>IF(B87="", "",'Lighting Inventory (Ref only)'!K98)</f>
        <v/>
      </c>
      <c r="S87" s="372" t="str">
        <f>IF(B87="", "", 'Lighting Inventory (Ref only)'!G98*'Lighting Inventory (Ref only)'!K98/1000)</f>
        <v/>
      </c>
      <c r="T87" s="298" t="str">
        <f>IF(B87="", "", IF('Lighting Inventory (Ref only)'!I98="", "Light Switch",Inventory!H95))</f>
        <v/>
      </c>
      <c r="U87" s="298" t="str">
        <f>IF(B87="", "", 'Lighting Inventory (Ref only)'!Q98)</f>
        <v/>
      </c>
      <c r="V87" s="298" t="str">
        <f>IF(B87="", "", 'Lighting Inventory (Ref only)'!K98)</f>
        <v/>
      </c>
      <c r="W87" s="373" t="str">
        <f>IF(B87="","",('Lighting Inventory (Ref only)'!L98/1000))</f>
        <v/>
      </c>
      <c r="X87" s="298" t="str">
        <f>IF(B87="", "", 'Lighting Inventory (Ref only)'!Q98)</f>
        <v/>
      </c>
      <c r="Y87" s="298" t="str">
        <f>IF(C87="", "", Inventory!N95)</f>
        <v/>
      </c>
      <c r="Z87" s="374" t="str">
        <f>IF(B87="", "", 'Lighting Inventory (Ref only)'!P98)</f>
        <v/>
      </c>
      <c r="AA87" s="372" t="str">
        <f>IF(B87="", "",'Lighting Inventory (Ref only)'!R98/1000)</f>
        <v/>
      </c>
      <c r="AB87" s="372" t="str">
        <f>IF(B87="", "", Inventory!M95)</f>
        <v/>
      </c>
      <c r="AC87" s="374" t="str">
        <f>IF(B87="", "", 'Lighting Inventory (Ref only)'!T98)</f>
        <v/>
      </c>
      <c r="AD87" s="374" t="str">
        <f>IF(C87="", "", 'Lighting Inventory (Ref only)'!AA98)</f>
        <v/>
      </c>
      <c r="AE87" s="375" t="str">
        <f>IF(B87="", "", 'Lighting Inventory (Ref only)'!U98)</f>
        <v/>
      </c>
      <c r="AF87" s="375" t="str">
        <f>IF(B87="", "",'Lighting Inventory (Ref only)'!W98)</f>
        <v/>
      </c>
      <c r="AG87" s="375" t="str">
        <f>IF(B87="", "", 'Lighting Inventory (Ref only)'!V98)</f>
        <v/>
      </c>
      <c r="AH87" s="375" t="str">
        <f>IF(B87="", "",'Lighting Inventory (Ref only)'!Z98)</f>
        <v/>
      </c>
      <c r="AI87" s="375" t="str">
        <f>IF(B87="", "", 'Lighting Inventory (Ref only)'!Y98)</f>
        <v/>
      </c>
      <c r="AJ87" s="375" t="str">
        <f>IF(C87="", "",'Lighting Inventory (Ref only)'!AB98)</f>
        <v/>
      </c>
      <c r="AK87" s="375" t="str">
        <f>IF(B87="", "", 'Lighting Inventory (Ref only)'!AG98)</f>
        <v/>
      </c>
      <c r="AL87" s="375" t="str">
        <f>IF(B87="", "", 'Lighting Inventory (Ref only)'!AD98)</f>
        <v/>
      </c>
      <c r="AM87" s="375" t="str">
        <f>IF(B87="", "", 'Lighting Inventory (Ref only)'!AE98)</f>
        <v/>
      </c>
      <c r="AN87" s="375" t="str">
        <f>IF(B87="", "", 'Lighting Inventory (Ref only)'!AF98)</f>
        <v/>
      </c>
      <c r="AO87" s="375" t="str">
        <f>IF(B87="", "", 'Lighting Inventory (Ref only)'!AG98)</f>
        <v/>
      </c>
    </row>
    <row r="88" spans="1:41">
      <c r="A88" s="298" t="str">
        <f>IF(G88="", "", Lookups!BF90)</f>
        <v/>
      </c>
      <c r="B88" s="298" t="str">
        <f>IF('Lighting Inventory (Ref only)'!Q99="", "", 'Lighting Inventory (Ref only)'!Q99)</f>
        <v/>
      </c>
      <c r="C88" s="298" t="str">
        <f>IF(A88="", "", 'Lighting Inventory (Ref only)'!AO99)</f>
        <v/>
      </c>
      <c r="D88" s="370" t="str">
        <f>IF(B88= "","", Inventory!S96)</f>
        <v/>
      </c>
      <c r="E88" s="371"/>
      <c r="F88" s="298" t="str">
        <f>IF(B88="", "", 'Version Log'!$B$34)</f>
        <v/>
      </c>
      <c r="G88" s="298" t="str">
        <f t="shared" si="4"/>
        <v/>
      </c>
      <c r="H88" s="298" t="str">
        <f t="shared" si="5"/>
        <v/>
      </c>
      <c r="I88" s="298" t="str">
        <f>IF(B88="", "",Inventory!D96)</f>
        <v/>
      </c>
      <c r="J88" s="298" t="str">
        <f>IF(B88="","",IF(Inventory!C96="N","Interior","Exterior"))</f>
        <v/>
      </c>
      <c r="K88" s="298" t="str">
        <f t="shared" si="6"/>
        <v/>
      </c>
      <c r="L88" s="298" t="str">
        <f>IF(B88="", "", Inventory!E96)</f>
        <v/>
      </c>
      <c r="M88" s="298" t="str">
        <f>IF(B88="","",IF(Cool_Type=Lookups!$L$9,Cool_Type,IF(Cool_Type=Lookups!$L$10,Cool_Type,IF(Cool_Type=Lookups!$L$11,Cool_Type,IF(Cool_Type=Lookups!L98,Cool_Type,IF('Project Info and Summary'!$C$20="Electric",CONCATENATE(Cool_Type," ",Heating_Type," Heat"),IF('Project Info and Summary'!$C$20="Non-Electric",CONCATENATE(Cool_Type," ",Heating_Type," Heat"),CONCATENATE(Cool_Type," ",Heating_Type))))))))</f>
        <v/>
      </c>
      <c r="N88" s="298" t="str">
        <f t="shared" si="7"/>
        <v/>
      </c>
      <c r="O88" s="298" t="str">
        <f>IF(B88="", "", 'Lighting Inventory (Ref only)'!G99)</f>
        <v/>
      </c>
      <c r="P88" s="298" t="str">
        <f>IF(B88="", "", 'Lighting Inventory (Ref only)'!E99)</f>
        <v/>
      </c>
      <c r="Q88" s="298" t="str">
        <f>IF(B88="", "", 'Lighting Inventory (Ref only)'!J99)</f>
        <v/>
      </c>
      <c r="R88" s="298" t="str">
        <f>IF(B88="", "",'Lighting Inventory (Ref only)'!K99)</f>
        <v/>
      </c>
      <c r="S88" s="372" t="str">
        <f>IF(B88="", "", 'Lighting Inventory (Ref only)'!G99*'Lighting Inventory (Ref only)'!K99/1000)</f>
        <v/>
      </c>
      <c r="T88" s="298" t="str">
        <f>IF(B88="", "", IF('Lighting Inventory (Ref only)'!I99="", "Light Switch",Inventory!H96))</f>
        <v/>
      </c>
      <c r="U88" s="298" t="str">
        <f>IF(B88="", "", 'Lighting Inventory (Ref only)'!Q99)</f>
        <v/>
      </c>
      <c r="V88" s="298" t="str">
        <f>IF(B88="", "", 'Lighting Inventory (Ref only)'!K99)</f>
        <v/>
      </c>
      <c r="W88" s="373" t="str">
        <f>IF(B88="","",('Lighting Inventory (Ref only)'!L99/1000))</f>
        <v/>
      </c>
      <c r="X88" s="298" t="str">
        <f>IF(B88="", "", 'Lighting Inventory (Ref only)'!Q99)</f>
        <v/>
      </c>
      <c r="Y88" s="298" t="str">
        <f>IF(C88="", "", Inventory!N96)</f>
        <v/>
      </c>
      <c r="Z88" s="374" t="str">
        <f>IF(B88="", "", 'Lighting Inventory (Ref only)'!P99)</f>
        <v/>
      </c>
      <c r="AA88" s="372" t="str">
        <f>IF(B88="", "",'Lighting Inventory (Ref only)'!R99/1000)</f>
        <v/>
      </c>
      <c r="AB88" s="372" t="str">
        <f>IF(B88="", "", Inventory!M96)</f>
        <v/>
      </c>
      <c r="AC88" s="374" t="str">
        <f>IF(B88="", "", 'Lighting Inventory (Ref only)'!T99)</f>
        <v/>
      </c>
      <c r="AD88" s="374" t="str">
        <f>IF(C88="", "", 'Lighting Inventory (Ref only)'!AA99)</f>
        <v/>
      </c>
      <c r="AE88" s="375" t="str">
        <f>IF(B88="", "", 'Lighting Inventory (Ref only)'!U99)</f>
        <v/>
      </c>
      <c r="AF88" s="375" t="str">
        <f>IF(B88="", "",'Lighting Inventory (Ref only)'!W99)</f>
        <v/>
      </c>
      <c r="AG88" s="375" t="str">
        <f>IF(B88="", "", 'Lighting Inventory (Ref only)'!V99)</f>
        <v/>
      </c>
      <c r="AH88" s="375" t="str">
        <f>IF(B88="", "",'Lighting Inventory (Ref only)'!Z99)</f>
        <v/>
      </c>
      <c r="AI88" s="375" t="str">
        <f>IF(B88="", "", 'Lighting Inventory (Ref only)'!Y99)</f>
        <v/>
      </c>
      <c r="AJ88" s="375" t="str">
        <f>IF(C88="", "",'Lighting Inventory (Ref only)'!AB99)</f>
        <v/>
      </c>
      <c r="AK88" s="375" t="str">
        <f>IF(B88="", "", 'Lighting Inventory (Ref only)'!AG99)</f>
        <v/>
      </c>
      <c r="AL88" s="375" t="str">
        <f>IF(B88="", "", 'Lighting Inventory (Ref only)'!AD99)</f>
        <v/>
      </c>
      <c r="AM88" s="375" t="str">
        <f>IF(B88="", "", 'Lighting Inventory (Ref only)'!AE99)</f>
        <v/>
      </c>
      <c r="AN88" s="375" t="str">
        <f>IF(B88="", "", 'Lighting Inventory (Ref only)'!AF99)</f>
        <v/>
      </c>
      <c r="AO88" s="375" t="str">
        <f>IF(B88="", "", 'Lighting Inventory (Ref only)'!AG99)</f>
        <v/>
      </c>
    </row>
    <row r="89" spans="1:41">
      <c r="A89" s="298" t="str">
        <f>IF(G89="", "", Lookups!BF91)</f>
        <v/>
      </c>
      <c r="B89" s="298" t="str">
        <f>IF('Lighting Inventory (Ref only)'!Q100="", "", 'Lighting Inventory (Ref only)'!Q100)</f>
        <v/>
      </c>
      <c r="C89" s="298" t="str">
        <f>IF(A89="", "", 'Lighting Inventory (Ref only)'!AO100)</f>
        <v/>
      </c>
      <c r="D89" s="370" t="str">
        <f>IF(B89= "","", Inventory!S97)</f>
        <v/>
      </c>
      <c r="E89" s="371"/>
      <c r="F89" s="298" t="str">
        <f>IF(B89="", "", 'Version Log'!$B$34)</f>
        <v/>
      </c>
      <c r="G89" s="298" t="str">
        <f t="shared" si="4"/>
        <v/>
      </c>
      <c r="H89" s="298" t="str">
        <f t="shared" si="5"/>
        <v/>
      </c>
      <c r="I89" s="298" t="str">
        <f>IF(B89="", "",Inventory!D97)</f>
        <v/>
      </c>
      <c r="J89" s="298" t="str">
        <f>IF(B89="","",IF(Inventory!C97="N","Interior","Exterior"))</f>
        <v/>
      </c>
      <c r="K89" s="298" t="str">
        <f t="shared" si="6"/>
        <v/>
      </c>
      <c r="L89" s="298" t="str">
        <f>IF(B89="", "", Inventory!E97)</f>
        <v/>
      </c>
      <c r="M89" s="298" t="str">
        <f>IF(B89="","",IF(Cool_Type=Lookups!$L$9,Cool_Type,IF(Cool_Type=Lookups!$L$10,Cool_Type,IF(Cool_Type=Lookups!$L$11,Cool_Type,IF(Cool_Type=Lookups!L99,Cool_Type,IF('Project Info and Summary'!$C$20="Electric",CONCATENATE(Cool_Type," ",Heating_Type," Heat"),IF('Project Info and Summary'!$C$20="Non-Electric",CONCATENATE(Cool_Type," ",Heating_Type," Heat"),CONCATENATE(Cool_Type," ",Heating_Type))))))))</f>
        <v/>
      </c>
      <c r="N89" s="298" t="str">
        <f t="shared" si="7"/>
        <v/>
      </c>
      <c r="O89" s="298" t="str">
        <f>IF(B89="", "", 'Lighting Inventory (Ref only)'!G100)</f>
        <v/>
      </c>
      <c r="P89" s="298" t="str">
        <f>IF(B89="", "", 'Lighting Inventory (Ref only)'!E100)</f>
        <v/>
      </c>
      <c r="Q89" s="298" t="str">
        <f>IF(B89="", "", 'Lighting Inventory (Ref only)'!J100)</f>
        <v/>
      </c>
      <c r="R89" s="298" t="str">
        <f>IF(B89="", "",'Lighting Inventory (Ref only)'!K100)</f>
        <v/>
      </c>
      <c r="S89" s="372" t="str">
        <f>IF(B89="", "", 'Lighting Inventory (Ref only)'!G100*'Lighting Inventory (Ref only)'!K100/1000)</f>
        <v/>
      </c>
      <c r="T89" s="298" t="str">
        <f>IF(B89="", "", IF('Lighting Inventory (Ref only)'!I100="", "Light Switch",Inventory!H97))</f>
        <v/>
      </c>
      <c r="U89" s="298" t="str">
        <f>IF(B89="", "", 'Lighting Inventory (Ref only)'!Q100)</f>
        <v/>
      </c>
      <c r="V89" s="298" t="str">
        <f>IF(B89="", "", 'Lighting Inventory (Ref only)'!K100)</f>
        <v/>
      </c>
      <c r="W89" s="373" t="str">
        <f>IF(B89="","",('Lighting Inventory (Ref only)'!L100/1000))</f>
        <v/>
      </c>
      <c r="X89" s="298" t="str">
        <f>IF(B89="", "", 'Lighting Inventory (Ref only)'!Q100)</f>
        <v/>
      </c>
      <c r="Y89" s="298" t="str">
        <f>IF(C89="", "", Inventory!N97)</f>
        <v/>
      </c>
      <c r="Z89" s="374" t="str">
        <f>IF(B89="", "", 'Lighting Inventory (Ref only)'!P100)</f>
        <v/>
      </c>
      <c r="AA89" s="372" t="str">
        <f>IF(B89="", "",'Lighting Inventory (Ref only)'!R100/1000)</f>
        <v/>
      </c>
      <c r="AB89" s="372" t="str">
        <f>IF(B89="", "", Inventory!M97)</f>
        <v/>
      </c>
      <c r="AC89" s="374" t="str">
        <f>IF(B89="", "", 'Lighting Inventory (Ref only)'!T100)</f>
        <v/>
      </c>
      <c r="AD89" s="374" t="str">
        <f>IF(C89="", "", 'Lighting Inventory (Ref only)'!AA100)</f>
        <v/>
      </c>
      <c r="AE89" s="375" t="str">
        <f>IF(B89="", "", 'Lighting Inventory (Ref only)'!U100)</f>
        <v/>
      </c>
      <c r="AF89" s="375" t="str">
        <f>IF(B89="", "",'Lighting Inventory (Ref only)'!W100)</f>
        <v/>
      </c>
      <c r="AG89" s="375" t="str">
        <f>IF(B89="", "", 'Lighting Inventory (Ref only)'!V100)</f>
        <v/>
      </c>
      <c r="AH89" s="375" t="str">
        <f>IF(B89="", "",'Lighting Inventory (Ref only)'!Z100)</f>
        <v/>
      </c>
      <c r="AI89" s="375" t="str">
        <f>IF(B89="", "", 'Lighting Inventory (Ref only)'!Y100)</f>
        <v/>
      </c>
      <c r="AJ89" s="375" t="str">
        <f>IF(C89="", "",'Lighting Inventory (Ref only)'!AB100)</f>
        <v/>
      </c>
      <c r="AK89" s="375" t="str">
        <f>IF(B89="", "", 'Lighting Inventory (Ref only)'!AG100)</f>
        <v/>
      </c>
      <c r="AL89" s="375" t="str">
        <f>IF(B89="", "", 'Lighting Inventory (Ref only)'!AD100)</f>
        <v/>
      </c>
      <c r="AM89" s="375" t="str">
        <f>IF(B89="", "", 'Lighting Inventory (Ref only)'!AE100)</f>
        <v/>
      </c>
      <c r="AN89" s="375" t="str">
        <f>IF(B89="", "", 'Lighting Inventory (Ref only)'!AF100)</f>
        <v/>
      </c>
      <c r="AO89" s="375" t="str">
        <f>IF(B89="", "", 'Lighting Inventory (Ref only)'!AG100)</f>
        <v/>
      </c>
    </row>
    <row r="90" spans="1:41">
      <c r="A90" s="298" t="str">
        <f>IF(G90="", "", Lookups!BF92)</f>
        <v/>
      </c>
      <c r="B90" s="298" t="str">
        <f>IF('Lighting Inventory (Ref only)'!Q101="", "", 'Lighting Inventory (Ref only)'!Q101)</f>
        <v/>
      </c>
      <c r="C90" s="298" t="str">
        <f>IF(A90="", "", 'Lighting Inventory (Ref only)'!AO101)</f>
        <v/>
      </c>
      <c r="D90" s="370" t="str">
        <f>IF(B90= "","", Inventory!S98)</f>
        <v/>
      </c>
      <c r="E90" s="371"/>
      <c r="F90" s="298" t="str">
        <f>IF(B90="", "", 'Version Log'!$B$34)</f>
        <v/>
      </c>
      <c r="G90" s="298" t="str">
        <f t="shared" si="4"/>
        <v/>
      </c>
      <c r="H90" s="298" t="str">
        <f t="shared" si="5"/>
        <v/>
      </c>
      <c r="I90" s="298" t="str">
        <f>IF(B90="", "",Inventory!D98)</f>
        <v/>
      </c>
      <c r="J90" s="298" t="str">
        <f>IF(B90="","",IF(Inventory!C98="N","Interior","Exterior"))</f>
        <v/>
      </c>
      <c r="K90" s="298" t="str">
        <f t="shared" si="6"/>
        <v/>
      </c>
      <c r="L90" s="298" t="str">
        <f>IF(B90="", "", Inventory!E98)</f>
        <v/>
      </c>
      <c r="M90" s="298" t="str">
        <f>IF(B90="","",IF(Cool_Type=Lookups!$L$9,Cool_Type,IF(Cool_Type=Lookups!$L$10,Cool_Type,IF(Cool_Type=Lookups!$L$11,Cool_Type,IF(Cool_Type=Lookups!L100,Cool_Type,IF('Project Info and Summary'!$C$20="Electric",CONCATENATE(Cool_Type," ",Heating_Type," Heat"),IF('Project Info and Summary'!$C$20="Non-Electric",CONCATENATE(Cool_Type," ",Heating_Type," Heat"),CONCATENATE(Cool_Type," ",Heating_Type))))))))</f>
        <v/>
      </c>
      <c r="N90" s="298" t="str">
        <f t="shared" si="7"/>
        <v/>
      </c>
      <c r="O90" s="298" t="str">
        <f>IF(B90="", "", 'Lighting Inventory (Ref only)'!G101)</f>
        <v/>
      </c>
      <c r="P90" s="298" t="str">
        <f>IF(B90="", "", 'Lighting Inventory (Ref only)'!E101)</f>
        <v/>
      </c>
      <c r="Q90" s="298" t="str">
        <f>IF(B90="", "", 'Lighting Inventory (Ref only)'!J101)</f>
        <v/>
      </c>
      <c r="R90" s="298" t="str">
        <f>IF(B90="", "",'Lighting Inventory (Ref only)'!K101)</f>
        <v/>
      </c>
      <c r="S90" s="372" t="str">
        <f>IF(B90="", "", 'Lighting Inventory (Ref only)'!G101*'Lighting Inventory (Ref only)'!K101/1000)</f>
        <v/>
      </c>
      <c r="T90" s="298" t="str">
        <f>IF(B90="", "", IF('Lighting Inventory (Ref only)'!I101="", "Light Switch",Inventory!H98))</f>
        <v/>
      </c>
      <c r="U90" s="298" t="str">
        <f>IF(B90="", "", 'Lighting Inventory (Ref only)'!Q101)</f>
        <v/>
      </c>
      <c r="V90" s="298" t="str">
        <f>IF(B90="", "", 'Lighting Inventory (Ref only)'!K101)</f>
        <v/>
      </c>
      <c r="W90" s="373" t="str">
        <f>IF(B90="","",('Lighting Inventory (Ref only)'!L101/1000))</f>
        <v/>
      </c>
      <c r="X90" s="298" t="str">
        <f>IF(B90="", "", 'Lighting Inventory (Ref only)'!Q101)</f>
        <v/>
      </c>
      <c r="Y90" s="298" t="str">
        <f>IF(C90="", "", Inventory!N98)</f>
        <v/>
      </c>
      <c r="Z90" s="374" t="str">
        <f>IF(B90="", "", 'Lighting Inventory (Ref only)'!P101)</f>
        <v/>
      </c>
      <c r="AA90" s="372" t="str">
        <f>IF(B90="", "",'Lighting Inventory (Ref only)'!R101/1000)</f>
        <v/>
      </c>
      <c r="AB90" s="372" t="str">
        <f>IF(B90="", "", Inventory!M98)</f>
        <v/>
      </c>
      <c r="AC90" s="374" t="str">
        <f>IF(B90="", "", 'Lighting Inventory (Ref only)'!T101)</f>
        <v/>
      </c>
      <c r="AD90" s="374" t="str">
        <f>IF(C90="", "", 'Lighting Inventory (Ref only)'!AA101)</f>
        <v/>
      </c>
      <c r="AE90" s="375" t="str">
        <f>IF(B90="", "", 'Lighting Inventory (Ref only)'!U101)</f>
        <v/>
      </c>
      <c r="AF90" s="375" t="str">
        <f>IF(B90="", "",'Lighting Inventory (Ref only)'!W101)</f>
        <v/>
      </c>
      <c r="AG90" s="375" t="str">
        <f>IF(B90="", "", 'Lighting Inventory (Ref only)'!V101)</f>
        <v/>
      </c>
      <c r="AH90" s="375" t="str">
        <f>IF(B90="", "",'Lighting Inventory (Ref only)'!Z101)</f>
        <v/>
      </c>
      <c r="AI90" s="375" t="str">
        <f>IF(B90="", "", 'Lighting Inventory (Ref only)'!Y101)</f>
        <v/>
      </c>
      <c r="AJ90" s="375" t="str">
        <f>IF(C90="", "",'Lighting Inventory (Ref only)'!AB101)</f>
        <v/>
      </c>
      <c r="AK90" s="375" t="str">
        <f>IF(B90="", "", 'Lighting Inventory (Ref only)'!AG101)</f>
        <v/>
      </c>
      <c r="AL90" s="375" t="str">
        <f>IF(B90="", "", 'Lighting Inventory (Ref only)'!AD101)</f>
        <v/>
      </c>
      <c r="AM90" s="375" t="str">
        <f>IF(B90="", "", 'Lighting Inventory (Ref only)'!AE101)</f>
        <v/>
      </c>
      <c r="AN90" s="375" t="str">
        <f>IF(B90="", "", 'Lighting Inventory (Ref only)'!AF101)</f>
        <v/>
      </c>
      <c r="AO90" s="375" t="str">
        <f>IF(B90="", "", 'Lighting Inventory (Ref only)'!AG101)</f>
        <v/>
      </c>
    </row>
    <row r="91" spans="1:41">
      <c r="A91" s="298" t="str">
        <f>IF(G91="", "", Lookups!BF93)</f>
        <v/>
      </c>
      <c r="B91" s="298" t="str">
        <f>IF('Lighting Inventory (Ref only)'!Q102="", "", 'Lighting Inventory (Ref only)'!Q102)</f>
        <v/>
      </c>
      <c r="C91" s="298" t="str">
        <f>IF(A91="", "", 'Lighting Inventory (Ref only)'!AO102)</f>
        <v/>
      </c>
      <c r="D91" s="370" t="str">
        <f>IF(B91= "","", Inventory!S99)</f>
        <v/>
      </c>
      <c r="E91" s="371"/>
      <c r="F91" s="298" t="str">
        <f>IF(B91="", "", 'Version Log'!$B$34)</f>
        <v/>
      </c>
      <c r="G91" s="298" t="str">
        <f t="shared" si="4"/>
        <v/>
      </c>
      <c r="H91" s="298" t="str">
        <f t="shared" si="5"/>
        <v/>
      </c>
      <c r="I91" s="298" t="str">
        <f>IF(B91="", "",Inventory!D99)</f>
        <v/>
      </c>
      <c r="J91" s="298" t="str">
        <f>IF(B91="","",IF(Inventory!C99="N","Interior","Exterior"))</f>
        <v/>
      </c>
      <c r="K91" s="298" t="str">
        <f t="shared" si="6"/>
        <v/>
      </c>
      <c r="L91" s="298" t="str">
        <f>IF(B91="", "", Inventory!E99)</f>
        <v/>
      </c>
      <c r="M91" s="298" t="str">
        <f>IF(B91="","",IF(Cool_Type=Lookups!$L$9,Cool_Type,IF(Cool_Type=Lookups!$L$10,Cool_Type,IF(Cool_Type=Lookups!$L$11,Cool_Type,IF(Cool_Type=Lookups!L101,Cool_Type,IF('Project Info and Summary'!$C$20="Electric",CONCATENATE(Cool_Type," ",Heating_Type," Heat"),IF('Project Info and Summary'!$C$20="Non-Electric",CONCATENATE(Cool_Type," ",Heating_Type," Heat"),CONCATENATE(Cool_Type," ",Heating_Type))))))))</f>
        <v/>
      </c>
      <c r="N91" s="298" t="str">
        <f t="shared" si="7"/>
        <v/>
      </c>
      <c r="O91" s="298" t="str">
        <f>IF(B91="", "", 'Lighting Inventory (Ref only)'!G102)</f>
        <v/>
      </c>
      <c r="P91" s="298" t="str">
        <f>IF(B91="", "", 'Lighting Inventory (Ref only)'!E102)</f>
        <v/>
      </c>
      <c r="Q91" s="298" t="str">
        <f>IF(B91="", "", 'Lighting Inventory (Ref only)'!J102)</f>
        <v/>
      </c>
      <c r="R91" s="298" t="str">
        <f>IF(B91="", "",'Lighting Inventory (Ref only)'!K102)</f>
        <v/>
      </c>
      <c r="S91" s="372" t="str">
        <f>IF(B91="", "", 'Lighting Inventory (Ref only)'!G102*'Lighting Inventory (Ref only)'!K102/1000)</f>
        <v/>
      </c>
      <c r="T91" s="298" t="str">
        <f>IF(B91="", "", IF('Lighting Inventory (Ref only)'!I102="", "Light Switch",Inventory!H99))</f>
        <v/>
      </c>
      <c r="U91" s="298" t="str">
        <f>IF(B91="", "", 'Lighting Inventory (Ref only)'!Q102)</f>
        <v/>
      </c>
      <c r="V91" s="298" t="str">
        <f>IF(B91="", "", 'Lighting Inventory (Ref only)'!K102)</f>
        <v/>
      </c>
      <c r="W91" s="373" t="str">
        <f>IF(B91="","",('Lighting Inventory (Ref only)'!L102/1000))</f>
        <v/>
      </c>
      <c r="X91" s="298" t="str">
        <f>IF(B91="", "", 'Lighting Inventory (Ref only)'!Q102)</f>
        <v/>
      </c>
      <c r="Y91" s="298" t="str">
        <f>IF(C91="", "", Inventory!N99)</f>
        <v/>
      </c>
      <c r="Z91" s="374" t="str">
        <f>IF(B91="", "", 'Lighting Inventory (Ref only)'!P102)</f>
        <v/>
      </c>
      <c r="AA91" s="372" t="str">
        <f>IF(B91="", "",'Lighting Inventory (Ref only)'!R102/1000)</f>
        <v/>
      </c>
      <c r="AB91" s="372" t="str">
        <f>IF(B91="", "", Inventory!M99)</f>
        <v/>
      </c>
      <c r="AC91" s="374" t="str">
        <f>IF(B91="", "", 'Lighting Inventory (Ref only)'!T102)</f>
        <v/>
      </c>
      <c r="AD91" s="374" t="str">
        <f>IF(C91="", "", 'Lighting Inventory (Ref only)'!AA102)</f>
        <v/>
      </c>
      <c r="AE91" s="375" t="str">
        <f>IF(B91="", "", 'Lighting Inventory (Ref only)'!U102)</f>
        <v/>
      </c>
      <c r="AF91" s="375" t="str">
        <f>IF(B91="", "",'Lighting Inventory (Ref only)'!W102)</f>
        <v/>
      </c>
      <c r="AG91" s="375" t="str">
        <f>IF(B91="", "", 'Lighting Inventory (Ref only)'!V102)</f>
        <v/>
      </c>
      <c r="AH91" s="375" t="str">
        <f>IF(B91="", "",'Lighting Inventory (Ref only)'!Z102)</f>
        <v/>
      </c>
      <c r="AI91" s="375" t="str">
        <f>IF(B91="", "", 'Lighting Inventory (Ref only)'!Y102)</f>
        <v/>
      </c>
      <c r="AJ91" s="375" t="str">
        <f>IF(C91="", "",'Lighting Inventory (Ref only)'!AB102)</f>
        <v/>
      </c>
      <c r="AK91" s="375" t="str">
        <f>IF(B91="", "", 'Lighting Inventory (Ref only)'!AG102)</f>
        <v/>
      </c>
      <c r="AL91" s="375" t="str">
        <f>IF(B91="", "", 'Lighting Inventory (Ref only)'!AD102)</f>
        <v/>
      </c>
      <c r="AM91" s="375" t="str">
        <f>IF(B91="", "", 'Lighting Inventory (Ref only)'!AE102)</f>
        <v/>
      </c>
      <c r="AN91" s="375" t="str">
        <f>IF(B91="", "", 'Lighting Inventory (Ref only)'!AF102)</f>
        <v/>
      </c>
      <c r="AO91" s="375" t="str">
        <f>IF(B91="", "", 'Lighting Inventory (Ref only)'!AG102)</f>
        <v/>
      </c>
    </row>
    <row r="92" spans="1:41">
      <c r="A92" s="298" t="str">
        <f>IF(G92="", "", Lookups!BF94)</f>
        <v/>
      </c>
      <c r="B92" s="298" t="str">
        <f>IF('Lighting Inventory (Ref only)'!Q103="", "", 'Lighting Inventory (Ref only)'!Q103)</f>
        <v/>
      </c>
      <c r="C92" s="298" t="str">
        <f>IF(A92="", "", 'Lighting Inventory (Ref only)'!AO103)</f>
        <v/>
      </c>
      <c r="D92" s="370" t="str">
        <f>IF(B92= "","", Inventory!S100)</f>
        <v/>
      </c>
      <c r="E92" s="371"/>
      <c r="F92" s="298" t="str">
        <f>IF(B92="", "", 'Version Log'!$B$34)</f>
        <v/>
      </c>
      <c r="G92" s="298" t="str">
        <f t="shared" si="4"/>
        <v/>
      </c>
      <c r="H92" s="298" t="str">
        <f t="shared" si="5"/>
        <v/>
      </c>
      <c r="I92" s="298" t="str">
        <f>IF(B92="", "",Inventory!D100)</f>
        <v/>
      </c>
      <c r="J92" s="298" t="str">
        <f>IF(B92="","",IF(Inventory!C100="N","Interior","Exterior"))</f>
        <v/>
      </c>
      <c r="K92" s="298" t="str">
        <f t="shared" si="6"/>
        <v/>
      </c>
      <c r="L92" s="298" t="str">
        <f>IF(B92="", "", Inventory!E100)</f>
        <v/>
      </c>
      <c r="M92" s="298" t="str">
        <f>IF(B92="","",IF(Cool_Type=Lookups!$L$9,Cool_Type,IF(Cool_Type=Lookups!$L$10,Cool_Type,IF(Cool_Type=Lookups!$L$11,Cool_Type,IF(Cool_Type=Lookups!L102,Cool_Type,IF('Project Info and Summary'!$C$20="Electric",CONCATENATE(Cool_Type," ",Heating_Type," Heat"),IF('Project Info and Summary'!$C$20="Non-Electric",CONCATENATE(Cool_Type," ",Heating_Type," Heat"),CONCATENATE(Cool_Type," ",Heating_Type))))))))</f>
        <v/>
      </c>
      <c r="N92" s="298" t="str">
        <f t="shared" si="7"/>
        <v/>
      </c>
      <c r="O92" s="298" t="str">
        <f>IF(B92="", "", 'Lighting Inventory (Ref only)'!G103)</f>
        <v/>
      </c>
      <c r="P92" s="298" t="str">
        <f>IF(B92="", "", 'Lighting Inventory (Ref only)'!E103)</f>
        <v/>
      </c>
      <c r="Q92" s="298" t="str">
        <f>IF(B92="", "", 'Lighting Inventory (Ref only)'!J103)</f>
        <v/>
      </c>
      <c r="R92" s="298" t="str">
        <f>IF(B92="", "",'Lighting Inventory (Ref only)'!K103)</f>
        <v/>
      </c>
      <c r="S92" s="372" t="str">
        <f>IF(B92="", "", 'Lighting Inventory (Ref only)'!G103*'Lighting Inventory (Ref only)'!K103/1000)</f>
        <v/>
      </c>
      <c r="T92" s="298" t="str">
        <f>IF(B92="", "", IF('Lighting Inventory (Ref only)'!I103="", "Light Switch",Inventory!H100))</f>
        <v/>
      </c>
      <c r="U92" s="298" t="str">
        <f>IF(B92="", "", 'Lighting Inventory (Ref only)'!Q103)</f>
        <v/>
      </c>
      <c r="V92" s="298" t="str">
        <f>IF(B92="", "", 'Lighting Inventory (Ref only)'!K103)</f>
        <v/>
      </c>
      <c r="W92" s="373" t="str">
        <f>IF(B92="","",('Lighting Inventory (Ref only)'!L103/1000))</f>
        <v/>
      </c>
      <c r="X92" s="298" t="str">
        <f>IF(B92="", "", 'Lighting Inventory (Ref only)'!Q103)</f>
        <v/>
      </c>
      <c r="Y92" s="298" t="str">
        <f>IF(C92="", "", Inventory!N100)</f>
        <v/>
      </c>
      <c r="Z92" s="374" t="str">
        <f>IF(B92="", "", 'Lighting Inventory (Ref only)'!P103)</f>
        <v/>
      </c>
      <c r="AA92" s="372" t="str">
        <f>IF(B92="", "",'Lighting Inventory (Ref only)'!R103/1000)</f>
        <v/>
      </c>
      <c r="AB92" s="372" t="str">
        <f>IF(B92="", "", Inventory!M100)</f>
        <v/>
      </c>
      <c r="AC92" s="374" t="str">
        <f>IF(B92="", "", 'Lighting Inventory (Ref only)'!T103)</f>
        <v/>
      </c>
      <c r="AD92" s="374" t="str">
        <f>IF(C92="", "", 'Lighting Inventory (Ref only)'!AA103)</f>
        <v/>
      </c>
      <c r="AE92" s="375" t="str">
        <f>IF(B92="", "", 'Lighting Inventory (Ref only)'!U103)</f>
        <v/>
      </c>
      <c r="AF92" s="375" t="str">
        <f>IF(B92="", "",'Lighting Inventory (Ref only)'!W103)</f>
        <v/>
      </c>
      <c r="AG92" s="375" t="str">
        <f>IF(B92="", "", 'Lighting Inventory (Ref only)'!V103)</f>
        <v/>
      </c>
      <c r="AH92" s="375" t="str">
        <f>IF(B92="", "",'Lighting Inventory (Ref only)'!Z103)</f>
        <v/>
      </c>
      <c r="AI92" s="375" t="str">
        <f>IF(B92="", "", 'Lighting Inventory (Ref only)'!Y103)</f>
        <v/>
      </c>
      <c r="AJ92" s="375" t="str">
        <f>IF(C92="", "",'Lighting Inventory (Ref only)'!AB103)</f>
        <v/>
      </c>
      <c r="AK92" s="375" t="str">
        <f>IF(B92="", "", 'Lighting Inventory (Ref only)'!AG103)</f>
        <v/>
      </c>
      <c r="AL92" s="375" t="str">
        <f>IF(B92="", "", 'Lighting Inventory (Ref only)'!AD103)</f>
        <v/>
      </c>
      <c r="AM92" s="375" t="str">
        <f>IF(B92="", "", 'Lighting Inventory (Ref only)'!AE103)</f>
        <v/>
      </c>
      <c r="AN92" s="375" t="str">
        <f>IF(B92="", "", 'Lighting Inventory (Ref only)'!AF103)</f>
        <v/>
      </c>
      <c r="AO92" s="375" t="str">
        <f>IF(B92="", "", 'Lighting Inventory (Ref only)'!AG103)</f>
        <v/>
      </c>
    </row>
    <row r="93" spans="1:41">
      <c r="A93" s="298" t="str">
        <f>IF(G93="", "", Lookups!BF95)</f>
        <v/>
      </c>
      <c r="B93" s="298" t="str">
        <f>IF('Lighting Inventory (Ref only)'!Q104="", "", 'Lighting Inventory (Ref only)'!Q104)</f>
        <v/>
      </c>
      <c r="C93" s="298" t="str">
        <f>IF(A93="", "", 'Lighting Inventory (Ref only)'!AO104)</f>
        <v/>
      </c>
      <c r="D93" s="370" t="str">
        <f>IF(B93= "","", Inventory!S101)</f>
        <v/>
      </c>
      <c r="E93" s="371"/>
      <c r="F93" s="298" t="str">
        <f>IF(B93="", "", 'Version Log'!$B$34)</f>
        <v/>
      </c>
      <c r="G93" s="298" t="str">
        <f t="shared" si="4"/>
        <v/>
      </c>
      <c r="H93" s="298" t="str">
        <f t="shared" si="5"/>
        <v/>
      </c>
      <c r="I93" s="298" t="str">
        <f>IF(B93="", "",Inventory!D101)</f>
        <v/>
      </c>
      <c r="J93" s="298" t="str">
        <f>IF(B93="","",IF(Inventory!C101="N","Interior","Exterior"))</f>
        <v/>
      </c>
      <c r="K93" s="298" t="str">
        <f t="shared" si="6"/>
        <v/>
      </c>
      <c r="L93" s="298" t="str">
        <f>IF(B93="", "", Inventory!E101)</f>
        <v/>
      </c>
      <c r="M93" s="298" t="str">
        <f>IF(B93="","",IF(Cool_Type=Lookups!$L$9,Cool_Type,IF(Cool_Type=Lookups!$L$10,Cool_Type,IF(Cool_Type=Lookups!$L$11,Cool_Type,IF(Cool_Type=Lookups!L103,Cool_Type,IF('Project Info and Summary'!$C$20="Electric",CONCATENATE(Cool_Type," ",Heating_Type," Heat"),IF('Project Info and Summary'!$C$20="Non-Electric",CONCATENATE(Cool_Type," ",Heating_Type," Heat"),CONCATENATE(Cool_Type," ",Heating_Type))))))))</f>
        <v/>
      </c>
      <c r="N93" s="298" t="str">
        <f t="shared" si="7"/>
        <v/>
      </c>
      <c r="O93" s="298" t="str">
        <f>IF(B93="", "", 'Lighting Inventory (Ref only)'!G104)</f>
        <v/>
      </c>
      <c r="P93" s="298" t="str">
        <f>IF(B93="", "", 'Lighting Inventory (Ref only)'!E104)</f>
        <v/>
      </c>
      <c r="Q93" s="298" t="str">
        <f>IF(B93="", "", 'Lighting Inventory (Ref only)'!J104)</f>
        <v/>
      </c>
      <c r="R93" s="298" t="str">
        <f>IF(B93="", "",'Lighting Inventory (Ref only)'!K104)</f>
        <v/>
      </c>
      <c r="S93" s="372" t="str">
        <f>IF(B93="", "", 'Lighting Inventory (Ref only)'!G104*'Lighting Inventory (Ref only)'!K104/1000)</f>
        <v/>
      </c>
      <c r="T93" s="298" t="str">
        <f>IF(B93="", "", IF('Lighting Inventory (Ref only)'!I104="", "Light Switch",Inventory!H101))</f>
        <v/>
      </c>
      <c r="U93" s="298" t="str">
        <f>IF(B93="", "", 'Lighting Inventory (Ref only)'!Q104)</f>
        <v/>
      </c>
      <c r="V93" s="298" t="str">
        <f>IF(B93="", "", 'Lighting Inventory (Ref only)'!K104)</f>
        <v/>
      </c>
      <c r="W93" s="373" t="str">
        <f>IF(B93="","",('Lighting Inventory (Ref only)'!L104/1000))</f>
        <v/>
      </c>
      <c r="X93" s="298" t="str">
        <f>IF(B93="", "", 'Lighting Inventory (Ref only)'!Q104)</f>
        <v/>
      </c>
      <c r="Y93" s="298" t="str">
        <f>IF(C93="", "", Inventory!N101)</f>
        <v/>
      </c>
      <c r="Z93" s="374" t="str">
        <f>IF(B93="", "", 'Lighting Inventory (Ref only)'!P104)</f>
        <v/>
      </c>
      <c r="AA93" s="372" t="str">
        <f>IF(B93="", "",'Lighting Inventory (Ref only)'!R104/1000)</f>
        <v/>
      </c>
      <c r="AB93" s="372" t="str">
        <f>IF(B93="", "", Inventory!M101)</f>
        <v/>
      </c>
      <c r="AC93" s="374" t="str">
        <f>IF(B93="", "", 'Lighting Inventory (Ref only)'!T104)</f>
        <v/>
      </c>
      <c r="AD93" s="374" t="str">
        <f>IF(C93="", "", 'Lighting Inventory (Ref only)'!AA104)</f>
        <v/>
      </c>
      <c r="AE93" s="375" t="str">
        <f>IF(B93="", "", 'Lighting Inventory (Ref only)'!U104)</f>
        <v/>
      </c>
      <c r="AF93" s="375" t="str">
        <f>IF(B93="", "",'Lighting Inventory (Ref only)'!W104)</f>
        <v/>
      </c>
      <c r="AG93" s="375" t="str">
        <f>IF(B93="", "", 'Lighting Inventory (Ref only)'!V104)</f>
        <v/>
      </c>
      <c r="AH93" s="375" t="str">
        <f>IF(B93="", "",'Lighting Inventory (Ref only)'!Z104)</f>
        <v/>
      </c>
      <c r="AI93" s="375" t="str">
        <f>IF(B93="", "", 'Lighting Inventory (Ref only)'!Y104)</f>
        <v/>
      </c>
      <c r="AJ93" s="375" t="str">
        <f>IF(C93="", "",'Lighting Inventory (Ref only)'!AB104)</f>
        <v/>
      </c>
      <c r="AK93" s="375" t="str">
        <f>IF(B93="", "", 'Lighting Inventory (Ref only)'!AG104)</f>
        <v/>
      </c>
      <c r="AL93" s="375" t="str">
        <f>IF(B93="", "", 'Lighting Inventory (Ref only)'!AD104)</f>
        <v/>
      </c>
      <c r="AM93" s="375" t="str">
        <f>IF(B93="", "", 'Lighting Inventory (Ref only)'!AE104)</f>
        <v/>
      </c>
      <c r="AN93" s="375" t="str">
        <f>IF(B93="", "", 'Lighting Inventory (Ref only)'!AF104)</f>
        <v/>
      </c>
      <c r="AO93" s="375" t="str">
        <f>IF(B93="", "", 'Lighting Inventory (Ref only)'!AG104)</f>
        <v/>
      </c>
    </row>
    <row r="94" spans="1:41">
      <c r="A94" s="298" t="str">
        <f>IF(G94="", "", Lookups!BF96)</f>
        <v/>
      </c>
      <c r="B94" s="298" t="str">
        <f>IF('Lighting Inventory (Ref only)'!Q105="", "", 'Lighting Inventory (Ref only)'!Q105)</f>
        <v/>
      </c>
      <c r="C94" s="298" t="str">
        <f>IF(A94="", "", 'Lighting Inventory (Ref only)'!AO105)</f>
        <v/>
      </c>
      <c r="D94" s="370" t="str">
        <f>IF(B94= "","", Inventory!S102)</f>
        <v/>
      </c>
      <c r="E94" s="371"/>
      <c r="F94" s="298" t="str">
        <f>IF(B94="", "", 'Version Log'!$B$34)</f>
        <v/>
      </c>
      <c r="G94" s="298" t="str">
        <f t="shared" si="4"/>
        <v/>
      </c>
      <c r="H94" s="298" t="str">
        <f t="shared" si="5"/>
        <v/>
      </c>
      <c r="I94" s="298" t="str">
        <f>IF(B94="", "",Inventory!D102)</f>
        <v/>
      </c>
      <c r="J94" s="298" t="str">
        <f>IF(B94="","",IF(Inventory!C102="N","Interior","Exterior"))</f>
        <v/>
      </c>
      <c r="K94" s="298" t="str">
        <f t="shared" si="6"/>
        <v/>
      </c>
      <c r="L94" s="298" t="str">
        <f>IF(B94="", "", Inventory!E102)</f>
        <v/>
      </c>
      <c r="M94" s="298" t="str">
        <f>IF(B94="","",IF(Cool_Type=Lookups!$L$9,Cool_Type,IF(Cool_Type=Lookups!$L$10,Cool_Type,IF(Cool_Type=Lookups!$L$11,Cool_Type,IF(Cool_Type=Lookups!L104,Cool_Type,IF('Project Info and Summary'!$C$20="Electric",CONCATENATE(Cool_Type," ",Heating_Type," Heat"),IF('Project Info and Summary'!$C$20="Non-Electric",CONCATENATE(Cool_Type," ",Heating_Type," Heat"),CONCATENATE(Cool_Type," ",Heating_Type))))))))</f>
        <v/>
      </c>
      <c r="N94" s="298" t="str">
        <f t="shared" si="7"/>
        <v/>
      </c>
      <c r="O94" s="298" t="str">
        <f>IF(B94="", "", 'Lighting Inventory (Ref only)'!G105)</f>
        <v/>
      </c>
      <c r="P94" s="298" t="str">
        <f>IF(B94="", "", 'Lighting Inventory (Ref only)'!E105)</f>
        <v/>
      </c>
      <c r="Q94" s="298" t="str">
        <f>IF(B94="", "", 'Lighting Inventory (Ref only)'!J105)</f>
        <v/>
      </c>
      <c r="R94" s="298" t="str">
        <f>IF(B94="", "",'Lighting Inventory (Ref only)'!K105)</f>
        <v/>
      </c>
      <c r="S94" s="372" t="str">
        <f>IF(B94="", "", 'Lighting Inventory (Ref only)'!G105*'Lighting Inventory (Ref only)'!K105/1000)</f>
        <v/>
      </c>
      <c r="T94" s="298" t="str">
        <f>IF(B94="", "", IF('Lighting Inventory (Ref only)'!I105="", "Light Switch",Inventory!H102))</f>
        <v/>
      </c>
      <c r="U94" s="298" t="str">
        <f>IF(B94="", "", 'Lighting Inventory (Ref only)'!Q105)</f>
        <v/>
      </c>
      <c r="V94" s="298" t="str">
        <f>IF(B94="", "", 'Lighting Inventory (Ref only)'!K105)</f>
        <v/>
      </c>
      <c r="W94" s="373" t="str">
        <f>IF(B94="","",('Lighting Inventory (Ref only)'!L105/1000))</f>
        <v/>
      </c>
      <c r="X94" s="298" t="str">
        <f>IF(B94="", "", 'Lighting Inventory (Ref only)'!Q105)</f>
        <v/>
      </c>
      <c r="Y94" s="298" t="str">
        <f>IF(C94="", "", Inventory!N102)</f>
        <v/>
      </c>
      <c r="Z94" s="374" t="str">
        <f>IF(B94="", "", 'Lighting Inventory (Ref only)'!P105)</f>
        <v/>
      </c>
      <c r="AA94" s="372" t="str">
        <f>IF(B94="", "",'Lighting Inventory (Ref only)'!R105/1000)</f>
        <v/>
      </c>
      <c r="AB94" s="372" t="str">
        <f>IF(B94="", "", Inventory!M102)</f>
        <v/>
      </c>
      <c r="AC94" s="374" t="str">
        <f>IF(B94="", "", 'Lighting Inventory (Ref only)'!T105)</f>
        <v/>
      </c>
      <c r="AD94" s="374" t="str">
        <f>IF(C94="", "", 'Lighting Inventory (Ref only)'!AA105)</f>
        <v/>
      </c>
      <c r="AE94" s="375" t="str">
        <f>IF(B94="", "", 'Lighting Inventory (Ref only)'!U105)</f>
        <v/>
      </c>
      <c r="AF94" s="375" t="str">
        <f>IF(B94="", "",'Lighting Inventory (Ref only)'!W105)</f>
        <v/>
      </c>
      <c r="AG94" s="375" t="str">
        <f>IF(B94="", "", 'Lighting Inventory (Ref only)'!V105)</f>
        <v/>
      </c>
      <c r="AH94" s="375" t="str">
        <f>IF(B94="", "",'Lighting Inventory (Ref only)'!Z105)</f>
        <v/>
      </c>
      <c r="AI94" s="375" t="str">
        <f>IF(B94="", "", 'Lighting Inventory (Ref only)'!Y105)</f>
        <v/>
      </c>
      <c r="AJ94" s="375" t="str">
        <f>IF(C94="", "",'Lighting Inventory (Ref only)'!AB105)</f>
        <v/>
      </c>
      <c r="AK94" s="375" t="str">
        <f>IF(B94="", "", 'Lighting Inventory (Ref only)'!AG105)</f>
        <v/>
      </c>
      <c r="AL94" s="375" t="str">
        <f>IF(B94="", "", 'Lighting Inventory (Ref only)'!AD105)</f>
        <v/>
      </c>
      <c r="AM94" s="375" t="str">
        <f>IF(B94="", "", 'Lighting Inventory (Ref only)'!AE105)</f>
        <v/>
      </c>
      <c r="AN94" s="375" t="str">
        <f>IF(B94="", "", 'Lighting Inventory (Ref only)'!AF105)</f>
        <v/>
      </c>
      <c r="AO94" s="375" t="str">
        <f>IF(B94="", "", 'Lighting Inventory (Ref only)'!AG105)</f>
        <v/>
      </c>
    </row>
    <row r="95" spans="1:41">
      <c r="A95" s="298" t="str">
        <f>IF(G95="", "", Lookups!BF97)</f>
        <v/>
      </c>
      <c r="B95" s="298" t="str">
        <f>IF('Lighting Inventory (Ref only)'!Q106="", "", 'Lighting Inventory (Ref only)'!Q106)</f>
        <v/>
      </c>
      <c r="C95" s="298" t="str">
        <f>IF(A95="", "", 'Lighting Inventory (Ref only)'!AO106)</f>
        <v/>
      </c>
      <c r="D95" s="370" t="str">
        <f>IF(B95= "","", Inventory!S103)</f>
        <v/>
      </c>
      <c r="E95" s="371"/>
      <c r="F95" s="298" t="str">
        <f>IF(B95="", "", 'Version Log'!$B$34)</f>
        <v/>
      </c>
      <c r="G95" s="298" t="str">
        <f t="shared" si="4"/>
        <v/>
      </c>
      <c r="H95" s="298" t="str">
        <f t="shared" si="5"/>
        <v/>
      </c>
      <c r="I95" s="298" t="str">
        <f>IF(B95="", "",Inventory!D103)</f>
        <v/>
      </c>
      <c r="J95" s="298" t="str">
        <f>IF(B95="","",IF(Inventory!C103="N","Interior","Exterior"))</f>
        <v/>
      </c>
      <c r="K95" s="298" t="str">
        <f t="shared" si="6"/>
        <v/>
      </c>
      <c r="L95" s="298" t="str">
        <f>IF(B95="", "", Inventory!E103)</f>
        <v/>
      </c>
      <c r="M95" s="298" t="str">
        <f>IF(B95="","",IF(Cool_Type=Lookups!$L$9,Cool_Type,IF(Cool_Type=Lookups!$L$10,Cool_Type,IF(Cool_Type=Lookups!$L$11,Cool_Type,IF(Cool_Type=Lookups!L105,Cool_Type,IF('Project Info and Summary'!$C$20="Electric",CONCATENATE(Cool_Type," ",Heating_Type," Heat"),IF('Project Info and Summary'!$C$20="Non-Electric",CONCATENATE(Cool_Type," ",Heating_Type," Heat"),CONCATENATE(Cool_Type," ",Heating_Type))))))))</f>
        <v/>
      </c>
      <c r="N95" s="298" t="str">
        <f t="shared" si="7"/>
        <v/>
      </c>
      <c r="O95" s="298" t="str">
        <f>IF(B95="", "", 'Lighting Inventory (Ref only)'!G106)</f>
        <v/>
      </c>
      <c r="P95" s="298" t="str">
        <f>IF(B95="", "", 'Lighting Inventory (Ref only)'!E106)</f>
        <v/>
      </c>
      <c r="Q95" s="298" t="str">
        <f>IF(B95="", "", 'Lighting Inventory (Ref only)'!J106)</f>
        <v/>
      </c>
      <c r="R95" s="298" t="str">
        <f>IF(B95="", "",'Lighting Inventory (Ref only)'!K106)</f>
        <v/>
      </c>
      <c r="S95" s="372" t="str">
        <f>IF(B95="", "", 'Lighting Inventory (Ref only)'!G106*'Lighting Inventory (Ref only)'!K106/1000)</f>
        <v/>
      </c>
      <c r="T95" s="298" t="str">
        <f>IF(B95="", "", IF('Lighting Inventory (Ref only)'!I106="", "Light Switch",Inventory!H103))</f>
        <v/>
      </c>
      <c r="U95" s="298" t="str">
        <f>IF(B95="", "", 'Lighting Inventory (Ref only)'!Q106)</f>
        <v/>
      </c>
      <c r="V95" s="298" t="str">
        <f>IF(B95="", "", 'Lighting Inventory (Ref only)'!K106)</f>
        <v/>
      </c>
      <c r="W95" s="373" t="str">
        <f>IF(B95="","",('Lighting Inventory (Ref only)'!L106/1000))</f>
        <v/>
      </c>
      <c r="X95" s="298" t="str">
        <f>IF(B95="", "", 'Lighting Inventory (Ref only)'!Q106)</f>
        <v/>
      </c>
      <c r="Y95" s="298" t="str">
        <f>IF(C95="", "", Inventory!N103)</f>
        <v/>
      </c>
      <c r="Z95" s="374" t="str">
        <f>IF(B95="", "", 'Lighting Inventory (Ref only)'!P106)</f>
        <v/>
      </c>
      <c r="AA95" s="372" t="str">
        <f>IF(B95="", "",'Lighting Inventory (Ref only)'!R106/1000)</f>
        <v/>
      </c>
      <c r="AB95" s="372" t="str">
        <f>IF(B95="", "", Inventory!M103)</f>
        <v/>
      </c>
      <c r="AC95" s="374" t="str">
        <f>IF(B95="", "", 'Lighting Inventory (Ref only)'!T106)</f>
        <v/>
      </c>
      <c r="AD95" s="374" t="str">
        <f>IF(C95="", "", 'Lighting Inventory (Ref only)'!AA106)</f>
        <v/>
      </c>
      <c r="AE95" s="375" t="str">
        <f>IF(B95="", "", 'Lighting Inventory (Ref only)'!U106)</f>
        <v/>
      </c>
      <c r="AF95" s="375" t="str">
        <f>IF(B95="", "",'Lighting Inventory (Ref only)'!W106)</f>
        <v/>
      </c>
      <c r="AG95" s="375" t="str">
        <f>IF(B95="", "", 'Lighting Inventory (Ref only)'!V106)</f>
        <v/>
      </c>
      <c r="AH95" s="375" t="str">
        <f>IF(B95="", "",'Lighting Inventory (Ref only)'!Z106)</f>
        <v/>
      </c>
      <c r="AI95" s="375" t="str">
        <f>IF(B95="", "", 'Lighting Inventory (Ref only)'!Y106)</f>
        <v/>
      </c>
      <c r="AJ95" s="375" t="str">
        <f>IF(C95="", "",'Lighting Inventory (Ref only)'!AB106)</f>
        <v/>
      </c>
      <c r="AK95" s="375" t="str">
        <f>IF(B95="", "", 'Lighting Inventory (Ref only)'!AG106)</f>
        <v/>
      </c>
      <c r="AL95" s="375" t="str">
        <f>IF(B95="", "", 'Lighting Inventory (Ref only)'!AD106)</f>
        <v/>
      </c>
      <c r="AM95" s="375" t="str">
        <f>IF(B95="", "", 'Lighting Inventory (Ref only)'!AE106)</f>
        <v/>
      </c>
      <c r="AN95" s="375" t="str">
        <f>IF(B95="", "", 'Lighting Inventory (Ref only)'!AF106)</f>
        <v/>
      </c>
      <c r="AO95" s="375" t="str">
        <f>IF(B95="", "", 'Lighting Inventory (Ref only)'!AG106)</f>
        <v/>
      </c>
    </row>
    <row r="96" spans="1:41">
      <c r="A96" s="298" t="str">
        <f>IF(G96="", "", Lookups!BF98)</f>
        <v/>
      </c>
      <c r="B96" s="298" t="str">
        <f>IF('Lighting Inventory (Ref only)'!Q107="", "", 'Lighting Inventory (Ref only)'!Q107)</f>
        <v/>
      </c>
      <c r="C96" s="298" t="str">
        <f>IF(A96="", "", 'Lighting Inventory (Ref only)'!AO107)</f>
        <v/>
      </c>
      <c r="D96" s="370" t="str">
        <f>IF(B96= "","", Inventory!S104)</f>
        <v/>
      </c>
      <c r="E96" s="371"/>
      <c r="F96" s="298" t="str">
        <f>IF(B96="", "", 'Version Log'!$B$34)</f>
        <v/>
      </c>
      <c r="G96" s="298" t="str">
        <f t="shared" si="4"/>
        <v/>
      </c>
      <c r="H96" s="298" t="str">
        <f t="shared" si="5"/>
        <v/>
      </c>
      <c r="I96" s="298" t="str">
        <f>IF(B96="", "",Inventory!D104)</f>
        <v/>
      </c>
      <c r="J96" s="298" t="str">
        <f>IF(B96="","",IF(Inventory!C104="N","Interior","Exterior"))</f>
        <v/>
      </c>
      <c r="K96" s="298" t="str">
        <f t="shared" si="6"/>
        <v/>
      </c>
      <c r="L96" s="298" t="str">
        <f>IF(B96="", "", Inventory!E104)</f>
        <v/>
      </c>
      <c r="M96" s="298" t="str">
        <f>IF(B96="","",IF(Cool_Type=Lookups!$L$9,Cool_Type,IF(Cool_Type=Lookups!$L$10,Cool_Type,IF(Cool_Type=Lookups!$L$11,Cool_Type,IF(Cool_Type=Lookups!L106,Cool_Type,IF('Project Info and Summary'!$C$20="Electric",CONCATENATE(Cool_Type," ",Heating_Type," Heat"),IF('Project Info and Summary'!$C$20="Non-Electric",CONCATENATE(Cool_Type," ",Heating_Type," Heat"),CONCATENATE(Cool_Type," ",Heating_Type))))))))</f>
        <v/>
      </c>
      <c r="N96" s="298" t="str">
        <f t="shared" si="7"/>
        <v/>
      </c>
      <c r="O96" s="298" t="str">
        <f>IF(B96="", "", 'Lighting Inventory (Ref only)'!G107)</f>
        <v/>
      </c>
      <c r="P96" s="298" t="str">
        <f>IF(B96="", "", 'Lighting Inventory (Ref only)'!E107)</f>
        <v/>
      </c>
      <c r="Q96" s="298" t="str">
        <f>IF(B96="", "", 'Lighting Inventory (Ref only)'!J107)</f>
        <v/>
      </c>
      <c r="R96" s="298" t="str">
        <f>IF(B96="", "",'Lighting Inventory (Ref only)'!K107)</f>
        <v/>
      </c>
      <c r="S96" s="372" t="str">
        <f>IF(B96="", "", 'Lighting Inventory (Ref only)'!G107*'Lighting Inventory (Ref only)'!K107/1000)</f>
        <v/>
      </c>
      <c r="T96" s="298" t="str">
        <f>IF(B96="", "", IF('Lighting Inventory (Ref only)'!I107="", "Light Switch",Inventory!H104))</f>
        <v/>
      </c>
      <c r="U96" s="298" t="str">
        <f>IF(B96="", "", 'Lighting Inventory (Ref only)'!Q107)</f>
        <v/>
      </c>
      <c r="V96" s="298" t="str">
        <f>IF(B96="", "", 'Lighting Inventory (Ref only)'!K107)</f>
        <v/>
      </c>
      <c r="W96" s="373" t="str">
        <f>IF(B96="","",('Lighting Inventory (Ref only)'!L107/1000))</f>
        <v/>
      </c>
      <c r="X96" s="298" t="str">
        <f>IF(B96="", "", 'Lighting Inventory (Ref only)'!Q107)</f>
        <v/>
      </c>
      <c r="Y96" s="298" t="str">
        <f>IF(C96="", "", Inventory!N104)</f>
        <v/>
      </c>
      <c r="Z96" s="374" t="str">
        <f>IF(B96="", "", 'Lighting Inventory (Ref only)'!P107)</f>
        <v/>
      </c>
      <c r="AA96" s="372" t="str">
        <f>IF(B96="", "",'Lighting Inventory (Ref only)'!R107/1000)</f>
        <v/>
      </c>
      <c r="AB96" s="372" t="str">
        <f>IF(B96="", "", Inventory!M104)</f>
        <v/>
      </c>
      <c r="AC96" s="374" t="str">
        <f>IF(B96="", "", 'Lighting Inventory (Ref only)'!T107)</f>
        <v/>
      </c>
      <c r="AD96" s="374" t="str">
        <f>IF(C96="", "", 'Lighting Inventory (Ref only)'!AA107)</f>
        <v/>
      </c>
      <c r="AE96" s="375" t="str">
        <f>IF(B96="", "", 'Lighting Inventory (Ref only)'!U107)</f>
        <v/>
      </c>
      <c r="AF96" s="375" t="str">
        <f>IF(B96="", "",'Lighting Inventory (Ref only)'!W107)</f>
        <v/>
      </c>
      <c r="AG96" s="375" t="str">
        <f>IF(B96="", "", 'Lighting Inventory (Ref only)'!V107)</f>
        <v/>
      </c>
      <c r="AH96" s="375" t="str">
        <f>IF(B96="", "",'Lighting Inventory (Ref only)'!Z107)</f>
        <v/>
      </c>
      <c r="AI96" s="375" t="str">
        <f>IF(B96="", "", 'Lighting Inventory (Ref only)'!Y107)</f>
        <v/>
      </c>
      <c r="AJ96" s="375" t="str">
        <f>IF(C96="", "",'Lighting Inventory (Ref only)'!AB107)</f>
        <v/>
      </c>
      <c r="AK96" s="375" t="str">
        <f>IF(B96="", "", 'Lighting Inventory (Ref only)'!AG107)</f>
        <v/>
      </c>
      <c r="AL96" s="375" t="str">
        <f>IF(B96="", "", 'Lighting Inventory (Ref only)'!AD107)</f>
        <v/>
      </c>
      <c r="AM96" s="375" t="str">
        <f>IF(B96="", "", 'Lighting Inventory (Ref only)'!AE107)</f>
        <v/>
      </c>
      <c r="AN96" s="375" t="str">
        <f>IF(B96="", "", 'Lighting Inventory (Ref only)'!AF107)</f>
        <v/>
      </c>
      <c r="AO96" s="375" t="str">
        <f>IF(B96="", "", 'Lighting Inventory (Ref only)'!AG107)</f>
        <v/>
      </c>
    </row>
    <row r="97" spans="1:41">
      <c r="A97" s="298" t="str">
        <f>IF(G97="", "", Lookups!BF99)</f>
        <v/>
      </c>
      <c r="B97" s="298" t="str">
        <f>IF('Lighting Inventory (Ref only)'!Q108="", "", 'Lighting Inventory (Ref only)'!Q108)</f>
        <v/>
      </c>
      <c r="C97" s="298" t="str">
        <f>IF(A97="", "", 'Lighting Inventory (Ref only)'!AO108)</f>
        <v/>
      </c>
      <c r="D97" s="370" t="str">
        <f>IF(B97= "","", Inventory!S105)</f>
        <v/>
      </c>
      <c r="E97" s="371"/>
      <c r="F97" s="298" t="str">
        <f>IF(B97="", "", 'Version Log'!$B$34)</f>
        <v/>
      </c>
      <c r="G97" s="298" t="str">
        <f t="shared" si="4"/>
        <v/>
      </c>
      <c r="H97" s="298" t="str">
        <f t="shared" si="5"/>
        <v/>
      </c>
      <c r="I97" s="298" t="str">
        <f>IF(B97="", "",Inventory!D105)</f>
        <v/>
      </c>
      <c r="J97" s="298" t="str">
        <f>IF(B97="","",IF(Inventory!C105="N","Interior","Exterior"))</f>
        <v/>
      </c>
      <c r="K97" s="298" t="str">
        <f t="shared" si="6"/>
        <v/>
      </c>
      <c r="L97" s="298" t="str">
        <f>IF(B97="", "", Inventory!E105)</f>
        <v/>
      </c>
      <c r="M97" s="298" t="str">
        <f>IF(B97="","",IF(Cool_Type=Lookups!$L$9,Cool_Type,IF(Cool_Type=Lookups!$L$10,Cool_Type,IF(Cool_Type=Lookups!$L$11,Cool_Type,IF(Cool_Type=Lookups!L107,Cool_Type,IF('Project Info and Summary'!$C$20="Electric",CONCATENATE(Cool_Type," ",Heating_Type," Heat"),IF('Project Info and Summary'!$C$20="Non-Electric",CONCATENATE(Cool_Type," ",Heating_Type," Heat"),CONCATENATE(Cool_Type," ",Heating_Type))))))))</f>
        <v/>
      </c>
      <c r="N97" s="298" t="str">
        <f t="shared" si="7"/>
        <v/>
      </c>
      <c r="O97" s="298" t="str">
        <f>IF(B97="", "", 'Lighting Inventory (Ref only)'!G108)</f>
        <v/>
      </c>
      <c r="P97" s="298" t="str">
        <f>IF(B97="", "", 'Lighting Inventory (Ref only)'!E108)</f>
        <v/>
      </c>
      <c r="Q97" s="298" t="str">
        <f>IF(B97="", "", 'Lighting Inventory (Ref only)'!J108)</f>
        <v/>
      </c>
      <c r="R97" s="298" t="str">
        <f>IF(B97="", "",'Lighting Inventory (Ref only)'!K108)</f>
        <v/>
      </c>
      <c r="S97" s="372" t="str">
        <f>IF(B97="", "", 'Lighting Inventory (Ref only)'!G108*'Lighting Inventory (Ref only)'!K108/1000)</f>
        <v/>
      </c>
      <c r="T97" s="298" t="str">
        <f>IF(B97="", "", IF('Lighting Inventory (Ref only)'!I108="", "Light Switch",Inventory!H105))</f>
        <v/>
      </c>
      <c r="U97" s="298" t="str">
        <f>IF(B97="", "", 'Lighting Inventory (Ref only)'!Q108)</f>
        <v/>
      </c>
      <c r="V97" s="298" t="str">
        <f>IF(B97="", "", 'Lighting Inventory (Ref only)'!K108)</f>
        <v/>
      </c>
      <c r="W97" s="373" t="str">
        <f>IF(B97="","",('Lighting Inventory (Ref only)'!L108/1000))</f>
        <v/>
      </c>
      <c r="X97" s="298" t="str">
        <f>IF(B97="", "", 'Lighting Inventory (Ref only)'!Q108)</f>
        <v/>
      </c>
      <c r="Y97" s="298" t="str">
        <f>IF(C97="", "", Inventory!N105)</f>
        <v/>
      </c>
      <c r="Z97" s="374" t="str">
        <f>IF(B97="", "", 'Lighting Inventory (Ref only)'!P108)</f>
        <v/>
      </c>
      <c r="AA97" s="372" t="str">
        <f>IF(B97="", "",'Lighting Inventory (Ref only)'!R108/1000)</f>
        <v/>
      </c>
      <c r="AB97" s="372" t="str">
        <f>IF(B97="", "", Inventory!M105)</f>
        <v/>
      </c>
      <c r="AC97" s="374" t="str">
        <f>IF(B97="", "", 'Lighting Inventory (Ref only)'!T108)</f>
        <v/>
      </c>
      <c r="AD97" s="374" t="str">
        <f>IF(C97="", "", 'Lighting Inventory (Ref only)'!AA108)</f>
        <v/>
      </c>
      <c r="AE97" s="375" t="str">
        <f>IF(B97="", "", 'Lighting Inventory (Ref only)'!U108)</f>
        <v/>
      </c>
      <c r="AF97" s="375" t="str">
        <f>IF(B97="", "",'Lighting Inventory (Ref only)'!W108)</f>
        <v/>
      </c>
      <c r="AG97" s="375" t="str">
        <f>IF(B97="", "", 'Lighting Inventory (Ref only)'!V108)</f>
        <v/>
      </c>
      <c r="AH97" s="375" t="str">
        <f>IF(B97="", "",'Lighting Inventory (Ref only)'!Z108)</f>
        <v/>
      </c>
      <c r="AI97" s="375" t="str">
        <f>IF(B97="", "", 'Lighting Inventory (Ref only)'!Y108)</f>
        <v/>
      </c>
      <c r="AJ97" s="375" t="str">
        <f>IF(C97="", "",'Lighting Inventory (Ref only)'!AB108)</f>
        <v/>
      </c>
      <c r="AK97" s="375" t="str">
        <f>IF(B97="", "", 'Lighting Inventory (Ref only)'!AG108)</f>
        <v/>
      </c>
      <c r="AL97" s="375" t="str">
        <f>IF(B97="", "", 'Lighting Inventory (Ref only)'!AD108)</f>
        <v/>
      </c>
      <c r="AM97" s="375" t="str">
        <f>IF(B97="", "", 'Lighting Inventory (Ref only)'!AE108)</f>
        <v/>
      </c>
      <c r="AN97" s="375" t="str">
        <f>IF(B97="", "", 'Lighting Inventory (Ref only)'!AF108)</f>
        <v/>
      </c>
      <c r="AO97" s="375" t="str">
        <f>IF(B97="", "", 'Lighting Inventory (Ref only)'!AG108)</f>
        <v/>
      </c>
    </row>
    <row r="98" spans="1:41">
      <c r="A98" s="298" t="str">
        <f>IF(G98="", "", Lookups!BF100)</f>
        <v/>
      </c>
      <c r="B98" s="298" t="str">
        <f>IF('Lighting Inventory (Ref only)'!Q109="", "", 'Lighting Inventory (Ref only)'!Q109)</f>
        <v/>
      </c>
      <c r="C98" s="298" t="str">
        <f>IF(A98="", "", 'Lighting Inventory (Ref only)'!AO109)</f>
        <v/>
      </c>
      <c r="D98" s="370" t="str">
        <f>IF(B98= "","", Inventory!S106)</f>
        <v/>
      </c>
      <c r="E98" s="371"/>
      <c r="F98" s="298" t="str">
        <f>IF(B98="", "", 'Version Log'!$B$34)</f>
        <v/>
      </c>
      <c r="G98" s="298" t="str">
        <f t="shared" si="4"/>
        <v/>
      </c>
      <c r="H98" s="298" t="str">
        <f t="shared" si="5"/>
        <v/>
      </c>
      <c r="I98" s="298" t="str">
        <f>IF(B98="", "",Inventory!D106)</f>
        <v/>
      </c>
      <c r="J98" s="298" t="str">
        <f>IF(B98="","",IF(Inventory!C106="N","Interior","Exterior"))</f>
        <v/>
      </c>
      <c r="K98" s="298" t="str">
        <f t="shared" si="6"/>
        <v/>
      </c>
      <c r="L98" s="298" t="str">
        <f>IF(B98="", "", Inventory!E106)</f>
        <v/>
      </c>
      <c r="M98" s="298" t="str">
        <f>IF(B98="","",IF(Cool_Type=Lookups!$L$9,Cool_Type,IF(Cool_Type=Lookups!$L$10,Cool_Type,IF(Cool_Type=Lookups!$L$11,Cool_Type,IF(Cool_Type=Lookups!L108,Cool_Type,IF('Project Info and Summary'!$C$20="Electric",CONCATENATE(Cool_Type," ",Heating_Type," Heat"),IF('Project Info and Summary'!$C$20="Non-Electric",CONCATENATE(Cool_Type," ",Heating_Type," Heat"),CONCATENATE(Cool_Type," ",Heating_Type))))))))</f>
        <v/>
      </c>
      <c r="N98" s="298" t="str">
        <f t="shared" si="7"/>
        <v/>
      </c>
      <c r="O98" s="298" t="str">
        <f>IF(B98="", "", 'Lighting Inventory (Ref only)'!G109)</f>
        <v/>
      </c>
      <c r="P98" s="298" t="str">
        <f>IF(B98="", "", 'Lighting Inventory (Ref only)'!E109)</f>
        <v/>
      </c>
      <c r="Q98" s="298" t="str">
        <f>IF(B98="", "", 'Lighting Inventory (Ref only)'!J109)</f>
        <v/>
      </c>
      <c r="R98" s="298" t="str">
        <f>IF(B98="", "",'Lighting Inventory (Ref only)'!K109)</f>
        <v/>
      </c>
      <c r="S98" s="372" t="str">
        <f>IF(B98="", "", 'Lighting Inventory (Ref only)'!G109*'Lighting Inventory (Ref only)'!K109/1000)</f>
        <v/>
      </c>
      <c r="T98" s="298" t="str">
        <f>IF(B98="", "", IF('Lighting Inventory (Ref only)'!I109="", "Light Switch",Inventory!H106))</f>
        <v/>
      </c>
      <c r="U98" s="298" t="str">
        <f>IF(B98="", "", 'Lighting Inventory (Ref only)'!Q109)</f>
        <v/>
      </c>
      <c r="V98" s="298" t="str">
        <f>IF(B98="", "", 'Lighting Inventory (Ref only)'!K109)</f>
        <v/>
      </c>
      <c r="W98" s="373" t="str">
        <f>IF(B98="","",('Lighting Inventory (Ref only)'!L109/1000))</f>
        <v/>
      </c>
      <c r="X98" s="298" t="str">
        <f>IF(B98="", "", 'Lighting Inventory (Ref only)'!Q109)</f>
        <v/>
      </c>
      <c r="Y98" s="298" t="str">
        <f>IF(C98="", "", Inventory!N106)</f>
        <v/>
      </c>
      <c r="Z98" s="374" t="str">
        <f>IF(B98="", "", 'Lighting Inventory (Ref only)'!P109)</f>
        <v/>
      </c>
      <c r="AA98" s="372" t="str">
        <f>IF(B98="", "",'Lighting Inventory (Ref only)'!R109/1000)</f>
        <v/>
      </c>
      <c r="AB98" s="372" t="str">
        <f>IF(B98="", "", Inventory!M106)</f>
        <v/>
      </c>
      <c r="AC98" s="374" t="str">
        <f>IF(B98="", "", 'Lighting Inventory (Ref only)'!T109)</f>
        <v/>
      </c>
      <c r="AD98" s="374" t="str">
        <f>IF(C98="", "", 'Lighting Inventory (Ref only)'!AA109)</f>
        <v/>
      </c>
      <c r="AE98" s="375" t="str">
        <f>IF(B98="", "", 'Lighting Inventory (Ref only)'!U109)</f>
        <v/>
      </c>
      <c r="AF98" s="375" t="str">
        <f>IF(B98="", "",'Lighting Inventory (Ref only)'!W109)</f>
        <v/>
      </c>
      <c r="AG98" s="375" t="str">
        <f>IF(B98="", "", 'Lighting Inventory (Ref only)'!V109)</f>
        <v/>
      </c>
      <c r="AH98" s="375" t="str">
        <f>IF(B98="", "",'Lighting Inventory (Ref only)'!Z109)</f>
        <v/>
      </c>
      <c r="AI98" s="375" t="str">
        <f>IF(B98="", "", 'Lighting Inventory (Ref only)'!Y109)</f>
        <v/>
      </c>
      <c r="AJ98" s="375" t="str">
        <f>IF(C98="", "",'Lighting Inventory (Ref only)'!AB109)</f>
        <v/>
      </c>
      <c r="AK98" s="375" t="str">
        <f>IF(B98="", "", 'Lighting Inventory (Ref only)'!AG109)</f>
        <v/>
      </c>
      <c r="AL98" s="375" t="str">
        <f>IF(B98="", "", 'Lighting Inventory (Ref only)'!AD109)</f>
        <v/>
      </c>
      <c r="AM98" s="375" t="str">
        <f>IF(B98="", "", 'Lighting Inventory (Ref only)'!AE109)</f>
        <v/>
      </c>
      <c r="AN98" s="375" t="str">
        <f>IF(B98="", "", 'Lighting Inventory (Ref only)'!AF109)</f>
        <v/>
      </c>
      <c r="AO98" s="375" t="str">
        <f>IF(B98="", "", 'Lighting Inventory (Ref only)'!AG109)</f>
        <v/>
      </c>
    </row>
    <row r="99" spans="1:41">
      <c r="A99" s="298" t="str">
        <f>IF(G99="", "", Lookups!BF101)</f>
        <v/>
      </c>
      <c r="B99" s="298" t="str">
        <f>IF('Lighting Inventory (Ref only)'!Q110="", "", 'Lighting Inventory (Ref only)'!Q110)</f>
        <v/>
      </c>
      <c r="C99" s="298" t="str">
        <f>IF(A99="", "", 'Lighting Inventory (Ref only)'!AO110)</f>
        <v/>
      </c>
      <c r="D99" s="370" t="str">
        <f>IF(B99= "","", Inventory!S107)</f>
        <v/>
      </c>
      <c r="E99" s="371"/>
      <c r="F99" s="298" t="str">
        <f>IF(B99="", "", 'Version Log'!$B$34)</f>
        <v/>
      </c>
      <c r="G99" s="298" t="str">
        <f t="shared" si="4"/>
        <v/>
      </c>
      <c r="H99" s="298" t="str">
        <f t="shared" si="5"/>
        <v/>
      </c>
      <c r="I99" s="298" t="str">
        <f>IF(B99="", "",Inventory!D107)</f>
        <v/>
      </c>
      <c r="J99" s="298" t="str">
        <f>IF(B99="","",IF(Inventory!C107="N","Interior","Exterior"))</f>
        <v/>
      </c>
      <c r="K99" s="298" t="str">
        <f t="shared" si="6"/>
        <v/>
      </c>
      <c r="L99" s="298" t="str">
        <f>IF(B99="", "", Inventory!E107)</f>
        <v/>
      </c>
      <c r="M99" s="298" t="str">
        <f>IF(B99="","",IF(Cool_Type=Lookups!$L$9,Cool_Type,IF(Cool_Type=Lookups!$L$10,Cool_Type,IF(Cool_Type=Lookups!$L$11,Cool_Type,IF(Cool_Type=Lookups!L109,Cool_Type,IF('Project Info and Summary'!$C$20="Electric",CONCATENATE(Cool_Type," ",Heating_Type," Heat"),IF('Project Info and Summary'!$C$20="Non-Electric",CONCATENATE(Cool_Type," ",Heating_Type," Heat"),CONCATENATE(Cool_Type," ",Heating_Type))))))))</f>
        <v/>
      </c>
      <c r="N99" s="298" t="str">
        <f t="shared" si="7"/>
        <v/>
      </c>
      <c r="O99" s="298" t="str">
        <f>IF(B99="", "", 'Lighting Inventory (Ref only)'!G110)</f>
        <v/>
      </c>
      <c r="P99" s="298" t="str">
        <f>IF(B99="", "", 'Lighting Inventory (Ref only)'!E110)</f>
        <v/>
      </c>
      <c r="Q99" s="298" t="str">
        <f>IF(B99="", "", 'Lighting Inventory (Ref only)'!J110)</f>
        <v/>
      </c>
      <c r="R99" s="298" t="str">
        <f>IF(B99="", "",'Lighting Inventory (Ref only)'!K110)</f>
        <v/>
      </c>
      <c r="S99" s="372" t="str">
        <f>IF(B99="", "", 'Lighting Inventory (Ref only)'!G110*'Lighting Inventory (Ref only)'!K110/1000)</f>
        <v/>
      </c>
      <c r="T99" s="298" t="str">
        <f>IF(B99="", "", IF('Lighting Inventory (Ref only)'!I110="", "Light Switch",Inventory!H107))</f>
        <v/>
      </c>
      <c r="U99" s="298" t="str">
        <f>IF(B99="", "", 'Lighting Inventory (Ref only)'!Q110)</f>
        <v/>
      </c>
      <c r="V99" s="298" t="str">
        <f>IF(B99="", "", 'Lighting Inventory (Ref only)'!K110)</f>
        <v/>
      </c>
      <c r="W99" s="373" t="str">
        <f>IF(B99="","",('Lighting Inventory (Ref only)'!L110/1000))</f>
        <v/>
      </c>
      <c r="X99" s="298" t="str">
        <f>IF(B99="", "", 'Lighting Inventory (Ref only)'!Q110)</f>
        <v/>
      </c>
      <c r="Y99" s="298" t="str">
        <f>IF(C99="", "", Inventory!N107)</f>
        <v/>
      </c>
      <c r="Z99" s="374" t="str">
        <f>IF(B99="", "", 'Lighting Inventory (Ref only)'!P110)</f>
        <v/>
      </c>
      <c r="AA99" s="372" t="str">
        <f>IF(B99="", "",'Lighting Inventory (Ref only)'!R110/1000)</f>
        <v/>
      </c>
      <c r="AB99" s="372" t="str">
        <f>IF(B99="", "", Inventory!M107)</f>
        <v/>
      </c>
      <c r="AC99" s="374" t="str">
        <f>IF(B99="", "", 'Lighting Inventory (Ref only)'!T110)</f>
        <v/>
      </c>
      <c r="AD99" s="374" t="str">
        <f>IF(C99="", "", 'Lighting Inventory (Ref only)'!AA110)</f>
        <v/>
      </c>
      <c r="AE99" s="375" t="str">
        <f>IF(B99="", "", 'Lighting Inventory (Ref only)'!U110)</f>
        <v/>
      </c>
      <c r="AF99" s="375" t="str">
        <f>IF(B99="", "",'Lighting Inventory (Ref only)'!W110)</f>
        <v/>
      </c>
      <c r="AG99" s="375" t="str">
        <f>IF(B99="", "", 'Lighting Inventory (Ref only)'!V110)</f>
        <v/>
      </c>
      <c r="AH99" s="375" t="str">
        <f>IF(B99="", "",'Lighting Inventory (Ref only)'!Z110)</f>
        <v/>
      </c>
      <c r="AI99" s="375" t="str">
        <f>IF(B99="", "", 'Lighting Inventory (Ref only)'!Y110)</f>
        <v/>
      </c>
      <c r="AJ99" s="375" t="str">
        <f>IF(C99="", "",'Lighting Inventory (Ref only)'!AB110)</f>
        <v/>
      </c>
      <c r="AK99" s="375" t="str">
        <f>IF(B99="", "", 'Lighting Inventory (Ref only)'!AG110)</f>
        <v/>
      </c>
      <c r="AL99" s="375" t="str">
        <f>IF(B99="", "", 'Lighting Inventory (Ref only)'!AD110)</f>
        <v/>
      </c>
      <c r="AM99" s="375" t="str">
        <f>IF(B99="", "", 'Lighting Inventory (Ref only)'!AE110)</f>
        <v/>
      </c>
      <c r="AN99" s="375" t="str">
        <f>IF(B99="", "", 'Lighting Inventory (Ref only)'!AF110)</f>
        <v/>
      </c>
      <c r="AO99" s="375" t="str">
        <f>IF(B99="", "", 'Lighting Inventory (Ref only)'!AG110)</f>
        <v/>
      </c>
    </row>
    <row r="100" spans="1:41">
      <c r="A100" s="298" t="str">
        <f>IF(G100="", "", Lookups!BF102)</f>
        <v/>
      </c>
      <c r="B100" s="298" t="str">
        <f>IF('Lighting Inventory (Ref only)'!Q111="", "", 'Lighting Inventory (Ref only)'!Q111)</f>
        <v/>
      </c>
      <c r="C100" s="298" t="str">
        <f>IF(A100="", "", 'Lighting Inventory (Ref only)'!AO111)</f>
        <v/>
      </c>
      <c r="D100" s="370" t="str">
        <f>IF(B100= "","", Inventory!S108)</f>
        <v/>
      </c>
      <c r="E100" s="371"/>
      <c r="F100" s="298" t="str">
        <f>IF(B100="", "", 'Version Log'!$B$34)</f>
        <v/>
      </c>
      <c r="G100" s="298" t="str">
        <f t="shared" si="4"/>
        <v/>
      </c>
      <c r="H100" s="298" t="str">
        <f t="shared" si="5"/>
        <v/>
      </c>
      <c r="I100" s="298" t="str">
        <f>IF(B100="", "",Inventory!D108)</f>
        <v/>
      </c>
      <c r="J100" s="298" t="str">
        <f>IF(B100="","",IF(Inventory!C108="N","Interior","Exterior"))</f>
        <v/>
      </c>
      <c r="K100" s="298" t="str">
        <f t="shared" si="6"/>
        <v/>
      </c>
      <c r="L100" s="298" t="str">
        <f>IF(B100="", "", Inventory!E108)</f>
        <v/>
      </c>
      <c r="M100" s="298" t="str">
        <f>IF(B100="","",IF(Cool_Type=Lookups!$L$9,Cool_Type,IF(Cool_Type=Lookups!$L$10,Cool_Type,IF(Cool_Type=Lookups!$L$11,Cool_Type,IF(Cool_Type=Lookups!L110,Cool_Type,IF('Project Info and Summary'!$C$20="Electric",CONCATENATE(Cool_Type," ",Heating_Type," Heat"),IF('Project Info and Summary'!$C$20="Non-Electric",CONCATENATE(Cool_Type," ",Heating_Type," Heat"),CONCATENATE(Cool_Type," ",Heating_Type))))))))</f>
        <v/>
      </c>
      <c r="N100" s="298" t="str">
        <f t="shared" si="7"/>
        <v/>
      </c>
      <c r="O100" s="298" t="str">
        <f>IF(B100="", "", 'Lighting Inventory (Ref only)'!G111)</f>
        <v/>
      </c>
      <c r="P100" s="298" t="str">
        <f>IF(B100="", "", 'Lighting Inventory (Ref only)'!E111)</f>
        <v/>
      </c>
      <c r="Q100" s="298" t="str">
        <f>IF(B100="", "", 'Lighting Inventory (Ref only)'!J111)</f>
        <v/>
      </c>
      <c r="R100" s="298" t="str">
        <f>IF(B100="", "",'Lighting Inventory (Ref only)'!K111)</f>
        <v/>
      </c>
      <c r="S100" s="372" t="str">
        <f>IF(B100="", "", 'Lighting Inventory (Ref only)'!G111*'Lighting Inventory (Ref only)'!K111/1000)</f>
        <v/>
      </c>
      <c r="T100" s="298" t="str">
        <f>IF(B100="", "", IF('Lighting Inventory (Ref only)'!I111="", "Light Switch",Inventory!H108))</f>
        <v/>
      </c>
      <c r="U100" s="298" t="str">
        <f>IF(B100="", "", 'Lighting Inventory (Ref only)'!Q111)</f>
        <v/>
      </c>
      <c r="V100" s="298" t="str">
        <f>IF(B100="", "", 'Lighting Inventory (Ref only)'!K111)</f>
        <v/>
      </c>
      <c r="W100" s="373" t="str">
        <f>IF(B100="","",('Lighting Inventory (Ref only)'!L111/1000))</f>
        <v/>
      </c>
      <c r="X100" s="298" t="str">
        <f>IF(B100="", "", 'Lighting Inventory (Ref only)'!Q111)</f>
        <v/>
      </c>
      <c r="Y100" s="298" t="str">
        <f>IF(C100="", "", Inventory!N108)</f>
        <v/>
      </c>
      <c r="Z100" s="374" t="str">
        <f>IF(B100="", "", 'Lighting Inventory (Ref only)'!P111)</f>
        <v/>
      </c>
      <c r="AA100" s="372" t="str">
        <f>IF(B100="", "",'Lighting Inventory (Ref only)'!R111/1000)</f>
        <v/>
      </c>
      <c r="AB100" s="372" t="str">
        <f>IF(B100="", "", Inventory!M108)</f>
        <v/>
      </c>
      <c r="AC100" s="374" t="str">
        <f>IF(B100="", "", 'Lighting Inventory (Ref only)'!T111)</f>
        <v/>
      </c>
      <c r="AD100" s="374" t="str">
        <f>IF(C100="", "", 'Lighting Inventory (Ref only)'!AA111)</f>
        <v/>
      </c>
      <c r="AE100" s="375" t="str">
        <f>IF(B100="", "", 'Lighting Inventory (Ref only)'!U111)</f>
        <v/>
      </c>
      <c r="AF100" s="375" t="str">
        <f>IF(B100="", "",'Lighting Inventory (Ref only)'!W111)</f>
        <v/>
      </c>
      <c r="AG100" s="375" t="str">
        <f>IF(B100="", "", 'Lighting Inventory (Ref only)'!V111)</f>
        <v/>
      </c>
      <c r="AH100" s="375" t="str">
        <f>IF(B100="", "",'Lighting Inventory (Ref only)'!Z111)</f>
        <v/>
      </c>
      <c r="AI100" s="375" t="str">
        <f>IF(B100="", "", 'Lighting Inventory (Ref only)'!Y111)</f>
        <v/>
      </c>
      <c r="AJ100" s="375" t="str">
        <f>IF(C100="", "",'Lighting Inventory (Ref only)'!AB111)</f>
        <v/>
      </c>
      <c r="AK100" s="375" t="str">
        <f>IF(B100="", "", 'Lighting Inventory (Ref only)'!AG111)</f>
        <v/>
      </c>
      <c r="AL100" s="375" t="str">
        <f>IF(B100="", "", 'Lighting Inventory (Ref only)'!AD111)</f>
        <v/>
      </c>
      <c r="AM100" s="375" t="str">
        <f>IF(B100="", "", 'Lighting Inventory (Ref only)'!AE111)</f>
        <v/>
      </c>
      <c r="AN100" s="375" t="str">
        <f>IF(B100="", "", 'Lighting Inventory (Ref only)'!AF111)</f>
        <v/>
      </c>
      <c r="AO100" s="375" t="str">
        <f>IF(B100="", "", 'Lighting Inventory (Ref only)'!AG111)</f>
        <v/>
      </c>
    </row>
    <row r="101" spans="1:41">
      <c r="A101" s="298" t="str">
        <f>IF(G101="", "", Lookups!BF103)</f>
        <v/>
      </c>
      <c r="B101" s="298" t="str">
        <f>IF('Lighting Inventory (Ref only)'!Q112="", "", 'Lighting Inventory (Ref only)'!Q112)</f>
        <v/>
      </c>
      <c r="C101" s="298" t="str">
        <f>IF(A101="", "", 'Lighting Inventory (Ref only)'!AO112)</f>
        <v/>
      </c>
      <c r="D101" s="370" t="str">
        <f>IF(B101= "","", Inventory!S109)</f>
        <v/>
      </c>
      <c r="E101" s="371"/>
      <c r="F101" s="298" t="str">
        <f>IF(B101="", "", 'Version Log'!$B$34)</f>
        <v/>
      </c>
      <c r="G101" s="298" t="str">
        <f t="shared" si="4"/>
        <v/>
      </c>
      <c r="H101" s="298" t="str">
        <f t="shared" si="5"/>
        <v/>
      </c>
      <c r="I101" s="298" t="str">
        <f>IF(B101="", "",Inventory!D109)</f>
        <v/>
      </c>
      <c r="J101" s="298" t="str">
        <f>IF(B101="","",IF(Inventory!C109="N","Interior","Exterior"))</f>
        <v/>
      </c>
      <c r="K101" s="298" t="str">
        <f t="shared" si="6"/>
        <v/>
      </c>
      <c r="L101" s="298" t="str">
        <f>IF(B101="", "", Inventory!E109)</f>
        <v/>
      </c>
      <c r="M101" s="298" t="str">
        <f>IF(B101="","",IF(Cool_Type=Lookups!$L$9,Cool_Type,IF(Cool_Type=Lookups!$L$10,Cool_Type,IF(Cool_Type=Lookups!$L$11,Cool_Type,IF(Cool_Type=Lookups!L111,Cool_Type,IF('Project Info and Summary'!$C$20="Electric",CONCATENATE(Cool_Type," ",Heating_Type," Heat"),IF('Project Info and Summary'!$C$20="Non-Electric",CONCATENATE(Cool_Type," ",Heating_Type," Heat"),CONCATENATE(Cool_Type," ",Heating_Type))))))))</f>
        <v/>
      </c>
      <c r="N101" s="298" t="str">
        <f t="shared" si="7"/>
        <v/>
      </c>
      <c r="O101" s="298" t="str">
        <f>IF(B101="", "", 'Lighting Inventory (Ref only)'!G112)</f>
        <v/>
      </c>
      <c r="P101" s="298" t="str">
        <f>IF(B101="", "", 'Lighting Inventory (Ref only)'!E112)</f>
        <v/>
      </c>
      <c r="Q101" s="298" t="str">
        <f>IF(B101="", "", 'Lighting Inventory (Ref only)'!J112)</f>
        <v/>
      </c>
      <c r="R101" s="298" t="str">
        <f>IF(B101="", "",'Lighting Inventory (Ref only)'!K112)</f>
        <v/>
      </c>
      <c r="S101" s="372" t="str">
        <f>IF(B101="", "", 'Lighting Inventory (Ref only)'!G112*'Lighting Inventory (Ref only)'!K112/1000)</f>
        <v/>
      </c>
      <c r="T101" s="298" t="str">
        <f>IF(B101="", "", IF('Lighting Inventory (Ref only)'!I112="", "Light Switch",Inventory!H109))</f>
        <v/>
      </c>
      <c r="U101" s="298" t="str">
        <f>IF(B101="", "", 'Lighting Inventory (Ref only)'!Q112)</f>
        <v/>
      </c>
      <c r="V101" s="298" t="str">
        <f>IF(B101="", "", 'Lighting Inventory (Ref only)'!K112)</f>
        <v/>
      </c>
      <c r="W101" s="373" t="str">
        <f>IF(B101="","",('Lighting Inventory (Ref only)'!L112/1000))</f>
        <v/>
      </c>
      <c r="X101" s="298" t="str">
        <f>IF(B101="", "", 'Lighting Inventory (Ref only)'!Q112)</f>
        <v/>
      </c>
      <c r="Y101" s="298" t="str">
        <f>IF(C101="", "", Inventory!N109)</f>
        <v/>
      </c>
      <c r="Z101" s="374" t="str">
        <f>IF(B101="", "", 'Lighting Inventory (Ref only)'!P112)</f>
        <v/>
      </c>
      <c r="AA101" s="372" t="str">
        <f>IF(B101="", "",'Lighting Inventory (Ref only)'!R112/1000)</f>
        <v/>
      </c>
      <c r="AB101" s="372" t="str">
        <f>IF(B101="", "", Inventory!M109)</f>
        <v/>
      </c>
      <c r="AC101" s="374" t="str">
        <f>IF(B101="", "", 'Lighting Inventory (Ref only)'!T112)</f>
        <v/>
      </c>
      <c r="AD101" s="374" t="str">
        <f>IF(C101="", "", 'Lighting Inventory (Ref only)'!AA112)</f>
        <v/>
      </c>
      <c r="AE101" s="375" t="str">
        <f>IF(B101="", "", 'Lighting Inventory (Ref only)'!U112)</f>
        <v/>
      </c>
      <c r="AF101" s="375" t="str">
        <f>IF(B101="", "",'Lighting Inventory (Ref only)'!W112)</f>
        <v/>
      </c>
      <c r="AG101" s="375" t="str">
        <f>IF(B101="", "", 'Lighting Inventory (Ref only)'!V112)</f>
        <v/>
      </c>
      <c r="AH101" s="375" t="str">
        <f>IF(B101="", "",'Lighting Inventory (Ref only)'!Z112)</f>
        <v/>
      </c>
      <c r="AI101" s="375" t="str">
        <f>IF(B101="", "", 'Lighting Inventory (Ref only)'!Y112)</f>
        <v/>
      </c>
      <c r="AJ101" s="375" t="str">
        <f>IF(C101="", "",'Lighting Inventory (Ref only)'!AB112)</f>
        <v/>
      </c>
      <c r="AK101" s="375" t="str">
        <f>IF(B101="", "", 'Lighting Inventory (Ref only)'!AG112)</f>
        <v/>
      </c>
      <c r="AL101" s="375" t="str">
        <f>IF(B101="", "", 'Lighting Inventory (Ref only)'!AD112)</f>
        <v/>
      </c>
      <c r="AM101" s="375" t="str">
        <f>IF(B101="", "", 'Lighting Inventory (Ref only)'!AE112)</f>
        <v/>
      </c>
      <c r="AN101" s="375" t="str">
        <f>IF(B101="", "", 'Lighting Inventory (Ref only)'!AF112)</f>
        <v/>
      </c>
      <c r="AO101" s="375" t="str">
        <f>IF(B101="", "", 'Lighting Inventory (Ref only)'!AG112)</f>
        <v/>
      </c>
    </row>
    <row r="102" spans="1:41">
      <c r="A102" s="298" t="str">
        <f>IF(G102="", "", Lookups!BF104)</f>
        <v/>
      </c>
      <c r="B102" s="298" t="str">
        <f>IF('Lighting Inventory (Ref only)'!Q113="", "", 'Lighting Inventory (Ref only)'!Q113)</f>
        <v/>
      </c>
      <c r="C102" s="298" t="str">
        <f>IF(A102="", "", 'Lighting Inventory (Ref only)'!AO113)</f>
        <v/>
      </c>
      <c r="D102" s="370" t="str">
        <f>IF(B102= "","", Inventory!S110)</f>
        <v/>
      </c>
      <c r="E102" s="371"/>
      <c r="F102" s="298" t="str">
        <f>IF(B102="", "", 'Version Log'!$B$34)</f>
        <v/>
      </c>
      <c r="G102" s="298" t="str">
        <f t="shared" si="4"/>
        <v/>
      </c>
      <c r="H102" s="298" t="str">
        <f t="shared" si="5"/>
        <v/>
      </c>
      <c r="I102" s="298" t="str">
        <f>IF(B102="", "",Inventory!D110)</f>
        <v/>
      </c>
      <c r="J102" s="298" t="str">
        <f>IF(B102="","",IF(Inventory!C110="N","Interior","Exterior"))</f>
        <v/>
      </c>
      <c r="K102" s="298" t="str">
        <f t="shared" si="6"/>
        <v/>
      </c>
      <c r="L102" s="298" t="str">
        <f>IF(B102="", "", Inventory!E110)</f>
        <v/>
      </c>
      <c r="M102" s="298" t="str">
        <f>IF(B102="","",IF(Cool_Type=Lookups!$L$9,Cool_Type,IF(Cool_Type=Lookups!$L$10,Cool_Type,IF(Cool_Type=Lookups!$L$11,Cool_Type,IF(Cool_Type=Lookups!L112,Cool_Type,IF('Project Info and Summary'!$C$20="Electric",CONCATENATE(Cool_Type," ",Heating_Type," Heat"),IF('Project Info and Summary'!$C$20="Non-Electric",CONCATENATE(Cool_Type," ",Heating_Type," Heat"),CONCATENATE(Cool_Type," ",Heating_Type))))))))</f>
        <v/>
      </c>
      <c r="N102" s="298" t="str">
        <f t="shared" si="7"/>
        <v/>
      </c>
      <c r="O102" s="298" t="str">
        <f>IF(B102="", "", 'Lighting Inventory (Ref only)'!G113)</f>
        <v/>
      </c>
      <c r="P102" s="298" t="str">
        <f>IF(B102="", "", 'Lighting Inventory (Ref only)'!E113)</f>
        <v/>
      </c>
      <c r="Q102" s="298" t="str">
        <f>IF(B102="", "", 'Lighting Inventory (Ref only)'!J113)</f>
        <v/>
      </c>
      <c r="R102" s="298" t="str">
        <f>IF(B102="", "",'Lighting Inventory (Ref only)'!K113)</f>
        <v/>
      </c>
      <c r="S102" s="372" t="str">
        <f>IF(B102="", "", 'Lighting Inventory (Ref only)'!G113*'Lighting Inventory (Ref only)'!K113/1000)</f>
        <v/>
      </c>
      <c r="T102" s="298" t="str">
        <f>IF(B102="", "", IF('Lighting Inventory (Ref only)'!I113="", "Light Switch",Inventory!H110))</f>
        <v/>
      </c>
      <c r="U102" s="298" t="str">
        <f>IF(B102="", "", 'Lighting Inventory (Ref only)'!Q113)</f>
        <v/>
      </c>
      <c r="V102" s="298" t="str">
        <f>IF(B102="", "", 'Lighting Inventory (Ref only)'!K113)</f>
        <v/>
      </c>
      <c r="W102" s="373" t="str">
        <f>IF(B102="","",('Lighting Inventory (Ref only)'!L113/1000))</f>
        <v/>
      </c>
      <c r="X102" s="298" t="str">
        <f>IF(B102="", "", 'Lighting Inventory (Ref only)'!Q113)</f>
        <v/>
      </c>
      <c r="Y102" s="298" t="str">
        <f>IF(C102="", "", Inventory!N110)</f>
        <v/>
      </c>
      <c r="Z102" s="374" t="str">
        <f>IF(B102="", "", 'Lighting Inventory (Ref only)'!P113)</f>
        <v/>
      </c>
      <c r="AA102" s="372" t="str">
        <f>IF(B102="", "",'Lighting Inventory (Ref only)'!R113/1000)</f>
        <v/>
      </c>
      <c r="AB102" s="372" t="str">
        <f>IF(B102="", "", Inventory!M110)</f>
        <v/>
      </c>
      <c r="AC102" s="374" t="str">
        <f>IF(B102="", "", 'Lighting Inventory (Ref only)'!T113)</f>
        <v/>
      </c>
      <c r="AD102" s="374" t="str">
        <f>IF(C102="", "", 'Lighting Inventory (Ref only)'!AA113)</f>
        <v/>
      </c>
      <c r="AE102" s="375" t="str">
        <f>IF(B102="", "", 'Lighting Inventory (Ref only)'!U113)</f>
        <v/>
      </c>
      <c r="AF102" s="375" t="str">
        <f>IF(B102="", "",'Lighting Inventory (Ref only)'!W113)</f>
        <v/>
      </c>
      <c r="AG102" s="375" t="str">
        <f>IF(B102="", "", 'Lighting Inventory (Ref only)'!V113)</f>
        <v/>
      </c>
      <c r="AH102" s="375" t="str">
        <f>IF(B102="", "",'Lighting Inventory (Ref only)'!Z113)</f>
        <v/>
      </c>
      <c r="AI102" s="375" t="str">
        <f>IF(B102="", "", 'Lighting Inventory (Ref only)'!Y113)</f>
        <v/>
      </c>
      <c r="AJ102" s="375" t="str">
        <f>IF(C102="", "",'Lighting Inventory (Ref only)'!AB113)</f>
        <v/>
      </c>
      <c r="AK102" s="375" t="str">
        <f>IF(B102="", "", 'Lighting Inventory (Ref only)'!AG113)</f>
        <v/>
      </c>
      <c r="AL102" s="375" t="str">
        <f>IF(B102="", "", 'Lighting Inventory (Ref only)'!AD113)</f>
        <v/>
      </c>
      <c r="AM102" s="375" t="str">
        <f>IF(B102="", "", 'Lighting Inventory (Ref only)'!AE113)</f>
        <v/>
      </c>
      <c r="AN102" s="375" t="str">
        <f>IF(B102="", "", 'Lighting Inventory (Ref only)'!AF113)</f>
        <v/>
      </c>
      <c r="AO102" s="375" t="str">
        <f>IF(B102="", "", 'Lighting Inventory (Ref only)'!AG113)</f>
        <v/>
      </c>
    </row>
    <row r="103" spans="1:41">
      <c r="A103" s="298" t="str">
        <f>IF(G103="", "", Lookups!BF105)</f>
        <v/>
      </c>
      <c r="B103" s="298" t="str">
        <f>IF('Lighting Inventory (Ref only)'!Q114="", "", 'Lighting Inventory (Ref only)'!Q114)</f>
        <v/>
      </c>
      <c r="C103" s="298" t="str">
        <f>IF(A103="", "", 'Lighting Inventory (Ref only)'!AO114)</f>
        <v/>
      </c>
      <c r="D103" s="370" t="str">
        <f>IF(B103= "","", Inventory!S111)</f>
        <v/>
      </c>
      <c r="E103" s="371"/>
      <c r="F103" s="298" t="str">
        <f>IF(B103="", "", 'Version Log'!$B$34)</f>
        <v/>
      </c>
      <c r="G103" s="298" t="str">
        <f t="shared" si="4"/>
        <v/>
      </c>
      <c r="H103" s="298" t="str">
        <f t="shared" si="5"/>
        <v/>
      </c>
      <c r="I103" s="298" t="str">
        <f>IF(B103="", "",Inventory!D111)</f>
        <v/>
      </c>
      <c r="J103" s="298" t="str">
        <f>IF(B103="","",IF(Inventory!C111="N","Interior","Exterior"))</f>
        <v/>
      </c>
      <c r="K103" s="298" t="str">
        <f t="shared" si="6"/>
        <v/>
      </c>
      <c r="L103" s="298" t="str">
        <f>IF(B103="", "", Inventory!E111)</f>
        <v/>
      </c>
      <c r="M103" s="298" t="str">
        <f>IF(B103="","",IF(Cool_Type=Lookups!$L$9,Cool_Type,IF(Cool_Type=Lookups!$L$10,Cool_Type,IF(Cool_Type=Lookups!$L$11,Cool_Type,IF(Cool_Type=Lookups!L113,Cool_Type,IF('Project Info and Summary'!$C$20="Electric",CONCATENATE(Cool_Type," ",Heating_Type," Heat"),IF('Project Info and Summary'!$C$20="Non-Electric",CONCATENATE(Cool_Type," ",Heating_Type," Heat"),CONCATENATE(Cool_Type," ",Heating_Type))))))))</f>
        <v/>
      </c>
      <c r="N103" s="298" t="str">
        <f t="shared" si="7"/>
        <v/>
      </c>
      <c r="O103" s="298" t="str">
        <f>IF(B103="", "", 'Lighting Inventory (Ref only)'!G114)</f>
        <v/>
      </c>
      <c r="P103" s="298" t="str">
        <f>IF(B103="", "", 'Lighting Inventory (Ref only)'!E114)</f>
        <v/>
      </c>
      <c r="Q103" s="298" t="str">
        <f>IF(B103="", "", 'Lighting Inventory (Ref only)'!J114)</f>
        <v/>
      </c>
      <c r="R103" s="298" t="str">
        <f>IF(B103="", "",'Lighting Inventory (Ref only)'!K114)</f>
        <v/>
      </c>
      <c r="S103" s="372" t="str">
        <f>IF(B103="", "", 'Lighting Inventory (Ref only)'!G114*'Lighting Inventory (Ref only)'!K114/1000)</f>
        <v/>
      </c>
      <c r="T103" s="298" t="str">
        <f>IF(B103="", "", IF('Lighting Inventory (Ref only)'!I114="", "Light Switch",Inventory!H111))</f>
        <v/>
      </c>
      <c r="U103" s="298" t="str">
        <f>IF(B103="", "", 'Lighting Inventory (Ref only)'!Q114)</f>
        <v/>
      </c>
      <c r="V103" s="298" t="str">
        <f>IF(B103="", "", 'Lighting Inventory (Ref only)'!K114)</f>
        <v/>
      </c>
      <c r="W103" s="373" t="str">
        <f>IF(B103="","",('Lighting Inventory (Ref only)'!L114/1000))</f>
        <v/>
      </c>
      <c r="X103" s="298" t="str">
        <f>IF(B103="", "", 'Lighting Inventory (Ref only)'!Q114)</f>
        <v/>
      </c>
      <c r="Y103" s="298" t="str">
        <f>IF(C103="", "", Inventory!N111)</f>
        <v/>
      </c>
      <c r="Z103" s="374" t="str">
        <f>IF(B103="", "", 'Lighting Inventory (Ref only)'!P114)</f>
        <v/>
      </c>
      <c r="AA103" s="372" t="str">
        <f>IF(B103="", "",'Lighting Inventory (Ref only)'!R114/1000)</f>
        <v/>
      </c>
      <c r="AB103" s="372" t="str">
        <f>IF(B103="", "", Inventory!M111)</f>
        <v/>
      </c>
      <c r="AC103" s="374" t="str">
        <f>IF(B103="", "", 'Lighting Inventory (Ref only)'!T114)</f>
        <v/>
      </c>
      <c r="AD103" s="374" t="str">
        <f>IF(C103="", "", 'Lighting Inventory (Ref only)'!AA114)</f>
        <v/>
      </c>
      <c r="AE103" s="375" t="str">
        <f>IF(B103="", "", 'Lighting Inventory (Ref only)'!U114)</f>
        <v/>
      </c>
      <c r="AF103" s="375" t="str">
        <f>IF(B103="", "",'Lighting Inventory (Ref only)'!W114)</f>
        <v/>
      </c>
      <c r="AG103" s="375" t="str">
        <f>IF(B103="", "", 'Lighting Inventory (Ref only)'!V114)</f>
        <v/>
      </c>
      <c r="AH103" s="375" t="str">
        <f>IF(B103="", "",'Lighting Inventory (Ref only)'!Z114)</f>
        <v/>
      </c>
      <c r="AI103" s="375" t="str">
        <f>IF(B103="", "", 'Lighting Inventory (Ref only)'!Y114)</f>
        <v/>
      </c>
      <c r="AJ103" s="375" t="str">
        <f>IF(C103="", "",'Lighting Inventory (Ref only)'!AB114)</f>
        <v/>
      </c>
      <c r="AK103" s="375" t="str">
        <f>IF(B103="", "", 'Lighting Inventory (Ref only)'!AG114)</f>
        <v/>
      </c>
      <c r="AL103" s="375" t="str">
        <f>IF(B103="", "", 'Lighting Inventory (Ref only)'!AD114)</f>
        <v/>
      </c>
      <c r="AM103" s="375" t="str">
        <f>IF(B103="", "", 'Lighting Inventory (Ref only)'!AE114)</f>
        <v/>
      </c>
      <c r="AN103" s="375" t="str">
        <f>IF(B103="", "", 'Lighting Inventory (Ref only)'!AF114)</f>
        <v/>
      </c>
      <c r="AO103" s="375" t="str">
        <f>IF(B103="", "", 'Lighting Inventory (Ref only)'!AG114)</f>
        <v/>
      </c>
    </row>
    <row r="104" spans="1:41">
      <c r="A104" s="298" t="str">
        <f>IF(G104="", "", Lookups!BF106)</f>
        <v/>
      </c>
      <c r="B104" s="298" t="str">
        <f>IF('Lighting Inventory (Ref only)'!Q115="", "", 'Lighting Inventory (Ref only)'!Q115)</f>
        <v/>
      </c>
      <c r="C104" s="298" t="str">
        <f>IF(A104="", "", 'Lighting Inventory (Ref only)'!AO115)</f>
        <v/>
      </c>
      <c r="D104" s="370" t="str">
        <f>IF(B104= "","", Inventory!S112)</f>
        <v/>
      </c>
      <c r="E104" s="371"/>
      <c r="F104" s="298" t="str">
        <f>IF(B104="", "", 'Version Log'!$B$34)</f>
        <v/>
      </c>
      <c r="G104" s="298" t="str">
        <f t="shared" si="4"/>
        <v/>
      </c>
      <c r="H104" s="298" t="str">
        <f t="shared" si="5"/>
        <v/>
      </c>
      <c r="I104" s="298" t="str">
        <f>IF(B104="", "",Inventory!D112)</f>
        <v/>
      </c>
      <c r="J104" s="298" t="str">
        <f>IF(B104="","",IF(Inventory!C112="N","Interior","Exterior"))</f>
        <v/>
      </c>
      <c r="K104" s="298" t="str">
        <f t="shared" si="6"/>
        <v/>
      </c>
      <c r="L104" s="298" t="str">
        <f>IF(B104="", "", Inventory!E112)</f>
        <v/>
      </c>
      <c r="M104" s="298" t="str">
        <f>IF(B104="","",IF(Cool_Type=Lookups!$L$9,Cool_Type,IF(Cool_Type=Lookups!$L$10,Cool_Type,IF(Cool_Type=Lookups!$L$11,Cool_Type,IF(Cool_Type=Lookups!L114,Cool_Type,IF('Project Info and Summary'!$C$20="Electric",CONCATENATE(Cool_Type," ",Heating_Type," Heat"),IF('Project Info and Summary'!$C$20="Non-Electric",CONCATENATE(Cool_Type," ",Heating_Type," Heat"),CONCATENATE(Cool_Type," ",Heating_Type))))))))</f>
        <v/>
      </c>
      <c r="N104" s="298" t="str">
        <f t="shared" si="7"/>
        <v/>
      </c>
      <c r="O104" s="298" t="str">
        <f>IF(B104="", "", 'Lighting Inventory (Ref only)'!G115)</f>
        <v/>
      </c>
      <c r="P104" s="298" t="str">
        <f>IF(B104="", "", 'Lighting Inventory (Ref only)'!E115)</f>
        <v/>
      </c>
      <c r="Q104" s="298" t="str">
        <f>IF(B104="", "", 'Lighting Inventory (Ref only)'!J115)</f>
        <v/>
      </c>
      <c r="R104" s="298" t="str">
        <f>IF(B104="", "",'Lighting Inventory (Ref only)'!K115)</f>
        <v/>
      </c>
      <c r="S104" s="372" t="str">
        <f>IF(B104="", "", 'Lighting Inventory (Ref only)'!G115*'Lighting Inventory (Ref only)'!K115/1000)</f>
        <v/>
      </c>
      <c r="T104" s="298" t="str">
        <f>IF(B104="", "", IF('Lighting Inventory (Ref only)'!I115="", "Light Switch",Inventory!H112))</f>
        <v/>
      </c>
      <c r="U104" s="298" t="str">
        <f>IF(B104="", "", 'Lighting Inventory (Ref only)'!Q115)</f>
        <v/>
      </c>
      <c r="V104" s="298" t="str">
        <f>IF(B104="", "", 'Lighting Inventory (Ref only)'!K115)</f>
        <v/>
      </c>
      <c r="W104" s="373" t="str">
        <f>IF(B104="","",('Lighting Inventory (Ref only)'!L115/1000))</f>
        <v/>
      </c>
      <c r="X104" s="298" t="str">
        <f>IF(B104="", "", 'Lighting Inventory (Ref only)'!Q115)</f>
        <v/>
      </c>
      <c r="Y104" s="298" t="str">
        <f>IF(C104="", "", Inventory!N112)</f>
        <v/>
      </c>
      <c r="Z104" s="374" t="str">
        <f>IF(B104="", "", 'Lighting Inventory (Ref only)'!P115)</f>
        <v/>
      </c>
      <c r="AA104" s="372" t="str">
        <f>IF(B104="", "",'Lighting Inventory (Ref only)'!R115/1000)</f>
        <v/>
      </c>
      <c r="AB104" s="372" t="str">
        <f>IF(B104="", "", Inventory!M112)</f>
        <v/>
      </c>
      <c r="AC104" s="374" t="str">
        <f>IF(B104="", "", 'Lighting Inventory (Ref only)'!T115)</f>
        <v/>
      </c>
      <c r="AD104" s="374" t="str">
        <f>IF(C104="", "", 'Lighting Inventory (Ref only)'!AA115)</f>
        <v/>
      </c>
      <c r="AE104" s="375" t="str">
        <f>IF(B104="", "", 'Lighting Inventory (Ref only)'!U115)</f>
        <v/>
      </c>
      <c r="AF104" s="375" t="str">
        <f>IF(B104="", "",'Lighting Inventory (Ref only)'!W115)</f>
        <v/>
      </c>
      <c r="AG104" s="375" t="str">
        <f>IF(B104="", "", 'Lighting Inventory (Ref only)'!V115)</f>
        <v/>
      </c>
      <c r="AH104" s="375" t="str">
        <f>IF(B104="", "",'Lighting Inventory (Ref only)'!Z115)</f>
        <v/>
      </c>
      <c r="AI104" s="375" t="str">
        <f>IF(B104="", "", 'Lighting Inventory (Ref only)'!Y115)</f>
        <v/>
      </c>
      <c r="AJ104" s="375" t="str">
        <f>IF(C104="", "",'Lighting Inventory (Ref only)'!AB115)</f>
        <v/>
      </c>
      <c r="AK104" s="375" t="str">
        <f>IF(B104="", "", 'Lighting Inventory (Ref only)'!AG115)</f>
        <v/>
      </c>
      <c r="AL104" s="375" t="str">
        <f>IF(B104="", "", 'Lighting Inventory (Ref only)'!AD115)</f>
        <v/>
      </c>
      <c r="AM104" s="375" t="str">
        <f>IF(B104="", "", 'Lighting Inventory (Ref only)'!AE115)</f>
        <v/>
      </c>
      <c r="AN104" s="375" t="str">
        <f>IF(B104="", "", 'Lighting Inventory (Ref only)'!AF115)</f>
        <v/>
      </c>
      <c r="AO104" s="375" t="str">
        <f>IF(B104="", "", 'Lighting Inventory (Ref only)'!AG115)</f>
        <v/>
      </c>
    </row>
    <row r="105" spans="1:41">
      <c r="A105" s="298" t="str">
        <f>IF(G105="", "", Lookups!BF107)</f>
        <v/>
      </c>
      <c r="B105" s="298" t="str">
        <f>IF('Lighting Inventory (Ref only)'!Q116="", "", 'Lighting Inventory (Ref only)'!Q116)</f>
        <v/>
      </c>
      <c r="C105" s="298" t="str">
        <f>IF(A105="", "", 'Lighting Inventory (Ref only)'!AO116)</f>
        <v/>
      </c>
      <c r="D105" s="370" t="str">
        <f>IF(B105= "","", Inventory!S113)</f>
        <v/>
      </c>
      <c r="E105" s="371"/>
      <c r="F105" s="298" t="str">
        <f>IF(B105="", "", 'Version Log'!$B$34)</f>
        <v/>
      </c>
      <c r="G105" s="298" t="str">
        <f t="shared" si="4"/>
        <v/>
      </c>
      <c r="H105" s="298" t="str">
        <f t="shared" si="5"/>
        <v/>
      </c>
      <c r="I105" s="298" t="str">
        <f>IF(B105="", "",Inventory!D113)</f>
        <v/>
      </c>
      <c r="J105" s="298" t="str">
        <f>IF(B105="","",IF(Inventory!C113="N","Interior","Exterior"))</f>
        <v/>
      </c>
      <c r="K105" s="298" t="str">
        <f t="shared" si="6"/>
        <v/>
      </c>
      <c r="L105" s="298" t="str">
        <f>IF(B105="", "", Inventory!E113)</f>
        <v/>
      </c>
      <c r="M105" s="298" t="str">
        <f>IF(B105="","",IF(Cool_Type=Lookups!$L$9,Cool_Type,IF(Cool_Type=Lookups!$L$10,Cool_Type,IF(Cool_Type=Lookups!$L$11,Cool_Type,IF(Cool_Type=Lookups!L115,Cool_Type,IF('Project Info and Summary'!$C$20="Electric",CONCATENATE(Cool_Type," ",Heating_Type," Heat"),IF('Project Info and Summary'!$C$20="Non-Electric",CONCATENATE(Cool_Type," ",Heating_Type," Heat"),CONCATENATE(Cool_Type," ",Heating_Type))))))))</f>
        <v/>
      </c>
      <c r="N105" s="298" t="str">
        <f t="shared" si="7"/>
        <v/>
      </c>
      <c r="O105" s="298" t="str">
        <f>IF(B105="", "", 'Lighting Inventory (Ref only)'!G116)</f>
        <v/>
      </c>
      <c r="P105" s="298" t="str">
        <f>IF(B105="", "", 'Lighting Inventory (Ref only)'!E116)</f>
        <v/>
      </c>
      <c r="Q105" s="298" t="str">
        <f>IF(B105="", "", 'Lighting Inventory (Ref only)'!J116)</f>
        <v/>
      </c>
      <c r="R105" s="298" t="str">
        <f>IF(B105="", "",'Lighting Inventory (Ref only)'!K116)</f>
        <v/>
      </c>
      <c r="S105" s="372" t="str">
        <f>IF(B105="", "", 'Lighting Inventory (Ref only)'!G116*'Lighting Inventory (Ref only)'!K116/1000)</f>
        <v/>
      </c>
      <c r="T105" s="298" t="str">
        <f>IF(B105="", "", IF('Lighting Inventory (Ref only)'!I116="", "Light Switch",Inventory!H113))</f>
        <v/>
      </c>
      <c r="U105" s="298" t="str">
        <f>IF(B105="", "", 'Lighting Inventory (Ref only)'!Q116)</f>
        <v/>
      </c>
      <c r="V105" s="298" t="str">
        <f>IF(B105="", "", 'Lighting Inventory (Ref only)'!K116)</f>
        <v/>
      </c>
      <c r="W105" s="373" t="str">
        <f>IF(B105="","",('Lighting Inventory (Ref only)'!L116/1000))</f>
        <v/>
      </c>
      <c r="X105" s="298" t="str">
        <f>IF(B105="", "", 'Lighting Inventory (Ref only)'!Q116)</f>
        <v/>
      </c>
      <c r="Y105" s="298" t="str">
        <f>IF(C105="", "", Inventory!N113)</f>
        <v/>
      </c>
      <c r="Z105" s="374" t="str">
        <f>IF(B105="", "", 'Lighting Inventory (Ref only)'!P116)</f>
        <v/>
      </c>
      <c r="AA105" s="372" t="str">
        <f>IF(B105="", "",'Lighting Inventory (Ref only)'!R116/1000)</f>
        <v/>
      </c>
      <c r="AB105" s="372" t="str">
        <f>IF(B105="", "", Inventory!M113)</f>
        <v/>
      </c>
      <c r="AC105" s="374" t="str">
        <f>IF(B105="", "", 'Lighting Inventory (Ref only)'!T116)</f>
        <v/>
      </c>
      <c r="AD105" s="374" t="str">
        <f>IF(C105="", "", 'Lighting Inventory (Ref only)'!AA116)</f>
        <v/>
      </c>
      <c r="AE105" s="375" t="str">
        <f>IF(B105="", "", 'Lighting Inventory (Ref only)'!U116)</f>
        <v/>
      </c>
      <c r="AF105" s="375" t="str">
        <f>IF(B105="", "",'Lighting Inventory (Ref only)'!W116)</f>
        <v/>
      </c>
      <c r="AG105" s="375" t="str">
        <f>IF(B105="", "", 'Lighting Inventory (Ref only)'!V116)</f>
        <v/>
      </c>
      <c r="AH105" s="375" t="str">
        <f>IF(B105="", "",'Lighting Inventory (Ref only)'!Z116)</f>
        <v/>
      </c>
      <c r="AI105" s="375" t="str">
        <f>IF(B105="", "", 'Lighting Inventory (Ref only)'!Y116)</f>
        <v/>
      </c>
      <c r="AJ105" s="375" t="str">
        <f>IF(C105="", "",'Lighting Inventory (Ref only)'!AB116)</f>
        <v/>
      </c>
      <c r="AK105" s="375" t="str">
        <f>IF(B105="", "", 'Lighting Inventory (Ref only)'!AG116)</f>
        <v/>
      </c>
      <c r="AL105" s="375" t="str">
        <f>IF(B105="", "", 'Lighting Inventory (Ref only)'!AD116)</f>
        <v/>
      </c>
      <c r="AM105" s="375" t="str">
        <f>IF(B105="", "", 'Lighting Inventory (Ref only)'!AE116)</f>
        <v/>
      </c>
      <c r="AN105" s="375" t="str">
        <f>IF(B105="", "", 'Lighting Inventory (Ref only)'!AF116)</f>
        <v/>
      </c>
      <c r="AO105" s="375" t="str">
        <f>IF(B105="", "", 'Lighting Inventory (Ref only)'!AG116)</f>
        <v/>
      </c>
    </row>
    <row r="106" spans="1:41">
      <c r="A106" s="298" t="str">
        <f>IF(G106="", "", Lookups!BF108)</f>
        <v/>
      </c>
      <c r="B106" s="298" t="str">
        <f>IF('Lighting Inventory (Ref only)'!Q117="", "", 'Lighting Inventory (Ref only)'!Q117)</f>
        <v/>
      </c>
      <c r="C106" s="298" t="str">
        <f>IF(A106="", "", 'Lighting Inventory (Ref only)'!AO117)</f>
        <v/>
      </c>
      <c r="D106" s="370" t="str">
        <f>IF(B106= "","", Inventory!S114)</f>
        <v/>
      </c>
      <c r="E106" s="371"/>
      <c r="F106" s="298" t="str">
        <f>IF(B106="", "", 'Version Log'!$B$34)</f>
        <v/>
      </c>
      <c r="G106" s="298" t="str">
        <f t="shared" si="4"/>
        <v/>
      </c>
      <c r="H106" s="298" t="str">
        <f t="shared" si="5"/>
        <v/>
      </c>
      <c r="I106" s="298" t="str">
        <f>IF(B106="", "",Inventory!D114)</f>
        <v/>
      </c>
      <c r="J106" s="298" t="str">
        <f>IF(B106="","",IF(Inventory!C114="N","Interior","Exterior"))</f>
        <v/>
      </c>
      <c r="K106" s="298" t="str">
        <f t="shared" si="6"/>
        <v/>
      </c>
      <c r="L106" s="298" t="str">
        <f>IF(B106="", "", Inventory!E114)</f>
        <v/>
      </c>
      <c r="M106" s="298" t="str">
        <f>IF(B106="","",IF(Cool_Type=Lookups!$L$9,Cool_Type,IF(Cool_Type=Lookups!$L$10,Cool_Type,IF(Cool_Type=Lookups!$L$11,Cool_Type,IF(Cool_Type=Lookups!L116,Cool_Type,IF('Project Info and Summary'!$C$20="Electric",CONCATENATE(Cool_Type," ",Heating_Type," Heat"),IF('Project Info and Summary'!$C$20="Non-Electric",CONCATENATE(Cool_Type," ",Heating_Type," Heat"),CONCATENATE(Cool_Type," ",Heating_Type))))))))</f>
        <v/>
      </c>
      <c r="N106" s="298" t="str">
        <f t="shared" si="7"/>
        <v/>
      </c>
      <c r="O106" s="298" t="str">
        <f>IF(B106="", "", 'Lighting Inventory (Ref only)'!G117)</f>
        <v/>
      </c>
      <c r="P106" s="298" t="str">
        <f>IF(B106="", "", 'Lighting Inventory (Ref only)'!E117)</f>
        <v/>
      </c>
      <c r="Q106" s="298" t="str">
        <f>IF(B106="", "", 'Lighting Inventory (Ref only)'!J117)</f>
        <v/>
      </c>
      <c r="R106" s="298" t="str">
        <f>IF(B106="", "",'Lighting Inventory (Ref only)'!K117)</f>
        <v/>
      </c>
      <c r="S106" s="372" t="str">
        <f>IF(B106="", "", 'Lighting Inventory (Ref only)'!G117*'Lighting Inventory (Ref only)'!K117/1000)</f>
        <v/>
      </c>
      <c r="T106" s="298" t="str">
        <f>IF(B106="", "", IF('Lighting Inventory (Ref only)'!I117="", "Light Switch",Inventory!H114))</f>
        <v/>
      </c>
      <c r="U106" s="298" t="str">
        <f>IF(B106="", "", 'Lighting Inventory (Ref only)'!Q117)</f>
        <v/>
      </c>
      <c r="V106" s="298" t="str">
        <f>IF(B106="", "", 'Lighting Inventory (Ref only)'!K117)</f>
        <v/>
      </c>
      <c r="W106" s="373" t="str">
        <f>IF(B106="","",('Lighting Inventory (Ref only)'!L117/1000))</f>
        <v/>
      </c>
      <c r="X106" s="298" t="str">
        <f>IF(B106="", "", 'Lighting Inventory (Ref only)'!Q117)</f>
        <v/>
      </c>
      <c r="Y106" s="298" t="str">
        <f>IF(C106="", "", Inventory!N114)</f>
        <v/>
      </c>
      <c r="Z106" s="374" t="str">
        <f>IF(B106="", "", 'Lighting Inventory (Ref only)'!P117)</f>
        <v/>
      </c>
      <c r="AA106" s="372" t="str">
        <f>IF(B106="", "",'Lighting Inventory (Ref only)'!R117/1000)</f>
        <v/>
      </c>
      <c r="AB106" s="372" t="str">
        <f>IF(B106="", "", Inventory!M114)</f>
        <v/>
      </c>
      <c r="AC106" s="374" t="str">
        <f>IF(B106="", "", 'Lighting Inventory (Ref only)'!T117)</f>
        <v/>
      </c>
      <c r="AD106" s="374" t="str">
        <f>IF(C106="", "", 'Lighting Inventory (Ref only)'!AA117)</f>
        <v/>
      </c>
      <c r="AE106" s="375" t="str">
        <f>IF(B106="", "", 'Lighting Inventory (Ref only)'!U117)</f>
        <v/>
      </c>
      <c r="AF106" s="375" t="str">
        <f>IF(B106="", "",'Lighting Inventory (Ref only)'!W117)</f>
        <v/>
      </c>
      <c r="AG106" s="375" t="str">
        <f>IF(B106="", "", 'Lighting Inventory (Ref only)'!V117)</f>
        <v/>
      </c>
      <c r="AH106" s="375" t="str">
        <f>IF(B106="", "",'Lighting Inventory (Ref only)'!Z117)</f>
        <v/>
      </c>
      <c r="AI106" s="375" t="str">
        <f>IF(B106="", "", 'Lighting Inventory (Ref only)'!Y117)</f>
        <v/>
      </c>
      <c r="AJ106" s="375" t="str">
        <f>IF(C106="", "",'Lighting Inventory (Ref only)'!AB117)</f>
        <v/>
      </c>
      <c r="AK106" s="375" t="str">
        <f>IF(B106="", "", 'Lighting Inventory (Ref only)'!AG117)</f>
        <v/>
      </c>
      <c r="AL106" s="375" t="str">
        <f>IF(B106="", "", 'Lighting Inventory (Ref only)'!AD117)</f>
        <v/>
      </c>
      <c r="AM106" s="375" t="str">
        <f>IF(B106="", "", 'Lighting Inventory (Ref only)'!AE117)</f>
        <v/>
      </c>
      <c r="AN106" s="375" t="str">
        <f>IF(B106="", "", 'Lighting Inventory (Ref only)'!AF117)</f>
        <v/>
      </c>
      <c r="AO106" s="375" t="str">
        <f>IF(B106="", "", 'Lighting Inventory (Ref only)'!AG117)</f>
        <v/>
      </c>
    </row>
    <row r="107" spans="1:41">
      <c r="A107" s="298" t="str">
        <f>IF(G107="", "", Lookups!BF109)</f>
        <v/>
      </c>
      <c r="B107" s="298" t="str">
        <f>IF('Lighting Inventory (Ref only)'!Q118="", "", 'Lighting Inventory (Ref only)'!Q118)</f>
        <v/>
      </c>
      <c r="C107" s="298" t="str">
        <f>IF(A107="", "", 'Lighting Inventory (Ref only)'!AO118)</f>
        <v/>
      </c>
      <c r="D107" s="370" t="str">
        <f>IF(B107= "","", Inventory!S115)</f>
        <v/>
      </c>
      <c r="E107" s="371"/>
      <c r="F107" s="298" t="str">
        <f>IF(B107="", "", 'Version Log'!$B$34)</f>
        <v/>
      </c>
      <c r="G107" s="298" t="str">
        <f t="shared" si="4"/>
        <v/>
      </c>
      <c r="H107" s="298" t="str">
        <f t="shared" si="5"/>
        <v/>
      </c>
      <c r="I107" s="298" t="str">
        <f>IF(B107="", "",Inventory!D115)</f>
        <v/>
      </c>
      <c r="J107" s="298" t="str">
        <f>IF(B107="","",IF(Inventory!C115="N","Interior","Exterior"))</f>
        <v/>
      </c>
      <c r="K107" s="298" t="str">
        <f t="shared" si="6"/>
        <v/>
      </c>
      <c r="L107" s="298" t="str">
        <f>IF(B107="", "", Inventory!E115)</f>
        <v/>
      </c>
      <c r="M107" s="298" t="str">
        <f>IF(B107="","",IF(Cool_Type=Lookups!$L$9,Cool_Type,IF(Cool_Type=Lookups!$L$10,Cool_Type,IF(Cool_Type=Lookups!$L$11,Cool_Type,IF(Cool_Type=Lookups!L117,Cool_Type,IF('Project Info and Summary'!$C$20="Electric",CONCATENATE(Cool_Type," ",Heating_Type," Heat"),IF('Project Info and Summary'!$C$20="Non-Electric",CONCATENATE(Cool_Type," ",Heating_Type," Heat"),CONCATENATE(Cool_Type," ",Heating_Type))))))))</f>
        <v/>
      </c>
      <c r="N107" s="298" t="str">
        <f t="shared" si="7"/>
        <v/>
      </c>
      <c r="O107" s="298" t="str">
        <f>IF(B107="", "", 'Lighting Inventory (Ref only)'!G118)</f>
        <v/>
      </c>
      <c r="P107" s="298" t="str">
        <f>IF(B107="", "", 'Lighting Inventory (Ref only)'!E118)</f>
        <v/>
      </c>
      <c r="Q107" s="298" t="str">
        <f>IF(B107="", "", 'Lighting Inventory (Ref only)'!J118)</f>
        <v/>
      </c>
      <c r="R107" s="298" t="str">
        <f>IF(B107="", "",'Lighting Inventory (Ref only)'!K118)</f>
        <v/>
      </c>
      <c r="S107" s="372" t="str">
        <f>IF(B107="", "", 'Lighting Inventory (Ref only)'!G118*'Lighting Inventory (Ref only)'!K118/1000)</f>
        <v/>
      </c>
      <c r="T107" s="298" t="str">
        <f>IF(B107="", "", IF('Lighting Inventory (Ref only)'!I118="", "Light Switch",Inventory!H115))</f>
        <v/>
      </c>
      <c r="U107" s="298" t="str">
        <f>IF(B107="", "", 'Lighting Inventory (Ref only)'!Q118)</f>
        <v/>
      </c>
      <c r="V107" s="298" t="str">
        <f>IF(B107="", "", 'Lighting Inventory (Ref only)'!K118)</f>
        <v/>
      </c>
      <c r="W107" s="373" t="str">
        <f>IF(B107="","",('Lighting Inventory (Ref only)'!L118/1000))</f>
        <v/>
      </c>
      <c r="X107" s="298" t="str">
        <f>IF(B107="", "", 'Lighting Inventory (Ref only)'!Q118)</f>
        <v/>
      </c>
      <c r="Y107" s="298" t="str">
        <f>IF(C107="", "", Inventory!N115)</f>
        <v/>
      </c>
      <c r="Z107" s="374" t="str">
        <f>IF(B107="", "", 'Lighting Inventory (Ref only)'!P118)</f>
        <v/>
      </c>
      <c r="AA107" s="372" t="str">
        <f>IF(B107="", "",'Lighting Inventory (Ref only)'!R118/1000)</f>
        <v/>
      </c>
      <c r="AB107" s="372" t="str">
        <f>IF(B107="", "", Inventory!M115)</f>
        <v/>
      </c>
      <c r="AC107" s="374" t="str">
        <f>IF(B107="", "", 'Lighting Inventory (Ref only)'!T118)</f>
        <v/>
      </c>
      <c r="AD107" s="374" t="str">
        <f>IF(C107="", "", 'Lighting Inventory (Ref only)'!AA118)</f>
        <v/>
      </c>
      <c r="AE107" s="375" t="str">
        <f>IF(B107="", "", 'Lighting Inventory (Ref only)'!U118)</f>
        <v/>
      </c>
      <c r="AF107" s="375" t="str">
        <f>IF(B107="", "",'Lighting Inventory (Ref only)'!W118)</f>
        <v/>
      </c>
      <c r="AG107" s="375" t="str">
        <f>IF(B107="", "", 'Lighting Inventory (Ref only)'!V118)</f>
        <v/>
      </c>
      <c r="AH107" s="375" t="str">
        <f>IF(B107="", "",'Lighting Inventory (Ref only)'!Z118)</f>
        <v/>
      </c>
      <c r="AI107" s="375" t="str">
        <f>IF(B107="", "", 'Lighting Inventory (Ref only)'!Y118)</f>
        <v/>
      </c>
      <c r="AJ107" s="375" t="str">
        <f>IF(C107="", "",'Lighting Inventory (Ref only)'!AB118)</f>
        <v/>
      </c>
      <c r="AK107" s="375" t="str">
        <f>IF(B107="", "", 'Lighting Inventory (Ref only)'!AG118)</f>
        <v/>
      </c>
      <c r="AL107" s="375" t="str">
        <f>IF(B107="", "", 'Lighting Inventory (Ref only)'!AD118)</f>
        <v/>
      </c>
      <c r="AM107" s="375" t="str">
        <f>IF(B107="", "", 'Lighting Inventory (Ref only)'!AE118)</f>
        <v/>
      </c>
      <c r="AN107" s="375" t="str">
        <f>IF(B107="", "", 'Lighting Inventory (Ref only)'!AF118)</f>
        <v/>
      </c>
      <c r="AO107" s="375" t="str">
        <f>IF(B107="", "", 'Lighting Inventory (Ref only)'!AG118)</f>
        <v/>
      </c>
    </row>
    <row r="108" spans="1:41">
      <c r="A108" s="298" t="str">
        <f>IF(G108="", "", Lookups!BF110)</f>
        <v/>
      </c>
      <c r="B108" s="298" t="str">
        <f>IF('Lighting Inventory (Ref only)'!Q119="", "", 'Lighting Inventory (Ref only)'!Q119)</f>
        <v/>
      </c>
      <c r="C108" s="298" t="str">
        <f>IF(A108="", "", 'Lighting Inventory (Ref only)'!AO119)</f>
        <v/>
      </c>
      <c r="D108" s="370" t="str">
        <f>IF(B108= "","", Inventory!S116)</f>
        <v/>
      </c>
      <c r="E108" s="371"/>
      <c r="F108" s="298" t="str">
        <f>IF(B108="", "", 'Version Log'!$B$34)</f>
        <v/>
      </c>
      <c r="G108" s="298" t="str">
        <f t="shared" si="4"/>
        <v/>
      </c>
      <c r="H108" s="298" t="str">
        <f t="shared" si="5"/>
        <v/>
      </c>
      <c r="I108" s="298" t="str">
        <f>IF(B108="", "",Inventory!D116)</f>
        <v/>
      </c>
      <c r="J108" s="298" t="str">
        <f>IF(B108="","",IF(Inventory!C116="N","Interior","Exterior"))</f>
        <v/>
      </c>
      <c r="K108" s="298" t="str">
        <f t="shared" si="6"/>
        <v/>
      </c>
      <c r="L108" s="298" t="str">
        <f>IF(B108="", "", Inventory!E116)</f>
        <v/>
      </c>
      <c r="M108" s="298" t="str">
        <f>IF(B108="","",IF(Cool_Type=Lookups!$L$9,Cool_Type,IF(Cool_Type=Lookups!$L$10,Cool_Type,IF(Cool_Type=Lookups!$L$11,Cool_Type,IF(Cool_Type=Lookups!L118,Cool_Type,IF('Project Info and Summary'!$C$20="Electric",CONCATENATE(Cool_Type," ",Heating_Type," Heat"),IF('Project Info and Summary'!$C$20="Non-Electric",CONCATENATE(Cool_Type," ",Heating_Type," Heat"),CONCATENATE(Cool_Type," ",Heating_Type))))))))</f>
        <v/>
      </c>
      <c r="N108" s="298" t="str">
        <f t="shared" si="7"/>
        <v/>
      </c>
      <c r="O108" s="298" t="str">
        <f>IF(B108="", "", 'Lighting Inventory (Ref only)'!G119)</f>
        <v/>
      </c>
      <c r="P108" s="298" t="str">
        <f>IF(B108="", "", 'Lighting Inventory (Ref only)'!E119)</f>
        <v/>
      </c>
      <c r="Q108" s="298" t="str">
        <f>IF(B108="", "", 'Lighting Inventory (Ref only)'!J119)</f>
        <v/>
      </c>
      <c r="R108" s="298" t="str">
        <f>IF(B108="", "",'Lighting Inventory (Ref only)'!K119)</f>
        <v/>
      </c>
      <c r="S108" s="372" t="str">
        <f>IF(B108="", "", 'Lighting Inventory (Ref only)'!G119*'Lighting Inventory (Ref only)'!K119/1000)</f>
        <v/>
      </c>
      <c r="T108" s="298" t="str">
        <f>IF(B108="", "", IF('Lighting Inventory (Ref only)'!I119="", "Light Switch",Inventory!H116))</f>
        <v/>
      </c>
      <c r="U108" s="298" t="str">
        <f>IF(B108="", "", 'Lighting Inventory (Ref only)'!Q119)</f>
        <v/>
      </c>
      <c r="V108" s="298" t="str">
        <f>IF(B108="", "", 'Lighting Inventory (Ref only)'!K119)</f>
        <v/>
      </c>
      <c r="W108" s="373" t="str">
        <f>IF(B108="","",('Lighting Inventory (Ref only)'!L119/1000))</f>
        <v/>
      </c>
      <c r="X108" s="298" t="str">
        <f>IF(B108="", "", 'Lighting Inventory (Ref only)'!Q119)</f>
        <v/>
      </c>
      <c r="Y108" s="298" t="str">
        <f>IF(C108="", "", Inventory!N116)</f>
        <v/>
      </c>
      <c r="Z108" s="374" t="str">
        <f>IF(B108="", "", 'Lighting Inventory (Ref only)'!P119)</f>
        <v/>
      </c>
      <c r="AA108" s="372" t="str">
        <f>IF(B108="", "",'Lighting Inventory (Ref only)'!R119/1000)</f>
        <v/>
      </c>
      <c r="AB108" s="372" t="str">
        <f>IF(B108="", "", Inventory!M116)</f>
        <v/>
      </c>
      <c r="AC108" s="374" t="str">
        <f>IF(B108="", "", 'Lighting Inventory (Ref only)'!T119)</f>
        <v/>
      </c>
      <c r="AD108" s="374" t="str">
        <f>IF(C108="", "", 'Lighting Inventory (Ref only)'!AA119)</f>
        <v/>
      </c>
      <c r="AE108" s="375" t="str">
        <f>IF(B108="", "", 'Lighting Inventory (Ref only)'!U119)</f>
        <v/>
      </c>
      <c r="AF108" s="375" t="str">
        <f>IF(B108="", "",'Lighting Inventory (Ref only)'!W119)</f>
        <v/>
      </c>
      <c r="AG108" s="375" t="str">
        <f>IF(B108="", "", 'Lighting Inventory (Ref only)'!V119)</f>
        <v/>
      </c>
      <c r="AH108" s="375" t="str">
        <f>IF(B108="", "",'Lighting Inventory (Ref only)'!Z119)</f>
        <v/>
      </c>
      <c r="AI108" s="375" t="str">
        <f>IF(B108="", "", 'Lighting Inventory (Ref only)'!Y119)</f>
        <v/>
      </c>
      <c r="AJ108" s="375" t="str">
        <f>IF(C108="", "",'Lighting Inventory (Ref only)'!AB119)</f>
        <v/>
      </c>
      <c r="AK108" s="375" t="str">
        <f>IF(B108="", "", 'Lighting Inventory (Ref only)'!AG119)</f>
        <v/>
      </c>
      <c r="AL108" s="375" t="str">
        <f>IF(B108="", "", 'Lighting Inventory (Ref only)'!AD119)</f>
        <v/>
      </c>
      <c r="AM108" s="375" t="str">
        <f>IF(B108="", "", 'Lighting Inventory (Ref only)'!AE119)</f>
        <v/>
      </c>
      <c r="AN108" s="375" t="str">
        <f>IF(B108="", "", 'Lighting Inventory (Ref only)'!AF119)</f>
        <v/>
      </c>
      <c r="AO108" s="375" t="str">
        <f>IF(B108="", "", 'Lighting Inventory (Ref only)'!AG119)</f>
        <v/>
      </c>
    </row>
    <row r="109" spans="1:41">
      <c r="A109" s="298" t="str">
        <f>IF(G109="", "", Lookups!BF111)</f>
        <v/>
      </c>
      <c r="B109" s="298" t="str">
        <f>IF('Lighting Inventory (Ref only)'!Q120="", "", 'Lighting Inventory (Ref only)'!Q120)</f>
        <v/>
      </c>
      <c r="C109" s="298" t="str">
        <f>IF(A109="", "", 'Lighting Inventory (Ref only)'!AO120)</f>
        <v/>
      </c>
      <c r="D109" s="370" t="str">
        <f>IF(B109= "","", Inventory!S117)</f>
        <v/>
      </c>
      <c r="E109" s="371"/>
      <c r="F109" s="298" t="str">
        <f>IF(B109="", "", 'Version Log'!$B$34)</f>
        <v/>
      </c>
      <c r="G109" s="298" t="str">
        <f t="shared" si="4"/>
        <v/>
      </c>
      <c r="H109" s="298" t="str">
        <f t="shared" si="5"/>
        <v/>
      </c>
      <c r="I109" s="298" t="str">
        <f>IF(B109="", "",Inventory!D117)</f>
        <v/>
      </c>
      <c r="J109" s="298" t="str">
        <f>IF(B109="","",IF(Inventory!C117="N","Interior","Exterior"))</f>
        <v/>
      </c>
      <c r="K109" s="298" t="str">
        <f t="shared" si="6"/>
        <v/>
      </c>
      <c r="L109" s="298" t="str">
        <f>IF(B109="", "", Inventory!E117)</f>
        <v/>
      </c>
      <c r="M109" s="298" t="str">
        <f>IF(B109="","",IF(Cool_Type=Lookups!$L$9,Cool_Type,IF(Cool_Type=Lookups!$L$10,Cool_Type,IF(Cool_Type=Lookups!$L$11,Cool_Type,IF(Cool_Type=Lookups!L119,Cool_Type,IF('Project Info and Summary'!$C$20="Electric",CONCATENATE(Cool_Type," ",Heating_Type," Heat"),IF('Project Info and Summary'!$C$20="Non-Electric",CONCATENATE(Cool_Type," ",Heating_Type," Heat"),CONCATENATE(Cool_Type," ",Heating_Type))))))))</f>
        <v/>
      </c>
      <c r="N109" s="298" t="str">
        <f t="shared" si="7"/>
        <v/>
      </c>
      <c r="O109" s="298" t="str">
        <f>IF(B109="", "", 'Lighting Inventory (Ref only)'!G120)</f>
        <v/>
      </c>
      <c r="P109" s="298" t="str">
        <f>IF(B109="", "", 'Lighting Inventory (Ref only)'!E120)</f>
        <v/>
      </c>
      <c r="Q109" s="298" t="str">
        <f>IF(B109="", "", 'Lighting Inventory (Ref only)'!J120)</f>
        <v/>
      </c>
      <c r="R109" s="298" t="str">
        <f>IF(B109="", "",'Lighting Inventory (Ref only)'!K120)</f>
        <v/>
      </c>
      <c r="S109" s="372" t="str">
        <f>IF(B109="", "", 'Lighting Inventory (Ref only)'!G120*'Lighting Inventory (Ref only)'!K120/1000)</f>
        <v/>
      </c>
      <c r="T109" s="298" t="str">
        <f>IF(B109="", "", IF('Lighting Inventory (Ref only)'!I120="", "Light Switch",Inventory!H117))</f>
        <v/>
      </c>
      <c r="U109" s="298" t="str">
        <f>IF(B109="", "", 'Lighting Inventory (Ref only)'!Q120)</f>
        <v/>
      </c>
      <c r="V109" s="298" t="str">
        <f>IF(B109="", "", 'Lighting Inventory (Ref only)'!K120)</f>
        <v/>
      </c>
      <c r="W109" s="373" t="str">
        <f>IF(B109="","",('Lighting Inventory (Ref only)'!L120/1000))</f>
        <v/>
      </c>
      <c r="X109" s="298" t="str">
        <f>IF(B109="", "", 'Lighting Inventory (Ref only)'!Q120)</f>
        <v/>
      </c>
      <c r="Y109" s="298" t="str">
        <f>IF(C109="", "", Inventory!N117)</f>
        <v/>
      </c>
      <c r="Z109" s="374" t="str">
        <f>IF(B109="", "", 'Lighting Inventory (Ref only)'!P120)</f>
        <v/>
      </c>
      <c r="AA109" s="372" t="str">
        <f>IF(B109="", "",'Lighting Inventory (Ref only)'!R120/1000)</f>
        <v/>
      </c>
      <c r="AB109" s="372" t="str">
        <f>IF(B109="", "", Inventory!M117)</f>
        <v/>
      </c>
      <c r="AC109" s="374" t="str">
        <f>IF(B109="", "", 'Lighting Inventory (Ref only)'!T120)</f>
        <v/>
      </c>
      <c r="AD109" s="374" t="str">
        <f>IF(C109="", "", 'Lighting Inventory (Ref only)'!AA120)</f>
        <v/>
      </c>
      <c r="AE109" s="375" t="str">
        <f>IF(B109="", "", 'Lighting Inventory (Ref only)'!U120)</f>
        <v/>
      </c>
      <c r="AF109" s="375" t="str">
        <f>IF(B109="", "",'Lighting Inventory (Ref only)'!W120)</f>
        <v/>
      </c>
      <c r="AG109" s="375" t="str">
        <f>IF(B109="", "", 'Lighting Inventory (Ref only)'!V120)</f>
        <v/>
      </c>
      <c r="AH109" s="375" t="str">
        <f>IF(B109="", "",'Lighting Inventory (Ref only)'!Z120)</f>
        <v/>
      </c>
      <c r="AI109" s="375" t="str">
        <f>IF(B109="", "", 'Lighting Inventory (Ref only)'!Y120)</f>
        <v/>
      </c>
      <c r="AJ109" s="375" t="str">
        <f>IF(C109="", "",'Lighting Inventory (Ref only)'!AB120)</f>
        <v/>
      </c>
      <c r="AK109" s="375" t="str">
        <f>IF(B109="", "", 'Lighting Inventory (Ref only)'!AG120)</f>
        <v/>
      </c>
      <c r="AL109" s="375" t="str">
        <f>IF(B109="", "", 'Lighting Inventory (Ref only)'!AD120)</f>
        <v/>
      </c>
      <c r="AM109" s="375" t="str">
        <f>IF(B109="", "", 'Lighting Inventory (Ref only)'!AE120)</f>
        <v/>
      </c>
      <c r="AN109" s="375" t="str">
        <f>IF(B109="", "", 'Lighting Inventory (Ref only)'!AF120)</f>
        <v/>
      </c>
      <c r="AO109" s="375" t="str">
        <f>IF(B109="", "", 'Lighting Inventory (Ref only)'!AG120)</f>
        <v/>
      </c>
    </row>
    <row r="110" spans="1:41">
      <c r="A110" s="298" t="str">
        <f>IF(G110="", "", Lookups!BF112)</f>
        <v/>
      </c>
      <c r="B110" s="298" t="str">
        <f>IF('Lighting Inventory (Ref only)'!Q121="", "", 'Lighting Inventory (Ref only)'!Q121)</f>
        <v/>
      </c>
      <c r="C110" s="298" t="str">
        <f>IF(A110="", "", 'Lighting Inventory (Ref only)'!AO121)</f>
        <v/>
      </c>
      <c r="D110" s="370" t="str">
        <f>IF(B110= "","", Inventory!S118)</f>
        <v/>
      </c>
      <c r="E110" s="371"/>
      <c r="F110" s="298" t="str">
        <f>IF(B110="", "", 'Version Log'!$B$34)</f>
        <v/>
      </c>
      <c r="G110" s="298" t="str">
        <f t="shared" si="4"/>
        <v/>
      </c>
      <c r="H110" s="298" t="str">
        <f t="shared" si="5"/>
        <v/>
      </c>
      <c r="I110" s="298" t="str">
        <f>IF(B110="", "",Inventory!D118)</f>
        <v/>
      </c>
      <c r="J110" s="298" t="str">
        <f>IF(B110="","",IF(Inventory!C118="N","Interior","Exterior"))</f>
        <v/>
      </c>
      <c r="K110" s="298" t="str">
        <f t="shared" si="6"/>
        <v/>
      </c>
      <c r="L110" s="298" t="str">
        <f>IF(B110="", "", Inventory!E118)</f>
        <v/>
      </c>
      <c r="M110" s="298" t="str">
        <f>IF(B110="","",IF(Cool_Type=Lookups!$L$9,Cool_Type,IF(Cool_Type=Lookups!$L$10,Cool_Type,IF(Cool_Type=Lookups!$L$11,Cool_Type,IF(Cool_Type=Lookups!L120,Cool_Type,IF('Project Info and Summary'!$C$20="Electric",CONCATENATE(Cool_Type," ",Heating_Type," Heat"),IF('Project Info and Summary'!$C$20="Non-Electric",CONCATENATE(Cool_Type," ",Heating_Type," Heat"),CONCATENATE(Cool_Type," ",Heating_Type))))))))</f>
        <v/>
      </c>
      <c r="N110" s="298" t="str">
        <f t="shared" si="7"/>
        <v/>
      </c>
      <c r="O110" s="298" t="str">
        <f>IF(B110="", "", 'Lighting Inventory (Ref only)'!G121)</f>
        <v/>
      </c>
      <c r="P110" s="298" t="str">
        <f>IF(B110="", "", 'Lighting Inventory (Ref only)'!E121)</f>
        <v/>
      </c>
      <c r="Q110" s="298" t="str">
        <f>IF(B110="", "", 'Lighting Inventory (Ref only)'!J121)</f>
        <v/>
      </c>
      <c r="R110" s="298" t="str">
        <f>IF(B110="", "",'Lighting Inventory (Ref only)'!K121)</f>
        <v/>
      </c>
      <c r="S110" s="372" t="str">
        <f>IF(B110="", "", 'Lighting Inventory (Ref only)'!G121*'Lighting Inventory (Ref only)'!K121/1000)</f>
        <v/>
      </c>
      <c r="T110" s="298" t="str">
        <f>IF(B110="", "", IF('Lighting Inventory (Ref only)'!I121="", "Light Switch",Inventory!H118))</f>
        <v/>
      </c>
      <c r="U110" s="298" t="str">
        <f>IF(B110="", "", 'Lighting Inventory (Ref only)'!Q121)</f>
        <v/>
      </c>
      <c r="V110" s="298" t="str">
        <f>IF(B110="", "", 'Lighting Inventory (Ref only)'!K121)</f>
        <v/>
      </c>
      <c r="W110" s="373" t="str">
        <f>IF(B110="","",('Lighting Inventory (Ref only)'!L121/1000))</f>
        <v/>
      </c>
      <c r="X110" s="298" t="str">
        <f>IF(B110="", "", 'Lighting Inventory (Ref only)'!Q121)</f>
        <v/>
      </c>
      <c r="Y110" s="298" t="str">
        <f>IF(C110="", "", Inventory!N118)</f>
        <v/>
      </c>
      <c r="Z110" s="374" t="str">
        <f>IF(B110="", "", 'Lighting Inventory (Ref only)'!P121)</f>
        <v/>
      </c>
      <c r="AA110" s="372" t="str">
        <f>IF(B110="", "",'Lighting Inventory (Ref only)'!R121/1000)</f>
        <v/>
      </c>
      <c r="AB110" s="372" t="str">
        <f>IF(B110="", "", Inventory!M118)</f>
        <v/>
      </c>
      <c r="AC110" s="374" t="str">
        <f>IF(B110="", "", 'Lighting Inventory (Ref only)'!T121)</f>
        <v/>
      </c>
      <c r="AD110" s="374" t="str">
        <f>IF(C110="", "", 'Lighting Inventory (Ref only)'!AA121)</f>
        <v/>
      </c>
      <c r="AE110" s="375" t="str">
        <f>IF(B110="", "", 'Lighting Inventory (Ref only)'!U121)</f>
        <v/>
      </c>
      <c r="AF110" s="375" t="str">
        <f>IF(B110="", "",'Lighting Inventory (Ref only)'!W121)</f>
        <v/>
      </c>
      <c r="AG110" s="375" t="str">
        <f>IF(B110="", "", 'Lighting Inventory (Ref only)'!V121)</f>
        <v/>
      </c>
      <c r="AH110" s="375" t="str">
        <f>IF(B110="", "",'Lighting Inventory (Ref only)'!Z121)</f>
        <v/>
      </c>
      <c r="AI110" s="375" t="str">
        <f>IF(B110="", "", 'Lighting Inventory (Ref only)'!Y121)</f>
        <v/>
      </c>
      <c r="AJ110" s="375" t="str">
        <f>IF(C110="", "",'Lighting Inventory (Ref only)'!AB121)</f>
        <v/>
      </c>
      <c r="AK110" s="375" t="str">
        <f>IF(B110="", "", 'Lighting Inventory (Ref only)'!AG121)</f>
        <v/>
      </c>
      <c r="AL110" s="375" t="str">
        <f>IF(B110="", "", 'Lighting Inventory (Ref only)'!AD121)</f>
        <v/>
      </c>
      <c r="AM110" s="375" t="str">
        <f>IF(B110="", "", 'Lighting Inventory (Ref only)'!AE121)</f>
        <v/>
      </c>
      <c r="AN110" s="375" t="str">
        <f>IF(B110="", "", 'Lighting Inventory (Ref only)'!AF121)</f>
        <v/>
      </c>
      <c r="AO110" s="375" t="str">
        <f>IF(B110="", "", 'Lighting Inventory (Ref only)'!AG121)</f>
        <v/>
      </c>
    </row>
    <row r="111" spans="1:41">
      <c r="A111" s="298" t="str">
        <f>IF(G111="", "", Lookups!BF113)</f>
        <v/>
      </c>
      <c r="B111" s="298" t="str">
        <f>IF('Lighting Inventory (Ref only)'!Q122="", "", 'Lighting Inventory (Ref only)'!Q122)</f>
        <v/>
      </c>
      <c r="C111" s="298" t="str">
        <f>IF(A111="", "", 'Lighting Inventory (Ref only)'!AO122)</f>
        <v/>
      </c>
      <c r="D111" s="370" t="str">
        <f>IF(B111= "","", Inventory!S119)</f>
        <v/>
      </c>
      <c r="E111" s="371"/>
      <c r="F111" s="298" t="str">
        <f>IF(B111="", "", 'Version Log'!$B$34)</f>
        <v/>
      </c>
      <c r="G111" s="298" t="str">
        <f t="shared" si="4"/>
        <v/>
      </c>
      <c r="H111" s="298" t="str">
        <f t="shared" si="5"/>
        <v/>
      </c>
      <c r="I111" s="298" t="str">
        <f>IF(B111="", "",Inventory!D119)</f>
        <v/>
      </c>
      <c r="J111" s="298" t="str">
        <f>IF(B111="","",IF(Inventory!C119="N","Interior","Exterior"))</f>
        <v/>
      </c>
      <c r="K111" s="298" t="str">
        <f t="shared" si="6"/>
        <v/>
      </c>
      <c r="L111" s="298" t="str">
        <f>IF(B111="", "", Inventory!E119)</f>
        <v/>
      </c>
      <c r="M111" s="298" t="str">
        <f>IF(B111="","",IF(Cool_Type=Lookups!$L$9,Cool_Type,IF(Cool_Type=Lookups!$L$10,Cool_Type,IF(Cool_Type=Lookups!$L$11,Cool_Type,IF(Cool_Type=Lookups!L121,Cool_Type,IF('Project Info and Summary'!$C$20="Electric",CONCATENATE(Cool_Type," ",Heating_Type," Heat"),IF('Project Info and Summary'!$C$20="Non-Electric",CONCATENATE(Cool_Type," ",Heating_Type," Heat"),CONCATENATE(Cool_Type," ",Heating_Type))))))))</f>
        <v/>
      </c>
      <c r="N111" s="298" t="str">
        <f t="shared" si="7"/>
        <v/>
      </c>
      <c r="O111" s="298" t="str">
        <f>IF(B111="", "", 'Lighting Inventory (Ref only)'!G122)</f>
        <v/>
      </c>
      <c r="P111" s="298" t="str">
        <f>IF(B111="", "", 'Lighting Inventory (Ref only)'!E122)</f>
        <v/>
      </c>
      <c r="Q111" s="298" t="str">
        <f>IF(B111="", "", 'Lighting Inventory (Ref only)'!J122)</f>
        <v/>
      </c>
      <c r="R111" s="298" t="str">
        <f>IF(B111="", "",'Lighting Inventory (Ref only)'!K122)</f>
        <v/>
      </c>
      <c r="S111" s="372" t="str">
        <f>IF(B111="", "", 'Lighting Inventory (Ref only)'!G122*'Lighting Inventory (Ref only)'!K122/1000)</f>
        <v/>
      </c>
      <c r="T111" s="298" t="str">
        <f>IF(B111="", "", IF('Lighting Inventory (Ref only)'!I122="", "Light Switch",Inventory!H119))</f>
        <v/>
      </c>
      <c r="U111" s="298" t="str">
        <f>IF(B111="", "", 'Lighting Inventory (Ref only)'!Q122)</f>
        <v/>
      </c>
      <c r="V111" s="298" t="str">
        <f>IF(B111="", "", 'Lighting Inventory (Ref only)'!K122)</f>
        <v/>
      </c>
      <c r="W111" s="373" t="str">
        <f>IF(B111="","",('Lighting Inventory (Ref only)'!L122/1000))</f>
        <v/>
      </c>
      <c r="X111" s="298" t="str">
        <f>IF(B111="", "", 'Lighting Inventory (Ref only)'!Q122)</f>
        <v/>
      </c>
      <c r="Y111" s="298" t="str">
        <f>IF(C111="", "", Inventory!N119)</f>
        <v/>
      </c>
      <c r="Z111" s="374" t="str">
        <f>IF(B111="", "", 'Lighting Inventory (Ref only)'!P122)</f>
        <v/>
      </c>
      <c r="AA111" s="372" t="str">
        <f>IF(B111="", "",'Lighting Inventory (Ref only)'!R122/1000)</f>
        <v/>
      </c>
      <c r="AB111" s="372" t="str">
        <f>IF(B111="", "", Inventory!M119)</f>
        <v/>
      </c>
      <c r="AC111" s="374" t="str">
        <f>IF(B111="", "", 'Lighting Inventory (Ref only)'!T122)</f>
        <v/>
      </c>
      <c r="AD111" s="374" t="str">
        <f>IF(C111="", "", 'Lighting Inventory (Ref only)'!AA122)</f>
        <v/>
      </c>
      <c r="AE111" s="375" t="str">
        <f>IF(B111="", "", 'Lighting Inventory (Ref only)'!U122)</f>
        <v/>
      </c>
      <c r="AF111" s="375" t="str">
        <f>IF(B111="", "",'Lighting Inventory (Ref only)'!W122)</f>
        <v/>
      </c>
      <c r="AG111" s="375" t="str">
        <f>IF(B111="", "", 'Lighting Inventory (Ref only)'!V122)</f>
        <v/>
      </c>
      <c r="AH111" s="375" t="str">
        <f>IF(B111="", "",'Lighting Inventory (Ref only)'!Z122)</f>
        <v/>
      </c>
      <c r="AI111" s="375" t="str">
        <f>IF(B111="", "", 'Lighting Inventory (Ref only)'!Y122)</f>
        <v/>
      </c>
      <c r="AJ111" s="375" t="str">
        <f>IF(C111="", "",'Lighting Inventory (Ref only)'!AB122)</f>
        <v/>
      </c>
      <c r="AK111" s="375" t="str">
        <f>IF(B111="", "", 'Lighting Inventory (Ref only)'!AG122)</f>
        <v/>
      </c>
      <c r="AL111" s="375" t="str">
        <f>IF(B111="", "", 'Lighting Inventory (Ref only)'!AD122)</f>
        <v/>
      </c>
      <c r="AM111" s="375" t="str">
        <f>IF(B111="", "", 'Lighting Inventory (Ref only)'!AE122)</f>
        <v/>
      </c>
      <c r="AN111" s="375" t="str">
        <f>IF(B111="", "", 'Lighting Inventory (Ref only)'!AF122)</f>
        <v/>
      </c>
      <c r="AO111" s="375" t="str">
        <f>IF(B111="", "", 'Lighting Inventory (Ref only)'!AG122)</f>
        <v/>
      </c>
    </row>
    <row r="112" spans="1:41">
      <c r="A112" s="298" t="str">
        <f>IF(G112="", "", Lookups!BF114)</f>
        <v/>
      </c>
      <c r="B112" s="298" t="str">
        <f>IF('Lighting Inventory (Ref only)'!Q123="", "", 'Lighting Inventory (Ref only)'!Q123)</f>
        <v/>
      </c>
      <c r="C112" s="298" t="str">
        <f>IF(A112="", "", 'Lighting Inventory (Ref only)'!AO123)</f>
        <v/>
      </c>
      <c r="D112" s="370" t="str">
        <f>IF(B112= "","", Inventory!S120)</f>
        <v/>
      </c>
      <c r="E112" s="371"/>
      <c r="F112" s="298" t="str">
        <f>IF(B112="", "", 'Version Log'!$B$34)</f>
        <v/>
      </c>
      <c r="G112" s="298" t="str">
        <f t="shared" si="4"/>
        <v/>
      </c>
      <c r="H112" s="298" t="str">
        <f t="shared" si="5"/>
        <v/>
      </c>
      <c r="I112" s="298" t="str">
        <f>IF(B112="", "",Inventory!D120)</f>
        <v/>
      </c>
      <c r="J112" s="298" t="str">
        <f>IF(B112="","",IF(Inventory!C120="N","Interior","Exterior"))</f>
        <v/>
      </c>
      <c r="K112" s="298" t="str">
        <f t="shared" si="6"/>
        <v/>
      </c>
      <c r="L112" s="298" t="str">
        <f>IF(B112="", "", Inventory!E120)</f>
        <v/>
      </c>
      <c r="M112" s="298" t="str">
        <f>IF(B112="","",IF(Cool_Type=Lookups!$L$9,Cool_Type,IF(Cool_Type=Lookups!$L$10,Cool_Type,IF(Cool_Type=Lookups!$L$11,Cool_Type,IF(Cool_Type=Lookups!L122,Cool_Type,IF('Project Info and Summary'!$C$20="Electric",CONCATENATE(Cool_Type," ",Heating_Type," Heat"),IF('Project Info and Summary'!$C$20="Non-Electric",CONCATENATE(Cool_Type," ",Heating_Type," Heat"),CONCATENATE(Cool_Type," ",Heating_Type))))))))</f>
        <v/>
      </c>
      <c r="N112" s="298" t="str">
        <f t="shared" si="7"/>
        <v/>
      </c>
      <c r="O112" s="298" t="str">
        <f>IF(B112="", "", 'Lighting Inventory (Ref only)'!G123)</f>
        <v/>
      </c>
      <c r="P112" s="298" t="str">
        <f>IF(B112="", "", 'Lighting Inventory (Ref only)'!E123)</f>
        <v/>
      </c>
      <c r="Q112" s="298" t="str">
        <f>IF(B112="", "", 'Lighting Inventory (Ref only)'!J123)</f>
        <v/>
      </c>
      <c r="R112" s="298" t="str">
        <f>IF(B112="", "",'Lighting Inventory (Ref only)'!K123)</f>
        <v/>
      </c>
      <c r="S112" s="372" t="str">
        <f>IF(B112="", "", 'Lighting Inventory (Ref only)'!G123*'Lighting Inventory (Ref only)'!K123/1000)</f>
        <v/>
      </c>
      <c r="T112" s="298" t="str">
        <f>IF(B112="", "", IF('Lighting Inventory (Ref only)'!I123="", "Light Switch",Inventory!H120))</f>
        <v/>
      </c>
      <c r="U112" s="298" t="str">
        <f>IF(B112="", "", 'Lighting Inventory (Ref only)'!Q123)</f>
        <v/>
      </c>
      <c r="V112" s="298" t="str">
        <f>IF(B112="", "", 'Lighting Inventory (Ref only)'!K123)</f>
        <v/>
      </c>
      <c r="W112" s="373" t="str">
        <f>IF(B112="","",('Lighting Inventory (Ref only)'!L123/1000))</f>
        <v/>
      </c>
      <c r="X112" s="298" t="str">
        <f>IF(B112="", "", 'Lighting Inventory (Ref only)'!Q123)</f>
        <v/>
      </c>
      <c r="Y112" s="298" t="str">
        <f>IF(C112="", "", Inventory!N120)</f>
        <v/>
      </c>
      <c r="Z112" s="374" t="str">
        <f>IF(B112="", "", 'Lighting Inventory (Ref only)'!P123)</f>
        <v/>
      </c>
      <c r="AA112" s="372" t="str">
        <f>IF(B112="", "",'Lighting Inventory (Ref only)'!R123/1000)</f>
        <v/>
      </c>
      <c r="AB112" s="372" t="str">
        <f>IF(B112="", "", Inventory!M120)</f>
        <v/>
      </c>
      <c r="AC112" s="374" t="str">
        <f>IF(B112="", "", 'Lighting Inventory (Ref only)'!T123)</f>
        <v/>
      </c>
      <c r="AD112" s="374" t="str">
        <f>IF(C112="", "", 'Lighting Inventory (Ref only)'!AA123)</f>
        <v/>
      </c>
      <c r="AE112" s="375" t="str">
        <f>IF(B112="", "", 'Lighting Inventory (Ref only)'!U123)</f>
        <v/>
      </c>
      <c r="AF112" s="375" t="str">
        <f>IF(B112="", "",'Lighting Inventory (Ref only)'!W123)</f>
        <v/>
      </c>
      <c r="AG112" s="375" t="str">
        <f>IF(B112="", "", 'Lighting Inventory (Ref only)'!V123)</f>
        <v/>
      </c>
      <c r="AH112" s="375" t="str">
        <f>IF(B112="", "",'Lighting Inventory (Ref only)'!Z123)</f>
        <v/>
      </c>
      <c r="AI112" s="375" t="str">
        <f>IF(B112="", "", 'Lighting Inventory (Ref only)'!Y123)</f>
        <v/>
      </c>
      <c r="AJ112" s="375" t="str">
        <f>IF(C112="", "",'Lighting Inventory (Ref only)'!AB123)</f>
        <v/>
      </c>
      <c r="AK112" s="375" t="str">
        <f>IF(B112="", "", 'Lighting Inventory (Ref only)'!AG123)</f>
        <v/>
      </c>
      <c r="AL112" s="375" t="str">
        <f>IF(B112="", "", 'Lighting Inventory (Ref only)'!AD123)</f>
        <v/>
      </c>
      <c r="AM112" s="375" t="str">
        <f>IF(B112="", "", 'Lighting Inventory (Ref only)'!AE123)</f>
        <v/>
      </c>
      <c r="AN112" s="375" t="str">
        <f>IF(B112="", "", 'Lighting Inventory (Ref only)'!AF123)</f>
        <v/>
      </c>
      <c r="AO112" s="375" t="str">
        <f>IF(B112="", "", 'Lighting Inventory (Ref only)'!AG123)</f>
        <v/>
      </c>
    </row>
    <row r="113" spans="1:41">
      <c r="A113" s="298" t="str">
        <f>IF(G113="", "", Lookups!BF115)</f>
        <v/>
      </c>
      <c r="B113" s="298" t="str">
        <f>IF('Lighting Inventory (Ref only)'!Q124="", "", 'Lighting Inventory (Ref only)'!Q124)</f>
        <v/>
      </c>
      <c r="C113" s="298" t="str">
        <f>IF(A113="", "", 'Lighting Inventory (Ref only)'!AO124)</f>
        <v/>
      </c>
      <c r="D113" s="370" t="str">
        <f>IF(B113= "","", Inventory!S121)</f>
        <v/>
      </c>
      <c r="E113" s="371"/>
      <c r="F113" s="298" t="str">
        <f>IF(B113="", "", 'Version Log'!$B$34)</f>
        <v/>
      </c>
      <c r="G113" s="298" t="str">
        <f t="shared" si="4"/>
        <v/>
      </c>
      <c r="H113" s="298" t="str">
        <f t="shared" si="5"/>
        <v/>
      </c>
      <c r="I113" s="298" t="str">
        <f>IF(B113="", "",Inventory!D121)</f>
        <v/>
      </c>
      <c r="J113" s="298" t="str">
        <f>IF(B113="","",IF(Inventory!C121="N","Interior","Exterior"))</f>
        <v/>
      </c>
      <c r="K113" s="298" t="str">
        <f t="shared" si="6"/>
        <v/>
      </c>
      <c r="L113" s="298" t="str">
        <f>IF(B113="", "", Inventory!E121)</f>
        <v/>
      </c>
      <c r="M113" s="298" t="str">
        <f>IF(B113="","",IF(Cool_Type=Lookups!$L$9,Cool_Type,IF(Cool_Type=Lookups!$L$10,Cool_Type,IF(Cool_Type=Lookups!$L$11,Cool_Type,IF(Cool_Type=Lookups!L123,Cool_Type,IF('Project Info and Summary'!$C$20="Electric",CONCATENATE(Cool_Type," ",Heating_Type," Heat"),IF('Project Info and Summary'!$C$20="Non-Electric",CONCATENATE(Cool_Type," ",Heating_Type," Heat"),CONCATENATE(Cool_Type," ",Heating_Type))))))))</f>
        <v/>
      </c>
      <c r="N113" s="298" t="str">
        <f t="shared" si="7"/>
        <v/>
      </c>
      <c r="O113" s="298" t="str">
        <f>IF(B113="", "", 'Lighting Inventory (Ref only)'!G124)</f>
        <v/>
      </c>
      <c r="P113" s="298" t="str">
        <f>IF(B113="", "", 'Lighting Inventory (Ref only)'!E124)</f>
        <v/>
      </c>
      <c r="Q113" s="298" t="str">
        <f>IF(B113="", "", 'Lighting Inventory (Ref only)'!J124)</f>
        <v/>
      </c>
      <c r="R113" s="298" t="str">
        <f>IF(B113="", "",'Lighting Inventory (Ref only)'!K124)</f>
        <v/>
      </c>
      <c r="S113" s="372" t="str">
        <f>IF(B113="", "", 'Lighting Inventory (Ref only)'!G124*'Lighting Inventory (Ref only)'!K124/1000)</f>
        <v/>
      </c>
      <c r="T113" s="298" t="str">
        <f>IF(B113="", "", IF('Lighting Inventory (Ref only)'!I124="", "Light Switch",Inventory!H121))</f>
        <v/>
      </c>
      <c r="U113" s="298" t="str">
        <f>IF(B113="", "", 'Lighting Inventory (Ref only)'!Q124)</f>
        <v/>
      </c>
      <c r="V113" s="298" t="str">
        <f>IF(B113="", "", 'Lighting Inventory (Ref only)'!K124)</f>
        <v/>
      </c>
      <c r="W113" s="373" t="str">
        <f>IF(B113="","",('Lighting Inventory (Ref only)'!L124/1000))</f>
        <v/>
      </c>
      <c r="X113" s="298" t="str">
        <f>IF(B113="", "", 'Lighting Inventory (Ref only)'!Q124)</f>
        <v/>
      </c>
      <c r="Y113" s="298" t="str">
        <f>IF(C113="", "", Inventory!N121)</f>
        <v/>
      </c>
      <c r="Z113" s="374" t="str">
        <f>IF(B113="", "", 'Lighting Inventory (Ref only)'!P124)</f>
        <v/>
      </c>
      <c r="AA113" s="372" t="str">
        <f>IF(B113="", "",'Lighting Inventory (Ref only)'!R124/1000)</f>
        <v/>
      </c>
      <c r="AB113" s="372" t="str">
        <f>IF(B113="", "", Inventory!M121)</f>
        <v/>
      </c>
      <c r="AC113" s="374" t="str">
        <f>IF(B113="", "", 'Lighting Inventory (Ref only)'!T124)</f>
        <v/>
      </c>
      <c r="AD113" s="374" t="str">
        <f>IF(C113="", "", 'Lighting Inventory (Ref only)'!AA124)</f>
        <v/>
      </c>
      <c r="AE113" s="375" t="str">
        <f>IF(B113="", "", 'Lighting Inventory (Ref only)'!U124)</f>
        <v/>
      </c>
      <c r="AF113" s="375" t="str">
        <f>IF(B113="", "",'Lighting Inventory (Ref only)'!W124)</f>
        <v/>
      </c>
      <c r="AG113" s="375" t="str">
        <f>IF(B113="", "", 'Lighting Inventory (Ref only)'!V124)</f>
        <v/>
      </c>
      <c r="AH113" s="375" t="str">
        <f>IF(B113="", "",'Lighting Inventory (Ref only)'!Z124)</f>
        <v/>
      </c>
      <c r="AI113" s="375" t="str">
        <f>IF(B113="", "", 'Lighting Inventory (Ref only)'!Y124)</f>
        <v/>
      </c>
      <c r="AJ113" s="375" t="str">
        <f>IF(C113="", "",'Lighting Inventory (Ref only)'!AB124)</f>
        <v/>
      </c>
      <c r="AK113" s="375" t="str">
        <f>IF(B113="", "", 'Lighting Inventory (Ref only)'!AG124)</f>
        <v/>
      </c>
      <c r="AL113" s="375" t="str">
        <f>IF(B113="", "", 'Lighting Inventory (Ref only)'!AD124)</f>
        <v/>
      </c>
      <c r="AM113" s="375" t="str">
        <f>IF(B113="", "", 'Lighting Inventory (Ref only)'!AE124)</f>
        <v/>
      </c>
      <c r="AN113" s="375" t="str">
        <f>IF(B113="", "", 'Lighting Inventory (Ref only)'!AF124)</f>
        <v/>
      </c>
      <c r="AO113" s="375" t="str">
        <f>IF(B113="", "", 'Lighting Inventory (Ref only)'!AG124)</f>
        <v/>
      </c>
    </row>
    <row r="114" spans="1:41">
      <c r="A114" s="298" t="str">
        <f>IF(G114="", "", Lookups!BF116)</f>
        <v/>
      </c>
      <c r="B114" s="298" t="str">
        <f>IF('Lighting Inventory (Ref only)'!Q125="", "", 'Lighting Inventory (Ref only)'!Q125)</f>
        <v/>
      </c>
      <c r="C114" s="298" t="str">
        <f>IF(A114="", "", 'Lighting Inventory (Ref only)'!AO125)</f>
        <v/>
      </c>
      <c r="D114" s="370" t="str">
        <f>IF(B114= "","", Inventory!S122)</f>
        <v/>
      </c>
      <c r="E114" s="371"/>
      <c r="F114" s="298" t="str">
        <f>IF(B114="", "", 'Version Log'!$B$34)</f>
        <v/>
      </c>
      <c r="G114" s="298" t="str">
        <f t="shared" si="4"/>
        <v/>
      </c>
      <c r="H114" s="298" t="str">
        <f t="shared" si="5"/>
        <v/>
      </c>
      <c r="I114" s="298" t="str">
        <f>IF(B114="", "",Inventory!D122)</f>
        <v/>
      </c>
      <c r="J114" s="298" t="str">
        <f>IF(B114="","",IF(Inventory!C122="N","Interior","Exterior"))</f>
        <v/>
      </c>
      <c r="K114" s="298" t="str">
        <f t="shared" si="6"/>
        <v/>
      </c>
      <c r="L114" s="298" t="str">
        <f>IF(B114="", "", Inventory!E122)</f>
        <v/>
      </c>
      <c r="M114" s="298" t="str">
        <f>IF(B114="","",IF(Cool_Type=Lookups!$L$9,Cool_Type,IF(Cool_Type=Lookups!$L$10,Cool_Type,IF(Cool_Type=Lookups!$L$11,Cool_Type,IF(Cool_Type=Lookups!L124,Cool_Type,IF('Project Info and Summary'!$C$20="Electric",CONCATENATE(Cool_Type," ",Heating_Type," Heat"),IF('Project Info and Summary'!$C$20="Non-Electric",CONCATENATE(Cool_Type," ",Heating_Type," Heat"),CONCATENATE(Cool_Type," ",Heating_Type))))))))</f>
        <v/>
      </c>
      <c r="N114" s="298" t="str">
        <f t="shared" si="7"/>
        <v/>
      </c>
      <c r="O114" s="298" t="str">
        <f>IF(B114="", "", 'Lighting Inventory (Ref only)'!G125)</f>
        <v/>
      </c>
      <c r="P114" s="298" t="str">
        <f>IF(B114="", "", 'Lighting Inventory (Ref only)'!E125)</f>
        <v/>
      </c>
      <c r="Q114" s="298" t="str">
        <f>IF(B114="", "", 'Lighting Inventory (Ref only)'!J125)</f>
        <v/>
      </c>
      <c r="R114" s="298" t="str">
        <f>IF(B114="", "",'Lighting Inventory (Ref only)'!K125)</f>
        <v/>
      </c>
      <c r="S114" s="372" t="str">
        <f>IF(B114="", "", 'Lighting Inventory (Ref only)'!G125*'Lighting Inventory (Ref only)'!K125/1000)</f>
        <v/>
      </c>
      <c r="T114" s="298" t="str">
        <f>IF(B114="", "", IF('Lighting Inventory (Ref only)'!I125="", "Light Switch",Inventory!H122))</f>
        <v/>
      </c>
      <c r="U114" s="298" t="str">
        <f>IF(B114="", "", 'Lighting Inventory (Ref only)'!Q125)</f>
        <v/>
      </c>
      <c r="V114" s="298" t="str">
        <f>IF(B114="", "", 'Lighting Inventory (Ref only)'!K125)</f>
        <v/>
      </c>
      <c r="W114" s="373" t="str">
        <f>IF(B114="","",('Lighting Inventory (Ref only)'!L125/1000))</f>
        <v/>
      </c>
      <c r="X114" s="298" t="str">
        <f>IF(B114="", "", 'Lighting Inventory (Ref only)'!Q125)</f>
        <v/>
      </c>
      <c r="Y114" s="298" t="str">
        <f>IF(C114="", "", Inventory!N122)</f>
        <v/>
      </c>
      <c r="Z114" s="374" t="str">
        <f>IF(B114="", "", 'Lighting Inventory (Ref only)'!P125)</f>
        <v/>
      </c>
      <c r="AA114" s="372" t="str">
        <f>IF(B114="", "",'Lighting Inventory (Ref only)'!R125/1000)</f>
        <v/>
      </c>
      <c r="AB114" s="372" t="str">
        <f>IF(B114="", "", Inventory!M122)</f>
        <v/>
      </c>
      <c r="AC114" s="374" t="str">
        <f>IF(B114="", "", 'Lighting Inventory (Ref only)'!T125)</f>
        <v/>
      </c>
      <c r="AD114" s="374" t="str">
        <f>IF(C114="", "", 'Lighting Inventory (Ref only)'!AA125)</f>
        <v/>
      </c>
      <c r="AE114" s="375" t="str">
        <f>IF(B114="", "", 'Lighting Inventory (Ref only)'!U125)</f>
        <v/>
      </c>
      <c r="AF114" s="375" t="str">
        <f>IF(B114="", "",'Lighting Inventory (Ref only)'!W125)</f>
        <v/>
      </c>
      <c r="AG114" s="375" t="str">
        <f>IF(B114="", "", 'Lighting Inventory (Ref only)'!V125)</f>
        <v/>
      </c>
      <c r="AH114" s="375" t="str">
        <f>IF(B114="", "",'Lighting Inventory (Ref only)'!Z125)</f>
        <v/>
      </c>
      <c r="AI114" s="375" t="str">
        <f>IF(B114="", "", 'Lighting Inventory (Ref only)'!Y125)</f>
        <v/>
      </c>
      <c r="AJ114" s="375" t="str">
        <f>IF(C114="", "",'Lighting Inventory (Ref only)'!AB125)</f>
        <v/>
      </c>
      <c r="AK114" s="375" t="str">
        <f>IF(B114="", "", 'Lighting Inventory (Ref only)'!AG125)</f>
        <v/>
      </c>
      <c r="AL114" s="375" t="str">
        <f>IF(B114="", "", 'Lighting Inventory (Ref only)'!AD125)</f>
        <v/>
      </c>
      <c r="AM114" s="375" t="str">
        <f>IF(B114="", "", 'Lighting Inventory (Ref only)'!AE125)</f>
        <v/>
      </c>
      <c r="AN114" s="375" t="str">
        <f>IF(B114="", "", 'Lighting Inventory (Ref only)'!AF125)</f>
        <v/>
      </c>
      <c r="AO114" s="375" t="str">
        <f>IF(B114="", "", 'Lighting Inventory (Ref only)'!AG125)</f>
        <v/>
      </c>
    </row>
    <row r="115" spans="1:41">
      <c r="A115" s="298" t="str">
        <f>IF(G115="", "", Lookups!BF117)</f>
        <v/>
      </c>
      <c r="B115" s="298" t="str">
        <f>IF('Lighting Inventory (Ref only)'!Q126="", "", 'Lighting Inventory (Ref only)'!Q126)</f>
        <v/>
      </c>
      <c r="C115" s="298" t="str">
        <f>IF(A115="", "", 'Lighting Inventory (Ref only)'!AO126)</f>
        <v/>
      </c>
      <c r="D115" s="370" t="str">
        <f>IF(B115= "","", Inventory!S123)</f>
        <v/>
      </c>
      <c r="E115" s="371"/>
      <c r="F115" s="298" t="str">
        <f>IF(B115="", "", 'Version Log'!$B$34)</f>
        <v/>
      </c>
      <c r="G115" s="298" t="str">
        <f t="shared" si="4"/>
        <v/>
      </c>
      <c r="H115" s="298" t="str">
        <f t="shared" si="5"/>
        <v/>
      </c>
      <c r="I115" s="298" t="str">
        <f>IF(B115="", "",Inventory!D123)</f>
        <v/>
      </c>
      <c r="J115" s="298" t="str">
        <f>IF(B115="","",IF(Inventory!C123="N","Interior","Exterior"))</f>
        <v/>
      </c>
      <c r="K115" s="298" t="str">
        <f t="shared" si="6"/>
        <v/>
      </c>
      <c r="L115" s="298" t="str">
        <f>IF(B115="", "", Inventory!E123)</f>
        <v/>
      </c>
      <c r="M115" s="298" t="str">
        <f>IF(B115="","",IF(Cool_Type=Lookups!$L$9,Cool_Type,IF(Cool_Type=Lookups!$L$10,Cool_Type,IF(Cool_Type=Lookups!$L$11,Cool_Type,IF(Cool_Type=Lookups!L125,Cool_Type,IF('Project Info and Summary'!$C$20="Electric",CONCATENATE(Cool_Type," ",Heating_Type," Heat"),IF('Project Info and Summary'!$C$20="Non-Electric",CONCATENATE(Cool_Type," ",Heating_Type," Heat"),CONCATENATE(Cool_Type," ",Heating_Type))))))))</f>
        <v/>
      </c>
      <c r="N115" s="298" t="str">
        <f t="shared" si="7"/>
        <v/>
      </c>
      <c r="O115" s="298" t="str">
        <f>IF(B115="", "", 'Lighting Inventory (Ref only)'!G126)</f>
        <v/>
      </c>
      <c r="P115" s="298" t="str">
        <f>IF(B115="", "", 'Lighting Inventory (Ref only)'!E126)</f>
        <v/>
      </c>
      <c r="Q115" s="298" t="str">
        <f>IF(B115="", "", 'Lighting Inventory (Ref only)'!J126)</f>
        <v/>
      </c>
      <c r="R115" s="298" t="str">
        <f>IF(B115="", "",'Lighting Inventory (Ref only)'!K126)</f>
        <v/>
      </c>
      <c r="S115" s="372" t="str">
        <f>IF(B115="", "", 'Lighting Inventory (Ref only)'!G126*'Lighting Inventory (Ref only)'!K126/1000)</f>
        <v/>
      </c>
      <c r="T115" s="298" t="str">
        <f>IF(B115="", "", IF('Lighting Inventory (Ref only)'!I126="", "Light Switch",Inventory!H123))</f>
        <v/>
      </c>
      <c r="U115" s="298" t="str">
        <f>IF(B115="", "", 'Lighting Inventory (Ref only)'!Q126)</f>
        <v/>
      </c>
      <c r="V115" s="298" t="str">
        <f>IF(B115="", "", 'Lighting Inventory (Ref only)'!K126)</f>
        <v/>
      </c>
      <c r="W115" s="373" t="str">
        <f>IF(B115="","",('Lighting Inventory (Ref only)'!L126/1000))</f>
        <v/>
      </c>
      <c r="X115" s="298" t="str">
        <f>IF(B115="", "", 'Lighting Inventory (Ref only)'!Q126)</f>
        <v/>
      </c>
      <c r="Y115" s="298" t="str">
        <f>IF(C115="", "", Inventory!N123)</f>
        <v/>
      </c>
      <c r="Z115" s="374" t="str">
        <f>IF(B115="", "", 'Lighting Inventory (Ref only)'!P126)</f>
        <v/>
      </c>
      <c r="AA115" s="372" t="str">
        <f>IF(B115="", "",'Lighting Inventory (Ref only)'!R126/1000)</f>
        <v/>
      </c>
      <c r="AB115" s="372" t="str">
        <f>IF(B115="", "", Inventory!M123)</f>
        <v/>
      </c>
      <c r="AC115" s="374" t="str">
        <f>IF(B115="", "", 'Lighting Inventory (Ref only)'!T126)</f>
        <v/>
      </c>
      <c r="AD115" s="374" t="str">
        <f>IF(C115="", "", 'Lighting Inventory (Ref only)'!AA126)</f>
        <v/>
      </c>
      <c r="AE115" s="375" t="str">
        <f>IF(B115="", "", 'Lighting Inventory (Ref only)'!U126)</f>
        <v/>
      </c>
      <c r="AF115" s="375" t="str">
        <f>IF(B115="", "",'Lighting Inventory (Ref only)'!W126)</f>
        <v/>
      </c>
      <c r="AG115" s="375" t="str">
        <f>IF(B115="", "", 'Lighting Inventory (Ref only)'!V126)</f>
        <v/>
      </c>
      <c r="AH115" s="375" t="str">
        <f>IF(B115="", "",'Lighting Inventory (Ref only)'!Z126)</f>
        <v/>
      </c>
      <c r="AI115" s="375" t="str">
        <f>IF(B115="", "", 'Lighting Inventory (Ref only)'!Y126)</f>
        <v/>
      </c>
      <c r="AJ115" s="375" t="str">
        <f>IF(C115="", "",'Lighting Inventory (Ref only)'!AB126)</f>
        <v/>
      </c>
      <c r="AK115" s="375" t="str">
        <f>IF(B115="", "", 'Lighting Inventory (Ref only)'!AG126)</f>
        <v/>
      </c>
      <c r="AL115" s="375" t="str">
        <f>IF(B115="", "", 'Lighting Inventory (Ref only)'!AD126)</f>
        <v/>
      </c>
      <c r="AM115" s="375" t="str">
        <f>IF(B115="", "", 'Lighting Inventory (Ref only)'!AE126)</f>
        <v/>
      </c>
      <c r="AN115" s="375" t="str">
        <f>IF(B115="", "", 'Lighting Inventory (Ref only)'!AF126)</f>
        <v/>
      </c>
      <c r="AO115" s="375" t="str">
        <f>IF(B115="", "", 'Lighting Inventory (Ref only)'!AG126)</f>
        <v/>
      </c>
    </row>
    <row r="116" spans="1:41">
      <c r="A116" s="298" t="str">
        <f>IF(G116="", "", Lookups!BF118)</f>
        <v/>
      </c>
      <c r="B116" s="298" t="str">
        <f>IF('Lighting Inventory (Ref only)'!Q127="", "", 'Lighting Inventory (Ref only)'!Q127)</f>
        <v/>
      </c>
      <c r="C116" s="298" t="str">
        <f>IF(A116="", "", 'Lighting Inventory (Ref only)'!AO127)</f>
        <v/>
      </c>
      <c r="D116" s="370" t="str">
        <f>IF(B116= "","", Inventory!S124)</f>
        <v/>
      </c>
      <c r="E116" s="371"/>
      <c r="F116" s="298" t="str">
        <f>IF(B116="", "", 'Version Log'!$B$34)</f>
        <v/>
      </c>
      <c r="G116" s="298" t="str">
        <f t="shared" si="4"/>
        <v/>
      </c>
      <c r="H116" s="298" t="str">
        <f t="shared" si="5"/>
        <v/>
      </c>
      <c r="I116" s="298" t="str">
        <f>IF(B116="", "",Inventory!D124)</f>
        <v/>
      </c>
      <c r="J116" s="298" t="str">
        <f>IF(B116="","",IF(Inventory!C124="N","Interior","Exterior"))</f>
        <v/>
      </c>
      <c r="K116" s="298" t="str">
        <f t="shared" si="6"/>
        <v/>
      </c>
      <c r="L116" s="298" t="str">
        <f>IF(B116="", "", Inventory!E124)</f>
        <v/>
      </c>
      <c r="M116" s="298" t="str">
        <f>IF(B116="","",IF(Cool_Type=Lookups!$L$9,Cool_Type,IF(Cool_Type=Lookups!$L$10,Cool_Type,IF(Cool_Type=Lookups!$L$11,Cool_Type,IF(Cool_Type=Lookups!L126,Cool_Type,IF('Project Info and Summary'!$C$20="Electric",CONCATENATE(Cool_Type," ",Heating_Type," Heat"),IF('Project Info and Summary'!$C$20="Non-Electric",CONCATENATE(Cool_Type," ",Heating_Type," Heat"),CONCATENATE(Cool_Type," ",Heating_Type))))))))</f>
        <v/>
      </c>
      <c r="N116" s="298" t="str">
        <f t="shared" si="7"/>
        <v/>
      </c>
      <c r="O116" s="298" t="str">
        <f>IF(B116="", "", 'Lighting Inventory (Ref only)'!G127)</f>
        <v/>
      </c>
      <c r="P116" s="298" t="str">
        <f>IF(B116="", "", 'Lighting Inventory (Ref only)'!E127)</f>
        <v/>
      </c>
      <c r="Q116" s="298" t="str">
        <f>IF(B116="", "", 'Lighting Inventory (Ref only)'!J127)</f>
        <v/>
      </c>
      <c r="R116" s="298" t="str">
        <f>IF(B116="", "",'Lighting Inventory (Ref only)'!K127)</f>
        <v/>
      </c>
      <c r="S116" s="372" t="str">
        <f>IF(B116="", "", 'Lighting Inventory (Ref only)'!G127*'Lighting Inventory (Ref only)'!K127/1000)</f>
        <v/>
      </c>
      <c r="T116" s="298" t="str">
        <f>IF(B116="", "", IF('Lighting Inventory (Ref only)'!I127="", "Light Switch",Inventory!H124))</f>
        <v/>
      </c>
      <c r="U116" s="298" t="str">
        <f>IF(B116="", "", 'Lighting Inventory (Ref only)'!Q127)</f>
        <v/>
      </c>
      <c r="V116" s="298" t="str">
        <f>IF(B116="", "", 'Lighting Inventory (Ref only)'!K127)</f>
        <v/>
      </c>
      <c r="W116" s="373" t="str">
        <f>IF(B116="","",('Lighting Inventory (Ref only)'!L127/1000))</f>
        <v/>
      </c>
      <c r="X116" s="298" t="str">
        <f>IF(B116="", "", 'Lighting Inventory (Ref only)'!Q127)</f>
        <v/>
      </c>
      <c r="Y116" s="298" t="str">
        <f>IF(C116="", "", Inventory!N124)</f>
        <v/>
      </c>
      <c r="Z116" s="374" t="str">
        <f>IF(B116="", "", 'Lighting Inventory (Ref only)'!P127)</f>
        <v/>
      </c>
      <c r="AA116" s="372" t="str">
        <f>IF(B116="", "",'Lighting Inventory (Ref only)'!R127/1000)</f>
        <v/>
      </c>
      <c r="AB116" s="372" t="str">
        <f>IF(B116="", "", Inventory!M124)</f>
        <v/>
      </c>
      <c r="AC116" s="374" t="str">
        <f>IF(B116="", "", 'Lighting Inventory (Ref only)'!T127)</f>
        <v/>
      </c>
      <c r="AD116" s="374" t="str">
        <f>IF(C116="", "", 'Lighting Inventory (Ref only)'!AA127)</f>
        <v/>
      </c>
      <c r="AE116" s="375" t="str">
        <f>IF(B116="", "", 'Lighting Inventory (Ref only)'!U127)</f>
        <v/>
      </c>
      <c r="AF116" s="375" t="str">
        <f>IF(B116="", "",'Lighting Inventory (Ref only)'!W127)</f>
        <v/>
      </c>
      <c r="AG116" s="375" t="str">
        <f>IF(B116="", "", 'Lighting Inventory (Ref only)'!V127)</f>
        <v/>
      </c>
      <c r="AH116" s="375" t="str">
        <f>IF(B116="", "",'Lighting Inventory (Ref only)'!Z127)</f>
        <v/>
      </c>
      <c r="AI116" s="375" t="str">
        <f>IF(B116="", "", 'Lighting Inventory (Ref only)'!Y127)</f>
        <v/>
      </c>
      <c r="AJ116" s="375" t="str">
        <f>IF(C116="", "",'Lighting Inventory (Ref only)'!AB127)</f>
        <v/>
      </c>
      <c r="AK116" s="375" t="str">
        <f>IF(B116="", "", 'Lighting Inventory (Ref only)'!AG127)</f>
        <v/>
      </c>
      <c r="AL116" s="375" t="str">
        <f>IF(B116="", "", 'Lighting Inventory (Ref only)'!AD127)</f>
        <v/>
      </c>
      <c r="AM116" s="375" t="str">
        <f>IF(B116="", "", 'Lighting Inventory (Ref only)'!AE127)</f>
        <v/>
      </c>
      <c r="AN116" s="375" t="str">
        <f>IF(B116="", "", 'Lighting Inventory (Ref only)'!AF127)</f>
        <v/>
      </c>
      <c r="AO116" s="375" t="str">
        <f>IF(B116="", "", 'Lighting Inventory (Ref only)'!AG127)</f>
        <v/>
      </c>
    </row>
    <row r="117" spans="1:41">
      <c r="A117" s="298" t="str">
        <f>IF(G117="", "", Lookups!BF119)</f>
        <v/>
      </c>
      <c r="B117" s="298" t="str">
        <f>IF('Lighting Inventory (Ref only)'!Q128="", "", 'Lighting Inventory (Ref only)'!Q128)</f>
        <v/>
      </c>
      <c r="C117" s="298" t="str">
        <f>IF(A117="", "", 'Lighting Inventory (Ref only)'!AO128)</f>
        <v/>
      </c>
      <c r="D117" s="370" t="str">
        <f>IF(B117= "","", Inventory!S125)</f>
        <v/>
      </c>
      <c r="E117" s="371"/>
      <c r="F117" s="298" t="str">
        <f>IF(B117="", "", 'Version Log'!$B$34)</f>
        <v/>
      </c>
      <c r="G117" s="298" t="str">
        <f t="shared" si="4"/>
        <v/>
      </c>
      <c r="H117" s="298" t="str">
        <f t="shared" si="5"/>
        <v/>
      </c>
      <c r="I117" s="298" t="str">
        <f>IF(B117="", "",Inventory!D125)</f>
        <v/>
      </c>
      <c r="J117" s="298" t="str">
        <f>IF(B117="","",IF(Inventory!C125="N","Interior","Exterior"))</f>
        <v/>
      </c>
      <c r="K117" s="298" t="str">
        <f t="shared" si="6"/>
        <v/>
      </c>
      <c r="L117" s="298" t="str">
        <f>IF(B117="", "", Inventory!E125)</f>
        <v/>
      </c>
      <c r="M117" s="298" t="str">
        <f>IF(B117="","",IF(Cool_Type=Lookups!$L$9,Cool_Type,IF(Cool_Type=Lookups!$L$10,Cool_Type,IF(Cool_Type=Lookups!$L$11,Cool_Type,IF(Cool_Type=Lookups!L127,Cool_Type,IF('Project Info and Summary'!$C$20="Electric",CONCATENATE(Cool_Type," ",Heating_Type," Heat"),IF('Project Info and Summary'!$C$20="Non-Electric",CONCATENATE(Cool_Type," ",Heating_Type," Heat"),CONCATENATE(Cool_Type," ",Heating_Type))))))))</f>
        <v/>
      </c>
      <c r="N117" s="298" t="str">
        <f t="shared" si="7"/>
        <v/>
      </c>
      <c r="O117" s="298" t="str">
        <f>IF(B117="", "", 'Lighting Inventory (Ref only)'!G128)</f>
        <v/>
      </c>
      <c r="P117" s="298" t="str">
        <f>IF(B117="", "", 'Lighting Inventory (Ref only)'!E128)</f>
        <v/>
      </c>
      <c r="Q117" s="298" t="str">
        <f>IF(B117="", "", 'Lighting Inventory (Ref only)'!J128)</f>
        <v/>
      </c>
      <c r="R117" s="298" t="str">
        <f>IF(B117="", "",'Lighting Inventory (Ref only)'!K128)</f>
        <v/>
      </c>
      <c r="S117" s="372" t="str">
        <f>IF(B117="", "", 'Lighting Inventory (Ref only)'!G128*'Lighting Inventory (Ref only)'!K128/1000)</f>
        <v/>
      </c>
      <c r="T117" s="298" t="str">
        <f>IF(B117="", "", IF('Lighting Inventory (Ref only)'!I128="", "Light Switch",Inventory!H125))</f>
        <v/>
      </c>
      <c r="U117" s="298" t="str">
        <f>IF(B117="", "", 'Lighting Inventory (Ref only)'!Q128)</f>
        <v/>
      </c>
      <c r="V117" s="298" t="str">
        <f>IF(B117="", "", 'Lighting Inventory (Ref only)'!K128)</f>
        <v/>
      </c>
      <c r="W117" s="373" t="str">
        <f>IF(B117="","",('Lighting Inventory (Ref only)'!L128/1000))</f>
        <v/>
      </c>
      <c r="X117" s="298" t="str">
        <f>IF(B117="", "", 'Lighting Inventory (Ref only)'!Q128)</f>
        <v/>
      </c>
      <c r="Y117" s="298" t="str">
        <f>IF(C117="", "", Inventory!N125)</f>
        <v/>
      </c>
      <c r="Z117" s="374" t="str">
        <f>IF(B117="", "", 'Lighting Inventory (Ref only)'!P128)</f>
        <v/>
      </c>
      <c r="AA117" s="372" t="str">
        <f>IF(B117="", "",'Lighting Inventory (Ref only)'!R128/1000)</f>
        <v/>
      </c>
      <c r="AB117" s="372" t="str">
        <f>IF(B117="", "", Inventory!M125)</f>
        <v/>
      </c>
      <c r="AC117" s="374" t="str">
        <f>IF(B117="", "", 'Lighting Inventory (Ref only)'!T128)</f>
        <v/>
      </c>
      <c r="AD117" s="374" t="str">
        <f>IF(C117="", "", 'Lighting Inventory (Ref only)'!AA128)</f>
        <v/>
      </c>
      <c r="AE117" s="375" t="str">
        <f>IF(B117="", "", 'Lighting Inventory (Ref only)'!U128)</f>
        <v/>
      </c>
      <c r="AF117" s="375" t="str">
        <f>IF(B117="", "",'Lighting Inventory (Ref only)'!W128)</f>
        <v/>
      </c>
      <c r="AG117" s="375" t="str">
        <f>IF(B117="", "", 'Lighting Inventory (Ref only)'!V128)</f>
        <v/>
      </c>
      <c r="AH117" s="375" t="str">
        <f>IF(B117="", "",'Lighting Inventory (Ref only)'!Z128)</f>
        <v/>
      </c>
      <c r="AI117" s="375" t="str">
        <f>IF(B117="", "", 'Lighting Inventory (Ref only)'!Y128)</f>
        <v/>
      </c>
      <c r="AJ117" s="375" t="str">
        <f>IF(C117="", "",'Lighting Inventory (Ref only)'!AB128)</f>
        <v/>
      </c>
      <c r="AK117" s="375" t="str">
        <f>IF(B117="", "", 'Lighting Inventory (Ref only)'!AG128)</f>
        <v/>
      </c>
      <c r="AL117" s="375" t="str">
        <f>IF(B117="", "", 'Lighting Inventory (Ref only)'!AD128)</f>
        <v/>
      </c>
      <c r="AM117" s="375" t="str">
        <f>IF(B117="", "", 'Lighting Inventory (Ref only)'!AE128)</f>
        <v/>
      </c>
      <c r="AN117" s="375" t="str">
        <f>IF(B117="", "", 'Lighting Inventory (Ref only)'!AF128)</f>
        <v/>
      </c>
      <c r="AO117" s="375" t="str">
        <f>IF(B117="", "", 'Lighting Inventory (Ref only)'!AG128)</f>
        <v/>
      </c>
    </row>
    <row r="118" spans="1:41">
      <c r="A118" s="298" t="str">
        <f>IF(G118="", "", Lookups!BF120)</f>
        <v/>
      </c>
      <c r="B118" s="298" t="str">
        <f>IF('Lighting Inventory (Ref only)'!Q129="", "", 'Lighting Inventory (Ref only)'!Q129)</f>
        <v/>
      </c>
      <c r="C118" s="298" t="str">
        <f>IF(A118="", "", 'Lighting Inventory (Ref only)'!AO129)</f>
        <v/>
      </c>
      <c r="D118" s="370" t="str">
        <f>IF(B118= "","", Inventory!S126)</f>
        <v/>
      </c>
      <c r="E118" s="371"/>
      <c r="F118" s="298" t="str">
        <f>IF(B118="", "", 'Version Log'!$B$34)</f>
        <v/>
      </c>
      <c r="G118" s="298" t="str">
        <f t="shared" si="4"/>
        <v/>
      </c>
      <c r="H118" s="298" t="str">
        <f t="shared" si="5"/>
        <v/>
      </c>
      <c r="I118" s="298" t="str">
        <f>IF(B118="", "",Inventory!D126)</f>
        <v/>
      </c>
      <c r="J118" s="298" t="str">
        <f>IF(B118="","",IF(Inventory!C126="N","Interior","Exterior"))</f>
        <v/>
      </c>
      <c r="K118" s="298" t="str">
        <f t="shared" si="6"/>
        <v/>
      </c>
      <c r="L118" s="298" t="str">
        <f>IF(B118="", "", Inventory!E126)</f>
        <v/>
      </c>
      <c r="M118" s="298" t="str">
        <f>IF(B118="","",IF(Cool_Type=Lookups!$L$9,Cool_Type,IF(Cool_Type=Lookups!$L$10,Cool_Type,IF(Cool_Type=Lookups!$L$11,Cool_Type,IF(Cool_Type=Lookups!L128,Cool_Type,IF('Project Info and Summary'!$C$20="Electric",CONCATENATE(Cool_Type," ",Heating_Type," Heat"),IF('Project Info and Summary'!$C$20="Non-Electric",CONCATENATE(Cool_Type," ",Heating_Type," Heat"),CONCATENATE(Cool_Type," ",Heating_Type))))))))</f>
        <v/>
      </c>
      <c r="N118" s="298" t="str">
        <f t="shared" si="7"/>
        <v/>
      </c>
      <c r="O118" s="298" t="str">
        <f>IF(B118="", "", 'Lighting Inventory (Ref only)'!G129)</f>
        <v/>
      </c>
      <c r="P118" s="298" t="str">
        <f>IF(B118="", "", 'Lighting Inventory (Ref only)'!E129)</f>
        <v/>
      </c>
      <c r="Q118" s="298" t="str">
        <f>IF(B118="", "", 'Lighting Inventory (Ref only)'!J129)</f>
        <v/>
      </c>
      <c r="R118" s="298" t="str">
        <f>IF(B118="", "",'Lighting Inventory (Ref only)'!K129)</f>
        <v/>
      </c>
      <c r="S118" s="372" t="str">
        <f>IF(B118="", "", 'Lighting Inventory (Ref only)'!G129*'Lighting Inventory (Ref only)'!K129/1000)</f>
        <v/>
      </c>
      <c r="T118" s="298" t="str">
        <f>IF(B118="", "", IF('Lighting Inventory (Ref only)'!I129="", "Light Switch",Inventory!H126))</f>
        <v/>
      </c>
      <c r="U118" s="298" t="str">
        <f>IF(B118="", "", 'Lighting Inventory (Ref only)'!Q129)</f>
        <v/>
      </c>
      <c r="V118" s="298" t="str">
        <f>IF(B118="", "", 'Lighting Inventory (Ref only)'!K129)</f>
        <v/>
      </c>
      <c r="W118" s="373" t="str">
        <f>IF(B118="","",('Lighting Inventory (Ref only)'!L129/1000))</f>
        <v/>
      </c>
      <c r="X118" s="298" t="str">
        <f>IF(B118="", "", 'Lighting Inventory (Ref only)'!Q129)</f>
        <v/>
      </c>
      <c r="Y118" s="298" t="str">
        <f>IF(C118="", "", Inventory!N126)</f>
        <v/>
      </c>
      <c r="Z118" s="374" t="str">
        <f>IF(B118="", "", 'Lighting Inventory (Ref only)'!P129)</f>
        <v/>
      </c>
      <c r="AA118" s="372" t="str">
        <f>IF(B118="", "",'Lighting Inventory (Ref only)'!R129/1000)</f>
        <v/>
      </c>
      <c r="AB118" s="372" t="str">
        <f>IF(B118="", "", Inventory!M126)</f>
        <v/>
      </c>
      <c r="AC118" s="374" t="str">
        <f>IF(B118="", "", 'Lighting Inventory (Ref only)'!T129)</f>
        <v/>
      </c>
      <c r="AD118" s="374" t="str">
        <f>IF(C118="", "", 'Lighting Inventory (Ref only)'!AA129)</f>
        <v/>
      </c>
      <c r="AE118" s="375" t="str">
        <f>IF(B118="", "", 'Lighting Inventory (Ref only)'!U129)</f>
        <v/>
      </c>
      <c r="AF118" s="375" t="str">
        <f>IF(B118="", "",'Lighting Inventory (Ref only)'!W129)</f>
        <v/>
      </c>
      <c r="AG118" s="375" t="str">
        <f>IF(B118="", "", 'Lighting Inventory (Ref only)'!V129)</f>
        <v/>
      </c>
      <c r="AH118" s="375" t="str">
        <f>IF(B118="", "",'Lighting Inventory (Ref only)'!Z129)</f>
        <v/>
      </c>
      <c r="AI118" s="375" t="str">
        <f>IF(B118="", "", 'Lighting Inventory (Ref only)'!Y129)</f>
        <v/>
      </c>
      <c r="AJ118" s="375" t="str">
        <f>IF(C118="", "",'Lighting Inventory (Ref only)'!AB129)</f>
        <v/>
      </c>
      <c r="AK118" s="375" t="str">
        <f>IF(B118="", "", 'Lighting Inventory (Ref only)'!AG129)</f>
        <v/>
      </c>
      <c r="AL118" s="375" t="str">
        <f>IF(B118="", "", 'Lighting Inventory (Ref only)'!AD129)</f>
        <v/>
      </c>
      <c r="AM118" s="375" t="str">
        <f>IF(B118="", "", 'Lighting Inventory (Ref only)'!AE129)</f>
        <v/>
      </c>
      <c r="AN118" s="375" t="str">
        <f>IF(B118="", "", 'Lighting Inventory (Ref only)'!AF129)</f>
        <v/>
      </c>
      <c r="AO118" s="375" t="str">
        <f>IF(B118="", "", 'Lighting Inventory (Ref only)'!AG129)</f>
        <v/>
      </c>
    </row>
    <row r="119" spans="1:41">
      <c r="A119" s="298" t="str">
        <f>IF(G119="", "", Lookups!BF121)</f>
        <v/>
      </c>
      <c r="B119" s="298" t="str">
        <f>IF('Lighting Inventory (Ref only)'!Q130="", "", 'Lighting Inventory (Ref only)'!Q130)</f>
        <v/>
      </c>
      <c r="C119" s="298" t="str">
        <f>IF(A119="", "", 'Lighting Inventory (Ref only)'!AO130)</f>
        <v/>
      </c>
      <c r="D119" s="370" t="str">
        <f>IF(B119= "","", Inventory!S127)</f>
        <v/>
      </c>
      <c r="E119" s="371"/>
      <c r="F119" s="298" t="str">
        <f>IF(B119="", "", 'Version Log'!$B$34)</f>
        <v/>
      </c>
      <c r="G119" s="298" t="str">
        <f t="shared" si="4"/>
        <v/>
      </c>
      <c r="H119" s="298" t="str">
        <f t="shared" si="5"/>
        <v/>
      </c>
      <c r="I119" s="298" t="str">
        <f>IF(B119="", "",Inventory!D127)</f>
        <v/>
      </c>
      <c r="J119" s="298" t="str">
        <f>IF(B119="","",IF(Inventory!C127="N","Interior","Exterior"))</f>
        <v/>
      </c>
      <c r="K119" s="298" t="str">
        <f t="shared" si="6"/>
        <v/>
      </c>
      <c r="L119" s="298" t="str">
        <f>IF(B119="", "", Inventory!E127)</f>
        <v/>
      </c>
      <c r="M119" s="298" t="str">
        <f>IF(B119="","",IF(Cool_Type=Lookups!$L$9,Cool_Type,IF(Cool_Type=Lookups!$L$10,Cool_Type,IF(Cool_Type=Lookups!$L$11,Cool_Type,IF(Cool_Type=Lookups!L129,Cool_Type,IF('Project Info and Summary'!$C$20="Electric",CONCATENATE(Cool_Type," ",Heating_Type," Heat"),IF('Project Info and Summary'!$C$20="Non-Electric",CONCATENATE(Cool_Type," ",Heating_Type," Heat"),CONCATENATE(Cool_Type," ",Heating_Type))))))))</f>
        <v/>
      </c>
      <c r="N119" s="298" t="str">
        <f t="shared" si="7"/>
        <v/>
      </c>
      <c r="O119" s="298" t="str">
        <f>IF(B119="", "", 'Lighting Inventory (Ref only)'!G130)</f>
        <v/>
      </c>
      <c r="P119" s="298" t="str">
        <f>IF(B119="", "", 'Lighting Inventory (Ref only)'!E130)</f>
        <v/>
      </c>
      <c r="Q119" s="298" t="str">
        <f>IF(B119="", "", 'Lighting Inventory (Ref only)'!J130)</f>
        <v/>
      </c>
      <c r="R119" s="298" t="str">
        <f>IF(B119="", "",'Lighting Inventory (Ref only)'!K130)</f>
        <v/>
      </c>
      <c r="S119" s="372" t="str">
        <f>IF(B119="", "", 'Lighting Inventory (Ref only)'!G130*'Lighting Inventory (Ref only)'!K130/1000)</f>
        <v/>
      </c>
      <c r="T119" s="298" t="str">
        <f>IF(B119="", "", IF('Lighting Inventory (Ref only)'!I130="", "Light Switch",Inventory!H127))</f>
        <v/>
      </c>
      <c r="U119" s="298" t="str">
        <f>IF(B119="", "", 'Lighting Inventory (Ref only)'!Q130)</f>
        <v/>
      </c>
      <c r="V119" s="298" t="str">
        <f>IF(B119="", "", 'Lighting Inventory (Ref only)'!K130)</f>
        <v/>
      </c>
      <c r="W119" s="373" t="str">
        <f>IF(B119="","",('Lighting Inventory (Ref only)'!L130/1000))</f>
        <v/>
      </c>
      <c r="X119" s="298" t="str">
        <f>IF(B119="", "", 'Lighting Inventory (Ref only)'!Q130)</f>
        <v/>
      </c>
      <c r="Y119" s="298" t="str">
        <f>IF(C119="", "", Inventory!N127)</f>
        <v/>
      </c>
      <c r="Z119" s="374" t="str">
        <f>IF(B119="", "", 'Lighting Inventory (Ref only)'!P130)</f>
        <v/>
      </c>
      <c r="AA119" s="372" t="str">
        <f>IF(B119="", "",'Lighting Inventory (Ref only)'!R130/1000)</f>
        <v/>
      </c>
      <c r="AB119" s="372" t="str">
        <f>IF(B119="", "", Inventory!M127)</f>
        <v/>
      </c>
      <c r="AC119" s="374" t="str">
        <f>IF(B119="", "", 'Lighting Inventory (Ref only)'!T130)</f>
        <v/>
      </c>
      <c r="AD119" s="374" t="str">
        <f>IF(C119="", "", 'Lighting Inventory (Ref only)'!AA130)</f>
        <v/>
      </c>
      <c r="AE119" s="375" t="str">
        <f>IF(B119="", "", 'Lighting Inventory (Ref only)'!U130)</f>
        <v/>
      </c>
      <c r="AF119" s="375" t="str">
        <f>IF(B119="", "",'Lighting Inventory (Ref only)'!W130)</f>
        <v/>
      </c>
      <c r="AG119" s="375" t="str">
        <f>IF(B119="", "", 'Lighting Inventory (Ref only)'!V130)</f>
        <v/>
      </c>
      <c r="AH119" s="375" t="str">
        <f>IF(B119="", "",'Lighting Inventory (Ref only)'!Z130)</f>
        <v/>
      </c>
      <c r="AI119" s="375" t="str">
        <f>IF(B119="", "", 'Lighting Inventory (Ref only)'!Y130)</f>
        <v/>
      </c>
      <c r="AJ119" s="375" t="str">
        <f>IF(C119="", "",'Lighting Inventory (Ref only)'!AB130)</f>
        <v/>
      </c>
      <c r="AK119" s="375" t="str">
        <f>IF(B119="", "", 'Lighting Inventory (Ref only)'!AG130)</f>
        <v/>
      </c>
      <c r="AL119" s="375" t="str">
        <f>IF(B119="", "", 'Lighting Inventory (Ref only)'!AD130)</f>
        <v/>
      </c>
      <c r="AM119" s="375" t="str">
        <f>IF(B119="", "", 'Lighting Inventory (Ref only)'!AE130)</f>
        <v/>
      </c>
      <c r="AN119" s="375" t="str">
        <f>IF(B119="", "", 'Lighting Inventory (Ref only)'!AF130)</f>
        <v/>
      </c>
      <c r="AO119" s="375" t="str">
        <f>IF(B119="", "", 'Lighting Inventory (Ref only)'!AG130)</f>
        <v/>
      </c>
    </row>
    <row r="120" spans="1:41">
      <c r="A120" s="298" t="str">
        <f>IF(G120="", "", Lookups!BF122)</f>
        <v/>
      </c>
      <c r="B120" s="298" t="str">
        <f>IF('Lighting Inventory (Ref only)'!Q131="", "", 'Lighting Inventory (Ref only)'!Q131)</f>
        <v/>
      </c>
      <c r="C120" s="298" t="str">
        <f>IF(A120="", "", 'Lighting Inventory (Ref only)'!AO131)</f>
        <v/>
      </c>
      <c r="D120" s="370" t="str">
        <f>IF(B120= "","", Inventory!S128)</f>
        <v/>
      </c>
      <c r="E120" s="371"/>
      <c r="F120" s="298" t="str">
        <f>IF(B120="", "", 'Version Log'!$B$34)</f>
        <v/>
      </c>
      <c r="G120" s="298" t="str">
        <f t="shared" si="4"/>
        <v/>
      </c>
      <c r="H120" s="298" t="str">
        <f t="shared" si="5"/>
        <v/>
      </c>
      <c r="I120" s="298" t="str">
        <f>IF(B120="", "",Inventory!D128)</f>
        <v/>
      </c>
      <c r="J120" s="298" t="str">
        <f>IF(B120="","",IF(Inventory!C128="N","Interior","Exterior"))</f>
        <v/>
      </c>
      <c r="K120" s="298" t="str">
        <f t="shared" si="6"/>
        <v/>
      </c>
      <c r="L120" s="298" t="str">
        <f>IF(B120="", "", Inventory!E128)</f>
        <v/>
      </c>
      <c r="M120" s="298" t="str">
        <f>IF(B120="","",IF(Cool_Type=Lookups!$L$9,Cool_Type,IF(Cool_Type=Lookups!$L$10,Cool_Type,IF(Cool_Type=Lookups!$L$11,Cool_Type,IF(Cool_Type=Lookups!L130,Cool_Type,IF('Project Info and Summary'!$C$20="Electric",CONCATENATE(Cool_Type," ",Heating_Type," Heat"),IF('Project Info and Summary'!$C$20="Non-Electric",CONCATENATE(Cool_Type," ",Heating_Type," Heat"),CONCATENATE(Cool_Type," ",Heating_Type))))))))</f>
        <v/>
      </c>
      <c r="N120" s="298" t="str">
        <f t="shared" si="7"/>
        <v/>
      </c>
      <c r="O120" s="298" t="str">
        <f>IF(B120="", "", 'Lighting Inventory (Ref only)'!G131)</f>
        <v/>
      </c>
      <c r="P120" s="298" t="str">
        <f>IF(B120="", "", 'Lighting Inventory (Ref only)'!E131)</f>
        <v/>
      </c>
      <c r="Q120" s="298" t="str">
        <f>IF(B120="", "", 'Lighting Inventory (Ref only)'!J131)</f>
        <v/>
      </c>
      <c r="R120" s="298" t="str">
        <f>IF(B120="", "",'Lighting Inventory (Ref only)'!K131)</f>
        <v/>
      </c>
      <c r="S120" s="372" t="str">
        <f>IF(B120="", "", 'Lighting Inventory (Ref only)'!G131*'Lighting Inventory (Ref only)'!K131/1000)</f>
        <v/>
      </c>
      <c r="T120" s="298" t="str">
        <f>IF(B120="", "", IF('Lighting Inventory (Ref only)'!I131="", "Light Switch",Inventory!H128))</f>
        <v/>
      </c>
      <c r="U120" s="298" t="str">
        <f>IF(B120="", "", 'Lighting Inventory (Ref only)'!Q131)</f>
        <v/>
      </c>
      <c r="V120" s="298" t="str">
        <f>IF(B120="", "", 'Lighting Inventory (Ref only)'!K131)</f>
        <v/>
      </c>
      <c r="W120" s="373" t="str">
        <f>IF(B120="","",('Lighting Inventory (Ref only)'!L131/1000))</f>
        <v/>
      </c>
      <c r="X120" s="298" t="str">
        <f>IF(B120="", "", 'Lighting Inventory (Ref only)'!Q131)</f>
        <v/>
      </c>
      <c r="Y120" s="298" t="str">
        <f>IF(C120="", "", Inventory!N128)</f>
        <v/>
      </c>
      <c r="Z120" s="374" t="str">
        <f>IF(B120="", "", 'Lighting Inventory (Ref only)'!P131)</f>
        <v/>
      </c>
      <c r="AA120" s="372" t="str">
        <f>IF(B120="", "",'Lighting Inventory (Ref only)'!R131/1000)</f>
        <v/>
      </c>
      <c r="AB120" s="372" t="str">
        <f>IF(B120="", "", Inventory!M128)</f>
        <v/>
      </c>
      <c r="AC120" s="374" t="str">
        <f>IF(B120="", "", 'Lighting Inventory (Ref only)'!T131)</f>
        <v/>
      </c>
      <c r="AD120" s="374" t="str">
        <f>IF(C120="", "", 'Lighting Inventory (Ref only)'!AA131)</f>
        <v/>
      </c>
      <c r="AE120" s="375" t="str">
        <f>IF(B120="", "", 'Lighting Inventory (Ref only)'!U131)</f>
        <v/>
      </c>
      <c r="AF120" s="375" t="str">
        <f>IF(B120="", "",'Lighting Inventory (Ref only)'!W131)</f>
        <v/>
      </c>
      <c r="AG120" s="375" t="str">
        <f>IF(B120="", "", 'Lighting Inventory (Ref only)'!V131)</f>
        <v/>
      </c>
      <c r="AH120" s="375" t="str">
        <f>IF(B120="", "",'Lighting Inventory (Ref only)'!Z131)</f>
        <v/>
      </c>
      <c r="AI120" s="375" t="str">
        <f>IF(B120="", "", 'Lighting Inventory (Ref only)'!Y131)</f>
        <v/>
      </c>
      <c r="AJ120" s="375" t="str">
        <f>IF(C120="", "",'Lighting Inventory (Ref only)'!AB131)</f>
        <v/>
      </c>
      <c r="AK120" s="375" t="str">
        <f>IF(B120="", "", 'Lighting Inventory (Ref only)'!AG131)</f>
        <v/>
      </c>
      <c r="AL120" s="375" t="str">
        <f>IF(B120="", "", 'Lighting Inventory (Ref only)'!AD131)</f>
        <v/>
      </c>
      <c r="AM120" s="375" t="str">
        <f>IF(B120="", "", 'Lighting Inventory (Ref only)'!AE131)</f>
        <v/>
      </c>
      <c r="AN120" s="375" t="str">
        <f>IF(B120="", "", 'Lighting Inventory (Ref only)'!AF131)</f>
        <v/>
      </c>
      <c r="AO120" s="375" t="str">
        <f>IF(B120="", "", 'Lighting Inventory (Ref only)'!AG131)</f>
        <v/>
      </c>
    </row>
    <row r="121" spans="1:41">
      <c r="A121" s="298" t="str">
        <f>IF(G121="", "", Lookups!BF123)</f>
        <v/>
      </c>
      <c r="B121" s="298" t="str">
        <f>IF('Lighting Inventory (Ref only)'!Q132="", "", 'Lighting Inventory (Ref only)'!Q132)</f>
        <v/>
      </c>
      <c r="C121" s="298" t="str">
        <f>IF(A121="", "", 'Lighting Inventory (Ref only)'!AO132)</f>
        <v/>
      </c>
      <c r="D121" s="370" t="str">
        <f>IF(B121= "","", Inventory!S129)</f>
        <v/>
      </c>
      <c r="E121" s="371"/>
      <c r="F121" s="298" t="str">
        <f>IF(B121="", "", 'Version Log'!$B$34)</f>
        <v/>
      </c>
      <c r="G121" s="298" t="str">
        <f t="shared" si="4"/>
        <v/>
      </c>
      <c r="H121" s="298" t="str">
        <f t="shared" si="5"/>
        <v/>
      </c>
      <c r="I121" s="298" t="str">
        <f>IF(B121="", "",Inventory!D129)</f>
        <v/>
      </c>
      <c r="J121" s="298" t="str">
        <f>IF(B121="","",IF(Inventory!C129="N","Interior","Exterior"))</f>
        <v/>
      </c>
      <c r="K121" s="298" t="str">
        <f t="shared" si="6"/>
        <v/>
      </c>
      <c r="L121" s="298" t="str">
        <f>IF(B121="", "", Inventory!E129)</f>
        <v/>
      </c>
      <c r="M121" s="298" t="str">
        <f>IF(B121="","",IF(Cool_Type=Lookups!$L$9,Cool_Type,IF(Cool_Type=Lookups!$L$10,Cool_Type,IF(Cool_Type=Lookups!$L$11,Cool_Type,IF(Cool_Type=Lookups!L131,Cool_Type,IF('Project Info and Summary'!$C$20="Electric",CONCATENATE(Cool_Type," ",Heating_Type," Heat"),IF('Project Info and Summary'!$C$20="Non-Electric",CONCATENATE(Cool_Type," ",Heating_Type," Heat"),CONCATENATE(Cool_Type," ",Heating_Type))))))))</f>
        <v/>
      </c>
      <c r="N121" s="298" t="str">
        <f t="shared" si="7"/>
        <v/>
      </c>
      <c r="O121" s="298" t="str">
        <f>IF(B121="", "", 'Lighting Inventory (Ref only)'!G132)</f>
        <v/>
      </c>
      <c r="P121" s="298" t="str">
        <f>IF(B121="", "", 'Lighting Inventory (Ref only)'!E132)</f>
        <v/>
      </c>
      <c r="Q121" s="298" t="str">
        <f>IF(B121="", "", 'Lighting Inventory (Ref only)'!J132)</f>
        <v/>
      </c>
      <c r="R121" s="298" t="str">
        <f>IF(B121="", "",'Lighting Inventory (Ref only)'!K132)</f>
        <v/>
      </c>
      <c r="S121" s="372" t="str">
        <f>IF(B121="", "", 'Lighting Inventory (Ref only)'!G132*'Lighting Inventory (Ref only)'!K132/1000)</f>
        <v/>
      </c>
      <c r="T121" s="298" t="str">
        <f>IF(B121="", "", IF('Lighting Inventory (Ref only)'!I132="", "Light Switch",Inventory!H129))</f>
        <v/>
      </c>
      <c r="U121" s="298" t="str">
        <f>IF(B121="", "", 'Lighting Inventory (Ref only)'!Q132)</f>
        <v/>
      </c>
      <c r="V121" s="298" t="str">
        <f>IF(B121="", "", 'Lighting Inventory (Ref only)'!K132)</f>
        <v/>
      </c>
      <c r="W121" s="373" t="str">
        <f>IF(B121="","",('Lighting Inventory (Ref only)'!L132/1000))</f>
        <v/>
      </c>
      <c r="X121" s="298" t="str">
        <f>IF(B121="", "", 'Lighting Inventory (Ref only)'!Q132)</f>
        <v/>
      </c>
      <c r="Y121" s="298" t="str">
        <f>IF(C121="", "", Inventory!N129)</f>
        <v/>
      </c>
      <c r="Z121" s="374" t="str">
        <f>IF(B121="", "", 'Lighting Inventory (Ref only)'!P132)</f>
        <v/>
      </c>
      <c r="AA121" s="372" t="str">
        <f>IF(B121="", "",'Lighting Inventory (Ref only)'!R132/1000)</f>
        <v/>
      </c>
      <c r="AB121" s="372" t="str">
        <f>IF(B121="", "", Inventory!M129)</f>
        <v/>
      </c>
      <c r="AC121" s="374" t="str">
        <f>IF(B121="", "", 'Lighting Inventory (Ref only)'!T132)</f>
        <v/>
      </c>
      <c r="AD121" s="374" t="str">
        <f>IF(C121="", "", 'Lighting Inventory (Ref only)'!AA132)</f>
        <v/>
      </c>
      <c r="AE121" s="375" t="str">
        <f>IF(B121="", "", 'Lighting Inventory (Ref only)'!U132)</f>
        <v/>
      </c>
      <c r="AF121" s="375" t="str">
        <f>IF(B121="", "",'Lighting Inventory (Ref only)'!W132)</f>
        <v/>
      </c>
      <c r="AG121" s="375" t="str">
        <f>IF(B121="", "", 'Lighting Inventory (Ref only)'!V132)</f>
        <v/>
      </c>
      <c r="AH121" s="375" t="str">
        <f>IF(B121="", "",'Lighting Inventory (Ref only)'!Z132)</f>
        <v/>
      </c>
      <c r="AI121" s="375" t="str">
        <f>IF(B121="", "", 'Lighting Inventory (Ref only)'!Y132)</f>
        <v/>
      </c>
      <c r="AJ121" s="375" t="str">
        <f>IF(C121="", "",'Lighting Inventory (Ref only)'!AB132)</f>
        <v/>
      </c>
      <c r="AK121" s="375" t="str">
        <f>IF(B121="", "", 'Lighting Inventory (Ref only)'!AG132)</f>
        <v/>
      </c>
      <c r="AL121" s="375" t="str">
        <f>IF(B121="", "", 'Lighting Inventory (Ref only)'!AD132)</f>
        <v/>
      </c>
      <c r="AM121" s="375" t="str">
        <f>IF(B121="", "", 'Lighting Inventory (Ref only)'!AE132)</f>
        <v/>
      </c>
      <c r="AN121" s="375" t="str">
        <f>IF(B121="", "", 'Lighting Inventory (Ref only)'!AF132)</f>
        <v/>
      </c>
      <c r="AO121" s="375" t="str">
        <f>IF(B121="", "", 'Lighting Inventory (Ref only)'!AG132)</f>
        <v/>
      </c>
    </row>
    <row r="122" spans="1:41">
      <c r="A122" s="298" t="str">
        <f>IF(G122="", "", Lookups!BF124)</f>
        <v/>
      </c>
      <c r="B122" s="298" t="str">
        <f>IF('Lighting Inventory (Ref only)'!Q133="", "", 'Lighting Inventory (Ref only)'!Q133)</f>
        <v/>
      </c>
      <c r="C122" s="298" t="str">
        <f>IF(A122="", "", 'Lighting Inventory (Ref only)'!AO133)</f>
        <v/>
      </c>
      <c r="D122" s="370" t="str">
        <f>IF(B122= "","", Inventory!S130)</f>
        <v/>
      </c>
      <c r="E122" s="371"/>
      <c r="F122" s="298" t="str">
        <f>IF(B122="", "", 'Version Log'!$B$34)</f>
        <v/>
      </c>
      <c r="G122" s="298" t="str">
        <f t="shared" si="4"/>
        <v/>
      </c>
      <c r="H122" s="298" t="str">
        <f t="shared" si="5"/>
        <v/>
      </c>
      <c r="I122" s="298" t="str">
        <f>IF(B122="", "",Inventory!D130)</f>
        <v/>
      </c>
      <c r="J122" s="298" t="str">
        <f>IF(B122="","",IF(Inventory!C130="N","Interior","Exterior"))</f>
        <v/>
      </c>
      <c r="K122" s="298" t="str">
        <f t="shared" si="6"/>
        <v/>
      </c>
      <c r="L122" s="298" t="str">
        <f>IF(B122="", "", Inventory!E130)</f>
        <v/>
      </c>
      <c r="M122" s="298" t="str">
        <f>IF(B122="","",IF(Cool_Type=Lookups!$L$9,Cool_Type,IF(Cool_Type=Lookups!$L$10,Cool_Type,IF(Cool_Type=Lookups!$L$11,Cool_Type,IF(Cool_Type=Lookups!L132,Cool_Type,IF('Project Info and Summary'!$C$20="Electric",CONCATENATE(Cool_Type," ",Heating_Type," Heat"),IF('Project Info and Summary'!$C$20="Non-Electric",CONCATENATE(Cool_Type," ",Heating_Type," Heat"),CONCATENATE(Cool_Type," ",Heating_Type))))))))</f>
        <v/>
      </c>
      <c r="N122" s="298" t="str">
        <f t="shared" si="7"/>
        <v/>
      </c>
      <c r="O122" s="298" t="str">
        <f>IF(B122="", "", 'Lighting Inventory (Ref only)'!G133)</f>
        <v/>
      </c>
      <c r="P122" s="298" t="str">
        <f>IF(B122="", "", 'Lighting Inventory (Ref only)'!E133)</f>
        <v/>
      </c>
      <c r="Q122" s="298" t="str">
        <f>IF(B122="", "", 'Lighting Inventory (Ref only)'!J133)</f>
        <v/>
      </c>
      <c r="R122" s="298" t="str">
        <f>IF(B122="", "",'Lighting Inventory (Ref only)'!K133)</f>
        <v/>
      </c>
      <c r="S122" s="372" t="str">
        <f>IF(B122="", "", 'Lighting Inventory (Ref only)'!G133*'Lighting Inventory (Ref only)'!K133/1000)</f>
        <v/>
      </c>
      <c r="T122" s="298" t="str">
        <f>IF(B122="", "", IF('Lighting Inventory (Ref only)'!I133="", "Light Switch",Inventory!H130))</f>
        <v/>
      </c>
      <c r="U122" s="298" t="str">
        <f>IF(B122="", "", 'Lighting Inventory (Ref only)'!Q133)</f>
        <v/>
      </c>
      <c r="V122" s="298" t="str">
        <f>IF(B122="", "", 'Lighting Inventory (Ref only)'!K133)</f>
        <v/>
      </c>
      <c r="W122" s="373" t="str">
        <f>IF(B122="","",('Lighting Inventory (Ref only)'!L133/1000))</f>
        <v/>
      </c>
      <c r="X122" s="298" t="str">
        <f>IF(B122="", "", 'Lighting Inventory (Ref only)'!Q133)</f>
        <v/>
      </c>
      <c r="Y122" s="298" t="str">
        <f>IF(C122="", "", Inventory!N130)</f>
        <v/>
      </c>
      <c r="Z122" s="374" t="str">
        <f>IF(B122="", "", 'Lighting Inventory (Ref only)'!P133)</f>
        <v/>
      </c>
      <c r="AA122" s="372" t="str">
        <f>IF(B122="", "",'Lighting Inventory (Ref only)'!R133/1000)</f>
        <v/>
      </c>
      <c r="AB122" s="372" t="str">
        <f>IF(B122="", "", Inventory!M130)</f>
        <v/>
      </c>
      <c r="AC122" s="374" t="str">
        <f>IF(B122="", "", 'Lighting Inventory (Ref only)'!T133)</f>
        <v/>
      </c>
      <c r="AD122" s="374" t="str">
        <f>IF(C122="", "", 'Lighting Inventory (Ref only)'!AA133)</f>
        <v/>
      </c>
      <c r="AE122" s="375" t="str">
        <f>IF(B122="", "", 'Lighting Inventory (Ref only)'!U133)</f>
        <v/>
      </c>
      <c r="AF122" s="375" t="str">
        <f>IF(B122="", "",'Lighting Inventory (Ref only)'!W133)</f>
        <v/>
      </c>
      <c r="AG122" s="375" t="str">
        <f>IF(B122="", "", 'Lighting Inventory (Ref only)'!V133)</f>
        <v/>
      </c>
      <c r="AH122" s="375" t="str">
        <f>IF(B122="", "",'Lighting Inventory (Ref only)'!Z133)</f>
        <v/>
      </c>
      <c r="AI122" s="375" t="str">
        <f>IF(B122="", "", 'Lighting Inventory (Ref only)'!Y133)</f>
        <v/>
      </c>
      <c r="AJ122" s="375" t="str">
        <f>IF(C122="", "",'Lighting Inventory (Ref only)'!AB133)</f>
        <v/>
      </c>
      <c r="AK122" s="375" t="str">
        <f>IF(B122="", "", 'Lighting Inventory (Ref only)'!AG133)</f>
        <v/>
      </c>
      <c r="AL122" s="375" t="str">
        <f>IF(B122="", "", 'Lighting Inventory (Ref only)'!AD133)</f>
        <v/>
      </c>
      <c r="AM122" s="375" t="str">
        <f>IF(B122="", "", 'Lighting Inventory (Ref only)'!AE133)</f>
        <v/>
      </c>
      <c r="AN122" s="375" t="str">
        <f>IF(B122="", "", 'Lighting Inventory (Ref only)'!AF133)</f>
        <v/>
      </c>
      <c r="AO122" s="375" t="str">
        <f>IF(B122="", "", 'Lighting Inventory (Ref only)'!AG133)</f>
        <v/>
      </c>
    </row>
    <row r="123" spans="1:41">
      <c r="A123" s="298" t="str">
        <f>IF(G123="", "", Lookups!BF125)</f>
        <v/>
      </c>
      <c r="B123" s="298" t="str">
        <f>IF('Lighting Inventory (Ref only)'!Q134="", "", 'Lighting Inventory (Ref only)'!Q134)</f>
        <v/>
      </c>
      <c r="C123" s="298" t="str">
        <f>IF(A123="", "", 'Lighting Inventory (Ref only)'!AO134)</f>
        <v/>
      </c>
      <c r="D123" s="370" t="str">
        <f>IF(B123= "","", Inventory!S131)</f>
        <v/>
      </c>
      <c r="E123" s="371"/>
      <c r="F123" s="298" t="str">
        <f>IF(B123="", "", 'Version Log'!$B$34)</f>
        <v/>
      </c>
      <c r="G123" s="298" t="str">
        <f t="shared" si="4"/>
        <v/>
      </c>
      <c r="H123" s="298" t="str">
        <f t="shared" si="5"/>
        <v/>
      </c>
      <c r="I123" s="298" t="str">
        <f>IF(B123="", "",Inventory!D131)</f>
        <v/>
      </c>
      <c r="J123" s="298" t="str">
        <f>IF(B123="","",IF(Inventory!C131="N","Interior","Exterior"))</f>
        <v/>
      </c>
      <c r="K123" s="298" t="str">
        <f t="shared" si="6"/>
        <v/>
      </c>
      <c r="L123" s="298" t="str">
        <f>IF(B123="", "", Inventory!E131)</f>
        <v/>
      </c>
      <c r="M123" s="298" t="str">
        <f>IF(B123="","",IF(Cool_Type=Lookups!$L$9,Cool_Type,IF(Cool_Type=Lookups!$L$10,Cool_Type,IF(Cool_Type=Lookups!$L$11,Cool_Type,IF(Cool_Type=Lookups!L133,Cool_Type,IF('Project Info and Summary'!$C$20="Electric",CONCATENATE(Cool_Type," ",Heating_Type," Heat"),IF('Project Info and Summary'!$C$20="Non-Electric",CONCATENATE(Cool_Type," ",Heating_Type," Heat"),CONCATENATE(Cool_Type," ",Heating_Type))))))))</f>
        <v/>
      </c>
      <c r="N123" s="298" t="str">
        <f t="shared" si="7"/>
        <v/>
      </c>
      <c r="O123" s="298" t="str">
        <f>IF(B123="", "", 'Lighting Inventory (Ref only)'!G134)</f>
        <v/>
      </c>
      <c r="P123" s="298" t="str">
        <f>IF(B123="", "", 'Lighting Inventory (Ref only)'!E134)</f>
        <v/>
      </c>
      <c r="Q123" s="298" t="str">
        <f>IF(B123="", "", 'Lighting Inventory (Ref only)'!J134)</f>
        <v/>
      </c>
      <c r="R123" s="298" t="str">
        <f>IF(B123="", "",'Lighting Inventory (Ref only)'!K134)</f>
        <v/>
      </c>
      <c r="S123" s="372" t="str">
        <f>IF(B123="", "", 'Lighting Inventory (Ref only)'!G134*'Lighting Inventory (Ref only)'!K134/1000)</f>
        <v/>
      </c>
      <c r="T123" s="298" t="str">
        <f>IF(B123="", "", IF('Lighting Inventory (Ref only)'!I134="", "Light Switch",Inventory!H131))</f>
        <v/>
      </c>
      <c r="U123" s="298" t="str">
        <f>IF(B123="", "", 'Lighting Inventory (Ref only)'!Q134)</f>
        <v/>
      </c>
      <c r="V123" s="298" t="str">
        <f>IF(B123="", "", 'Lighting Inventory (Ref only)'!K134)</f>
        <v/>
      </c>
      <c r="W123" s="373" t="str">
        <f>IF(B123="","",('Lighting Inventory (Ref only)'!L134/1000))</f>
        <v/>
      </c>
      <c r="X123" s="298" t="str">
        <f>IF(B123="", "", 'Lighting Inventory (Ref only)'!Q134)</f>
        <v/>
      </c>
      <c r="Y123" s="298" t="str">
        <f>IF(C123="", "", Inventory!N131)</f>
        <v/>
      </c>
      <c r="Z123" s="374" t="str">
        <f>IF(B123="", "", 'Lighting Inventory (Ref only)'!P134)</f>
        <v/>
      </c>
      <c r="AA123" s="372" t="str">
        <f>IF(B123="", "",'Lighting Inventory (Ref only)'!R134/1000)</f>
        <v/>
      </c>
      <c r="AB123" s="372" t="str">
        <f>IF(B123="", "", Inventory!M131)</f>
        <v/>
      </c>
      <c r="AC123" s="374" t="str">
        <f>IF(B123="", "", 'Lighting Inventory (Ref only)'!T134)</f>
        <v/>
      </c>
      <c r="AD123" s="374" t="str">
        <f>IF(C123="", "", 'Lighting Inventory (Ref only)'!AA134)</f>
        <v/>
      </c>
      <c r="AE123" s="375" t="str">
        <f>IF(B123="", "", 'Lighting Inventory (Ref only)'!U134)</f>
        <v/>
      </c>
      <c r="AF123" s="375" t="str">
        <f>IF(B123="", "",'Lighting Inventory (Ref only)'!W134)</f>
        <v/>
      </c>
      <c r="AG123" s="375" t="str">
        <f>IF(B123="", "", 'Lighting Inventory (Ref only)'!V134)</f>
        <v/>
      </c>
      <c r="AH123" s="375" t="str">
        <f>IF(B123="", "",'Lighting Inventory (Ref only)'!Z134)</f>
        <v/>
      </c>
      <c r="AI123" s="375" t="str">
        <f>IF(B123="", "", 'Lighting Inventory (Ref only)'!Y134)</f>
        <v/>
      </c>
      <c r="AJ123" s="375" t="str">
        <f>IF(C123="", "",'Lighting Inventory (Ref only)'!AB134)</f>
        <v/>
      </c>
      <c r="AK123" s="375" t="str">
        <f>IF(B123="", "", 'Lighting Inventory (Ref only)'!AG134)</f>
        <v/>
      </c>
      <c r="AL123" s="375" t="str">
        <f>IF(B123="", "", 'Lighting Inventory (Ref only)'!AD134)</f>
        <v/>
      </c>
      <c r="AM123" s="375" t="str">
        <f>IF(B123="", "", 'Lighting Inventory (Ref only)'!AE134)</f>
        <v/>
      </c>
      <c r="AN123" s="375" t="str">
        <f>IF(B123="", "", 'Lighting Inventory (Ref only)'!AF134)</f>
        <v/>
      </c>
      <c r="AO123" s="375" t="str">
        <f>IF(B123="", "", 'Lighting Inventory (Ref only)'!AG134)</f>
        <v/>
      </c>
    </row>
    <row r="124" spans="1:41">
      <c r="A124" s="298" t="str">
        <f>IF(G124="", "", Lookups!BF126)</f>
        <v/>
      </c>
      <c r="B124" s="298" t="str">
        <f>IF('Lighting Inventory (Ref only)'!Q135="", "", 'Lighting Inventory (Ref only)'!Q135)</f>
        <v/>
      </c>
      <c r="C124" s="298" t="str">
        <f>IF(A124="", "", 'Lighting Inventory (Ref only)'!AO135)</f>
        <v/>
      </c>
      <c r="D124" s="370" t="str">
        <f>IF(B124= "","", Inventory!S132)</f>
        <v/>
      </c>
      <c r="E124" s="371"/>
      <c r="F124" s="298" t="str">
        <f>IF(B124="", "", 'Version Log'!$B$34)</f>
        <v/>
      </c>
      <c r="G124" s="298" t="str">
        <f t="shared" si="4"/>
        <v/>
      </c>
      <c r="H124" s="298" t="str">
        <f t="shared" si="5"/>
        <v/>
      </c>
      <c r="I124" s="298" t="str">
        <f>IF(B124="", "",Inventory!D132)</f>
        <v/>
      </c>
      <c r="J124" s="298" t="str">
        <f>IF(B124="","",IF(Inventory!C132="N","Interior","Exterior"))</f>
        <v/>
      </c>
      <c r="K124" s="298" t="str">
        <f t="shared" si="6"/>
        <v/>
      </c>
      <c r="L124" s="298" t="str">
        <f>IF(B124="", "", Inventory!E132)</f>
        <v/>
      </c>
      <c r="M124" s="298" t="str">
        <f>IF(B124="","",IF(Cool_Type=Lookups!$L$9,Cool_Type,IF(Cool_Type=Lookups!$L$10,Cool_Type,IF(Cool_Type=Lookups!$L$11,Cool_Type,IF(Cool_Type=Lookups!L134,Cool_Type,IF('Project Info and Summary'!$C$20="Electric",CONCATENATE(Cool_Type," ",Heating_Type," Heat"),IF('Project Info and Summary'!$C$20="Non-Electric",CONCATENATE(Cool_Type," ",Heating_Type," Heat"),CONCATENATE(Cool_Type," ",Heating_Type))))))))</f>
        <v/>
      </c>
      <c r="N124" s="298" t="str">
        <f t="shared" si="7"/>
        <v/>
      </c>
      <c r="O124" s="298" t="str">
        <f>IF(B124="", "", 'Lighting Inventory (Ref only)'!G135)</f>
        <v/>
      </c>
      <c r="P124" s="298" t="str">
        <f>IF(B124="", "", 'Lighting Inventory (Ref only)'!E135)</f>
        <v/>
      </c>
      <c r="Q124" s="298" t="str">
        <f>IF(B124="", "", 'Lighting Inventory (Ref only)'!J135)</f>
        <v/>
      </c>
      <c r="R124" s="298" t="str">
        <f>IF(B124="", "",'Lighting Inventory (Ref only)'!K135)</f>
        <v/>
      </c>
      <c r="S124" s="372" t="str">
        <f>IF(B124="", "", 'Lighting Inventory (Ref only)'!G135*'Lighting Inventory (Ref only)'!K135/1000)</f>
        <v/>
      </c>
      <c r="T124" s="298" t="str">
        <f>IF(B124="", "", IF('Lighting Inventory (Ref only)'!I135="", "Light Switch",Inventory!H132))</f>
        <v/>
      </c>
      <c r="U124" s="298" t="str">
        <f>IF(B124="", "", 'Lighting Inventory (Ref only)'!Q135)</f>
        <v/>
      </c>
      <c r="V124" s="298" t="str">
        <f>IF(B124="", "", 'Lighting Inventory (Ref only)'!K135)</f>
        <v/>
      </c>
      <c r="W124" s="373" t="str">
        <f>IF(B124="","",('Lighting Inventory (Ref only)'!L135/1000))</f>
        <v/>
      </c>
      <c r="X124" s="298" t="str">
        <f>IF(B124="", "", 'Lighting Inventory (Ref only)'!Q135)</f>
        <v/>
      </c>
      <c r="Y124" s="298" t="str">
        <f>IF(C124="", "", Inventory!N132)</f>
        <v/>
      </c>
      <c r="Z124" s="374" t="str">
        <f>IF(B124="", "", 'Lighting Inventory (Ref only)'!P135)</f>
        <v/>
      </c>
      <c r="AA124" s="372" t="str">
        <f>IF(B124="", "",'Lighting Inventory (Ref only)'!R135/1000)</f>
        <v/>
      </c>
      <c r="AB124" s="372" t="str">
        <f>IF(B124="", "", Inventory!M132)</f>
        <v/>
      </c>
      <c r="AC124" s="374" t="str">
        <f>IF(B124="", "", 'Lighting Inventory (Ref only)'!T135)</f>
        <v/>
      </c>
      <c r="AD124" s="374" t="str">
        <f>IF(C124="", "", 'Lighting Inventory (Ref only)'!AA135)</f>
        <v/>
      </c>
      <c r="AE124" s="375" t="str">
        <f>IF(B124="", "", 'Lighting Inventory (Ref only)'!U135)</f>
        <v/>
      </c>
      <c r="AF124" s="375" t="str">
        <f>IF(B124="", "",'Lighting Inventory (Ref only)'!W135)</f>
        <v/>
      </c>
      <c r="AG124" s="375" t="str">
        <f>IF(B124="", "", 'Lighting Inventory (Ref only)'!V135)</f>
        <v/>
      </c>
      <c r="AH124" s="375" t="str">
        <f>IF(B124="", "",'Lighting Inventory (Ref only)'!Z135)</f>
        <v/>
      </c>
      <c r="AI124" s="375" t="str">
        <f>IF(B124="", "", 'Lighting Inventory (Ref only)'!Y135)</f>
        <v/>
      </c>
      <c r="AJ124" s="375" t="str">
        <f>IF(C124="", "",'Lighting Inventory (Ref only)'!AB135)</f>
        <v/>
      </c>
      <c r="AK124" s="375" t="str">
        <f>IF(B124="", "", 'Lighting Inventory (Ref only)'!AG135)</f>
        <v/>
      </c>
      <c r="AL124" s="375" t="str">
        <f>IF(B124="", "", 'Lighting Inventory (Ref only)'!AD135)</f>
        <v/>
      </c>
      <c r="AM124" s="375" t="str">
        <f>IF(B124="", "", 'Lighting Inventory (Ref only)'!AE135)</f>
        <v/>
      </c>
      <c r="AN124" s="375" t="str">
        <f>IF(B124="", "", 'Lighting Inventory (Ref only)'!AF135)</f>
        <v/>
      </c>
      <c r="AO124" s="375" t="str">
        <f>IF(B124="", "", 'Lighting Inventory (Ref only)'!AG135)</f>
        <v/>
      </c>
    </row>
    <row r="125" spans="1:41">
      <c r="A125" s="298" t="str">
        <f>IF(G125="", "", Lookups!BF127)</f>
        <v/>
      </c>
      <c r="B125" s="298" t="str">
        <f>IF('Lighting Inventory (Ref only)'!Q136="", "", 'Lighting Inventory (Ref only)'!Q136)</f>
        <v/>
      </c>
      <c r="C125" s="298" t="str">
        <f>IF(A125="", "", 'Lighting Inventory (Ref only)'!AO136)</f>
        <v/>
      </c>
      <c r="D125" s="370" t="str">
        <f>IF(B125= "","", Inventory!S133)</f>
        <v/>
      </c>
      <c r="E125" s="371"/>
      <c r="F125" s="298" t="str">
        <f>IF(B125="", "", 'Version Log'!$B$34)</f>
        <v/>
      </c>
      <c r="G125" s="298" t="str">
        <f t="shared" si="4"/>
        <v/>
      </c>
      <c r="H125" s="298" t="str">
        <f t="shared" si="5"/>
        <v/>
      </c>
      <c r="I125" s="298" t="str">
        <f>IF(B125="", "",Inventory!D133)</f>
        <v/>
      </c>
      <c r="J125" s="298" t="str">
        <f>IF(B125="","",IF(Inventory!C133="N","Interior","Exterior"))</f>
        <v/>
      </c>
      <c r="K125" s="298" t="str">
        <f t="shared" si="6"/>
        <v/>
      </c>
      <c r="L125" s="298" t="str">
        <f>IF(B125="", "", Inventory!E133)</f>
        <v/>
      </c>
      <c r="M125" s="298" t="str">
        <f>IF(B125="","",IF(Cool_Type=Lookups!$L$9,Cool_Type,IF(Cool_Type=Lookups!$L$10,Cool_Type,IF(Cool_Type=Lookups!$L$11,Cool_Type,IF(Cool_Type=Lookups!L135,Cool_Type,IF('Project Info and Summary'!$C$20="Electric",CONCATENATE(Cool_Type," ",Heating_Type," Heat"),IF('Project Info and Summary'!$C$20="Non-Electric",CONCATENATE(Cool_Type," ",Heating_Type," Heat"),CONCATENATE(Cool_Type," ",Heating_Type))))))))</f>
        <v/>
      </c>
      <c r="N125" s="298" t="str">
        <f t="shared" si="7"/>
        <v/>
      </c>
      <c r="O125" s="298" t="str">
        <f>IF(B125="", "", 'Lighting Inventory (Ref only)'!G136)</f>
        <v/>
      </c>
      <c r="P125" s="298" t="str">
        <f>IF(B125="", "", 'Lighting Inventory (Ref only)'!E136)</f>
        <v/>
      </c>
      <c r="Q125" s="298" t="str">
        <f>IF(B125="", "", 'Lighting Inventory (Ref only)'!J136)</f>
        <v/>
      </c>
      <c r="R125" s="298" t="str">
        <f>IF(B125="", "",'Lighting Inventory (Ref only)'!K136)</f>
        <v/>
      </c>
      <c r="S125" s="372" t="str">
        <f>IF(B125="", "", 'Lighting Inventory (Ref only)'!G136*'Lighting Inventory (Ref only)'!K136/1000)</f>
        <v/>
      </c>
      <c r="T125" s="298" t="str">
        <f>IF(B125="", "", IF('Lighting Inventory (Ref only)'!I136="", "Light Switch",Inventory!H133))</f>
        <v/>
      </c>
      <c r="U125" s="298" t="str">
        <f>IF(B125="", "", 'Lighting Inventory (Ref only)'!Q136)</f>
        <v/>
      </c>
      <c r="V125" s="298" t="str">
        <f>IF(B125="", "", 'Lighting Inventory (Ref only)'!K136)</f>
        <v/>
      </c>
      <c r="W125" s="373" t="str">
        <f>IF(B125="","",('Lighting Inventory (Ref only)'!L136/1000))</f>
        <v/>
      </c>
      <c r="X125" s="298" t="str">
        <f>IF(B125="", "", 'Lighting Inventory (Ref only)'!Q136)</f>
        <v/>
      </c>
      <c r="Y125" s="298" t="str">
        <f>IF(C125="", "", Inventory!N133)</f>
        <v/>
      </c>
      <c r="Z125" s="374" t="str">
        <f>IF(B125="", "", 'Lighting Inventory (Ref only)'!P136)</f>
        <v/>
      </c>
      <c r="AA125" s="372" t="str">
        <f>IF(B125="", "",'Lighting Inventory (Ref only)'!R136/1000)</f>
        <v/>
      </c>
      <c r="AB125" s="372" t="str">
        <f>IF(B125="", "", Inventory!M133)</f>
        <v/>
      </c>
      <c r="AC125" s="374" t="str">
        <f>IF(B125="", "", 'Lighting Inventory (Ref only)'!T136)</f>
        <v/>
      </c>
      <c r="AD125" s="374" t="str">
        <f>IF(C125="", "", 'Lighting Inventory (Ref only)'!AA136)</f>
        <v/>
      </c>
      <c r="AE125" s="375" t="str">
        <f>IF(B125="", "", 'Lighting Inventory (Ref only)'!U136)</f>
        <v/>
      </c>
      <c r="AF125" s="375" t="str">
        <f>IF(B125="", "",'Lighting Inventory (Ref only)'!W136)</f>
        <v/>
      </c>
      <c r="AG125" s="375" t="str">
        <f>IF(B125="", "", 'Lighting Inventory (Ref only)'!V136)</f>
        <v/>
      </c>
      <c r="AH125" s="375" t="str">
        <f>IF(B125="", "",'Lighting Inventory (Ref only)'!Z136)</f>
        <v/>
      </c>
      <c r="AI125" s="375" t="str">
        <f>IF(B125="", "", 'Lighting Inventory (Ref only)'!Y136)</f>
        <v/>
      </c>
      <c r="AJ125" s="375" t="str">
        <f>IF(C125="", "",'Lighting Inventory (Ref only)'!AB136)</f>
        <v/>
      </c>
      <c r="AK125" s="375" t="str">
        <f>IF(B125="", "", 'Lighting Inventory (Ref only)'!AG136)</f>
        <v/>
      </c>
      <c r="AL125" s="375" t="str">
        <f>IF(B125="", "", 'Lighting Inventory (Ref only)'!AD136)</f>
        <v/>
      </c>
      <c r="AM125" s="375" t="str">
        <f>IF(B125="", "", 'Lighting Inventory (Ref only)'!AE136)</f>
        <v/>
      </c>
      <c r="AN125" s="375" t="str">
        <f>IF(B125="", "", 'Lighting Inventory (Ref only)'!AF136)</f>
        <v/>
      </c>
      <c r="AO125" s="375" t="str">
        <f>IF(B125="", "", 'Lighting Inventory (Ref only)'!AG136)</f>
        <v/>
      </c>
    </row>
    <row r="126" spans="1:41">
      <c r="A126" s="298" t="str">
        <f>IF(G126="", "", Lookups!BF128)</f>
        <v/>
      </c>
      <c r="B126" s="298" t="str">
        <f>IF('Lighting Inventory (Ref only)'!Q137="", "", 'Lighting Inventory (Ref only)'!Q137)</f>
        <v/>
      </c>
      <c r="C126" s="298" t="str">
        <f>IF(A126="", "", 'Lighting Inventory (Ref only)'!AO137)</f>
        <v/>
      </c>
      <c r="D126" s="370" t="str">
        <f>IF(B126= "","", Inventory!S134)</f>
        <v/>
      </c>
      <c r="E126" s="371"/>
      <c r="F126" s="298" t="str">
        <f>IF(B126="", "", 'Version Log'!$B$34)</f>
        <v/>
      </c>
      <c r="G126" s="298" t="str">
        <f t="shared" si="4"/>
        <v/>
      </c>
      <c r="H126" s="298" t="str">
        <f t="shared" si="5"/>
        <v/>
      </c>
      <c r="I126" s="298" t="str">
        <f>IF(B126="", "",Inventory!D134)</f>
        <v/>
      </c>
      <c r="J126" s="298" t="str">
        <f>IF(B126="","",IF(Inventory!C134="N","Interior","Exterior"))</f>
        <v/>
      </c>
      <c r="K126" s="298" t="str">
        <f t="shared" si="6"/>
        <v/>
      </c>
      <c r="L126" s="298" t="str">
        <f>IF(B126="", "", Inventory!E134)</f>
        <v/>
      </c>
      <c r="M126" s="298" t="str">
        <f>IF(B126="","",IF(Cool_Type=Lookups!$L$9,Cool_Type,IF(Cool_Type=Lookups!$L$10,Cool_Type,IF(Cool_Type=Lookups!$L$11,Cool_Type,IF(Cool_Type=Lookups!L136,Cool_Type,IF('Project Info and Summary'!$C$20="Electric",CONCATENATE(Cool_Type," ",Heating_Type," Heat"),IF('Project Info and Summary'!$C$20="Non-Electric",CONCATENATE(Cool_Type," ",Heating_Type," Heat"),CONCATENATE(Cool_Type," ",Heating_Type))))))))</f>
        <v/>
      </c>
      <c r="N126" s="298" t="str">
        <f t="shared" si="7"/>
        <v/>
      </c>
      <c r="O126" s="298" t="str">
        <f>IF(B126="", "", 'Lighting Inventory (Ref only)'!G137)</f>
        <v/>
      </c>
      <c r="P126" s="298" t="str">
        <f>IF(B126="", "", 'Lighting Inventory (Ref only)'!E137)</f>
        <v/>
      </c>
      <c r="Q126" s="298" t="str">
        <f>IF(B126="", "", 'Lighting Inventory (Ref only)'!J137)</f>
        <v/>
      </c>
      <c r="R126" s="298" t="str">
        <f>IF(B126="", "",'Lighting Inventory (Ref only)'!K137)</f>
        <v/>
      </c>
      <c r="S126" s="372" t="str">
        <f>IF(B126="", "", 'Lighting Inventory (Ref only)'!G137*'Lighting Inventory (Ref only)'!K137/1000)</f>
        <v/>
      </c>
      <c r="T126" s="298" t="str">
        <f>IF(B126="", "", IF('Lighting Inventory (Ref only)'!I137="", "Light Switch",Inventory!H134))</f>
        <v/>
      </c>
      <c r="U126" s="298" t="str">
        <f>IF(B126="", "", 'Lighting Inventory (Ref only)'!Q137)</f>
        <v/>
      </c>
      <c r="V126" s="298" t="str">
        <f>IF(B126="", "", 'Lighting Inventory (Ref only)'!K137)</f>
        <v/>
      </c>
      <c r="W126" s="373" t="str">
        <f>IF(B126="","",('Lighting Inventory (Ref only)'!L137/1000))</f>
        <v/>
      </c>
      <c r="X126" s="298" t="str">
        <f>IF(B126="", "", 'Lighting Inventory (Ref only)'!Q137)</f>
        <v/>
      </c>
      <c r="Y126" s="298" t="str">
        <f>IF(C126="", "", Inventory!N134)</f>
        <v/>
      </c>
      <c r="Z126" s="374" t="str">
        <f>IF(B126="", "", 'Lighting Inventory (Ref only)'!P137)</f>
        <v/>
      </c>
      <c r="AA126" s="372" t="str">
        <f>IF(B126="", "",'Lighting Inventory (Ref only)'!R137/1000)</f>
        <v/>
      </c>
      <c r="AB126" s="372" t="str">
        <f>IF(B126="", "", Inventory!M134)</f>
        <v/>
      </c>
      <c r="AC126" s="374" t="str">
        <f>IF(B126="", "", 'Lighting Inventory (Ref only)'!T137)</f>
        <v/>
      </c>
      <c r="AD126" s="374" t="str">
        <f>IF(C126="", "", 'Lighting Inventory (Ref only)'!AA137)</f>
        <v/>
      </c>
      <c r="AE126" s="375" t="str">
        <f>IF(B126="", "", 'Lighting Inventory (Ref only)'!U137)</f>
        <v/>
      </c>
      <c r="AF126" s="375" t="str">
        <f>IF(B126="", "",'Lighting Inventory (Ref only)'!W137)</f>
        <v/>
      </c>
      <c r="AG126" s="375" t="str">
        <f>IF(B126="", "", 'Lighting Inventory (Ref only)'!V137)</f>
        <v/>
      </c>
      <c r="AH126" s="375" t="str">
        <f>IF(B126="", "",'Lighting Inventory (Ref only)'!Z137)</f>
        <v/>
      </c>
      <c r="AI126" s="375" t="str">
        <f>IF(B126="", "", 'Lighting Inventory (Ref only)'!Y137)</f>
        <v/>
      </c>
      <c r="AJ126" s="375" t="str">
        <f>IF(C126="", "",'Lighting Inventory (Ref only)'!AB137)</f>
        <v/>
      </c>
      <c r="AK126" s="375" t="str">
        <f>IF(B126="", "", 'Lighting Inventory (Ref only)'!AG137)</f>
        <v/>
      </c>
      <c r="AL126" s="375" t="str">
        <f>IF(B126="", "", 'Lighting Inventory (Ref only)'!AD137)</f>
        <v/>
      </c>
      <c r="AM126" s="375" t="str">
        <f>IF(B126="", "", 'Lighting Inventory (Ref only)'!AE137)</f>
        <v/>
      </c>
      <c r="AN126" s="375" t="str">
        <f>IF(B126="", "", 'Lighting Inventory (Ref only)'!AF137)</f>
        <v/>
      </c>
      <c r="AO126" s="375" t="str">
        <f>IF(B126="", "", 'Lighting Inventory (Ref only)'!AG137)</f>
        <v/>
      </c>
    </row>
    <row r="127" spans="1:41">
      <c r="A127" s="298" t="str">
        <f>IF(G127="", "", Lookups!BF129)</f>
        <v/>
      </c>
      <c r="B127" s="298" t="str">
        <f>IF('Lighting Inventory (Ref only)'!Q138="", "", 'Lighting Inventory (Ref only)'!Q138)</f>
        <v/>
      </c>
      <c r="C127" s="298" t="str">
        <f>IF(A127="", "", 'Lighting Inventory (Ref only)'!AO138)</f>
        <v/>
      </c>
      <c r="D127" s="370" t="str">
        <f>IF(B127= "","", Inventory!S135)</f>
        <v/>
      </c>
      <c r="E127" s="371"/>
      <c r="F127" s="298" t="str">
        <f>IF(B127="", "", 'Version Log'!$B$34)</f>
        <v/>
      </c>
      <c r="G127" s="298" t="str">
        <f t="shared" si="4"/>
        <v/>
      </c>
      <c r="H127" s="298" t="str">
        <f t="shared" si="5"/>
        <v/>
      </c>
      <c r="I127" s="298" t="str">
        <f>IF(B127="", "",Inventory!D135)</f>
        <v/>
      </c>
      <c r="J127" s="298" t="str">
        <f>IF(B127="","",IF(Inventory!C135="N","Interior","Exterior"))</f>
        <v/>
      </c>
      <c r="K127" s="298" t="str">
        <f t="shared" si="6"/>
        <v/>
      </c>
      <c r="L127" s="298" t="str">
        <f>IF(B127="", "", Inventory!E135)</f>
        <v/>
      </c>
      <c r="M127" s="298" t="str">
        <f>IF(B127="","",IF(Cool_Type=Lookups!$L$9,Cool_Type,IF(Cool_Type=Lookups!$L$10,Cool_Type,IF(Cool_Type=Lookups!$L$11,Cool_Type,IF(Cool_Type=Lookups!L137,Cool_Type,IF('Project Info and Summary'!$C$20="Electric",CONCATENATE(Cool_Type," ",Heating_Type," Heat"),IF('Project Info and Summary'!$C$20="Non-Electric",CONCATENATE(Cool_Type," ",Heating_Type," Heat"),CONCATENATE(Cool_Type," ",Heating_Type))))))))</f>
        <v/>
      </c>
      <c r="N127" s="298" t="str">
        <f t="shared" si="7"/>
        <v/>
      </c>
      <c r="O127" s="298" t="str">
        <f>IF(B127="", "", 'Lighting Inventory (Ref only)'!G138)</f>
        <v/>
      </c>
      <c r="P127" s="298" t="str">
        <f>IF(B127="", "", 'Lighting Inventory (Ref only)'!E138)</f>
        <v/>
      </c>
      <c r="Q127" s="298" t="str">
        <f>IF(B127="", "", 'Lighting Inventory (Ref only)'!J138)</f>
        <v/>
      </c>
      <c r="R127" s="298" t="str">
        <f>IF(B127="", "",'Lighting Inventory (Ref only)'!K138)</f>
        <v/>
      </c>
      <c r="S127" s="372" t="str">
        <f>IF(B127="", "", 'Lighting Inventory (Ref only)'!G138*'Lighting Inventory (Ref only)'!K138/1000)</f>
        <v/>
      </c>
      <c r="T127" s="298" t="str">
        <f>IF(B127="", "", IF('Lighting Inventory (Ref only)'!I138="", "Light Switch",Inventory!H135))</f>
        <v/>
      </c>
      <c r="U127" s="298" t="str">
        <f>IF(B127="", "", 'Lighting Inventory (Ref only)'!Q138)</f>
        <v/>
      </c>
      <c r="V127" s="298" t="str">
        <f>IF(B127="", "", 'Lighting Inventory (Ref only)'!K138)</f>
        <v/>
      </c>
      <c r="W127" s="373" t="str">
        <f>IF(B127="","",('Lighting Inventory (Ref only)'!L138/1000))</f>
        <v/>
      </c>
      <c r="X127" s="298" t="str">
        <f>IF(B127="", "", 'Lighting Inventory (Ref only)'!Q138)</f>
        <v/>
      </c>
      <c r="Y127" s="298" t="str">
        <f>IF(C127="", "", Inventory!N135)</f>
        <v/>
      </c>
      <c r="Z127" s="374" t="str">
        <f>IF(B127="", "", 'Lighting Inventory (Ref only)'!P138)</f>
        <v/>
      </c>
      <c r="AA127" s="372" t="str">
        <f>IF(B127="", "",'Lighting Inventory (Ref only)'!R138/1000)</f>
        <v/>
      </c>
      <c r="AB127" s="372" t="str">
        <f>IF(B127="", "", Inventory!M135)</f>
        <v/>
      </c>
      <c r="AC127" s="374" t="str">
        <f>IF(B127="", "", 'Lighting Inventory (Ref only)'!T138)</f>
        <v/>
      </c>
      <c r="AD127" s="374" t="str">
        <f>IF(C127="", "", 'Lighting Inventory (Ref only)'!AA138)</f>
        <v/>
      </c>
      <c r="AE127" s="375" t="str">
        <f>IF(B127="", "", 'Lighting Inventory (Ref only)'!U138)</f>
        <v/>
      </c>
      <c r="AF127" s="375" t="str">
        <f>IF(B127="", "",'Lighting Inventory (Ref only)'!W138)</f>
        <v/>
      </c>
      <c r="AG127" s="375" t="str">
        <f>IF(B127="", "", 'Lighting Inventory (Ref only)'!V138)</f>
        <v/>
      </c>
      <c r="AH127" s="375" t="str">
        <f>IF(B127="", "",'Lighting Inventory (Ref only)'!Z138)</f>
        <v/>
      </c>
      <c r="AI127" s="375" t="str">
        <f>IF(B127="", "", 'Lighting Inventory (Ref only)'!Y138)</f>
        <v/>
      </c>
      <c r="AJ127" s="375" t="str">
        <f>IF(C127="", "",'Lighting Inventory (Ref only)'!AB138)</f>
        <v/>
      </c>
      <c r="AK127" s="375" t="str">
        <f>IF(B127="", "", 'Lighting Inventory (Ref only)'!AG138)</f>
        <v/>
      </c>
      <c r="AL127" s="375" t="str">
        <f>IF(B127="", "", 'Lighting Inventory (Ref only)'!AD138)</f>
        <v/>
      </c>
      <c r="AM127" s="375" t="str">
        <f>IF(B127="", "", 'Lighting Inventory (Ref only)'!AE138)</f>
        <v/>
      </c>
      <c r="AN127" s="375" t="str">
        <f>IF(B127="", "", 'Lighting Inventory (Ref only)'!AF138)</f>
        <v/>
      </c>
      <c r="AO127" s="375" t="str">
        <f>IF(B127="", "", 'Lighting Inventory (Ref only)'!AG138)</f>
        <v/>
      </c>
    </row>
    <row r="128" spans="1:41">
      <c r="A128" s="298" t="str">
        <f>IF(G128="", "", Lookups!BF130)</f>
        <v/>
      </c>
      <c r="B128" s="298" t="str">
        <f>IF('Lighting Inventory (Ref only)'!Q139="", "", 'Lighting Inventory (Ref only)'!Q139)</f>
        <v/>
      </c>
      <c r="C128" s="298" t="str">
        <f>IF(A128="", "", 'Lighting Inventory (Ref only)'!AO139)</f>
        <v/>
      </c>
      <c r="D128" s="370" t="str">
        <f>IF(B128= "","", Inventory!S136)</f>
        <v/>
      </c>
      <c r="E128" s="371"/>
      <c r="F128" s="298" t="str">
        <f>IF(B128="", "", 'Version Log'!$B$34)</f>
        <v/>
      </c>
      <c r="G128" s="298" t="str">
        <f t="shared" si="4"/>
        <v/>
      </c>
      <c r="H128" s="298" t="str">
        <f t="shared" si="5"/>
        <v/>
      </c>
      <c r="I128" s="298" t="str">
        <f>IF(B128="", "",Inventory!D136)</f>
        <v/>
      </c>
      <c r="J128" s="298" t="str">
        <f>IF(B128="","",IF(Inventory!C136="N","Interior","Exterior"))</f>
        <v/>
      </c>
      <c r="K128" s="298" t="str">
        <f t="shared" si="6"/>
        <v/>
      </c>
      <c r="L128" s="298" t="str">
        <f>IF(B128="", "", Inventory!E136)</f>
        <v/>
      </c>
      <c r="M128" s="298" t="str">
        <f>IF(B128="","",IF(Cool_Type=Lookups!$L$9,Cool_Type,IF(Cool_Type=Lookups!$L$10,Cool_Type,IF(Cool_Type=Lookups!$L$11,Cool_Type,IF(Cool_Type=Lookups!L138,Cool_Type,IF('Project Info and Summary'!$C$20="Electric",CONCATENATE(Cool_Type," ",Heating_Type," Heat"),IF('Project Info and Summary'!$C$20="Non-Electric",CONCATENATE(Cool_Type," ",Heating_Type," Heat"),CONCATENATE(Cool_Type," ",Heating_Type))))))))</f>
        <v/>
      </c>
      <c r="N128" s="298" t="str">
        <f t="shared" si="7"/>
        <v/>
      </c>
      <c r="O128" s="298" t="str">
        <f>IF(B128="", "", 'Lighting Inventory (Ref only)'!G139)</f>
        <v/>
      </c>
      <c r="P128" s="298" t="str">
        <f>IF(B128="", "", 'Lighting Inventory (Ref only)'!E139)</f>
        <v/>
      </c>
      <c r="Q128" s="298" t="str">
        <f>IF(B128="", "", 'Lighting Inventory (Ref only)'!J139)</f>
        <v/>
      </c>
      <c r="R128" s="298" t="str">
        <f>IF(B128="", "",'Lighting Inventory (Ref only)'!K139)</f>
        <v/>
      </c>
      <c r="S128" s="372" t="str">
        <f>IF(B128="", "", 'Lighting Inventory (Ref only)'!G139*'Lighting Inventory (Ref only)'!K139/1000)</f>
        <v/>
      </c>
      <c r="T128" s="298" t="str">
        <f>IF(B128="", "", IF('Lighting Inventory (Ref only)'!I139="", "Light Switch",Inventory!H136))</f>
        <v/>
      </c>
      <c r="U128" s="298" t="str">
        <f>IF(B128="", "", 'Lighting Inventory (Ref only)'!Q139)</f>
        <v/>
      </c>
      <c r="V128" s="298" t="str">
        <f>IF(B128="", "", 'Lighting Inventory (Ref only)'!K139)</f>
        <v/>
      </c>
      <c r="W128" s="373" t="str">
        <f>IF(B128="","",('Lighting Inventory (Ref only)'!L139/1000))</f>
        <v/>
      </c>
      <c r="X128" s="298" t="str">
        <f>IF(B128="", "", 'Lighting Inventory (Ref only)'!Q139)</f>
        <v/>
      </c>
      <c r="Y128" s="298" t="str">
        <f>IF(C128="", "", Inventory!N136)</f>
        <v/>
      </c>
      <c r="Z128" s="374" t="str">
        <f>IF(B128="", "", 'Lighting Inventory (Ref only)'!P139)</f>
        <v/>
      </c>
      <c r="AA128" s="372" t="str">
        <f>IF(B128="", "",'Lighting Inventory (Ref only)'!R139/1000)</f>
        <v/>
      </c>
      <c r="AB128" s="372" t="str">
        <f>IF(B128="", "", Inventory!M136)</f>
        <v/>
      </c>
      <c r="AC128" s="374" t="str">
        <f>IF(B128="", "", 'Lighting Inventory (Ref only)'!T139)</f>
        <v/>
      </c>
      <c r="AD128" s="374" t="str">
        <f>IF(C128="", "", 'Lighting Inventory (Ref only)'!AA139)</f>
        <v/>
      </c>
      <c r="AE128" s="375" t="str">
        <f>IF(B128="", "", 'Lighting Inventory (Ref only)'!U139)</f>
        <v/>
      </c>
      <c r="AF128" s="375" t="str">
        <f>IF(B128="", "",'Lighting Inventory (Ref only)'!W139)</f>
        <v/>
      </c>
      <c r="AG128" s="375" t="str">
        <f>IF(B128="", "", 'Lighting Inventory (Ref only)'!V139)</f>
        <v/>
      </c>
      <c r="AH128" s="375" t="str">
        <f>IF(B128="", "",'Lighting Inventory (Ref only)'!Z139)</f>
        <v/>
      </c>
      <c r="AI128" s="375" t="str">
        <f>IF(B128="", "", 'Lighting Inventory (Ref only)'!Y139)</f>
        <v/>
      </c>
      <c r="AJ128" s="375" t="str">
        <f>IF(C128="", "",'Lighting Inventory (Ref only)'!AB139)</f>
        <v/>
      </c>
      <c r="AK128" s="375" t="str">
        <f>IF(B128="", "", 'Lighting Inventory (Ref only)'!AG139)</f>
        <v/>
      </c>
      <c r="AL128" s="375" t="str">
        <f>IF(B128="", "", 'Lighting Inventory (Ref only)'!AD139)</f>
        <v/>
      </c>
      <c r="AM128" s="375" t="str">
        <f>IF(B128="", "", 'Lighting Inventory (Ref only)'!AE139)</f>
        <v/>
      </c>
      <c r="AN128" s="375" t="str">
        <f>IF(B128="", "", 'Lighting Inventory (Ref only)'!AF139)</f>
        <v/>
      </c>
      <c r="AO128" s="375" t="str">
        <f>IF(B128="", "", 'Lighting Inventory (Ref only)'!AG139)</f>
        <v/>
      </c>
    </row>
    <row r="129" spans="1:41">
      <c r="A129" s="298" t="str">
        <f>IF(G129="", "", Lookups!BF131)</f>
        <v/>
      </c>
      <c r="B129" s="298" t="str">
        <f>IF('Lighting Inventory (Ref only)'!Q140="", "", 'Lighting Inventory (Ref only)'!Q140)</f>
        <v/>
      </c>
      <c r="C129" s="298" t="str">
        <f>IF(A129="", "", 'Lighting Inventory (Ref only)'!AO140)</f>
        <v/>
      </c>
      <c r="D129" s="370" t="str">
        <f>IF(B129= "","", Inventory!S137)</f>
        <v/>
      </c>
      <c r="E129" s="371"/>
      <c r="F129" s="298" t="str">
        <f>IF(B129="", "", 'Version Log'!$B$34)</f>
        <v/>
      </c>
      <c r="G129" s="298" t="str">
        <f t="shared" si="4"/>
        <v/>
      </c>
      <c r="H129" s="298" t="str">
        <f t="shared" si="5"/>
        <v/>
      </c>
      <c r="I129" s="298" t="str">
        <f>IF(B129="", "",Inventory!D137)</f>
        <v/>
      </c>
      <c r="J129" s="298" t="str">
        <f>IF(B129="","",IF(Inventory!C137="N","Interior","Exterior"))</f>
        <v/>
      </c>
      <c r="K129" s="298" t="str">
        <f t="shared" si="6"/>
        <v/>
      </c>
      <c r="L129" s="298" t="str">
        <f>IF(B129="", "", Inventory!E137)</f>
        <v/>
      </c>
      <c r="M129" s="298" t="str">
        <f>IF(B129="","",IF(Cool_Type=Lookups!$L$9,Cool_Type,IF(Cool_Type=Lookups!$L$10,Cool_Type,IF(Cool_Type=Lookups!$L$11,Cool_Type,IF(Cool_Type=Lookups!L139,Cool_Type,IF('Project Info and Summary'!$C$20="Electric",CONCATENATE(Cool_Type," ",Heating_Type," Heat"),IF('Project Info and Summary'!$C$20="Non-Electric",CONCATENATE(Cool_Type," ",Heating_Type," Heat"),CONCATENATE(Cool_Type," ",Heating_Type))))))))</f>
        <v/>
      </c>
      <c r="N129" s="298" t="str">
        <f t="shared" si="7"/>
        <v/>
      </c>
      <c r="O129" s="298" t="str">
        <f>IF(B129="", "", 'Lighting Inventory (Ref only)'!G140)</f>
        <v/>
      </c>
      <c r="P129" s="298" t="str">
        <f>IF(B129="", "", 'Lighting Inventory (Ref only)'!E140)</f>
        <v/>
      </c>
      <c r="Q129" s="298" t="str">
        <f>IF(B129="", "", 'Lighting Inventory (Ref only)'!J140)</f>
        <v/>
      </c>
      <c r="R129" s="298" t="str">
        <f>IF(B129="", "",'Lighting Inventory (Ref only)'!K140)</f>
        <v/>
      </c>
      <c r="S129" s="372" t="str">
        <f>IF(B129="", "", 'Lighting Inventory (Ref only)'!G140*'Lighting Inventory (Ref only)'!K140/1000)</f>
        <v/>
      </c>
      <c r="T129" s="298" t="str">
        <f>IF(B129="", "", IF('Lighting Inventory (Ref only)'!I140="", "Light Switch",Inventory!H137))</f>
        <v/>
      </c>
      <c r="U129" s="298" t="str">
        <f>IF(B129="", "", 'Lighting Inventory (Ref only)'!Q140)</f>
        <v/>
      </c>
      <c r="V129" s="298" t="str">
        <f>IF(B129="", "", 'Lighting Inventory (Ref only)'!K140)</f>
        <v/>
      </c>
      <c r="W129" s="373" t="str">
        <f>IF(B129="","",('Lighting Inventory (Ref only)'!L140/1000))</f>
        <v/>
      </c>
      <c r="X129" s="298" t="str">
        <f>IF(B129="", "", 'Lighting Inventory (Ref only)'!Q140)</f>
        <v/>
      </c>
      <c r="Y129" s="298" t="str">
        <f>IF(C129="", "", Inventory!N137)</f>
        <v/>
      </c>
      <c r="Z129" s="374" t="str">
        <f>IF(B129="", "", 'Lighting Inventory (Ref only)'!P140)</f>
        <v/>
      </c>
      <c r="AA129" s="372" t="str">
        <f>IF(B129="", "",'Lighting Inventory (Ref only)'!R140/1000)</f>
        <v/>
      </c>
      <c r="AB129" s="372" t="str">
        <f>IF(B129="", "", Inventory!M137)</f>
        <v/>
      </c>
      <c r="AC129" s="374" t="str">
        <f>IF(B129="", "", 'Lighting Inventory (Ref only)'!T140)</f>
        <v/>
      </c>
      <c r="AD129" s="374" t="str">
        <f>IF(C129="", "", 'Lighting Inventory (Ref only)'!AA140)</f>
        <v/>
      </c>
      <c r="AE129" s="375" t="str">
        <f>IF(B129="", "", 'Lighting Inventory (Ref only)'!U140)</f>
        <v/>
      </c>
      <c r="AF129" s="375" t="str">
        <f>IF(B129="", "",'Lighting Inventory (Ref only)'!W140)</f>
        <v/>
      </c>
      <c r="AG129" s="375" t="str">
        <f>IF(B129="", "", 'Lighting Inventory (Ref only)'!V140)</f>
        <v/>
      </c>
      <c r="AH129" s="375" t="str">
        <f>IF(B129="", "",'Lighting Inventory (Ref only)'!Z140)</f>
        <v/>
      </c>
      <c r="AI129" s="375" t="str">
        <f>IF(B129="", "", 'Lighting Inventory (Ref only)'!Y140)</f>
        <v/>
      </c>
      <c r="AJ129" s="375" t="str">
        <f>IF(C129="", "",'Lighting Inventory (Ref only)'!AB140)</f>
        <v/>
      </c>
      <c r="AK129" s="375" t="str">
        <f>IF(B129="", "", 'Lighting Inventory (Ref only)'!AG140)</f>
        <v/>
      </c>
      <c r="AL129" s="375" t="str">
        <f>IF(B129="", "", 'Lighting Inventory (Ref only)'!AD140)</f>
        <v/>
      </c>
      <c r="AM129" s="375" t="str">
        <f>IF(B129="", "", 'Lighting Inventory (Ref only)'!AE140)</f>
        <v/>
      </c>
      <c r="AN129" s="375" t="str">
        <f>IF(B129="", "", 'Lighting Inventory (Ref only)'!AF140)</f>
        <v/>
      </c>
      <c r="AO129" s="375" t="str">
        <f>IF(B129="", "", 'Lighting Inventory (Ref only)'!AG140)</f>
        <v/>
      </c>
    </row>
    <row r="130" spans="1:41">
      <c r="A130" s="298" t="str">
        <f>IF(G130="", "", Lookups!BF132)</f>
        <v/>
      </c>
      <c r="B130" s="298" t="str">
        <f>IF('Lighting Inventory (Ref only)'!Q141="", "", 'Lighting Inventory (Ref only)'!Q141)</f>
        <v/>
      </c>
      <c r="C130" s="298" t="str">
        <f>IF(A130="", "", 'Lighting Inventory (Ref only)'!AO141)</f>
        <v/>
      </c>
      <c r="D130" s="370" t="str">
        <f>IF(B130= "","", Inventory!S138)</f>
        <v/>
      </c>
      <c r="E130" s="371"/>
      <c r="F130" s="298" t="str">
        <f>IF(B130="", "", 'Version Log'!$B$34)</f>
        <v/>
      </c>
      <c r="G130" s="298" t="str">
        <f t="shared" ref="G130:G193" si="8">IF(B130="", "", PRJ_Type)</f>
        <v/>
      </c>
      <c r="H130" s="298" t="str">
        <f t="shared" ref="H130:H193" si="9">IF(B130="", "", SqFt)</f>
        <v/>
      </c>
      <c r="I130" s="298" t="str">
        <f>IF(B130="", "",Inventory!D138)</f>
        <v/>
      </c>
      <c r="J130" s="298" t="str">
        <f>IF(B130="","",IF(Inventory!C138="N","Interior","Exterior"))</f>
        <v/>
      </c>
      <c r="K130" s="298" t="str">
        <f t="shared" ref="K130:K193" si="10">IF(B130="", "", Building_Type)</f>
        <v/>
      </c>
      <c r="L130" s="298" t="str">
        <f>IF(B130="", "", Inventory!E138)</f>
        <v/>
      </c>
      <c r="M130" s="298" t="str">
        <f>IF(B130="","",IF(Cool_Type=Lookups!$L$9,Cool_Type,IF(Cool_Type=Lookups!$L$10,Cool_Type,IF(Cool_Type=Lookups!$L$11,Cool_Type,IF(Cool_Type=Lookups!L140,Cool_Type,IF('Project Info and Summary'!$C$20="Electric",CONCATENATE(Cool_Type," ",Heating_Type," Heat"),IF('Project Info and Summary'!$C$20="Non-Electric",CONCATENATE(Cool_Type," ",Heating_Type," Heat"),CONCATENATE(Cool_Type," ",Heating_Type))))))))</f>
        <v/>
      </c>
      <c r="N130" s="298" t="str">
        <f t="shared" ref="N130:N193" si="11">IF(B130="", "",Heating_Type)</f>
        <v/>
      </c>
      <c r="O130" s="298" t="str">
        <f>IF(B130="", "", 'Lighting Inventory (Ref only)'!G141)</f>
        <v/>
      </c>
      <c r="P130" s="298" t="str">
        <f>IF(B130="", "", 'Lighting Inventory (Ref only)'!E141)</f>
        <v/>
      </c>
      <c r="Q130" s="298" t="str">
        <f>IF(B130="", "", 'Lighting Inventory (Ref only)'!J141)</f>
        <v/>
      </c>
      <c r="R130" s="298" t="str">
        <f>IF(B130="", "",'Lighting Inventory (Ref only)'!K141)</f>
        <v/>
      </c>
      <c r="S130" s="372" t="str">
        <f>IF(B130="", "", 'Lighting Inventory (Ref only)'!G141*'Lighting Inventory (Ref only)'!K141/1000)</f>
        <v/>
      </c>
      <c r="T130" s="298" t="str">
        <f>IF(B130="", "", IF('Lighting Inventory (Ref only)'!I141="", "Light Switch",Inventory!H138))</f>
        <v/>
      </c>
      <c r="U130" s="298" t="str">
        <f>IF(B130="", "", 'Lighting Inventory (Ref only)'!Q141)</f>
        <v/>
      </c>
      <c r="V130" s="298" t="str">
        <f>IF(B130="", "", 'Lighting Inventory (Ref only)'!K141)</f>
        <v/>
      </c>
      <c r="W130" s="373" t="str">
        <f>IF(B130="","",('Lighting Inventory (Ref only)'!L141/1000))</f>
        <v/>
      </c>
      <c r="X130" s="298" t="str">
        <f>IF(B130="", "", 'Lighting Inventory (Ref only)'!Q141)</f>
        <v/>
      </c>
      <c r="Y130" s="298" t="str">
        <f>IF(C130="", "", Inventory!N138)</f>
        <v/>
      </c>
      <c r="Z130" s="374" t="str">
        <f>IF(B130="", "", 'Lighting Inventory (Ref only)'!P141)</f>
        <v/>
      </c>
      <c r="AA130" s="372" t="str">
        <f>IF(B130="", "",'Lighting Inventory (Ref only)'!R141/1000)</f>
        <v/>
      </c>
      <c r="AB130" s="372" t="str">
        <f>IF(B130="", "", Inventory!M138)</f>
        <v/>
      </c>
      <c r="AC130" s="374" t="str">
        <f>IF(B130="", "", 'Lighting Inventory (Ref only)'!T141)</f>
        <v/>
      </c>
      <c r="AD130" s="374" t="str">
        <f>IF(C130="", "", 'Lighting Inventory (Ref only)'!AA141)</f>
        <v/>
      </c>
      <c r="AE130" s="375" t="str">
        <f>IF(B130="", "", 'Lighting Inventory (Ref only)'!U141)</f>
        <v/>
      </c>
      <c r="AF130" s="375" t="str">
        <f>IF(B130="", "",'Lighting Inventory (Ref only)'!W141)</f>
        <v/>
      </c>
      <c r="AG130" s="375" t="str">
        <f>IF(B130="", "", 'Lighting Inventory (Ref only)'!V141)</f>
        <v/>
      </c>
      <c r="AH130" s="375" t="str">
        <f>IF(B130="", "",'Lighting Inventory (Ref only)'!Z141)</f>
        <v/>
      </c>
      <c r="AI130" s="375" t="str">
        <f>IF(B130="", "", 'Lighting Inventory (Ref only)'!Y141)</f>
        <v/>
      </c>
      <c r="AJ130" s="375" t="str">
        <f>IF(C130="", "",'Lighting Inventory (Ref only)'!AB141)</f>
        <v/>
      </c>
      <c r="AK130" s="375" t="str">
        <f>IF(B130="", "", 'Lighting Inventory (Ref only)'!AG141)</f>
        <v/>
      </c>
      <c r="AL130" s="375" t="str">
        <f>IF(B130="", "", 'Lighting Inventory (Ref only)'!AD141)</f>
        <v/>
      </c>
      <c r="AM130" s="375" t="str">
        <f>IF(B130="", "", 'Lighting Inventory (Ref only)'!AE141)</f>
        <v/>
      </c>
      <c r="AN130" s="375" t="str">
        <f>IF(B130="", "", 'Lighting Inventory (Ref only)'!AF141)</f>
        <v/>
      </c>
      <c r="AO130" s="375" t="str">
        <f>IF(B130="", "", 'Lighting Inventory (Ref only)'!AG141)</f>
        <v/>
      </c>
    </row>
    <row r="131" spans="1:41">
      <c r="A131" s="298" t="str">
        <f>IF(G131="", "", Lookups!BF133)</f>
        <v/>
      </c>
      <c r="B131" s="298" t="str">
        <f>IF('Lighting Inventory (Ref only)'!Q142="", "", 'Lighting Inventory (Ref only)'!Q142)</f>
        <v/>
      </c>
      <c r="C131" s="298" t="str">
        <f>IF(A131="", "", 'Lighting Inventory (Ref only)'!AO142)</f>
        <v/>
      </c>
      <c r="D131" s="370" t="str">
        <f>IF(B131= "","", Inventory!S139)</f>
        <v/>
      </c>
      <c r="E131" s="371"/>
      <c r="F131" s="298" t="str">
        <f>IF(B131="", "", 'Version Log'!$B$34)</f>
        <v/>
      </c>
      <c r="G131" s="298" t="str">
        <f t="shared" si="8"/>
        <v/>
      </c>
      <c r="H131" s="298" t="str">
        <f t="shared" si="9"/>
        <v/>
      </c>
      <c r="I131" s="298" t="str">
        <f>IF(B131="", "",Inventory!D139)</f>
        <v/>
      </c>
      <c r="J131" s="298" t="str">
        <f>IF(B131="","",IF(Inventory!C139="N","Interior","Exterior"))</f>
        <v/>
      </c>
      <c r="K131" s="298" t="str">
        <f t="shared" si="10"/>
        <v/>
      </c>
      <c r="L131" s="298" t="str">
        <f>IF(B131="", "", Inventory!E139)</f>
        <v/>
      </c>
      <c r="M131" s="298" t="str">
        <f>IF(B131="","",IF(Cool_Type=Lookups!$L$9,Cool_Type,IF(Cool_Type=Lookups!$L$10,Cool_Type,IF(Cool_Type=Lookups!$L$11,Cool_Type,IF(Cool_Type=Lookups!L141,Cool_Type,IF('Project Info and Summary'!$C$20="Electric",CONCATENATE(Cool_Type," ",Heating_Type," Heat"),IF('Project Info and Summary'!$C$20="Non-Electric",CONCATENATE(Cool_Type," ",Heating_Type," Heat"),CONCATENATE(Cool_Type," ",Heating_Type))))))))</f>
        <v/>
      </c>
      <c r="N131" s="298" t="str">
        <f t="shared" si="11"/>
        <v/>
      </c>
      <c r="O131" s="298" t="str">
        <f>IF(B131="", "", 'Lighting Inventory (Ref only)'!G142)</f>
        <v/>
      </c>
      <c r="P131" s="298" t="str">
        <f>IF(B131="", "", 'Lighting Inventory (Ref only)'!E142)</f>
        <v/>
      </c>
      <c r="Q131" s="298" t="str">
        <f>IF(B131="", "", 'Lighting Inventory (Ref only)'!J142)</f>
        <v/>
      </c>
      <c r="R131" s="298" t="str">
        <f>IF(B131="", "",'Lighting Inventory (Ref only)'!K142)</f>
        <v/>
      </c>
      <c r="S131" s="372" t="str">
        <f>IF(B131="", "", 'Lighting Inventory (Ref only)'!G142*'Lighting Inventory (Ref only)'!K142/1000)</f>
        <v/>
      </c>
      <c r="T131" s="298" t="str">
        <f>IF(B131="", "", IF('Lighting Inventory (Ref only)'!I142="", "Light Switch",Inventory!H139))</f>
        <v/>
      </c>
      <c r="U131" s="298" t="str">
        <f>IF(B131="", "", 'Lighting Inventory (Ref only)'!Q142)</f>
        <v/>
      </c>
      <c r="V131" s="298" t="str">
        <f>IF(B131="", "", 'Lighting Inventory (Ref only)'!K142)</f>
        <v/>
      </c>
      <c r="W131" s="373" t="str">
        <f>IF(B131="","",('Lighting Inventory (Ref only)'!L142/1000))</f>
        <v/>
      </c>
      <c r="X131" s="298" t="str">
        <f>IF(B131="", "", 'Lighting Inventory (Ref only)'!Q142)</f>
        <v/>
      </c>
      <c r="Y131" s="298" t="str">
        <f>IF(C131="", "", Inventory!N139)</f>
        <v/>
      </c>
      <c r="Z131" s="374" t="str">
        <f>IF(B131="", "", 'Lighting Inventory (Ref only)'!P142)</f>
        <v/>
      </c>
      <c r="AA131" s="372" t="str">
        <f>IF(B131="", "",'Lighting Inventory (Ref only)'!R142/1000)</f>
        <v/>
      </c>
      <c r="AB131" s="372" t="str">
        <f>IF(B131="", "", Inventory!M139)</f>
        <v/>
      </c>
      <c r="AC131" s="374" t="str">
        <f>IF(B131="", "", 'Lighting Inventory (Ref only)'!T142)</f>
        <v/>
      </c>
      <c r="AD131" s="374" t="str">
        <f>IF(C131="", "", 'Lighting Inventory (Ref only)'!AA142)</f>
        <v/>
      </c>
      <c r="AE131" s="375" t="str">
        <f>IF(B131="", "", 'Lighting Inventory (Ref only)'!U142)</f>
        <v/>
      </c>
      <c r="AF131" s="375" t="str">
        <f>IF(B131="", "",'Lighting Inventory (Ref only)'!W142)</f>
        <v/>
      </c>
      <c r="AG131" s="375" t="str">
        <f>IF(B131="", "", 'Lighting Inventory (Ref only)'!V142)</f>
        <v/>
      </c>
      <c r="AH131" s="375" t="str">
        <f>IF(B131="", "",'Lighting Inventory (Ref only)'!Z142)</f>
        <v/>
      </c>
      <c r="AI131" s="375" t="str">
        <f>IF(B131="", "", 'Lighting Inventory (Ref only)'!Y142)</f>
        <v/>
      </c>
      <c r="AJ131" s="375" t="str">
        <f>IF(C131="", "",'Lighting Inventory (Ref only)'!AB142)</f>
        <v/>
      </c>
      <c r="AK131" s="375" t="str">
        <f>IF(B131="", "", 'Lighting Inventory (Ref only)'!AG142)</f>
        <v/>
      </c>
      <c r="AL131" s="375" t="str">
        <f>IF(B131="", "", 'Lighting Inventory (Ref only)'!AD142)</f>
        <v/>
      </c>
      <c r="AM131" s="375" t="str">
        <f>IF(B131="", "", 'Lighting Inventory (Ref only)'!AE142)</f>
        <v/>
      </c>
      <c r="AN131" s="375" t="str">
        <f>IF(B131="", "", 'Lighting Inventory (Ref only)'!AF142)</f>
        <v/>
      </c>
      <c r="AO131" s="375" t="str">
        <f>IF(B131="", "", 'Lighting Inventory (Ref only)'!AG142)</f>
        <v/>
      </c>
    </row>
    <row r="132" spans="1:41">
      <c r="A132" s="298" t="str">
        <f>IF(G132="", "", Lookups!BF134)</f>
        <v/>
      </c>
      <c r="B132" s="298" t="str">
        <f>IF('Lighting Inventory (Ref only)'!Q143="", "", 'Lighting Inventory (Ref only)'!Q143)</f>
        <v/>
      </c>
      <c r="C132" s="298" t="str">
        <f>IF(A132="", "", 'Lighting Inventory (Ref only)'!AO143)</f>
        <v/>
      </c>
      <c r="D132" s="370" t="str">
        <f>IF(B132= "","", Inventory!S140)</f>
        <v/>
      </c>
      <c r="E132" s="371"/>
      <c r="F132" s="298" t="str">
        <f>IF(B132="", "", 'Version Log'!$B$34)</f>
        <v/>
      </c>
      <c r="G132" s="298" t="str">
        <f t="shared" si="8"/>
        <v/>
      </c>
      <c r="H132" s="298" t="str">
        <f t="shared" si="9"/>
        <v/>
      </c>
      <c r="I132" s="298" t="str">
        <f>IF(B132="", "",Inventory!D140)</f>
        <v/>
      </c>
      <c r="J132" s="298" t="str">
        <f>IF(B132="","",IF(Inventory!C140="N","Interior","Exterior"))</f>
        <v/>
      </c>
      <c r="K132" s="298" t="str">
        <f t="shared" si="10"/>
        <v/>
      </c>
      <c r="L132" s="298" t="str">
        <f>IF(B132="", "", Inventory!E140)</f>
        <v/>
      </c>
      <c r="M132" s="298" t="str">
        <f>IF(B132="","",IF(Cool_Type=Lookups!$L$9,Cool_Type,IF(Cool_Type=Lookups!$L$10,Cool_Type,IF(Cool_Type=Lookups!$L$11,Cool_Type,IF(Cool_Type=Lookups!L142,Cool_Type,IF('Project Info and Summary'!$C$20="Electric",CONCATENATE(Cool_Type," ",Heating_Type," Heat"),IF('Project Info and Summary'!$C$20="Non-Electric",CONCATENATE(Cool_Type," ",Heating_Type," Heat"),CONCATENATE(Cool_Type," ",Heating_Type))))))))</f>
        <v/>
      </c>
      <c r="N132" s="298" t="str">
        <f t="shared" si="11"/>
        <v/>
      </c>
      <c r="O132" s="298" t="str">
        <f>IF(B132="", "", 'Lighting Inventory (Ref only)'!G143)</f>
        <v/>
      </c>
      <c r="P132" s="298" t="str">
        <f>IF(B132="", "", 'Lighting Inventory (Ref only)'!E143)</f>
        <v/>
      </c>
      <c r="Q132" s="298" t="str">
        <f>IF(B132="", "", 'Lighting Inventory (Ref only)'!J143)</f>
        <v/>
      </c>
      <c r="R132" s="298" t="str">
        <f>IF(B132="", "",'Lighting Inventory (Ref only)'!K143)</f>
        <v/>
      </c>
      <c r="S132" s="372" t="str">
        <f>IF(B132="", "", 'Lighting Inventory (Ref only)'!G143*'Lighting Inventory (Ref only)'!K143/1000)</f>
        <v/>
      </c>
      <c r="T132" s="298" t="str">
        <f>IF(B132="", "", IF('Lighting Inventory (Ref only)'!I143="", "Light Switch",Inventory!H140))</f>
        <v/>
      </c>
      <c r="U132" s="298" t="str">
        <f>IF(B132="", "", 'Lighting Inventory (Ref only)'!Q143)</f>
        <v/>
      </c>
      <c r="V132" s="298" t="str">
        <f>IF(B132="", "", 'Lighting Inventory (Ref only)'!K143)</f>
        <v/>
      </c>
      <c r="W132" s="373" t="str">
        <f>IF(B132="","",('Lighting Inventory (Ref only)'!L143/1000))</f>
        <v/>
      </c>
      <c r="X132" s="298" t="str">
        <f>IF(B132="", "", 'Lighting Inventory (Ref only)'!Q143)</f>
        <v/>
      </c>
      <c r="Y132" s="298" t="str">
        <f>IF(C132="", "", Inventory!N140)</f>
        <v/>
      </c>
      <c r="Z132" s="374" t="str">
        <f>IF(B132="", "", 'Lighting Inventory (Ref only)'!P143)</f>
        <v/>
      </c>
      <c r="AA132" s="372" t="str">
        <f>IF(B132="", "",'Lighting Inventory (Ref only)'!R143/1000)</f>
        <v/>
      </c>
      <c r="AB132" s="372" t="str">
        <f>IF(B132="", "", Inventory!M140)</f>
        <v/>
      </c>
      <c r="AC132" s="374" t="str">
        <f>IF(B132="", "", 'Lighting Inventory (Ref only)'!T143)</f>
        <v/>
      </c>
      <c r="AD132" s="374" t="str">
        <f>IF(C132="", "", 'Lighting Inventory (Ref only)'!AA143)</f>
        <v/>
      </c>
      <c r="AE132" s="375" t="str">
        <f>IF(B132="", "", 'Lighting Inventory (Ref only)'!U143)</f>
        <v/>
      </c>
      <c r="AF132" s="375" t="str">
        <f>IF(B132="", "",'Lighting Inventory (Ref only)'!W143)</f>
        <v/>
      </c>
      <c r="AG132" s="375" t="str">
        <f>IF(B132="", "", 'Lighting Inventory (Ref only)'!V143)</f>
        <v/>
      </c>
      <c r="AH132" s="375" t="str">
        <f>IF(B132="", "",'Lighting Inventory (Ref only)'!Z143)</f>
        <v/>
      </c>
      <c r="AI132" s="375" t="str">
        <f>IF(B132="", "", 'Lighting Inventory (Ref only)'!Y143)</f>
        <v/>
      </c>
      <c r="AJ132" s="375" t="str">
        <f>IF(C132="", "",'Lighting Inventory (Ref only)'!AB143)</f>
        <v/>
      </c>
      <c r="AK132" s="375" t="str">
        <f>IF(B132="", "", 'Lighting Inventory (Ref only)'!AG143)</f>
        <v/>
      </c>
      <c r="AL132" s="375" t="str">
        <f>IF(B132="", "", 'Lighting Inventory (Ref only)'!AD143)</f>
        <v/>
      </c>
      <c r="AM132" s="375" t="str">
        <f>IF(B132="", "", 'Lighting Inventory (Ref only)'!AE143)</f>
        <v/>
      </c>
      <c r="AN132" s="375" t="str">
        <f>IF(B132="", "", 'Lighting Inventory (Ref only)'!AF143)</f>
        <v/>
      </c>
      <c r="AO132" s="375" t="str">
        <f>IF(B132="", "", 'Lighting Inventory (Ref only)'!AG143)</f>
        <v/>
      </c>
    </row>
    <row r="133" spans="1:41">
      <c r="A133" s="298" t="str">
        <f>IF(G133="", "", Lookups!BF135)</f>
        <v/>
      </c>
      <c r="B133" s="298" t="str">
        <f>IF('Lighting Inventory (Ref only)'!Q144="", "", 'Lighting Inventory (Ref only)'!Q144)</f>
        <v/>
      </c>
      <c r="C133" s="298" t="str">
        <f>IF(A133="", "", 'Lighting Inventory (Ref only)'!AO144)</f>
        <v/>
      </c>
      <c r="D133" s="370" t="str">
        <f>IF(B133= "","", Inventory!S141)</f>
        <v/>
      </c>
      <c r="E133" s="371"/>
      <c r="F133" s="298" t="str">
        <f>IF(B133="", "", 'Version Log'!$B$34)</f>
        <v/>
      </c>
      <c r="G133" s="298" t="str">
        <f t="shared" si="8"/>
        <v/>
      </c>
      <c r="H133" s="298" t="str">
        <f t="shared" si="9"/>
        <v/>
      </c>
      <c r="I133" s="298" t="str">
        <f>IF(B133="", "",Inventory!D141)</f>
        <v/>
      </c>
      <c r="J133" s="298" t="str">
        <f>IF(B133="","",IF(Inventory!C141="N","Interior","Exterior"))</f>
        <v/>
      </c>
      <c r="K133" s="298" t="str">
        <f t="shared" si="10"/>
        <v/>
      </c>
      <c r="L133" s="298" t="str">
        <f>IF(B133="", "", Inventory!E141)</f>
        <v/>
      </c>
      <c r="M133" s="298" t="str">
        <f>IF(B133="","",IF(Cool_Type=Lookups!$L$9,Cool_Type,IF(Cool_Type=Lookups!$L$10,Cool_Type,IF(Cool_Type=Lookups!$L$11,Cool_Type,IF(Cool_Type=Lookups!L143,Cool_Type,IF('Project Info and Summary'!$C$20="Electric",CONCATENATE(Cool_Type," ",Heating_Type," Heat"),IF('Project Info and Summary'!$C$20="Non-Electric",CONCATENATE(Cool_Type," ",Heating_Type," Heat"),CONCATENATE(Cool_Type," ",Heating_Type))))))))</f>
        <v/>
      </c>
      <c r="N133" s="298" t="str">
        <f t="shared" si="11"/>
        <v/>
      </c>
      <c r="O133" s="298" t="str">
        <f>IF(B133="", "", 'Lighting Inventory (Ref only)'!G144)</f>
        <v/>
      </c>
      <c r="P133" s="298" t="str">
        <f>IF(B133="", "", 'Lighting Inventory (Ref only)'!E144)</f>
        <v/>
      </c>
      <c r="Q133" s="298" t="str">
        <f>IF(B133="", "", 'Lighting Inventory (Ref only)'!J144)</f>
        <v/>
      </c>
      <c r="R133" s="298" t="str">
        <f>IF(B133="", "",'Lighting Inventory (Ref only)'!K144)</f>
        <v/>
      </c>
      <c r="S133" s="372" t="str">
        <f>IF(B133="", "", 'Lighting Inventory (Ref only)'!G144*'Lighting Inventory (Ref only)'!K144/1000)</f>
        <v/>
      </c>
      <c r="T133" s="298" t="str">
        <f>IF(B133="", "", IF('Lighting Inventory (Ref only)'!I144="", "Light Switch",Inventory!H141))</f>
        <v/>
      </c>
      <c r="U133" s="298" t="str">
        <f>IF(B133="", "", 'Lighting Inventory (Ref only)'!Q144)</f>
        <v/>
      </c>
      <c r="V133" s="298" t="str">
        <f>IF(B133="", "", 'Lighting Inventory (Ref only)'!K144)</f>
        <v/>
      </c>
      <c r="W133" s="373" t="str">
        <f>IF(B133="","",('Lighting Inventory (Ref only)'!L144/1000))</f>
        <v/>
      </c>
      <c r="X133" s="298" t="str">
        <f>IF(B133="", "", 'Lighting Inventory (Ref only)'!Q144)</f>
        <v/>
      </c>
      <c r="Y133" s="298" t="str">
        <f>IF(C133="", "", Inventory!N141)</f>
        <v/>
      </c>
      <c r="Z133" s="374" t="str">
        <f>IF(B133="", "", 'Lighting Inventory (Ref only)'!P144)</f>
        <v/>
      </c>
      <c r="AA133" s="372" t="str">
        <f>IF(B133="", "",'Lighting Inventory (Ref only)'!R144/1000)</f>
        <v/>
      </c>
      <c r="AB133" s="372" t="str">
        <f>IF(B133="", "", Inventory!M141)</f>
        <v/>
      </c>
      <c r="AC133" s="374" t="str">
        <f>IF(B133="", "", 'Lighting Inventory (Ref only)'!T144)</f>
        <v/>
      </c>
      <c r="AD133" s="374" t="str">
        <f>IF(C133="", "", 'Lighting Inventory (Ref only)'!AA144)</f>
        <v/>
      </c>
      <c r="AE133" s="375" t="str">
        <f>IF(B133="", "", 'Lighting Inventory (Ref only)'!U144)</f>
        <v/>
      </c>
      <c r="AF133" s="375" t="str">
        <f>IF(B133="", "",'Lighting Inventory (Ref only)'!W144)</f>
        <v/>
      </c>
      <c r="AG133" s="375" t="str">
        <f>IF(B133="", "", 'Lighting Inventory (Ref only)'!V144)</f>
        <v/>
      </c>
      <c r="AH133" s="375" t="str">
        <f>IF(B133="", "",'Lighting Inventory (Ref only)'!Z144)</f>
        <v/>
      </c>
      <c r="AI133" s="375" t="str">
        <f>IF(B133="", "", 'Lighting Inventory (Ref only)'!Y144)</f>
        <v/>
      </c>
      <c r="AJ133" s="375" t="str">
        <f>IF(C133="", "",'Lighting Inventory (Ref only)'!AB144)</f>
        <v/>
      </c>
      <c r="AK133" s="375" t="str">
        <f>IF(B133="", "", 'Lighting Inventory (Ref only)'!AG144)</f>
        <v/>
      </c>
      <c r="AL133" s="375" t="str">
        <f>IF(B133="", "", 'Lighting Inventory (Ref only)'!AD144)</f>
        <v/>
      </c>
      <c r="AM133" s="375" t="str">
        <f>IF(B133="", "", 'Lighting Inventory (Ref only)'!AE144)</f>
        <v/>
      </c>
      <c r="AN133" s="375" t="str">
        <f>IF(B133="", "", 'Lighting Inventory (Ref only)'!AF144)</f>
        <v/>
      </c>
      <c r="AO133" s="375" t="str">
        <f>IF(B133="", "", 'Lighting Inventory (Ref only)'!AG144)</f>
        <v/>
      </c>
    </row>
    <row r="134" spans="1:41">
      <c r="A134" s="298" t="str">
        <f>IF(G134="", "", Lookups!BF136)</f>
        <v/>
      </c>
      <c r="B134" s="298" t="str">
        <f>IF('Lighting Inventory (Ref only)'!Q145="", "", 'Lighting Inventory (Ref only)'!Q145)</f>
        <v/>
      </c>
      <c r="C134" s="298" t="str">
        <f>IF(A134="", "", 'Lighting Inventory (Ref only)'!AO145)</f>
        <v/>
      </c>
      <c r="D134" s="370" t="str">
        <f>IF(B134= "","", Inventory!S142)</f>
        <v/>
      </c>
      <c r="E134" s="371"/>
      <c r="F134" s="298" t="str">
        <f>IF(B134="", "", 'Version Log'!$B$34)</f>
        <v/>
      </c>
      <c r="G134" s="298" t="str">
        <f t="shared" si="8"/>
        <v/>
      </c>
      <c r="H134" s="298" t="str">
        <f t="shared" si="9"/>
        <v/>
      </c>
      <c r="I134" s="298" t="str">
        <f>IF(B134="", "",Inventory!D142)</f>
        <v/>
      </c>
      <c r="J134" s="298" t="str">
        <f>IF(B134="","",IF(Inventory!C142="N","Interior","Exterior"))</f>
        <v/>
      </c>
      <c r="K134" s="298" t="str">
        <f t="shared" si="10"/>
        <v/>
      </c>
      <c r="L134" s="298" t="str">
        <f>IF(B134="", "", Inventory!E142)</f>
        <v/>
      </c>
      <c r="M134" s="298" t="str">
        <f>IF(B134="","",IF(Cool_Type=Lookups!$L$9,Cool_Type,IF(Cool_Type=Lookups!$L$10,Cool_Type,IF(Cool_Type=Lookups!$L$11,Cool_Type,IF(Cool_Type=Lookups!L144,Cool_Type,IF('Project Info and Summary'!$C$20="Electric",CONCATENATE(Cool_Type," ",Heating_Type," Heat"),IF('Project Info and Summary'!$C$20="Non-Electric",CONCATENATE(Cool_Type," ",Heating_Type," Heat"),CONCATENATE(Cool_Type," ",Heating_Type))))))))</f>
        <v/>
      </c>
      <c r="N134" s="298" t="str">
        <f t="shared" si="11"/>
        <v/>
      </c>
      <c r="O134" s="298" t="str">
        <f>IF(B134="", "", 'Lighting Inventory (Ref only)'!G145)</f>
        <v/>
      </c>
      <c r="P134" s="298" t="str">
        <f>IF(B134="", "", 'Lighting Inventory (Ref only)'!E145)</f>
        <v/>
      </c>
      <c r="Q134" s="298" t="str">
        <f>IF(B134="", "", 'Lighting Inventory (Ref only)'!J145)</f>
        <v/>
      </c>
      <c r="R134" s="298" t="str">
        <f>IF(B134="", "",'Lighting Inventory (Ref only)'!K145)</f>
        <v/>
      </c>
      <c r="S134" s="372" t="str">
        <f>IF(B134="", "", 'Lighting Inventory (Ref only)'!G145*'Lighting Inventory (Ref only)'!K145/1000)</f>
        <v/>
      </c>
      <c r="T134" s="298" t="str">
        <f>IF(B134="", "", IF('Lighting Inventory (Ref only)'!I145="", "Light Switch",Inventory!H142))</f>
        <v/>
      </c>
      <c r="U134" s="298" t="str">
        <f>IF(B134="", "", 'Lighting Inventory (Ref only)'!Q145)</f>
        <v/>
      </c>
      <c r="V134" s="298" t="str">
        <f>IF(B134="", "", 'Lighting Inventory (Ref only)'!K145)</f>
        <v/>
      </c>
      <c r="W134" s="373" t="str">
        <f>IF(B134="","",('Lighting Inventory (Ref only)'!L145/1000))</f>
        <v/>
      </c>
      <c r="X134" s="298" t="str">
        <f>IF(B134="", "", 'Lighting Inventory (Ref only)'!Q145)</f>
        <v/>
      </c>
      <c r="Y134" s="298" t="str">
        <f>IF(C134="", "", Inventory!N142)</f>
        <v/>
      </c>
      <c r="Z134" s="374" t="str">
        <f>IF(B134="", "", 'Lighting Inventory (Ref only)'!P145)</f>
        <v/>
      </c>
      <c r="AA134" s="372" t="str">
        <f>IF(B134="", "",'Lighting Inventory (Ref only)'!R145/1000)</f>
        <v/>
      </c>
      <c r="AB134" s="372" t="str">
        <f>IF(B134="", "", Inventory!M142)</f>
        <v/>
      </c>
      <c r="AC134" s="374" t="str">
        <f>IF(B134="", "", 'Lighting Inventory (Ref only)'!T145)</f>
        <v/>
      </c>
      <c r="AD134" s="374" t="str">
        <f>IF(C134="", "", 'Lighting Inventory (Ref only)'!AA145)</f>
        <v/>
      </c>
      <c r="AE134" s="375" t="str">
        <f>IF(B134="", "", 'Lighting Inventory (Ref only)'!U145)</f>
        <v/>
      </c>
      <c r="AF134" s="375" t="str">
        <f>IF(B134="", "",'Lighting Inventory (Ref only)'!W145)</f>
        <v/>
      </c>
      <c r="AG134" s="375" t="str">
        <f>IF(B134="", "", 'Lighting Inventory (Ref only)'!V145)</f>
        <v/>
      </c>
      <c r="AH134" s="375" t="str">
        <f>IF(B134="", "",'Lighting Inventory (Ref only)'!Z145)</f>
        <v/>
      </c>
      <c r="AI134" s="375" t="str">
        <f>IF(B134="", "", 'Lighting Inventory (Ref only)'!Y145)</f>
        <v/>
      </c>
      <c r="AJ134" s="375" t="str">
        <f>IF(C134="", "",'Lighting Inventory (Ref only)'!AB145)</f>
        <v/>
      </c>
      <c r="AK134" s="375" t="str">
        <f>IF(B134="", "", 'Lighting Inventory (Ref only)'!AG145)</f>
        <v/>
      </c>
      <c r="AL134" s="375" t="str">
        <f>IF(B134="", "", 'Lighting Inventory (Ref only)'!AD145)</f>
        <v/>
      </c>
      <c r="AM134" s="375" t="str">
        <f>IF(B134="", "", 'Lighting Inventory (Ref only)'!AE145)</f>
        <v/>
      </c>
      <c r="AN134" s="375" t="str">
        <f>IF(B134="", "", 'Lighting Inventory (Ref only)'!AF145)</f>
        <v/>
      </c>
      <c r="AO134" s="375" t="str">
        <f>IF(B134="", "", 'Lighting Inventory (Ref only)'!AG145)</f>
        <v/>
      </c>
    </row>
    <row r="135" spans="1:41">
      <c r="A135" s="298" t="str">
        <f>IF(G135="", "", Lookups!BF137)</f>
        <v/>
      </c>
      <c r="B135" s="298" t="str">
        <f>IF('Lighting Inventory (Ref only)'!Q146="", "", 'Lighting Inventory (Ref only)'!Q146)</f>
        <v/>
      </c>
      <c r="C135" s="298" t="str">
        <f>IF(A135="", "", 'Lighting Inventory (Ref only)'!AO146)</f>
        <v/>
      </c>
      <c r="D135" s="370" t="str">
        <f>IF(B135= "","", Inventory!S143)</f>
        <v/>
      </c>
      <c r="E135" s="371"/>
      <c r="F135" s="298" t="str">
        <f>IF(B135="", "", 'Version Log'!$B$34)</f>
        <v/>
      </c>
      <c r="G135" s="298" t="str">
        <f t="shared" si="8"/>
        <v/>
      </c>
      <c r="H135" s="298" t="str">
        <f t="shared" si="9"/>
        <v/>
      </c>
      <c r="I135" s="298" t="str">
        <f>IF(B135="", "",Inventory!D143)</f>
        <v/>
      </c>
      <c r="J135" s="298" t="str">
        <f>IF(B135="","",IF(Inventory!C143="N","Interior","Exterior"))</f>
        <v/>
      </c>
      <c r="K135" s="298" t="str">
        <f t="shared" si="10"/>
        <v/>
      </c>
      <c r="L135" s="298" t="str">
        <f>IF(B135="", "", Inventory!E143)</f>
        <v/>
      </c>
      <c r="M135" s="298" t="str">
        <f>IF(B135="","",IF(Cool_Type=Lookups!$L$9,Cool_Type,IF(Cool_Type=Lookups!$L$10,Cool_Type,IF(Cool_Type=Lookups!$L$11,Cool_Type,IF(Cool_Type=Lookups!L145,Cool_Type,IF('Project Info and Summary'!$C$20="Electric",CONCATENATE(Cool_Type," ",Heating_Type," Heat"),IF('Project Info and Summary'!$C$20="Non-Electric",CONCATENATE(Cool_Type," ",Heating_Type," Heat"),CONCATENATE(Cool_Type," ",Heating_Type))))))))</f>
        <v/>
      </c>
      <c r="N135" s="298" t="str">
        <f t="shared" si="11"/>
        <v/>
      </c>
      <c r="O135" s="298" t="str">
        <f>IF(B135="", "", 'Lighting Inventory (Ref only)'!G146)</f>
        <v/>
      </c>
      <c r="P135" s="298" t="str">
        <f>IF(B135="", "", 'Lighting Inventory (Ref only)'!E146)</f>
        <v/>
      </c>
      <c r="Q135" s="298" t="str">
        <f>IF(B135="", "", 'Lighting Inventory (Ref only)'!J146)</f>
        <v/>
      </c>
      <c r="R135" s="298" t="str">
        <f>IF(B135="", "",'Lighting Inventory (Ref only)'!K146)</f>
        <v/>
      </c>
      <c r="S135" s="372" t="str">
        <f>IF(B135="", "", 'Lighting Inventory (Ref only)'!G146*'Lighting Inventory (Ref only)'!K146/1000)</f>
        <v/>
      </c>
      <c r="T135" s="298" t="str">
        <f>IF(B135="", "", IF('Lighting Inventory (Ref only)'!I146="", "Light Switch",Inventory!H143))</f>
        <v/>
      </c>
      <c r="U135" s="298" t="str">
        <f>IF(B135="", "", 'Lighting Inventory (Ref only)'!Q146)</f>
        <v/>
      </c>
      <c r="V135" s="298" t="str">
        <f>IF(B135="", "", 'Lighting Inventory (Ref only)'!K146)</f>
        <v/>
      </c>
      <c r="W135" s="373" t="str">
        <f>IF(B135="","",('Lighting Inventory (Ref only)'!L146/1000))</f>
        <v/>
      </c>
      <c r="X135" s="298" t="str">
        <f>IF(B135="", "", 'Lighting Inventory (Ref only)'!Q146)</f>
        <v/>
      </c>
      <c r="Y135" s="298" t="str">
        <f>IF(C135="", "", Inventory!N143)</f>
        <v/>
      </c>
      <c r="Z135" s="374" t="str">
        <f>IF(B135="", "", 'Lighting Inventory (Ref only)'!P146)</f>
        <v/>
      </c>
      <c r="AA135" s="372" t="str">
        <f>IF(B135="", "",'Lighting Inventory (Ref only)'!R146/1000)</f>
        <v/>
      </c>
      <c r="AB135" s="372" t="str">
        <f>IF(B135="", "", Inventory!M143)</f>
        <v/>
      </c>
      <c r="AC135" s="374" t="str">
        <f>IF(B135="", "", 'Lighting Inventory (Ref only)'!T146)</f>
        <v/>
      </c>
      <c r="AD135" s="374" t="str">
        <f>IF(C135="", "", 'Lighting Inventory (Ref only)'!AA146)</f>
        <v/>
      </c>
      <c r="AE135" s="375" t="str">
        <f>IF(B135="", "", 'Lighting Inventory (Ref only)'!U146)</f>
        <v/>
      </c>
      <c r="AF135" s="375" t="str">
        <f>IF(B135="", "",'Lighting Inventory (Ref only)'!W146)</f>
        <v/>
      </c>
      <c r="AG135" s="375" t="str">
        <f>IF(B135="", "", 'Lighting Inventory (Ref only)'!V146)</f>
        <v/>
      </c>
      <c r="AH135" s="375" t="str">
        <f>IF(B135="", "",'Lighting Inventory (Ref only)'!Z146)</f>
        <v/>
      </c>
      <c r="AI135" s="375" t="str">
        <f>IF(B135="", "", 'Lighting Inventory (Ref only)'!Y146)</f>
        <v/>
      </c>
      <c r="AJ135" s="375" t="str">
        <f>IF(C135="", "",'Lighting Inventory (Ref only)'!AB146)</f>
        <v/>
      </c>
      <c r="AK135" s="375" t="str">
        <f>IF(B135="", "", 'Lighting Inventory (Ref only)'!AG146)</f>
        <v/>
      </c>
      <c r="AL135" s="375" t="str">
        <f>IF(B135="", "", 'Lighting Inventory (Ref only)'!AD146)</f>
        <v/>
      </c>
      <c r="AM135" s="375" t="str">
        <f>IF(B135="", "", 'Lighting Inventory (Ref only)'!AE146)</f>
        <v/>
      </c>
      <c r="AN135" s="375" t="str">
        <f>IF(B135="", "", 'Lighting Inventory (Ref only)'!AF146)</f>
        <v/>
      </c>
      <c r="AO135" s="375" t="str">
        <f>IF(B135="", "", 'Lighting Inventory (Ref only)'!AG146)</f>
        <v/>
      </c>
    </row>
    <row r="136" spans="1:41">
      <c r="A136" s="298" t="str">
        <f>IF(G136="", "", Lookups!BF138)</f>
        <v/>
      </c>
      <c r="B136" s="298" t="str">
        <f>IF('Lighting Inventory (Ref only)'!Q147="", "", 'Lighting Inventory (Ref only)'!Q147)</f>
        <v/>
      </c>
      <c r="C136" s="298" t="str">
        <f>IF(A136="", "", 'Lighting Inventory (Ref only)'!AO147)</f>
        <v/>
      </c>
      <c r="D136" s="370" t="str">
        <f>IF(B136= "","", Inventory!S144)</f>
        <v/>
      </c>
      <c r="E136" s="371"/>
      <c r="F136" s="298" t="str">
        <f>IF(B136="", "", 'Version Log'!$B$34)</f>
        <v/>
      </c>
      <c r="G136" s="298" t="str">
        <f t="shared" si="8"/>
        <v/>
      </c>
      <c r="H136" s="298" t="str">
        <f t="shared" si="9"/>
        <v/>
      </c>
      <c r="I136" s="298" t="str">
        <f>IF(B136="", "",Inventory!D144)</f>
        <v/>
      </c>
      <c r="J136" s="298" t="str">
        <f>IF(B136="","",IF(Inventory!C144="N","Interior","Exterior"))</f>
        <v/>
      </c>
      <c r="K136" s="298" t="str">
        <f t="shared" si="10"/>
        <v/>
      </c>
      <c r="L136" s="298" t="str">
        <f>IF(B136="", "", Inventory!E144)</f>
        <v/>
      </c>
      <c r="M136" s="298" t="str">
        <f>IF(B136="","",IF(Cool_Type=Lookups!$L$9,Cool_Type,IF(Cool_Type=Lookups!$L$10,Cool_Type,IF(Cool_Type=Lookups!$L$11,Cool_Type,IF(Cool_Type=Lookups!L146,Cool_Type,IF('Project Info and Summary'!$C$20="Electric",CONCATENATE(Cool_Type," ",Heating_Type," Heat"),IF('Project Info and Summary'!$C$20="Non-Electric",CONCATENATE(Cool_Type," ",Heating_Type," Heat"),CONCATENATE(Cool_Type," ",Heating_Type))))))))</f>
        <v/>
      </c>
      <c r="N136" s="298" t="str">
        <f t="shared" si="11"/>
        <v/>
      </c>
      <c r="O136" s="298" t="str">
        <f>IF(B136="", "", 'Lighting Inventory (Ref only)'!G147)</f>
        <v/>
      </c>
      <c r="P136" s="298" t="str">
        <f>IF(B136="", "", 'Lighting Inventory (Ref only)'!E147)</f>
        <v/>
      </c>
      <c r="Q136" s="298" t="str">
        <f>IF(B136="", "", 'Lighting Inventory (Ref only)'!J147)</f>
        <v/>
      </c>
      <c r="R136" s="298" t="str">
        <f>IF(B136="", "",'Lighting Inventory (Ref only)'!K147)</f>
        <v/>
      </c>
      <c r="S136" s="372" t="str">
        <f>IF(B136="", "", 'Lighting Inventory (Ref only)'!G147*'Lighting Inventory (Ref only)'!K147/1000)</f>
        <v/>
      </c>
      <c r="T136" s="298" t="str">
        <f>IF(B136="", "", IF('Lighting Inventory (Ref only)'!I147="", "Light Switch",Inventory!H144))</f>
        <v/>
      </c>
      <c r="U136" s="298" t="str">
        <f>IF(B136="", "", 'Lighting Inventory (Ref only)'!Q147)</f>
        <v/>
      </c>
      <c r="V136" s="298" t="str">
        <f>IF(B136="", "", 'Lighting Inventory (Ref only)'!K147)</f>
        <v/>
      </c>
      <c r="W136" s="373" t="str">
        <f>IF(B136="","",('Lighting Inventory (Ref only)'!L147/1000))</f>
        <v/>
      </c>
      <c r="X136" s="298" t="str">
        <f>IF(B136="", "", 'Lighting Inventory (Ref only)'!Q147)</f>
        <v/>
      </c>
      <c r="Y136" s="298" t="str">
        <f>IF(C136="", "", Inventory!N144)</f>
        <v/>
      </c>
      <c r="Z136" s="374" t="str">
        <f>IF(B136="", "", 'Lighting Inventory (Ref only)'!P147)</f>
        <v/>
      </c>
      <c r="AA136" s="372" t="str">
        <f>IF(B136="", "",'Lighting Inventory (Ref only)'!R147/1000)</f>
        <v/>
      </c>
      <c r="AB136" s="372" t="str">
        <f>IF(B136="", "", Inventory!M144)</f>
        <v/>
      </c>
      <c r="AC136" s="374" t="str">
        <f>IF(B136="", "", 'Lighting Inventory (Ref only)'!T147)</f>
        <v/>
      </c>
      <c r="AD136" s="374" t="str">
        <f>IF(C136="", "", 'Lighting Inventory (Ref only)'!AA147)</f>
        <v/>
      </c>
      <c r="AE136" s="375" t="str">
        <f>IF(B136="", "", 'Lighting Inventory (Ref only)'!U147)</f>
        <v/>
      </c>
      <c r="AF136" s="375" t="str">
        <f>IF(B136="", "",'Lighting Inventory (Ref only)'!W147)</f>
        <v/>
      </c>
      <c r="AG136" s="375" t="str">
        <f>IF(B136="", "", 'Lighting Inventory (Ref only)'!V147)</f>
        <v/>
      </c>
      <c r="AH136" s="375" t="str">
        <f>IF(B136="", "",'Lighting Inventory (Ref only)'!Z147)</f>
        <v/>
      </c>
      <c r="AI136" s="375" t="str">
        <f>IF(B136="", "", 'Lighting Inventory (Ref only)'!Y147)</f>
        <v/>
      </c>
      <c r="AJ136" s="375" t="str">
        <f>IF(C136="", "",'Lighting Inventory (Ref only)'!AB147)</f>
        <v/>
      </c>
      <c r="AK136" s="375" t="str">
        <f>IF(B136="", "", 'Lighting Inventory (Ref only)'!AG147)</f>
        <v/>
      </c>
      <c r="AL136" s="375" t="str">
        <f>IF(B136="", "", 'Lighting Inventory (Ref only)'!AD147)</f>
        <v/>
      </c>
      <c r="AM136" s="375" t="str">
        <f>IF(B136="", "", 'Lighting Inventory (Ref only)'!AE147)</f>
        <v/>
      </c>
      <c r="AN136" s="375" t="str">
        <f>IF(B136="", "", 'Lighting Inventory (Ref only)'!AF147)</f>
        <v/>
      </c>
      <c r="AO136" s="375" t="str">
        <f>IF(B136="", "", 'Lighting Inventory (Ref only)'!AG147)</f>
        <v/>
      </c>
    </row>
    <row r="137" spans="1:41">
      <c r="A137" s="298" t="str">
        <f>IF(G137="", "", Lookups!BF139)</f>
        <v/>
      </c>
      <c r="B137" s="298" t="str">
        <f>IF('Lighting Inventory (Ref only)'!Q148="", "", 'Lighting Inventory (Ref only)'!Q148)</f>
        <v/>
      </c>
      <c r="C137" s="298" t="str">
        <f>IF(A137="", "", 'Lighting Inventory (Ref only)'!AO148)</f>
        <v/>
      </c>
      <c r="D137" s="370" t="str">
        <f>IF(B137= "","", Inventory!S145)</f>
        <v/>
      </c>
      <c r="E137" s="371"/>
      <c r="F137" s="298" t="str">
        <f>IF(B137="", "", 'Version Log'!$B$34)</f>
        <v/>
      </c>
      <c r="G137" s="298" t="str">
        <f t="shared" si="8"/>
        <v/>
      </c>
      <c r="H137" s="298" t="str">
        <f t="shared" si="9"/>
        <v/>
      </c>
      <c r="I137" s="298" t="str">
        <f>IF(B137="", "",Inventory!D145)</f>
        <v/>
      </c>
      <c r="J137" s="298" t="str">
        <f>IF(B137="","",IF(Inventory!C145="N","Interior","Exterior"))</f>
        <v/>
      </c>
      <c r="K137" s="298" t="str">
        <f t="shared" si="10"/>
        <v/>
      </c>
      <c r="L137" s="298" t="str">
        <f>IF(B137="", "", Inventory!E145)</f>
        <v/>
      </c>
      <c r="M137" s="298" t="str">
        <f>IF(B137="","",IF(Cool_Type=Lookups!$L$9,Cool_Type,IF(Cool_Type=Lookups!$L$10,Cool_Type,IF(Cool_Type=Lookups!$L$11,Cool_Type,IF(Cool_Type=Lookups!L147,Cool_Type,IF('Project Info and Summary'!$C$20="Electric",CONCATENATE(Cool_Type," ",Heating_Type," Heat"),IF('Project Info and Summary'!$C$20="Non-Electric",CONCATENATE(Cool_Type," ",Heating_Type," Heat"),CONCATENATE(Cool_Type," ",Heating_Type))))))))</f>
        <v/>
      </c>
      <c r="N137" s="298" t="str">
        <f t="shared" si="11"/>
        <v/>
      </c>
      <c r="O137" s="298" t="str">
        <f>IF(B137="", "", 'Lighting Inventory (Ref only)'!G148)</f>
        <v/>
      </c>
      <c r="P137" s="298" t="str">
        <f>IF(B137="", "", 'Lighting Inventory (Ref only)'!E148)</f>
        <v/>
      </c>
      <c r="Q137" s="298" t="str">
        <f>IF(B137="", "", 'Lighting Inventory (Ref only)'!J148)</f>
        <v/>
      </c>
      <c r="R137" s="298" t="str">
        <f>IF(B137="", "",'Lighting Inventory (Ref only)'!K148)</f>
        <v/>
      </c>
      <c r="S137" s="372" t="str">
        <f>IF(B137="", "", 'Lighting Inventory (Ref only)'!G148*'Lighting Inventory (Ref only)'!K148/1000)</f>
        <v/>
      </c>
      <c r="T137" s="298" t="str">
        <f>IF(B137="", "", IF('Lighting Inventory (Ref only)'!I148="", "Light Switch",Inventory!H145))</f>
        <v/>
      </c>
      <c r="U137" s="298" t="str">
        <f>IF(B137="", "", 'Lighting Inventory (Ref only)'!Q148)</f>
        <v/>
      </c>
      <c r="V137" s="298" t="str">
        <f>IF(B137="", "", 'Lighting Inventory (Ref only)'!K148)</f>
        <v/>
      </c>
      <c r="W137" s="373" t="str">
        <f>IF(B137="","",('Lighting Inventory (Ref only)'!L148/1000))</f>
        <v/>
      </c>
      <c r="X137" s="298" t="str">
        <f>IF(B137="", "", 'Lighting Inventory (Ref only)'!Q148)</f>
        <v/>
      </c>
      <c r="Y137" s="298" t="str">
        <f>IF(C137="", "", Inventory!N145)</f>
        <v/>
      </c>
      <c r="Z137" s="374" t="str">
        <f>IF(B137="", "", 'Lighting Inventory (Ref only)'!P148)</f>
        <v/>
      </c>
      <c r="AA137" s="372" t="str">
        <f>IF(B137="", "",'Lighting Inventory (Ref only)'!R148/1000)</f>
        <v/>
      </c>
      <c r="AB137" s="372" t="str">
        <f>IF(B137="", "", Inventory!M145)</f>
        <v/>
      </c>
      <c r="AC137" s="374" t="str">
        <f>IF(B137="", "", 'Lighting Inventory (Ref only)'!T148)</f>
        <v/>
      </c>
      <c r="AD137" s="374" t="str">
        <f>IF(C137="", "", 'Lighting Inventory (Ref only)'!AA148)</f>
        <v/>
      </c>
      <c r="AE137" s="375" t="str">
        <f>IF(B137="", "", 'Lighting Inventory (Ref only)'!U148)</f>
        <v/>
      </c>
      <c r="AF137" s="375" t="str">
        <f>IF(B137="", "",'Lighting Inventory (Ref only)'!W148)</f>
        <v/>
      </c>
      <c r="AG137" s="375" t="str">
        <f>IF(B137="", "", 'Lighting Inventory (Ref only)'!V148)</f>
        <v/>
      </c>
      <c r="AH137" s="375" t="str">
        <f>IF(B137="", "",'Lighting Inventory (Ref only)'!Z148)</f>
        <v/>
      </c>
      <c r="AI137" s="375" t="str">
        <f>IF(B137="", "", 'Lighting Inventory (Ref only)'!Y148)</f>
        <v/>
      </c>
      <c r="AJ137" s="375" t="str">
        <f>IF(C137="", "",'Lighting Inventory (Ref only)'!AB148)</f>
        <v/>
      </c>
      <c r="AK137" s="375" t="str">
        <f>IF(B137="", "", 'Lighting Inventory (Ref only)'!AG148)</f>
        <v/>
      </c>
      <c r="AL137" s="375" t="str">
        <f>IF(B137="", "", 'Lighting Inventory (Ref only)'!AD148)</f>
        <v/>
      </c>
      <c r="AM137" s="375" t="str">
        <f>IF(B137="", "", 'Lighting Inventory (Ref only)'!AE148)</f>
        <v/>
      </c>
      <c r="AN137" s="375" t="str">
        <f>IF(B137="", "", 'Lighting Inventory (Ref only)'!AF148)</f>
        <v/>
      </c>
      <c r="AO137" s="375" t="str">
        <f>IF(B137="", "", 'Lighting Inventory (Ref only)'!AG148)</f>
        <v/>
      </c>
    </row>
    <row r="138" spans="1:41">
      <c r="A138" s="298" t="str">
        <f>IF(G138="", "", Lookups!BF140)</f>
        <v/>
      </c>
      <c r="B138" s="298" t="str">
        <f>IF('Lighting Inventory (Ref only)'!Q149="", "", 'Lighting Inventory (Ref only)'!Q149)</f>
        <v/>
      </c>
      <c r="C138" s="298" t="str">
        <f>IF(A138="", "", 'Lighting Inventory (Ref only)'!AO149)</f>
        <v/>
      </c>
      <c r="D138" s="370" t="str">
        <f>IF(B138= "","", Inventory!S146)</f>
        <v/>
      </c>
      <c r="E138" s="371"/>
      <c r="F138" s="298" t="str">
        <f>IF(B138="", "", 'Version Log'!$B$34)</f>
        <v/>
      </c>
      <c r="G138" s="298" t="str">
        <f t="shared" si="8"/>
        <v/>
      </c>
      <c r="H138" s="298" t="str">
        <f t="shared" si="9"/>
        <v/>
      </c>
      <c r="I138" s="298" t="str">
        <f>IF(B138="", "",Inventory!D146)</f>
        <v/>
      </c>
      <c r="J138" s="298" t="str">
        <f>IF(B138="","",IF(Inventory!C146="N","Interior","Exterior"))</f>
        <v/>
      </c>
      <c r="K138" s="298" t="str">
        <f t="shared" si="10"/>
        <v/>
      </c>
      <c r="L138" s="298" t="str">
        <f>IF(B138="", "", Inventory!E146)</f>
        <v/>
      </c>
      <c r="M138" s="298" t="str">
        <f>IF(B138="","",IF(Cool_Type=Lookups!$L$9,Cool_Type,IF(Cool_Type=Lookups!$L$10,Cool_Type,IF(Cool_Type=Lookups!$L$11,Cool_Type,IF(Cool_Type=Lookups!L148,Cool_Type,IF('Project Info and Summary'!$C$20="Electric",CONCATENATE(Cool_Type," ",Heating_Type," Heat"),IF('Project Info and Summary'!$C$20="Non-Electric",CONCATENATE(Cool_Type," ",Heating_Type," Heat"),CONCATENATE(Cool_Type," ",Heating_Type))))))))</f>
        <v/>
      </c>
      <c r="N138" s="298" t="str">
        <f t="shared" si="11"/>
        <v/>
      </c>
      <c r="O138" s="298" t="str">
        <f>IF(B138="", "", 'Lighting Inventory (Ref only)'!G149)</f>
        <v/>
      </c>
      <c r="P138" s="298" t="str">
        <f>IF(B138="", "", 'Lighting Inventory (Ref only)'!E149)</f>
        <v/>
      </c>
      <c r="Q138" s="298" t="str">
        <f>IF(B138="", "", 'Lighting Inventory (Ref only)'!J149)</f>
        <v/>
      </c>
      <c r="R138" s="298" t="str">
        <f>IF(B138="", "",'Lighting Inventory (Ref only)'!K149)</f>
        <v/>
      </c>
      <c r="S138" s="372" t="str">
        <f>IF(B138="", "", 'Lighting Inventory (Ref only)'!G149*'Lighting Inventory (Ref only)'!K149/1000)</f>
        <v/>
      </c>
      <c r="T138" s="298" t="str">
        <f>IF(B138="", "", IF('Lighting Inventory (Ref only)'!I149="", "Light Switch",Inventory!H146))</f>
        <v/>
      </c>
      <c r="U138" s="298" t="str">
        <f>IF(B138="", "", 'Lighting Inventory (Ref only)'!Q149)</f>
        <v/>
      </c>
      <c r="V138" s="298" t="str">
        <f>IF(B138="", "", 'Lighting Inventory (Ref only)'!K149)</f>
        <v/>
      </c>
      <c r="W138" s="373" t="str">
        <f>IF(B138="","",('Lighting Inventory (Ref only)'!L149/1000))</f>
        <v/>
      </c>
      <c r="X138" s="298" t="str">
        <f>IF(B138="", "", 'Lighting Inventory (Ref only)'!Q149)</f>
        <v/>
      </c>
      <c r="Y138" s="298" t="str">
        <f>IF(C138="", "", Inventory!N146)</f>
        <v/>
      </c>
      <c r="Z138" s="374" t="str">
        <f>IF(B138="", "", 'Lighting Inventory (Ref only)'!P149)</f>
        <v/>
      </c>
      <c r="AA138" s="372" t="str">
        <f>IF(B138="", "",'Lighting Inventory (Ref only)'!R149/1000)</f>
        <v/>
      </c>
      <c r="AB138" s="372" t="str">
        <f>IF(B138="", "", Inventory!M146)</f>
        <v/>
      </c>
      <c r="AC138" s="374" t="str">
        <f>IF(B138="", "", 'Lighting Inventory (Ref only)'!T149)</f>
        <v/>
      </c>
      <c r="AD138" s="374" t="str">
        <f>IF(C138="", "", 'Lighting Inventory (Ref only)'!AA149)</f>
        <v/>
      </c>
      <c r="AE138" s="375" t="str">
        <f>IF(B138="", "", 'Lighting Inventory (Ref only)'!U149)</f>
        <v/>
      </c>
      <c r="AF138" s="375" t="str">
        <f>IF(B138="", "",'Lighting Inventory (Ref only)'!W149)</f>
        <v/>
      </c>
      <c r="AG138" s="375" t="str">
        <f>IF(B138="", "", 'Lighting Inventory (Ref only)'!V149)</f>
        <v/>
      </c>
      <c r="AH138" s="375" t="str">
        <f>IF(B138="", "",'Lighting Inventory (Ref only)'!Z149)</f>
        <v/>
      </c>
      <c r="AI138" s="375" t="str">
        <f>IF(B138="", "", 'Lighting Inventory (Ref only)'!Y149)</f>
        <v/>
      </c>
      <c r="AJ138" s="375" t="str">
        <f>IF(C138="", "",'Lighting Inventory (Ref only)'!AB149)</f>
        <v/>
      </c>
      <c r="AK138" s="375" t="str">
        <f>IF(B138="", "", 'Lighting Inventory (Ref only)'!AG149)</f>
        <v/>
      </c>
      <c r="AL138" s="375" t="str">
        <f>IF(B138="", "", 'Lighting Inventory (Ref only)'!AD149)</f>
        <v/>
      </c>
      <c r="AM138" s="375" t="str">
        <f>IF(B138="", "", 'Lighting Inventory (Ref only)'!AE149)</f>
        <v/>
      </c>
      <c r="AN138" s="375" t="str">
        <f>IF(B138="", "", 'Lighting Inventory (Ref only)'!AF149)</f>
        <v/>
      </c>
      <c r="AO138" s="375" t="str">
        <f>IF(B138="", "", 'Lighting Inventory (Ref only)'!AG149)</f>
        <v/>
      </c>
    </row>
    <row r="139" spans="1:41">
      <c r="A139" s="298" t="str">
        <f>IF(G139="", "", Lookups!BF141)</f>
        <v/>
      </c>
      <c r="B139" s="298" t="str">
        <f>IF('Lighting Inventory (Ref only)'!Q150="", "", 'Lighting Inventory (Ref only)'!Q150)</f>
        <v/>
      </c>
      <c r="C139" s="298" t="str">
        <f>IF(A139="", "", 'Lighting Inventory (Ref only)'!AO150)</f>
        <v/>
      </c>
      <c r="D139" s="370" t="str">
        <f>IF(B139= "","", Inventory!S147)</f>
        <v/>
      </c>
      <c r="E139" s="371"/>
      <c r="F139" s="298" t="str">
        <f>IF(B139="", "", 'Version Log'!$B$34)</f>
        <v/>
      </c>
      <c r="G139" s="298" t="str">
        <f t="shared" si="8"/>
        <v/>
      </c>
      <c r="H139" s="298" t="str">
        <f t="shared" si="9"/>
        <v/>
      </c>
      <c r="I139" s="298" t="str">
        <f>IF(B139="", "",Inventory!D147)</f>
        <v/>
      </c>
      <c r="J139" s="298" t="str">
        <f>IF(B139="","",IF(Inventory!C147="N","Interior","Exterior"))</f>
        <v/>
      </c>
      <c r="K139" s="298" t="str">
        <f t="shared" si="10"/>
        <v/>
      </c>
      <c r="L139" s="298" t="str">
        <f>IF(B139="", "", Inventory!E147)</f>
        <v/>
      </c>
      <c r="M139" s="298" t="str">
        <f>IF(B139="","",IF(Cool_Type=Lookups!$L$9,Cool_Type,IF(Cool_Type=Lookups!$L$10,Cool_Type,IF(Cool_Type=Lookups!$L$11,Cool_Type,IF(Cool_Type=Lookups!L149,Cool_Type,IF('Project Info and Summary'!$C$20="Electric",CONCATENATE(Cool_Type," ",Heating_Type," Heat"),IF('Project Info and Summary'!$C$20="Non-Electric",CONCATENATE(Cool_Type," ",Heating_Type," Heat"),CONCATENATE(Cool_Type," ",Heating_Type))))))))</f>
        <v/>
      </c>
      <c r="N139" s="298" t="str">
        <f t="shared" si="11"/>
        <v/>
      </c>
      <c r="O139" s="298" t="str">
        <f>IF(B139="", "", 'Lighting Inventory (Ref only)'!G150)</f>
        <v/>
      </c>
      <c r="P139" s="298" t="str">
        <f>IF(B139="", "", 'Lighting Inventory (Ref only)'!E150)</f>
        <v/>
      </c>
      <c r="Q139" s="298" t="str">
        <f>IF(B139="", "", 'Lighting Inventory (Ref only)'!J150)</f>
        <v/>
      </c>
      <c r="R139" s="298" t="str">
        <f>IF(B139="", "",'Lighting Inventory (Ref only)'!K150)</f>
        <v/>
      </c>
      <c r="S139" s="372" t="str">
        <f>IF(B139="", "", 'Lighting Inventory (Ref only)'!G150*'Lighting Inventory (Ref only)'!K150/1000)</f>
        <v/>
      </c>
      <c r="T139" s="298" t="str">
        <f>IF(B139="", "", IF('Lighting Inventory (Ref only)'!I150="", "Light Switch",Inventory!H147))</f>
        <v/>
      </c>
      <c r="U139" s="298" t="str">
        <f>IF(B139="", "", 'Lighting Inventory (Ref only)'!Q150)</f>
        <v/>
      </c>
      <c r="V139" s="298" t="str">
        <f>IF(B139="", "", 'Lighting Inventory (Ref only)'!K150)</f>
        <v/>
      </c>
      <c r="W139" s="373" t="str">
        <f>IF(B139="","",('Lighting Inventory (Ref only)'!L150/1000))</f>
        <v/>
      </c>
      <c r="X139" s="298" t="str">
        <f>IF(B139="", "", 'Lighting Inventory (Ref only)'!Q150)</f>
        <v/>
      </c>
      <c r="Y139" s="298" t="str">
        <f>IF(C139="", "", Inventory!N147)</f>
        <v/>
      </c>
      <c r="Z139" s="374" t="str">
        <f>IF(B139="", "", 'Lighting Inventory (Ref only)'!P150)</f>
        <v/>
      </c>
      <c r="AA139" s="372" t="str">
        <f>IF(B139="", "",'Lighting Inventory (Ref only)'!R150/1000)</f>
        <v/>
      </c>
      <c r="AB139" s="372" t="str">
        <f>IF(B139="", "", Inventory!M147)</f>
        <v/>
      </c>
      <c r="AC139" s="374" t="str">
        <f>IF(B139="", "", 'Lighting Inventory (Ref only)'!T150)</f>
        <v/>
      </c>
      <c r="AD139" s="374" t="str">
        <f>IF(C139="", "", 'Lighting Inventory (Ref only)'!AA150)</f>
        <v/>
      </c>
      <c r="AE139" s="375" t="str">
        <f>IF(B139="", "", 'Lighting Inventory (Ref only)'!U150)</f>
        <v/>
      </c>
      <c r="AF139" s="375" t="str">
        <f>IF(B139="", "",'Lighting Inventory (Ref only)'!W150)</f>
        <v/>
      </c>
      <c r="AG139" s="375" t="str">
        <f>IF(B139="", "", 'Lighting Inventory (Ref only)'!V150)</f>
        <v/>
      </c>
      <c r="AH139" s="375" t="str">
        <f>IF(B139="", "",'Lighting Inventory (Ref only)'!Z150)</f>
        <v/>
      </c>
      <c r="AI139" s="375" t="str">
        <f>IF(B139="", "", 'Lighting Inventory (Ref only)'!Y150)</f>
        <v/>
      </c>
      <c r="AJ139" s="375" t="str">
        <f>IF(C139="", "",'Lighting Inventory (Ref only)'!AB150)</f>
        <v/>
      </c>
      <c r="AK139" s="375" t="str">
        <f>IF(B139="", "", 'Lighting Inventory (Ref only)'!AG150)</f>
        <v/>
      </c>
      <c r="AL139" s="375" t="str">
        <f>IF(B139="", "", 'Lighting Inventory (Ref only)'!AD150)</f>
        <v/>
      </c>
      <c r="AM139" s="375" t="str">
        <f>IF(B139="", "", 'Lighting Inventory (Ref only)'!AE150)</f>
        <v/>
      </c>
      <c r="AN139" s="375" t="str">
        <f>IF(B139="", "", 'Lighting Inventory (Ref only)'!AF150)</f>
        <v/>
      </c>
      <c r="AO139" s="375" t="str">
        <f>IF(B139="", "", 'Lighting Inventory (Ref only)'!AG150)</f>
        <v/>
      </c>
    </row>
    <row r="140" spans="1:41">
      <c r="A140" s="298" t="str">
        <f>IF(G140="", "", Lookups!BF142)</f>
        <v/>
      </c>
      <c r="B140" s="298" t="str">
        <f>IF('Lighting Inventory (Ref only)'!Q151="", "", 'Lighting Inventory (Ref only)'!Q151)</f>
        <v/>
      </c>
      <c r="C140" s="298" t="str">
        <f>IF(A140="", "", 'Lighting Inventory (Ref only)'!AO151)</f>
        <v/>
      </c>
      <c r="D140" s="370" t="str">
        <f>IF(B140= "","", Inventory!S148)</f>
        <v/>
      </c>
      <c r="E140" s="371"/>
      <c r="F140" s="298" t="str">
        <f>IF(B140="", "", 'Version Log'!$B$34)</f>
        <v/>
      </c>
      <c r="G140" s="298" t="str">
        <f t="shared" si="8"/>
        <v/>
      </c>
      <c r="H140" s="298" t="str">
        <f t="shared" si="9"/>
        <v/>
      </c>
      <c r="I140" s="298" t="str">
        <f>IF(B140="", "",Inventory!D148)</f>
        <v/>
      </c>
      <c r="J140" s="298" t="str">
        <f>IF(B140="","",IF(Inventory!C148="N","Interior","Exterior"))</f>
        <v/>
      </c>
      <c r="K140" s="298" t="str">
        <f t="shared" si="10"/>
        <v/>
      </c>
      <c r="L140" s="298" t="str">
        <f>IF(B140="", "", Inventory!E148)</f>
        <v/>
      </c>
      <c r="M140" s="298" t="str">
        <f>IF(B140="","",IF(Cool_Type=Lookups!$L$9,Cool_Type,IF(Cool_Type=Lookups!$L$10,Cool_Type,IF(Cool_Type=Lookups!$L$11,Cool_Type,IF(Cool_Type=Lookups!L150,Cool_Type,IF('Project Info and Summary'!$C$20="Electric",CONCATENATE(Cool_Type," ",Heating_Type," Heat"),IF('Project Info and Summary'!$C$20="Non-Electric",CONCATENATE(Cool_Type," ",Heating_Type," Heat"),CONCATENATE(Cool_Type," ",Heating_Type))))))))</f>
        <v/>
      </c>
      <c r="N140" s="298" t="str">
        <f t="shared" si="11"/>
        <v/>
      </c>
      <c r="O140" s="298" t="str">
        <f>IF(B140="", "", 'Lighting Inventory (Ref only)'!G151)</f>
        <v/>
      </c>
      <c r="P140" s="298" t="str">
        <f>IF(B140="", "", 'Lighting Inventory (Ref only)'!E151)</f>
        <v/>
      </c>
      <c r="Q140" s="298" t="str">
        <f>IF(B140="", "", 'Lighting Inventory (Ref only)'!J151)</f>
        <v/>
      </c>
      <c r="R140" s="298" t="str">
        <f>IF(B140="", "",'Lighting Inventory (Ref only)'!K151)</f>
        <v/>
      </c>
      <c r="S140" s="372" t="str">
        <f>IF(B140="", "", 'Lighting Inventory (Ref only)'!G151*'Lighting Inventory (Ref only)'!K151/1000)</f>
        <v/>
      </c>
      <c r="T140" s="298" t="str">
        <f>IF(B140="", "", IF('Lighting Inventory (Ref only)'!I151="", "Light Switch",Inventory!H148))</f>
        <v/>
      </c>
      <c r="U140" s="298" t="str">
        <f>IF(B140="", "", 'Lighting Inventory (Ref only)'!Q151)</f>
        <v/>
      </c>
      <c r="V140" s="298" t="str">
        <f>IF(B140="", "", 'Lighting Inventory (Ref only)'!K151)</f>
        <v/>
      </c>
      <c r="W140" s="373" t="str">
        <f>IF(B140="","",('Lighting Inventory (Ref only)'!L151/1000))</f>
        <v/>
      </c>
      <c r="X140" s="298" t="str">
        <f>IF(B140="", "", 'Lighting Inventory (Ref only)'!Q151)</f>
        <v/>
      </c>
      <c r="Y140" s="298" t="str">
        <f>IF(C140="", "", Inventory!N148)</f>
        <v/>
      </c>
      <c r="Z140" s="374" t="str">
        <f>IF(B140="", "", 'Lighting Inventory (Ref only)'!P151)</f>
        <v/>
      </c>
      <c r="AA140" s="372" t="str">
        <f>IF(B140="", "",'Lighting Inventory (Ref only)'!R151/1000)</f>
        <v/>
      </c>
      <c r="AB140" s="372" t="str">
        <f>IF(B140="", "", Inventory!M148)</f>
        <v/>
      </c>
      <c r="AC140" s="374" t="str">
        <f>IF(B140="", "", 'Lighting Inventory (Ref only)'!T151)</f>
        <v/>
      </c>
      <c r="AD140" s="374" t="str">
        <f>IF(C140="", "", 'Lighting Inventory (Ref only)'!AA151)</f>
        <v/>
      </c>
      <c r="AE140" s="375" t="str">
        <f>IF(B140="", "", 'Lighting Inventory (Ref only)'!U151)</f>
        <v/>
      </c>
      <c r="AF140" s="375" t="str">
        <f>IF(B140="", "",'Lighting Inventory (Ref only)'!W151)</f>
        <v/>
      </c>
      <c r="AG140" s="375" t="str">
        <f>IF(B140="", "", 'Lighting Inventory (Ref only)'!V151)</f>
        <v/>
      </c>
      <c r="AH140" s="375" t="str">
        <f>IF(B140="", "",'Lighting Inventory (Ref only)'!Z151)</f>
        <v/>
      </c>
      <c r="AI140" s="375" t="str">
        <f>IF(B140="", "", 'Lighting Inventory (Ref only)'!Y151)</f>
        <v/>
      </c>
      <c r="AJ140" s="375" t="str">
        <f>IF(C140="", "",'Lighting Inventory (Ref only)'!AB151)</f>
        <v/>
      </c>
      <c r="AK140" s="375" t="str">
        <f>IF(B140="", "", 'Lighting Inventory (Ref only)'!AG151)</f>
        <v/>
      </c>
      <c r="AL140" s="375" t="str">
        <f>IF(B140="", "", 'Lighting Inventory (Ref only)'!AD151)</f>
        <v/>
      </c>
      <c r="AM140" s="375" t="str">
        <f>IF(B140="", "", 'Lighting Inventory (Ref only)'!AE151)</f>
        <v/>
      </c>
      <c r="AN140" s="375" t="str">
        <f>IF(B140="", "", 'Lighting Inventory (Ref only)'!AF151)</f>
        <v/>
      </c>
      <c r="AO140" s="375" t="str">
        <f>IF(B140="", "", 'Lighting Inventory (Ref only)'!AG151)</f>
        <v/>
      </c>
    </row>
    <row r="141" spans="1:41">
      <c r="A141" s="298" t="str">
        <f>IF(G141="", "", Lookups!BF143)</f>
        <v/>
      </c>
      <c r="B141" s="298" t="str">
        <f>IF('Lighting Inventory (Ref only)'!Q152="", "", 'Lighting Inventory (Ref only)'!Q152)</f>
        <v/>
      </c>
      <c r="C141" s="298" t="str">
        <f>IF(A141="", "", 'Lighting Inventory (Ref only)'!AO152)</f>
        <v/>
      </c>
      <c r="D141" s="370" t="str">
        <f>IF(B141= "","", Inventory!S149)</f>
        <v/>
      </c>
      <c r="E141" s="371"/>
      <c r="F141" s="298" t="str">
        <f>IF(B141="", "", 'Version Log'!$B$34)</f>
        <v/>
      </c>
      <c r="G141" s="298" t="str">
        <f t="shared" si="8"/>
        <v/>
      </c>
      <c r="H141" s="298" t="str">
        <f t="shared" si="9"/>
        <v/>
      </c>
      <c r="I141" s="298" t="str">
        <f>IF(B141="", "",Inventory!D149)</f>
        <v/>
      </c>
      <c r="J141" s="298" t="str">
        <f>IF(B141="","",IF(Inventory!C149="N","Interior","Exterior"))</f>
        <v/>
      </c>
      <c r="K141" s="298" t="str">
        <f t="shared" si="10"/>
        <v/>
      </c>
      <c r="L141" s="298" t="str">
        <f>IF(B141="", "", Inventory!E149)</f>
        <v/>
      </c>
      <c r="M141" s="298" t="str">
        <f>IF(B141="","",IF(Cool_Type=Lookups!$L$9,Cool_Type,IF(Cool_Type=Lookups!$L$10,Cool_Type,IF(Cool_Type=Lookups!$L$11,Cool_Type,IF(Cool_Type=Lookups!L151,Cool_Type,IF('Project Info and Summary'!$C$20="Electric",CONCATENATE(Cool_Type," ",Heating_Type," Heat"),IF('Project Info and Summary'!$C$20="Non-Electric",CONCATENATE(Cool_Type," ",Heating_Type," Heat"),CONCATENATE(Cool_Type," ",Heating_Type))))))))</f>
        <v/>
      </c>
      <c r="N141" s="298" t="str">
        <f t="shared" si="11"/>
        <v/>
      </c>
      <c r="O141" s="298" t="str">
        <f>IF(B141="", "", 'Lighting Inventory (Ref only)'!G152)</f>
        <v/>
      </c>
      <c r="P141" s="298" t="str">
        <f>IF(B141="", "", 'Lighting Inventory (Ref only)'!E152)</f>
        <v/>
      </c>
      <c r="Q141" s="298" t="str">
        <f>IF(B141="", "", 'Lighting Inventory (Ref only)'!J152)</f>
        <v/>
      </c>
      <c r="R141" s="298" t="str">
        <f>IF(B141="", "",'Lighting Inventory (Ref only)'!K152)</f>
        <v/>
      </c>
      <c r="S141" s="372" t="str">
        <f>IF(B141="", "", 'Lighting Inventory (Ref only)'!G152*'Lighting Inventory (Ref only)'!K152/1000)</f>
        <v/>
      </c>
      <c r="T141" s="298" t="str">
        <f>IF(B141="", "", IF('Lighting Inventory (Ref only)'!I152="", "Light Switch",Inventory!H149))</f>
        <v/>
      </c>
      <c r="U141" s="298" t="str">
        <f>IF(B141="", "", 'Lighting Inventory (Ref only)'!Q152)</f>
        <v/>
      </c>
      <c r="V141" s="298" t="str">
        <f>IF(B141="", "", 'Lighting Inventory (Ref only)'!K152)</f>
        <v/>
      </c>
      <c r="W141" s="373" t="str">
        <f>IF(B141="","",('Lighting Inventory (Ref only)'!L152/1000))</f>
        <v/>
      </c>
      <c r="X141" s="298" t="str">
        <f>IF(B141="", "", 'Lighting Inventory (Ref only)'!Q152)</f>
        <v/>
      </c>
      <c r="Y141" s="298" t="str">
        <f>IF(C141="", "", Inventory!N149)</f>
        <v/>
      </c>
      <c r="Z141" s="374" t="str">
        <f>IF(B141="", "", 'Lighting Inventory (Ref only)'!P152)</f>
        <v/>
      </c>
      <c r="AA141" s="372" t="str">
        <f>IF(B141="", "",'Lighting Inventory (Ref only)'!R152/1000)</f>
        <v/>
      </c>
      <c r="AB141" s="372" t="str">
        <f>IF(B141="", "", Inventory!M149)</f>
        <v/>
      </c>
      <c r="AC141" s="374" t="str">
        <f>IF(B141="", "", 'Lighting Inventory (Ref only)'!T152)</f>
        <v/>
      </c>
      <c r="AD141" s="374" t="str">
        <f>IF(C141="", "", 'Lighting Inventory (Ref only)'!AA152)</f>
        <v/>
      </c>
      <c r="AE141" s="375" t="str">
        <f>IF(B141="", "", 'Lighting Inventory (Ref only)'!U152)</f>
        <v/>
      </c>
      <c r="AF141" s="375" t="str">
        <f>IF(B141="", "",'Lighting Inventory (Ref only)'!W152)</f>
        <v/>
      </c>
      <c r="AG141" s="375" t="str">
        <f>IF(B141="", "", 'Lighting Inventory (Ref only)'!V152)</f>
        <v/>
      </c>
      <c r="AH141" s="375" t="str">
        <f>IF(B141="", "",'Lighting Inventory (Ref only)'!Z152)</f>
        <v/>
      </c>
      <c r="AI141" s="375" t="str">
        <f>IF(B141="", "", 'Lighting Inventory (Ref only)'!Y152)</f>
        <v/>
      </c>
      <c r="AJ141" s="375" t="str">
        <f>IF(C141="", "",'Lighting Inventory (Ref only)'!AB152)</f>
        <v/>
      </c>
      <c r="AK141" s="375" t="str">
        <f>IF(B141="", "", 'Lighting Inventory (Ref only)'!AG152)</f>
        <v/>
      </c>
      <c r="AL141" s="375" t="str">
        <f>IF(B141="", "", 'Lighting Inventory (Ref only)'!AD152)</f>
        <v/>
      </c>
      <c r="AM141" s="375" t="str">
        <f>IF(B141="", "", 'Lighting Inventory (Ref only)'!AE152)</f>
        <v/>
      </c>
      <c r="AN141" s="375" t="str">
        <f>IF(B141="", "", 'Lighting Inventory (Ref only)'!AF152)</f>
        <v/>
      </c>
      <c r="AO141" s="375" t="str">
        <f>IF(B141="", "", 'Lighting Inventory (Ref only)'!AG152)</f>
        <v/>
      </c>
    </row>
    <row r="142" spans="1:41">
      <c r="A142" s="298" t="str">
        <f>IF(G142="", "", Lookups!BF144)</f>
        <v/>
      </c>
      <c r="B142" s="298" t="str">
        <f>IF('Lighting Inventory (Ref only)'!Q153="", "", 'Lighting Inventory (Ref only)'!Q153)</f>
        <v/>
      </c>
      <c r="C142" s="298" t="str">
        <f>IF(A142="", "", 'Lighting Inventory (Ref only)'!AO153)</f>
        <v/>
      </c>
      <c r="D142" s="370" t="str">
        <f>IF(B142= "","", Inventory!S150)</f>
        <v/>
      </c>
      <c r="E142" s="371"/>
      <c r="F142" s="298" t="str">
        <f>IF(B142="", "", 'Version Log'!$B$34)</f>
        <v/>
      </c>
      <c r="G142" s="298" t="str">
        <f t="shared" si="8"/>
        <v/>
      </c>
      <c r="H142" s="298" t="str">
        <f t="shared" si="9"/>
        <v/>
      </c>
      <c r="I142" s="298" t="str">
        <f>IF(B142="", "",Inventory!D150)</f>
        <v/>
      </c>
      <c r="J142" s="298" t="str">
        <f>IF(B142="","",IF(Inventory!C150="N","Interior","Exterior"))</f>
        <v/>
      </c>
      <c r="K142" s="298" t="str">
        <f t="shared" si="10"/>
        <v/>
      </c>
      <c r="L142" s="298" t="str">
        <f>IF(B142="", "", Inventory!E150)</f>
        <v/>
      </c>
      <c r="M142" s="298" t="str">
        <f>IF(B142="","",IF(Cool_Type=Lookups!$L$9,Cool_Type,IF(Cool_Type=Lookups!$L$10,Cool_Type,IF(Cool_Type=Lookups!$L$11,Cool_Type,IF(Cool_Type=Lookups!L152,Cool_Type,IF('Project Info and Summary'!$C$20="Electric",CONCATENATE(Cool_Type," ",Heating_Type," Heat"),IF('Project Info and Summary'!$C$20="Non-Electric",CONCATENATE(Cool_Type," ",Heating_Type," Heat"),CONCATENATE(Cool_Type," ",Heating_Type))))))))</f>
        <v/>
      </c>
      <c r="N142" s="298" t="str">
        <f t="shared" si="11"/>
        <v/>
      </c>
      <c r="O142" s="298" t="str">
        <f>IF(B142="", "", 'Lighting Inventory (Ref only)'!G153)</f>
        <v/>
      </c>
      <c r="P142" s="298" t="str">
        <f>IF(B142="", "", 'Lighting Inventory (Ref only)'!E153)</f>
        <v/>
      </c>
      <c r="Q142" s="298" t="str">
        <f>IF(B142="", "", 'Lighting Inventory (Ref only)'!J153)</f>
        <v/>
      </c>
      <c r="R142" s="298" t="str">
        <f>IF(B142="", "",'Lighting Inventory (Ref only)'!K153)</f>
        <v/>
      </c>
      <c r="S142" s="372" t="str">
        <f>IF(B142="", "", 'Lighting Inventory (Ref only)'!G153*'Lighting Inventory (Ref only)'!K153/1000)</f>
        <v/>
      </c>
      <c r="T142" s="298" t="str">
        <f>IF(B142="", "", IF('Lighting Inventory (Ref only)'!I153="", "Light Switch",Inventory!H150))</f>
        <v/>
      </c>
      <c r="U142" s="298" t="str">
        <f>IF(B142="", "", 'Lighting Inventory (Ref only)'!Q153)</f>
        <v/>
      </c>
      <c r="V142" s="298" t="str">
        <f>IF(B142="", "", 'Lighting Inventory (Ref only)'!K153)</f>
        <v/>
      </c>
      <c r="W142" s="373" t="str">
        <f>IF(B142="","",('Lighting Inventory (Ref only)'!L153/1000))</f>
        <v/>
      </c>
      <c r="X142" s="298" t="str">
        <f>IF(B142="", "", 'Lighting Inventory (Ref only)'!Q153)</f>
        <v/>
      </c>
      <c r="Y142" s="298" t="str">
        <f>IF(C142="", "", Inventory!N150)</f>
        <v/>
      </c>
      <c r="Z142" s="374" t="str">
        <f>IF(B142="", "", 'Lighting Inventory (Ref only)'!P153)</f>
        <v/>
      </c>
      <c r="AA142" s="372" t="str">
        <f>IF(B142="", "",'Lighting Inventory (Ref only)'!R153/1000)</f>
        <v/>
      </c>
      <c r="AB142" s="372" t="str">
        <f>IF(B142="", "", Inventory!M150)</f>
        <v/>
      </c>
      <c r="AC142" s="374" t="str">
        <f>IF(B142="", "", 'Lighting Inventory (Ref only)'!T153)</f>
        <v/>
      </c>
      <c r="AD142" s="374" t="str">
        <f>IF(C142="", "", 'Lighting Inventory (Ref only)'!AA153)</f>
        <v/>
      </c>
      <c r="AE142" s="375" t="str">
        <f>IF(B142="", "", 'Lighting Inventory (Ref only)'!U153)</f>
        <v/>
      </c>
      <c r="AF142" s="375" t="str">
        <f>IF(B142="", "",'Lighting Inventory (Ref only)'!W153)</f>
        <v/>
      </c>
      <c r="AG142" s="375" t="str">
        <f>IF(B142="", "", 'Lighting Inventory (Ref only)'!V153)</f>
        <v/>
      </c>
      <c r="AH142" s="375" t="str">
        <f>IF(B142="", "",'Lighting Inventory (Ref only)'!Z153)</f>
        <v/>
      </c>
      <c r="AI142" s="375" t="str">
        <f>IF(B142="", "", 'Lighting Inventory (Ref only)'!Y153)</f>
        <v/>
      </c>
      <c r="AJ142" s="375" t="str">
        <f>IF(C142="", "",'Lighting Inventory (Ref only)'!AB153)</f>
        <v/>
      </c>
      <c r="AK142" s="375" t="str">
        <f>IF(B142="", "", 'Lighting Inventory (Ref only)'!AG153)</f>
        <v/>
      </c>
      <c r="AL142" s="375" t="str">
        <f>IF(B142="", "", 'Lighting Inventory (Ref only)'!AD153)</f>
        <v/>
      </c>
      <c r="AM142" s="375" t="str">
        <f>IF(B142="", "", 'Lighting Inventory (Ref only)'!AE153)</f>
        <v/>
      </c>
      <c r="AN142" s="375" t="str">
        <f>IF(B142="", "", 'Lighting Inventory (Ref only)'!AF153)</f>
        <v/>
      </c>
      <c r="AO142" s="375" t="str">
        <f>IF(B142="", "", 'Lighting Inventory (Ref only)'!AG153)</f>
        <v/>
      </c>
    </row>
    <row r="143" spans="1:41">
      <c r="A143" s="298" t="str">
        <f>IF(G143="", "", Lookups!BF145)</f>
        <v/>
      </c>
      <c r="B143" s="298" t="str">
        <f>IF('Lighting Inventory (Ref only)'!Q154="", "", 'Lighting Inventory (Ref only)'!Q154)</f>
        <v/>
      </c>
      <c r="C143" s="298" t="str">
        <f>IF(A143="", "", 'Lighting Inventory (Ref only)'!AO154)</f>
        <v/>
      </c>
      <c r="D143" s="370" t="str">
        <f>IF(B143= "","", Inventory!S151)</f>
        <v/>
      </c>
      <c r="E143" s="371"/>
      <c r="F143" s="298" t="str">
        <f>IF(B143="", "", 'Version Log'!$B$34)</f>
        <v/>
      </c>
      <c r="G143" s="298" t="str">
        <f t="shared" si="8"/>
        <v/>
      </c>
      <c r="H143" s="298" t="str">
        <f t="shared" si="9"/>
        <v/>
      </c>
      <c r="I143" s="298" t="str">
        <f>IF(B143="", "",Inventory!D151)</f>
        <v/>
      </c>
      <c r="J143" s="298" t="str">
        <f>IF(B143="","",IF(Inventory!C151="N","Interior","Exterior"))</f>
        <v/>
      </c>
      <c r="K143" s="298" t="str">
        <f t="shared" si="10"/>
        <v/>
      </c>
      <c r="L143" s="298" t="str">
        <f>IF(B143="", "", Inventory!E151)</f>
        <v/>
      </c>
      <c r="M143" s="298" t="str">
        <f>IF(B143="","",IF(Cool_Type=Lookups!$L$9,Cool_Type,IF(Cool_Type=Lookups!$L$10,Cool_Type,IF(Cool_Type=Lookups!$L$11,Cool_Type,IF(Cool_Type=Lookups!L153,Cool_Type,IF('Project Info and Summary'!$C$20="Electric",CONCATENATE(Cool_Type," ",Heating_Type," Heat"),IF('Project Info and Summary'!$C$20="Non-Electric",CONCATENATE(Cool_Type," ",Heating_Type," Heat"),CONCATENATE(Cool_Type," ",Heating_Type))))))))</f>
        <v/>
      </c>
      <c r="N143" s="298" t="str">
        <f t="shared" si="11"/>
        <v/>
      </c>
      <c r="O143" s="298" t="str">
        <f>IF(B143="", "", 'Lighting Inventory (Ref only)'!G154)</f>
        <v/>
      </c>
      <c r="P143" s="298" t="str">
        <f>IF(B143="", "", 'Lighting Inventory (Ref only)'!E154)</f>
        <v/>
      </c>
      <c r="Q143" s="298" t="str">
        <f>IF(B143="", "", 'Lighting Inventory (Ref only)'!J154)</f>
        <v/>
      </c>
      <c r="R143" s="298" t="str">
        <f>IF(B143="", "",'Lighting Inventory (Ref only)'!K154)</f>
        <v/>
      </c>
      <c r="S143" s="372" t="str">
        <f>IF(B143="", "", 'Lighting Inventory (Ref only)'!G154*'Lighting Inventory (Ref only)'!K154/1000)</f>
        <v/>
      </c>
      <c r="T143" s="298" t="str">
        <f>IF(B143="", "", IF('Lighting Inventory (Ref only)'!I154="", "Light Switch",Inventory!H151))</f>
        <v/>
      </c>
      <c r="U143" s="298" t="str">
        <f>IF(B143="", "", 'Lighting Inventory (Ref only)'!Q154)</f>
        <v/>
      </c>
      <c r="V143" s="298" t="str">
        <f>IF(B143="", "", 'Lighting Inventory (Ref only)'!K154)</f>
        <v/>
      </c>
      <c r="W143" s="373" t="str">
        <f>IF(B143="","",('Lighting Inventory (Ref only)'!L154/1000))</f>
        <v/>
      </c>
      <c r="X143" s="298" t="str">
        <f>IF(B143="", "", 'Lighting Inventory (Ref only)'!Q154)</f>
        <v/>
      </c>
      <c r="Y143" s="298" t="str">
        <f>IF(C143="", "", Inventory!N151)</f>
        <v/>
      </c>
      <c r="Z143" s="374" t="str">
        <f>IF(B143="", "", 'Lighting Inventory (Ref only)'!P154)</f>
        <v/>
      </c>
      <c r="AA143" s="372" t="str">
        <f>IF(B143="", "",'Lighting Inventory (Ref only)'!R154/1000)</f>
        <v/>
      </c>
      <c r="AB143" s="372" t="str">
        <f>IF(B143="", "", Inventory!M151)</f>
        <v/>
      </c>
      <c r="AC143" s="374" t="str">
        <f>IF(B143="", "", 'Lighting Inventory (Ref only)'!T154)</f>
        <v/>
      </c>
      <c r="AD143" s="374" t="str">
        <f>IF(C143="", "", 'Lighting Inventory (Ref only)'!AA154)</f>
        <v/>
      </c>
      <c r="AE143" s="375" t="str">
        <f>IF(B143="", "", 'Lighting Inventory (Ref only)'!U154)</f>
        <v/>
      </c>
      <c r="AF143" s="375" t="str">
        <f>IF(B143="", "",'Lighting Inventory (Ref only)'!W154)</f>
        <v/>
      </c>
      <c r="AG143" s="375" t="str">
        <f>IF(B143="", "", 'Lighting Inventory (Ref only)'!V154)</f>
        <v/>
      </c>
      <c r="AH143" s="375" t="str">
        <f>IF(B143="", "",'Lighting Inventory (Ref only)'!Z154)</f>
        <v/>
      </c>
      <c r="AI143" s="375" t="str">
        <f>IF(B143="", "", 'Lighting Inventory (Ref only)'!Y154)</f>
        <v/>
      </c>
      <c r="AJ143" s="375" t="str">
        <f>IF(C143="", "",'Lighting Inventory (Ref only)'!AB154)</f>
        <v/>
      </c>
      <c r="AK143" s="375" t="str">
        <f>IF(B143="", "", 'Lighting Inventory (Ref only)'!AG154)</f>
        <v/>
      </c>
      <c r="AL143" s="375" t="str">
        <f>IF(B143="", "", 'Lighting Inventory (Ref only)'!AD154)</f>
        <v/>
      </c>
      <c r="AM143" s="375" t="str">
        <f>IF(B143="", "", 'Lighting Inventory (Ref only)'!AE154)</f>
        <v/>
      </c>
      <c r="AN143" s="375" t="str">
        <f>IF(B143="", "", 'Lighting Inventory (Ref only)'!AF154)</f>
        <v/>
      </c>
      <c r="AO143" s="375" t="str">
        <f>IF(B143="", "", 'Lighting Inventory (Ref only)'!AG154)</f>
        <v/>
      </c>
    </row>
    <row r="144" spans="1:41">
      <c r="A144" s="298" t="str">
        <f>IF(G144="", "", Lookups!BF146)</f>
        <v/>
      </c>
      <c r="B144" s="298" t="str">
        <f>IF('Lighting Inventory (Ref only)'!Q155="", "", 'Lighting Inventory (Ref only)'!Q155)</f>
        <v/>
      </c>
      <c r="C144" s="298" t="str">
        <f>IF(A144="", "", 'Lighting Inventory (Ref only)'!AO155)</f>
        <v/>
      </c>
      <c r="D144" s="370" t="str">
        <f>IF(B144= "","", Inventory!S152)</f>
        <v/>
      </c>
      <c r="E144" s="371"/>
      <c r="F144" s="298" t="str">
        <f>IF(B144="", "", 'Version Log'!$B$34)</f>
        <v/>
      </c>
      <c r="G144" s="298" t="str">
        <f t="shared" si="8"/>
        <v/>
      </c>
      <c r="H144" s="298" t="str">
        <f t="shared" si="9"/>
        <v/>
      </c>
      <c r="I144" s="298" t="str">
        <f>IF(B144="", "",Inventory!D152)</f>
        <v/>
      </c>
      <c r="J144" s="298" t="str">
        <f>IF(B144="","",IF(Inventory!C152="N","Interior","Exterior"))</f>
        <v/>
      </c>
      <c r="K144" s="298" t="str">
        <f t="shared" si="10"/>
        <v/>
      </c>
      <c r="L144" s="298" t="str">
        <f>IF(B144="", "", Inventory!E152)</f>
        <v/>
      </c>
      <c r="M144" s="298" t="str">
        <f>IF(B144="","",IF(Cool_Type=Lookups!$L$9,Cool_Type,IF(Cool_Type=Lookups!$L$10,Cool_Type,IF(Cool_Type=Lookups!$L$11,Cool_Type,IF(Cool_Type=Lookups!L154,Cool_Type,IF('Project Info and Summary'!$C$20="Electric",CONCATENATE(Cool_Type," ",Heating_Type," Heat"),IF('Project Info and Summary'!$C$20="Non-Electric",CONCATENATE(Cool_Type," ",Heating_Type," Heat"),CONCATENATE(Cool_Type," ",Heating_Type))))))))</f>
        <v/>
      </c>
      <c r="N144" s="298" t="str">
        <f t="shared" si="11"/>
        <v/>
      </c>
      <c r="O144" s="298" t="str">
        <f>IF(B144="", "", 'Lighting Inventory (Ref only)'!G155)</f>
        <v/>
      </c>
      <c r="P144" s="298" t="str">
        <f>IF(B144="", "", 'Lighting Inventory (Ref only)'!E155)</f>
        <v/>
      </c>
      <c r="Q144" s="298" t="str">
        <f>IF(B144="", "", 'Lighting Inventory (Ref only)'!J155)</f>
        <v/>
      </c>
      <c r="R144" s="298" t="str">
        <f>IF(B144="", "",'Lighting Inventory (Ref only)'!K155)</f>
        <v/>
      </c>
      <c r="S144" s="372" t="str">
        <f>IF(B144="", "", 'Lighting Inventory (Ref only)'!G155*'Lighting Inventory (Ref only)'!K155/1000)</f>
        <v/>
      </c>
      <c r="T144" s="298" t="str">
        <f>IF(B144="", "", IF('Lighting Inventory (Ref only)'!I155="", "Light Switch",Inventory!H152))</f>
        <v/>
      </c>
      <c r="U144" s="298" t="str">
        <f>IF(B144="", "", 'Lighting Inventory (Ref only)'!Q155)</f>
        <v/>
      </c>
      <c r="V144" s="298" t="str">
        <f>IF(B144="", "", 'Lighting Inventory (Ref only)'!K155)</f>
        <v/>
      </c>
      <c r="W144" s="373" t="str">
        <f>IF(B144="","",('Lighting Inventory (Ref only)'!L155/1000))</f>
        <v/>
      </c>
      <c r="X144" s="298" t="str">
        <f>IF(B144="", "", 'Lighting Inventory (Ref only)'!Q155)</f>
        <v/>
      </c>
      <c r="Y144" s="298" t="str">
        <f>IF(C144="", "", Inventory!N152)</f>
        <v/>
      </c>
      <c r="Z144" s="374" t="str">
        <f>IF(B144="", "", 'Lighting Inventory (Ref only)'!P155)</f>
        <v/>
      </c>
      <c r="AA144" s="372" t="str">
        <f>IF(B144="", "",'Lighting Inventory (Ref only)'!R155/1000)</f>
        <v/>
      </c>
      <c r="AB144" s="372" t="str">
        <f>IF(B144="", "", Inventory!M152)</f>
        <v/>
      </c>
      <c r="AC144" s="374" t="str">
        <f>IF(B144="", "", 'Lighting Inventory (Ref only)'!T155)</f>
        <v/>
      </c>
      <c r="AD144" s="374" t="str">
        <f>IF(C144="", "", 'Lighting Inventory (Ref only)'!AA155)</f>
        <v/>
      </c>
      <c r="AE144" s="375" t="str">
        <f>IF(B144="", "", 'Lighting Inventory (Ref only)'!U155)</f>
        <v/>
      </c>
      <c r="AF144" s="375" t="str">
        <f>IF(B144="", "",'Lighting Inventory (Ref only)'!W155)</f>
        <v/>
      </c>
      <c r="AG144" s="375" t="str">
        <f>IF(B144="", "", 'Lighting Inventory (Ref only)'!V155)</f>
        <v/>
      </c>
      <c r="AH144" s="375" t="str">
        <f>IF(B144="", "",'Lighting Inventory (Ref only)'!Z155)</f>
        <v/>
      </c>
      <c r="AI144" s="375" t="str">
        <f>IF(B144="", "", 'Lighting Inventory (Ref only)'!Y155)</f>
        <v/>
      </c>
      <c r="AJ144" s="375" t="str">
        <f>IF(C144="", "",'Lighting Inventory (Ref only)'!AB155)</f>
        <v/>
      </c>
      <c r="AK144" s="375" t="str">
        <f>IF(B144="", "", 'Lighting Inventory (Ref only)'!AG155)</f>
        <v/>
      </c>
      <c r="AL144" s="375" t="str">
        <f>IF(B144="", "", 'Lighting Inventory (Ref only)'!AD155)</f>
        <v/>
      </c>
      <c r="AM144" s="375" t="str">
        <f>IF(B144="", "", 'Lighting Inventory (Ref only)'!AE155)</f>
        <v/>
      </c>
      <c r="AN144" s="375" t="str">
        <f>IF(B144="", "", 'Lighting Inventory (Ref only)'!AF155)</f>
        <v/>
      </c>
      <c r="AO144" s="375" t="str">
        <f>IF(B144="", "", 'Lighting Inventory (Ref only)'!AG155)</f>
        <v/>
      </c>
    </row>
    <row r="145" spans="1:41">
      <c r="A145" s="298" t="str">
        <f>IF(G145="", "", Lookups!BF147)</f>
        <v/>
      </c>
      <c r="B145" s="298" t="str">
        <f>IF('Lighting Inventory (Ref only)'!Q156="", "", 'Lighting Inventory (Ref only)'!Q156)</f>
        <v/>
      </c>
      <c r="C145" s="298" t="str">
        <f>IF(A145="", "", 'Lighting Inventory (Ref only)'!AO156)</f>
        <v/>
      </c>
      <c r="D145" s="370" t="str">
        <f>IF(B145= "","", Inventory!S153)</f>
        <v/>
      </c>
      <c r="E145" s="371"/>
      <c r="F145" s="298" t="str">
        <f>IF(B145="", "", 'Version Log'!$B$34)</f>
        <v/>
      </c>
      <c r="G145" s="298" t="str">
        <f t="shared" si="8"/>
        <v/>
      </c>
      <c r="H145" s="298" t="str">
        <f t="shared" si="9"/>
        <v/>
      </c>
      <c r="I145" s="298" t="str">
        <f>IF(B145="", "",Inventory!D153)</f>
        <v/>
      </c>
      <c r="J145" s="298" t="str">
        <f>IF(B145="","",IF(Inventory!C153="N","Interior","Exterior"))</f>
        <v/>
      </c>
      <c r="K145" s="298" t="str">
        <f t="shared" si="10"/>
        <v/>
      </c>
      <c r="L145" s="298" t="str">
        <f>IF(B145="", "", Inventory!E153)</f>
        <v/>
      </c>
      <c r="M145" s="298" t="str">
        <f>IF(B145="","",IF(Cool_Type=Lookups!$L$9,Cool_Type,IF(Cool_Type=Lookups!$L$10,Cool_Type,IF(Cool_Type=Lookups!$L$11,Cool_Type,IF(Cool_Type=Lookups!L155,Cool_Type,IF('Project Info and Summary'!$C$20="Electric",CONCATENATE(Cool_Type," ",Heating_Type," Heat"),IF('Project Info and Summary'!$C$20="Non-Electric",CONCATENATE(Cool_Type," ",Heating_Type," Heat"),CONCATENATE(Cool_Type," ",Heating_Type))))))))</f>
        <v/>
      </c>
      <c r="N145" s="298" t="str">
        <f t="shared" si="11"/>
        <v/>
      </c>
      <c r="O145" s="298" t="str">
        <f>IF(B145="", "", 'Lighting Inventory (Ref only)'!G156)</f>
        <v/>
      </c>
      <c r="P145" s="298" t="str">
        <f>IF(B145="", "", 'Lighting Inventory (Ref only)'!E156)</f>
        <v/>
      </c>
      <c r="Q145" s="298" t="str">
        <f>IF(B145="", "", 'Lighting Inventory (Ref only)'!J156)</f>
        <v/>
      </c>
      <c r="R145" s="298" t="str">
        <f>IF(B145="", "",'Lighting Inventory (Ref only)'!K156)</f>
        <v/>
      </c>
      <c r="S145" s="372" t="str">
        <f>IF(B145="", "", 'Lighting Inventory (Ref only)'!G156*'Lighting Inventory (Ref only)'!K156/1000)</f>
        <v/>
      </c>
      <c r="T145" s="298" t="str">
        <f>IF(B145="", "", IF('Lighting Inventory (Ref only)'!I156="", "Light Switch",Inventory!H153))</f>
        <v/>
      </c>
      <c r="U145" s="298" t="str">
        <f>IF(B145="", "", 'Lighting Inventory (Ref only)'!Q156)</f>
        <v/>
      </c>
      <c r="V145" s="298" t="str">
        <f>IF(B145="", "", 'Lighting Inventory (Ref only)'!K156)</f>
        <v/>
      </c>
      <c r="W145" s="373" t="str">
        <f>IF(B145="","",('Lighting Inventory (Ref only)'!L156/1000))</f>
        <v/>
      </c>
      <c r="X145" s="298" t="str">
        <f>IF(B145="", "", 'Lighting Inventory (Ref only)'!Q156)</f>
        <v/>
      </c>
      <c r="Y145" s="298" t="str">
        <f>IF(C145="", "", Inventory!N153)</f>
        <v/>
      </c>
      <c r="Z145" s="374" t="str">
        <f>IF(B145="", "", 'Lighting Inventory (Ref only)'!P156)</f>
        <v/>
      </c>
      <c r="AA145" s="372" t="str">
        <f>IF(B145="", "",'Lighting Inventory (Ref only)'!R156/1000)</f>
        <v/>
      </c>
      <c r="AB145" s="372" t="str">
        <f>IF(B145="", "", Inventory!M153)</f>
        <v/>
      </c>
      <c r="AC145" s="374" t="str">
        <f>IF(B145="", "", 'Lighting Inventory (Ref only)'!T156)</f>
        <v/>
      </c>
      <c r="AD145" s="374" t="str">
        <f>IF(C145="", "", 'Lighting Inventory (Ref only)'!AA156)</f>
        <v/>
      </c>
      <c r="AE145" s="375" t="str">
        <f>IF(B145="", "", 'Lighting Inventory (Ref only)'!U156)</f>
        <v/>
      </c>
      <c r="AF145" s="375" t="str">
        <f>IF(B145="", "",'Lighting Inventory (Ref only)'!W156)</f>
        <v/>
      </c>
      <c r="AG145" s="375" t="str">
        <f>IF(B145="", "", 'Lighting Inventory (Ref only)'!V156)</f>
        <v/>
      </c>
      <c r="AH145" s="375" t="str">
        <f>IF(B145="", "",'Lighting Inventory (Ref only)'!Z156)</f>
        <v/>
      </c>
      <c r="AI145" s="375" t="str">
        <f>IF(B145="", "", 'Lighting Inventory (Ref only)'!Y156)</f>
        <v/>
      </c>
      <c r="AJ145" s="375" t="str">
        <f>IF(C145="", "",'Lighting Inventory (Ref only)'!AB156)</f>
        <v/>
      </c>
      <c r="AK145" s="375" t="str">
        <f>IF(B145="", "", 'Lighting Inventory (Ref only)'!AG156)</f>
        <v/>
      </c>
      <c r="AL145" s="375" t="str">
        <f>IF(B145="", "", 'Lighting Inventory (Ref only)'!AD156)</f>
        <v/>
      </c>
      <c r="AM145" s="375" t="str">
        <f>IF(B145="", "", 'Lighting Inventory (Ref only)'!AE156)</f>
        <v/>
      </c>
      <c r="AN145" s="375" t="str">
        <f>IF(B145="", "", 'Lighting Inventory (Ref only)'!AF156)</f>
        <v/>
      </c>
      <c r="AO145" s="375" t="str">
        <f>IF(B145="", "", 'Lighting Inventory (Ref only)'!AG156)</f>
        <v/>
      </c>
    </row>
    <row r="146" spans="1:41">
      <c r="A146" s="298" t="str">
        <f>IF(G146="", "", Lookups!BF148)</f>
        <v/>
      </c>
      <c r="B146" s="298" t="str">
        <f>IF('Lighting Inventory (Ref only)'!Q157="", "", 'Lighting Inventory (Ref only)'!Q157)</f>
        <v/>
      </c>
      <c r="C146" s="298" t="str">
        <f>IF(A146="", "", 'Lighting Inventory (Ref only)'!AO157)</f>
        <v/>
      </c>
      <c r="D146" s="370" t="str">
        <f>IF(B146= "","", Inventory!S154)</f>
        <v/>
      </c>
      <c r="E146" s="371"/>
      <c r="F146" s="298" t="str">
        <f>IF(B146="", "", 'Version Log'!$B$34)</f>
        <v/>
      </c>
      <c r="G146" s="298" t="str">
        <f t="shared" si="8"/>
        <v/>
      </c>
      <c r="H146" s="298" t="str">
        <f t="shared" si="9"/>
        <v/>
      </c>
      <c r="I146" s="298" t="str">
        <f>IF(B146="", "",Inventory!D154)</f>
        <v/>
      </c>
      <c r="J146" s="298" t="str">
        <f>IF(B146="","",IF(Inventory!C154="N","Interior","Exterior"))</f>
        <v/>
      </c>
      <c r="K146" s="298" t="str">
        <f t="shared" si="10"/>
        <v/>
      </c>
      <c r="L146" s="298" t="str">
        <f>IF(B146="", "", Inventory!E154)</f>
        <v/>
      </c>
      <c r="M146" s="298" t="str">
        <f>IF(B146="","",IF(Cool_Type=Lookups!$L$9,Cool_Type,IF(Cool_Type=Lookups!$L$10,Cool_Type,IF(Cool_Type=Lookups!$L$11,Cool_Type,IF(Cool_Type=Lookups!L156,Cool_Type,IF('Project Info and Summary'!$C$20="Electric",CONCATENATE(Cool_Type," ",Heating_Type," Heat"),IF('Project Info and Summary'!$C$20="Non-Electric",CONCATENATE(Cool_Type," ",Heating_Type," Heat"),CONCATENATE(Cool_Type," ",Heating_Type))))))))</f>
        <v/>
      </c>
      <c r="N146" s="298" t="str">
        <f t="shared" si="11"/>
        <v/>
      </c>
      <c r="O146" s="298" t="str">
        <f>IF(B146="", "", 'Lighting Inventory (Ref only)'!G157)</f>
        <v/>
      </c>
      <c r="P146" s="298" t="str">
        <f>IF(B146="", "", 'Lighting Inventory (Ref only)'!E157)</f>
        <v/>
      </c>
      <c r="Q146" s="298" t="str">
        <f>IF(B146="", "", 'Lighting Inventory (Ref only)'!J157)</f>
        <v/>
      </c>
      <c r="R146" s="298" t="str">
        <f>IF(B146="", "",'Lighting Inventory (Ref only)'!K157)</f>
        <v/>
      </c>
      <c r="S146" s="372" t="str">
        <f>IF(B146="", "", 'Lighting Inventory (Ref only)'!G157*'Lighting Inventory (Ref only)'!K157/1000)</f>
        <v/>
      </c>
      <c r="T146" s="298" t="str">
        <f>IF(B146="", "", IF('Lighting Inventory (Ref only)'!I157="", "Light Switch",Inventory!H154))</f>
        <v/>
      </c>
      <c r="U146" s="298" t="str">
        <f>IF(B146="", "", 'Lighting Inventory (Ref only)'!Q157)</f>
        <v/>
      </c>
      <c r="V146" s="298" t="str">
        <f>IF(B146="", "", 'Lighting Inventory (Ref only)'!K157)</f>
        <v/>
      </c>
      <c r="W146" s="373" t="str">
        <f>IF(B146="","",('Lighting Inventory (Ref only)'!L157/1000))</f>
        <v/>
      </c>
      <c r="X146" s="298" t="str">
        <f>IF(B146="", "", 'Lighting Inventory (Ref only)'!Q157)</f>
        <v/>
      </c>
      <c r="Y146" s="298" t="str">
        <f>IF(C146="", "", Inventory!N154)</f>
        <v/>
      </c>
      <c r="Z146" s="374" t="str">
        <f>IF(B146="", "", 'Lighting Inventory (Ref only)'!P157)</f>
        <v/>
      </c>
      <c r="AA146" s="372" t="str">
        <f>IF(B146="", "",'Lighting Inventory (Ref only)'!R157/1000)</f>
        <v/>
      </c>
      <c r="AB146" s="372" t="str">
        <f>IF(B146="", "", Inventory!M154)</f>
        <v/>
      </c>
      <c r="AC146" s="374" t="str">
        <f>IF(B146="", "", 'Lighting Inventory (Ref only)'!T157)</f>
        <v/>
      </c>
      <c r="AD146" s="374" t="str">
        <f>IF(C146="", "", 'Lighting Inventory (Ref only)'!AA157)</f>
        <v/>
      </c>
      <c r="AE146" s="375" t="str">
        <f>IF(B146="", "", 'Lighting Inventory (Ref only)'!U157)</f>
        <v/>
      </c>
      <c r="AF146" s="375" t="str">
        <f>IF(B146="", "",'Lighting Inventory (Ref only)'!W157)</f>
        <v/>
      </c>
      <c r="AG146" s="375" t="str">
        <f>IF(B146="", "", 'Lighting Inventory (Ref only)'!V157)</f>
        <v/>
      </c>
      <c r="AH146" s="375" t="str">
        <f>IF(B146="", "",'Lighting Inventory (Ref only)'!Z157)</f>
        <v/>
      </c>
      <c r="AI146" s="375" t="str">
        <f>IF(B146="", "", 'Lighting Inventory (Ref only)'!Y157)</f>
        <v/>
      </c>
      <c r="AJ146" s="375" t="str">
        <f>IF(C146="", "",'Lighting Inventory (Ref only)'!AB157)</f>
        <v/>
      </c>
      <c r="AK146" s="375" t="str">
        <f>IF(B146="", "", 'Lighting Inventory (Ref only)'!AG157)</f>
        <v/>
      </c>
      <c r="AL146" s="375" t="str">
        <f>IF(B146="", "", 'Lighting Inventory (Ref only)'!AD157)</f>
        <v/>
      </c>
      <c r="AM146" s="375" t="str">
        <f>IF(B146="", "", 'Lighting Inventory (Ref only)'!AE157)</f>
        <v/>
      </c>
      <c r="AN146" s="375" t="str">
        <f>IF(B146="", "", 'Lighting Inventory (Ref only)'!AF157)</f>
        <v/>
      </c>
      <c r="AO146" s="375" t="str">
        <f>IF(B146="", "", 'Lighting Inventory (Ref only)'!AG157)</f>
        <v/>
      </c>
    </row>
    <row r="147" spans="1:41">
      <c r="A147" s="298" t="str">
        <f>IF(G147="", "", Lookups!BF149)</f>
        <v/>
      </c>
      <c r="B147" s="298" t="str">
        <f>IF('Lighting Inventory (Ref only)'!Q158="", "", 'Lighting Inventory (Ref only)'!Q158)</f>
        <v/>
      </c>
      <c r="C147" s="298" t="str">
        <f>IF(A147="", "", 'Lighting Inventory (Ref only)'!AO158)</f>
        <v/>
      </c>
      <c r="D147" s="370" t="str">
        <f>IF(B147= "","", Inventory!S155)</f>
        <v/>
      </c>
      <c r="E147" s="371"/>
      <c r="F147" s="298" t="str">
        <f>IF(B147="", "", 'Version Log'!$B$34)</f>
        <v/>
      </c>
      <c r="G147" s="298" t="str">
        <f t="shared" si="8"/>
        <v/>
      </c>
      <c r="H147" s="298" t="str">
        <f t="shared" si="9"/>
        <v/>
      </c>
      <c r="I147" s="298" t="str">
        <f>IF(B147="", "",Inventory!D155)</f>
        <v/>
      </c>
      <c r="J147" s="298" t="str">
        <f>IF(B147="","",IF(Inventory!C155="N","Interior","Exterior"))</f>
        <v/>
      </c>
      <c r="K147" s="298" t="str">
        <f t="shared" si="10"/>
        <v/>
      </c>
      <c r="L147" s="298" t="str">
        <f>IF(B147="", "", Inventory!E155)</f>
        <v/>
      </c>
      <c r="M147" s="298" t="str">
        <f>IF(B147="","",IF(Cool_Type=Lookups!$L$9,Cool_Type,IF(Cool_Type=Lookups!$L$10,Cool_Type,IF(Cool_Type=Lookups!$L$11,Cool_Type,IF(Cool_Type=Lookups!L157,Cool_Type,IF('Project Info and Summary'!$C$20="Electric",CONCATENATE(Cool_Type," ",Heating_Type," Heat"),IF('Project Info and Summary'!$C$20="Non-Electric",CONCATENATE(Cool_Type," ",Heating_Type," Heat"),CONCATENATE(Cool_Type," ",Heating_Type))))))))</f>
        <v/>
      </c>
      <c r="N147" s="298" t="str">
        <f t="shared" si="11"/>
        <v/>
      </c>
      <c r="O147" s="298" t="str">
        <f>IF(B147="", "", 'Lighting Inventory (Ref only)'!G158)</f>
        <v/>
      </c>
      <c r="P147" s="298" t="str">
        <f>IF(B147="", "", 'Lighting Inventory (Ref only)'!E158)</f>
        <v/>
      </c>
      <c r="Q147" s="298" t="str">
        <f>IF(B147="", "", 'Lighting Inventory (Ref only)'!J158)</f>
        <v/>
      </c>
      <c r="R147" s="298" t="str">
        <f>IF(B147="", "",'Lighting Inventory (Ref only)'!K158)</f>
        <v/>
      </c>
      <c r="S147" s="372" t="str">
        <f>IF(B147="", "", 'Lighting Inventory (Ref only)'!G158*'Lighting Inventory (Ref only)'!K158/1000)</f>
        <v/>
      </c>
      <c r="T147" s="298" t="str">
        <f>IF(B147="", "", IF('Lighting Inventory (Ref only)'!I158="", "Light Switch",Inventory!H155))</f>
        <v/>
      </c>
      <c r="U147" s="298" t="str">
        <f>IF(B147="", "", 'Lighting Inventory (Ref only)'!Q158)</f>
        <v/>
      </c>
      <c r="V147" s="298" t="str">
        <f>IF(B147="", "", 'Lighting Inventory (Ref only)'!K158)</f>
        <v/>
      </c>
      <c r="W147" s="373" t="str">
        <f>IF(B147="","",('Lighting Inventory (Ref only)'!L158/1000))</f>
        <v/>
      </c>
      <c r="X147" s="298" t="str">
        <f>IF(B147="", "", 'Lighting Inventory (Ref only)'!Q158)</f>
        <v/>
      </c>
      <c r="Y147" s="298" t="str">
        <f>IF(C147="", "", Inventory!N155)</f>
        <v/>
      </c>
      <c r="Z147" s="374" t="str">
        <f>IF(B147="", "", 'Lighting Inventory (Ref only)'!P158)</f>
        <v/>
      </c>
      <c r="AA147" s="372" t="str">
        <f>IF(B147="", "",'Lighting Inventory (Ref only)'!R158/1000)</f>
        <v/>
      </c>
      <c r="AB147" s="372" t="str">
        <f>IF(B147="", "", Inventory!M155)</f>
        <v/>
      </c>
      <c r="AC147" s="374" t="str">
        <f>IF(B147="", "", 'Lighting Inventory (Ref only)'!T158)</f>
        <v/>
      </c>
      <c r="AD147" s="374" t="str">
        <f>IF(C147="", "", 'Lighting Inventory (Ref only)'!AA158)</f>
        <v/>
      </c>
      <c r="AE147" s="375" t="str">
        <f>IF(B147="", "", 'Lighting Inventory (Ref only)'!U158)</f>
        <v/>
      </c>
      <c r="AF147" s="375" t="str">
        <f>IF(B147="", "",'Lighting Inventory (Ref only)'!W158)</f>
        <v/>
      </c>
      <c r="AG147" s="375" t="str">
        <f>IF(B147="", "", 'Lighting Inventory (Ref only)'!V158)</f>
        <v/>
      </c>
      <c r="AH147" s="375" t="str">
        <f>IF(B147="", "",'Lighting Inventory (Ref only)'!Z158)</f>
        <v/>
      </c>
      <c r="AI147" s="375" t="str">
        <f>IF(B147="", "", 'Lighting Inventory (Ref only)'!Y158)</f>
        <v/>
      </c>
      <c r="AJ147" s="375" t="str">
        <f>IF(C147="", "",'Lighting Inventory (Ref only)'!AB158)</f>
        <v/>
      </c>
      <c r="AK147" s="375" t="str">
        <f>IF(B147="", "", 'Lighting Inventory (Ref only)'!AG158)</f>
        <v/>
      </c>
      <c r="AL147" s="375" t="str">
        <f>IF(B147="", "", 'Lighting Inventory (Ref only)'!AD158)</f>
        <v/>
      </c>
      <c r="AM147" s="375" t="str">
        <f>IF(B147="", "", 'Lighting Inventory (Ref only)'!AE158)</f>
        <v/>
      </c>
      <c r="AN147" s="375" t="str">
        <f>IF(B147="", "", 'Lighting Inventory (Ref only)'!AF158)</f>
        <v/>
      </c>
      <c r="AO147" s="375" t="str">
        <f>IF(B147="", "", 'Lighting Inventory (Ref only)'!AG158)</f>
        <v/>
      </c>
    </row>
    <row r="148" spans="1:41">
      <c r="A148" s="298" t="str">
        <f>IF(G148="", "", Lookups!BF150)</f>
        <v/>
      </c>
      <c r="B148" s="298" t="str">
        <f>IF('Lighting Inventory (Ref only)'!Q159="", "", 'Lighting Inventory (Ref only)'!Q159)</f>
        <v/>
      </c>
      <c r="C148" s="298" t="str">
        <f>IF(A148="", "", 'Lighting Inventory (Ref only)'!AO159)</f>
        <v/>
      </c>
      <c r="D148" s="370" t="str">
        <f>IF(B148= "","", Inventory!S156)</f>
        <v/>
      </c>
      <c r="E148" s="371"/>
      <c r="F148" s="298" t="str">
        <f>IF(B148="", "", 'Version Log'!$B$34)</f>
        <v/>
      </c>
      <c r="G148" s="298" t="str">
        <f t="shared" si="8"/>
        <v/>
      </c>
      <c r="H148" s="298" t="str">
        <f t="shared" si="9"/>
        <v/>
      </c>
      <c r="I148" s="298" t="str">
        <f>IF(B148="", "",Inventory!D156)</f>
        <v/>
      </c>
      <c r="J148" s="298" t="str">
        <f>IF(B148="","",IF(Inventory!C156="N","Interior","Exterior"))</f>
        <v/>
      </c>
      <c r="K148" s="298" t="str">
        <f t="shared" si="10"/>
        <v/>
      </c>
      <c r="L148" s="298" t="str">
        <f>IF(B148="", "", Inventory!E156)</f>
        <v/>
      </c>
      <c r="M148" s="298" t="str">
        <f>IF(B148="","",IF(Cool_Type=Lookups!$L$9,Cool_Type,IF(Cool_Type=Lookups!$L$10,Cool_Type,IF(Cool_Type=Lookups!$L$11,Cool_Type,IF(Cool_Type=Lookups!L158,Cool_Type,IF('Project Info and Summary'!$C$20="Electric",CONCATENATE(Cool_Type," ",Heating_Type," Heat"),IF('Project Info and Summary'!$C$20="Non-Electric",CONCATENATE(Cool_Type," ",Heating_Type," Heat"),CONCATENATE(Cool_Type," ",Heating_Type))))))))</f>
        <v/>
      </c>
      <c r="N148" s="298" t="str">
        <f t="shared" si="11"/>
        <v/>
      </c>
      <c r="O148" s="298" t="str">
        <f>IF(B148="", "", 'Lighting Inventory (Ref only)'!G159)</f>
        <v/>
      </c>
      <c r="P148" s="298" t="str">
        <f>IF(B148="", "", 'Lighting Inventory (Ref only)'!E159)</f>
        <v/>
      </c>
      <c r="Q148" s="298" t="str">
        <f>IF(B148="", "", 'Lighting Inventory (Ref only)'!J159)</f>
        <v/>
      </c>
      <c r="R148" s="298" t="str">
        <f>IF(B148="", "",'Lighting Inventory (Ref only)'!K159)</f>
        <v/>
      </c>
      <c r="S148" s="372" t="str">
        <f>IF(B148="", "", 'Lighting Inventory (Ref only)'!G159*'Lighting Inventory (Ref only)'!K159/1000)</f>
        <v/>
      </c>
      <c r="T148" s="298" t="str">
        <f>IF(B148="", "", IF('Lighting Inventory (Ref only)'!I159="", "Light Switch",Inventory!H156))</f>
        <v/>
      </c>
      <c r="U148" s="298" t="str">
        <f>IF(B148="", "", 'Lighting Inventory (Ref only)'!Q159)</f>
        <v/>
      </c>
      <c r="V148" s="298" t="str">
        <f>IF(B148="", "", 'Lighting Inventory (Ref only)'!K159)</f>
        <v/>
      </c>
      <c r="W148" s="373" t="str">
        <f>IF(B148="","",('Lighting Inventory (Ref only)'!L159/1000))</f>
        <v/>
      </c>
      <c r="X148" s="298" t="str">
        <f>IF(B148="", "", 'Lighting Inventory (Ref only)'!Q159)</f>
        <v/>
      </c>
      <c r="Y148" s="298" t="str">
        <f>IF(C148="", "", Inventory!N156)</f>
        <v/>
      </c>
      <c r="Z148" s="374" t="str">
        <f>IF(B148="", "", 'Lighting Inventory (Ref only)'!P159)</f>
        <v/>
      </c>
      <c r="AA148" s="372" t="str">
        <f>IF(B148="", "",'Lighting Inventory (Ref only)'!R159/1000)</f>
        <v/>
      </c>
      <c r="AB148" s="372" t="str">
        <f>IF(B148="", "", Inventory!M156)</f>
        <v/>
      </c>
      <c r="AC148" s="374" t="str">
        <f>IF(B148="", "", 'Lighting Inventory (Ref only)'!T159)</f>
        <v/>
      </c>
      <c r="AD148" s="374" t="str">
        <f>IF(C148="", "", 'Lighting Inventory (Ref only)'!AA159)</f>
        <v/>
      </c>
      <c r="AE148" s="375" t="str">
        <f>IF(B148="", "", 'Lighting Inventory (Ref only)'!U159)</f>
        <v/>
      </c>
      <c r="AF148" s="375" t="str">
        <f>IF(B148="", "",'Lighting Inventory (Ref only)'!W159)</f>
        <v/>
      </c>
      <c r="AG148" s="375" t="str">
        <f>IF(B148="", "", 'Lighting Inventory (Ref only)'!V159)</f>
        <v/>
      </c>
      <c r="AH148" s="375" t="str">
        <f>IF(B148="", "",'Lighting Inventory (Ref only)'!Z159)</f>
        <v/>
      </c>
      <c r="AI148" s="375" t="str">
        <f>IF(B148="", "", 'Lighting Inventory (Ref only)'!Y159)</f>
        <v/>
      </c>
      <c r="AJ148" s="375" t="str">
        <f>IF(C148="", "",'Lighting Inventory (Ref only)'!AB159)</f>
        <v/>
      </c>
      <c r="AK148" s="375" t="str">
        <f>IF(B148="", "", 'Lighting Inventory (Ref only)'!AG159)</f>
        <v/>
      </c>
      <c r="AL148" s="375" t="str">
        <f>IF(B148="", "", 'Lighting Inventory (Ref only)'!AD159)</f>
        <v/>
      </c>
      <c r="AM148" s="375" t="str">
        <f>IF(B148="", "", 'Lighting Inventory (Ref only)'!AE159)</f>
        <v/>
      </c>
      <c r="AN148" s="375" t="str">
        <f>IF(B148="", "", 'Lighting Inventory (Ref only)'!AF159)</f>
        <v/>
      </c>
      <c r="AO148" s="375" t="str">
        <f>IF(B148="", "", 'Lighting Inventory (Ref only)'!AG159)</f>
        <v/>
      </c>
    </row>
    <row r="149" spans="1:41">
      <c r="A149" s="298" t="str">
        <f>IF(G149="", "", Lookups!BF151)</f>
        <v/>
      </c>
      <c r="B149" s="298" t="str">
        <f>IF('Lighting Inventory (Ref only)'!Q160="", "", 'Lighting Inventory (Ref only)'!Q160)</f>
        <v/>
      </c>
      <c r="C149" s="298" t="str">
        <f>IF(A149="", "", 'Lighting Inventory (Ref only)'!AO160)</f>
        <v/>
      </c>
      <c r="D149" s="370" t="str">
        <f>IF(B149= "","", Inventory!S157)</f>
        <v/>
      </c>
      <c r="E149" s="371"/>
      <c r="F149" s="298" t="str">
        <f>IF(B149="", "", 'Version Log'!$B$34)</f>
        <v/>
      </c>
      <c r="G149" s="298" t="str">
        <f t="shared" si="8"/>
        <v/>
      </c>
      <c r="H149" s="298" t="str">
        <f t="shared" si="9"/>
        <v/>
      </c>
      <c r="I149" s="298" t="str">
        <f>IF(B149="", "",Inventory!D157)</f>
        <v/>
      </c>
      <c r="J149" s="298" t="str">
        <f>IF(B149="","",IF(Inventory!C157="N","Interior","Exterior"))</f>
        <v/>
      </c>
      <c r="K149" s="298" t="str">
        <f t="shared" si="10"/>
        <v/>
      </c>
      <c r="L149" s="298" t="str">
        <f>IF(B149="", "", Inventory!E157)</f>
        <v/>
      </c>
      <c r="M149" s="298" t="str">
        <f>IF(B149="","",IF(Cool_Type=Lookups!$L$9,Cool_Type,IF(Cool_Type=Lookups!$L$10,Cool_Type,IF(Cool_Type=Lookups!$L$11,Cool_Type,IF(Cool_Type=Lookups!L159,Cool_Type,IF('Project Info and Summary'!$C$20="Electric",CONCATENATE(Cool_Type," ",Heating_Type," Heat"),IF('Project Info and Summary'!$C$20="Non-Electric",CONCATENATE(Cool_Type," ",Heating_Type," Heat"),CONCATENATE(Cool_Type," ",Heating_Type))))))))</f>
        <v/>
      </c>
      <c r="N149" s="298" t="str">
        <f t="shared" si="11"/>
        <v/>
      </c>
      <c r="O149" s="298" t="str">
        <f>IF(B149="", "", 'Lighting Inventory (Ref only)'!G160)</f>
        <v/>
      </c>
      <c r="P149" s="298" t="str">
        <f>IF(B149="", "", 'Lighting Inventory (Ref only)'!E160)</f>
        <v/>
      </c>
      <c r="Q149" s="298" t="str">
        <f>IF(B149="", "", 'Lighting Inventory (Ref only)'!J160)</f>
        <v/>
      </c>
      <c r="R149" s="298" t="str">
        <f>IF(B149="", "",'Lighting Inventory (Ref only)'!K160)</f>
        <v/>
      </c>
      <c r="S149" s="372" t="str">
        <f>IF(B149="", "", 'Lighting Inventory (Ref only)'!G160*'Lighting Inventory (Ref only)'!K160/1000)</f>
        <v/>
      </c>
      <c r="T149" s="298" t="str">
        <f>IF(B149="", "", IF('Lighting Inventory (Ref only)'!I160="", "Light Switch",Inventory!H157))</f>
        <v/>
      </c>
      <c r="U149" s="298" t="str">
        <f>IF(B149="", "", 'Lighting Inventory (Ref only)'!Q160)</f>
        <v/>
      </c>
      <c r="V149" s="298" t="str">
        <f>IF(B149="", "", 'Lighting Inventory (Ref only)'!K160)</f>
        <v/>
      </c>
      <c r="W149" s="373" t="str">
        <f>IF(B149="","",('Lighting Inventory (Ref only)'!L160/1000))</f>
        <v/>
      </c>
      <c r="X149" s="298" t="str">
        <f>IF(B149="", "", 'Lighting Inventory (Ref only)'!Q160)</f>
        <v/>
      </c>
      <c r="Y149" s="298" t="str">
        <f>IF(C149="", "", Inventory!N157)</f>
        <v/>
      </c>
      <c r="Z149" s="374" t="str">
        <f>IF(B149="", "", 'Lighting Inventory (Ref only)'!P160)</f>
        <v/>
      </c>
      <c r="AA149" s="372" t="str">
        <f>IF(B149="", "",'Lighting Inventory (Ref only)'!R160/1000)</f>
        <v/>
      </c>
      <c r="AB149" s="372" t="str">
        <f>IF(B149="", "", Inventory!M157)</f>
        <v/>
      </c>
      <c r="AC149" s="374" t="str">
        <f>IF(B149="", "", 'Lighting Inventory (Ref only)'!T160)</f>
        <v/>
      </c>
      <c r="AD149" s="374" t="str">
        <f>IF(C149="", "", 'Lighting Inventory (Ref only)'!AA160)</f>
        <v/>
      </c>
      <c r="AE149" s="375" t="str">
        <f>IF(B149="", "", 'Lighting Inventory (Ref only)'!U160)</f>
        <v/>
      </c>
      <c r="AF149" s="375" t="str">
        <f>IF(B149="", "",'Lighting Inventory (Ref only)'!W160)</f>
        <v/>
      </c>
      <c r="AG149" s="375" t="str">
        <f>IF(B149="", "", 'Lighting Inventory (Ref only)'!V160)</f>
        <v/>
      </c>
      <c r="AH149" s="375" t="str">
        <f>IF(B149="", "",'Lighting Inventory (Ref only)'!Z160)</f>
        <v/>
      </c>
      <c r="AI149" s="375" t="str">
        <f>IF(B149="", "", 'Lighting Inventory (Ref only)'!Y160)</f>
        <v/>
      </c>
      <c r="AJ149" s="375" t="str">
        <f>IF(C149="", "",'Lighting Inventory (Ref only)'!AB160)</f>
        <v/>
      </c>
      <c r="AK149" s="375" t="str">
        <f>IF(B149="", "", 'Lighting Inventory (Ref only)'!AG160)</f>
        <v/>
      </c>
      <c r="AL149" s="375" t="str">
        <f>IF(B149="", "", 'Lighting Inventory (Ref only)'!AD160)</f>
        <v/>
      </c>
      <c r="AM149" s="375" t="str">
        <f>IF(B149="", "", 'Lighting Inventory (Ref only)'!AE160)</f>
        <v/>
      </c>
      <c r="AN149" s="375" t="str">
        <f>IF(B149="", "", 'Lighting Inventory (Ref only)'!AF160)</f>
        <v/>
      </c>
      <c r="AO149" s="375" t="str">
        <f>IF(B149="", "", 'Lighting Inventory (Ref only)'!AG160)</f>
        <v/>
      </c>
    </row>
    <row r="150" spans="1:41">
      <c r="A150" s="298" t="str">
        <f>IF(G150="", "", Lookups!BF152)</f>
        <v/>
      </c>
      <c r="B150" s="298" t="str">
        <f>IF('Lighting Inventory (Ref only)'!Q161="", "", 'Lighting Inventory (Ref only)'!Q161)</f>
        <v/>
      </c>
      <c r="C150" s="298" t="str">
        <f>IF(A150="", "", 'Lighting Inventory (Ref only)'!AO161)</f>
        <v/>
      </c>
      <c r="D150" s="370" t="str">
        <f>IF(B150= "","", Inventory!S158)</f>
        <v/>
      </c>
      <c r="E150" s="371"/>
      <c r="F150" s="298" t="str">
        <f>IF(B150="", "", 'Version Log'!$B$34)</f>
        <v/>
      </c>
      <c r="G150" s="298" t="str">
        <f t="shared" si="8"/>
        <v/>
      </c>
      <c r="H150" s="298" t="str">
        <f t="shared" si="9"/>
        <v/>
      </c>
      <c r="I150" s="298" t="str">
        <f>IF(B150="", "",Inventory!D158)</f>
        <v/>
      </c>
      <c r="J150" s="298" t="str">
        <f>IF(B150="","",IF(Inventory!C158="N","Interior","Exterior"))</f>
        <v/>
      </c>
      <c r="K150" s="298" t="str">
        <f t="shared" si="10"/>
        <v/>
      </c>
      <c r="L150" s="298" t="str">
        <f>IF(B150="", "", Inventory!E158)</f>
        <v/>
      </c>
      <c r="M150" s="298" t="str">
        <f>IF(B150="","",IF(Cool_Type=Lookups!$L$9,Cool_Type,IF(Cool_Type=Lookups!$L$10,Cool_Type,IF(Cool_Type=Lookups!$L$11,Cool_Type,IF(Cool_Type=Lookups!L160,Cool_Type,IF('Project Info and Summary'!$C$20="Electric",CONCATENATE(Cool_Type," ",Heating_Type," Heat"),IF('Project Info and Summary'!$C$20="Non-Electric",CONCATENATE(Cool_Type," ",Heating_Type," Heat"),CONCATENATE(Cool_Type," ",Heating_Type))))))))</f>
        <v/>
      </c>
      <c r="N150" s="298" t="str">
        <f t="shared" si="11"/>
        <v/>
      </c>
      <c r="O150" s="298" t="str">
        <f>IF(B150="", "", 'Lighting Inventory (Ref only)'!G161)</f>
        <v/>
      </c>
      <c r="P150" s="298" t="str">
        <f>IF(B150="", "", 'Lighting Inventory (Ref only)'!E161)</f>
        <v/>
      </c>
      <c r="Q150" s="298" t="str">
        <f>IF(B150="", "", 'Lighting Inventory (Ref only)'!J161)</f>
        <v/>
      </c>
      <c r="R150" s="298" t="str">
        <f>IF(B150="", "",'Lighting Inventory (Ref only)'!K161)</f>
        <v/>
      </c>
      <c r="S150" s="372" t="str">
        <f>IF(B150="", "", 'Lighting Inventory (Ref only)'!G161*'Lighting Inventory (Ref only)'!K161/1000)</f>
        <v/>
      </c>
      <c r="T150" s="298" t="str">
        <f>IF(B150="", "", IF('Lighting Inventory (Ref only)'!I161="", "Light Switch",Inventory!H158))</f>
        <v/>
      </c>
      <c r="U150" s="298" t="str">
        <f>IF(B150="", "", 'Lighting Inventory (Ref only)'!Q161)</f>
        <v/>
      </c>
      <c r="V150" s="298" t="str">
        <f>IF(B150="", "", 'Lighting Inventory (Ref only)'!K161)</f>
        <v/>
      </c>
      <c r="W150" s="373" t="str">
        <f>IF(B150="","",('Lighting Inventory (Ref only)'!L161/1000))</f>
        <v/>
      </c>
      <c r="X150" s="298" t="str">
        <f>IF(B150="", "", 'Lighting Inventory (Ref only)'!Q161)</f>
        <v/>
      </c>
      <c r="Y150" s="298" t="str">
        <f>IF(C150="", "", Inventory!N158)</f>
        <v/>
      </c>
      <c r="Z150" s="374" t="str">
        <f>IF(B150="", "", 'Lighting Inventory (Ref only)'!P161)</f>
        <v/>
      </c>
      <c r="AA150" s="372" t="str">
        <f>IF(B150="", "",'Lighting Inventory (Ref only)'!R161/1000)</f>
        <v/>
      </c>
      <c r="AB150" s="372" t="str">
        <f>IF(B150="", "", Inventory!M158)</f>
        <v/>
      </c>
      <c r="AC150" s="374" t="str">
        <f>IF(B150="", "", 'Lighting Inventory (Ref only)'!T161)</f>
        <v/>
      </c>
      <c r="AD150" s="374" t="str">
        <f>IF(C150="", "", 'Lighting Inventory (Ref only)'!AA161)</f>
        <v/>
      </c>
      <c r="AE150" s="375" t="str">
        <f>IF(B150="", "", 'Lighting Inventory (Ref only)'!U161)</f>
        <v/>
      </c>
      <c r="AF150" s="375" t="str">
        <f>IF(B150="", "",'Lighting Inventory (Ref only)'!W161)</f>
        <v/>
      </c>
      <c r="AG150" s="375" t="str">
        <f>IF(B150="", "", 'Lighting Inventory (Ref only)'!V161)</f>
        <v/>
      </c>
      <c r="AH150" s="375" t="str">
        <f>IF(B150="", "",'Lighting Inventory (Ref only)'!Z161)</f>
        <v/>
      </c>
      <c r="AI150" s="375" t="str">
        <f>IF(B150="", "", 'Lighting Inventory (Ref only)'!Y161)</f>
        <v/>
      </c>
      <c r="AJ150" s="375" t="str">
        <f>IF(C150="", "",'Lighting Inventory (Ref only)'!AB161)</f>
        <v/>
      </c>
      <c r="AK150" s="375" t="str">
        <f>IF(B150="", "", 'Lighting Inventory (Ref only)'!AG161)</f>
        <v/>
      </c>
      <c r="AL150" s="375" t="str">
        <f>IF(B150="", "", 'Lighting Inventory (Ref only)'!AD161)</f>
        <v/>
      </c>
      <c r="AM150" s="375" t="str">
        <f>IF(B150="", "", 'Lighting Inventory (Ref only)'!AE161)</f>
        <v/>
      </c>
      <c r="AN150" s="375" t="str">
        <f>IF(B150="", "", 'Lighting Inventory (Ref only)'!AF161)</f>
        <v/>
      </c>
      <c r="AO150" s="375" t="str">
        <f>IF(B150="", "", 'Lighting Inventory (Ref only)'!AG161)</f>
        <v/>
      </c>
    </row>
    <row r="151" spans="1:41">
      <c r="A151" s="298" t="str">
        <f>IF(G151="", "", Lookups!BF153)</f>
        <v/>
      </c>
      <c r="B151" s="298" t="str">
        <f>IF('Lighting Inventory (Ref only)'!Q162="", "", 'Lighting Inventory (Ref only)'!Q162)</f>
        <v/>
      </c>
      <c r="C151" s="298" t="str">
        <f>IF(A151="", "", 'Lighting Inventory (Ref only)'!AO162)</f>
        <v/>
      </c>
      <c r="D151" s="370" t="str">
        <f>IF(B151= "","", Inventory!S159)</f>
        <v/>
      </c>
      <c r="E151" s="371"/>
      <c r="F151" s="298" t="str">
        <f>IF(B151="", "", 'Version Log'!$B$34)</f>
        <v/>
      </c>
      <c r="G151" s="298" t="str">
        <f t="shared" si="8"/>
        <v/>
      </c>
      <c r="H151" s="298" t="str">
        <f t="shared" si="9"/>
        <v/>
      </c>
      <c r="I151" s="298" t="str">
        <f>IF(B151="", "",Inventory!D159)</f>
        <v/>
      </c>
      <c r="J151" s="298" t="str">
        <f>IF(B151="","",IF(Inventory!C159="N","Interior","Exterior"))</f>
        <v/>
      </c>
      <c r="K151" s="298" t="str">
        <f t="shared" si="10"/>
        <v/>
      </c>
      <c r="L151" s="298" t="str">
        <f>IF(B151="", "", Inventory!E159)</f>
        <v/>
      </c>
      <c r="M151" s="298" t="str">
        <f>IF(B151="","",IF(Cool_Type=Lookups!$L$9,Cool_Type,IF(Cool_Type=Lookups!$L$10,Cool_Type,IF(Cool_Type=Lookups!$L$11,Cool_Type,IF(Cool_Type=Lookups!L161,Cool_Type,IF('Project Info and Summary'!$C$20="Electric",CONCATENATE(Cool_Type," ",Heating_Type," Heat"),IF('Project Info and Summary'!$C$20="Non-Electric",CONCATENATE(Cool_Type," ",Heating_Type," Heat"),CONCATENATE(Cool_Type," ",Heating_Type))))))))</f>
        <v/>
      </c>
      <c r="N151" s="298" t="str">
        <f t="shared" si="11"/>
        <v/>
      </c>
      <c r="O151" s="298" t="str">
        <f>IF(B151="", "", 'Lighting Inventory (Ref only)'!G162)</f>
        <v/>
      </c>
      <c r="P151" s="298" t="str">
        <f>IF(B151="", "", 'Lighting Inventory (Ref only)'!E162)</f>
        <v/>
      </c>
      <c r="Q151" s="298" t="str">
        <f>IF(B151="", "", 'Lighting Inventory (Ref only)'!J162)</f>
        <v/>
      </c>
      <c r="R151" s="298" t="str">
        <f>IF(B151="", "",'Lighting Inventory (Ref only)'!K162)</f>
        <v/>
      </c>
      <c r="S151" s="372" t="str">
        <f>IF(B151="", "", 'Lighting Inventory (Ref only)'!G162*'Lighting Inventory (Ref only)'!K162/1000)</f>
        <v/>
      </c>
      <c r="T151" s="298" t="str">
        <f>IF(B151="", "", IF('Lighting Inventory (Ref only)'!I162="", "Light Switch",Inventory!H159))</f>
        <v/>
      </c>
      <c r="U151" s="298" t="str">
        <f>IF(B151="", "", 'Lighting Inventory (Ref only)'!Q162)</f>
        <v/>
      </c>
      <c r="V151" s="298" t="str">
        <f>IF(B151="", "", 'Lighting Inventory (Ref only)'!K162)</f>
        <v/>
      </c>
      <c r="W151" s="373" t="str">
        <f>IF(B151="","",('Lighting Inventory (Ref only)'!L162/1000))</f>
        <v/>
      </c>
      <c r="X151" s="298" t="str">
        <f>IF(B151="", "", 'Lighting Inventory (Ref only)'!Q162)</f>
        <v/>
      </c>
      <c r="Y151" s="298" t="str">
        <f>IF(C151="", "", Inventory!N159)</f>
        <v/>
      </c>
      <c r="Z151" s="374" t="str">
        <f>IF(B151="", "", 'Lighting Inventory (Ref only)'!P162)</f>
        <v/>
      </c>
      <c r="AA151" s="372" t="str">
        <f>IF(B151="", "",'Lighting Inventory (Ref only)'!R162/1000)</f>
        <v/>
      </c>
      <c r="AB151" s="372" t="str">
        <f>IF(B151="", "", Inventory!M159)</f>
        <v/>
      </c>
      <c r="AC151" s="374" t="str">
        <f>IF(B151="", "", 'Lighting Inventory (Ref only)'!T162)</f>
        <v/>
      </c>
      <c r="AD151" s="374" t="str">
        <f>IF(C151="", "", 'Lighting Inventory (Ref only)'!AA162)</f>
        <v/>
      </c>
      <c r="AE151" s="375" t="str">
        <f>IF(B151="", "", 'Lighting Inventory (Ref only)'!U162)</f>
        <v/>
      </c>
      <c r="AF151" s="375" t="str">
        <f>IF(B151="", "",'Lighting Inventory (Ref only)'!W162)</f>
        <v/>
      </c>
      <c r="AG151" s="375" t="str">
        <f>IF(B151="", "", 'Lighting Inventory (Ref only)'!V162)</f>
        <v/>
      </c>
      <c r="AH151" s="375" t="str">
        <f>IF(B151="", "",'Lighting Inventory (Ref only)'!Z162)</f>
        <v/>
      </c>
      <c r="AI151" s="375" t="str">
        <f>IF(B151="", "", 'Lighting Inventory (Ref only)'!Y162)</f>
        <v/>
      </c>
      <c r="AJ151" s="375" t="str">
        <f>IF(C151="", "",'Lighting Inventory (Ref only)'!AB162)</f>
        <v/>
      </c>
      <c r="AK151" s="375" t="str">
        <f>IF(B151="", "", 'Lighting Inventory (Ref only)'!AG162)</f>
        <v/>
      </c>
      <c r="AL151" s="375" t="str">
        <f>IF(B151="", "", 'Lighting Inventory (Ref only)'!AD162)</f>
        <v/>
      </c>
      <c r="AM151" s="375" t="str">
        <f>IF(B151="", "", 'Lighting Inventory (Ref only)'!AE162)</f>
        <v/>
      </c>
      <c r="AN151" s="375" t="str">
        <f>IF(B151="", "", 'Lighting Inventory (Ref only)'!AF162)</f>
        <v/>
      </c>
      <c r="AO151" s="375" t="str">
        <f>IF(B151="", "", 'Lighting Inventory (Ref only)'!AG162)</f>
        <v/>
      </c>
    </row>
    <row r="152" spans="1:41">
      <c r="A152" s="298" t="str">
        <f>IF(G152="", "", Lookups!BF154)</f>
        <v/>
      </c>
      <c r="B152" s="298" t="str">
        <f>IF('Lighting Inventory (Ref only)'!Q163="", "", 'Lighting Inventory (Ref only)'!Q163)</f>
        <v/>
      </c>
      <c r="C152" s="298" t="str">
        <f>IF(A152="", "", 'Lighting Inventory (Ref only)'!AO163)</f>
        <v/>
      </c>
      <c r="D152" s="370" t="str">
        <f>IF(B152= "","", Inventory!S160)</f>
        <v/>
      </c>
      <c r="E152" s="371"/>
      <c r="F152" s="298" t="str">
        <f>IF(B152="", "", 'Version Log'!$B$34)</f>
        <v/>
      </c>
      <c r="G152" s="298" t="str">
        <f t="shared" si="8"/>
        <v/>
      </c>
      <c r="H152" s="298" t="str">
        <f t="shared" si="9"/>
        <v/>
      </c>
      <c r="I152" s="298" t="str">
        <f>IF(B152="", "",Inventory!D160)</f>
        <v/>
      </c>
      <c r="J152" s="298" t="str">
        <f>IF(B152="","",IF(Inventory!C160="N","Interior","Exterior"))</f>
        <v/>
      </c>
      <c r="K152" s="298" t="str">
        <f t="shared" si="10"/>
        <v/>
      </c>
      <c r="L152" s="298" t="str">
        <f>IF(B152="", "", Inventory!E160)</f>
        <v/>
      </c>
      <c r="M152" s="298" t="str">
        <f>IF(B152="","",IF(Cool_Type=Lookups!$L$9,Cool_Type,IF(Cool_Type=Lookups!$L$10,Cool_Type,IF(Cool_Type=Lookups!$L$11,Cool_Type,IF(Cool_Type=Lookups!L162,Cool_Type,IF('Project Info and Summary'!$C$20="Electric",CONCATENATE(Cool_Type," ",Heating_Type," Heat"),IF('Project Info and Summary'!$C$20="Non-Electric",CONCATENATE(Cool_Type," ",Heating_Type," Heat"),CONCATENATE(Cool_Type," ",Heating_Type))))))))</f>
        <v/>
      </c>
      <c r="N152" s="298" t="str">
        <f t="shared" si="11"/>
        <v/>
      </c>
      <c r="O152" s="298" t="str">
        <f>IF(B152="", "", 'Lighting Inventory (Ref only)'!G163)</f>
        <v/>
      </c>
      <c r="P152" s="298" t="str">
        <f>IF(B152="", "", 'Lighting Inventory (Ref only)'!E163)</f>
        <v/>
      </c>
      <c r="Q152" s="298" t="str">
        <f>IF(B152="", "", 'Lighting Inventory (Ref only)'!J163)</f>
        <v/>
      </c>
      <c r="R152" s="298" t="str">
        <f>IF(B152="", "",'Lighting Inventory (Ref only)'!K163)</f>
        <v/>
      </c>
      <c r="S152" s="372" t="str">
        <f>IF(B152="", "", 'Lighting Inventory (Ref only)'!G163*'Lighting Inventory (Ref only)'!K163/1000)</f>
        <v/>
      </c>
      <c r="T152" s="298" t="str">
        <f>IF(B152="", "", IF('Lighting Inventory (Ref only)'!I163="", "Light Switch",Inventory!H160))</f>
        <v/>
      </c>
      <c r="U152" s="298" t="str">
        <f>IF(B152="", "", 'Lighting Inventory (Ref only)'!Q163)</f>
        <v/>
      </c>
      <c r="V152" s="298" t="str">
        <f>IF(B152="", "", 'Lighting Inventory (Ref only)'!K163)</f>
        <v/>
      </c>
      <c r="W152" s="373" t="str">
        <f>IF(B152="","",('Lighting Inventory (Ref only)'!L163/1000))</f>
        <v/>
      </c>
      <c r="X152" s="298" t="str">
        <f>IF(B152="", "", 'Lighting Inventory (Ref only)'!Q163)</f>
        <v/>
      </c>
      <c r="Y152" s="298" t="str">
        <f>IF(C152="", "", Inventory!N160)</f>
        <v/>
      </c>
      <c r="Z152" s="374" t="str">
        <f>IF(B152="", "", 'Lighting Inventory (Ref only)'!P163)</f>
        <v/>
      </c>
      <c r="AA152" s="372" t="str">
        <f>IF(B152="", "",'Lighting Inventory (Ref only)'!R163/1000)</f>
        <v/>
      </c>
      <c r="AB152" s="372" t="str">
        <f>IF(B152="", "", Inventory!M160)</f>
        <v/>
      </c>
      <c r="AC152" s="374" t="str">
        <f>IF(B152="", "", 'Lighting Inventory (Ref only)'!T163)</f>
        <v/>
      </c>
      <c r="AD152" s="374" t="str">
        <f>IF(C152="", "", 'Lighting Inventory (Ref only)'!AA163)</f>
        <v/>
      </c>
      <c r="AE152" s="375" t="str">
        <f>IF(B152="", "", 'Lighting Inventory (Ref only)'!U163)</f>
        <v/>
      </c>
      <c r="AF152" s="375" t="str">
        <f>IF(B152="", "",'Lighting Inventory (Ref only)'!W163)</f>
        <v/>
      </c>
      <c r="AG152" s="375" t="str">
        <f>IF(B152="", "", 'Lighting Inventory (Ref only)'!V163)</f>
        <v/>
      </c>
      <c r="AH152" s="375" t="str">
        <f>IF(B152="", "",'Lighting Inventory (Ref only)'!Z163)</f>
        <v/>
      </c>
      <c r="AI152" s="375" t="str">
        <f>IF(B152="", "", 'Lighting Inventory (Ref only)'!Y163)</f>
        <v/>
      </c>
      <c r="AJ152" s="375" t="str">
        <f>IF(C152="", "",'Lighting Inventory (Ref only)'!AB163)</f>
        <v/>
      </c>
      <c r="AK152" s="375" t="str">
        <f>IF(B152="", "", 'Lighting Inventory (Ref only)'!AG163)</f>
        <v/>
      </c>
      <c r="AL152" s="375" t="str">
        <f>IF(B152="", "", 'Lighting Inventory (Ref only)'!AD163)</f>
        <v/>
      </c>
      <c r="AM152" s="375" t="str">
        <f>IF(B152="", "", 'Lighting Inventory (Ref only)'!AE163)</f>
        <v/>
      </c>
      <c r="AN152" s="375" t="str">
        <f>IF(B152="", "", 'Lighting Inventory (Ref only)'!AF163)</f>
        <v/>
      </c>
      <c r="AO152" s="375" t="str">
        <f>IF(B152="", "", 'Lighting Inventory (Ref only)'!AG163)</f>
        <v/>
      </c>
    </row>
    <row r="153" spans="1:41">
      <c r="A153" s="298" t="str">
        <f>IF(G153="", "", Lookups!BF155)</f>
        <v/>
      </c>
      <c r="B153" s="298" t="str">
        <f>IF('Lighting Inventory (Ref only)'!Q164="", "", 'Lighting Inventory (Ref only)'!Q164)</f>
        <v/>
      </c>
      <c r="C153" s="298" t="str">
        <f>IF(A153="", "", 'Lighting Inventory (Ref only)'!AO164)</f>
        <v/>
      </c>
      <c r="D153" s="370" t="str">
        <f>IF(B153= "","", Inventory!S161)</f>
        <v/>
      </c>
      <c r="E153" s="371"/>
      <c r="F153" s="298" t="str">
        <f>IF(B153="", "", 'Version Log'!$B$34)</f>
        <v/>
      </c>
      <c r="G153" s="298" t="str">
        <f t="shared" si="8"/>
        <v/>
      </c>
      <c r="H153" s="298" t="str">
        <f t="shared" si="9"/>
        <v/>
      </c>
      <c r="I153" s="298" t="str">
        <f>IF(B153="", "",Inventory!D161)</f>
        <v/>
      </c>
      <c r="J153" s="298" t="str">
        <f>IF(B153="","",IF(Inventory!C161="N","Interior","Exterior"))</f>
        <v/>
      </c>
      <c r="K153" s="298" t="str">
        <f t="shared" si="10"/>
        <v/>
      </c>
      <c r="L153" s="298" t="str">
        <f>IF(B153="", "", Inventory!E161)</f>
        <v/>
      </c>
      <c r="M153" s="298" t="str">
        <f>IF(B153="","",IF(Cool_Type=Lookups!$L$9,Cool_Type,IF(Cool_Type=Lookups!$L$10,Cool_Type,IF(Cool_Type=Lookups!$L$11,Cool_Type,IF(Cool_Type=Lookups!L163,Cool_Type,IF('Project Info and Summary'!$C$20="Electric",CONCATENATE(Cool_Type," ",Heating_Type," Heat"),IF('Project Info and Summary'!$C$20="Non-Electric",CONCATENATE(Cool_Type," ",Heating_Type," Heat"),CONCATENATE(Cool_Type," ",Heating_Type))))))))</f>
        <v/>
      </c>
      <c r="N153" s="298" t="str">
        <f t="shared" si="11"/>
        <v/>
      </c>
      <c r="O153" s="298" t="str">
        <f>IF(B153="", "", 'Lighting Inventory (Ref only)'!G164)</f>
        <v/>
      </c>
      <c r="P153" s="298" t="str">
        <f>IF(B153="", "", 'Lighting Inventory (Ref only)'!E164)</f>
        <v/>
      </c>
      <c r="Q153" s="298" t="str">
        <f>IF(B153="", "", 'Lighting Inventory (Ref only)'!J164)</f>
        <v/>
      </c>
      <c r="R153" s="298" t="str">
        <f>IF(B153="", "",'Lighting Inventory (Ref only)'!K164)</f>
        <v/>
      </c>
      <c r="S153" s="372" t="str">
        <f>IF(B153="", "", 'Lighting Inventory (Ref only)'!G164*'Lighting Inventory (Ref only)'!K164/1000)</f>
        <v/>
      </c>
      <c r="T153" s="298" t="str">
        <f>IF(B153="", "", IF('Lighting Inventory (Ref only)'!I164="", "Light Switch",Inventory!H161))</f>
        <v/>
      </c>
      <c r="U153" s="298" t="str">
        <f>IF(B153="", "", 'Lighting Inventory (Ref only)'!Q164)</f>
        <v/>
      </c>
      <c r="V153" s="298" t="str">
        <f>IF(B153="", "", 'Lighting Inventory (Ref only)'!K164)</f>
        <v/>
      </c>
      <c r="W153" s="373" t="str">
        <f>IF(B153="","",('Lighting Inventory (Ref only)'!L164/1000))</f>
        <v/>
      </c>
      <c r="X153" s="298" t="str">
        <f>IF(B153="", "", 'Lighting Inventory (Ref only)'!Q164)</f>
        <v/>
      </c>
      <c r="Y153" s="298" t="str">
        <f>IF(C153="", "", Inventory!N161)</f>
        <v/>
      </c>
      <c r="Z153" s="374" t="str">
        <f>IF(B153="", "", 'Lighting Inventory (Ref only)'!P164)</f>
        <v/>
      </c>
      <c r="AA153" s="372" t="str">
        <f>IF(B153="", "",'Lighting Inventory (Ref only)'!R164/1000)</f>
        <v/>
      </c>
      <c r="AB153" s="372" t="str">
        <f>IF(B153="", "", Inventory!M161)</f>
        <v/>
      </c>
      <c r="AC153" s="374" t="str">
        <f>IF(B153="", "", 'Lighting Inventory (Ref only)'!T164)</f>
        <v/>
      </c>
      <c r="AD153" s="374" t="str">
        <f>IF(C153="", "", 'Lighting Inventory (Ref only)'!AA164)</f>
        <v/>
      </c>
      <c r="AE153" s="375" t="str">
        <f>IF(B153="", "", 'Lighting Inventory (Ref only)'!U164)</f>
        <v/>
      </c>
      <c r="AF153" s="375" t="str">
        <f>IF(B153="", "",'Lighting Inventory (Ref only)'!W164)</f>
        <v/>
      </c>
      <c r="AG153" s="375" t="str">
        <f>IF(B153="", "", 'Lighting Inventory (Ref only)'!V164)</f>
        <v/>
      </c>
      <c r="AH153" s="375" t="str">
        <f>IF(B153="", "",'Lighting Inventory (Ref only)'!Z164)</f>
        <v/>
      </c>
      <c r="AI153" s="375" t="str">
        <f>IF(B153="", "", 'Lighting Inventory (Ref only)'!Y164)</f>
        <v/>
      </c>
      <c r="AJ153" s="375" t="str">
        <f>IF(C153="", "",'Lighting Inventory (Ref only)'!AB164)</f>
        <v/>
      </c>
      <c r="AK153" s="375" t="str">
        <f>IF(B153="", "", 'Lighting Inventory (Ref only)'!AG164)</f>
        <v/>
      </c>
      <c r="AL153" s="375" t="str">
        <f>IF(B153="", "", 'Lighting Inventory (Ref only)'!AD164)</f>
        <v/>
      </c>
      <c r="AM153" s="375" t="str">
        <f>IF(B153="", "", 'Lighting Inventory (Ref only)'!AE164)</f>
        <v/>
      </c>
      <c r="AN153" s="375" t="str">
        <f>IF(B153="", "", 'Lighting Inventory (Ref only)'!AF164)</f>
        <v/>
      </c>
      <c r="AO153" s="375" t="str">
        <f>IF(B153="", "", 'Lighting Inventory (Ref only)'!AG164)</f>
        <v/>
      </c>
    </row>
    <row r="154" spans="1:41">
      <c r="A154" s="298" t="str">
        <f>IF(G154="", "", Lookups!BF156)</f>
        <v/>
      </c>
      <c r="B154" s="298" t="str">
        <f>IF('Lighting Inventory (Ref only)'!Q165="", "", 'Lighting Inventory (Ref only)'!Q165)</f>
        <v/>
      </c>
      <c r="C154" s="298" t="str">
        <f>IF(A154="", "", 'Lighting Inventory (Ref only)'!AO165)</f>
        <v/>
      </c>
      <c r="D154" s="370" t="str">
        <f>IF(B154= "","", Inventory!S162)</f>
        <v/>
      </c>
      <c r="E154" s="371"/>
      <c r="F154" s="298" t="str">
        <f>IF(B154="", "", 'Version Log'!$B$34)</f>
        <v/>
      </c>
      <c r="G154" s="298" t="str">
        <f t="shared" si="8"/>
        <v/>
      </c>
      <c r="H154" s="298" t="str">
        <f t="shared" si="9"/>
        <v/>
      </c>
      <c r="I154" s="298" t="str">
        <f>IF(B154="", "",Inventory!D162)</f>
        <v/>
      </c>
      <c r="J154" s="298" t="str">
        <f>IF(B154="","",IF(Inventory!C162="N","Interior","Exterior"))</f>
        <v/>
      </c>
      <c r="K154" s="298" t="str">
        <f t="shared" si="10"/>
        <v/>
      </c>
      <c r="L154" s="298" t="str">
        <f>IF(B154="", "", Inventory!E162)</f>
        <v/>
      </c>
      <c r="M154" s="298" t="str">
        <f>IF(B154="","",IF(Cool_Type=Lookups!$L$9,Cool_Type,IF(Cool_Type=Lookups!$L$10,Cool_Type,IF(Cool_Type=Lookups!$L$11,Cool_Type,IF(Cool_Type=Lookups!L164,Cool_Type,IF('Project Info and Summary'!$C$20="Electric",CONCATENATE(Cool_Type," ",Heating_Type," Heat"),IF('Project Info and Summary'!$C$20="Non-Electric",CONCATENATE(Cool_Type," ",Heating_Type," Heat"),CONCATENATE(Cool_Type," ",Heating_Type))))))))</f>
        <v/>
      </c>
      <c r="N154" s="298" t="str">
        <f t="shared" si="11"/>
        <v/>
      </c>
      <c r="O154" s="298" t="str">
        <f>IF(B154="", "", 'Lighting Inventory (Ref only)'!G165)</f>
        <v/>
      </c>
      <c r="P154" s="298" t="str">
        <f>IF(B154="", "", 'Lighting Inventory (Ref only)'!E165)</f>
        <v/>
      </c>
      <c r="Q154" s="298" t="str">
        <f>IF(B154="", "", 'Lighting Inventory (Ref only)'!J165)</f>
        <v/>
      </c>
      <c r="R154" s="298" t="str">
        <f>IF(B154="", "",'Lighting Inventory (Ref only)'!K165)</f>
        <v/>
      </c>
      <c r="S154" s="372" t="str">
        <f>IF(B154="", "", 'Lighting Inventory (Ref only)'!G165*'Lighting Inventory (Ref only)'!K165/1000)</f>
        <v/>
      </c>
      <c r="T154" s="298" t="str">
        <f>IF(B154="", "", IF('Lighting Inventory (Ref only)'!I165="", "Light Switch",Inventory!H162))</f>
        <v/>
      </c>
      <c r="U154" s="298" t="str">
        <f>IF(B154="", "", 'Lighting Inventory (Ref only)'!Q165)</f>
        <v/>
      </c>
      <c r="V154" s="298" t="str">
        <f>IF(B154="", "", 'Lighting Inventory (Ref only)'!K165)</f>
        <v/>
      </c>
      <c r="W154" s="373" t="str">
        <f>IF(B154="","",('Lighting Inventory (Ref only)'!L165/1000))</f>
        <v/>
      </c>
      <c r="X154" s="298" t="str">
        <f>IF(B154="", "", 'Lighting Inventory (Ref only)'!Q165)</f>
        <v/>
      </c>
      <c r="Y154" s="298" t="str">
        <f>IF(C154="", "", Inventory!N162)</f>
        <v/>
      </c>
      <c r="Z154" s="374" t="str">
        <f>IF(B154="", "", 'Lighting Inventory (Ref only)'!P165)</f>
        <v/>
      </c>
      <c r="AA154" s="372" t="str">
        <f>IF(B154="", "",'Lighting Inventory (Ref only)'!R165/1000)</f>
        <v/>
      </c>
      <c r="AB154" s="372" t="str">
        <f>IF(B154="", "", Inventory!M162)</f>
        <v/>
      </c>
      <c r="AC154" s="374" t="str">
        <f>IF(B154="", "", 'Lighting Inventory (Ref only)'!T165)</f>
        <v/>
      </c>
      <c r="AD154" s="374" t="str">
        <f>IF(C154="", "", 'Lighting Inventory (Ref only)'!AA165)</f>
        <v/>
      </c>
      <c r="AE154" s="375" t="str">
        <f>IF(B154="", "", 'Lighting Inventory (Ref only)'!U165)</f>
        <v/>
      </c>
      <c r="AF154" s="375" t="str">
        <f>IF(B154="", "",'Lighting Inventory (Ref only)'!W165)</f>
        <v/>
      </c>
      <c r="AG154" s="375" t="str">
        <f>IF(B154="", "", 'Lighting Inventory (Ref only)'!V165)</f>
        <v/>
      </c>
      <c r="AH154" s="375" t="str">
        <f>IF(B154="", "",'Lighting Inventory (Ref only)'!Z165)</f>
        <v/>
      </c>
      <c r="AI154" s="375" t="str">
        <f>IF(B154="", "", 'Lighting Inventory (Ref only)'!Y165)</f>
        <v/>
      </c>
      <c r="AJ154" s="375" t="str">
        <f>IF(C154="", "",'Lighting Inventory (Ref only)'!AB165)</f>
        <v/>
      </c>
      <c r="AK154" s="375" t="str">
        <f>IF(B154="", "", 'Lighting Inventory (Ref only)'!AG165)</f>
        <v/>
      </c>
      <c r="AL154" s="375" t="str">
        <f>IF(B154="", "", 'Lighting Inventory (Ref only)'!AD165)</f>
        <v/>
      </c>
      <c r="AM154" s="375" t="str">
        <f>IF(B154="", "", 'Lighting Inventory (Ref only)'!AE165)</f>
        <v/>
      </c>
      <c r="AN154" s="375" t="str">
        <f>IF(B154="", "", 'Lighting Inventory (Ref only)'!AF165)</f>
        <v/>
      </c>
      <c r="AO154" s="375" t="str">
        <f>IF(B154="", "", 'Lighting Inventory (Ref only)'!AG165)</f>
        <v/>
      </c>
    </row>
    <row r="155" spans="1:41">
      <c r="A155" s="298" t="str">
        <f>IF(G155="", "", Lookups!BF157)</f>
        <v/>
      </c>
      <c r="B155" s="298" t="str">
        <f>IF('Lighting Inventory (Ref only)'!Q166="", "", 'Lighting Inventory (Ref only)'!Q166)</f>
        <v/>
      </c>
      <c r="C155" s="298" t="str">
        <f>IF(A155="", "", 'Lighting Inventory (Ref only)'!AO166)</f>
        <v/>
      </c>
      <c r="D155" s="370" t="str">
        <f>IF(B155= "","", Inventory!S163)</f>
        <v/>
      </c>
      <c r="E155" s="371"/>
      <c r="F155" s="298" t="str">
        <f>IF(B155="", "", 'Version Log'!$B$34)</f>
        <v/>
      </c>
      <c r="G155" s="298" t="str">
        <f t="shared" si="8"/>
        <v/>
      </c>
      <c r="H155" s="298" t="str">
        <f t="shared" si="9"/>
        <v/>
      </c>
      <c r="I155" s="298" t="str">
        <f>IF(B155="", "",Inventory!D163)</f>
        <v/>
      </c>
      <c r="J155" s="298" t="str">
        <f>IF(B155="","",IF(Inventory!C163="N","Interior","Exterior"))</f>
        <v/>
      </c>
      <c r="K155" s="298" t="str">
        <f t="shared" si="10"/>
        <v/>
      </c>
      <c r="L155" s="298" t="str">
        <f>IF(B155="", "", Inventory!E163)</f>
        <v/>
      </c>
      <c r="M155" s="298" t="str">
        <f>IF(B155="","",IF(Cool_Type=Lookups!$L$9,Cool_Type,IF(Cool_Type=Lookups!$L$10,Cool_Type,IF(Cool_Type=Lookups!$L$11,Cool_Type,IF(Cool_Type=Lookups!L165,Cool_Type,IF('Project Info and Summary'!$C$20="Electric",CONCATENATE(Cool_Type," ",Heating_Type," Heat"),IF('Project Info and Summary'!$C$20="Non-Electric",CONCATENATE(Cool_Type," ",Heating_Type," Heat"),CONCATENATE(Cool_Type," ",Heating_Type))))))))</f>
        <v/>
      </c>
      <c r="N155" s="298" t="str">
        <f t="shared" si="11"/>
        <v/>
      </c>
      <c r="O155" s="298" t="str">
        <f>IF(B155="", "", 'Lighting Inventory (Ref only)'!G166)</f>
        <v/>
      </c>
      <c r="P155" s="298" t="str">
        <f>IF(B155="", "", 'Lighting Inventory (Ref only)'!E166)</f>
        <v/>
      </c>
      <c r="Q155" s="298" t="str">
        <f>IF(B155="", "", 'Lighting Inventory (Ref only)'!J166)</f>
        <v/>
      </c>
      <c r="R155" s="298" t="str">
        <f>IF(B155="", "",'Lighting Inventory (Ref only)'!K166)</f>
        <v/>
      </c>
      <c r="S155" s="372" t="str">
        <f>IF(B155="", "", 'Lighting Inventory (Ref only)'!G166*'Lighting Inventory (Ref only)'!K166/1000)</f>
        <v/>
      </c>
      <c r="T155" s="298" t="str">
        <f>IF(B155="", "", IF('Lighting Inventory (Ref only)'!I166="", "Light Switch",Inventory!H163))</f>
        <v/>
      </c>
      <c r="U155" s="298" t="str">
        <f>IF(B155="", "", 'Lighting Inventory (Ref only)'!Q166)</f>
        <v/>
      </c>
      <c r="V155" s="298" t="str">
        <f>IF(B155="", "", 'Lighting Inventory (Ref only)'!K166)</f>
        <v/>
      </c>
      <c r="W155" s="373" t="str">
        <f>IF(B155="","",('Lighting Inventory (Ref only)'!L166/1000))</f>
        <v/>
      </c>
      <c r="X155" s="298" t="str">
        <f>IF(B155="", "", 'Lighting Inventory (Ref only)'!Q166)</f>
        <v/>
      </c>
      <c r="Y155" s="298" t="str">
        <f>IF(C155="", "", Inventory!N163)</f>
        <v/>
      </c>
      <c r="Z155" s="374" t="str">
        <f>IF(B155="", "", 'Lighting Inventory (Ref only)'!P166)</f>
        <v/>
      </c>
      <c r="AA155" s="372" t="str">
        <f>IF(B155="", "",'Lighting Inventory (Ref only)'!R166/1000)</f>
        <v/>
      </c>
      <c r="AB155" s="372" t="str">
        <f>IF(B155="", "", Inventory!M163)</f>
        <v/>
      </c>
      <c r="AC155" s="374" t="str">
        <f>IF(B155="", "", 'Lighting Inventory (Ref only)'!T166)</f>
        <v/>
      </c>
      <c r="AD155" s="374" t="str">
        <f>IF(C155="", "", 'Lighting Inventory (Ref only)'!AA166)</f>
        <v/>
      </c>
      <c r="AE155" s="375" t="str">
        <f>IF(B155="", "", 'Lighting Inventory (Ref only)'!U166)</f>
        <v/>
      </c>
      <c r="AF155" s="375" t="str">
        <f>IF(B155="", "",'Lighting Inventory (Ref only)'!W166)</f>
        <v/>
      </c>
      <c r="AG155" s="375" t="str">
        <f>IF(B155="", "", 'Lighting Inventory (Ref only)'!V166)</f>
        <v/>
      </c>
      <c r="AH155" s="375" t="str">
        <f>IF(B155="", "",'Lighting Inventory (Ref only)'!Z166)</f>
        <v/>
      </c>
      <c r="AI155" s="375" t="str">
        <f>IF(B155="", "", 'Lighting Inventory (Ref only)'!Y166)</f>
        <v/>
      </c>
      <c r="AJ155" s="375" t="str">
        <f>IF(C155="", "",'Lighting Inventory (Ref only)'!AB166)</f>
        <v/>
      </c>
      <c r="AK155" s="375" t="str">
        <f>IF(B155="", "", 'Lighting Inventory (Ref only)'!AG166)</f>
        <v/>
      </c>
      <c r="AL155" s="375" t="str">
        <f>IF(B155="", "", 'Lighting Inventory (Ref only)'!AD166)</f>
        <v/>
      </c>
      <c r="AM155" s="375" t="str">
        <f>IF(B155="", "", 'Lighting Inventory (Ref only)'!AE166)</f>
        <v/>
      </c>
      <c r="AN155" s="375" t="str">
        <f>IF(B155="", "", 'Lighting Inventory (Ref only)'!AF166)</f>
        <v/>
      </c>
      <c r="AO155" s="375" t="str">
        <f>IF(B155="", "", 'Lighting Inventory (Ref only)'!AG166)</f>
        <v/>
      </c>
    </row>
    <row r="156" spans="1:41">
      <c r="A156" s="298" t="str">
        <f>IF(G156="", "", Lookups!BF158)</f>
        <v/>
      </c>
      <c r="B156" s="298" t="str">
        <f>IF('Lighting Inventory (Ref only)'!Q167="", "", 'Lighting Inventory (Ref only)'!Q167)</f>
        <v/>
      </c>
      <c r="C156" s="298" t="str">
        <f>IF(A156="", "", 'Lighting Inventory (Ref only)'!AO167)</f>
        <v/>
      </c>
      <c r="D156" s="370" t="str">
        <f>IF(B156= "","", Inventory!S164)</f>
        <v/>
      </c>
      <c r="E156" s="371"/>
      <c r="F156" s="298" t="str">
        <f>IF(B156="", "", 'Version Log'!$B$34)</f>
        <v/>
      </c>
      <c r="G156" s="298" t="str">
        <f t="shared" si="8"/>
        <v/>
      </c>
      <c r="H156" s="298" t="str">
        <f t="shared" si="9"/>
        <v/>
      </c>
      <c r="I156" s="298" t="str">
        <f>IF(B156="", "",Inventory!D164)</f>
        <v/>
      </c>
      <c r="J156" s="298" t="str">
        <f>IF(B156="","",IF(Inventory!C164="N","Interior","Exterior"))</f>
        <v/>
      </c>
      <c r="K156" s="298" t="str">
        <f t="shared" si="10"/>
        <v/>
      </c>
      <c r="L156" s="298" t="str">
        <f>IF(B156="", "", Inventory!E164)</f>
        <v/>
      </c>
      <c r="M156" s="298" t="str">
        <f>IF(B156="","",IF(Cool_Type=Lookups!$L$9,Cool_Type,IF(Cool_Type=Lookups!$L$10,Cool_Type,IF(Cool_Type=Lookups!$L$11,Cool_Type,IF(Cool_Type=Lookups!L166,Cool_Type,IF('Project Info and Summary'!$C$20="Electric",CONCATENATE(Cool_Type," ",Heating_Type," Heat"),IF('Project Info and Summary'!$C$20="Non-Electric",CONCATENATE(Cool_Type," ",Heating_Type," Heat"),CONCATENATE(Cool_Type," ",Heating_Type))))))))</f>
        <v/>
      </c>
      <c r="N156" s="298" t="str">
        <f t="shared" si="11"/>
        <v/>
      </c>
      <c r="O156" s="298" t="str">
        <f>IF(B156="", "", 'Lighting Inventory (Ref only)'!G167)</f>
        <v/>
      </c>
      <c r="P156" s="298" t="str">
        <f>IF(B156="", "", 'Lighting Inventory (Ref only)'!E167)</f>
        <v/>
      </c>
      <c r="Q156" s="298" t="str">
        <f>IF(B156="", "", 'Lighting Inventory (Ref only)'!J167)</f>
        <v/>
      </c>
      <c r="R156" s="298" t="str">
        <f>IF(B156="", "",'Lighting Inventory (Ref only)'!K167)</f>
        <v/>
      </c>
      <c r="S156" s="372" t="str">
        <f>IF(B156="", "", 'Lighting Inventory (Ref only)'!G167*'Lighting Inventory (Ref only)'!K167/1000)</f>
        <v/>
      </c>
      <c r="T156" s="298" t="str">
        <f>IF(B156="", "", IF('Lighting Inventory (Ref only)'!I167="", "Light Switch",Inventory!H164))</f>
        <v/>
      </c>
      <c r="U156" s="298" t="str">
        <f>IF(B156="", "", 'Lighting Inventory (Ref only)'!Q167)</f>
        <v/>
      </c>
      <c r="V156" s="298" t="str">
        <f>IF(B156="", "", 'Lighting Inventory (Ref only)'!K167)</f>
        <v/>
      </c>
      <c r="W156" s="373" t="str">
        <f>IF(B156="","",('Lighting Inventory (Ref only)'!L167/1000))</f>
        <v/>
      </c>
      <c r="X156" s="298" t="str">
        <f>IF(B156="", "", 'Lighting Inventory (Ref only)'!Q167)</f>
        <v/>
      </c>
      <c r="Y156" s="298" t="str">
        <f>IF(C156="", "", Inventory!N164)</f>
        <v/>
      </c>
      <c r="Z156" s="374" t="str">
        <f>IF(B156="", "", 'Lighting Inventory (Ref only)'!P167)</f>
        <v/>
      </c>
      <c r="AA156" s="372" t="str">
        <f>IF(B156="", "",'Lighting Inventory (Ref only)'!R167/1000)</f>
        <v/>
      </c>
      <c r="AB156" s="372" t="str">
        <f>IF(B156="", "", Inventory!M164)</f>
        <v/>
      </c>
      <c r="AC156" s="374" t="str">
        <f>IF(B156="", "", 'Lighting Inventory (Ref only)'!T167)</f>
        <v/>
      </c>
      <c r="AD156" s="374" t="str">
        <f>IF(C156="", "", 'Lighting Inventory (Ref only)'!AA167)</f>
        <v/>
      </c>
      <c r="AE156" s="375" t="str">
        <f>IF(B156="", "", 'Lighting Inventory (Ref only)'!U167)</f>
        <v/>
      </c>
      <c r="AF156" s="375" t="str">
        <f>IF(B156="", "",'Lighting Inventory (Ref only)'!W167)</f>
        <v/>
      </c>
      <c r="AG156" s="375" t="str">
        <f>IF(B156="", "", 'Lighting Inventory (Ref only)'!V167)</f>
        <v/>
      </c>
      <c r="AH156" s="375" t="str">
        <f>IF(B156="", "",'Lighting Inventory (Ref only)'!Z167)</f>
        <v/>
      </c>
      <c r="AI156" s="375" t="str">
        <f>IF(B156="", "", 'Lighting Inventory (Ref only)'!Y167)</f>
        <v/>
      </c>
      <c r="AJ156" s="375" t="str">
        <f>IF(C156="", "",'Lighting Inventory (Ref only)'!AB167)</f>
        <v/>
      </c>
      <c r="AK156" s="375" t="str">
        <f>IF(B156="", "", 'Lighting Inventory (Ref only)'!AG167)</f>
        <v/>
      </c>
      <c r="AL156" s="375" t="str">
        <f>IF(B156="", "", 'Lighting Inventory (Ref only)'!AD167)</f>
        <v/>
      </c>
      <c r="AM156" s="375" t="str">
        <f>IF(B156="", "", 'Lighting Inventory (Ref only)'!AE167)</f>
        <v/>
      </c>
      <c r="AN156" s="375" t="str">
        <f>IF(B156="", "", 'Lighting Inventory (Ref only)'!AF167)</f>
        <v/>
      </c>
      <c r="AO156" s="375" t="str">
        <f>IF(B156="", "", 'Lighting Inventory (Ref only)'!AG167)</f>
        <v/>
      </c>
    </row>
    <row r="157" spans="1:41">
      <c r="A157" s="298" t="str">
        <f>IF(G157="", "", Lookups!BF159)</f>
        <v/>
      </c>
      <c r="B157" s="298" t="str">
        <f>IF('Lighting Inventory (Ref only)'!Q168="", "", 'Lighting Inventory (Ref only)'!Q168)</f>
        <v/>
      </c>
      <c r="C157" s="298" t="str">
        <f>IF(A157="", "", 'Lighting Inventory (Ref only)'!AO168)</f>
        <v/>
      </c>
      <c r="D157" s="370" t="str">
        <f>IF(B157= "","", Inventory!S165)</f>
        <v/>
      </c>
      <c r="E157" s="371"/>
      <c r="F157" s="298" t="str">
        <f>IF(B157="", "", 'Version Log'!$B$34)</f>
        <v/>
      </c>
      <c r="G157" s="298" t="str">
        <f t="shared" si="8"/>
        <v/>
      </c>
      <c r="H157" s="298" t="str">
        <f t="shared" si="9"/>
        <v/>
      </c>
      <c r="I157" s="298" t="str">
        <f>IF(B157="", "",Inventory!D165)</f>
        <v/>
      </c>
      <c r="J157" s="298" t="str">
        <f>IF(B157="","",IF(Inventory!C165="N","Interior","Exterior"))</f>
        <v/>
      </c>
      <c r="K157" s="298" t="str">
        <f t="shared" si="10"/>
        <v/>
      </c>
      <c r="L157" s="298" t="str">
        <f>IF(B157="", "", Inventory!E165)</f>
        <v/>
      </c>
      <c r="M157" s="298" t="str">
        <f>IF(B157="","",IF(Cool_Type=Lookups!$L$9,Cool_Type,IF(Cool_Type=Lookups!$L$10,Cool_Type,IF(Cool_Type=Lookups!$L$11,Cool_Type,IF(Cool_Type=Lookups!L167,Cool_Type,IF('Project Info and Summary'!$C$20="Electric",CONCATENATE(Cool_Type," ",Heating_Type," Heat"),IF('Project Info and Summary'!$C$20="Non-Electric",CONCATENATE(Cool_Type," ",Heating_Type," Heat"),CONCATENATE(Cool_Type," ",Heating_Type))))))))</f>
        <v/>
      </c>
      <c r="N157" s="298" t="str">
        <f t="shared" si="11"/>
        <v/>
      </c>
      <c r="O157" s="298" t="str">
        <f>IF(B157="", "", 'Lighting Inventory (Ref only)'!G168)</f>
        <v/>
      </c>
      <c r="P157" s="298" t="str">
        <f>IF(B157="", "", 'Lighting Inventory (Ref only)'!E168)</f>
        <v/>
      </c>
      <c r="Q157" s="298" t="str">
        <f>IF(B157="", "", 'Lighting Inventory (Ref only)'!J168)</f>
        <v/>
      </c>
      <c r="R157" s="298" t="str">
        <f>IF(B157="", "",'Lighting Inventory (Ref only)'!K168)</f>
        <v/>
      </c>
      <c r="S157" s="372" t="str">
        <f>IF(B157="", "", 'Lighting Inventory (Ref only)'!G168*'Lighting Inventory (Ref only)'!K168/1000)</f>
        <v/>
      </c>
      <c r="T157" s="298" t="str">
        <f>IF(B157="", "", IF('Lighting Inventory (Ref only)'!I168="", "Light Switch",Inventory!H165))</f>
        <v/>
      </c>
      <c r="U157" s="298" t="str">
        <f>IF(B157="", "", 'Lighting Inventory (Ref only)'!Q168)</f>
        <v/>
      </c>
      <c r="V157" s="298" t="str">
        <f>IF(B157="", "", 'Lighting Inventory (Ref only)'!K168)</f>
        <v/>
      </c>
      <c r="W157" s="373" t="str">
        <f>IF(B157="","",('Lighting Inventory (Ref only)'!L168/1000))</f>
        <v/>
      </c>
      <c r="X157" s="298" t="str">
        <f>IF(B157="", "", 'Lighting Inventory (Ref only)'!Q168)</f>
        <v/>
      </c>
      <c r="Y157" s="298" t="str">
        <f>IF(C157="", "", Inventory!N165)</f>
        <v/>
      </c>
      <c r="Z157" s="374" t="str">
        <f>IF(B157="", "", 'Lighting Inventory (Ref only)'!P168)</f>
        <v/>
      </c>
      <c r="AA157" s="372" t="str">
        <f>IF(B157="", "",'Lighting Inventory (Ref only)'!R168/1000)</f>
        <v/>
      </c>
      <c r="AB157" s="372" t="str">
        <f>IF(B157="", "", Inventory!M165)</f>
        <v/>
      </c>
      <c r="AC157" s="374" t="str">
        <f>IF(B157="", "", 'Lighting Inventory (Ref only)'!T168)</f>
        <v/>
      </c>
      <c r="AD157" s="374" t="str">
        <f>IF(C157="", "", 'Lighting Inventory (Ref only)'!AA168)</f>
        <v/>
      </c>
      <c r="AE157" s="375" t="str">
        <f>IF(B157="", "", 'Lighting Inventory (Ref only)'!U168)</f>
        <v/>
      </c>
      <c r="AF157" s="375" t="str">
        <f>IF(B157="", "",'Lighting Inventory (Ref only)'!W168)</f>
        <v/>
      </c>
      <c r="AG157" s="375" t="str">
        <f>IF(B157="", "", 'Lighting Inventory (Ref only)'!V168)</f>
        <v/>
      </c>
      <c r="AH157" s="375" t="str">
        <f>IF(B157="", "",'Lighting Inventory (Ref only)'!Z168)</f>
        <v/>
      </c>
      <c r="AI157" s="375" t="str">
        <f>IF(B157="", "", 'Lighting Inventory (Ref only)'!Y168)</f>
        <v/>
      </c>
      <c r="AJ157" s="375" t="str">
        <f>IF(C157="", "",'Lighting Inventory (Ref only)'!AB168)</f>
        <v/>
      </c>
      <c r="AK157" s="375" t="str">
        <f>IF(B157="", "", 'Lighting Inventory (Ref only)'!AG168)</f>
        <v/>
      </c>
      <c r="AL157" s="375" t="str">
        <f>IF(B157="", "", 'Lighting Inventory (Ref only)'!AD168)</f>
        <v/>
      </c>
      <c r="AM157" s="375" t="str">
        <f>IF(B157="", "", 'Lighting Inventory (Ref only)'!AE168)</f>
        <v/>
      </c>
      <c r="AN157" s="375" t="str">
        <f>IF(B157="", "", 'Lighting Inventory (Ref only)'!AF168)</f>
        <v/>
      </c>
      <c r="AO157" s="375" t="str">
        <f>IF(B157="", "", 'Lighting Inventory (Ref only)'!AG168)</f>
        <v/>
      </c>
    </row>
    <row r="158" spans="1:41">
      <c r="A158" s="298" t="str">
        <f>IF(G158="", "", Lookups!BF160)</f>
        <v/>
      </c>
      <c r="B158" s="298" t="str">
        <f>IF('Lighting Inventory (Ref only)'!Q169="", "", 'Lighting Inventory (Ref only)'!Q169)</f>
        <v/>
      </c>
      <c r="C158" s="298" t="str">
        <f>IF(A158="", "", 'Lighting Inventory (Ref only)'!AO169)</f>
        <v/>
      </c>
      <c r="D158" s="370" t="str">
        <f>IF(B158= "","", Inventory!S166)</f>
        <v/>
      </c>
      <c r="E158" s="371"/>
      <c r="F158" s="298" t="str">
        <f>IF(B158="", "", 'Version Log'!$B$34)</f>
        <v/>
      </c>
      <c r="G158" s="298" t="str">
        <f t="shared" si="8"/>
        <v/>
      </c>
      <c r="H158" s="298" t="str">
        <f t="shared" si="9"/>
        <v/>
      </c>
      <c r="I158" s="298" t="str">
        <f>IF(B158="", "",Inventory!D166)</f>
        <v/>
      </c>
      <c r="J158" s="298" t="str">
        <f>IF(B158="","",IF(Inventory!C166="N","Interior","Exterior"))</f>
        <v/>
      </c>
      <c r="K158" s="298" t="str">
        <f t="shared" si="10"/>
        <v/>
      </c>
      <c r="L158" s="298" t="str">
        <f>IF(B158="", "", Inventory!E166)</f>
        <v/>
      </c>
      <c r="M158" s="298" t="str">
        <f>IF(B158="","",IF(Cool_Type=Lookups!$L$9,Cool_Type,IF(Cool_Type=Lookups!$L$10,Cool_Type,IF(Cool_Type=Lookups!$L$11,Cool_Type,IF(Cool_Type=Lookups!L168,Cool_Type,IF('Project Info and Summary'!$C$20="Electric",CONCATENATE(Cool_Type," ",Heating_Type," Heat"),IF('Project Info and Summary'!$C$20="Non-Electric",CONCATENATE(Cool_Type," ",Heating_Type," Heat"),CONCATENATE(Cool_Type," ",Heating_Type))))))))</f>
        <v/>
      </c>
      <c r="N158" s="298" t="str">
        <f t="shared" si="11"/>
        <v/>
      </c>
      <c r="O158" s="298" t="str">
        <f>IF(B158="", "", 'Lighting Inventory (Ref only)'!G169)</f>
        <v/>
      </c>
      <c r="P158" s="298" t="str">
        <f>IF(B158="", "", 'Lighting Inventory (Ref only)'!E169)</f>
        <v/>
      </c>
      <c r="Q158" s="298" t="str">
        <f>IF(B158="", "", 'Lighting Inventory (Ref only)'!J169)</f>
        <v/>
      </c>
      <c r="R158" s="298" t="str">
        <f>IF(B158="", "",'Lighting Inventory (Ref only)'!K169)</f>
        <v/>
      </c>
      <c r="S158" s="372" t="str">
        <f>IF(B158="", "", 'Lighting Inventory (Ref only)'!G169*'Lighting Inventory (Ref only)'!K169/1000)</f>
        <v/>
      </c>
      <c r="T158" s="298" t="str">
        <f>IF(B158="", "", IF('Lighting Inventory (Ref only)'!I169="", "Light Switch",Inventory!H166))</f>
        <v/>
      </c>
      <c r="U158" s="298" t="str">
        <f>IF(B158="", "", 'Lighting Inventory (Ref only)'!Q169)</f>
        <v/>
      </c>
      <c r="V158" s="298" t="str">
        <f>IF(B158="", "", 'Lighting Inventory (Ref only)'!K169)</f>
        <v/>
      </c>
      <c r="W158" s="373" t="str">
        <f>IF(B158="","",('Lighting Inventory (Ref only)'!L169/1000))</f>
        <v/>
      </c>
      <c r="X158" s="298" t="str">
        <f>IF(B158="", "", 'Lighting Inventory (Ref only)'!Q169)</f>
        <v/>
      </c>
      <c r="Y158" s="298" t="str">
        <f>IF(C158="", "", Inventory!N166)</f>
        <v/>
      </c>
      <c r="Z158" s="374" t="str">
        <f>IF(B158="", "", 'Lighting Inventory (Ref only)'!P169)</f>
        <v/>
      </c>
      <c r="AA158" s="372" t="str">
        <f>IF(B158="", "",'Lighting Inventory (Ref only)'!R169/1000)</f>
        <v/>
      </c>
      <c r="AB158" s="372" t="str">
        <f>IF(B158="", "", Inventory!M166)</f>
        <v/>
      </c>
      <c r="AC158" s="374" t="str">
        <f>IF(B158="", "", 'Lighting Inventory (Ref only)'!T169)</f>
        <v/>
      </c>
      <c r="AD158" s="374" t="str">
        <f>IF(C158="", "", 'Lighting Inventory (Ref only)'!AA169)</f>
        <v/>
      </c>
      <c r="AE158" s="375" t="str">
        <f>IF(B158="", "", 'Lighting Inventory (Ref only)'!U169)</f>
        <v/>
      </c>
      <c r="AF158" s="375" t="str">
        <f>IF(B158="", "",'Lighting Inventory (Ref only)'!W169)</f>
        <v/>
      </c>
      <c r="AG158" s="375" t="str">
        <f>IF(B158="", "", 'Lighting Inventory (Ref only)'!V169)</f>
        <v/>
      </c>
      <c r="AH158" s="375" t="str">
        <f>IF(B158="", "",'Lighting Inventory (Ref only)'!Z169)</f>
        <v/>
      </c>
      <c r="AI158" s="375" t="str">
        <f>IF(B158="", "", 'Lighting Inventory (Ref only)'!Y169)</f>
        <v/>
      </c>
      <c r="AJ158" s="375" t="str">
        <f>IF(C158="", "",'Lighting Inventory (Ref only)'!AB169)</f>
        <v/>
      </c>
      <c r="AK158" s="375" t="str">
        <f>IF(B158="", "", 'Lighting Inventory (Ref only)'!AG169)</f>
        <v/>
      </c>
      <c r="AL158" s="375" t="str">
        <f>IF(B158="", "", 'Lighting Inventory (Ref only)'!AD169)</f>
        <v/>
      </c>
      <c r="AM158" s="375" t="str">
        <f>IF(B158="", "", 'Lighting Inventory (Ref only)'!AE169)</f>
        <v/>
      </c>
      <c r="AN158" s="375" t="str">
        <f>IF(B158="", "", 'Lighting Inventory (Ref only)'!AF169)</f>
        <v/>
      </c>
      <c r="AO158" s="375" t="str">
        <f>IF(B158="", "", 'Lighting Inventory (Ref only)'!AG169)</f>
        <v/>
      </c>
    </row>
    <row r="159" spans="1:41">
      <c r="A159" s="298" t="str">
        <f>IF(G159="", "", Lookups!BF161)</f>
        <v/>
      </c>
      <c r="B159" s="298" t="str">
        <f>IF('Lighting Inventory (Ref only)'!Q170="", "", 'Lighting Inventory (Ref only)'!Q170)</f>
        <v/>
      </c>
      <c r="C159" s="298" t="str">
        <f>IF(A159="", "", 'Lighting Inventory (Ref only)'!AO170)</f>
        <v/>
      </c>
      <c r="D159" s="370" t="str">
        <f>IF(B159= "","", Inventory!S167)</f>
        <v/>
      </c>
      <c r="E159" s="371"/>
      <c r="F159" s="298" t="str">
        <f>IF(B159="", "", 'Version Log'!$B$34)</f>
        <v/>
      </c>
      <c r="G159" s="298" t="str">
        <f t="shared" si="8"/>
        <v/>
      </c>
      <c r="H159" s="298" t="str">
        <f t="shared" si="9"/>
        <v/>
      </c>
      <c r="I159" s="298" t="str">
        <f>IF(B159="", "",Inventory!D167)</f>
        <v/>
      </c>
      <c r="J159" s="298" t="str">
        <f>IF(B159="","",IF(Inventory!C167="N","Interior","Exterior"))</f>
        <v/>
      </c>
      <c r="K159" s="298" t="str">
        <f t="shared" si="10"/>
        <v/>
      </c>
      <c r="L159" s="298" t="str">
        <f>IF(B159="", "", Inventory!E167)</f>
        <v/>
      </c>
      <c r="M159" s="298" t="str">
        <f>IF(B159="","",IF(Cool_Type=Lookups!$L$9,Cool_Type,IF(Cool_Type=Lookups!$L$10,Cool_Type,IF(Cool_Type=Lookups!$L$11,Cool_Type,IF(Cool_Type=Lookups!L169,Cool_Type,IF('Project Info and Summary'!$C$20="Electric",CONCATENATE(Cool_Type," ",Heating_Type," Heat"),IF('Project Info and Summary'!$C$20="Non-Electric",CONCATENATE(Cool_Type," ",Heating_Type," Heat"),CONCATENATE(Cool_Type," ",Heating_Type))))))))</f>
        <v/>
      </c>
      <c r="N159" s="298" t="str">
        <f t="shared" si="11"/>
        <v/>
      </c>
      <c r="O159" s="298" t="str">
        <f>IF(B159="", "", 'Lighting Inventory (Ref only)'!G170)</f>
        <v/>
      </c>
      <c r="P159" s="298" t="str">
        <f>IF(B159="", "", 'Lighting Inventory (Ref only)'!E170)</f>
        <v/>
      </c>
      <c r="Q159" s="298" t="str">
        <f>IF(B159="", "", 'Lighting Inventory (Ref only)'!J170)</f>
        <v/>
      </c>
      <c r="R159" s="298" t="str">
        <f>IF(B159="", "",'Lighting Inventory (Ref only)'!K170)</f>
        <v/>
      </c>
      <c r="S159" s="372" t="str">
        <f>IF(B159="", "", 'Lighting Inventory (Ref only)'!G170*'Lighting Inventory (Ref only)'!K170/1000)</f>
        <v/>
      </c>
      <c r="T159" s="298" t="str">
        <f>IF(B159="", "", IF('Lighting Inventory (Ref only)'!I170="", "Light Switch",Inventory!H167))</f>
        <v/>
      </c>
      <c r="U159" s="298" t="str">
        <f>IF(B159="", "", 'Lighting Inventory (Ref only)'!Q170)</f>
        <v/>
      </c>
      <c r="V159" s="298" t="str">
        <f>IF(B159="", "", 'Lighting Inventory (Ref only)'!K170)</f>
        <v/>
      </c>
      <c r="W159" s="373" t="str">
        <f>IF(B159="","",('Lighting Inventory (Ref only)'!L170/1000))</f>
        <v/>
      </c>
      <c r="X159" s="298" t="str">
        <f>IF(B159="", "", 'Lighting Inventory (Ref only)'!Q170)</f>
        <v/>
      </c>
      <c r="Y159" s="298" t="str">
        <f>IF(C159="", "", Inventory!N167)</f>
        <v/>
      </c>
      <c r="Z159" s="374" t="str">
        <f>IF(B159="", "", 'Lighting Inventory (Ref only)'!P170)</f>
        <v/>
      </c>
      <c r="AA159" s="372" t="str">
        <f>IF(B159="", "",'Lighting Inventory (Ref only)'!R170/1000)</f>
        <v/>
      </c>
      <c r="AB159" s="372" t="str">
        <f>IF(B159="", "", Inventory!M167)</f>
        <v/>
      </c>
      <c r="AC159" s="374" t="str">
        <f>IF(B159="", "", 'Lighting Inventory (Ref only)'!T170)</f>
        <v/>
      </c>
      <c r="AD159" s="374" t="str">
        <f>IF(C159="", "", 'Lighting Inventory (Ref only)'!AA170)</f>
        <v/>
      </c>
      <c r="AE159" s="375" t="str">
        <f>IF(B159="", "", 'Lighting Inventory (Ref only)'!U170)</f>
        <v/>
      </c>
      <c r="AF159" s="375" t="str">
        <f>IF(B159="", "",'Lighting Inventory (Ref only)'!W170)</f>
        <v/>
      </c>
      <c r="AG159" s="375" t="str">
        <f>IF(B159="", "", 'Lighting Inventory (Ref only)'!V170)</f>
        <v/>
      </c>
      <c r="AH159" s="375" t="str">
        <f>IF(B159="", "",'Lighting Inventory (Ref only)'!Z170)</f>
        <v/>
      </c>
      <c r="AI159" s="375" t="str">
        <f>IF(B159="", "", 'Lighting Inventory (Ref only)'!Y170)</f>
        <v/>
      </c>
      <c r="AJ159" s="375" t="str">
        <f>IF(C159="", "",'Lighting Inventory (Ref only)'!AB170)</f>
        <v/>
      </c>
      <c r="AK159" s="375" t="str">
        <f>IF(B159="", "", 'Lighting Inventory (Ref only)'!AG170)</f>
        <v/>
      </c>
      <c r="AL159" s="375" t="str">
        <f>IF(B159="", "", 'Lighting Inventory (Ref only)'!AD170)</f>
        <v/>
      </c>
      <c r="AM159" s="375" t="str">
        <f>IF(B159="", "", 'Lighting Inventory (Ref only)'!AE170)</f>
        <v/>
      </c>
      <c r="AN159" s="375" t="str">
        <f>IF(B159="", "", 'Lighting Inventory (Ref only)'!AF170)</f>
        <v/>
      </c>
      <c r="AO159" s="375" t="str">
        <f>IF(B159="", "", 'Lighting Inventory (Ref only)'!AG170)</f>
        <v/>
      </c>
    </row>
    <row r="160" spans="1:41">
      <c r="A160" s="298" t="str">
        <f>IF(G160="", "", Lookups!BF162)</f>
        <v/>
      </c>
      <c r="B160" s="298" t="str">
        <f>IF('Lighting Inventory (Ref only)'!Q171="", "", 'Lighting Inventory (Ref only)'!Q171)</f>
        <v/>
      </c>
      <c r="C160" s="298" t="str">
        <f>IF(A160="", "", 'Lighting Inventory (Ref only)'!AO171)</f>
        <v/>
      </c>
      <c r="D160" s="370" t="str">
        <f>IF(B160= "","", Inventory!S168)</f>
        <v/>
      </c>
      <c r="E160" s="371"/>
      <c r="F160" s="298" t="str">
        <f>IF(B160="", "", 'Version Log'!$B$34)</f>
        <v/>
      </c>
      <c r="G160" s="298" t="str">
        <f t="shared" si="8"/>
        <v/>
      </c>
      <c r="H160" s="298" t="str">
        <f t="shared" si="9"/>
        <v/>
      </c>
      <c r="I160" s="298" t="str">
        <f>IF(B160="", "",Inventory!D168)</f>
        <v/>
      </c>
      <c r="J160" s="298" t="str">
        <f>IF(B160="","",IF(Inventory!C168="N","Interior","Exterior"))</f>
        <v/>
      </c>
      <c r="K160" s="298" t="str">
        <f t="shared" si="10"/>
        <v/>
      </c>
      <c r="L160" s="298" t="str">
        <f>IF(B160="", "", Inventory!E168)</f>
        <v/>
      </c>
      <c r="M160" s="298" t="str">
        <f>IF(B160="","",IF(Cool_Type=Lookups!$L$9,Cool_Type,IF(Cool_Type=Lookups!$L$10,Cool_Type,IF(Cool_Type=Lookups!$L$11,Cool_Type,IF(Cool_Type=Lookups!L170,Cool_Type,IF('Project Info and Summary'!$C$20="Electric",CONCATENATE(Cool_Type," ",Heating_Type," Heat"),IF('Project Info and Summary'!$C$20="Non-Electric",CONCATENATE(Cool_Type," ",Heating_Type," Heat"),CONCATENATE(Cool_Type," ",Heating_Type))))))))</f>
        <v/>
      </c>
      <c r="N160" s="298" t="str">
        <f t="shared" si="11"/>
        <v/>
      </c>
      <c r="O160" s="298" t="str">
        <f>IF(B160="", "", 'Lighting Inventory (Ref only)'!G171)</f>
        <v/>
      </c>
      <c r="P160" s="298" t="str">
        <f>IF(B160="", "", 'Lighting Inventory (Ref only)'!E171)</f>
        <v/>
      </c>
      <c r="Q160" s="298" t="str">
        <f>IF(B160="", "", 'Lighting Inventory (Ref only)'!J171)</f>
        <v/>
      </c>
      <c r="R160" s="298" t="str">
        <f>IF(B160="", "",'Lighting Inventory (Ref only)'!K171)</f>
        <v/>
      </c>
      <c r="S160" s="372" t="str">
        <f>IF(B160="", "", 'Lighting Inventory (Ref only)'!G171*'Lighting Inventory (Ref only)'!K171/1000)</f>
        <v/>
      </c>
      <c r="T160" s="298" t="str">
        <f>IF(B160="", "", IF('Lighting Inventory (Ref only)'!I171="", "Light Switch",Inventory!H168))</f>
        <v/>
      </c>
      <c r="U160" s="298" t="str">
        <f>IF(B160="", "", 'Lighting Inventory (Ref only)'!Q171)</f>
        <v/>
      </c>
      <c r="V160" s="298" t="str">
        <f>IF(B160="", "", 'Lighting Inventory (Ref only)'!K171)</f>
        <v/>
      </c>
      <c r="W160" s="373" t="str">
        <f>IF(B160="","",('Lighting Inventory (Ref only)'!L171/1000))</f>
        <v/>
      </c>
      <c r="X160" s="298" t="str">
        <f>IF(B160="", "", 'Lighting Inventory (Ref only)'!Q171)</f>
        <v/>
      </c>
      <c r="Y160" s="298" t="str">
        <f>IF(C160="", "", Inventory!N168)</f>
        <v/>
      </c>
      <c r="Z160" s="374" t="str">
        <f>IF(B160="", "", 'Lighting Inventory (Ref only)'!P171)</f>
        <v/>
      </c>
      <c r="AA160" s="372" t="str">
        <f>IF(B160="", "",'Lighting Inventory (Ref only)'!R171/1000)</f>
        <v/>
      </c>
      <c r="AB160" s="372" t="str">
        <f>IF(B160="", "", Inventory!M168)</f>
        <v/>
      </c>
      <c r="AC160" s="374" t="str">
        <f>IF(B160="", "", 'Lighting Inventory (Ref only)'!T171)</f>
        <v/>
      </c>
      <c r="AD160" s="374" t="str">
        <f>IF(C160="", "", 'Lighting Inventory (Ref only)'!AA171)</f>
        <v/>
      </c>
      <c r="AE160" s="375" t="str">
        <f>IF(B160="", "", 'Lighting Inventory (Ref only)'!U171)</f>
        <v/>
      </c>
      <c r="AF160" s="375" t="str">
        <f>IF(B160="", "",'Lighting Inventory (Ref only)'!W171)</f>
        <v/>
      </c>
      <c r="AG160" s="375" t="str">
        <f>IF(B160="", "", 'Lighting Inventory (Ref only)'!V171)</f>
        <v/>
      </c>
      <c r="AH160" s="375" t="str">
        <f>IF(B160="", "",'Lighting Inventory (Ref only)'!Z171)</f>
        <v/>
      </c>
      <c r="AI160" s="375" t="str">
        <f>IF(B160="", "", 'Lighting Inventory (Ref only)'!Y171)</f>
        <v/>
      </c>
      <c r="AJ160" s="375" t="str">
        <f>IF(C160="", "",'Lighting Inventory (Ref only)'!AB171)</f>
        <v/>
      </c>
      <c r="AK160" s="375" t="str">
        <f>IF(B160="", "", 'Lighting Inventory (Ref only)'!AG171)</f>
        <v/>
      </c>
      <c r="AL160" s="375" t="str">
        <f>IF(B160="", "", 'Lighting Inventory (Ref only)'!AD171)</f>
        <v/>
      </c>
      <c r="AM160" s="375" t="str">
        <f>IF(B160="", "", 'Lighting Inventory (Ref only)'!AE171)</f>
        <v/>
      </c>
      <c r="AN160" s="375" t="str">
        <f>IF(B160="", "", 'Lighting Inventory (Ref only)'!AF171)</f>
        <v/>
      </c>
      <c r="AO160" s="375" t="str">
        <f>IF(B160="", "", 'Lighting Inventory (Ref only)'!AG171)</f>
        <v/>
      </c>
    </row>
    <row r="161" spans="1:41">
      <c r="A161" s="298" t="str">
        <f>IF(G161="", "", Lookups!BF163)</f>
        <v/>
      </c>
      <c r="B161" s="298" t="str">
        <f>IF('Lighting Inventory (Ref only)'!Q172="", "", 'Lighting Inventory (Ref only)'!Q172)</f>
        <v/>
      </c>
      <c r="C161" s="298" t="str">
        <f>IF(A161="", "", 'Lighting Inventory (Ref only)'!AO172)</f>
        <v/>
      </c>
      <c r="D161" s="370" t="str">
        <f>IF(B161= "","", Inventory!S169)</f>
        <v/>
      </c>
      <c r="E161" s="371"/>
      <c r="F161" s="298" t="str">
        <f>IF(B161="", "", 'Version Log'!$B$34)</f>
        <v/>
      </c>
      <c r="G161" s="298" t="str">
        <f t="shared" si="8"/>
        <v/>
      </c>
      <c r="H161" s="298" t="str">
        <f t="shared" si="9"/>
        <v/>
      </c>
      <c r="I161" s="298" t="str">
        <f>IF(B161="", "",Inventory!D169)</f>
        <v/>
      </c>
      <c r="J161" s="298" t="str">
        <f>IF(B161="","",IF(Inventory!C169="N","Interior","Exterior"))</f>
        <v/>
      </c>
      <c r="K161" s="298" t="str">
        <f t="shared" si="10"/>
        <v/>
      </c>
      <c r="L161" s="298" t="str">
        <f>IF(B161="", "", Inventory!E169)</f>
        <v/>
      </c>
      <c r="M161" s="298" t="str">
        <f>IF(B161="","",IF(Cool_Type=Lookups!$L$9,Cool_Type,IF(Cool_Type=Lookups!$L$10,Cool_Type,IF(Cool_Type=Lookups!$L$11,Cool_Type,IF(Cool_Type=Lookups!L171,Cool_Type,IF('Project Info and Summary'!$C$20="Electric",CONCATENATE(Cool_Type," ",Heating_Type," Heat"),IF('Project Info and Summary'!$C$20="Non-Electric",CONCATENATE(Cool_Type," ",Heating_Type," Heat"),CONCATENATE(Cool_Type," ",Heating_Type))))))))</f>
        <v/>
      </c>
      <c r="N161" s="298" t="str">
        <f t="shared" si="11"/>
        <v/>
      </c>
      <c r="O161" s="298" t="str">
        <f>IF(B161="", "", 'Lighting Inventory (Ref only)'!G172)</f>
        <v/>
      </c>
      <c r="P161" s="298" t="str">
        <f>IF(B161="", "", 'Lighting Inventory (Ref only)'!E172)</f>
        <v/>
      </c>
      <c r="Q161" s="298" t="str">
        <f>IF(B161="", "", 'Lighting Inventory (Ref only)'!J172)</f>
        <v/>
      </c>
      <c r="R161" s="298" t="str">
        <f>IF(B161="", "",'Lighting Inventory (Ref only)'!K172)</f>
        <v/>
      </c>
      <c r="S161" s="372" t="str">
        <f>IF(B161="", "", 'Lighting Inventory (Ref only)'!G172*'Lighting Inventory (Ref only)'!K172/1000)</f>
        <v/>
      </c>
      <c r="T161" s="298" t="str">
        <f>IF(B161="", "", IF('Lighting Inventory (Ref only)'!I172="", "Light Switch",Inventory!H169))</f>
        <v/>
      </c>
      <c r="U161" s="298" t="str">
        <f>IF(B161="", "", 'Lighting Inventory (Ref only)'!Q172)</f>
        <v/>
      </c>
      <c r="V161" s="298" t="str">
        <f>IF(B161="", "", 'Lighting Inventory (Ref only)'!K172)</f>
        <v/>
      </c>
      <c r="W161" s="373" t="str">
        <f>IF(B161="","",('Lighting Inventory (Ref only)'!L172/1000))</f>
        <v/>
      </c>
      <c r="X161" s="298" t="str">
        <f>IF(B161="", "", 'Lighting Inventory (Ref only)'!Q172)</f>
        <v/>
      </c>
      <c r="Y161" s="298" t="str">
        <f>IF(C161="", "", Inventory!N169)</f>
        <v/>
      </c>
      <c r="Z161" s="374" t="str">
        <f>IF(B161="", "", 'Lighting Inventory (Ref only)'!P172)</f>
        <v/>
      </c>
      <c r="AA161" s="372" t="str">
        <f>IF(B161="", "",'Lighting Inventory (Ref only)'!R172/1000)</f>
        <v/>
      </c>
      <c r="AB161" s="372" t="str">
        <f>IF(B161="", "", Inventory!M169)</f>
        <v/>
      </c>
      <c r="AC161" s="374" t="str">
        <f>IF(B161="", "", 'Lighting Inventory (Ref only)'!T172)</f>
        <v/>
      </c>
      <c r="AD161" s="374" t="str">
        <f>IF(C161="", "", 'Lighting Inventory (Ref only)'!AA172)</f>
        <v/>
      </c>
      <c r="AE161" s="375" t="str">
        <f>IF(B161="", "", 'Lighting Inventory (Ref only)'!U172)</f>
        <v/>
      </c>
      <c r="AF161" s="375" t="str">
        <f>IF(B161="", "",'Lighting Inventory (Ref only)'!W172)</f>
        <v/>
      </c>
      <c r="AG161" s="375" t="str">
        <f>IF(B161="", "", 'Lighting Inventory (Ref only)'!V172)</f>
        <v/>
      </c>
      <c r="AH161" s="375" t="str">
        <f>IF(B161="", "",'Lighting Inventory (Ref only)'!Z172)</f>
        <v/>
      </c>
      <c r="AI161" s="375" t="str">
        <f>IF(B161="", "", 'Lighting Inventory (Ref only)'!Y172)</f>
        <v/>
      </c>
      <c r="AJ161" s="375" t="str">
        <f>IF(C161="", "",'Lighting Inventory (Ref only)'!AB172)</f>
        <v/>
      </c>
      <c r="AK161" s="375" t="str">
        <f>IF(B161="", "", 'Lighting Inventory (Ref only)'!AG172)</f>
        <v/>
      </c>
      <c r="AL161" s="375" t="str">
        <f>IF(B161="", "", 'Lighting Inventory (Ref only)'!AD172)</f>
        <v/>
      </c>
      <c r="AM161" s="375" t="str">
        <f>IF(B161="", "", 'Lighting Inventory (Ref only)'!AE172)</f>
        <v/>
      </c>
      <c r="AN161" s="375" t="str">
        <f>IF(B161="", "", 'Lighting Inventory (Ref only)'!AF172)</f>
        <v/>
      </c>
      <c r="AO161" s="375" t="str">
        <f>IF(B161="", "", 'Lighting Inventory (Ref only)'!AG172)</f>
        <v/>
      </c>
    </row>
    <row r="162" spans="1:41">
      <c r="A162" s="298" t="str">
        <f>IF(G162="", "", Lookups!BF164)</f>
        <v/>
      </c>
      <c r="B162" s="298" t="str">
        <f>IF('Lighting Inventory (Ref only)'!Q173="", "", 'Lighting Inventory (Ref only)'!Q173)</f>
        <v/>
      </c>
      <c r="C162" s="298" t="str">
        <f>IF(A162="", "", 'Lighting Inventory (Ref only)'!AO173)</f>
        <v/>
      </c>
      <c r="D162" s="370" t="str">
        <f>IF(B162= "","", Inventory!S170)</f>
        <v/>
      </c>
      <c r="E162" s="371"/>
      <c r="F162" s="298" t="str">
        <f>IF(B162="", "", 'Version Log'!$B$34)</f>
        <v/>
      </c>
      <c r="G162" s="298" t="str">
        <f t="shared" si="8"/>
        <v/>
      </c>
      <c r="H162" s="298" t="str">
        <f t="shared" si="9"/>
        <v/>
      </c>
      <c r="I162" s="298" t="str">
        <f>IF(B162="", "",Inventory!D170)</f>
        <v/>
      </c>
      <c r="J162" s="298" t="str">
        <f>IF(B162="","",IF(Inventory!C170="N","Interior","Exterior"))</f>
        <v/>
      </c>
      <c r="K162" s="298" t="str">
        <f t="shared" si="10"/>
        <v/>
      </c>
      <c r="L162" s="298" t="str">
        <f>IF(B162="", "", Inventory!E170)</f>
        <v/>
      </c>
      <c r="M162" s="298" t="str">
        <f>IF(B162="","",IF(Cool_Type=Lookups!$L$9,Cool_Type,IF(Cool_Type=Lookups!$L$10,Cool_Type,IF(Cool_Type=Lookups!$L$11,Cool_Type,IF(Cool_Type=Lookups!L172,Cool_Type,IF('Project Info and Summary'!$C$20="Electric",CONCATENATE(Cool_Type," ",Heating_Type," Heat"),IF('Project Info and Summary'!$C$20="Non-Electric",CONCATENATE(Cool_Type," ",Heating_Type," Heat"),CONCATENATE(Cool_Type," ",Heating_Type))))))))</f>
        <v/>
      </c>
      <c r="N162" s="298" t="str">
        <f t="shared" si="11"/>
        <v/>
      </c>
      <c r="O162" s="298" t="str">
        <f>IF(B162="", "", 'Lighting Inventory (Ref only)'!G173)</f>
        <v/>
      </c>
      <c r="P162" s="298" t="str">
        <f>IF(B162="", "", 'Lighting Inventory (Ref only)'!E173)</f>
        <v/>
      </c>
      <c r="Q162" s="298" t="str">
        <f>IF(B162="", "", 'Lighting Inventory (Ref only)'!J173)</f>
        <v/>
      </c>
      <c r="R162" s="298" t="str">
        <f>IF(B162="", "",'Lighting Inventory (Ref only)'!K173)</f>
        <v/>
      </c>
      <c r="S162" s="372" t="str">
        <f>IF(B162="", "", 'Lighting Inventory (Ref only)'!G173*'Lighting Inventory (Ref only)'!K173/1000)</f>
        <v/>
      </c>
      <c r="T162" s="298" t="str">
        <f>IF(B162="", "", IF('Lighting Inventory (Ref only)'!I173="", "Light Switch",Inventory!H170))</f>
        <v/>
      </c>
      <c r="U162" s="298" t="str">
        <f>IF(B162="", "", 'Lighting Inventory (Ref only)'!Q173)</f>
        <v/>
      </c>
      <c r="V162" s="298" t="str">
        <f>IF(B162="", "", 'Lighting Inventory (Ref only)'!K173)</f>
        <v/>
      </c>
      <c r="W162" s="373" t="str">
        <f>IF(B162="","",('Lighting Inventory (Ref only)'!L173/1000))</f>
        <v/>
      </c>
      <c r="X162" s="298" t="str">
        <f>IF(B162="", "", 'Lighting Inventory (Ref only)'!Q173)</f>
        <v/>
      </c>
      <c r="Y162" s="298" t="str">
        <f>IF(C162="", "", Inventory!N170)</f>
        <v/>
      </c>
      <c r="Z162" s="374" t="str">
        <f>IF(B162="", "", 'Lighting Inventory (Ref only)'!P173)</f>
        <v/>
      </c>
      <c r="AA162" s="372" t="str">
        <f>IF(B162="", "",'Lighting Inventory (Ref only)'!R173/1000)</f>
        <v/>
      </c>
      <c r="AB162" s="372" t="str">
        <f>IF(B162="", "", Inventory!M170)</f>
        <v/>
      </c>
      <c r="AC162" s="374" t="str">
        <f>IF(B162="", "", 'Lighting Inventory (Ref only)'!T173)</f>
        <v/>
      </c>
      <c r="AD162" s="374" t="str">
        <f>IF(C162="", "", 'Lighting Inventory (Ref only)'!AA173)</f>
        <v/>
      </c>
      <c r="AE162" s="375" t="str">
        <f>IF(B162="", "", 'Lighting Inventory (Ref only)'!U173)</f>
        <v/>
      </c>
      <c r="AF162" s="375" t="str">
        <f>IF(B162="", "",'Lighting Inventory (Ref only)'!W173)</f>
        <v/>
      </c>
      <c r="AG162" s="375" t="str">
        <f>IF(B162="", "", 'Lighting Inventory (Ref only)'!V173)</f>
        <v/>
      </c>
      <c r="AH162" s="375" t="str">
        <f>IF(B162="", "",'Lighting Inventory (Ref only)'!Z173)</f>
        <v/>
      </c>
      <c r="AI162" s="375" t="str">
        <f>IF(B162="", "", 'Lighting Inventory (Ref only)'!Y173)</f>
        <v/>
      </c>
      <c r="AJ162" s="375" t="str">
        <f>IF(C162="", "",'Lighting Inventory (Ref only)'!AB173)</f>
        <v/>
      </c>
      <c r="AK162" s="375" t="str">
        <f>IF(B162="", "", 'Lighting Inventory (Ref only)'!AG173)</f>
        <v/>
      </c>
      <c r="AL162" s="375" t="str">
        <f>IF(B162="", "", 'Lighting Inventory (Ref only)'!AD173)</f>
        <v/>
      </c>
      <c r="AM162" s="375" t="str">
        <f>IF(B162="", "", 'Lighting Inventory (Ref only)'!AE173)</f>
        <v/>
      </c>
      <c r="AN162" s="375" t="str">
        <f>IF(B162="", "", 'Lighting Inventory (Ref only)'!AF173)</f>
        <v/>
      </c>
      <c r="AO162" s="375" t="str">
        <f>IF(B162="", "", 'Lighting Inventory (Ref only)'!AG173)</f>
        <v/>
      </c>
    </row>
    <row r="163" spans="1:41">
      <c r="A163" s="298" t="str">
        <f>IF(G163="", "", Lookups!BF165)</f>
        <v/>
      </c>
      <c r="B163" s="298" t="str">
        <f>IF('Lighting Inventory (Ref only)'!Q174="", "", 'Lighting Inventory (Ref only)'!Q174)</f>
        <v/>
      </c>
      <c r="C163" s="298" t="str">
        <f>IF(A163="", "", 'Lighting Inventory (Ref only)'!AO174)</f>
        <v/>
      </c>
      <c r="D163" s="370" t="str">
        <f>IF(B163= "","", Inventory!S171)</f>
        <v/>
      </c>
      <c r="E163" s="371"/>
      <c r="F163" s="298" t="str">
        <f>IF(B163="", "", 'Version Log'!$B$34)</f>
        <v/>
      </c>
      <c r="G163" s="298" t="str">
        <f t="shared" si="8"/>
        <v/>
      </c>
      <c r="H163" s="298" t="str">
        <f t="shared" si="9"/>
        <v/>
      </c>
      <c r="I163" s="298" t="str">
        <f>IF(B163="", "",Inventory!D171)</f>
        <v/>
      </c>
      <c r="J163" s="298" t="str">
        <f>IF(B163="","",IF(Inventory!C171="N","Interior","Exterior"))</f>
        <v/>
      </c>
      <c r="K163" s="298" t="str">
        <f t="shared" si="10"/>
        <v/>
      </c>
      <c r="L163" s="298" t="str">
        <f>IF(B163="", "", Inventory!E171)</f>
        <v/>
      </c>
      <c r="M163" s="298" t="str">
        <f>IF(B163="","",IF(Cool_Type=Lookups!$L$9,Cool_Type,IF(Cool_Type=Lookups!$L$10,Cool_Type,IF(Cool_Type=Lookups!$L$11,Cool_Type,IF(Cool_Type=Lookups!L173,Cool_Type,IF('Project Info and Summary'!$C$20="Electric",CONCATENATE(Cool_Type," ",Heating_Type," Heat"),IF('Project Info and Summary'!$C$20="Non-Electric",CONCATENATE(Cool_Type," ",Heating_Type," Heat"),CONCATENATE(Cool_Type," ",Heating_Type))))))))</f>
        <v/>
      </c>
      <c r="N163" s="298" t="str">
        <f t="shared" si="11"/>
        <v/>
      </c>
      <c r="O163" s="298" t="str">
        <f>IF(B163="", "", 'Lighting Inventory (Ref only)'!G174)</f>
        <v/>
      </c>
      <c r="P163" s="298" t="str">
        <f>IF(B163="", "", 'Lighting Inventory (Ref only)'!E174)</f>
        <v/>
      </c>
      <c r="Q163" s="298" t="str">
        <f>IF(B163="", "", 'Lighting Inventory (Ref only)'!J174)</f>
        <v/>
      </c>
      <c r="R163" s="298" t="str">
        <f>IF(B163="", "",'Lighting Inventory (Ref only)'!K174)</f>
        <v/>
      </c>
      <c r="S163" s="372" t="str">
        <f>IF(B163="", "", 'Lighting Inventory (Ref only)'!G174*'Lighting Inventory (Ref only)'!K174/1000)</f>
        <v/>
      </c>
      <c r="T163" s="298" t="str">
        <f>IF(B163="", "", IF('Lighting Inventory (Ref only)'!I174="", "Light Switch",Inventory!H171))</f>
        <v/>
      </c>
      <c r="U163" s="298" t="str">
        <f>IF(B163="", "", 'Lighting Inventory (Ref only)'!Q174)</f>
        <v/>
      </c>
      <c r="V163" s="298" t="str">
        <f>IF(B163="", "", 'Lighting Inventory (Ref only)'!K174)</f>
        <v/>
      </c>
      <c r="W163" s="373" t="str">
        <f>IF(B163="","",('Lighting Inventory (Ref only)'!L174/1000))</f>
        <v/>
      </c>
      <c r="X163" s="298" t="str">
        <f>IF(B163="", "", 'Lighting Inventory (Ref only)'!Q174)</f>
        <v/>
      </c>
      <c r="Y163" s="298" t="str">
        <f>IF(C163="", "", Inventory!N171)</f>
        <v/>
      </c>
      <c r="Z163" s="374" t="str">
        <f>IF(B163="", "", 'Lighting Inventory (Ref only)'!P174)</f>
        <v/>
      </c>
      <c r="AA163" s="372" t="str">
        <f>IF(B163="", "",'Lighting Inventory (Ref only)'!R174/1000)</f>
        <v/>
      </c>
      <c r="AB163" s="372" t="str">
        <f>IF(B163="", "", Inventory!M171)</f>
        <v/>
      </c>
      <c r="AC163" s="374" t="str">
        <f>IF(B163="", "", 'Lighting Inventory (Ref only)'!T174)</f>
        <v/>
      </c>
      <c r="AD163" s="374" t="str">
        <f>IF(C163="", "", 'Lighting Inventory (Ref only)'!AA174)</f>
        <v/>
      </c>
      <c r="AE163" s="375" t="str">
        <f>IF(B163="", "", 'Lighting Inventory (Ref only)'!U174)</f>
        <v/>
      </c>
      <c r="AF163" s="375" t="str">
        <f>IF(B163="", "",'Lighting Inventory (Ref only)'!W174)</f>
        <v/>
      </c>
      <c r="AG163" s="375" t="str">
        <f>IF(B163="", "", 'Lighting Inventory (Ref only)'!V174)</f>
        <v/>
      </c>
      <c r="AH163" s="375" t="str">
        <f>IF(B163="", "",'Lighting Inventory (Ref only)'!Z174)</f>
        <v/>
      </c>
      <c r="AI163" s="375" t="str">
        <f>IF(B163="", "", 'Lighting Inventory (Ref only)'!Y174)</f>
        <v/>
      </c>
      <c r="AJ163" s="375" t="str">
        <f>IF(C163="", "",'Lighting Inventory (Ref only)'!AB174)</f>
        <v/>
      </c>
      <c r="AK163" s="375" t="str">
        <f>IF(B163="", "", 'Lighting Inventory (Ref only)'!AG174)</f>
        <v/>
      </c>
      <c r="AL163" s="375" t="str">
        <f>IF(B163="", "", 'Lighting Inventory (Ref only)'!AD174)</f>
        <v/>
      </c>
      <c r="AM163" s="375" t="str">
        <f>IF(B163="", "", 'Lighting Inventory (Ref only)'!AE174)</f>
        <v/>
      </c>
      <c r="AN163" s="375" t="str">
        <f>IF(B163="", "", 'Lighting Inventory (Ref only)'!AF174)</f>
        <v/>
      </c>
      <c r="AO163" s="375" t="str">
        <f>IF(B163="", "", 'Lighting Inventory (Ref only)'!AG174)</f>
        <v/>
      </c>
    </row>
    <row r="164" spans="1:41">
      <c r="A164" s="298" t="str">
        <f>IF(G164="", "", Lookups!BF166)</f>
        <v/>
      </c>
      <c r="B164" s="298" t="str">
        <f>IF('Lighting Inventory (Ref only)'!Q175="", "", 'Lighting Inventory (Ref only)'!Q175)</f>
        <v/>
      </c>
      <c r="C164" s="298" t="str">
        <f>IF(A164="", "", 'Lighting Inventory (Ref only)'!AO175)</f>
        <v/>
      </c>
      <c r="D164" s="370" t="str">
        <f>IF(B164= "","", Inventory!S172)</f>
        <v/>
      </c>
      <c r="E164" s="371"/>
      <c r="F164" s="298" t="str">
        <f>IF(B164="", "", 'Version Log'!$B$34)</f>
        <v/>
      </c>
      <c r="G164" s="298" t="str">
        <f t="shared" si="8"/>
        <v/>
      </c>
      <c r="H164" s="298" t="str">
        <f t="shared" si="9"/>
        <v/>
      </c>
      <c r="I164" s="298" t="str">
        <f>IF(B164="", "",Inventory!D172)</f>
        <v/>
      </c>
      <c r="J164" s="298" t="str">
        <f>IF(B164="","",IF(Inventory!C172="N","Interior","Exterior"))</f>
        <v/>
      </c>
      <c r="K164" s="298" t="str">
        <f t="shared" si="10"/>
        <v/>
      </c>
      <c r="L164" s="298" t="str">
        <f>IF(B164="", "", Inventory!E172)</f>
        <v/>
      </c>
      <c r="M164" s="298" t="str">
        <f>IF(B164="","",IF(Cool_Type=Lookups!$L$9,Cool_Type,IF(Cool_Type=Lookups!$L$10,Cool_Type,IF(Cool_Type=Lookups!$L$11,Cool_Type,IF(Cool_Type=Lookups!L174,Cool_Type,IF('Project Info and Summary'!$C$20="Electric",CONCATENATE(Cool_Type," ",Heating_Type," Heat"),IF('Project Info and Summary'!$C$20="Non-Electric",CONCATENATE(Cool_Type," ",Heating_Type," Heat"),CONCATENATE(Cool_Type," ",Heating_Type))))))))</f>
        <v/>
      </c>
      <c r="N164" s="298" t="str">
        <f t="shared" si="11"/>
        <v/>
      </c>
      <c r="O164" s="298" t="str">
        <f>IF(B164="", "", 'Lighting Inventory (Ref only)'!G175)</f>
        <v/>
      </c>
      <c r="P164" s="298" t="str">
        <f>IF(B164="", "", 'Lighting Inventory (Ref only)'!E175)</f>
        <v/>
      </c>
      <c r="Q164" s="298" t="str">
        <f>IF(B164="", "", 'Lighting Inventory (Ref only)'!J175)</f>
        <v/>
      </c>
      <c r="R164" s="298" t="str">
        <f>IF(B164="", "",'Lighting Inventory (Ref only)'!K175)</f>
        <v/>
      </c>
      <c r="S164" s="372" t="str">
        <f>IF(B164="", "", 'Lighting Inventory (Ref only)'!G175*'Lighting Inventory (Ref only)'!K175/1000)</f>
        <v/>
      </c>
      <c r="T164" s="298" t="str">
        <f>IF(B164="", "", IF('Lighting Inventory (Ref only)'!I175="", "Light Switch",Inventory!H172))</f>
        <v/>
      </c>
      <c r="U164" s="298" t="str">
        <f>IF(B164="", "", 'Lighting Inventory (Ref only)'!Q175)</f>
        <v/>
      </c>
      <c r="V164" s="298" t="str">
        <f>IF(B164="", "", 'Lighting Inventory (Ref only)'!K175)</f>
        <v/>
      </c>
      <c r="W164" s="373" t="str">
        <f>IF(B164="","",('Lighting Inventory (Ref only)'!L175/1000))</f>
        <v/>
      </c>
      <c r="X164" s="298" t="str">
        <f>IF(B164="", "", 'Lighting Inventory (Ref only)'!Q175)</f>
        <v/>
      </c>
      <c r="Y164" s="298" t="str">
        <f>IF(C164="", "", Inventory!N172)</f>
        <v/>
      </c>
      <c r="Z164" s="374" t="str">
        <f>IF(B164="", "", 'Lighting Inventory (Ref only)'!P175)</f>
        <v/>
      </c>
      <c r="AA164" s="372" t="str">
        <f>IF(B164="", "",'Lighting Inventory (Ref only)'!R175/1000)</f>
        <v/>
      </c>
      <c r="AB164" s="372" t="str">
        <f>IF(B164="", "", Inventory!M172)</f>
        <v/>
      </c>
      <c r="AC164" s="374" t="str">
        <f>IF(B164="", "", 'Lighting Inventory (Ref only)'!T175)</f>
        <v/>
      </c>
      <c r="AD164" s="374" t="str">
        <f>IF(C164="", "", 'Lighting Inventory (Ref only)'!AA175)</f>
        <v/>
      </c>
      <c r="AE164" s="375" t="str">
        <f>IF(B164="", "", 'Lighting Inventory (Ref only)'!U175)</f>
        <v/>
      </c>
      <c r="AF164" s="375" t="str">
        <f>IF(B164="", "",'Lighting Inventory (Ref only)'!W175)</f>
        <v/>
      </c>
      <c r="AG164" s="375" t="str">
        <f>IF(B164="", "", 'Lighting Inventory (Ref only)'!V175)</f>
        <v/>
      </c>
      <c r="AH164" s="375" t="str">
        <f>IF(B164="", "",'Lighting Inventory (Ref only)'!Z175)</f>
        <v/>
      </c>
      <c r="AI164" s="375" t="str">
        <f>IF(B164="", "", 'Lighting Inventory (Ref only)'!Y175)</f>
        <v/>
      </c>
      <c r="AJ164" s="375" t="str">
        <f>IF(C164="", "",'Lighting Inventory (Ref only)'!AB175)</f>
        <v/>
      </c>
      <c r="AK164" s="375" t="str">
        <f>IF(B164="", "", 'Lighting Inventory (Ref only)'!AG175)</f>
        <v/>
      </c>
      <c r="AL164" s="375" t="str">
        <f>IF(B164="", "", 'Lighting Inventory (Ref only)'!AD175)</f>
        <v/>
      </c>
      <c r="AM164" s="375" t="str">
        <f>IF(B164="", "", 'Lighting Inventory (Ref only)'!AE175)</f>
        <v/>
      </c>
      <c r="AN164" s="375" t="str">
        <f>IF(B164="", "", 'Lighting Inventory (Ref only)'!AF175)</f>
        <v/>
      </c>
      <c r="AO164" s="375" t="str">
        <f>IF(B164="", "", 'Lighting Inventory (Ref only)'!AG175)</f>
        <v/>
      </c>
    </row>
    <row r="165" spans="1:41">
      <c r="A165" s="298" t="str">
        <f>IF(G165="", "", Lookups!BF167)</f>
        <v/>
      </c>
      <c r="B165" s="298" t="str">
        <f>IF('Lighting Inventory (Ref only)'!Q176="", "", 'Lighting Inventory (Ref only)'!Q176)</f>
        <v/>
      </c>
      <c r="C165" s="298" t="str">
        <f>IF(A165="", "", 'Lighting Inventory (Ref only)'!AO176)</f>
        <v/>
      </c>
      <c r="D165" s="370" t="str">
        <f>IF(B165= "","", Inventory!S173)</f>
        <v/>
      </c>
      <c r="E165" s="371"/>
      <c r="F165" s="298" t="str">
        <f>IF(B165="", "", 'Version Log'!$B$34)</f>
        <v/>
      </c>
      <c r="G165" s="298" t="str">
        <f t="shared" si="8"/>
        <v/>
      </c>
      <c r="H165" s="298" t="str">
        <f t="shared" si="9"/>
        <v/>
      </c>
      <c r="I165" s="298" t="str">
        <f>IF(B165="", "",Inventory!D173)</f>
        <v/>
      </c>
      <c r="J165" s="298" t="str">
        <f>IF(B165="","",IF(Inventory!C173="N","Interior","Exterior"))</f>
        <v/>
      </c>
      <c r="K165" s="298" t="str">
        <f t="shared" si="10"/>
        <v/>
      </c>
      <c r="L165" s="298" t="str">
        <f>IF(B165="", "", Inventory!E173)</f>
        <v/>
      </c>
      <c r="M165" s="298" t="str">
        <f>IF(B165="","",IF(Cool_Type=Lookups!$L$9,Cool_Type,IF(Cool_Type=Lookups!$L$10,Cool_Type,IF(Cool_Type=Lookups!$L$11,Cool_Type,IF(Cool_Type=Lookups!L175,Cool_Type,IF('Project Info and Summary'!$C$20="Electric",CONCATENATE(Cool_Type," ",Heating_Type," Heat"),IF('Project Info and Summary'!$C$20="Non-Electric",CONCATENATE(Cool_Type," ",Heating_Type," Heat"),CONCATENATE(Cool_Type," ",Heating_Type))))))))</f>
        <v/>
      </c>
      <c r="N165" s="298" t="str">
        <f t="shared" si="11"/>
        <v/>
      </c>
      <c r="O165" s="298" t="str">
        <f>IF(B165="", "", 'Lighting Inventory (Ref only)'!G176)</f>
        <v/>
      </c>
      <c r="P165" s="298" t="str">
        <f>IF(B165="", "", 'Lighting Inventory (Ref only)'!E176)</f>
        <v/>
      </c>
      <c r="Q165" s="298" t="str">
        <f>IF(B165="", "", 'Lighting Inventory (Ref only)'!J176)</f>
        <v/>
      </c>
      <c r="R165" s="298" t="str">
        <f>IF(B165="", "",'Lighting Inventory (Ref only)'!K176)</f>
        <v/>
      </c>
      <c r="S165" s="372" t="str">
        <f>IF(B165="", "", 'Lighting Inventory (Ref only)'!G176*'Lighting Inventory (Ref only)'!K176/1000)</f>
        <v/>
      </c>
      <c r="T165" s="298" t="str">
        <f>IF(B165="", "", IF('Lighting Inventory (Ref only)'!I176="", "Light Switch",Inventory!H173))</f>
        <v/>
      </c>
      <c r="U165" s="298" t="str">
        <f>IF(B165="", "", 'Lighting Inventory (Ref only)'!Q176)</f>
        <v/>
      </c>
      <c r="V165" s="298" t="str">
        <f>IF(B165="", "", 'Lighting Inventory (Ref only)'!K176)</f>
        <v/>
      </c>
      <c r="W165" s="373" t="str">
        <f>IF(B165="","",('Lighting Inventory (Ref only)'!L176/1000))</f>
        <v/>
      </c>
      <c r="X165" s="298" t="str">
        <f>IF(B165="", "", 'Lighting Inventory (Ref only)'!Q176)</f>
        <v/>
      </c>
      <c r="Y165" s="298" t="str">
        <f>IF(C165="", "", Inventory!N173)</f>
        <v/>
      </c>
      <c r="Z165" s="374" t="str">
        <f>IF(B165="", "", 'Lighting Inventory (Ref only)'!P176)</f>
        <v/>
      </c>
      <c r="AA165" s="372" t="str">
        <f>IF(B165="", "",'Lighting Inventory (Ref only)'!R176/1000)</f>
        <v/>
      </c>
      <c r="AB165" s="372" t="str">
        <f>IF(B165="", "", Inventory!M173)</f>
        <v/>
      </c>
      <c r="AC165" s="374" t="str">
        <f>IF(B165="", "", 'Lighting Inventory (Ref only)'!T176)</f>
        <v/>
      </c>
      <c r="AD165" s="374" t="str">
        <f>IF(C165="", "", 'Lighting Inventory (Ref only)'!AA176)</f>
        <v/>
      </c>
      <c r="AE165" s="375" t="str">
        <f>IF(B165="", "", 'Lighting Inventory (Ref only)'!U176)</f>
        <v/>
      </c>
      <c r="AF165" s="375" t="str">
        <f>IF(B165="", "",'Lighting Inventory (Ref only)'!W176)</f>
        <v/>
      </c>
      <c r="AG165" s="375" t="str">
        <f>IF(B165="", "", 'Lighting Inventory (Ref only)'!V176)</f>
        <v/>
      </c>
      <c r="AH165" s="375" t="str">
        <f>IF(B165="", "",'Lighting Inventory (Ref only)'!Z176)</f>
        <v/>
      </c>
      <c r="AI165" s="375" t="str">
        <f>IF(B165="", "", 'Lighting Inventory (Ref only)'!Y176)</f>
        <v/>
      </c>
      <c r="AJ165" s="375" t="str">
        <f>IF(C165="", "",'Lighting Inventory (Ref only)'!AB176)</f>
        <v/>
      </c>
      <c r="AK165" s="375" t="str">
        <f>IF(B165="", "", 'Lighting Inventory (Ref only)'!AG176)</f>
        <v/>
      </c>
      <c r="AL165" s="375" t="str">
        <f>IF(B165="", "", 'Lighting Inventory (Ref only)'!AD176)</f>
        <v/>
      </c>
      <c r="AM165" s="375" t="str">
        <f>IF(B165="", "", 'Lighting Inventory (Ref only)'!AE176)</f>
        <v/>
      </c>
      <c r="AN165" s="375" t="str">
        <f>IF(B165="", "", 'Lighting Inventory (Ref only)'!AF176)</f>
        <v/>
      </c>
      <c r="AO165" s="375" t="str">
        <f>IF(B165="", "", 'Lighting Inventory (Ref only)'!AG176)</f>
        <v/>
      </c>
    </row>
    <row r="166" spans="1:41">
      <c r="A166" s="298" t="str">
        <f>IF(G166="", "", Lookups!BF168)</f>
        <v/>
      </c>
      <c r="B166" s="298" t="str">
        <f>IF('Lighting Inventory (Ref only)'!Q177="", "", 'Lighting Inventory (Ref only)'!Q177)</f>
        <v/>
      </c>
      <c r="C166" s="298" t="str">
        <f>IF(A166="", "", 'Lighting Inventory (Ref only)'!AO177)</f>
        <v/>
      </c>
      <c r="D166" s="370" t="str">
        <f>IF(B166= "","", Inventory!S174)</f>
        <v/>
      </c>
      <c r="E166" s="371"/>
      <c r="F166" s="298" t="str">
        <f>IF(B166="", "", 'Version Log'!$B$34)</f>
        <v/>
      </c>
      <c r="G166" s="298" t="str">
        <f t="shared" si="8"/>
        <v/>
      </c>
      <c r="H166" s="298" t="str">
        <f t="shared" si="9"/>
        <v/>
      </c>
      <c r="I166" s="298" t="str">
        <f>IF(B166="", "",Inventory!D174)</f>
        <v/>
      </c>
      <c r="J166" s="298" t="str">
        <f>IF(B166="","",IF(Inventory!C174="N","Interior","Exterior"))</f>
        <v/>
      </c>
      <c r="K166" s="298" t="str">
        <f t="shared" si="10"/>
        <v/>
      </c>
      <c r="L166" s="298" t="str">
        <f>IF(B166="", "", Inventory!E174)</f>
        <v/>
      </c>
      <c r="M166" s="298" t="str">
        <f>IF(B166="","",IF(Cool_Type=Lookups!$L$9,Cool_Type,IF(Cool_Type=Lookups!$L$10,Cool_Type,IF(Cool_Type=Lookups!$L$11,Cool_Type,IF(Cool_Type=Lookups!L176,Cool_Type,IF('Project Info and Summary'!$C$20="Electric",CONCATENATE(Cool_Type," ",Heating_Type," Heat"),IF('Project Info and Summary'!$C$20="Non-Electric",CONCATENATE(Cool_Type," ",Heating_Type," Heat"),CONCATENATE(Cool_Type," ",Heating_Type))))))))</f>
        <v/>
      </c>
      <c r="N166" s="298" t="str">
        <f t="shared" si="11"/>
        <v/>
      </c>
      <c r="O166" s="298" t="str">
        <f>IF(B166="", "", 'Lighting Inventory (Ref only)'!G177)</f>
        <v/>
      </c>
      <c r="P166" s="298" t="str">
        <f>IF(B166="", "", 'Lighting Inventory (Ref only)'!E177)</f>
        <v/>
      </c>
      <c r="Q166" s="298" t="str">
        <f>IF(B166="", "", 'Lighting Inventory (Ref only)'!J177)</f>
        <v/>
      </c>
      <c r="R166" s="298" t="str">
        <f>IF(B166="", "",'Lighting Inventory (Ref only)'!K177)</f>
        <v/>
      </c>
      <c r="S166" s="372" t="str">
        <f>IF(B166="", "", 'Lighting Inventory (Ref only)'!G177*'Lighting Inventory (Ref only)'!K177/1000)</f>
        <v/>
      </c>
      <c r="T166" s="298" t="str">
        <f>IF(B166="", "", IF('Lighting Inventory (Ref only)'!I177="", "Light Switch",Inventory!H174))</f>
        <v/>
      </c>
      <c r="U166" s="298" t="str">
        <f>IF(B166="", "", 'Lighting Inventory (Ref only)'!Q177)</f>
        <v/>
      </c>
      <c r="V166" s="298" t="str">
        <f>IF(B166="", "", 'Lighting Inventory (Ref only)'!K177)</f>
        <v/>
      </c>
      <c r="W166" s="373" t="str">
        <f>IF(B166="","",('Lighting Inventory (Ref only)'!L177/1000))</f>
        <v/>
      </c>
      <c r="X166" s="298" t="str">
        <f>IF(B166="", "", 'Lighting Inventory (Ref only)'!Q177)</f>
        <v/>
      </c>
      <c r="Y166" s="298" t="str">
        <f>IF(C166="", "", Inventory!N174)</f>
        <v/>
      </c>
      <c r="Z166" s="374" t="str">
        <f>IF(B166="", "", 'Lighting Inventory (Ref only)'!P177)</f>
        <v/>
      </c>
      <c r="AA166" s="372" t="str">
        <f>IF(B166="", "",'Lighting Inventory (Ref only)'!R177/1000)</f>
        <v/>
      </c>
      <c r="AB166" s="372" t="str">
        <f>IF(B166="", "", Inventory!M174)</f>
        <v/>
      </c>
      <c r="AC166" s="374" t="str">
        <f>IF(B166="", "", 'Lighting Inventory (Ref only)'!T177)</f>
        <v/>
      </c>
      <c r="AD166" s="374" t="str">
        <f>IF(C166="", "", 'Lighting Inventory (Ref only)'!AA177)</f>
        <v/>
      </c>
      <c r="AE166" s="375" t="str">
        <f>IF(B166="", "", 'Lighting Inventory (Ref only)'!U177)</f>
        <v/>
      </c>
      <c r="AF166" s="375" t="str">
        <f>IF(B166="", "",'Lighting Inventory (Ref only)'!W177)</f>
        <v/>
      </c>
      <c r="AG166" s="375" t="str">
        <f>IF(B166="", "", 'Lighting Inventory (Ref only)'!V177)</f>
        <v/>
      </c>
      <c r="AH166" s="375" t="str">
        <f>IF(B166="", "",'Lighting Inventory (Ref only)'!Z177)</f>
        <v/>
      </c>
      <c r="AI166" s="375" t="str">
        <f>IF(B166="", "", 'Lighting Inventory (Ref only)'!Y177)</f>
        <v/>
      </c>
      <c r="AJ166" s="375" t="str">
        <f>IF(C166="", "",'Lighting Inventory (Ref only)'!AB177)</f>
        <v/>
      </c>
      <c r="AK166" s="375" t="str">
        <f>IF(B166="", "", 'Lighting Inventory (Ref only)'!AG177)</f>
        <v/>
      </c>
      <c r="AL166" s="375" t="str">
        <f>IF(B166="", "", 'Lighting Inventory (Ref only)'!AD177)</f>
        <v/>
      </c>
      <c r="AM166" s="375" t="str">
        <f>IF(B166="", "", 'Lighting Inventory (Ref only)'!AE177)</f>
        <v/>
      </c>
      <c r="AN166" s="375" t="str">
        <f>IF(B166="", "", 'Lighting Inventory (Ref only)'!AF177)</f>
        <v/>
      </c>
      <c r="AO166" s="375" t="str">
        <f>IF(B166="", "", 'Lighting Inventory (Ref only)'!AG177)</f>
        <v/>
      </c>
    </row>
    <row r="167" spans="1:41">
      <c r="A167" s="298" t="str">
        <f>IF(G167="", "", Lookups!BF169)</f>
        <v/>
      </c>
      <c r="B167" s="298" t="str">
        <f>IF('Lighting Inventory (Ref only)'!Q178="", "", 'Lighting Inventory (Ref only)'!Q178)</f>
        <v/>
      </c>
      <c r="C167" s="298" t="str">
        <f>IF(A167="", "", 'Lighting Inventory (Ref only)'!AO178)</f>
        <v/>
      </c>
      <c r="D167" s="370" t="str">
        <f>IF(B167= "","", Inventory!S175)</f>
        <v/>
      </c>
      <c r="E167" s="371"/>
      <c r="F167" s="298" t="str">
        <f>IF(B167="", "", 'Version Log'!$B$34)</f>
        <v/>
      </c>
      <c r="G167" s="298" t="str">
        <f t="shared" si="8"/>
        <v/>
      </c>
      <c r="H167" s="298" t="str">
        <f t="shared" si="9"/>
        <v/>
      </c>
      <c r="I167" s="298" t="str">
        <f>IF(B167="", "",Inventory!D175)</f>
        <v/>
      </c>
      <c r="J167" s="298" t="str">
        <f>IF(B167="","",IF(Inventory!C175="N","Interior","Exterior"))</f>
        <v/>
      </c>
      <c r="K167" s="298" t="str">
        <f t="shared" si="10"/>
        <v/>
      </c>
      <c r="L167" s="298" t="str">
        <f>IF(B167="", "", Inventory!E175)</f>
        <v/>
      </c>
      <c r="M167" s="298" t="str">
        <f>IF(B167="","",IF(Cool_Type=Lookups!$L$9,Cool_Type,IF(Cool_Type=Lookups!$L$10,Cool_Type,IF(Cool_Type=Lookups!$L$11,Cool_Type,IF(Cool_Type=Lookups!L177,Cool_Type,IF('Project Info and Summary'!$C$20="Electric",CONCATENATE(Cool_Type," ",Heating_Type," Heat"),IF('Project Info and Summary'!$C$20="Non-Electric",CONCATENATE(Cool_Type," ",Heating_Type," Heat"),CONCATENATE(Cool_Type," ",Heating_Type))))))))</f>
        <v/>
      </c>
      <c r="N167" s="298" t="str">
        <f t="shared" si="11"/>
        <v/>
      </c>
      <c r="O167" s="298" t="str">
        <f>IF(B167="", "", 'Lighting Inventory (Ref only)'!G178)</f>
        <v/>
      </c>
      <c r="P167" s="298" t="str">
        <f>IF(B167="", "", 'Lighting Inventory (Ref only)'!E178)</f>
        <v/>
      </c>
      <c r="Q167" s="298" t="str">
        <f>IF(B167="", "", 'Lighting Inventory (Ref only)'!J178)</f>
        <v/>
      </c>
      <c r="R167" s="298" t="str">
        <f>IF(B167="", "",'Lighting Inventory (Ref only)'!K178)</f>
        <v/>
      </c>
      <c r="S167" s="372" t="str">
        <f>IF(B167="", "", 'Lighting Inventory (Ref only)'!G178*'Lighting Inventory (Ref only)'!K178/1000)</f>
        <v/>
      </c>
      <c r="T167" s="298" t="str">
        <f>IF(B167="", "", IF('Lighting Inventory (Ref only)'!I178="", "Light Switch",Inventory!H175))</f>
        <v/>
      </c>
      <c r="U167" s="298" t="str">
        <f>IF(B167="", "", 'Lighting Inventory (Ref only)'!Q178)</f>
        <v/>
      </c>
      <c r="V167" s="298" t="str">
        <f>IF(B167="", "", 'Lighting Inventory (Ref only)'!K178)</f>
        <v/>
      </c>
      <c r="W167" s="373" t="str">
        <f>IF(B167="","",('Lighting Inventory (Ref only)'!L178/1000))</f>
        <v/>
      </c>
      <c r="X167" s="298" t="str">
        <f>IF(B167="", "", 'Lighting Inventory (Ref only)'!Q178)</f>
        <v/>
      </c>
      <c r="Y167" s="298" t="str">
        <f>IF(C167="", "", Inventory!N175)</f>
        <v/>
      </c>
      <c r="Z167" s="374" t="str">
        <f>IF(B167="", "", 'Lighting Inventory (Ref only)'!P178)</f>
        <v/>
      </c>
      <c r="AA167" s="372" t="str">
        <f>IF(B167="", "",'Lighting Inventory (Ref only)'!R178/1000)</f>
        <v/>
      </c>
      <c r="AB167" s="372" t="str">
        <f>IF(B167="", "", Inventory!M175)</f>
        <v/>
      </c>
      <c r="AC167" s="374" t="str">
        <f>IF(B167="", "", 'Lighting Inventory (Ref only)'!T178)</f>
        <v/>
      </c>
      <c r="AD167" s="374" t="str">
        <f>IF(C167="", "", 'Lighting Inventory (Ref only)'!AA178)</f>
        <v/>
      </c>
      <c r="AE167" s="375" t="str">
        <f>IF(B167="", "", 'Lighting Inventory (Ref only)'!U178)</f>
        <v/>
      </c>
      <c r="AF167" s="375" t="str">
        <f>IF(B167="", "",'Lighting Inventory (Ref only)'!W178)</f>
        <v/>
      </c>
      <c r="AG167" s="375" t="str">
        <f>IF(B167="", "", 'Lighting Inventory (Ref only)'!V178)</f>
        <v/>
      </c>
      <c r="AH167" s="375" t="str">
        <f>IF(B167="", "",'Lighting Inventory (Ref only)'!Z178)</f>
        <v/>
      </c>
      <c r="AI167" s="375" t="str">
        <f>IF(B167="", "", 'Lighting Inventory (Ref only)'!Y178)</f>
        <v/>
      </c>
      <c r="AJ167" s="375" t="str">
        <f>IF(C167="", "",'Lighting Inventory (Ref only)'!AB178)</f>
        <v/>
      </c>
      <c r="AK167" s="375" t="str">
        <f>IF(B167="", "", 'Lighting Inventory (Ref only)'!AG178)</f>
        <v/>
      </c>
      <c r="AL167" s="375" t="str">
        <f>IF(B167="", "", 'Lighting Inventory (Ref only)'!AD178)</f>
        <v/>
      </c>
      <c r="AM167" s="375" t="str">
        <f>IF(B167="", "", 'Lighting Inventory (Ref only)'!AE178)</f>
        <v/>
      </c>
      <c r="AN167" s="375" t="str">
        <f>IF(B167="", "", 'Lighting Inventory (Ref only)'!AF178)</f>
        <v/>
      </c>
      <c r="AO167" s="375" t="str">
        <f>IF(B167="", "", 'Lighting Inventory (Ref only)'!AG178)</f>
        <v/>
      </c>
    </row>
    <row r="168" spans="1:41">
      <c r="A168" s="298" t="str">
        <f>IF(G168="", "", Lookups!BF170)</f>
        <v/>
      </c>
      <c r="B168" s="298" t="str">
        <f>IF('Lighting Inventory (Ref only)'!Q179="", "", 'Lighting Inventory (Ref only)'!Q179)</f>
        <v/>
      </c>
      <c r="C168" s="298" t="str">
        <f>IF(A168="", "", 'Lighting Inventory (Ref only)'!AO179)</f>
        <v/>
      </c>
      <c r="D168" s="370" t="str">
        <f>IF(B168= "","", Inventory!S176)</f>
        <v/>
      </c>
      <c r="E168" s="371"/>
      <c r="F168" s="298" t="str">
        <f>IF(B168="", "", 'Version Log'!$B$34)</f>
        <v/>
      </c>
      <c r="G168" s="298" t="str">
        <f t="shared" si="8"/>
        <v/>
      </c>
      <c r="H168" s="298" t="str">
        <f t="shared" si="9"/>
        <v/>
      </c>
      <c r="I168" s="298" t="str">
        <f>IF(B168="", "",Inventory!D176)</f>
        <v/>
      </c>
      <c r="J168" s="298" t="str">
        <f>IF(B168="","",IF(Inventory!C176="N","Interior","Exterior"))</f>
        <v/>
      </c>
      <c r="K168" s="298" t="str">
        <f t="shared" si="10"/>
        <v/>
      </c>
      <c r="L168" s="298" t="str">
        <f>IF(B168="", "", Inventory!E176)</f>
        <v/>
      </c>
      <c r="M168" s="298" t="str">
        <f>IF(B168="","",IF(Cool_Type=Lookups!$L$9,Cool_Type,IF(Cool_Type=Lookups!$L$10,Cool_Type,IF(Cool_Type=Lookups!$L$11,Cool_Type,IF(Cool_Type=Lookups!L178,Cool_Type,IF('Project Info and Summary'!$C$20="Electric",CONCATENATE(Cool_Type," ",Heating_Type," Heat"),IF('Project Info and Summary'!$C$20="Non-Electric",CONCATENATE(Cool_Type," ",Heating_Type," Heat"),CONCATENATE(Cool_Type," ",Heating_Type))))))))</f>
        <v/>
      </c>
      <c r="N168" s="298" t="str">
        <f t="shared" si="11"/>
        <v/>
      </c>
      <c r="O168" s="298" t="str">
        <f>IF(B168="", "", 'Lighting Inventory (Ref only)'!G179)</f>
        <v/>
      </c>
      <c r="P168" s="298" t="str">
        <f>IF(B168="", "", 'Lighting Inventory (Ref only)'!E179)</f>
        <v/>
      </c>
      <c r="Q168" s="298" t="str">
        <f>IF(B168="", "", 'Lighting Inventory (Ref only)'!J179)</f>
        <v/>
      </c>
      <c r="R168" s="298" t="str">
        <f>IF(B168="", "",'Lighting Inventory (Ref only)'!K179)</f>
        <v/>
      </c>
      <c r="S168" s="372" t="str">
        <f>IF(B168="", "", 'Lighting Inventory (Ref only)'!G179*'Lighting Inventory (Ref only)'!K179/1000)</f>
        <v/>
      </c>
      <c r="T168" s="298" t="str">
        <f>IF(B168="", "", IF('Lighting Inventory (Ref only)'!I179="", "Light Switch",Inventory!H176))</f>
        <v/>
      </c>
      <c r="U168" s="298" t="str">
        <f>IF(B168="", "", 'Lighting Inventory (Ref only)'!Q179)</f>
        <v/>
      </c>
      <c r="V168" s="298" t="str">
        <f>IF(B168="", "", 'Lighting Inventory (Ref only)'!K179)</f>
        <v/>
      </c>
      <c r="W168" s="373" t="str">
        <f>IF(B168="","",('Lighting Inventory (Ref only)'!L179/1000))</f>
        <v/>
      </c>
      <c r="X168" s="298" t="str">
        <f>IF(B168="", "", 'Lighting Inventory (Ref only)'!Q179)</f>
        <v/>
      </c>
      <c r="Y168" s="298" t="str">
        <f>IF(C168="", "", Inventory!N176)</f>
        <v/>
      </c>
      <c r="Z168" s="374" t="str">
        <f>IF(B168="", "", 'Lighting Inventory (Ref only)'!P179)</f>
        <v/>
      </c>
      <c r="AA168" s="372" t="str">
        <f>IF(B168="", "",'Lighting Inventory (Ref only)'!R179/1000)</f>
        <v/>
      </c>
      <c r="AB168" s="372" t="str">
        <f>IF(B168="", "", Inventory!M176)</f>
        <v/>
      </c>
      <c r="AC168" s="374" t="str">
        <f>IF(B168="", "", 'Lighting Inventory (Ref only)'!T179)</f>
        <v/>
      </c>
      <c r="AD168" s="374" t="str">
        <f>IF(C168="", "", 'Lighting Inventory (Ref only)'!AA179)</f>
        <v/>
      </c>
      <c r="AE168" s="375" t="str">
        <f>IF(B168="", "", 'Lighting Inventory (Ref only)'!U179)</f>
        <v/>
      </c>
      <c r="AF168" s="375" t="str">
        <f>IF(B168="", "",'Lighting Inventory (Ref only)'!W179)</f>
        <v/>
      </c>
      <c r="AG168" s="375" t="str">
        <f>IF(B168="", "", 'Lighting Inventory (Ref only)'!V179)</f>
        <v/>
      </c>
      <c r="AH168" s="375" t="str">
        <f>IF(B168="", "",'Lighting Inventory (Ref only)'!Z179)</f>
        <v/>
      </c>
      <c r="AI168" s="375" t="str">
        <f>IF(B168="", "", 'Lighting Inventory (Ref only)'!Y179)</f>
        <v/>
      </c>
      <c r="AJ168" s="375" t="str">
        <f>IF(C168="", "",'Lighting Inventory (Ref only)'!AB179)</f>
        <v/>
      </c>
      <c r="AK168" s="375" t="str">
        <f>IF(B168="", "", 'Lighting Inventory (Ref only)'!AG179)</f>
        <v/>
      </c>
      <c r="AL168" s="375" t="str">
        <f>IF(B168="", "", 'Lighting Inventory (Ref only)'!AD179)</f>
        <v/>
      </c>
      <c r="AM168" s="375" t="str">
        <f>IF(B168="", "", 'Lighting Inventory (Ref only)'!AE179)</f>
        <v/>
      </c>
      <c r="AN168" s="375" t="str">
        <f>IF(B168="", "", 'Lighting Inventory (Ref only)'!AF179)</f>
        <v/>
      </c>
      <c r="AO168" s="375" t="str">
        <f>IF(B168="", "", 'Lighting Inventory (Ref only)'!AG179)</f>
        <v/>
      </c>
    </row>
    <row r="169" spans="1:41">
      <c r="A169" s="298" t="str">
        <f>IF(G169="", "", Lookups!BF171)</f>
        <v/>
      </c>
      <c r="B169" s="298" t="str">
        <f>IF('Lighting Inventory (Ref only)'!Q180="", "", 'Lighting Inventory (Ref only)'!Q180)</f>
        <v/>
      </c>
      <c r="C169" s="298" t="str">
        <f>IF(A169="", "", 'Lighting Inventory (Ref only)'!AO180)</f>
        <v/>
      </c>
      <c r="D169" s="370" t="str">
        <f>IF(B169= "","", Inventory!S177)</f>
        <v/>
      </c>
      <c r="E169" s="371"/>
      <c r="F169" s="298" t="str">
        <f>IF(B169="", "", 'Version Log'!$B$34)</f>
        <v/>
      </c>
      <c r="G169" s="298" t="str">
        <f t="shared" si="8"/>
        <v/>
      </c>
      <c r="H169" s="298" t="str">
        <f t="shared" si="9"/>
        <v/>
      </c>
      <c r="I169" s="298" t="str">
        <f>IF(B169="", "",Inventory!D177)</f>
        <v/>
      </c>
      <c r="J169" s="298" t="str">
        <f>IF(B169="","",IF(Inventory!C177="N","Interior","Exterior"))</f>
        <v/>
      </c>
      <c r="K169" s="298" t="str">
        <f t="shared" si="10"/>
        <v/>
      </c>
      <c r="L169" s="298" t="str">
        <f>IF(B169="", "", Inventory!E177)</f>
        <v/>
      </c>
      <c r="M169" s="298" t="str">
        <f>IF(B169="","",IF(Cool_Type=Lookups!$L$9,Cool_Type,IF(Cool_Type=Lookups!$L$10,Cool_Type,IF(Cool_Type=Lookups!$L$11,Cool_Type,IF(Cool_Type=Lookups!L179,Cool_Type,IF('Project Info and Summary'!$C$20="Electric",CONCATENATE(Cool_Type," ",Heating_Type," Heat"),IF('Project Info and Summary'!$C$20="Non-Electric",CONCATENATE(Cool_Type," ",Heating_Type," Heat"),CONCATENATE(Cool_Type," ",Heating_Type))))))))</f>
        <v/>
      </c>
      <c r="N169" s="298" t="str">
        <f t="shared" si="11"/>
        <v/>
      </c>
      <c r="O169" s="298" t="str">
        <f>IF(B169="", "", 'Lighting Inventory (Ref only)'!G180)</f>
        <v/>
      </c>
      <c r="P169" s="298" t="str">
        <f>IF(B169="", "", 'Lighting Inventory (Ref only)'!E180)</f>
        <v/>
      </c>
      <c r="Q169" s="298" t="str">
        <f>IF(B169="", "", 'Lighting Inventory (Ref only)'!J180)</f>
        <v/>
      </c>
      <c r="R169" s="298" t="str">
        <f>IF(B169="", "",'Lighting Inventory (Ref only)'!K180)</f>
        <v/>
      </c>
      <c r="S169" s="372" t="str">
        <f>IF(B169="", "", 'Lighting Inventory (Ref only)'!G180*'Lighting Inventory (Ref only)'!K180/1000)</f>
        <v/>
      </c>
      <c r="T169" s="298" t="str">
        <f>IF(B169="", "", IF('Lighting Inventory (Ref only)'!I180="", "Light Switch",Inventory!H177))</f>
        <v/>
      </c>
      <c r="U169" s="298" t="str">
        <f>IF(B169="", "", 'Lighting Inventory (Ref only)'!Q180)</f>
        <v/>
      </c>
      <c r="V169" s="298" t="str">
        <f>IF(B169="", "", 'Lighting Inventory (Ref only)'!K180)</f>
        <v/>
      </c>
      <c r="W169" s="373" t="str">
        <f>IF(B169="","",('Lighting Inventory (Ref only)'!L180/1000))</f>
        <v/>
      </c>
      <c r="X169" s="298" t="str">
        <f>IF(B169="", "", 'Lighting Inventory (Ref only)'!Q180)</f>
        <v/>
      </c>
      <c r="Y169" s="298" t="str">
        <f>IF(C169="", "", Inventory!N177)</f>
        <v/>
      </c>
      <c r="Z169" s="374" t="str">
        <f>IF(B169="", "", 'Lighting Inventory (Ref only)'!P180)</f>
        <v/>
      </c>
      <c r="AA169" s="372" t="str">
        <f>IF(B169="", "",'Lighting Inventory (Ref only)'!R180/1000)</f>
        <v/>
      </c>
      <c r="AB169" s="372" t="str">
        <f>IF(B169="", "", Inventory!M177)</f>
        <v/>
      </c>
      <c r="AC169" s="374" t="str">
        <f>IF(B169="", "", 'Lighting Inventory (Ref only)'!T180)</f>
        <v/>
      </c>
      <c r="AD169" s="374" t="str">
        <f>IF(C169="", "", 'Lighting Inventory (Ref only)'!AA180)</f>
        <v/>
      </c>
      <c r="AE169" s="375" t="str">
        <f>IF(B169="", "", 'Lighting Inventory (Ref only)'!U180)</f>
        <v/>
      </c>
      <c r="AF169" s="375" t="str">
        <f>IF(B169="", "",'Lighting Inventory (Ref only)'!W180)</f>
        <v/>
      </c>
      <c r="AG169" s="375" t="str">
        <f>IF(B169="", "", 'Lighting Inventory (Ref only)'!V180)</f>
        <v/>
      </c>
      <c r="AH169" s="375" t="str">
        <f>IF(B169="", "",'Lighting Inventory (Ref only)'!Z180)</f>
        <v/>
      </c>
      <c r="AI169" s="375" t="str">
        <f>IF(B169="", "", 'Lighting Inventory (Ref only)'!Y180)</f>
        <v/>
      </c>
      <c r="AJ169" s="375" t="str">
        <f>IF(C169="", "",'Lighting Inventory (Ref only)'!AB180)</f>
        <v/>
      </c>
      <c r="AK169" s="375" t="str">
        <f>IF(B169="", "", 'Lighting Inventory (Ref only)'!AG180)</f>
        <v/>
      </c>
      <c r="AL169" s="375" t="str">
        <f>IF(B169="", "", 'Lighting Inventory (Ref only)'!AD180)</f>
        <v/>
      </c>
      <c r="AM169" s="375" t="str">
        <f>IF(B169="", "", 'Lighting Inventory (Ref only)'!AE180)</f>
        <v/>
      </c>
      <c r="AN169" s="375" t="str">
        <f>IF(B169="", "", 'Lighting Inventory (Ref only)'!AF180)</f>
        <v/>
      </c>
      <c r="AO169" s="375" t="str">
        <f>IF(B169="", "", 'Lighting Inventory (Ref only)'!AG180)</f>
        <v/>
      </c>
    </row>
    <row r="170" spans="1:41">
      <c r="A170" s="298" t="str">
        <f>IF(G170="", "", Lookups!BF172)</f>
        <v/>
      </c>
      <c r="B170" s="298" t="str">
        <f>IF('Lighting Inventory (Ref only)'!Q181="", "", 'Lighting Inventory (Ref only)'!Q181)</f>
        <v/>
      </c>
      <c r="C170" s="298" t="str">
        <f>IF(A170="", "", 'Lighting Inventory (Ref only)'!AO181)</f>
        <v/>
      </c>
      <c r="D170" s="370" t="str">
        <f>IF(B170= "","", Inventory!S178)</f>
        <v/>
      </c>
      <c r="E170" s="371"/>
      <c r="F170" s="298" t="str">
        <f>IF(B170="", "", 'Version Log'!$B$34)</f>
        <v/>
      </c>
      <c r="G170" s="298" t="str">
        <f t="shared" si="8"/>
        <v/>
      </c>
      <c r="H170" s="298" t="str">
        <f t="shared" si="9"/>
        <v/>
      </c>
      <c r="I170" s="298" t="str">
        <f>IF(B170="", "",Inventory!D178)</f>
        <v/>
      </c>
      <c r="J170" s="298" t="str">
        <f>IF(B170="","",IF(Inventory!C178="N","Interior","Exterior"))</f>
        <v/>
      </c>
      <c r="K170" s="298" t="str">
        <f t="shared" si="10"/>
        <v/>
      </c>
      <c r="L170" s="298" t="str">
        <f>IF(B170="", "", Inventory!E178)</f>
        <v/>
      </c>
      <c r="M170" s="298" t="str">
        <f>IF(B170="","",IF(Cool_Type=Lookups!$L$9,Cool_Type,IF(Cool_Type=Lookups!$L$10,Cool_Type,IF(Cool_Type=Lookups!$L$11,Cool_Type,IF(Cool_Type=Lookups!L180,Cool_Type,IF('Project Info and Summary'!$C$20="Electric",CONCATENATE(Cool_Type," ",Heating_Type," Heat"),IF('Project Info and Summary'!$C$20="Non-Electric",CONCATENATE(Cool_Type," ",Heating_Type," Heat"),CONCATENATE(Cool_Type," ",Heating_Type))))))))</f>
        <v/>
      </c>
      <c r="N170" s="298" t="str">
        <f t="shared" si="11"/>
        <v/>
      </c>
      <c r="O170" s="298" t="str">
        <f>IF(B170="", "", 'Lighting Inventory (Ref only)'!G181)</f>
        <v/>
      </c>
      <c r="P170" s="298" t="str">
        <f>IF(B170="", "", 'Lighting Inventory (Ref only)'!E181)</f>
        <v/>
      </c>
      <c r="Q170" s="298" t="str">
        <f>IF(B170="", "", 'Lighting Inventory (Ref only)'!J181)</f>
        <v/>
      </c>
      <c r="R170" s="298" t="str">
        <f>IF(B170="", "",'Lighting Inventory (Ref only)'!K181)</f>
        <v/>
      </c>
      <c r="S170" s="372" t="str">
        <f>IF(B170="", "", 'Lighting Inventory (Ref only)'!G181*'Lighting Inventory (Ref only)'!K181/1000)</f>
        <v/>
      </c>
      <c r="T170" s="298" t="str">
        <f>IF(B170="", "", IF('Lighting Inventory (Ref only)'!I181="", "Light Switch",Inventory!H178))</f>
        <v/>
      </c>
      <c r="U170" s="298" t="str">
        <f>IF(B170="", "", 'Lighting Inventory (Ref only)'!Q181)</f>
        <v/>
      </c>
      <c r="V170" s="298" t="str">
        <f>IF(B170="", "", 'Lighting Inventory (Ref only)'!K181)</f>
        <v/>
      </c>
      <c r="W170" s="373" t="str">
        <f>IF(B170="","",('Lighting Inventory (Ref only)'!L181/1000))</f>
        <v/>
      </c>
      <c r="X170" s="298" t="str">
        <f>IF(B170="", "", 'Lighting Inventory (Ref only)'!Q181)</f>
        <v/>
      </c>
      <c r="Y170" s="298" t="str">
        <f>IF(C170="", "", Inventory!N178)</f>
        <v/>
      </c>
      <c r="Z170" s="374" t="str">
        <f>IF(B170="", "", 'Lighting Inventory (Ref only)'!P181)</f>
        <v/>
      </c>
      <c r="AA170" s="372" t="str">
        <f>IF(B170="", "",'Lighting Inventory (Ref only)'!R181/1000)</f>
        <v/>
      </c>
      <c r="AB170" s="372" t="str">
        <f>IF(B170="", "", Inventory!M178)</f>
        <v/>
      </c>
      <c r="AC170" s="374" t="str">
        <f>IF(B170="", "", 'Lighting Inventory (Ref only)'!T181)</f>
        <v/>
      </c>
      <c r="AD170" s="374" t="str">
        <f>IF(C170="", "", 'Lighting Inventory (Ref only)'!AA181)</f>
        <v/>
      </c>
      <c r="AE170" s="375" t="str">
        <f>IF(B170="", "", 'Lighting Inventory (Ref only)'!U181)</f>
        <v/>
      </c>
      <c r="AF170" s="375" t="str">
        <f>IF(B170="", "",'Lighting Inventory (Ref only)'!W181)</f>
        <v/>
      </c>
      <c r="AG170" s="375" t="str">
        <f>IF(B170="", "", 'Lighting Inventory (Ref only)'!V181)</f>
        <v/>
      </c>
      <c r="AH170" s="375" t="str">
        <f>IF(B170="", "",'Lighting Inventory (Ref only)'!Z181)</f>
        <v/>
      </c>
      <c r="AI170" s="375" t="str">
        <f>IF(B170="", "", 'Lighting Inventory (Ref only)'!Y181)</f>
        <v/>
      </c>
      <c r="AJ170" s="375" t="str">
        <f>IF(C170="", "",'Lighting Inventory (Ref only)'!AB181)</f>
        <v/>
      </c>
      <c r="AK170" s="375" t="str">
        <f>IF(B170="", "", 'Lighting Inventory (Ref only)'!AG181)</f>
        <v/>
      </c>
      <c r="AL170" s="375" t="str">
        <f>IF(B170="", "", 'Lighting Inventory (Ref only)'!AD181)</f>
        <v/>
      </c>
      <c r="AM170" s="375" t="str">
        <f>IF(B170="", "", 'Lighting Inventory (Ref only)'!AE181)</f>
        <v/>
      </c>
      <c r="AN170" s="375" t="str">
        <f>IF(B170="", "", 'Lighting Inventory (Ref only)'!AF181)</f>
        <v/>
      </c>
      <c r="AO170" s="375" t="str">
        <f>IF(B170="", "", 'Lighting Inventory (Ref only)'!AG181)</f>
        <v/>
      </c>
    </row>
    <row r="171" spans="1:41">
      <c r="A171" s="298" t="str">
        <f>IF(G171="", "", Lookups!BF173)</f>
        <v/>
      </c>
      <c r="B171" s="298" t="str">
        <f>IF('Lighting Inventory (Ref only)'!Q182="", "", 'Lighting Inventory (Ref only)'!Q182)</f>
        <v/>
      </c>
      <c r="C171" s="298" t="str">
        <f>IF(A171="", "", 'Lighting Inventory (Ref only)'!AO182)</f>
        <v/>
      </c>
      <c r="D171" s="370" t="str">
        <f>IF(B171= "","", Inventory!S179)</f>
        <v/>
      </c>
      <c r="E171" s="371"/>
      <c r="F171" s="298" t="str">
        <f>IF(B171="", "", 'Version Log'!$B$34)</f>
        <v/>
      </c>
      <c r="G171" s="298" t="str">
        <f t="shared" si="8"/>
        <v/>
      </c>
      <c r="H171" s="298" t="str">
        <f t="shared" si="9"/>
        <v/>
      </c>
      <c r="I171" s="298" t="str">
        <f>IF(B171="", "",Inventory!D179)</f>
        <v/>
      </c>
      <c r="J171" s="298" t="str">
        <f>IF(B171="","",IF(Inventory!C179="N","Interior","Exterior"))</f>
        <v/>
      </c>
      <c r="K171" s="298" t="str">
        <f t="shared" si="10"/>
        <v/>
      </c>
      <c r="L171" s="298" t="str">
        <f>IF(B171="", "", Inventory!E179)</f>
        <v/>
      </c>
      <c r="M171" s="298" t="str">
        <f>IF(B171="","",IF(Cool_Type=Lookups!$L$9,Cool_Type,IF(Cool_Type=Lookups!$L$10,Cool_Type,IF(Cool_Type=Lookups!$L$11,Cool_Type,IF(Cool_Type=Lookups!L181,Cool_Type,IF('Project Info and Summary'!$C$20="Electric",CONCATENATE(Cool_Type," ",Heating_Type," Heat"),IF('Project Info and Summary'!$C$20="Non-Electric",CONCATENATE(Cool_Type," ",Heating_Type," Heat"),CONCATENATE(Cool_Type," ",Heating_Type))))))))</f>
        <v/>
      </c>
      <c r="N171" s="298" t="str">
        <f t="shared" si="11"/>
        <v/>
      </c>
      <c r="O171" s="298" t="str">
        <f>IF(B171="", "", 'Lighting Inventory (Ref only)'!G182)</f>
        <v/>
      </c>
      <c r="P171" s="298" t="str">
        <f>IF(B171="", "", 'Lighting Inventory (Ref only)'!E182)</f>
        <v/>
      </c>
      <c r="Q171" s="298" t="str">
        <f>IF(B171="", "", 'Lighting Inventory (Ref only)'!J182)</f>
        <v/>
      </c>
      <c r="R171" s="298" t="str">
        <f>IF(B171="", "",'Lighting Inventory (Ref only)'!K182)</f>
        <v/>
      </c>
      <c r="S171" s="372" t="str">
        <f>IF(B171="", "", 'Lighting Inventory (Ref only)'!G182*'Lighting Inventory (Ref only)'!K182/1000)</f>
        <v/>
      </c>
      <c r="T171" s="298" t="str">
        <f>IF(B171="", "", IF('Lighting Inventory (Ref only)'!I182="", "Light Switch",Inventory!H179))</f>
        <v/>
      </c>
      <c r="U171" s="298" t="str">
        <f>IF(B171="", "", 'Lighting Inventory (Ref only)'!Q182)</f>
        <v/>
      </c>
      <c r="V171" s="298" t="str">
        <f>IF(B171="", "", 'Lighting Inventory (Ref only)'!K182)</f>
        <v/>
      </c>
      <c r="W171" s="373" t="str">
        <f>IF(B171="","",('Lighting Inventory (Ref only)'!L182/1000))</f>
        <v/>
      </c>
      <c r="X171" s="298" t="str">
        <f>IF(B171="", "", 'Lighting Inventory (Ref only)'!Q182)</f>
        <v/>
      </c>
      <c r="Y171" s="298" t="str">
        <f>IF(C171="", "", Inventory!N179)</f>
        <v/>
      </c>
      <c r="Z171" s="374" t="str">
        <f>IF(B171="", "", 'Lighting Inventory (Ref only)'!P182)</f>
        <v/>
      </c>
      <c r="AA171" s="372" t="str">
        <f>IF(B171="", "",'Lighting Inventory (Ref only)'!R182/1000)</f>
        <v/>
      </c>
      <c r="AB171" s="372" t="str">
        <f>IF(B171="", "", Inventory!M179)</f>
        <v/>
      </c>
      <c r="AC171" s="374" t="str">
        <f>IF(B171="", "", 'Lighting Inventory (Ref only)'!T182)</f>
        <v/>
      </c>
      <c r="AD171" s="374" t="str">
        <f>IF(C171="", "", 'Lighting Inventory (Ref only)'!AA182)</f>
        <v/>
      </c>
      <c r="AE171" s="375" t="str">
        <f>IF(B171="", "", 'Lighting Inventory (Ref only)'!U182)</f>
        <v/>
      </c>
      <c r="AF171" s="375" t="str">
        <f>IF(B171="", "",'Lighting Inventory (Ref only)'!W182)</f>
        <v/>
      </c>
      <c r="AG171" s="375" t="str">
        <f>IF(B171="", "", 'Lighting Inventory (Ref only)'!V182)</f>
        <v/>
      </c>
      <c r="AH171" s="375" t="str">
        <f>IF(B171="", "",'Lighting Inventory (Ref only)'!Z182)</f>
        <v/>
      </c>
      <c r="AI171" s="375" t="str">
        <f>IF(B171="", "", 'Lighting Inventory (Ref only)'!Y182)</f>
        <v/>
      </c>
      <c r="AJ171" s="375" t="str">
        <f>IF(C171="", "",'Lighting Inventory (Ref only)'!AB182)</f>
        <v/>
      </c>
      <c r="AK171" s="375" t="str">
        <f>IF(B171="", "", 'Lighting Inventory (Ref only)'!AG182)</f>
        <v/>
      </c>
      <c r="AL171" s="375" t="str">
        <f>IF(B171="", "", 'Lighting Inventory (Ref only)'!AD182)</f>
        <v/>
      </c>
      <c r="AM171" s="375" t="str">
        <f>IF(B171="", "", 'Lighting Inventory (Ref only)'!AE182)</f>
        <v/>
      </c>
      <c r="AN171" s="375" t="str">
        <f>IF(B171="", "", 'Lighting Inventory (Ref only)'!AF182)</f>
        <v/>
      </c>
      <c r="AO171" s="375" t="str">
        <f>IF(B171="", "", 'Lighting Inventory (Ref only)'!AG182)</f>
        <v/>
      </c>
    </row>
    <row r="172" spans="1:41">
      <c r="A172" s="298" t="str">
        <f>IF(G172="", "", Lookups!BF174)</f>
        <v/>
      </c>
      <c r="B172" s="298" t="str">
        <f>IF('Lighting Inventory (Ref only)'!Q183="", "", 'Lighting Inventory (Ref only)'!Q183)</f>
        <v/>
      </c>
      <c r="C172" s="298" t="str">
        <f>IF(A172="", "", 'Lighting Inventory (Ref only)'!AO183)</f>
        <v/>
      </c>
      <c r="D172" s="370" t="str">
        <f>IF(B172= "","", Inventory!S180)</f>
        <v/>
      </c>
      <c r="E172" s="371"/>
      <c r="F172" s="298" t="str">
        <f>IF(B172="", "", 'Version Log'!$B$34)</f>
        <v/>
      </c>
      <c r="G172" s="298" t="str">
        <f t="shared" si="8"/>
        <v/>
      </c>
      <c r="H172" s="298" t="str">
        <f t="shared" si="9"/>
        <v/>
      </c>
      <c r="I172" s="298" t="str">
        <f>IF(B172="", "",Inventory!D180)</f>
        <v/>
      </c>
      <c r="J172" s="298" t="str">
        <f>IF(B172="","",IF(Inventory!C180="N","Interior","Exterior"))</f>
        <v/>
      </c>
      <c r="K172" s="298" t="str">
        <f t="shared" si="10"/>
        <v/>
      </c>
      <c r="L172" s="298" t="str">
        <f>IF(B172="", "", Inventory!E180)</f>
        <v/>
      </c>
      <c r="M172" s="298" t="str">
        <f>IF(B172="","",IF(Cool_Type=Lookups!$L$9,Cool_Type,IF(Cool_Type=Lookups!$L$10,Cool_Type,IF(Cool_Type=Lookups!$L$11,Cool_Type,IF(Cool_Type=Lookups!L182,Cool_Type,IF('Project Info and Summary'!$C$20="Electric",CONCATENATE(Cool_Type," ",Heating_Type," Heat"),IF('Project Info and Summary'!$C$20="Non-Electric",CONCATENATE(Cool_Type," ",Heating_Type," Heat"),CONCATENATE(Cool_Type," ",Heating_Type))))))))</f>
        <v/>
      </c>
      <c r="N172" s="298" t="str">
        <f t="shared" si="11"/>
        <v/>
      </c>
      <c r="O172" s="298" t="str">
        <f>IF(B172="", "", 'Lighting Inventory (Ref only)'!G183)</f>
        <v/>
      </c>
      <c r="P172" s="298" t="str">
        <f>IF(B172="", "", 'Lighting Inventory (Ref only)'!E183)</f>
        <v/>
      </c>
      <c r="Q172" s="298" t="str">
        <f>IF(B172="", "", 'Lighting Inventory (Ref only)'!J183)</f>
        <v/>
      </c>
      <c r="R172" s="298" t="str">
        <f>IF(B172="", "",'Lighting Inventory (Ref only)'!K183)</f>
        <v/>
      </c>
      <c r="S172" s="372" t="str">
        <f>IF(B172="", "", 'Lighting Inventory (Ref only)'!G183*'Lighting Inventory (Ref only)'!K183/1000)</f>
        <v/>
      </c>
      <c r="T172" s="298" t="str">
        <f>IF(B172="", "", IF('Lighting Inventory (Ref only)'!I183="", "Light Switch",Inventory!H180))</f>
        <v/>
      </c>
      <c r="U172" s="298" t="str">
        <f>IF(B172="", "", 'Lighting Inventory (Ref only)'!Q183)</f>
        <v/>
      </c>
      <c r="V172" s="298" t="str">
        <f>IF(B172="", "", 'Lighting Inventory (Ref only)'!K183)</f>
        <v/>
      </c>
      <c r="W172" s="373" t="str">
        <f>IF(B172="","",('Lighting Inventory (Ref only)'!L183/1000))</f>
        <v/>
      </c>
      <c r="X172" s="298" t="str">
        <f>IF(B172="", "", 'Lighting Inventory (Ref only)'!Q183)</f>
        <v/>
      </c>
      <c r="Y172" s="298" t="str">
        <f>IF(C172="", "", Inventory!N180)</f>
        <v/>
      </c>
      <c r="Z172" s="374" t="str">
        <f>IF(B172="", "", 'Lighting Inventory (Ref only)'!P183)</f>
        <v/>
      </c>
      <c r="AA172" s="372" t="str">
        <f>IF(B172="", "",'Lighting Inventory (Ref only)'!R183/1000)</f>
        <v/>
      </c>
      <c r="AB172" s="372" t="str">
        <f>IF(B172="", "", Inventory!M180)</f>
        <v/>
      </c>
      <c r="AC172" s="374" t="str">
        <f>IF(B172="", "", 'Lighting Inventory (Ref only)'!T183)</f>
        <v/>
      </c>
      <c r="AD172" s="374" t="str">
        <f>IF(C172="", "", 'Lighting Inventory (Ref only)'!AA183)</f>
        <v/>
      </c>
      <c r="AE172" s="375" t="str">
        <f>IF(B172="", "", 'Lighting Inventory (Ref only)'!U183)</f>
        <v/>
      </c>
      <c r="AF172" s="375" t="str">
        <f>IF(B172="", "",'Lighting Inventory (Ref only)'!W183)</f>
        <v/>
      </c>
      <c r="AG172" s="375" t="str">
        <f>IF(B172="", "", 'Lighting Inventory (Ref only)'!V183)</f>
        <v/>
      </c>
      <c r="AH172" s="375" t="str">
        <f>IF(B172="", "",'Lighting Inventory (Ref only)'!Z183)</f>
        <v/>
      </c>
      <c r="AI172" s="375" t="str">
        <f>IF(B172="", "", 'Lighting Inventory (Ref only)'!Y183)</f>
        <v/>
      </c>
      <c r="AJ172" s="375" t="str">
        <f>IF(C172="", "",'Lighting Inventory (Ref only)'!AB183)</f>
        <v/>
      </c>
      <c r="AK172" s="375" t="str">
        <f>IF(B172="", "", 'Lighting Inventory (Ref only)'!AG183)</f>
        <v/>
      </c>
      <c r="AL172" s="375" t="str">
        <f>IF(B172="", "", 'Lighting Inventory (Ref only)'!AD183)</f>
        <v/>
      </c>
      <c r="AM172" s="375" t="str">
        <f>IF(B172="", "", 'Lighting Inventory (Ref only)'!AE183)</f>
        <v/>
      </c>
      <c r="AN172" s="375" t="str">
        <f>IF(B172="", "", 'Lighting Inventory (Ref only)'!AF183)</f>
        <v/>
      </c>
      <c r="AO172" s="375" t="str">
        <f>IF(B172="", "", 'Lighting Inventory (Ref only)'!AG183)</f>
        <v/>
      </c>
    </row>
    <row r="173" spans="1:41">
      <c r="A173" s="298" t="str">
        <f>IF(G173="", "", Lookups!BF175)</f>
        <v/>
      </c>
      <c r="B173" s="298" t="str">
        <f>IF('Lighting Inventory (Ref only)'!Q184="", "", 'Lighting Inventory (Ref only)'!Q184)</f>
        <v/>
      </c>
      <c r="C173" s="298" t="str">
        <f>IF(A173="", "", 'Lighting Inventory (Ref only)'!AO184)</f>
        <v/>
      </c>
      <c r="D173" s="370" t="str">
        <f>IF(B173= "","", Inventory!S181)</f>
        <v/>
      </c>
      <c r="E173" s="371"/>
      <c r="F173" s="298" t="str">
        <f>IF(B173="", "", 'Version Log'!$B$34)</f>
        <v/>
      </c>
      <c r="G173" s="298" t="str">
        <f t="shared" si="8"/>
        <v/>
      </c>
      <c r="H173" s="298" t="str">
        <f t="shared" si="9"/>
        <v/>
      </c>
      <c r="I173" s="298" t="str">
        <f>IF(B173="", "",Inventory!D181)</f>
        <v/>
      </c>
      <c r="J173" s="298" t="str">
        <f>IF(B173="","",IF(Inventory!C181="N","Interior","Exterior"))</f>
        <v/>
      </c>
      <c r="K173" s="298" t="str">
        <f t="shared" si="10"/>
        <v/>
      </c>
      <c r="L173" s="298" t="str">
        <f>IF(B173="", "", Inventory!E181)</f>
        <v/>
      </c>
      <c r="M173" s="298" t="str">
        <f>IF(B173="","",IF(Cool_Type=Lookups!$L$9,Cool_Type,IF(Cool_Type=Lookups!$L$10,Cool_Type,IF(Cool_Type=Lookups!$L$11,Cool_Type,IF(Cool_Type=Lookups!L183,Cool_Type,IF('Project Info and Summary'!$C$20="Electric",CONCATENATE(Cool_Type," ",Heating_Type," Heat"),IF('Project Info and Summary'!$C$20="Non-Electric",CONCATENATE(Cool_Type," ",Heating_Type," Heat"),CONCATENATE(Cool_Type," ",Heating_Type))))))))</f>
        <v/>
      </c>
      <c r="N173" s="298" t="str">
        <f t="shared" si="11"/>
        <v/>
      </c>
      <c r="O173" s="298" t="str">
        <f>IF(B173="", "", 'Lighting Inventory (Ref only)'!G184)</f>
        <v/>
      </c>
      <c r="P173" s="298" t="str">
        <f>IF(B173="", "", 'Lighting Inventory (Ref only)'!E184)</f>
        <v/>
      </c>
      <c r="Q173" s="298" t="str">
        <f>IF(B173="", "", 'Lighting Inventory (Ref only)'!J184)</f>
        <v/>
      </c>
      <c r="R173" s="298" t="str">
        <f>IF(B173="", "",'Lighting Inventory (Ref only)'!K184)</f>
        <v/>
      </c>
      <c r="S173" s="372" t="str">
        <f>IF(B173="", "", 'Lighting Inventory (Ref only)'!G184*'Lighting Inventory (Ref only)'!K184/1000)</f>
        <v/>
      </c>
      <c r="T173" s="298" t="str">
        <f>IF(B173="", "", IF('Lighting Inventory (Ref only)'!I184="", "Light Switch",Inventory!H181))</f>
        <v/>
      </c>
      <c r="U173" s="298" t="str">
        <f>IF(B173="", "", 'Lighting Inventory (Ref only)'!Q184)</f>
        <v/>
      </c>
      <c r="V173" s="298" t="str">
        <f>IF(B173="", "", 'Lighting Inventory (Ref only)'!K184)</f>
        <v/>
      </c>
      <c r="W173" s="373" t="str">
        <f>IF(B173="","",('Lighting Inventory (Ref only)'!L184/1000))</f>
        <v/>
      </c>
      <c r="X173" s="298" t="str">
        <f>IF(B173="", "", 'Lighting Inventory (Ref only)'!Q184)</f>
        <v/>
      </c>
      <c r="Y173" s="298" t="str">
        <f>IF(C173="", "", Inventory!N181)</f>
        <v/>
      </c>
      <c r="Z173" s="374" t="str">
        <f>IF(B173="", "", 'Lighting Inventory (Ref only)'!P184)</f>
        <v/>
      </c>
      <c r="AA173" s="372" t="str">
        <f>IF(B173="", "",'Lighting Inventory (Ref only)'!R184/1000)</f>
        <v/>
      </c>
      <c r="AB173" s="372" t="str">
        <f>IF(B173="", "", Inventory!M181)</f>
        <v/>
      </c>
      <c r="AC173" s="374" t="str">
        <f>IF(B173="", "", 'Lighting Inventory (Ref only)'!T184)</f>
        <v/>
      </c>
      <c r="AD173" s="374" t="str">
        <f>IF(C173="", "", 'Lighting Inventory (Ref only)'!AA184)</f>
        <v/>
      </c>
      <c r="AE173" s="375" t="str">
        <f>IF(B173="", "", 'Lighting Inventory (Ref only)'!U184)</f>
        <v/>
      </c>
      <c r="AF173" s="375" t="str">
        <f>IF(B173="", "",'Lighting Inventory (Ref only)'!W184)</f>
        <v/>
      </c>
      <c r="AG173" s="375" t="str">
        <f>IF(B173="", "", 'Lighting Inventory (Ref only)'!V184)</f>
        <v/>
      </c>
      <c r="AH173" s="375" t="str">
        <f>IF(B173="", "",'Lighting Inventory (Ref only)'!Z184)</f>
        <v/>
      </c>
      <c r="AI173" s="375" t="str">
        <f>IF(B173="", "", 'Lighting Inventory (Ref only)'!Y184)</f>
        <v/>
      </c>
      <c r="AJ173" s="375" t="str">
        <f>IF(C173="", "",'Lighting Inventory (Ref only)'!AB184)</f>
        <v/>
      </c>
      <c r="AK173" s="375" t="str">
        <f>IF(B173="", "", 'Lighting Inventory (Ref only)'!AG184)</f>
        <v/>
      </c>
      <c r="AL173" s="375" t="str">
        <f>IF(B173="", "", 'Lighting Inventory (Ref only)'!AD184)</f>
        <v/>
      </c>
      <c r="AM173" s="375" t="str">
        <f>IF(B173="", "", 'Lighting Inventory (Ref only)'!AE184)</f>
        <v/>
      </c>
      <c r="AN173" s="375" t="str">
        <f>IF(B173="", "", 'Lighting Inventory (Ref only)'!AF184)</f>
        <v/>
      </c>
      <c r="AO173" s="375" t="str">
        <f>IF(B173="", "", 'Lighting Inventory (Ref only)'!AG184)</f>
        <v/>
      </c>
    </row>
    <row r="174" spans="1:41">
      <c r="A174" s="298" t="str">
        <f>IF(G174="", "", Lookups!BF176)</f>
        <v/>
      </c>
      <c r="B174" s="298" t="str">
        <f>IF('Lighting Inventory (Ref only)'!Q185="", "", 'Lighting Inventory (Ref only)'!Q185)</f>
        <v/>
      </c>
      <c r="C174" s="298" t="str">
        <f>IF(A174="", "", 'Lighting Inventory (Ref only)'!AO185)</f>
        <v/>
      </c>
      <c r="D174" s="370" t="str">
        <f>IF(B174= "","", Inventory!S182)</f>
        <v/>
      </c>
      <c r="E174" s="371"/>
      <c r="F174" s="298" t="str">
        <f>IF(B174="", "", 'Version Log'!$B$34)</f>
        <v/>
      </c>
      <c r="G174" s="298" t="str">
        <f t="shared" si="8"/>
        <v/>
      </c>
      <c r="H174" s="298" t="str">
        <f t="shared" si="9"/>
        <v/>
      </c>
      <c r="I174" s="298" t="str">
        <f>IF(B174="", "",Inventory!D182)</f>
        <v/>
      </c>
      <c r="J174" s="298" t="str">
        <f>IF(B174="","",IF(Inventory!C182="N","Interior","Exterior"))</f>
        <v/>
      </c>
      <c r="K174" s="298" t="str">
        <f t="shared" si="10"/>
        <v/>
      </c>
      <c r="L174" s="298" t="str">
        <f>IF(B174="", "", Inventory!E182)</f>
        <v/>
      </c>
      <c r="M174" s="298" t="str">
        <f>IF(B174="","",IF(Cool_Type=Lookups!$L$9,Cool_Type,IF(Cool_Type=Lookups!$L$10,Cool_Type,IF(Cool_Type=Lookups!$L$11,Cool_Type,IF(Cool_Type=Lookups!L184,Cool_Type,IF('Project Info and Summary'!$C$20="Electric",CONCATENATE(Cool_Type," ",Heating_Type," Heat"),IF('Project Info and Summary'!$C$20="Non-Electric",CONCATENATE(Cool_Type," ",Heating_Type," Heat"),CONCATENATE(Cool_Type," ",Heating_Type))))))))</f>
        <v/>
      </c>
      <c r="N174" s="298" t="str">
        <f t="shared" si="11"/>
        <v/>
      </c>
      <c r="O174" s="298" t="str">
        <f>IF(B174="", "", 'Lighting Inventory (Ref only)'!G185)</f>
        <v/>
      </c>
      <c r="P174" s="298" t="str">
        <f>IF(B174="", "", 'Lighting Inventory (Ref only)'!E185)</f>
        <v/>
      </c>
      <c r="Q174" s="298" t="str">
        <f>IF(B174="", "", 'Lighting Inventory (Ref only)'!J185)</f>
        <v/>
      </c>
      <c r="R174" s="298" t="str">
        <f>IF(B174="", "",'Lighting Inventory (Ref only)'!K185)</f>
        <v/>
      </c>
      <c r="S174" s="372" t="str">
        <f>IF(B174="", "", 'Lighting Inventory (Ref only)'!G185*'Lighting Inventory (Ref only)'!K185/1000)</f>
        <v/>
      </c>
      <c r="T174" s="298" t="str">
        <f>IF(B174="", "", IF('Lighting Inventory (Ref only)'!I185="", "Light Switch",Inventory!H182))</f>
        <v/>
      </c>
      <c r="U174" s="298" t="str">
        <f>IF(B174="", "", 'Lighting Inventory (Ref only)'!Q185)</f>
        <v/>
      </c>
      <c r="V174" s="298" t="str">
        <f>IF(B174="", "", 'Lighting Inventory (Ref only)'!K185)</f>
        <v/>
      </c>
      <c r="W174" s="373" t="str">
        <f>IF(B174="","",('Lighting Inventory (Ref only)'!L185/1000))</f>
        <v/>
      </c>
      <c r="X174" s="298" t="str">
        <f>IF(B174="", "", 'Lighting Inventory (Ref only)'!Q185)</f>
        <v/>
      </c>
      <c r="Y174" s="298" t="str">
        <f>IF(C174="", "", Inventory!N182)</f>
        <v/>
      </c>
      <c r="Z174" s="374" t="str">
        <f>IF(B174="", "", 'Lighting Inventory (Ref only)'!P185)</f>
        <v/>
      </c>
      <c r="AA174" s="372" t="str">
        <f>IF(B174="", "",'Lighting Inventory (Ref only)'!R185/1000)</f>
        <v/>
      </c>
      <c r="AB174" s="372" t="str">
        <f>IF(B174="", "", Inventory!M182)</f>
        <v/>
      </c>
      <c r="AC174" s="374" t="str">
        <f>IF(B174="", "", 'Lighting Inventory (Ref only)'!T185)</f>
        <v/>
      </c>
      <c r="AD174" s="374" t="str">
        <f>IF(C174="", "", 'Lighting Inventory (Ref only)'!AA185)</f>
        <v/>
      </c>
      <c r="AE174" s="375" t="str">
        <f>IF(B174="", "", 'Lighting Inventory (Ref only)'!U185)</f>
        <v/>
      </c>
      <c r="AF174" s="375" t="str">
        <f>IF(B174="", "",'Lighting Inventory (Ref only)'!W185)</f>
        <v/>
      </c>
      <c r="AG174" s="375" t="str">
        <f>IF(B174="", "", 'Lighting Inventory (Ref only)'!V185)</f>
        <v/>
      </c>
      <c r="AH174" s="375" t="str">
        <f>IF(B174="", "",'Lighting Inventory (Ref only)'!Z185)</f>
        <v/>
      </c>
      <c r="AI174" s="375" t="str">
        <f>IF(B174="", "", 'Lighting Inventory (Ref only)'!Y185)</f>
        <v/>
      </c>
      <c r="AJ174" s="375" t="str">
        <f>IF(C174="", "",'Lighting Inventory (Ref only)'!AB185)</f>
        <v/>
      </c>
      <c r="AK174" s="375" t="str">
        <f>IF(B174="", "", 'Lighting Inventory (Ref only)'!AG185)</f>
        <v/>
      </c>
      <c r="AL174" s="375" t="str">
        <f>IF(B174="", "", 'Lighting Inventory (Ref only)'!AD185)</f>
        <v/>
      </c>
      <c r="AM174" s="375" t="str">
        <f>IF(B174="", "", 'Lighting Inventory (Ref only)'!AE185)</f>
        <v/>
      </c>
      <c r="AN174" s="375" t="str">
        <f>IF(B174="", "", 'Lighting Inventory (Ref only)'!AF185)</f>
        <v/>
      </c>
      <c r="AO174" s="375" t="str">
        <f>IF(B174="", "", 'Lighting Inventory (Ref only)'!AG185)</f>
        <v/>
      </c>
    </row>
    <row r="175" spans="1:41">
      <c r="A175" s="298" t="str">
        <f>IF(G175="", "", Lookups!BF177)</f>
        <v/>
      </c>
      <c r="B175" s="298" t="str">
        <f>IF('Lighting Inventory (Ref only)'!Q186="", "", 'Lighting Inventory (Ref only)'!Q186)</f>
        <v/>
      </c>
      <c r="C175" s="298" t="str">
        <f>IF(A175="", "", 'Lighting Inventory (Ref only)'!AO186)</f>
        <v/>
      </c>
      <c r="D175" s="370" t="str">
        <f>IF(B175= "","", Inventory!S183)</f>
        <v/>
      </c>
      <c r="E175" s="371"/>
      <c r="F175" s="298" t="str">
        <f>IF(B175="", "", 'Version Log'!$B$34)</f>
        <v/>
      </c>
      <c r="G175" s="298" t="str">
        <f t="shared" si="8"/>
        <v/>
      </c>
      <c r="H175" s="298" t="str">
        <f t="shared" si="9"/>
        <v/>
      </c>
      <c r="I175" s="298" t="str">
        <f>IF(B175="", "",Inventory!D183)</f>
        <v/>
      </c>
      <c r="J175" s="298" t="str">
        <f>IF(B175="","",IF(Inventory!C183="N","Interior","Exterior"))</f>
        <v/>
      </c>
      <c r="K175" s="298" t="str">
        <f t="shared" si="10"/>
        <v/>
      </c>
      <c r="L175" s="298" t="str">
        <f>IF(B175="", "", Inventory!E183)</f>
        <v/>
      </c>
      <c r="M175" s="298" t="str">
        <f>IF(B175="","",IF(Cool_Type=Lookups!$L$9,Cool_Type,IF(Cool_Type=Lookups!$L$10,Cool_Type,IF(Cool_Type=Lookups!$L$11,Cool_Type,IF(Cool_Type=Lookups!L185,Cool_Type,IF('Project Info and Summary'!$C$20="Electric",CONCATENATE(Cool_Type," ",Heating_Type," Heat"),IF('Project Info and Summary'!$C$20="Non-Electric",CONCATENATE(Cool_Type," ",Heating_Type," Heat"),CONCATENATE(Cool_Type," ",Heating_Type))))))))</f>
        <v/>
      </c>
      <c r="N175" s="298" t="str">
        <f t="shared" si="11"/>
        <v/>
      </c>
      <c r="O175" s="298" t="str">
        <f>IF(B175="", "", 'Lighting Inventory (Ref only)'!G186)</f>
        <v/>
      </c>
      <c r="P175" s="298" t="str">
        <f>IF(B175="", "", 'Lighting Inventory (Ref only)'!E186)</f>
        <v/>
      </c>
      <c r="Q175" s="298" t="str">
        <f>IF(B175="", "", 'Lighting Inventory (Ref only)'!J186)</f>
        <v/>
      </c>
      <c r="R175" s="298" t="str">
        <f>IF(B175="", "",'Lighting Inventory (Ref only)'!K186)</f>
        <v/>
      </c>
      <c r="S175" s="372" t="str">
        <f>IF(B175="", "", 'Lighting Inventory (Ref only)'!G186*'Lighting Inventory (Ref only)'!K186/1000)</f>
        <v/>
      </c>
      <c r="T175" s="298" t="str">
        <f>IF(B175="", "", IF('Lighting Inventory (Ref only)'!I186="", "Light Switch",Inventory!H183))</f>
        <v/>
      </c>
      <c r="U175" s="298" t="str">
        <f>IF(B175="", "", 'Lighting Inventory (Ref only)'!Q186)</f>
        <v/>
      </c>
      <c r="V175" s="298" t="str">
        <f>IF(B175="", "", 'Lighting Inventory (Ref only)'!K186)</f>
        <v/>
      </c>
      <c r="W175" s="373" t="str">
        <f>IF(B175="","",('Lighting Inventory (Ref only)'!L186/1000))</f>
        <v/>
      </c>
      <c r="X175" s="298" t="str">
        <f>IF(B175="", "", 'Lighting Inventory (Ref only)'!Q186)</f>
        <v/>
      </c>
      <c r="Y175" s="298" t="str">
        <f>IF(C175="", "", Inventory!N183)</f>
        <v/>
      </c>
      <c r="Z175" s="374" t="str">
        <f>IF(B175="", "", 'Lighting Inventory (Ref only)'!P186)</f>
        <v/>
      </c>
      <c r="AA175" s="372" t="str">
        <f>IF(B175="", "",'Lighting Inventory (Ref only)'!R186/1000)</f>
        <v/>
      </c>
      <c r="AB175" s="372" t="str">
        <f>IF(B175="", "", Inventory!M183)</f>
        <v/>
      </c>
      <c r="AC175" s="374" t="str">
        <f>IF(B175="", "", 'Lighting Inventory (Ref only)'!T186)</f>
        <v/>
      </c>
      <c r="AD175" s="374" t="str">
        <f>IF(C175="", "", 'Lighting Inventory (Ref only)'!AA186)</f>
        <v/>
      </c>
      <c r="AE175" s="375" t="str">
        <f>IF(B175="", "", 'Lighting Inventory (Ref only)'!U186)</f>
        <v/>
      </c>
      <c r="AF175" s="375" t="str">
        <f>IF(B175="", "",'Lighting Inventory (Ref only)'!W186)</f>
        <v/>
      </c>
      <c r="AG175" s="375" t="str">
        <f>IF(B175="", "", 'Lighting Inventory (Ref only)'!V186)</f>
        <v/>
      </c>
      <c r="AH175" s="375" t="str">
        <f>IF(B175="", "",'Lighting Inventory (Ref only)'!Z186)</f>
        <v/>
      </c>
      <c r="AI175" s="375" t="str">
        <f>IF(B175="", "", 'Lighting Inventory (Ref only)'!Y186)</f>
        <v/>
      </c>
      <c r="AJ175" s="375" t="str">
        <f>IF(C175="", "",'Lighting Inventory (Ref only)'!AB186)</f>
        <v/>
      </c>
      <c r="AK175" s="375" t="str">
        <f>IF(B175="", "", 'Lighting Inventory (Ref only)'!AG186)</f>
        <v/>
      </c>
      <c r="AL175" s="375" t="str">
        <f>IF(B175="", "", 'Lighting Inventory (Ref only)'!AD186)</f>
        <v/>
      </c>
      <c r="AM175" s="375" t="str">
        <f>IF(B175="", "", 'Lighting Inventory (Ref only)'!AE186)</f>
        <v/>
      </c>
      <c r="AN175" s="375" t="str">
        <f>IF(B175="", "", 'Lighting Inventory (Ref only)'!AF186)</f>
        <v/>
      </c>
      <c r="AO175" s="375" t="str">
        <f>IF(B175="", "", 'Lighting Inventory (Ref only)'!AG186)</f>
        <v/>
      </c>
    </row>
    <row r="176" spans="1:41">
      <c r="A176" s="298" t="str">
        <f>IF(G176="", "", Lookups!BF178)</f>
        <v/>
      </c>
      <c r="B176" s="298" t="str">
        <f>IF('Lighting Inventory (Ref only)'!Q187="", "", 'Lighting Inventory (Ref only)'!Q187)</f>
        <v/>
      </c>
      <c r="C176" s="298" t="str">
        <f>IF(A176="", "", 'Lighting Inventory (Ref only)'!AO187)</f>
        <v/>
      </c>
      <c r="D176" s="370" t="str">
        <f>IF(B176= "","", Inventory!S184)</f>
        <v/>
      </c>
      <c r="E176" s="371"/>
      <c r="F176" s="298" t="str">
        <f>IF(B176="", "", 'Version Log'!$B$34)</f>
        <v/>
      </c>
      <c r="G176" s="298" t="str">
        <f t="shared" si="8"/>
        <v/>
      </c>
      <c r="H176" s="298" t="str">
        <f t="shared" si="9"/>
        <v/>
      </c>
      <c r="I176" s="298" t="str">
        <f>IF(B176="", "",Inventory!D184)</f>
        <v/>
      </c>
      <c r="J176" s="298" t="str">
        <f>IF(B176="","",IF(Inventory!C184="N","Interior","Exterior"))</f>
        <v/>
      </c>
      <c r="K176" s="298" t="str">
        <f t="shared" si="10"/>
        <v/>
      </c>
      <c r="L176" s="298" t="str">
        <f>IF(B176="", "", Inventory!E184)</f>
        <v/>
      </c>
      <c r="M176" s="298" t="str">
        <f>IF(B176="","",IF(Cool_Type=Lookups!$L$9,Cool_Type,IF(Cool_Type=Lookups!$L$10,Cool_Type,IF(Cool_Type=Lookups!$L$11,Cool_Type,IF(Cool_Type=Lookups!L186,Cool_Type,IF('Project Info and Summary'!$C$20="Electric",CONCATENATE(Cool_Type," ",Heating_Type," Heat"),IF('Project Info and Summary'!$C$20="Non-Electric",CONCATENATE(Cool_Type," ",Heating_Type," Heat"),CONCATENATE(Cool_Type," ",Heating_Type))))))))</f>
        <v/>
      </c>
      <c r="N176" s="298" t="str">
        <f t="shared" si="11"/>
        <v/>
      </c>
      <c r="O176" s="298" t="str">
        <f>IF(B176="", "", 'Lighting Inventory (Ref only)'!G187)</f>
        <v/>
      </c>
      <c r="P176" s="298" t="str">
        <f>IF(B176="", "", 'Lighting Inventory (Ref only)'!E187)</f>
        <v/>
      </c>
      <c r="Q176" s="298" t="str">
        <f>IF(B176="", "", 'Lighting Inventory (Ref only)'!J187)</f>
        <v/>
      </c>
      <c r="R176" s="298" t="str">
        <f>IF(B176="", "",'Lighting Inventory (Ref only)'!K187)</f>
        <v/>
      </c>
      <c r="S176" s="372" t="str">
        <f>IF(B176="", "", 'Lighting Inventory (Ref only)'!G187*'Lighting Inventory (Ref only)'!K187/1000)</f>
        <v/>
      </c>
      <c r="T176" s="298" t="str">
        <f>IF(B176="", "", IF('Lighting Inventory (Ref only)'!I187="", "Light Switch",Inventory!H184))</f>
        <v/>
      </c>
      <c r="U176" s="298" t="str">
        <f>IF(B176="", "", 'Lighting Inventory (Ref only)'!Q187)</f>
        <v/>
      </c>
      <c r="V176" s="298" t="str">
        <f>IF(B176="", "", 'Lighting Inventory (Ref only)'!K187)</f>
        <v/>
      </c>
      <c r="W176" s="373" t="str">
        <f>IF(B176="","",('Lighting Inventory (Ref only)'!L187/1000))</f>
        <v/>
      </c>
      <c r="X176" s="298" t="str">
        <f>IF(B176="", "", 'Lighting Inventory (Ref only)'!Q187)</f>
        <v/>
      </c>
      <c r="Y176" s="298" t="str">
        <f>IF(C176="", "", Inventory!N184)</f>
        <v/>
      </c>
      <c r="Z176" s="374" t="str">
        <f>IF(B176="", "", 'Lighting Inventory (Ref only)'!P187)</f>
        <v/>
      </c>
      <c r="AA176" s="372" t="str">
        <f>IF(B176="", "",'Lighting Inventory (Ref only)'!R187/1000)</f>
        <v/>
      </c>
      <c r="AB176" s="372" t="str">
        <f>IF(B176="", "", Inventory!M184)</f>
        <v/>
      </c>
      <c r="AC176" s="374" t="str">
        <f>IF(B176="", "", 'Lighting Inventory (Ref only)'!T187)</f>
        <v/>
      </c>
      <c r="AD176" s="374" t="str">
        <f>IF(C176="", "", 'Lighting Inventory (Ref only)'!AA187)</f>
        <v/>
      </c>
      <c r="AE176" s="375" t="str">
        <f>IF(B176="", "", 'Lighting Inventory (Ref only)'!U187)</f>
        <v/>
      </c>
      <c r="AF176" s="375" t="str">
        <f>IF(B176="", "",'Lighting Inventory (Ref only)'!W187)</f>
        <v/>
      </c>
      <c r="AG176" s="375" t="str">
        <f>IF(B176="", "", 'Lighting Inventory (Ref only)'!V187)</f>
        <v/>
      </c>
      <c r="AH176" s="375" t="str">
        <f>IF(B176="", "",'Lighting Inventory (Ref only)'!Z187)</f>
        <v/>
      </c>
      <c r="AI176" s="375" t="str">
        <f>IF(B176="", "", 'Lighting Inventory (Ref only)'!Y187)</f>
        <v/>
      </c>
      <c r="AJ176" s="375" t="str">
        <f>IF(C176="", "",'Lighting Inventory (Ref only)'!AB187)</f>
        <v/>
      </c>
      <c r="AK176" s="375" t="str">
        <f>IF(B176="", "", 'Lighting Inventory (Ref only)'!AG187)</f>
        <v/>
      </c>
      <c r="AL176" s="375" t="str">
        <f>IF(B176="", "", 'Lighting Inventory (Ref only)'!AD187)</f>
        <v/>
      </c>
      <c r="AM176" s="375" t="str">
        <f>IF(B176="", "", 'Lighting Inventory (Ref only)'!AE187)</f>
        <v/>
      </c>
      <c r="AN176" s="375" t="str">
        <f>IF(B176="", "", 'Lighting Inventory (Ref only)'!AF187)</f>
        <v/>
      </c>
      <c r="AO176" s="375" t="str">
        <f>IF(B176="", "", 'Lighting Inventory (Ref only)'!AG187)</f>
        <v/>
      </c>
    </row>
    <row r="177" spans="1:41">
      <c r="A177" s="298" t="str">
        <f>IF(G177="", "", Lookups!BF179)</f>
        <v/>
      </c>
      <c r="B177" s="298" t="str">
        <f>IF('Lighting Inventory (Ref only)'!Q188="", "", 'Lighting Inventory (Ref only)'!Q188)</f>
        <v/>
      </c>
      <c r="C177" s="298" t="str">
        <f>IF(A177="", "", 'Lighting Inventory (Ref only)'!AO188)</f>
        <v/>
      </c>
      <c r="D177" s="370" t="str">
        <f>IF(B177= "","", Inventory!S185)</f>
        <v/>
      </c>
      <c r="E177" s="371"/>
      <c r="F177" s="298" t="str">
        <f>IF(B177="", "", 'Version Log'!$B$34)</f>
        <v/>
      </c>
      <c r="G177" s="298" t="str">
        <f t="shared" si="8"/>
        <v/>
      </c>
      <c r="H177" s="298" t="str">
        <f t="shared" si="9"/>
        <v/>
      </c>
      <c r="I177" s="298" t="str">
        <f>IF(B177="", "",Inventory!D185)</f>
        <v/>
      </c>
      <c r="J177" s="298" t="str">
        <f>IF(B177="","",IF(Inventory!C185="N","Interior","Exterior"))</f>
        <v/>
      </c>
      <c r="K177" s="298" t="str">
        <f t="shared" si="10"/>
        <v/>
      </c>
      <c r="L177" s="298" t="str">
        <f>IF(B177="", "", Inventory!E185)</f>
        <v/>
      </c>
      <c r="M177" s="298" t="str">
        <f>IF(B177="","",IF(Cool_Type=Lookups!$L$9,Cool_Type,IF(Cool_Type=Lookups!$L$10,Cool_Type,IF(Cool_Type=Lookups!$L$11,Cool_Type,IF(Cool_Type=Lookups!L187,Cool_Type,IF('Project Info and Summary'!$C$20="Electric",CONCATENATE(Cool_Type," ",Heating_Type," Heat"),IF('Project Info and Summary'!$C$20="Non-Electric",CONCATENATE(Cool_Type," ",Heating_Type," Heat"),CONCATENATE(Cool_Type," ",Heating_Type))))))))</f>
        <v/>
      </c>
      <c r="N177" s="298" t="str">
        <f t="shared" si="11"/>
        <v/>
      </c>
      <c r="O177" s="298" t="str">
        <f>IF(B177="", "", 'Lighting Inventory (Ref only)'!G188)</f>
        <v/>
      </c>
      <c r="P177" s="298" t="str">
        <f>IF(B177="", "", 'Lighting Inventory (Ref only)'!E188)</f>
        <v/>
      </c>
      <c r="Q177" s="298" t="str">
        <f>IF(B177="", "", 'Lighting Inventory (Ref only)'!J188)</f>
        <v/>
      </c>
      <c r="R177" s="298" t="str">
        <f>IF(B177="", "",'Lighting Inventory (Ref only)'!K188)</f>
        <v/>
      </c>
      <c r="S177" s="372" t="str">
        <f>IF(B177="", "", 'Lighting Inventory (Ref only)'!G188*'Lighting Inventory (Ref only)'!K188/1000)</f>
        <v/>
      </c>
      <c r="T177" s="298" t="str">
        <f>IF(B177="", "", IF('Lighting Inventory (Ref only)'!I188="", "Light Switch",Inventory!H185))</f>
        <v/>
      </c>
      <c r="U177" s="298" t="str">
        <f>IF(B177="", "", 'Lighting Inventory (Ref only)'!Q188)</f>
        <v/>
      </c>
      <c r="V177" s="298" t="str">
        <f>IF(B177="", "", 'Lighting Inventory (Ref only)'!K188)</f>
        <v/>
      </c>
      <c r="W177" s="373" t="str">
        <f>IF(B177="","",('Lighting Inventory (Ref only)'!L188/1000))</f>
        <v/>
      </c>
      <c r="X177" s="298" t="str">
        <f>IF(B177="", "", 'Lighting Inventory (Ref only)'!Q188)</f>
        <v/>
      </c>
      <c r="Y177" s="298" t="str">
        <f>IF(C177="", "", Inventory!N185)</f>
        <v/>
      </c>
      <c r="Z177" s="374" t="str">
        <f>IF(B177="", "", 'Lighting Inventory (Ref only)'!P188)</f>
        <v/>
      </c>
      <c r="AA177" s="372" t="str">
        <f>IF(B177="", "",'Lighting Inventory (Ref only)'!R188/1000)</f>
        <v/>
      </c>
      <c r="AB177" s="372" t="str">
        <f>IF(B177="", "", Inventory!M185)</f>
        <v/>
      </c>
      <c r="AC177" s="374" t="str">
        <f>IF(B177="", "", 'Lighting Inventory (Ref only)'!T188)</f>
        <v/>
      </c>
      <c r="AD177" s="374" t="str">
        <f>IF(C177="", "", 'Lighting Inventory (Ref only)'!AA188)</f>
        <v/>
      </c>
      <c r="AE177" s="375" t="str">
        <f>IF(B177="", "", 'Lighting Inventory (Ref only)'!U188)</f>
        <v/>
      </c>
      <c r="AF177" s="375" t="str">
        <f>IF(B177="", "",'Lighting Inventory (Ref only)'!W188)</f>
        <v/>
      </c>
      <c r="AG177" s="375" t="str">
        <f>IF(B177="", "", 'Lighting Inventory (Ref only)'!V188)</f>
        <v/>
      </c>
      <c r="AH177" s="375" t="str">
        <f>IF(B177="", "",'Lighting Inventory (Ref only)'!Z188)</f>
        <v/>
      </c>
      <c r="AI177" s="375" t="str">
        <f>IF(B177="", "", 'Lighting Inventory (Ref only)'!Y188)</f>
        <v/>
      </c>
      <c r="AJ177" s="375" t="str">
        <f>IF(C177="", "",'Lighting Inventory (Ref only)'!AB188)</f>
        <v/>
      </c>
      <c r="AK177" s="375" t="str">
        <f>IF(B177="", "", 'Lighting Inventory (Ref only)'!AG188)</f>
        <v/>
      </c>
      <c r="AL177" s="375" t="str">
        <f>IF(B177="", "", 'Lighting Inventory (Ref only)'!AD188)</f>
        <v/>
      </c>
      <c r="AM177" s="375" t="str">
        <f>IF(B177="", "", 'Lighting Inventory (Ref only)'!AE188)</f>
        <v/>
      </c>
      <c r="AN177" s="375" t="str">
        <f>IF(B177="", "", 'Lighting Inventory (Ref only)'!AF188)</f>
        <v/>
      </c>
      <c r="AO177" s="375" t="str">
        <f>IF(B177="", "", 'Lighting Inventory (Ref only)'!AG188)</f>
        <v/>
      </c>
    </row>
    <row r="178" spans="1:41">
      <c r="A178" s="298" t="str">
        <f>IF(G178="", "", Lookups!BF180)</f>
        <v/>
      </c>
      <c r="B178" s="298" t="str">
        <f>IF('Lighting Inventory (Ref only)'!Q189="", "", 'Lighting Inventory (Ref only)'!Q189)</f>
        <v/>
      </c>
      <c r="C178" s="298" t="str">
        <f>IF(A178="", "", 'Lighting Inventory (Ref only)'!AO189)</f>
        <v/>
      </c>
      <c r="D178" s="370" t="str">
        <f>IF(B178= "","", Inventory!S186)</f>
        <v/>
      </c>
      <c r="E178" s="371"/>
      <c r="F178" s="298" t="str">
        <f>IF(B178="", "", 'Version Log'!$B$34)</f>
        <v/>
      </c>
      <c r="G178" s="298" t="str">
        <f t="shared" si="8"/>
        <v/>
      </c>
      <c r="H178" s="298" t="str">
        <f t="shared" si="9"/>
        <v/>
      </c>
      <c r="I178" s="298" t="str">
        <f>IF(B178="", "",Inventory!D186)</f>
        <v/>
      </c>
      <c r="J178" s="298" t="str">
        <f>IF(B178="","",IF(Inventory!C186="N","Interior","Exterior"))</f>
        <v/>
      </c>
      <c r="K178" s="298" t="str">
        <f t="shared" si="10"/>
        <v/>
      </c>
      <c r="L178" s="298" t="str">
        <f>IF(B178="", "", Inventory!E186)</f>
        <v/>
      </c>
      <c r="M178" s="298" t="str">
        <f>IF(B178="","",IF(Cool_Type=Lookups!$L$9,Cool_Type,IF(Cool_Type=Lookups!$L$10,Cool_Type,IF(Cool_Type=Lookups!$L$11,Cool_Type,IF(Cool_Type=Lookups!L188,Cool_Type,IF('Project Info and Summary'!$C$20="Electric",CONCATENATE(Cool_Type," ",Heating_Type," Heat"),IF('Project Info and Summary'!$C$20="Non-Electric",CONCATENATE(Cool_Type," ",Heating_Type," Heat"),CONCATENATE(Cool_Type," ",Heating_Type))))))))</f>
        <v/>
      </c>
      <c r="N178" s="298" t="str">
        <f t="shared" si="11"/>
        <v/>
      </c>
      <c r="O178" s="298" t="str">
        <f>IF(B178="", "", 'Lighting Inventory (Ref only)'!G189)</f>
        <v/>
      </c>
      <c r="P178" s="298" t="str">
        <f>IF(B178="", "", 'Lighting Inventory (Ref only)'!E189)</f>
        <v/>
      </c>
      <c r="Q178" s="298" t="str">
        <f>IF(B178="", "", 'Lighting Inventory (Ref only)'!J189)</f>
        <v/>
      </c>
      <c r="R178" s="298" t="str">
        <f>IF(B178="", "",'Lighting Inventory (Ref only)'!K189)</f>
        <v/>
      </c>
      <c r="S178" s="372" t="str">
        <f>IF(B178="", "", 'Lighting Inventory (Ref only)'!G189*'Lighting Inventory (Ref only)'!K189/1000)</f>
        <v/>
      </c>
      <c r="T178" s="298" t="str">
        <f>IF(B178="", "", IF('Lighting Inventory (Ref only)'!I189="", "Light Switch",Inventory!H186))</f>
        <v/>
      </c>
      <c r="U178" s="298" t="str">
        <f>IF(B178="", "", 'Lighting Inventory (Ref only)'!Q189)</f>
        <v/>
      </c>
      <c r="V178" s="298" t="str">
        <f>IF(B178="", "", 'Lighting Inventory (Ref only)'!K189)</f>
        <v/>
      </c>
      <c r="W178" s="373" t="str">
        <f>IF(B178="","",('Lighting Inventory (Ref only)'!L189/1000))</f>
        <v/>
      </c>
      <c r="X178" s="298" t="str">
        <f>IF(B178="", "", 'Lighting Inventory (Ref only)'!Q189)</f>
        <v/>
      </c>
      <c r="Y178" s="298" t="str">
        <f>IF(C178="", "", Inventory!N186)</f>
        <v/>
      </c>
      <c r="Z178" s="374" t="str">
        <f>IF(B178="", "", 'Lighting Inventory (Ref only)'!P189)</f>
        <v/>
      </c>
      <c r="AA178" s="372" t="str">
        <f>IF(B178="", "",'Lighting Inventory (Ref only)'!R189/1000)</f>
        <v/>
      </c>
      <c r="AB178" s="372" t="str">
        <f>IF(B178="", "", Inventory!M186)</f>
        <v/>
      </c>
      <c r="AC178" s="374" t="str">
        <f>IF(B178="", "", 'Lighting Inventory (Ref only)'!T189)</f>
        <v/>
      </c>
      <c r="AD178" s="374" t="str">
        <f>IF(C178="", "", 'Lighting Inventory (Ref only)'!AA189)</f>
        <v/>
      </c>
      <c r="AE178" s="375" t="str">
        <f>IF(B178="", "", 'Lighting Inventory (Ref only)'!U189)</f>
        <v/>
      </c>
      <c r="AF178" s="375" t="str">
        <f>IF(B178="", "",'Lighting Inventory (Ref only)'!W189)</f>
        <v/>
      </c>
      <c r="AG178" s="375" t="str">
        <f>IF(B178="", "", 'Lighting Inventory (Ref only)'!V189)</f>
        <v/>
      </c>
      <c r="AH178" s="375" t="str">
        <f>IF(B178="", "",'Lighting Inventory (Ref only)'!Z189)</f>
        <v/>
      </c>
      <c r="AI178" s="375" t="str">
        <f>IF(B178="", "", 'Lighting Inventory (Ref only)'!Y189)</f>
        <v/>
      </c>
      <c r="AJ178" s="375" t="str">
        <f>IF(C178="", "",'Lighting Inventory (Ref only)'!AB189)</f>
        <v/>
      </c>
      <c r="AK178" s="375" t="str">
        <f>IF(B178="", "", 'Lighting Inventory (Ref only)'!AG189)</f>
        <v/>
      </c>
      <c r="AL178" s="375" t="str">
        <f>IF(B178="", "", 'Lighting Inventory (Ref only)'!AD189)</f>
        <v/>
      </c>
      <c r="AM178" s="375" t="str">
        <f>IF(B178="", "", 'Lighting Inventory (Ref only)'!AE189)</f>
        <v/>
      </c>
      <c r="AN178" s="375" t="str">
        <f>IF(B178="", "", 'Lighting Inventory (Ref only)'!AF189)</f>
        <v/>
      </c>
      <c r="AO178" s="375" t="str">
        <f>IF(B178="", "", 'Lighting Inventory (Ref only)'!AG189)</f>
        <v/>
      </c>
    </row>
    <row r="179" spans="1:41">
      <c r="A179" s="298" t="str">
        <f>IF(G179="", "", Lookups!BF181)</f>
        <v/>
      </c>
      <c r="B179" s="298" t="str">
        <f>IF('Lighting Inventory (Ref only)'!Q190="", "", 'Lighting Inventory (Ref only)'!Q190)</f>
        <v/>
      </c>
      <c r="C179" s="298" t="str">
        <f>IF(A179="", "", 'Lighting Inventory (Ref only)'!AO190)</f>
        <v/>
      </c>
      <c r="D179" s="370" t="str">
        <f>IF(B179= "","", Inventory!S187)</f>
        <v/>
      </c>
      <c r="E179" s="371"/>
      <c r="F179" s="298" t="str">
        <f>IF(B179="", "", 'Version Log'!$B$34)</f>
        <v/>
      </c>
      <c r="G179" s="298" t="str">
        <f t="shared" si="8"/>
        <v/>
      </c>
      <c r="H179" s="298" t="str">
        <f t="shared" si="9"/>
        <v/>
      </c>
      <c r="I179" s="298" t="str">
        <f>IF(B179="", "",Inventory!D187)</f>
        <v/>
      </c>
      <c r="J179" s="298" t="str">
        <f>IF(B179="","",IF(Inventory!C187="N","Interior","Exterior"))</f>
        <v/>
      </c>
      <c r="K179" s="298" t="str">
        <f t="shared" si="10"/>
        <v/>
      </c>
      <c r="L179" s="298" t="str">
        <f>IF(B179="", "", Inventory!E187)</f>
        <v/>
      </c>
      <c r="M179" s="298" t="str">
        <f>IF(B179="","",IF(Cool_Type=Lookups!$L$9,Cool_Type,IF(Cool_Type=Lookups!$L$10,Cool_Type,IF(Cool_Type=Lookups!$L$11,Cool_Type,IF(Cool_Type=Lookups!L189,Cool_Type,IF('Project Info and Summary'!$C$20="Electric",CONCATENATE(Cool_Type," ",Heating_Type," Heat"),IF('Project Info and Summary'!$C$20="Non-Electric",CONCATENATE(Cool_Type," ",Heating_Type," Heat"),CONCATENATE(Cool_Type," ",Heating_Type))))))))</f>
        <v/>
      </c>
      <c r="N179" s="298" t="str">
        <f t="shared" si="11"/>
        <v/>
      </c>
      <c r="O179" s="298" t="str">
        <f>IF(B179="", "", 'Lighting Inventory (Ref only)'!G190)</f>
        <v/>
      </c>
      <c r="P179" s="298" t="str">
        <f>IF(B179="", "", 'Lighting Inventory (Ref only)'!E190)</f>
        <v/>
      </c>
      <c r="Q179" s="298" t="str">
        <f>IF(B179="", "", 'Lighting Inventory (Ref only)'!J190)</f>
        <v/>
      </c>
      <c r="R179" s="298" t="str">
        <f>IF(B179="", "",'Lighting Inventory (Ref only)'!K190)</f>
        <v/>
      </c>
      <c r="S179" s="372" t="str">
        <f>IF(B179="", "", 'Lighting Inventory (Ref only)'!G190*'Lighting Inventory (Ref only)'!K190/1000)</f>
        <v/>
      </c>
      <c r="T179" s="298" t="str">
        <f>IF(B179="", "", IF('Lighting Inventory (Ref only)'!I190="", "Light Switch",Inventory!H187))</f>
        <v/>
      </c>
      <c r="U179" s="298" t="str">
        <f>IF(B179="", "", 'Lighting Inventory (Ref only)'!Q190)</f>
        <v/>
      </c>
      <c r="V179" s="298" t="str">
        <f>IF(B179="", "", 'Lighting Inventory (Ref only)'!K190)</f>
        <v/>
      </c>
      <c r="W179" s="373" t="str">
        <f>IF(B179="","",('Lighting Inventory (Ref only)'!L190/1000))</f>
        <v/>
      </c>
      <c r="X179" s="298" t="str">
        <f>IF(B179="", "", 'Lighting Inventory (Ref only)'!Q190)</f>
        <v/>
      </c>
      <c r="Y179" s="298" t="str">
        <f>IF(C179="", "", Inventory!N187)</f>
        <v/>
      </c>
      <c r="Z179" s="374" t="str">
        <f>IF(B179="", "", 'Lighting Inventory (Ref only)'!P190)</f>
        <v/>
      </c>
      <c r="AA179" s="372" t="str">
        <f>IF(B179="", "",'Lighting Inventory (Ref only)'!R190/1000)</f>
        <v/>
      </c>
      <c r="AB179" s="372" t="str">
        <f>IF(B179="", "", Inventory!M187)</f>
        <v/>
      </c>
      <c r="AC179" s="374" t="str">
        <f>IF(B179="", "", 'Lighting Inventory (Ref only)'!T190)</f>
        <v/>
      </c>
      <c r="AD179" s="374" t="str">
        <f>IF(C179="", "", 'Lighting Inventory (Ref only)'!AA190)</f>
        <v/>
      </c>
      <c r="AE179" s="375" t="str">
        <f>IF(B179="", "", 'Lighting Inventory (Ref only)'!U190)</f>
        <v/>
      </c>
      <c r="AF179" s="375" t="str">
        <f>IF(B179="", "",'Lighting Inventory (Ref only)'!W190)</f>
        <v/>
      </c>
      <c r="AG179" s="375" t="str">
        <f>IF(B179="", "", 'Lighting Inventory (Ref only)'!V190)</f>
        <v/>
      </c>
      <c r="AH179" s="375" t="str">
        <f>IF(B179="", "",'Lighting Inventory (Ref only)'!Z190)</f>
        <v/>
      </c>
      <c r="AI179" s="375" t="str">
        <f>IF(B179="", "", 'Lighting Inventory (Ref only)'!Y190)</f>
        <v/>
      </c>
      <c r="AJ179" s="375" t="str">
        <f>IF(C179="", "",'Lighting Inventory (Ref only)'!AB190)</f>
        <v/>
      </c>
      <c r="AK179" s="375" t="str">
        <f>IF(B179="", "", 'Lighting Inventory (Ref only)'!AG190)</f>
        <v/>
      </c>
      <c r="AL179" s="375" t="str">
        <f>IF(B179="", "", 'Lighting Inventory (Ref only)'!AD190)</f>
        <v/>
      </c>
      <c r="AM179" s="375" t="str">
        <f>IF(B179="", "", 'Lighting Inventory (Ref only)'!AE190)</f>
        <v/>
      </c>
      <c r="AN179" s="375" t="str">
        <f>IF(B179="", "", 'Lighting Inventory (Ref only)'!AF190)</f>
        <v/>
      </c>
      <c r="AO179" s="375" t="str">
        <f>IF(B179="", "", 'Lighting Inventory (Ref only)'!AG190)</f>
        <v/>
      </c>
    </row>
    <row r="180" spans="1:41">
      <c r="A180" s="298" t="str">
        <f>IF(G180="", "", Lookups!BF182)</f>
        <v/>
      </c>
      <c r="B180" s="298" t="str">
        <f>IF('Lighting Inventory (Ref only)'!Q191="", "", 'Lighting Inventory (Ref only)'!Q191)</f>
        <v/>
      </c>
      <c r="C180" s="298" t="str">
        <f>IF(A180="", "", 'Lighting Inventory (Ref only)'!AO191)</f>
        <v/>
      </c>
      <c r="D180" s="370" t="str">
        <f>IF(B180= "","", Inventory!S188)</f>
        <v/>
      </c>
      <c r="E180" s="371"/>
      <c r="F180" s="298" t="str">
        <f>IF(B180="", "", 'Version Log'!$B$34)</f>
        <v/>
      </c>
      <c r="G180" s="298" t="str">
        <f t="shared" si="8"/>
        <v/>
      </c>
      <c r="H180" s="298" t="str">
        <f t="shared" si="9"/>
        <v/>
      </c>
      <c r="I180" s="298" t="str">
        <f>IF(B180="", "",Inventory!D188)</f>
        <v/>
      </c>
      <c r="J180" s="298" t="str">
        <f>IF(B180="","",IF(Inventory!C188="N","Interior","Exterior"))</f>
        <v/>
      </c>
      <c r="K180" s="298" t="str">
        <f t="shared" si="10"/>
        <v/>
      </c>
      <c r="L180" s="298" t="str">
        <f>IF(B180="", "", Inventory!E188)</f>
        <v/>
      </c>
      <c r="M180" s="298" t="str">
        <f>IF(B180="","",IF(Cool_Type=Lookups!$L$9,Cool_Type,IF(Cool_Type=Lookups!$L$10,Cool_Type,IF(Cool_Type=Lookups!$L$11,Cool_Type,IF(Cool_Type=Lookups!L190,Cool_Type,IF('Project Info and Summary'!$C$20="Electric",CONCATENATE(Cool_Type," ",Heating_Type," Heat"),IF('Project Info and Summary'!$C$20="Non-Electric",CONCATENATE(Cool_Type," ",Heating_Type," Heat"),CONCATENATE(Cool_Type," ",Heating_Type))))))))</f>
        <v/>
      </c>
      <c r="N180" s="298" t="str">
        <f t="shared" si="11"/>
        <v/>
      </c>
      <c r="O180" s="298" t="str">
        <f>IF(B180="", "", 'Lighting Inventory (Ref only)'!G191)</f>
        <v/>
      </c>
      <c r="P180" s="298" t="str">
        <f>IF(B180="", "", 'Lighting Inventory (Ref only)'!E191)</f>
        <v/>
      </c>
      <c r="Q180" s="298" t="str">
        <f>IF(B180="", "", 'Lighting Inventory (Ref only)'!J191)</f>
        <v/>
      </c>
      <c r="R180" s="298" t="str">
        <f>IF(B180="", "",'Lighting Inventory (Ref only)'!K191)</f>
        <v/>
      </c>
      <c r="S180" s="372" t="str">
        <f>IF(B180="", "", 'Lighting Inventory (Ref only)'!G191*'Lighting Inventory (Ref only)'!K191/1000)</f>
        <v/>
      </c>
      <c r="T180" s="298" t="str">
        <f>IF(B180="", "", IF('Lighting Inventory (Ref only)'!I191="", "Light Switch",Inventory!H188))</f>
        <v/>
      </c>
      <c r="U180" s="298" t="str">
        <f>IF(B180="", "", 'Lighting Inventory (Ref only)'!Q191)</f>
        <v/>
      </c>
      <c r="V180" s="298" t="str">
        <f>IF(B180="", "", 'Lighting Inventory (Ref only)'!K191)</f>
        <v/>
      </c>
      <c r="W180" s="373" t="str">
        <f>IF(B180="","",('Lighting Inventory (Ref only)'!L191/1000))</f>
        <v/>
      </c>
      <c r="X180" s="298" t="str">
        <f>IF(B180="", "", 'Lighting Inventory (Ref only)'!Q191)</f>
        <v/>
      </c>
      <c r="Y180" s="298" t="str">
        <f>IF(C180="", "", Inventory!N188)</f>
        <v/>
      </c>
      <c r="Z180" s="374" t="str">
        <f>IF(B180="", "", 'Lighting Inventory (Ref only)'!P191)</f>
        <v/>
      </c>
      <c r="AA180" s="372" t="str">
        <f>IF(B180="", "",'Lighting Inventory (Ref only)'!R191/1000)</f>
        <v/>
      </c>
      <c r="AB180" s="372" t="str">
        <f>IF(B180="", "", Inventory!M188)</f>
        <v/>
      </c>
      <c r="AC180" s="374" t="str">
        <f>IF(B180="", "", 'Lighting Inventory (Ref only)'!T191)</f>
        <v/>
      </c>
      <c r="AD180" s="374" t="str">
        <f>IF(C180="", "", 'Lighting Inventory (Ref only)'!AA191)</f>
        <v/>
      </c>
      <c r="AE180" s="375" t="str">
        <f>IF(B180="", "", 'Lighting Inventory (Ref only)'!U191)</f>
        <v/>
      </c>
      <c r="AF180" s="375" t="str">
        <f>IF(B180="", "",'Lighting Inventory (Ref only)'!W191)</f>
        <v/>
      </c>
      <c r="AG180" s="375" t="str">
        <f>IF(B180="", "", 'Lighting Inventory (Ref only)'!V191)</f>
        <v/>
      </c>
      <c r="AH180" s="375" t="str">
        <f>IF(B180="", "",'Lighting Inventory (Ref only)'!Z191)</f>
        <v/>
      </c>
      <c r="AI180" s="375" t="str">
        <f>IF(B180="", "", 'Lighting Inventory (Ref only)'!Y191)</f>
        <v/>
      </c>
      <c r="AJ180" s="375" t="str">
        <f>IF(C180="", "",'Lighting Inventory (Ref only)'!AB191)</f>
        <v/>
      </c>
      <c r="AK180" s="375" t="str">
        <f>IF(B180="", "", 'Lighting Inventory (Ref only)'!AG191)</f>
        <v/>
      </c>
      <c r="AL180" s="375" t="str">
        <f>IF(B180="", "", 'Lighting Inventory (Ref only)'!AD191)</f>
        <v/>
      </c>
      <c r="AM180" s="375" t="str">
        <f>IF(B180="", "", 'Lighting Inventory (Ref only)'!AE191)</f>
        <v/>
      </c>
      <c r="AN180" s="375" t="str">
        <f>IF(B180="", "", 'Lighting Inventory (Ref only)'!AF191)</f>
        <v/>
      </c>
      <c r="AO180" s="375" t="str">
        <f>IF(B180="", "", 'Lighting Inventory (Ref only)'!AG191)</f>
        <v/>
      </c>
    </row>
    <row r="181" spans="1:41">
      <c r="A181" s="298" t="str">
        <f>IF(G181="", "", Lookups!BF183)</f>
        <v/>
      </c>
      <c r="B181" s="298" t="str">
        <f>IF('Lighting Inventory (Ref only)'!Q192="", "", 'Lighting Inventory (Ref only)'!Q192)</f>
        <v/>
      </c>
      <c r="C181" s="298" t="str">
        <f>IF(A181="", "", 'Lighting Inventory (Ref only)'!AO192)</f>
        <v/>
      </c>
      <c r="D181" s="370" t="str">
        <f>IF(B181= "","", Inventory!S189)</f>
        <v/>
      </c>
      <c r="E181" s="371"/>
      <c r="F181" s="298" t="str">
        <f>IF(B181="", "", 'Version Log'!$B$34)</f>
        <v/>
      </c>
      <c r="G181" s="298" t="str">
        <f t="shared" si="8"/>
        <v/>
      </c>
      <c r="H181" s="298" t="str">
        <f t="shared" si="9"/>
        <v/>
      </c>
      <c r="I181" s="298" t="str">
        <f>IF(B181="", "",Inventory!D189)</f>
        <v/>
      </c>
      <c r="J181" s="298" t="str">
        <f>IF(B181="","",IF(Inventory!C189="N","Interior","Exterior"))</f>
        <v/>
      </c>
      <c r="K181" s="298" t="str">
        <f t="shared" si="10"/>
        <v/>
      </c>
      <c r="L181" s="298" t="str">
        <f>IF(B181="", "", Inventory!E189)</f>
        <v/>
      </c>
      <c r="M181" s="298" t="str">
        <f>IF(B181="","",IF(Cool_Type=Lookups!$L$9,Cool_Type,IF(Cool_Type=Lookups!$L$10,Cool_Type,IF(Cool_Type=Lookups!$L$11,Cool_Type,IF(Cool_Type=Lookups!L191,Cool_Type,IF('Project Info and Summary'!$C$20="Electric",CONCATENATE(Cool_Type," ",Heating_Type," Heat"),IF('Project Info and Summary'!$C$20="Non-Electric",CONCATENATE(Cool_Type," ",Heating_Type," Heat"),CONCATENATE(Cool_Type," ",Heating_Type))))))))</f>
        <v/>
      </c>
      <c r="N181" s="298" t="str">
        <f t="shared" si="11"/>
        <v/>
      </c>
      <c r="O181" s="298" t="str">
        <f>IF(B181="", "", 'Lighting Inventory (Ref only)'!G192)</f>
        <v/>
      </c>
      <c r="P181" s="298" t="str">
        <f>IF(B181="", "", 'Lighting Inventory (Ref only)'!E192)</f>
        <v/>
      </c>
      <c r="Q181" s="298" t="str">
        <f>IF(B181="", "", 'Lighting Inventory (Ref only)'!J192)</f>
        <v/>
      </c>
      <c r="R181" s="298" t="str">
        <f>IF(B181="", "",'Lighting Inventory (Ref only)'!K192)</f>
        <v/>
      </c>
      <c r="S181" s="372" t="str">
        <f>IF(B181="", "", 'Lighting Inventory (Ref only)'!G192*'Lighting Inventory (Ref only)'!K192/1000)</f>
        <v/>
      </c>
      <c r="T181" s="298" t="str">
        <f>IF(B181="", "", IF('Lighting Inventory (Ref only)'!I192="", "Light Switch",Inventory!H189))</f>
        <v/>
      </c>
      <c r="U181" s="298" t="str">
        <f>IF(B181="", "", 'Lighting Inventory (Ref only)'!Q192)</f>
        <v/>
      </c>
      <c r="V181" s="298" t="str">
        <f>IF(B181="", "", 'Lighting Inventory (Ref only)'!K192)</f>
        <v/>
      </c>
      <c r="W181" s="373" t="str">
        <f>IF(B181="","",('Lighting Inventory (Ref only)'!L192/1000))</f>
        <v/>
      </c>
      <c r="X181" s="298" t="str">
        <f>IF(B181="", "", 'Lighting Inventory (Ref only)'!Q192)</f>
        <v/>
      </c>
      <c r="Y181" s="298" t="str">
        <f>IF(C181="", "", Inventory!N189)</f>
        <v/>
      </c>
      <c r="Z181" s="374" t="str">
        <f>IF(B181="", "", 'Lighting Inventory (Ref only)'!P192)</f>
        <v/>
      </c>
      <c r="AA181" s="372" t="str">
        <f>IF(B181="", "",'Lighting Inventory (Ref only)'!R192/1000)</f>
        <v/>
      </c>
      <c r="AB181" s="372" t="str">
        <f>IF(B181="", "", Inventory!M189)</f>
        <v/>
      </c>
      <c r="AC181" s="374" t="str">
        <f>IF(B181="", "", 'Lighting Inventory (Ref only)'!T192)</f>
        <v/>
      </c>
      <c r="AD181" s="374" t="str">
        <f>IF(C181="", "", 'Lighting Inventory (Ref only)'!AA192)</f>
        <v/>
      </c>
      <c r="AE181" s="375" t="str">
        <f>IF(B181="", "", 'Lighting Inventory (Ref only)'!U192)</f>
        <v/>
      </c>
      <c r="AF181" s="375" t="str">
        <f>IF(B181="", "",'Lighting Inventory (Ref only)'!W192)</f>
        <v/>
      </c>
      <c r="AG181" s="375" t="str">
        <f>IF(B181="", "", 'Lighting Inventory (Ref only)'!V192)</f>
        <v/>
      </c>
      <c r="AH181" s="375" t="str">
        <f>IF(B181="", "",'Lighting Inventory (Ref only)'!Z192)</f>
        <v/>
      </c>
      <c r="AI181" s="375" t="str">
        <f>IF(B181="", "", 'Lighting Inventory (Ref only)'!Y192)</f>
        <v/>
      </c>
      <c r="AJ181" s="375" t="str">
        <f>IF(C181="", "",'Lighting Inventory (Ref only)'!AB192)</f>
        <v/>
      </c>
      <c r="AK181" s="375" t="str">
        <f>IF(B181="", "", 'Lighting Inventory (Ref only)'!AG192)</f>
        <v/>
      </c>
      <c r="AL181" s="375" t="str">
        <f>IF(B181="", "", 'Lighting Inventory (Ref only)'!AD192)</f>
        <v/>
      </c>
      <c r="AM181" s="375" t="str">
        <f>IF(B181="", "", 'Lighting Inventory (Ref only)'!AE192)</f>
        <v/>
      </c>
      <c r="AN181" s="375" t="str">
        <f>IF(B181="", "", 'Lighting Inventory (Ref only)'!AF192)</f>
        <v/>
      </c>
      <c r="AO181" s="375" t="str">
        <f>IF(B181="", "", 'Lighting Inventory (Ref only)'!AG192)</f>
        <v/>
      </c>
    </row>
    <row r="182" spans="1:41">
      <c r="A182" s="298" t="str">
        <f>IF(G182="", "", Lookups!BF184)</f>
        <v/>
      </c>
      <c r="B182" s="298" t="str">
        <f>IF('Lighting Inventory (Ref only)'!Q193="", "", 'Lighting Inventory (Ref only)'!Q193)</f>
        <v/>
      </c>
      <c r="C182" s="298" t="str">
        <f>IF(A182="", "", 'Lighting Inventory (Ref only)'!AO193)</f>
        <v/>
      </c>
      <c r="D182" s="370" t="str">
        <f>IF(B182= "","", Inventory!S190)</f>
        <v/>
      </c>
      <c r="E182" s="371"/>
      <c r="F182" s="298" t="str">
        <f>IF(B182="", "", 'Version Log'!$B$34)</f>
        <v/>
      </c>
      <c r="G182" s="298" t="str">
        <f t="shared" si="8"/>
        <v/>
      </c>
      <c r="H182" s="298" t="str">
        <f t="shared" si="9"/>
        <v/>
      </c>
      <c r="I182" s="298" t="str">
        <f>IF(B182="", "",Inventory!D190)</f>
        <v/>
      </c>
      <c r="J182" s="298" t="str">
        <f>IF(B182="","",IF(Inventory!C190="N","Interior","Exterior"))</f>
        <v/>
      </c>
      <c r="K182" s="298" t="str">
        <f t="shared" si="10"/>
        <v/>
      </c>
      <c r="L182" s="298" t="str">
        <f>IF(B182="", "", Inventory!E190)</f>
        <v/>
      </c>
      <c r="M182" s="298" t="str">
        <f>IF(B182="","",IF(Cool_Type=Lookups!$L$9,Cool_Type,IF(Cool_Type=Lookups!$L$10,Cool_Type,IF(Cool_Type=Lookups!$L$11,Cool_Type,IF(Cool_Type=Lookups!L192,Cool_Type,IF('Project Info and Summary'!$C$20="Electric",CONCATENATE(Cool_Type," ",Heating_Type," Heat"),IF('Project Info and Summary'!$C$20="Non-Electric",CONCATENATE(Cool_Type," ",Heating_Type," Heat"),CONCATENATE(Cool_Type," ",Heating_Type))))))))</f>
        <v/>
      </c>
      <c r="N182" s="298" t="str">
        <f t="shared" si="11"/>
        <v/>
      </c>
      <c r="O182" s="298" t="str">
        <f>IF(B182="", "", 'Lighting Inventory (Ref only)'!G193)</f>
        <v/>
      </c>
      <c r="P182" s="298" t="str">
        <f>IF(B182="", "", 'Lighting Inventory (Ref only)'!E193)</f>
        <v/>
      </c>
      <c r="Q182" s="298" t="str">
        <f>IF(B182="", "", 'Lighting Inventory (Ref only)'!J193)</f>
        <v/>
      </c>
      <c r="R182" s="298" t="str">
        <f>IF(B182="", "",'Lighting Inventory (Ref only)'!K193)</f>
        <v/>
      </c>
      <c r="S182" s="372" t="str">
        <f>IF(B182="", "", 'Lighting Inventory (Ref only)'!G193*'Lighting Inventory (Ref only)'!K193/1000)</f>
        <v/>
      </c>
      <c r="T182" s="298" t="str">
        <f>IF(B182="", "", IF('Lighting Inventory (Ref only)'!I193="", "Light Switch",Inventory!H190))</f>
        <v/>
      </c>
      <c r="U182" s="298" t="str">
        <f>IF(B182="", "", 'Lighting Inventory (Ref only)'!Q193)</f>
        <v/>
      </c>
      <c r="V182" s="298" t="str">
        <f>IF(B182="", "", 'Lighting Inventory (Ref only)'!K193)</f>
        <v/>
      </c>
      <c r="W182" s="373" t="str">
        <f>IF(B182="","",('Lighting Inventory (Ref only)'!L193/1000))</f>
        <v/>
      </c>
      <c r="X182" s="298" t="str">
        <f>IF(B182="", "", 'Lighting Inventory (Ref only)'!Q193)</f>
        <v/>
      </c>
      <c r="Y182" s="298" t="str">
        <f>IF(C182="", "", Inventory!N190)</f>
        <v/>
      </c>
      <c r="Z182" s="374" t="str">
        <f>IF(B182="", "", 'Lighting Inventory (Ref only)'!P193)</f>
        <v/>
      </c>
      <c r="AA182" s="372" t="str">
        <f>IF(B182="", "",'Lighting Inventory (Ref only)'!R193/1000)</f>
        <v/>
      </c>
      <c r="AB182" s="372" t="str">
        <f>IF(B182="", "", Inventory!M190)</f>
        <v/>
      </c>
      <c r="AC182" s="374" t="str">
        <f>IF(B182="", "", 'Lighting Inventory (Ref only)'!T193)</f>
        <v/>
      </c>
      <c r="AD182" s="374" t="str">
        <f>IF(C182="", "", 'Lighting Inventory (Ref only)'!AA193)</f>
        <v/>
      </c>
      <c r="AE182" s="375" t="str">
        <f>IF(B182="", "", 'Lighting Inventory (Ref only)'!U193)</f>
        <v/>
      </c>
      <c r="AF182" s="375" t="str">
        <f>IF(B182="", "",'Lighting Inventory (Ref only)'!W193)</f>
        <v/>
      </c>
      <c r="AG182" s="375" t="str">
        <f>IF(B182="", "", 'Lighting Inventory (Ref only)'!V193)</f>
        <v/>
      </c>
      <c r="AH182" s="375" t="str">
        <f>IF(B182="", "",'Lighting Inventory (Ref only)'!Z193)</f>
        <v/>
      </c>
      <c r="AI182" s="375" t="str">
        <f>IF(B182="", "", 'Lighting Inventory (Ref only)'!Y193)</f>
        <v/>
      </c>
      <c r="AJ182" s="375" t="str">
        <f>IF(C182="", "",'Lighting Inventory (Ref only)'!AB193)</f>
        <v/>
      </c>
      <c r="AK182" s="375" t="str">
        <f>IF(B182="", "", 'Lighting Inventory (Ref only)'!AG193)</f>
        <v/>
      </c>
      <c r="AL182" s="375" t="str">
        <f>IF(B182="", "", 'Lighting Inventory (Ref only)'!AD193)</f>
        <v/>
      </c>
      <c r="AM182" s="375" t="str">
        <f>IF(B182="", "", 'Lighting Inventory (Ref only)'!AE193)</f>
        <v/>
      </c>
      <c r="AN182" s="375" t="str">
        <f>IF(B182="", "", 'Lighting Inventory (Ref only)'!AF193)</f>
        <v/>
      </c>
      <c r="AO182" s="375" t="str">
        <f>IF(B182="", "", 'Lighting Inventory (Ref only)'!AG193)</f>
        <v/>
      </c>
    </row>
    <row r="183" spans="1:41">
      <c r="A183" s="298" t="str">
        <f>IF(G183="", "", Lookups!BF185)</f>
        <v/>
      </c>
      <c r="B183" s="298" t="str">
        <f>IF('Lighting Inventory (Ref only)'!Q194="", "", 'Lighting Inventory (Ref only)'!Q194)</f>
        <v/>
      </c>
      <c r="C183" s="298" t="str">
        <f>IF(A183="", "", 'Lighting Inventory (Ref only)'!AO194)</f>
        <v/>
      </c>
      <c r="D183" s="370" t="str">
        <f>IF(B183= "","", Inventory!S191)</f>
        <v/>
      </c>
      <c r="E183" s="371"/>
      <c r="F183" s="298" t="str">
        <f>IF(B183="", "", 'Version Log'!$B$34)</f>
        <v/>
      </c>
      <c r="G183" s="298" t="str">
        <f t="shared" si="8"/>
        <v/>
      </c>
      <c r="H183" s="298" t="str">
        <f t="shared" si="9"/>
        <v/>
      </c>
      <c r="I183" s="298" t="str">
        <f>IF(B183="", "",Inventory!D191)</f>
        <v/>
      </c>
      <c r="J183" s="298" t="str">
        <f>IF(B183="","",IF(Inventory!C191="N","Interior","Exterior"))</f>
        <v/>
      </c>
      <c r="K183" s="298" t="str">
        <f t="shared" si="10"/>
        <v/>
      </c>
      <c r="L183" s="298" t="str">
        <f>IF(B183="", "", Inventory!E191)</f>
        <v/>
      </c>
      <c r="M183" s="298" t="str">
        <f>IF(B183="","",IF(Cool_Type=Lookups!$L$9,Cool_Type,IF(Cool_Type=Lookups!$L$10,Cool_Type,IF(Cool_Type=Lookups!$L$11,Cool_Type,IF(Cool_Type=Lookups!L193,Cool_Type,IF('Project Info and Summary'!$C$20="Electric",CONCATENATE(Cool_Type," ",Heating_Type," Heat"),IF('Project Info and Summary'!$C$20="Non-Electric",CONCATENATE(Cool_Type," ",Heating_Type," Heat"),CONCATENATE(Cool_Type," ",Heating_Type))))))))</f>
        <v/>
      </c>
      <c r="N183" s="298" t="str">
        <f t="shared" si="11"/>
        <v/>
      </c>
      <c r="O183" s="298" t="str">
        <f>IF(B183="", "", 'Lighting Inventory (Ref only)'!G194)</f>
        <v/>
      </c>
      <c r="P183" s="298" t="str">
        <f>IF(B183="", "", 'Lighting Inventory (Ref only)'!E194)</f>
        <v/>
      </c>
      <c r="Q183" s="298" t="str">
        <f>IF(B183="", "", 'Lighting Inventory (Ref only)'!J194)</f>
        <v/>
      </c>
      <c r="R183" s="298" t="str">
        <f>IF(B183="", "",'Lighting Inventory (Ref only)'!K194)</f>
        <v/>
      </c>
      <c r="S183" s="372" t="str">
        <f>IF(B183="", "", 'Lighting Inventory (Ref only)'!G194*'Lighting Inventory (Ref only)'!K194/1000)</f>
        <v/>
      </c>
      <c r="T183" s="298" t="str">
        <f>IF(B183="", "", IF('Lighting Inventory (Ref only)'!I194="", "Light Switch",Inventory!H191))</f>
        <v/>
      </c>
      <c r="U183" s="298" t="str">
        <f>IF(B183="", "", 'Lighting Inventory (Ref only)'!Q194)</f>
        <v/>
      </c>
      <c r="V183" s="298" t="str">
        <f>IF(B183="", "", 'Lighting Inventory (Ref only)'!K194)</f>
        <v/>
      </c>
      <c r="W183" s="373" t="str">
        <f>IF(B183="","",('Lighting Inventory (Ref only)'!L194/1000))</f>
        <v/>
      </c>
      <c r="X183" s="298" t="str">
        <f>IF(B183="", "", 'Lighting Inventory (Ref only)'!Q194)</f>
        <v/>
      </c>
      <c r="Y183" s="298" t="str">
        <f>IF(C183="", "", Inventory!N191)</f>
        <v/>
      </c>
      <c r="Z183" s="374" t="str">
        <f>IF(B183="", "", 'Lighting Inventory (Ref only)'!P194)</f>
        <v/>
      </c>
      <c r="AA183" s="372" t="str">
        <f>IF(B183="", "",'Lighting Inventory (Ref only)'!R194/1000)</f>
        <v/>
      </c>
      <c r="AB183" s="372" t="str">
        <f>IF(B183="", "", Inventory!M191)</f>
        <v/>
      </c>
      <c r="AC183" s="374" t="str">
        <f>IF(B183="", "", 'Lighting Inventory (Ref only)'!T194)</f>
        <v/>
      </c>
      <c r="AD183" s="374" t="str">
        <f>IF(C183="", "", 'Lighting Inventory (Ref only)'!AA194)</f>
        <v/>
      </c>
      <c r="AE183" s="375" t="str">
        <f>IF(B183="", "", 'Lighting Inventory (Ref only)'!U194)</f>
        <v/>
      </c>
      <c r="AF183" s="375" t="str">
        <f>IF(B183="", "",'Lighting Inventory (Ref only)'!W194)</f>
        <v/>
      </c>
      <c r="AG183" s="375" t="str">
        <f>IF(B183="", "", 'Lighting Inventory (Ref only)'!V194)</f>
        <v/>
      </c>
      <c r="AH183" s="375" t="str">
        <f>IF(B183="", "",'Lighting Inventory (Ref only)'!Z194)</f>
        <v/>
      </c>
      <c r="AI183" s="375" t="str">
        <f>IF(B183="", "", 'Lighting Inventory (Ref only)'!Y194)</f>
        <v/>
      </c>
      <c r="AJ183" s="375" t="str">
        <f>IF(C183="", "",'Lighting Inventory (Ref only)'!AB194)</f>
        <v/>
      </c>
      <c r="AK183" s="375" t="str">
        <f>IF(B183="", "", 'Lighting Inventory (Ref only)'!AG194)</f>
        <v/>
      </c>
      <c r="AL183" s="375" t="str">
        <f>IF(B183="", "", 'Lighting Inventory (Ref only)'!AD194)</f>
        <v/>
      </c>
      <c r="AM183" s="375" t="str">
        <f>IF(B183="", "", 'Lighting Inventory (Ref only)'!AE194)</f>
        <v/>
      </c>
      <c r="AN183" s="375" t="str">
        <f>IF(B183="", "", 'Lighting Inventory (Ref only)'!AF194)</f>
        <v/>
      </c>
      <c r="AO183" s="375" t="str">
        <f>IF(B183="", "", 'Lighting Inventory (Ref only)'!AG194)</f>
        <v/>
      </c>
    </row>
    <row r="184" spans="1:41">
      <c r="A184" s="298" t="str">
        <f>IF(G184="", "", Lookups!BF186)</f>
        <v/>
      </c>
      <c r="B184" s="298" t="str">
        <f>IF('Lighting Inventory (Ref only)'!Q195="", "", 'Lighting Inventory (Ref only)'!Q195)</f>
        <v/>
      </c>
      <c r="C184" s="298" t="str">
        <f>IF(A184="", "", 'Lighting Inventory (Ref only)'!AO195)</f>
        <v/>
      </c>
      <c r="D184" s="370" t="str">
        <f>IF(B184= "","", Inventory!S192)</f>
        <v/>
      </c>
      <c r="E184" s="371"/>
      <c r="F184" s="298" t="str">
        <f>IF(B184="", "", 'Version Log'!$B$34)</f>
        <v/>
      </c>
      <c r="G184" s="298" t="str">
        <f t="shared" si="8"/>
        <v/>
      </c>
      <c r="H184" s="298" t="str">
        <f t="shared" si="9"/>
        <v/>
      </c>
      <c r="I184" s="298" t="str">
        <f>IF(B184="", "",Inventory!D192)</f>
        <v/>
      </c>
      <c r="J184" s="298" t="str">
        <f>IF(B184="","",IF(Inventory!C192="N","Interior","Exterior"))</f>
        <v/>
      </c>
      <c r="K184" s="298" t="str">
        <f t="shared" si="10"/>
        <v/>
      </c>
      <c r="L184" s="298" t="str">
        <f>IF(B184="", "", Inventory!E192)</f>
        <v/>
      </c>
      <c r="M184" s="298" t="str">
        <f>IF(B184="","",IF(Cool_Type=Lookups!$L$9,Cool_Type,IF(Cool_Type=Lookups!$L$10,Cool_Type,IF(Cool_Type=Lookups!$L$11,Cool_Type,IF(Cool_Type=Lookups!L194,Cool_Type,IF('Project Info and Summary'!$C$20="Electric",CONCATENATE(Cool_Type," ",Heating_Type," Heat"),IF('Project Info and Summary'!$C$20="Non-Electric",CONCATENATE(Cool_Type," ",Heating_Type," Heat"),CONCATENATE(Cool_Type," ",Heating_Type))))))))</f>
        <v/>
      </c>
      <c r="N184" s="298" t="str">
        <f t="shared" si="11"/>
        <v/>
      </c>
      <c r="O184" s="298" t="str">
        <f>IF(B184="", "", 'Lighting Inventory (Ref only)'!G195)</f>
        <v/>
      </c>
      <c r="P184" s="298" t="str">
        <f>IF(B184="", "", 'Lighting Inventory (Ref only)'!E195)</f>
        <v/>
      </c>
      <c r="Q184" s="298" t="str">
        <f>IF(B184="", "", 'Lighting Inventory (Ref only)'!J195)</f>
        <v/>
      </c>
      <c r="R184" s="298" t="str">
        <f>IF(B184="", "",'Lighting Inventory (Ref only)'!K195)</f>
        <v/>
      </c>
      <c r="S184" s="372" t="str">
        <f>IF(B184="", "", 'Lighting Inventory (Ref only)'!G195*'Lighting Inventory (Ref only)'!K195/1000)</f>
        <v/>
      </c>
      <c r="T184" s="298" t="str">
        <f>IF(B184="", "", IF('Lighting Inventory (Ref only)'!I195="", "Light Switch",Inventory!H192))</f>
        <v/>
      </c>
      <c r="U184" s="298" t="str">
        <f>IF(B184="", "", 'Lighting Inventory (Ref only)'!Q195)</f>
        <v/>
      </c>
      <c r="V184" s="298" t="str">
        <f>IF(B184="", "", 'Lighting Inventory (Ref only)'!K195)</f>
        <v/>
      </c>
      <c r="W184" s="373" t="str">
        <f>IF(B184="","",('Lighting Inventory (Ref only)'!L195/1000))</f>
        <v/>
      </c>
      <c r="X184" s="298" t="str">
        <f>IF(B184="", "", 'Lighting Inventory (Ref only)'!Q195)</f>
        <v/>
      </c>
      <c r="Y184" s="298" t="str">
        <f>IF(C184="", "", Inventory!N192)</f>
        <v/>
      </c>
      <c r="Z184" s="374" t="str">
        <f>IF(B184="", "", 'Lighting Inventory (Ref only)'!P195)</f>
        <v/>
      </c>
      <c r="AA184" s="372" t="str">
        <f>IF(B184="", "",'Lighting Inventory (Ref only)'!R195/1000)</f>
        <v/>
      </c>
      <c r="AB184" s="372" t="str">
        <f>IF(B184="", "", Inventory!M192)</f>
        <v/>
      </c>
      <c r="AC184" s="374" t="str">
        <f>IF(B184="", "", 'Lighting Inventory (Ref only)'!T195)</f>
        <v/>
      </c>
      <c r="AD184" s="374" t="str">
        <f>IF(C184="", "", 'Lighting Inventory (Ref only)'!AA195)</f>
        <v/>
      </c>
      <c r="AE184" s="375" t="str">
        <f>IF(B184="", "", 'Lighting Inventory (Ref only)'!U195)</f>
        <v/>
      </c>
      <c r="AF184" s="375" t="str">
        <f>IF(B184="", "",'Lighting Inventory (Ref only)'!W195)</f>
        <v/>
      </c>
      <c r="AG184" s="375" t="str">
        <f>IF(B184="", "", 'Lighting Inventory (Ref only)'!V195)</f>
        <v/>
      </c>
      <c r="AH184" s="375" t="str">
        <f>IF(B184="", "",'Lighting Inventory (Ref only)'!Z195)</f>
        <v/>
      </c>
      <c r="AI184" s="375" t="str">
        <f>IF(B184="", "", 'Lighting Inventory (Ref only)'!Y195)</f>
        <v/>
      </c>
      <c r="AJ184" s="375" t="str">
        <f>IF(C184="", "",'Lighting Inventory (Ref only)'!AB195)</f>
        <v/>
      </c>
      <c r="AK184" s="375" t="str">
        <f>IF(B184="", "", 'Lighting Inventory (Ref only)'!AG195)</f>
        <v/>
      </c>
      <c r="AL184" s="375" t="str">
        <f>IF(B184="", "", 'Lighting Inventory (Ref only)'!AD195)</f>
        <v/>
      </c>
      <c r="AM184" s="375" t="str">
        <f>IF(B184="", "", 'Lighting Inventory (Ref only)'!AE195)</f>
        <v/>
      </c>
      <c r="AN184" s="375" t="str">
        <f>IF(B184="", "", 'Lighting Inventory (Ref only)'!AF195)</f>
        <v/>
      </c>
      <c r="AO184" s="375" t="str">
        <f>IF(B184="", "", 'Lighting Inventory (Ref only)'!AG195)</f>
        <v/>
      </c>
    </row>
    <row r="185" spans="1:41">
      <c r="A185" s="298" t="str">
        <f>IF(G185="", "", Lookups!BF187)</f>
        <v/>
      </c>
      <c r="B185" s="298" t="str">
        <f>IF('Lighting Inventory (Ref only)'!Q196="", "", 'Lighting Inventory (Ref only)'!Q196)</f>
        <v/>
      </c>
      <c r="C185" s="298" t="str">
        <f>IF(A185="", "", 'Lighting Inventory (Ref only)'!AO196)</f>
        <v/>
      </c>
      <c r="D185" s="370" t="str">
        <f>IF(B185= "","", Inventory!S193)</f>
        <v/>
      </c>
      <c r="E185" s="371"/>
      <c r="F185" s="298" t="str">
        <f>IF(B185="", "", 'Version Log'!$B$34)</f>
        <v/>
      </c>
      <c r="G185" s="298" t="str">
        <f t="shared" si="8"/>
        <v/>
      </c>
      <c r="H185" s="298" t="str">
        <f t="shared" si="9"/>
        <v/>
      </c>
      <c r="I185" s="298" t="str">
        <f>IF(B185="", "",Inventory!D193)</f>
        <v/>
      </c>
      <c r="J185" s="298" t="str">
        <f>IF(B185="","",IF(Inventory!C193="N","Interior","Exterior"))</f>
        <v/>
      </c>
      <c r="K185" s="298" t="str">
        <f t="shared" si="10"/>
        <v/>
      </c>
      <c r="L185" s="298" t="str">
        <f>IF(B185="", "", Inventory!E193)</f>
        <v/>
      </c>
      <c r="M185" s="298" t="str">
        <f>IF(B185="","",IF(Cool_Type=Lookups!$L$9,Cool_Type,IF(Cool_Type=Lookups!$L$10,Cool_Type,IF(Cool_Type=Lookups!$L$11,Cool_Type,IF(Cool_Type=Lookups!L195,Cool_Type,IF('Project Info and Summary'!$C$20="Electric",CONCATENATE(Cool_Type," ",Heating_Type," Heat"),IF('Project Info and Summary'!$C$20="Non-Electric",CONCATENATE(Cool_Type," ",Heating_Type," Heat"),CONCATENATE(Cool_Type," ",Heating_Type))))))))</f>
        <v/>
      </c>
      <c r="N185" s="298" t="str">
        <f t="shared" si="11"/>
        <v/>
      </c>
      <c r="O185" s="298" t="str">
        <f>IF(B185="", "", 'Lighting Inventory (Ref only)'!G196)</f>
        <v/>
      </c>
      <c r="P185" s="298" t="str">
        <f>IF(B185="", "", 'Lighting Inventory (Ref only)'!E196)</f>
        <v/>
      </c>
      <c r="Q185" s="298" t="str">
        <f>IF(B185="", "", 'Lighting Inventory (Ref only)'!J196)</f>
        <v/>
      </c>
      <c r="R185" s="298" t="str">
        <f>IF(B185="", "",'Lighting Inventory (Ref only)'!K196)</f>
        <v/>
      </c>
      <c r="S185" s="372" t="str">
        <f>IF(B185="", "", 'Lighting Inventory (Ref only)'!G196*'Lighting Inventory (Ref only)'!K196/1000)</f>
        <v/>
      </c>
      <c r="T185" s="298" t="str">
        <f>IF(B185="", "", IF('Lighting Inventory (Ref only)'!I196="", "Light Switch",Inventory!H193))</f>
        <v/>
      </c>
      <c r="U185" s="298" t="str">
        <f>IF(B185="", "", 'Lighting Inventory (Ref only)'!Q196)</f>
        <v/>
      </c>
      <c r="V185" s="298" t="str">
        <f>IF(B185="", "", 'Lighting Inventory (Ref only)'!K196)</f>
        <v/>
      </c>
      <c r="W185" s="373" t="str">
        <f>IF(B185="","",('Lighting Inventory (Ref only)'!L196/1000))</f>
        <v/>
      </c>
      <c r="X185" s="298" t="str">
        <f>IF(B185="", "", 'Lighting Inventory (Ref only)'!Q196)</f>
        <v/>
      </c>
      <c r="Y185" s="298" t="str">
        <f>IF(C185="", "", Inventory!N193)</f>
        <v/>
      </c>
      <c r="Z185" s="374" t="str">
        <f>IF(B185="", "", 'Lighting Inventory (Ref only)'!P196)</f>
        <v/>
      </c>
      <c r="AA185" s="372" t="str">
        <f>IF(B185="", "",'Lighting Inventory (Ref only)'!R196/1000)</f>
        <v/>
      </c>
      <c r="AB185" s="372" t="str">
        <f>IF(B185="", "", Inventory!M193)</f>
        <v/>
      </c>
      <c r="AC185" s="374" t="str">
        <f>IF(B185="", "", 'Lighting Inventory (Ref only)'!T196)</f>
        <v/>
      </c>
      <c r="AD185" s="374" t="str">
        <f>IF(C185="", "", 'Lighting Inventory (Ref only)'!AA196)</f>
        <v/>
      </c>
      <c r="AE185" s="375" t="str">
        <f>IF(B185="", "", 'Lighting Inventory (Ref only)'!U196)</f>
        <v/>
      </c>
      <c r="AF185" s="375" t="str">
        <f>IF(B185="", "",'Lighting Inventory (Ref only)'!W196)</f>
        <v/>
      </c>
      <c r="AG185" s="375" t="str">
        <f>IF(B185="", "", 'Lighting Inventory (Ref only)'!V196)</f>
        <v/>
      </c>
      <c r="AH185" s="375" t="str">
        <f>IF(B185="", "",'Lighting Inventory (Ref only)'!Z196)</f>
        <v/>
      </c>
      <c r="AI185" s="375" t="str">
        <f>IF(B185="", "", 'Lighting Inventory (Ref only)'!Y196)</f>
        <v/>
      </c>
      <c r="AJ185" s="375" t="str">
        <f>IF(C185="", "",'Lighting Inventory (Ref only)'!AB196)</f>
        <v/>
      </c>
      <c r="AK185" s="375" t="str">
        <f>IF(B185="", "", 'Lighting Inventory (Ref only)'!AG196)</f>
        <v/>
      </c>
      <c r="AL185" s="375" t="str">
        <f>IF(B185="", "", 'Lighting Inventory (Ref only)'!AD196)</f>
        <v/>
      </c>
      <c r="AM185" s="375" t="str">
        <f>IF(B185="", "", 'Lighting Inventory (Ref only)'!AE196)</f>
        <v/>
      </c>
      <c r="AN185" s="375" t="str">
        <f>IF(B185="", "", 'Lighting Inventory (Ref only)'!AF196)</f>
        <v/>
      </c>
      <c r="AO185" s="375" t="str">
        <f>IF(B185="", "", 'Lighting Inventory (Ref only)'!AG196)</f>
        <v/>
      </c>
    </row>
    <row r="186" spans="1:41">
      <c r="A186" s="298" t="str">
        <f>IF(G186="", "", Lookups!BF188)</f>
        <v/>
      </c>
      <c r="B186" s="298" t="str">
        <f>IF('Lighting Inventory (Ref only)'!Q197="", "", 'Lighting Inventory (Ref only)'!Q197)</f>
        <v/>
      </c>
      <c r="C186" s="298" t="str">
        <f>IF(A186="", "", 'Lighting Inventory (Ref only)'!AO197)</f>
        <v/>
      </c>
      <c r="D186" s="370" t="str">
        <f>IF(B186= "","", Inventory!S194)</f>
        <v/>
      </c>
      <c r="E186" s="371"/>
      <c r="F186" s="298" t="str">
        <f>IF(B186="", "", 'Version Log'!$B$34)</f>
        <v/>
      </c>
      <c r="G186" s="298" t="str">
        <f t="shared" si="8"/>
        <v/>
      </c>
      <c r="H186" s="298" t="str">
        <f t="shared" si="9"/>
        <v/>
      </c>
      <c r="I186" s="298" t="str">
        <f>IF(B186="", "",Inventory!D194)</f>
        <v/>
      </c>
      <c r="J186" s="298" t="str">
        <f>IF(B186="","",IF(Inventory!C194="N","Interior","Exterior"))</f>
        <v/>
      </c>
      <c r="K186" s="298" t="str">
        <f t="shared" si="10"/>
        <v/>
      </c>
      <c r="L186" s="298" t="str">
        <f>IF(B186="", "", Inventory!E194)</f>
        <v/>
      </c>
      <c r="M186" s="298" t="str">
        <f>IF(B186="","",IF(Cool_Type=Lookups!$L$9,Cool_Type,IF(Cool_Type=Lookups!$L$10,Cool_Type,IF(Cool_Type=Lookups!$L$11,Cool_Type,IF(Cool_Type=Lookups!L196,Cool_Type,IF('Project Info and Summary'!$C$20="Electric",CONCATENATE(Cool_Type," ",Heating_Type," Heat"),IF('Project Info and Summary'!$C$20="Non-Electric",CONCATENATE(Cool_Type," ",Heating_Type," Heat"),CONCATENATE(Cool_Type," ",Heating_Type))))))))</f>
        <v/>
      </c>
      <c r="N186" s="298" t="str">
        <f t="shared" si="11"/>
        <v/>
      </c>
      <c r="O186" s="298" t="str">
        <f>IF(B186="", "", 'Lighting Inventory (Ref only)'!G197)</f>
        <v/>
      </c>
      <c r="P186" s="298" t="str">
        <f>IF(B186="", "", 'Lighting Inventory (Ref only)'!E197)</f>
        <v/>
      </c>
      <c r="Q186" s="298" t="str">
        <f>IF(B186="", "", 'Lighting Inventory (Ref only)'!J197)</f>
        <v/>
      </c>
      <c r="R186" s="298" t="str">
        <f>IF(B186="", "",'Lighting Inventory (Ref only)'!K197)</f>
        <v/>
      </c>
      <c r="S186" s="372" t="str">
        <f>IF(B186="", "", 'Lighting Inventory (Ref only)'!G197*'Lighting Inventory (Ref only)'!K197/1000)</f>
        <v/>
      </c>
      <c r="T186" s="298" t="str">
        <f>IF(B186="", "", IF('Lighting Inventory (Ref only)'!I197="", "Light Switch",Inventory!H194))</f>
        <v/>
      </c>
      <c r="U186" s="298" t="str">
        <f>IF(B186="", "", 'Lighting Inventory (Ref only)'!Q197)</f>
        <v/>
      </c>
      <c r="V186" s="298" t="str">
        <f>IF(B186="", "", 'Lighting Inventory (Ref only)'!K197)</f>
        <v/>
      </c>
      <c r="W186" s="373" t="str">
        <f>IF(B186="","",('Lighting Inventory (Ref only)'!L197/1000))</f>
        <v/>
      </c>
      <c r="X186" s="298" t="str">
        <f>IF(B186="", "", 'Lighting Inventory (Ref only)'!Q197)</f>
        <v/>
      </c>
      <c r="Y186" s="298" t="str">
        <f>IF(C186="", "", Inventory!N194)</f>
        <v/>
      </c>
      <c r="Z186" s="374" t="str">
        <f>IF(B186="", "", 'Lighting Inventory (Ref only)'!P197)</f>
        <v/>
      </c>
      <c r="AA186" s="372" t="str">
        <f>IF(B186="", "",'Lighting Inventory (Ref only)'!R197/1000)</f>
        <v/>
      </c>
      <c r="AB186" s="372" t="str">
        <f>IF(B186="", "", Inventory!M194)</f>
        <v/>
      </c>
      <c r="AC186" s="374" t="str">
        <f>IF(B186="", "", 'Lighting Inventory (Ref only)'!T197)</f>
        <v/>
      </c>
      <c r="AD186" s="374" t="str">
        <f>IF(C186="", "", 'Lighting Inventory (Ref only)'!AA197)</f>
        <v/>
      </c>
      <c r="AE186" s="375" t="str">
        <f>IF(B186="", "", 'Lighting Inventory (Ref only)'!U197)</f>
        <v/>
      </c>
      <c r="AF186" s="375" t="str">
        <f>IF(B186="", "",'Lighting Inventory (Ref only)'!W197)</f>
        <v/>
      </c>
      <c r="AG186" s="375" t="str">
        <f>IF(B186="", "", 'Lighting Inventory (Ref only)'!V197)</f>
        <v/>
      </c>
      <c r="AH186" s="375" t="str">
        <f>IF(B186="", "",'Lighting Inventory (Ref only)'!Z197)</f>
        <v/>
      </c>
      <c r="AI186" s="375" t="str">
        <f>IF(B186="", "", 'Lighting Inventory (Ref only)'!Y197)</f>
        <v/>
      </c>
      <c r="AJ186" s="375" t="str">
        <f>IF(C186="", "",'Lighting Inventory (Ref only)'!AB197)</f>
        <v/>
      </c>
      <c r="AK186" s="375" t="str">
        <f>IF(B186="", "", 'Lighting Inventory (Ref only)'!AG197)</f>
        <v/>
      </c>
      <c r="AL186" s="375" t="str">
        <f>IF(B186="", "", 'Lighting Inventory (Ref only)'!AD197)</f>
        <v/>
      </c>
      <c r="AM186" s="375" t="str">
        <f>IF(B186="", "", 'Lighting Inventory (Ref only)'!AE197)</f>
        <v/>
      </c>
      <c r="AN186" s="375" t="str">
        <f>IF(B186="", "", 'Lighting Inventory (Ref only)'!AF197)</f>
        <v/>
      </c>
      <c r="AO186" s="375" t="str">
        <f>IF(B186="", "", 'Lighting Inventory (Ref only)'!AG197)</f>
        <v/>
      </c>
    </row>
    <row r="187" spans="1:41">
      <c r="A187" s="298" t="str">
        <f>IF(G187="", "", Lookups!BF189)</f>
        <v/>
      </c>
      <c r="B187" s="298" t="str">
        <f>IF('Lighting Inventory (Ref only)'!Q198="", "", 'Lighting Inventory (Ref only)'!Q198)</f>
        <v/>
      </c>
      <c r="C187" s="298" t="str">
        <f>IF(A187="", "", 'Lighting Inventory (Ref only)'!AO198)</f>
        <v/>
      </c>
      <c r="D187" s="370" t="str">
        <f>IF(B187= "","", Inventory!S195)</f>
        <v/>
      </c>
      <c r="E187" s="371"/>
      <c r="F187" s="298" t="str">
        <f>IF(B187="", "", 'Version Log'!$B$34)</f>
        <v/>
      </c>
      <c r="G187" s="298" t="str">
        <f t="shared" si="8"/>
        <v/>
      </c>
      <c r="H187" s="298" t="str">
        <f t="shared" si="9"/>
        <v/>
      </c>
      <c r="I187" s="298" t="str">
        <f>IF(B187="", "",Inventory!D195)</f>
        <v/>
      </c>
      <c r="J187" s="298" t="str">
        <f>IF(B187="","",IF(Inventory!C195="N","Interior","Exterior"))</f>
        <v/>
      </c>
      <c r="K187" s="298" t="str">
        <f t="shared" si="10"/>
        <v/>
      </c>
      <c r="L187" s="298" t="str">
        <f>IF(B187="", "", Inventory!E195)</f>
        <v/>
      </c>
      <c r="M187" s="298" t="str">
        <f>IF(B187="","",IF(Cool_Type=Lookups!$L$9,Cool_Type,IF(Cool_Type=Lookups!$L$10,Cool_Type,IF(Cool_Type=Lookups!$L$11,Cool_Type,IF(Cool_Type=Lookups!L197,Cool_Type,IF('Project Info and Summary'!$C$20="Electric",CONCATENATE(Cool_Type," ",Heating_Type," Heat"),IF('Project Info and Summary'!$C$20="Non-Electric",CONCATENATE(Cool_Type," ",Heating_Type," Heat"),CONCATENATE(Cool_Type," ",Heating_Type))))))))</f>
        <v/>
      </c>
      <c r="N187" s="298" t="str">
        <f t="shared" si="11"/>
        <v/>
      </c>
      <c r="O187" s="298" t="str">
        <f>IF(B187="", "", 'Lighting Inventory (Ref only)'!G198)</f>
        <v/>
      </c>
      <c r="P187" s="298" t="str">
        <f>IF(B187="", "", 'Lighting Inventory (Ref only)'!E198)</f>
        <v/>
      </c>
      <c r="Q187" s="298" t="str">
        <f>IF(B187="", "", 'Lighting Inventory (Ref only)'!J198)</f>
        <v/>
      </c>
      <c r="R187" s="298" t="str">
        <f>IF(B187="", "",'Lighting Inventory (Ref only)'!K198)</f>
        <v/>
      </c>
      <c r="S187" s="372" t="str">
        <f>IF(B187="", "", 'Lighting Inventory (Ref only)'!G198*'Lighting Inventory (Ref only)'!K198/1000)</f>
        <v/>
      </c>
      <c r="T187" s="298" t="str">
        <f>IF(B187="", "", IF('Lighting Inventory (Ref only)'!I198="", "Light Switch",Inventory!H195))</f>
        <v/>
      </c>
      <c r="U187" s="298" t="str">
        <f>IF(B187="", "", 'Lighting Inventory (Ref only)'!Q198)</f>
        <v/>
      </c>
      <c r="V187" s="298" t="str">
        <f>IF(B187="", "", 'Lighting Inventory (Ref only)'!K198)</f>
        <v/>
      </c>
      <c r="W187" s="373" t="str">
        <f>IF(B187="","",('Lighting Inventory (Ref only)'!L198/1000))</f>
        <v/>
      </c>
      <c r="X187" s="298" t="str">
        <f>IF(B187="", "", 'Lighting Inventory (Ref only)'!Q198)</f>
        <v/>
      </c>
      <c r="Y187" s="298" t="str">
        <f>IF(C187="", "", Inventory!N195)</f>
        <v/>
      </c>
      <c r="Z187" s="374" t="str">
        <f>IF(B187="", "", 'Lighting Inventory (Ref only)'!P198)</f>
        <v/>
      </c>
      <c r="AA187" s="372" t="str">
        <f>IF(B187="", "",'Lighting Inventory (Ref only)'!R198/1000)</f>
        <v/>
      </c>
      <c r="AB187" s="372" t="str">
        <f>IF(B187="", "", Inventory!M195)</f>
        <v/>
      </c>
      <c r="AC187" s="374" t="str">
        <f>IF(B187="", "", 'Lighting Inventory (Ref only)'!T198)</f>
        <v/>
      </c>
      <c r="AD187" s="374" t="str">
        <f>IF(C187="", "", 'Lighting Inventory (Ref only)'!AA198)</f>
        <v/>
      </c>
      <c r="AE187" s="375" t="str">
        <f>IF(B187="", "", 'Lighting Inventory (Ref only)'!U198)</f>
        <v/>
      </c>
      <c r="AF187" s="375" t="str">
        <f>IF(B187="", "",'Lighting Inventory (Ref only)'!W198)</f>
        <v/>
      </c>
      <c r="AG187" s="375" t="str">
        <f>IF(B187="", "", 'Lighting Inventory (Ref only)'!V198)</f>
        <v/>
      </c>
      <c r="AH187" s="375" t="str">
        <f>IF(B187="", "",'Lighting Inventory (Ref only)'!Z198)</f>
        <v/>
      </c>
      <c r="AI187" s="375" t="str">
        <f>IF(B187="", "", 'Lighting Inventory (Ref only)'!Y198)</f>
        <v/>
      </c>
      <c r="AJ187" s="375" t="str">
        <f>IF(C187="", "",'Lighting Inventory (Ref only)'!AB198)</f>
        <v/>
      </c>
      <c r="AK187" s="375" t="str">
        <f>IF(B187="", "", 'Lighting Inventory (Ref only)'!AG198)</f>
        <v/>
      </c>
      <c r="AL187" s="375" t="str">
        <f>IF(B187="", "", 'Lighting Inventory (Ref only)'!AD198)</f>
        <v/>
      </c>
      <c r="AM187" s="375" t="str">
        <f>IF(B187="", "", 'Lighting Inventory (Ref only)'!AE198)</f>
        <v/>
      </c>
      <c r="AN187" s="375" t="str">
        <f>IF(B187="", "", 'Lighting Inventory (Ref only)'!AF198)</f>
        <v/>
      </c>
      <c r="AO187" s="375" t="str">
        <f>IF(B187="", "", 'Lighting Inventory (Ref only)'!AG198)</f>
        <v/>
      </c>
    </row>
    <row r="188" spans="1:41">
      <c r="A188" s="298" t="str">
        <f>IF(G188="", "", Lookups!BF190)</f>
        <v/>
      </c>
      <c r="B188" s="298" t="str">
        <f>IF('Lighting Inventory (Ref only)'!Q199="", "", 'Lighting Inventory (Ref only)'!Q199)</f>
        <v/>
      </c>
      <c r="C188" s="298" t="str">
        <f>IF(A188="", "", 'Lighting Inventory (Ref only)'!AO199)</f>
        <v/>
      </c>
      <c r="D188" s="370" t="str">
        <f>IF(B188= "","", Inventory!S196)</f>
        <v/>
      </c>
      <c r="E188" s="371"/>
      <c r="F188" s="298" t="str">
        <f>IF(B188="", "", 'Version Log'!$B$34)</f>
        <v/>
      </c>
      <c r="G188" s="298" t="str">
        <f t="shared" si="8"/>
        <v/>
      </c>
      <c r="H188" s="298" t="str">
        <f t="shared" si="9"/>
        <v/>
      </c>
      <c r="I188" s="298" t="str">
        <f>IF(B188="", "",Inventory!D196)</f>
        <v/>
      </c>
      <c r="J188" s="298" t="str">
        <f>IF(B188="","",IF(Inventory!C196="N","Interior","Exterior"))</f>
        <v/>
      </c>
      <c r="K188" s="298" t="str">
        <f t="shared" si="10"/>
        <v/>
      </c>
      <c r="L188" s="298" t="str">
        <f>IF(B188="", "", Inventory!E196)</f>
        <v/>
      </c>
      <c r="M188" s="298" t="str">
        <f>IF(B188="","",IF(Cool_Type=Lookups!$L$9,Cool_Type,IF(Cool_Type=Lookups!$L$10,Cool_Type,IF(Cool_Type=Lookups!$L$11,Cool_Type,IF(Cool_Type=Lookups!L198,Cool_Type,IF('Project Info and Summary'!$C$20="Electric",CONCATENATE(Cool_Type," ",Heating_Type," Heat"),IF('Project Info and Summary'!$C$20="Non-Electric",CONCATENATE(Cool_Type," ",Heating_Type," Heat"),CONCATENATE(Cool_Type," ",Heating_Type))))))))</f>
        <v/>
      </c>
      <c r="N188" s="298" t="str">
        <f t="shared" si="11"/>
        <v/>
      </c>
      <c r="O188" s="298" t="str">
        <f>IF(B188="", "", 'Lighting Inventory (Ref only)'!G199)</f>
        <v/>
      </c>
      <c r="P188" s="298" t="str">
        <f>IF(B188="", "", 'Lighting Inventory (Ref only)'!E199)</f>
        <v/>
      </c>
      <c r="Q188" s="298" t="str">
        <f>IF(B188="", "", 'Lighting Inventory (Ref only)'!J199)</f>
        <v/>
      </c>
      <c r="R188" s="298" t="str">
        <f>IF(B188="", "",'Lighting Inventory (Ref only)'!K199)</f>
        <v/>
      </c>
      <c r="S188" s="372" t="str">
        <f>IF(B188="", "", 'Lighting Inventory (Ref only)'!G199*'Lighting Inventory (Ref only)'!K199/1000)</f>
        <v/>
      </c>
      <c r="T188" s="298" t="str">
        <f>IF(B188="", "", IF('Lighting Inventory (Ref only)'!I199="", "Light Switch",Inventory!H196))</f>
        <v/>
      </c>
      <c r="U188" s="298" t="str">
        <f>IF(B188="", "", 'Lighting Inventory (Ref only)'!Q199)</f>
        <v/>
      </c>
      <c r="V188" s="298" t="str">
        <f>IF(B188="", "", 'Lighting Inventory (Ref only)'!K199)</f>
        <v/>
      </c>
      <c r="W188" s="373" t="str">
        <f>IF(B188="","",('Lighting Inventory (Ref only)'!L199/1000))</f>
        <v/>
      </c>
      <c r="X188" s="298" t="str">
        <f>IF(B188="", "", 'Lighting Inventory (Ref only)'!Q199)</f>
        <v/>
      </c>
      <c r="Y188" s="298" t="str">
        <f>IF(C188="", "", Inventory!N196)</f>
        <v/>
      </c>
      <c r="Z188" s="374" t="str">
        <f>IF(B188="", "", 'Lighting Inventory (Ref only)'!P199)</f>
        <v/>
      </c>
      <c r="AA188" s="372" t="str">
        <f>IF(B188="", "",'Lighting Inventory (Ref only)'!R199/1000)</f>
        <v/>
      </c>
      <c r="AB188" s="372" t="str">
        <f>IF(B188="", "", Inventory!M196)</f>
        <v/>
      </c>
      <c r="AC188" s="374" t="str">
        <f>IF(B188="", "", 'Lighting Inventory (Ref only)'!T199)</f>
        <v/>
      </c>
      <c r="AD188" s="374" t="str">
        <f>IF(C188="", "", 'Lighting Inventory (Ref only)'!AA199)</f>
        <v/>
      </c>
      <c r="AE188" s="375" t="str">
        <f>IF(B188="", "", 'Lighting Inventory (Ref only)'!U199)</f>
        <v/>
      </c>
      <c r="AF188" s="375" t="str">
        <f>IF(B188="", "",'Lighting Inventory (Ref only)'!W199)</f>
        <v/>
      </c>
      <c r="AG188" s="375" t="str">
        <f>IF(B188="", "", 'Lighting Inventory (Ref only)'!V199)</f>
        <v/>
      </c>
      <c r="AH188" s="375" t="str">
        <f>IF(B188="", "",'Lighting Inventory (Ref only)'!Z199)</f>
        <v/>
      </c>
      <c r="AI188" s="375" t="str">
        <f>IF(B188="", "", 'Lighting Inventory (Ref only)'!Y199)</f>
        <v/>
      </c>
      <c r="AJ188" s="375" t="str">
        <f>IF(C188="", "",'Lighting Inventory (Ref only)'!AB199)</f>
        <v/>
      </c>
      <c r="AK188" s="375" t="str">
        <f>IF(B188="", "", 'Lighting Inventory (Ref only)'!AG199)</f>
        <v/>
      </c>
      <c r="AL188" s="375" t="str">
        <f>IF(B188="", "", 'Lighting Inventory (Ref only)'!AD199)</f>
        <v/>
      </c>
      <c r="AM188" s="375" t="str">
        <f>IF(B188="", "", 'Lighting Inventory (Ref only)'!AE199)</f>
        <v/>
      </c>
      <c r="AN188" s="375" t="str">
        <f>IF(B188="", "", 'Lighting Inventory (Ref only)'!AF199)</f>
        <v/>
      </c>
      <c r="AO188" s="375" t="str">
        <f>IF(B188="", "", 'Lighting Inventory (Ref only)'!AG199)</f>
        <v/>
      </c>
    </row>
    <row r="189" spans="1:41">
      <c r="A189" s="298" t="str">
        <f>IF(G189="", "", Lookups!BF191)</f>
        <v/>
      </c>
      <c r="B189" s="298" t="str">
        <f>IF('Lighting Inventory (Ref only)'!Q200="", "", 'Lighting Inventory (Ref only)'!Q200)</f>
        <v/>
      </c>
      <c r="C189" s="298" t="str">
        <f>IF(A189="", "", 'Lighting Inventory (Ref only)'!AO200)</f>
        <v/>
      </c>
      <c r="D189" s="370" t="str">
        <f>IF(B189= "","", Inventory!S197)</f>
        <v/>
      </c>
      <c r="E189" s="371"/>
      <c r="F189" s="298" t="str">
        <f>IF(B189="", "", 'Version Log'!$B$34)</f>
        <v/>
      </c>
      <c r="G189" s="298" t="str">
        <f t="shared" si="8"/>
        <v/>
      </c>
      <c r="H189" s="298" t="str">
        <f t="shared" si="9"/>
        <v/>
      </c>
      <c r="I189" s="298" t="str">
        <f>IF(B189="", "",Inventory!D197)</f>
        <v/>
      </c>
      <c r="J189" s="298" t="str">
        <f>IF(B189="","",IF(Inventory!C197="N","Interior","Exterior"))</f>
        <v/>
      </c>
      <c r="K189" s="298" t="str">
        <f t="shared" si="10"/>
        <v/>
      </c>
      <c r="L189" s="298" t="str">
        <f>IF(B189="", "", Inventory!E197)</f>
        <v/>
      </c>
      <c r="M189" s="298" t="str">
        <f>IF(B189="","",IF(Cool_Type=Lookups!$L$9,Cool_Type,IF(Cool_Type=Lookups!$L$10,Cool_Type,IF(Cool_Type=Lookups!$L$11,Cool_Type,IF(Cool_Type=Lookups!L199,Cool_Type,IF('Project Info and Summary'!$C$20="Electric",CONCATENATE(Cool_Type," ",Heating_Type," Heat"),IF('Project Info and Summary'!$C$20="Non-Electric",CONCATENATE(Cool_Type," ",Heating_Type," Heat"),CONCATENATE(Cool_Type," ",Heating_Type))))))))</f>
        <v/>
      </c>
      <c r="N189" s="298" t="str">
        <f t="shared" si="11"/>
        <v/>
      </c>
      <c r="O189" s="298" t="str">
        <f>IF(B189="", "", 'Lighting Inventory (Ref only)'!G200)</f>
        <v/>
      </c>
      <c r="P189" s="298" t="str">
        <f>IF(B189="", "", 'Lighting Inventory (Ref only)'!E200)</f>
        <v/>
      </c>
      <c r="Q189" s="298" t="str">
        <f>IF(B189="", "", 'Lighting Inventory (Ref only)'!J200)</f>
        <v/>
      </c>
      <c r="R189" s="298" t="str">
        <f>IF(B189="", "",'Lighting Inventory (Ref only)'!K200)</f>
        <v/>
      </c>
      <c r="S189" s="372" t="str">
        <f>IF(B189="", "", 'Lighting Inventory (Ref only)'!G200*'Lighting Inventory (Ref only)'!K200/1000)</f>
        <v/>
      </c>
      <c r="T189" s="298" t="str">
        <f>IF(B189="", "", IF('Lighting Inventory (Ref only)'!I200="", "Light Switch",Inventory!H197))</f>
        <v/>
      </c>
      <c r="U189" s="298" t="str">
        <f>IF(B189="", "", 'Lighting Inventory (Ref only)'!Q200)</f>
        <v/>
      </c>
      <c r="V189" s="298" t="str">
        <f>IF(B189="", "", 'Lighting Inventory (Ref only)'!K200)</f>
        <v/>
      </c>
      <c r="W189" s="373" t="str">
        <f>IF(B189="","",('Lighting Inventory (Ref only)'!L200/1000))</f>
        <v/>
      </c>
      <c r="X189" s="298" t="str">
        <f>IF(B189="", "", 'Lighting Inventory (Ref only)'!Q200)</f>
        <v/>
      </c>
      <c r="Y189" s="298" t="str">
        <f>IF(C189="", "", Inventory!N197)</f>
        <v/>
      </c>
      <c r="Z189" s="374" t="str">
        <f>IF(B189="", "", 'Lighting Inventory (Ref only)'!P200)</f>
        <v/>
      </c>
      <c r="AA189" s="372" t="str">
        <f>IF(B189="", "",'Lighting Inventory (Ref only)'!R200/1000)</f>
        <v/>
      </c>
      <c r="AB189" s="372" t="str">
        <f>IF(B189="", "", Inventory!M197)</f>
        <v/>
      </c>
      <c r="AC189" s="374" t="str">
        <f>IF(B189="", "", 'Lighting Inventory (Ref only)'!T200)</f>
        <v/>
      </c>
      <c r="AD189" s="374" t="str">
        <f>IF(C189="", "", 'Lighting Inventory (Ref only)'!AA200)</f>
        <v/>
      </c>
      <c r="AE189" s="375" t="str">
        <f>IF(B189="", "", 'Lighting Inventory (Ref only)'!U200)</f>
        <v/>
      </c>
      <c r="AF189" s="375" t="str">
        <f>IF(B189="", "",'Lighting Inventory (Ref only)'!W200)</f>
        <v/>
      </c>
      <c r="AG189" s="375" t="str">
        <f>IF(B189="", "", 'Lighting Inventory (Ref only)'!V200)</f>
        <v/>
      </c>
      <c r="AH189" s="375" t="str">
        <f>IF(B189="", "",'Lighting Inventory (Ref only)'!Z200)</f>
        <v/>
      </c>
      <c r="AI189" s="375" t="str">
        <f>IF(B189="", "", 'Lighting Inventory (Ref only)'!Y200)</f>
        <v/>
      </c>
      <c r="AJ189" s="375" t="str">
        <f>IF(C189="", "",'Lighting Inventory (Ref only)'!AB200)</f>
        <v/>
      </c>
      <c r="AK189" s="375" t="str">
        <f>IF(B189="", "", 'Lighting Inventory (Ref only)'!AG200)</f>
        <v/>
      </c>
      <c r="AL189" s="375" t="str">
        <f>IF(B189="", "", 'Lighting Inventory (Ref only)'!AD200)</f>
        <v/>
      </c>
      <c r="AM189" s="375" t="str">
        <f>IF(B189="", "", 'Lighting Inventory (Ref only)'!AE200)</f>
        <v/>
      </c>
      <c r="AN189" s="375" t="str">
        <f>IF(B189="", "", 'Lighting Inventory (Ref only)'!AF200)</f>
        <v/>
      </c>
      <c r="AO189" s="375" t="str">
        <f>IF(B189="", "", 'Lighting Inventory (Ref only)'!AG200)</f>
        <v/>
      </c>
    </row>
    <row r="190" spans="1:41">
      <c r="A190" s="298" t="str">
        <f>IF(G190="", "", Lookups!BF192)</f>
        <v/>
      </c>
      <c r="B190" s="298" t="str">
        <f>IF('Lighting Inventory (Ref only)'!Q201="", "", 'Lighting Inventory (Ref only)'!Q201)</f>
        <v/>
      </c>
      <c r="C190" s="298" t="str">
        <f>IF(A190="", "", 'Lighting Inventory (Ref only)'!AO201)</f>
        <v/>
      </c>
      <c r="D190" s="370" t="str">
        <f>IF(B190= "","", Inventory!S198)</f>
        <v/>
      </c>
      <c r="E190" s="371"/>
      <c r="F190" s="298" t="str">
        <f>IF(B190="", "", 'Version Log'!$B$34)</f>
        <v/>
      </c>
      <c r="G190" s="298" t="str">
        <f t="shared" si="8"/>
        <v/>
      </c>
      <c r="H190" s="298" t="str">
        <f t="shared" si="9"/>
        <v/>
      </c>
      <c r="I190" s="298" t="str">
        <f>IF(B190="", "",Inventory!D198)</f>
        <v/>
      </c>
      <c r="J190" s="298" t="str">
        <f>IF(B190="","",IF(Inventory!C198="N","Interior","Exterior"))</f>
        <v/>
      </c>
      <c r="K190" s="298" t="str">
        <f t="shared" si="10"/>
        <v/>
      </c>
      <c r="L190" s="298" t="str">
        <f>IF(B190="", "", Inventory!E198)</f>
        <v/>
      </c>
      <c r="M190" s="298" t="str">
        <f>IF(B190="","",IF(Cool_Type=Lookups!$L$9,Cool_Type,IF(Cool_Type=Lookups!$L$10,Cool_Type,IF(Cool_Type=Lookups!$L$11,Cool_Type,IF(Cool_Type=Lookups!L200,Cool_Type,IF('Project Info and Summary'!$C$20="Electric",CONCATENATE(Cool_Type," ",Heating_Type," Heat"),IF('Project Info and Summary'!$C$20="Non-Electric",CONCATENATE(Cool_Type," ",Heating_Type," Heat"),CONCATENATE(Cool_Type," ",Heating_Type))))))))</f>
        <v/>
      </c>
      <c r="N190" s="298" t="str">
        <f t="shared" si="11"/>
        <v/>
      </c>
      <c r="O190" s="298" t="str">
        <f>IF(B190="", "", 'Lighting Inventory (Ref only)'!G201)</f>
        <v/>
      </c>
      <c r="P190" s="298" t="str">
        <f>IF(B190="", "", 'Lighting Inventory (Ref only)'!E201)</f>
        <v/>
      </c>
      <c r="Q190" s="298" t="str">
        <f>IF(B190="", "", 'Lighting Inventory (Ref only)'!J201)</f>
        <v/>
      </c>
      <c r="R190" s="298" t="str">
        <f>IF(B190="", "",'Lighting Inventory (Ref only)'!K201)</f>
        <v/>
      </c>
      <c r="S190" s="372" t="str">
        <f>IF(B190="", "", 'Lighting Inventory (Ref only)'!G201*'Lighting Inventory (Ref only)'!K201/1000)</f>
        <v/>
      </c>
      <c r="T190" s="298" t="str">
        <f>IF(B190="", "", IF('Lighting Inventory (Ref only)'!I201="", "Light Switch",Inventory!H198))</f>
        <v/>
      </c>
      <c r="U190" s="298" t="str">
        <f>IF(B190="", "", 'Lighting Inventory (Ref only)'!Q201)</f>
        <v/>
      </c>
      <c r="V190" s="298" t="str">
        <f>IF(B190="", "", 'Lighting Inventory (Ref only)'!K201)</f>
        <v/>
      </c>
      <c r="W190" s="373" t="str">
        <f>IF(B190="","",('Lighting Inventory (Ref only)'!L201/1000))</f>
        <v/>
      </c>
      <c r="X190" s="298" t="str">
        <f>IF(B190="", "", 'Lighting Inventory (Ref only)'!Q201)</f>
        <v/>
      </c>
      <c r="Y190" s="298" t="str">
        <f>IF(C190="", "", Inventory!N198)</f>
        <v/>
      </c>
      <c r="Z190" s="374" t="str">
        <f>IF(B190="", "", 'Lighting Inventory (Ref only)'!P201)</f>
        <v/>
      </c>
      <c r="AA190" s="372" t="str">
        <f>IF(B190="", "",'Lighting Inventory (Ref only)'!R201/1000)</f>
        <v/>
      </c>
      <c r="AB190" s="372" t="str">
        <f>IF(B190="", "", Inventory!M198)</f>
        <v/>
      </c>
      <c r="AC190" s="374" t="str">
        <f>IF(B190="", "", 'Lighting Inventory (Ref only)'!T201)</f>
        <v/>
      </c>
      <c r="AD190" s="374" t="str">
        <f>IF(C190="", "", 'Lighting Inventory (Ref only)'!AA201)</f>
        <v/>
      </c>
      <c r="AE190" s="375" t="str">
        <f>IF(B190="", "", 'Lighting Inventory (Ref only)'!U201)</f>
        <v/>
      </c>
      <c r="AF190" s="375" t="str">
        <f>IF(B190="", "",'Lighting Inventory (Ref only)'!W201)</f>
        <v/>
      </c>
      <c r="AG190" s="375" t="str">
        <f>IF(B190="", "", 'Lighting Inventory (Ref only)'!V201)</f>
        <v/>
      </c>
      <c r="AH190" s="375" t="str">
        <f>IF(B190="", "",'Lighting Inventory (Ref only)'!Z201)</f>
        <v/>
      </c>
      <c r="AI190" s="375" t="str">
        <f>IF(B190="", "", 'Lighting Inventory (Ref only)'!Y201)</f>
        <v/>
      </c>
      <c r="AJ190" s="375" t="str">
        <f>IF(C190="", "",'Lighting Inventory (Ref only)'!AB201)</f>
        <v/>
      </c>
      <c r="AK190" s="375" t="str">
        <f>IF(B190="", "", 'Lighting Inventory (Ref only)'!AG201)</f>
        <v/>
      </c>
      <c r="AL190" s="375" t="str">
        <f>IF(B190="", "", 'Lighting Inventory (Ref only)'!AD201)</f>
        <v/>
      </c>
      <c r="AM190" s="375" t="str">
        <f>IF(B190="", "", 'Lighting Inventory (Ref only)'!AE201)</f>
        <v/>
      </c>
      <c r="AN190" s="375" t="str">
        <f>IF(B190="", "", 'Lighting Inventory (Ref only)'!AF201)</f>
        <v/>
      </c>
      <c r="AO190" s="375" t="str">
        <f>IF(B190="", "", 'Lighting Inventory (Ref only)'!AG201)</f>
        <v/>
      </c>
    </row>
    <row r="191" spans="1:41">
      <c r="A191" s="298" t="str">
        <f>IF(G191="", "", Lookups!BF193)</f>
        <v/>
      </c>
      <c r="B191" s="298" t="str">
        <f>IF('Lighting Inventory (Ref only)'!Q202="", "", 'Lighting Inventory (Ref only)'!Q202)</f>
        <v/>
      </c>
      <c r="C191" s="298" t="str">
        <f>IF(A191="", "", 'Lighting Inventory (Ref only)'!AO202)</f>
        <v/>
      </c>
      <c r="D191" s="370" t="str">
        <f>IF(B191= "","", Inventory!S199)</f>
        <v/>
      </c>
      <c r="E191" s="371"/>
      <c r="F191" s="298" t="str">
        <f>IF(B191="", "", 'Version Log'!$B$34)</f>
        <v/>
      </c>
      <c r="G191" s="298" t="str">
        <f t="shared" si="8"/>
        <v/>
      </c>
      <c r="H191" s="298" t="str">
        <f t="shared" si="9"/>
        <v/>
      </c>
      <c r="I191" s="298" t="str">
        <f>IF(B191="", "",Inventory!D199)</f>
        <v/>
      </c>
      <c r="J191" s="298" t="str">
        <f>IF(B191="","",IF(Inventory!C199="N","Interior","Exterior"))</f>
        <v/>
      </c>
      <c r="K191" s="298" t="str">
        <f t="shared" si="10"/>
        <v/>
      </c>
      <c r="L191" s="298" t="str">
        <f>IF(B191="", "", Inventory!E199)</f>
        <v/>
      </c>
      <c r="M191" s="298" t="str">
        <f>IF(B191="","",IF(Cool_Type=Lookups!$L$9,Cool_Type,IF(Cool_Type=Lookups!$L$10,Cool_Type,IF(Cool_Type=Lookups!$L$11,Cool_Type,IF(Cool_Type=Lookups!L201,Cool_Type,IF('Project Info and Summary'!$C$20="Electric",CONCATENATE(Cool_Type," ",Heating_Type," Heat"),IF('Project Info and Summary'!$C$20="Non-Electric",CONCATENATE(Cool_Type," ",Heating_Type," Heat"),CONCATENATE(Cool_Type," ",Heating_Type))))))))</f>
        <v/>
      </c>
      <c r="N191" s="298" t="str">
        <f t="shared" si="11"/>
        <v/>
      </c>
      <c r="O191" s="298" t="str">
        <f>IF(B191="", "", 'Lighting Inventory (Ref only)'!G202)</f>
        <v/>
      </c>
      <c r="P191" s="298" t="str">
        <f>IF(B191="", "", 'Lighting Inventory (Ref only)'!E202)</f>
        <v/>
      </c>
      <c r="Q191" s="298" t="str">
        <f>IF(B191="", "", 'Lighting Inventory (Ref only)'!J202)</f>
        <v/>
      </c>
      <c r="R191" s="298" t="str">
        <f>IF(B191="", "",'Lighting Inventory (Ref only)'!K202)</f>
        <v/>
      </c>
      <c r="S191" s="372" t="str">
        <f>IF(B191="", "", 'Lighting Inventory (Ref only)'!G202*'Lighting Inventory (Ref only)'!K202/1000)</f>
        <v/>
      </c>
      <c r="T191" s="298" t="str">
        <f>IF(B191="", "", IF('Lighting Inventory (Ref only)'!I202="", "Light Switch",Inventory!H199))</f>
        <v/>
      </c>
      <c r="U191" s="298" t="str">
        <f>IF(B191="", "", 'Lighting Inventory (Ref only)'!Q202)</f>
        <v/>
      </c>
      <c r="V191" s="298" t="str">
        <f>IF(B191="", "", 'Lighting Inventory (Ref only)'!K202)</f>
        <v/>
      </c>
      <c r="W191" s="373" t="str">
        <f>IF(B191="","",('Lighting Inventory (Ref only)'!L202/1000))</f>
        <v/>
      </c>
      <c r="X191" s="298" t="str">
        <f>IF(B191="", "", 'Lighting Inventory (Ref only)'!Q202)</f>
        <v/>
      </c>
      <c r="Y191" s="298" t="str">
        <f>IF(C191="", "", Inventory!N199)</f>
        <v/>
      </c>
      <c r="Z191" s="374" t="str">
        <f>IF(B191="", "", 'Lighting Inventory (Ref only)'!P202)</f>
        <v/>
      </c>
      <c r="AA191" s="372" t="str">
        <f>IF(B191="", "",'Lighting Inventory (Ref only)'!R202/1000)</f>
        <v/>
      </c>
      <c r="AB191" s="372" t="str">
        <f>IF(B191="", "", Inventory!M199)</f>
        <v/>
      </c>
      <c r="AC191" s="374" t="str">
        <f>IF(B191="", "", 'Lighting Inventory (Ref only)'!T202)</f>
        <v/>
      </c>
      <c r="AD191" s="374" t="str">
        <f>IF(C191="", "", 'Lighting Inventory (Ref only)'!AA202)</f>
        <v/>
      </c>
      <c r="AE191" s="375" t="str">
        <f>IF(B191="", "", 'Lighting Inventory (Ref only)'!U202)</f>
        <v/>
      </c>
      <c r="AF191" s="375" t="str">
        <f>IF(B191="", "",'Lighting Inventory (Ref only)'!W202)</f>
        <v/>
      </c>
      <c r="AG191" s="375" t="str">
        <f>IF(B191="", "", 'Lighting Inventory (Ref only)'!V202)</f>
        <v/>
      </c>
      <c r="AH191" s="375" t="str">
        <f>IF(B191="", "",'Lighting Inventory (Ref only)'!Z202)</f>
        <v/>
      </c>
      <c r="AI191" s="375" t="str">
        <f>IF(B191="", "", 'Lighting Inventory (Ref only)'!Y202)</f>
        <v/>
      </c>
      <c r="AJ191" s="375" t="str">
        <f>IF(C191="", "",'Lighting Inventory (Ref only)'!AB202)</f>
        <v/>
      </c>
      <c r="AK191" s="375" t="str">
        <f>IF(B191="", "", 'Lighting Inventory (Ref only)'!AG202)</f>
        <v/>
      </c>
      <c r="AL191" s="375" t="str">
        <f>IF(B191="", "", 'Lighting Inventory (Ref only)'!AD202)</f>
        <v/>
      </c>
      <c r="AM191" s="375" t="str">
        <f>IF(B191="", "", 'Lighting Inventory (Ref only)'!AE202)</f>
        <v/>
      </c>
      <c r="AN191" s="375" t="str">
        <f>IF(B191="", "", 'Lighting Inventory (Ref only)'!AF202)</f>
        <v/>
      </c>
      <c r="AO191" s="375" t="str">
        <f>IF(B191="", "", 'Lighting Inventory (Ref only)'!AG202)</f>
        <v/>
      </c>
    </row>
    <row r="192" spans="1:41">
      <c r="A192" s="298" t="str">
        <f>IF(G192="", "", Lookups!BF194)</f>
        <v/>
      </c>
      <c r="B192" s="298" t="str">
        <f>IF('Lighting Inventory (Ref only)'!Q203="", "", 'Lighting Inventory (Ref only)'!Q203)</f>
        <v/>
      </c>
      <c r="C192" s="298" t="str">
        <f>IF(A192="", "", 'Lighting Inventory (Ref only)'!AO203)</f>
        <v/>
      </c>
      <c r="D192" s="370" t="str">
        <f>IF(B192= "","", Inventory!S200)</f>
        <v/>
      </c>
      <c r="E192" s="371"/>
      <c r="F192" s="298" t="str">
        <f>IF(B192="", "", 'Version Log'!$B$34)</f>
        <v/>
      </c>
      <c r="G192" s="298" t="str">
        <f t="shared" si="8"/>
        <v/>
      </c>
      <c r="H192" s="298" t="str">
        <f t="shared" si="9"/>
        <v/>
      </c>
      <c r="I192" s="298" t="str">
        <f>IF(B192="", "",Inventory!D200)</f>
        <v/>
      </c>
      <c r="J192" s="298" t="str">
        <f>IF(B192="","",IF(Inventory!C200="N","Interior","Exterior"))</f>
        <v/>
      </c>
      <c r="K192" s="298" t="str">
        <f t="shared" si="10"/>
        <v/>
      </c>
      <c r="L192" s="298" t="str">
        <f>IF(B192="", "", Inventory!E200)</f>
        <v/>
      </c>
      <c r="M192" s="298" t="str">
        <f>IF(B192="","",IF(Cool_Type=Lookups!$L$9,Cool_Type,IF(Cool_Type=Lookups!$L$10,Cool_Type,IF(Cool_Type=Lookups!$L$11,Cool_Type,IF(Cool_Type=Lookups!L202,Cool_Type,IF('Project Info and Summary'!$C$20="Electric",CONCATENATE(Cool_Type," ",Heating_Type," Heat"),IF('Project Info and Summary'!$C$20="Non-Electric",CONCATENATE(Cool_Type," ",Heating_Type," Heat"),CONCATENATE(Cool_Type," ",Heating_Type))))))))</f>
        <v/>
      </c>
      <c r="N192" s="298" t="str">
        <f t="shared" si="11"/>
        <v/>
      </c>
      <c r="O192" s="298" t="str">
        <f>IF(B192="", "", 'Lighting Inventory (Ref only)'!G203)</f>
        <v/>
      </c>
      <c r="P192" s="298" t="str">
        <f>IF(B192="", "", 'Lighting Inventory (Ref only)'!E203)</f>
        <v/>
      </c>
      <c r="Q192" s="298" t="str">
        <f>IF(B192="", "", 'Lighting Inventory (Ref only)'!J203)</f>
        <v/>
      </c>
      <c r="R192" s="298" t="str">
        <f>IF(B192="", "",'Lighting Inventory (Ref only)'!K203)</f>
        <v/>
      </c>
      <c r="S192" s="372" t="str">
        <f>IF(B192="", "", 'Lighting Inventory (Ref only)'!G203*'Lighting Inventory (Ref only)'!K203/1000)</f>
        <v/>
      </c>
      <c r="T192" s="298" t="str">
        <f>IF(B192="", "", IF('Lighting Inventory (Ref only)'!I203="", "Light Switch",Inventory!H200))</f>
        <v/>
      </c>
      <c r="U192" s="298" t="str">
        <f>IF(B192="", "", 'Lighting Inventory (Ref only)'!Q203)</f>
        <v/>
      </c>
      <c r="V192" s="298" t="str">
        <f>IF(B192="", "", 'Lighting Inventory (Ref only)'!K203)</f>
        <v/>
      </c>
      <c r="W192" s="373" t="str">
        <f>IF(B192="","",('Lighting Inventory (Ref only)'!L203/1000))</f>
        <v/>
      </c>
      <c r="X192" s="298" t="str">
        <f>IF(B192="", "", 'Lighting Inventory (Ref only)'!Q203)</f>
        <v/>
      </c>
      <c r="Y192" s="298" t="str">
        <f>IF(C192="", "", Inventory!N200)</f>
        <v/>
      </c>
      <c r="Z192" s="374" t="str">
        <f>IF(B192="", "", 'Lighting Inventory (Ref only)'!P203)</f>
        <v/>
      </c>
      <c r="AA192" s="372" t="str">
        <f>IF(B192="", "",'Lighting Inventory (Ref only)'!R203/1000)</f>
        <v/>
      </c>
      <c r="AB192" s="372" t="str">
        <f>IF(B192="", "", Inventory!M200)</f>
        <v/>
      </c>
      <c r="AC192" s="374" t="str">
        <f>IF(B192="", "", 'Lighting Inventory (Ref only)'!T203)</f>
        <v/>
      </c>
      <c r="AD192" s="374" t="str">
        <f>IF(C192="", "", 'Lighting Inventory (Ref only)'!AA203)</f>
        <v/>
      </c>
      <c r="AE192" s="375" t="str">
        <f>IF(B192="", "", 'Lighting Inventory (Ref only)'!U203)</f>
        <v/>
      </c>
      <c r="AF192" s="375" t="str">
        <f>IF(B192="", "",'Lighting Inventory (Ref only)'!W203)</f>
        <v/>
      </c>
      <c r="AG192" s="375" t="str">
        <f>IF(B192="", "", 'Lighting Inventory (Ref only)'!V203)</f>
        <v/>
      </c>
      <c r="AH192" s="375" t="str">
        <f>IF(B192="", "",'Lighting Inventory (Ref only)'!Z203)</f>
        <v/>
      </c>
      <c r="AI192" s="375" t="str">
        <f>IF(B192="", "", 'Lighting Inventory (Ref only)'!Y203)</f>
        <v/>
      </c>
      <c r="AJ192" s="375" t="str">
        <f>IF(C192="", "",'Lighting Inventory (Ref only)'!AB203)</f>
        <v/>
      </c>
      <c r="AK192" s="375" t="str">
        <f>IF(B192="", "", 'Lighting Inventory (Ref only)'!AG203)</f>
        <v/>
      </c>
      <c r="AL192" s="375" t="str">
        <f>IF(B192="", "", 'Lighting Inventory (Ref only)'!AD203)</f>
        <v/>
      </c>
      <c r="AM192" s="375" t="str">
        <f>IF(B192="", "", 'Lighting Inventory (Ref only)'!AE203)</f>
        <v/>
      </c>
      <c r="AN192" s="375" t="str">
        <f>IF(B192="", "", 'Lighting Inventory (Ref only)'!AF203)</f>
        <v/>
      </c>
      <c r="AO192" s="375" t="str">
        <f>IF(B192="", "", 'Lighting Inventory (Ref only)'!AG203)</f>
        <v/>
      </c>
    </row>
    <row r="193" spans="1:41">
      <c r="A193" s="298" t="str">
        <f>IF(G193="", "", Lookups!BF195)</f>
        <v/>
      </c>
      <c r="B193" s="298" t="str">
        <f>IF('Lighting Inventory (Ref only)'!Q204="", "", 'Lighting Inventory (Ref only)'!Q204)</f>
        <v/>
      </c>
      <c r="C193" s="298" t="str">
        <f>IF(A193="", "", 'Lighting Inventory (Ref only)'!AO204)</f>
        <v/>
      </c>
      <c r="D193" s="370" t="str">
        <f>IF(B193= "","", Inventory!S201)</f>
        <v/>
      </c>
      <c r="E193" s="371"/>
      <c r="F193" s="298" t="str">
        <f>IF(B193="", "", 'Version Log'!$B$34)</f>
        <v/>
      </c>
      <c r="G193" s="298" t="str">
        <f t="shared" si="8"/>
        <v/>
      </c>
      <c r="H193" s="298" t="str">
        <f t="shared" si="9"/>
        <v/>
      </c>
      <c r="I193" s="298" t="str">
        <f>IF(B193="", "",Inventory!D201)</f>
        <v/>
      </c>
      <c r="J193" s="298" t="str">
        <f>IF(B193="","",IF(Inventory!C201="N","Interior","Exterior"))</f>
        <v/>
      </c>
      <c r="K193" s="298" t="str">
        <f t="shared" si="10"/>
        <v/>
      </c>
      <c r="L193" s="298" t="str">
        <f>IF(B193="", "", Inventory!E201)</f>
        <v/>
      </c>
      <c r="M193" s="298" t="str">
        <f>IF(B193="","",IF(Cool_Type=Lookups!$L$9,Cool_Type,IF(Cool_Type=Lookups!$L$10,Cool_Type,IF(Cool_Type=Lookups!$L$11,Cool_Type,IF(Cool_Type=Lookups!L203,Cool_Type,IF('Project Info and Summary'!$C$20="Electric",CONCATENATE(Cool_Type," ",Heating_Type," Heat"),IF('Project Info and Summary'!$C$20="Non-Electric",CONCATENATE(Cool_Type," ",Heating_Type," Heat"),CONCATENATE(Cool_Type," ",Heating_Type))))))))</f>
        <v/>
      </c>
      <c r="N193" s="298" t="str">
        <f t="shared" si="11"/>
        <v/>
      </c>
      <c r="O193" s="298" t="str">
        <f>IF(B193="", "", 'Lighting Inventory (Ref only)'!G204)</f>
        <v/>
      </c>
      <c r="P193" s="298" t="str">
        <f>IF(B193="", "", 'Lighting Inventory (Ref only)'!E204)</f>
        <v/>
      </c>
      <c r="Q193" s="298" t="str">
        <f>IF(B193="", "", 'Lighting Inventory (Ref only)'!J204)</f>
        <v/>
      </c>
      <c r="R193" s="298" t="str">
        <f>IF(B193="", "",'Lighting Inventory (Ref only)'!K204)</f>
        <v/>
      </c>
      <c r="S193" s="372" t="str">
        <f>IF(B193="", "", 'Lighting Inventory (Ref only)'!G204*'Lighting Inventory (Ref only)'!K204/1000)</f>
        <v/>
      </c>
      <c r="T193" s="298" t="str">
        <f>IF(B193="", "", IF('Lighting Inventory (Ref only)'!I204="", "Light Switch",Inventory!H201))</f>
        <v/>
      </c>
      <c r="U193" s="298" t="str">
        <f>IF(B193="", "", 'Lighting Inventory (Ref only)'!Q204)</f>
        <v/>
      </c>
      <c r="V193" s="298" t="str">
        <f>IF(B193="", "", 'Lighting Inventory (Ref only)'!K204)</f>
        <v/>
      </c>
      <c r="W193" s="373" t="str">
        <f>IF(B193="","",('Lighting Inventory (Ref only)'!L204/1000))</f>
        <v/>
      </c>
      <c r="X193" s="298" t="str">
        <f>IF(B193="", "", 'Lighting Inventory (Ref only)'!Q204)</f>
        <v/>
      </c>
      <c r="Y193" s="298" t="str">
        <f>IF(C193="", "", Inventory!N201)</f>
        <v/>
      </c>
      <c r="Z193" s="374" t="str">
        <f>IF(B193="", "", 'Lighting Inventory (Ref only)'!P204)</f>
        <v/>
      </c>
      <c r="AA193" s="372" t="str">
        <f>IF(B193="", "",'Lighting Inventory (Ref only)'!R204/1000)</f>
        <v/>
      </c>
      <c r="AB193" s="372" t="str">
        <f>IF(B193="", "", Inventory!M201)</f>
        <v/>
      </c>
      <c r="AC193" s="374" t="str">
        <f>IF(B193="", "", 'Lighting Inventory (Ref only)'!T204)</f>
        <v/>
      </c>
      <c r="AD193" s="374" t="str">
        <f>IF(C193="", "", 'Lighting Inventory (Ref only)'!AA204)</f>
        <v/>
      </c>
      <c r="AE193" s="375" t="str">
        <f>IF(B193="", "", 'Lighting Inventory (Ref only)'!U204)</f>
        <v/>
      </c>
      <c r="AF193" s="375" t="str">
        <f>IF(B193="", "",'Lighting Inventory (Ref only)'!W204)</f>
        <v/>
      </c>
      <c r="AG193" s="375" t="str">
        <f>IF(B193="", "", 'Lighting Inventory (Ref only)'!V204)</f>
        <v/>
      </c>
      <c r="AH193" s="375" t="str">
        <f>IF(B193="", "",'Lighting Inventory (Ref only)'!Z204)</f>
        <v/>
      </c>
      <c r="AI193" s="375" t="str">
        <f>IF(B193="", "", 'Lighting Inventory (Ref only)'!Y204)</f>
        <v/>
      </c>
      <c r="AJ193" s="375" t="str">
        <f>IF(C193="", "",'Lighting Inventory (Ref only)'!AB204)</f>
        <v/>
      </c>
      <c r="AK193" s="375" t="str">
        <f>IF(B193="", "", 'Lighting Inventory (Ref only)'!AG204)</f>
        <v/>
      </c>
      <c r="AL193" s="375" t="str">
        <f>IF(B193="", "", 'Lighting Inventory (Ref only)'!AD204)</f>
        <v/>
      </c>
      <c r="AM193" s="375" t="str">
        <f>IF(B193="", "", 'Lighting Inventory (Ref only)'!AE204)</f>
        <v/>
      </c>
      <c r="AN193" s="375" t="str">
        <f>IF(B193="", "", 'Lighting Inventory (Ref only)'!AF204)</f>
        <v/>
      </c>
      <c r="AO193" s="375" t="str">
        <f>IF(B193="", "", 'Lighting Inventory (Ref only)'!AG204)</f>
        <v/>
      </c>
    </row>
    <row r="194" spans="1:41">
      <c r="A194" s="298" t="str">
        <f>IF(G194="", "", Lookups!BF196)</f>
        <v/>
      </c>
      <c r="B194" s="298" t="str">
        <f>IF('Lighting Inventory (Ref only)'!Q205="", "", 'Lighting Inventory (Ref only)'!Q205)</f>
        <v/>
      </c>
      <c r="C194" s="298" t="str">
        <f>IF(A194="", "", 'Lighting Inventory (Ref only)'!AO205)</f>
        <v/>
      </c>
      <c r="D194" s="370" t="str">
        <f>IF(B194= "","", Inventory!S202)</f>
        <v/>
      </c>
      <c r="E194" s="371"/>
      <c r="F194" s="298" t="str">
        <f>IF(B194="", "", 'Version Log'!$B$34)</f>
        <v/>
      </c>
      <c r="G194" s="298" t="str">
        <f t="shared" ref="G194:G257" si="12">IF(B194="", "", PRJ_Type)</f>
        <v/>
      </c>
      <c r="H194" s="298" t="str">
        <f t="shared" ref="H194:H257" si="13">IF(B194="", "", SqFt)</f>
        <v/>
      </c>
      <c r="I194" s="298" t="str">
        <f>IF(B194="", "",Inventory!D202)</f>
        <v/>
      </c>
      <c r="J194" s="298" t="str">
        <f>IF(B194="","",IF(Inventory!C202="N","Interior","Exterior"))</f>
        <v/>
      </c>
      <c r="K194" s="298" t="str">
        <f t="shared" ref="K194:K257" si="14">IF(B194="", "", Building_Type)</f>
        <v/>
      </c>
      <c r="L194" s="298" t="str">
        <f>IF(B194="", "", Inventory!E202)</f>
        <v/>
      </c>
      <c r="M194" s="298" t="str">
        <f>IF(B194="","",IF(Cool_Type=Lookups!$L$9,Cool_Type,IF(Cool_Type=Lookups!$L$10,Cool_Type,IF(Cool_Type=Lookups!$L$11,Cool_Type,IF(Cool_Type=Lookups!L204,Cool_Type,IF('Project Info and Summary'!$C$20="Electric",CONCATENATE(Cool_Type," ",Heating_Type," Heat"),IF('Project Info and Summary'!$C$20="Non-Electric",CONCATENATE(Cool_Type," ",Heating_Type," Heat"),CONCATENATE(Cool_Type," ",Heating_Type))))))))</f>
        <v/>
      </c>
      <c r="N194" s="298" t="str">
        <f t="shared" ref="N194:N257" si="15">IF(B194="", "",Heating_Type)</f>
        <v/>
      </c>
      <c r="O194" s="298" t="str">
        <f>IF(B194="", "", 'Lighting Inventory (Ref only)'!G205)</f>
        <v/>
      </c>
      <c r="P194" s="298" t="str">
        <f>IF(B194="", "", 'Lighting Inventory (Ref only)'!E205)</f>
        <v/>
      </c>
      <c r="Q194" s="298" t="str">
        <f>IF(B194="", "", 'Lighting Inventory (Ref only)'!J205)</f>
        <v/>
      </c>
      <c r="R194" s="298" t="str">
        <f>IF(B194="", "",'Lighting Inventory (Ref only)'!K205)</f>
        <v/>
      </c>
      <c r="S194" s="372" t="str">
        <f>IF(B194="", "", 'Lighting Inventory (Ref only)'!G205*'Lighting Inventory (Ref only)'!K205/1000)</f>
        <v/>
      </c>
      <c r="T194" s="298" t="str">
        <f>IF(B194="", "", IF('Lighting Inventory (Ref only)'!I205="", "Light Switch",Inventory!H202))</f>
        <v/>
      </c>
      <c r="U194" s="298" t="str">
        <f>IF(B194="", "", 'Lighting Inventory (Ref only)'!Q205)</f>
        <v/>
      </c>
      <c r="V194" s="298" t="str">
        <f>IF(B194="", "", 'Lighting Inventory (Ref only)'!K205)</f>
        <v/>
      </c>
      <c r="W194" s="373" t="str">
        <f>IF(B194="","",('Lighting Inventory (Ref only)'!L205/1000))</f>
        <v/>
      </c>
      <c r="X194" s="298" t="str">
        <f>IF(B194="", "", 'Lighting Inventory (Ref only)'!Q205)</f>
        <v/>
      </c>
      <c r="Y194" s="298" t="str">
        <f>IF(C194="", "", Inventory!N202)</f>
        <v/>
      </c>
      <c r="Z194" s="374" t="str">
        <f>IF(B194="", "", 'Lighting Inventory (Ref only)'!P205)</f>
        <v/>
      </c>
      <c r="AA194" s="372" t="str">
        <f>IF(B194="", "",'Lighting Inventory (Ref only)'!R205/1000)</f>
        <v/>
      </c>
      <c r="AB194" s="372" t="str">
        <f>IF(B194="", "", Inventory!M202)</f>
        <v/>
      </c>
      <c r="AC194" s="374" t="str">
        <f>IF(B194="", "", 'Lighting Inventory (Ref only)'!T205)</f>
        <v/>
      </c>
      <c r="AD194" s="374" t="str">
        <f>IF(C194="", "", 'Lighting Inventory (Ref only)'!AA205)</f>
        <v/>
      </c>
      <c r="AE194" s="375" t="str">
        <f>IF(B194="", "", 'Lighting Inventory (Ref only)'!U205)</f>
        <v/>
      </c>
      <c r="AF194" s="375" t="str">
        <f>IF(B194="", "",'Lighting Inventory (Ref only)'!W205)</f>
        <v/>
      </c>
      <c r="AG194" s="375" t="str">
        <f>IF(B194="", "", 'Lighting Inventory (Ref only)'!V205)</f>
        <v/>
      </c>
      <c r="AH194" s="375" t="str">
        <f>IF(B194="", "",'Lighting Inventory (Ref only)'!Z205)</f>
        <v/>
      </c>
      <c r="AI194" s="375" t="str">
        <f>IF(B194="", "", 'Lighting Inventory (Ref only)'!Y205)</f>
        <v/>
      </c>
      <c r="AJ194" s="375" t="str">
        <f>IF(C194="", "",'Lighting Inventory (Ref only)'!AB205)</f>
        <v/>
      </c>
      <c r="AK194" s="375" t="str">
        <f>IF(B194="", "", 'Lighting Inventory (Ref only)'!AG205)</f>
        <v/>
      </c>
      <c r="AL194" s="375" t="str">
        <f>IF(B194="", "", 'Lighting Inventory (Ref only)'!AD205)</f>
        <v/>
      </c>
      <c r="AM194" s="375" t="str">
        <f>IF(B194="", "", 'Lighting Inventory (Ref only)'!AE205)</f>
        <v/>
      </c>
      <c r="AN194" s="375" t="str">
        <f>IF(B194="", "", 'Lighting Inventory (Ref only)'!AF205)</f>
        <v/>
      </c>
      <c r="AO194" s="375" t="str">
        <f>IF(B194="", "", 'Lighting Inventory (Ref only)'!AG205)</f>
        <v/>
      </c>
    </row>
    <row r="195" spans="1:41">
      <c r="A195" s="298" t="str">
        <f>IF(G195="", "", Lookups!BF197)</f>
        <v/>
      </c>
      <c r="B195" s="298" t="str">
        <f>IF('Lighting Inventory (Ref only)'!Q206="", "", 'Lighting Inventory (Ref only)'!Q206)</f>
        <v/>
      </c>
      <c r="C195" s="298" t="str">
        <f>IF(A195="", "", 'Lighting Inventory (Ref only)'!AO206)</f>
        <v/>
      </c>
      <c r="D195" s="370" t="str">
        <f>IF(B195= "","", Inventory!S203)</f>
        <v/>
      </c>
      <c r="E195" s="371"/>
      <c r="F195" s="298" t="str">
        <f>IF(B195="", "", 'Version Log'!$B$34)</f>
        <v/>
      </c>
      <c r="G195" s="298" t="str">
        <f t="shared" si="12"/>
        <v/>
      </c>
      <c r="H195" s="298" t="str">
        <f t="shared" si="13"/>
        <v/>
      </c>
      <c r="I195" s="298" t="str">
        <f>IF(B195="", "",Inventory!D203)</f>
        <v/>
      </c>
      <c r="J195" s="298" t="str">
        <f>IF(B195="","",IF(Inventory!C203="N","Interior","Exterior"))</f>
        <v/>
      </c>
      <c r="K195" s="298" t="str">
        <f t="shared" si="14"/>
        <v/>
      </c>
      <c r="L195" s="298" t="str">
        <f>IF(B195="", "", Inventory!E203)</f>
        <v/>
      </c>
      <c r="M195" s="298" t="str">
        <f>IF(B195="","",IF(Cool_Type=Lookups!$L$9,Cool_Type,IF(Cool_Type=Lookups!$L$10,Cool_Type,IF(Cool_Type=Lookups!$L$11,Cool_Type,IF(Cool_Type=Lookups!L205,Cool_Type,IF('Project Info and Summary'!$C$20="Electric",CONCATENATE(Cool_Type," ",Heating_Type," Heat"),IF('Project Info and Summary'!$C$20="Non-Electric",CONCATENATE(Cool_Type," ",Heating_Type," Heat"),CONCATENATE(Cool_Type," ",Heating_Type))))))))</f>
        <v/>
      </c>
      <c r="N195" s="298" t="str">
        <f t="shared" si="15"/>
        <v/>
      </c>
      <c r="O195" s="298" t="str">
        <f>IF(B195="", "", 'Lighting Inventory (Ref only)'!G206)</f>
        <v/>
      </c>
      <c r="P195" s="298" t="str">
        <f>IF(B195="", "", 'Lighting Inventory (Ref only)'!E206)</f>
        <v/>
      </c>
      <c r="Q195" s="298" t="str">
        <f>IF(B195="", "", 'Lighting Inventory (Ref only)'!J206)</f>
        <v/>
      </c>
      <c r="R195" s="298" t="str">
        <f>IF(B195="", "",'Lighting Inventory (Ref only)'!K206)</f>
        <v/>
      </c>
      <c r="S195" s="372" t="str">
        <f>IF(B195="", "", 'Lighting Inventory (Ref only)'!G206*'Lighting Inventory (Ref only)'!K206/1000)</f>
        <v/>
      </c>
      <c r="T195" s="298" t="str">
        <f>IF(B195="", "", IF('Lighting Inventory (Ref only)'!I206="", "Light Switch",Inventory!H203))</f>
        <v/>
      </c>
      <c r="U195" s="298" t="str">
        <f>IF(B195="", "", 'Lighting Inventory (Ref only)'!Q206)</f>
        <v/>
      </c>
      <c r="V195" s="298" t="str">
        <f>IF(B195="", "", 'Lighting Inventory (Ref only)'!K206)</f>
        <v/>
      </c>
      <c r="W195" s="373" t="str">
        <f>IF(B195="","",('Lighting Inventory (Ref only)'!L206/1000))</f>
        <v/>
      </c>
      <c r="X195" s="298" t="str">
        <f>IF(B195="", "", 'Lighting Inventory (Ref only)'!Q206)</f>
        <v/>
      </c>
      <c r="Y195" s="298" t="str">
        <f>IF(C195="", "", Inventory!N203)</f>
        <v/>
      </c>
      <c r="Z195" s="374" t="str">
        <f>IF(B195="", "", 'Lighting Inventory (Ref only)'!P206)</f>
        <v/>
      </c>
      <c r="AA195" s="372" t="str">
        <f>IF(B195="", "",'Lighting Inventory (Ref only)'!R206/1000)</f>
        <v/>
      </c>
      <c r="AB195" s="372" t="str">
        <f>IF(B195="", "", Inventory!M203)</f>
        <v/>
      </c>
      <c r="AC195" s="374" t="str">
        <f>IF(B195="", "", 'Lighting Inventory (Ref only)'!T206)</f>
        <v/>
      </c>
      <c r="AD195" s="374" t="str">
        <f>IF(C195="", "", 'Lighting Inventory (Ref only)'!AA206)</f>
        <v/>
      </c>
      <c r="AE195" s="375" t="str">
        <f>IF(B195="", "", 'Lighting Inventory (Ref only)'!U206)</f>
        <v/>
      </c>
      <c r="AF195" s="375" t="str">
        <f>IF(B195="", "",'Lighting Inventory (Ref only)'!W206)</f>
        <v/>
      </c>
      <c r="AG195" s="375" t="str">
        <f>IF(B195="", "", 'Lighting Inventory (Ref only)'!V206)</f>
        <v/>
      </c>
      <c r="AH195" s="375" t="str">
        <f>IF(B195="", "",'Lighting Inventory (Ref only)'!Z206)</f>
        <v/>
      </c>
      <c r="AI195" s="375" t="str">
        <f>IF(B195="", "", 'Lighting Inventory (Ref only)'!Y206)</f>
        <v/>
      </c>
      <c r="AJ195" s="375" t="str">
        <f>IF(C195="", "",'Lighting Inventory (Ref only)'!AB206)</f>
        <v/>
      </c>
      <c r="AK195" s="375" t="str">
        <f>IF(B195="", "", 'Lighting Inventory (Ref only)'!AG206)</f>
        <v/>
      </c>
      <c r="AL195" s="375" t="str">
        <f>IF(B195="", "", 'Lighting Inventory (Ref only)'!AD206)</f>
        <v/>
      </c>
      <c r="AM195" s="375" t="str">
        <f>IF(B195="", "", 'Lighting Inventory (Ref only)'!AE206)</f>
        <v/>
      </c>
      <c r="AN195" s="375" t="str">
        <f>IF(B195="", "", 'Lighting Inventory (Ref only)'!AF206)</f>
        <v/>
      </c>
      <c r="AO195" s="375" t="str">
        <f>IF(B195="", "", 'Lighting Inventory (Ref only)'!AG206)</f>
        <v/>
      </c>
    </row>
    <row r="196" spans="1:41">
      <c r="A196" s="298" t="str">
        <f>IF(G196="", "", Lookups!BF198)</f>
        <v/>
      </c>
      <c r="B196" s="298" t="str">
        <f>IF('Lighting Inventory (Ref only)'!Q207="", "", 'Lighting Inventory (Ref only)'!Q207)</f>
        <v/>
      </c>
      <c r="C196" s="298" t="str">
        <f>IF(A196="", "", 'Lighting Inventory (Ref only)'!AO207)</f>
        <v/>
      </c>
      <c r="D196" s="370" t="str">
        <f>IF(B196= "","", Inventory!S204)</f>
        <v/>
      </c>
      <c r="E196" s="371"/>
      <c r="F196" s="298" t="str">
        <f>IF(B196="", "", 'Version Log'!$B$34)</f>
        <v/>
      </c>
      <c r="G196" s="298" t="str">
        <f t="shared" si="12"/>
        <v/>
      </c>
      <c r="H196" s="298" t="str">
        <f t="shared" si="13"/>
        <v/>
      </c>
      <c r="I196" s="298" t="str">
        <f>IF(B196="", "",Inventory!D204)</f>
        <v/>
      </c>
      <c r="J196" s="298" t="str">
        <f>IF(B196="","",IF(Inventory!C204="N","Interior","Exterior"))</f>
        <v/>
      </c>
      <c r="K196" s="298" t="str">
        <f t="shared" si="14"/>
        <v/>
      </c>
      <c r="L196" s="298" t="str">
        <f>IF(B196="", "", Inventory!E204)</f>
        <v/>
      </c>
      <c r="M196" s="298" t="str">
        <f>IF(B196="","",IF(Cool_Type=Lookups!$L$9,Cool_Type,IF(Cool_Type=Lookups!$L$10,Cool_Type,IF(Cool_Type=Lookups!$L$11,Cool_Type,IF(Cool_Type=Lookups!L206,Cool_Type,IF('Project Info and Summary'!$C$20="Electric",CONCATENATE(Cool_Type," ",Heating_Type," Heat"),IF('Project Info and Summary'!$C$20="Non-Electric",CONCATENATE(Cool_Type," ",Heating_Type," Heat"),CONCATENATE(Cool_Type," ",Heating_Type))))))))</f>
        <v/>
      </c>
      <c r="N196" s="298" t="str">
        <f t="shared" si="15"/>
        <v/>
      </c>
      <c r="O196" s="298" t="str">
        <f>IF(B196="", "", 'Lighting Inventory (Ref only)'!G207)</f>
        <v/>
      </c>
      <c r="P196" s="298" t="str">
        <f>IF(B196="", "", 'Lighting Inventory (Ref only)'!E207)</f>
        <v/>
      </c>
      <c r="Q196" s="298" t="str">
        <f>IF(B196="", "", 'Lighting Inventory (Ref only)'!J207)</f>
        <v/>
      </c>
      <c r="R196" s="298" t="str">
        <f>IF(B196="", "",'Lighting Inventory (Ref only)'!K207)</f>
        <v/>
      </c>
      <c r="S196" s="372" t="str">
        <f>IF(B196="", "", 'Lighting Inventory (Ref only)'!G207*'Lighting Inventory (Ref only)'!K207/1000)</f>
        <v/>
      </c>
      <c r="T196" s="298" t="str">
        <f>IF(B196="", "", IF('Lighting Inventory (Ref only)'!I207="", "Light Switch",Inventory!H204))</f>
        <v/>
      </c>
      <c r="U196" s="298" t="str">
        <f>IF(B196="", "", 'Lighting Inventory (Ref only)'!Q207)</f>
        <v/>
      </c>
      <c r="V196" s="298" t="str">
        <f>IF(B196="", "", 'Lighting Inventory (Ref only)'!K207)</f>
        <v/>
      </c>
      <c r="W196" s="373" t="str">
        <f>IF(B196="","",('Lighting Inventory (Ref only)'!L207/1000))</f>
        <v/>
      </c>
      <c r="X196" s="298" t="str">
        <f>IF(B196="", "", 'Lighting Inventory (Ref only)'!Q207)</f>
        <v/>
      </c>
      <c r="Y196" s="298" t="str">
        <f>IF(C196="", "", Inventory!N204)</f>
        <v/>
      </c>
      <c r="Z196" s="374" t="str">
        <f>IF(B196="", "", 'Lighting Inventory (Ref only)'!P207)</f>
        <v/>
      </c>
      <c r="AA196" s="372" t="str">
        <f>IF(B196="", "",'Lighting Inventory (Ref only)'!R207/1000)</f>
        <v/>
      </c>
      <c r="AB196" s="372" t="str">
        <f>IF(B196="", "", Inventory!M204)</f>
        <v/>
      </c>
      <c r="AC196" s="374" t="str">
        <f>IF(B196="", "", 'Lighting Inventory (Ref only)'!T207)</f>
        <v/>
      </c>
      <c r="AD196" s="374" t="str">
        <f>IF(C196="", "", 'Lighting Inventory (Ref only)'!AA207)</f>
        <v/>
      </c>
      <c r="AE196" s="375" t="str">
        <f>IF(B196="", "", 'Lighting Inventory (Ref only)'!U207)</f>
        <v/>
      </c>
      <c r="AF196" s="375" t="str">
        <f>IF(B196="", "",'Lighting Inventory (Ref only)'!W207)</f>
        <v/>
      </c>
      <c r="AG196" s="375" t="str">
        <f>IF(B196="", "", 'Lighting Inventory (Ref only)'!V207)</f>
        <v/>
      </c>
      <c r="AH196" s="375" t="str">
        <f>IF(B196="", "",'Lighting Inventory (Ref only)'!Z207)</f>
        <v/>
      </c>
      <c r="AI196" s="375" t="str">
        <f>IF(B196="", "", 'Lighting Inventory (Ref only)'!Y207)</f>
        <v/>
      </c>
      <c r="AJ196" s="375" t="str">
        <f>IF(C196="", "",'Lighting Inventory (Ref only)'!AB207)</f>
        <v/>
      </c>
      <c r="AK196" s="375" t="str">
        <f>IF(B196="", "", 'Lighting Inventory (Ref only)'!AG207)</f>
        <v/>
      </c>
      <c r="AL196" s="375" t="str">
        <f>IF(B196="", "", 'Lighting Inventory (Ref only)'!AD207)</f>
        <v/>
      </c>
      <c r="AM196" s="375" t="str">
        <f>IF(B196="", "", 'Lighting Inventory (Ref only)'!AE207)</f>
        <v/>
      </c>
      <c r="AN196" s="375" t="str">
        <f>IF(B196="", "", 'Lighting Inventory (Ref only)'!AF207)</f>
        <v/>
      </c>
      <c r="AO196" s="375" t="str">
        <f>IF(B196="", "", 'Lighting Inventory (Ref only)'!AG207)</f>
        <v/>
      </c>
    </row>
    <row r="197" spans="1:41">
      <c r="A197" s="298" t="str">
        <f>IF(G197="", "", Lookups!BF199)</f>
        <v/>
      </c>
      <c r="B197" s="298" t="str">
        <f>IF('Lighting Inventory (Ref only)'!Q208="", "", 'Lighting Inventory (Ref only)'!Q208)</f>
        <v/>
      </c>
      <c r="C197" s="298" t="str">
        <f>IF(A197="", "", 'Lighting Inventory (Ref only)'!AO208)</f>
        <v/>
      </c>
      <c r="D197" s="370" t="str">
        <f>IF(B197= "","", Inventory!S205)</f>
        <v/>
      </c>
      <c r="E197" s="371"/>
      <c r="F197" s="298" t="str">
        <f>IF(B197="", "", 'Version Log'!$B$34)</f>
        <v/>
      </c>
      <c r="G197" s="298" t="str">
        <f t="shared" si="12"/>
        <v/>
      </c>
      <c r="H197" s="298" t="str">
        <f t="shared" si="13"/>
        <v/>
      </c>
      <c r="I197" s="298" t="str">
        <f>IF(B197="", "",Inventory!D205)</f>
        <v/>
      </c>
      <c r="J197" s="298" t="str">
        <f>IF(B197="","",IF(Inventory!C205="N","Interior","Exterior"))</f>
        <v/>
      </c>
      <c r="K197" s="298" t="str">
        <f t="shared" si="14"/>
        <v/>
      </c>
      <c r="L197" s="298" t="str">
        <f>IF(B197="", "", Inventory!E205)</f>
        <v/>
      </c>
      <c r="M197" s="298" t="str">
        <f>IF(B197="","",IF(Cool_Type=Lookups!$L$9,Cool_Type,IF(Cool_Type=Lookups!$L$10,Cool_Type,IF(Cool_Type=Lookups!$L$11,Cool_Type,IF(Cool_Type=Lookups!L207,Cool_Type,IF('Project Info and Summary'!$C$20="Electric",CONCATENATE(Cool_Type," ",Heating_Type," Heat"),IF('Project Info and Summary'!$C$20="Non-Electric",CONCATENATE(Cool_Type," ",Heating_Type," Heat"),CONCATENATE(Cool_Type," ",Heating_Type))))))))</f>
        <v/>
      </c>
      <c r="N197" s="298" t="str">
        <f t="shared" si="15"/>
        <v/>
      </c>
      <c r="O197" s="298" t="str">
        <f>IF(B197="", "", 'Lighting Inventory (Ref only)'!G208)</f>
        <v/>
      </c>
      <c r="P197" s="298" t="str">
        <f>IF(B197="", "", 'Lighting Inventory (Ref only)'!E208)</f>
        <v/>
      </c>
      <c r="Q197" s="298" t="str">
        <f>IF(B197="", "", 'Lighting Inventory (Ref only)'!J208)</f>
        <v/>
      </c>
      <c r="R197" s="298" t="str">
        <f>IF(B197="", "",'Lighting Inventory (Ref only)'!K208)</f>
        <v/>
      </c>
      <c r="S197" s="372" t="str">
        <f>IF(B197="", "", 'Lighting Inventory (Ref only)'!G208*'Lighting Inventory (Ref only)'!K208/1000)</f>
        <v/>
      </c>
      <c r="T197" s="298" t="str">
        <f>IF(B197="", "", IF('Lighting Inventory (Ref only)'!I208="", "Light Switch",Inventory!H205))</f>
        <v/>
      </c>
      <c r="U197" s="298" t="str">
        <f>IF(B197="", "", 'Lighting Inventory (Ref only)'!Q208)</f>
        <v/>
      </c>
      <c r="V197" s="298" t="str">
        <f>IF(B197="", "", 'Lighting Inventory (Ref only)'!K208)</f>
        <v/>
      </c>
      <c r="W197" s="373" t="str">
        <f>IF(B197="","",('Lighting Inventory (Ref only)'!L208/1000))</f>
        <v/>
      </c>
      <c r="X197" s="298" t="str">
        <f>IF(B197="", "", 'Lighting Inventory (Ref only)'!Q208)</f>
        <v/>
      </c>
      <c r="Y197" s="298" t="str">
        <f>IF(C197="", "", Inventory!N205)</f>
        <v/>
      </c>
      <c r="Z197" s="374" t="str">
        <f>IF(B197="", "", 'Lighting Inventory (Ref only)'!P208)</f>
        <v/>
      </c>
      <c r="AA197" s="372" t="str">
        <f>IF(B197="", "",'Lighting Inventory (Ref only)'!R208/1000)</f>
        <v/>
      </c>
      <c r="AB197" s="372" t="str">
        <f>IF(B197="", "", Inventory!M205)</f>
        <v/>
      </c>
      <c r="AC197" s="374" t="str">
        <f>IF(B197="", "", 'Lighting Inventory (Ref only)'!T208)</f>
        <v/>
      </c>
      <c r="AD197" s="374" t="str">
        <f>IF(C197="", "", 'Lighting Inventory (Ref only)'!AA208)</f>
        <v/>
      </c>
      <c r="AE197" s="375" t="str">
        <f>IF(B197="", "", 'Lighting Inventory (Ref only)'!U208)</f>
        <v/>
      </c>
      <c r="AF197" s="375" t="str">
        <f>IF(B197="", "",'Lighting Inventory (Ref only)'!W208)</f>
        <v/>
      </c>
      <c r="AG197" s="375" t="str">
        <f>IF(B197="", "", 'Lighting Inventory (Ref only)'!V208)</f>
        <v/>
      </c>
      <c r="AH197" s="375" t="str">
        <f>IF(B197="", "",'Lighting Inventory (Ref only)'!Z208)</f>
        <v/>
      </c>
      <c r="AI197" s="375" t="str">
        <f>IF(B197="", "", 'Lighting Inventory (Ref only)'!Y208)</f>
        <v/>
      </c>
      <c r="AJ197" s="375" t="str">
        <f>IF(C197="", "",'Lighting Inventory (Ref only)'!AB208)</f>
        <v/>
      </c>
      <c r="AK197" s="375" t="str">
        <f>IF(B197="", "", 'Lighting Inventory (Ref only)'!AG208)</f>
        <v/>
      </c>
      <c r="AL197" s="375" t="str">
        <f>IF(B197="", "", 'Lighting Inventory (Ref only)'!AD208)</f>
        <v/>
      </c>
      <c r="AM197" s="375" t="str">
        <f>IF(B197="", "", 'Lighting Inventory (Ref only)'!AE208)</f>
        <v/>
      </c>
      <c r="AN197" s="375" t="str">
        <f>IF(B197="", "", 'Lighting Inventory (Ref only)'!AF208)</f>
        <v/>
      </c>
      <c r="AO197" s="375" t="str">
        <f>IF(B197="", "", 'Lighting Inventory (Ref only)'!AG208)</f>
        <v/>
      </c>
    </row>
    <row r="198" spans="1:41">
      <c r="A198" s="298" t="str">
        <f>IF(G198="", "", Lookups!BF200)</f>
        <v/>
      </c>
      <c r="B198" s="298" t="str">
        <f>IF('Lighting Inventory (Ref only)'!Q209="", "", 'Lighting Inventory (Ref only)'!Q209)</f>
        <v/>
      </c>
      <c r="C198" s="298" t="str">
        <f>IF(A198="", "", 'Lighting Inventory (Ref only)'!AO209)</f>
        <v/>
      </c>
      <c r="D198" s="370" t="str">
        <f>IF(B198= "","", Inventory!S206)</f>
        <v/>
      </c>
      <c r="E198" s="371"/>
      <c r="F198" s="298" t="str">
        <f>IF(B198="", "", 'Version Log'!$B$34)</f>
        <v/>
      </c>
      <c r="G198" s="298" t="str">
        <f t="shared" si="12"/>
        <v/>
      </c>
      <c r="H198" s="298" t="str">
        <f t="shared" si="13"/>
        <v/>
      </c>
      <c r="I198" s="298" t="str">
        <f>IF(B198="", "",Inventory!D206)</f>
        <v/>
      </c>
      <c r="J198" s="298" t="str">
        <f>IF(B198="","",IF(Inventory!C206="N","Interior","Exterior"))</f>
        <v/>
      </c>
      <c r="K198" s="298" t="str">
        <f t="shared" si="14"/>
        <v/>
      </c>
      <c r="L198" s="298" t="str">
        <f>IF(B198="", "", Inventory!E206)</f>
        <v/>
      </c>
      <c r="M198" s="298" t="str">
        <f>IF(B198="","",IF(Cool_Type=Lookups!$L$9,Cool_Type,IF(Cool_Type=Lookups!$L$10,Cool_Type,IF(Cool_Type=Lookups!$L$11,Cool_Type,IF(Cool_Type=Lookups!L208,Cool_Type,IF('Project Info and Summary'!$C$20="Electric",CONCATENATE(Cool_Type," ",Heating_Type," Heat"),IF('Project Info and Summary'!$C$20="Non-Electric",CONCATENATE(Cool_Type," ",Heating_Type," Heat"),CONCATENATE(Cool_Type," ",Heating_Type))))))))</f>
        <v/>
      </c>
      <c r="N198" s="298" t="str">
        <f t="shared" si="15"/>
        <v/>
      </c>
      <c r="O198" s="298" t="str">
        <f>IF(B198="", "", 'Lighting Inventory (Ref only)'!G209)</f>
        <v/>
      </c>
      <c r="P198" s="298" t="str">
        <f>IF(B198="", "", 'Lighting Inventory (Ref only)'!E209)</f>
        <v/>
      </c>
      <c r="Q198" s="298" t="str">
        <f>IF(B198="", "", 'Lighting Inventory (Ref only)'!J209)</f>
        <v/>
      </c>
      <c r="R198" s="298" t="str">
        <f>IF(B198="", "",'Lighting Inventory (Ref only)'!K209)</f>
        <v/>
      </c>
      <c r="S198" s="372" t="str">
        <f>IF(B198="", "", 'Lighting Inventory (Ref only)'!G209*'Lighting Inventory (Ref only)'!K209/1000)</f>
        <v/>
      </c>
      <c r="T198" s="298" t="str">
        <f>IF(B198="", "", IF('Lighting Inventory (Ref only)'!I209="", "Light Switch",Inventory!H206))</f>
        <v/>
      </c>
      <c r="U198" s="298" t="str">
        <f>IF(B198="", "", 'Lighting Inventory (Ref only)'!Q209)</f>
        <v/>
      </c>
      <c r="V198" s="298" t="str">
        <f>IF(B198="", "", 'Lighting Inventory (Ref only)'!K209)</f>
        <v/>
      </c>
      <c r="W198" s="373" t="str">
        <f>IF(B198="","",('Lighting Inventory (Ref only)'!L209/1000))</f>
        <v/>
      </c>
      <c r="X198" s="298" t="str">
        <f>IF(B198="", "", 'Lighting Inventory (Ref only)'!Q209)</f>
        <v/>
      </c>
      <c r="Y198" s="298" t="str">
        <f>IF(C198="", "", Inventory!N206)</f>
        <v/>
      </c>
      <c r="Z198" s="374" t="str">
        <f>IF(B198="", "", 'Lighting Inventory (Ref only)'!P209)</f>
        <v/>
      </c>
      <c r="AA198" s="372" t="str">
        <f>IF(B198="", "",'Lighting Inventory (Ref only)'!R209/1000)</f>
        <v/>
      </c>
      <c r="AB198" s="372" t="str">
        <f>IF(B198="", "", Inventory!M206)</f>
        <v/>
      </c>
      <c r="AC198" s="374" t="str">
        <f>IF(B198="", "", 'Lighting Inventory (Ref only)'!T209)</f>
        <v/>
      </c>
      <c r="AD198" s="374" t="str">
        <f>IF(C198="", "", 'Lighting Inventory (Ref only)'!AA209)</f>
        <v/>
      </c>
      <c r="AE198" s="375" t="str">
        <f>IF(B198="", "", 'Lighting Inventory (Ref only)'!U209)</f>
        <v/>
      </c>
      <c r="AF198" s="375" t="str">
        <f>IF(B198="", "",'Lighting Inventory (Ref only)'!W209)</f>
        <v/>
      </c>
      <c r="AG198" s="375" t="str">
        <f>IF(B198="", "", 'Lighting Inventory (Ref only)'!V209)</f>
        <v/>
      </c>
      <c r="AH198" s="375" t="str">
        <f>IF(B198="", "",'Lighting Inventory (Ref only)'!Z209)</f>
        <v/>
      </c>
      <c r="AI198" s="375" t="str">
        <f>IF(B198="", "", 'Lighting Inventory (Ref only)'!Y209)</f>
        <v/>
      </c>
      <c r="AJ198" s="375" t="str">
        <f>IF(C198="", "",'Lighting Inventory (Ref only)'!AB209)</f>
        <v/>
      </c>
      <c r="AK198" s="375" t="str">
        <f>IF(B198="", "", 'Lighting Inventory (Ref only)'!AG209)</f>
        <v/>
      </c>
      <c r="AL198" s="375" t="str">
        <f>IF(B198="", "", 'Lighting Inventory (Ref only)'!AD209)</f>
        <v/>
      </c>
      <c r="AM198" s="375" t="str">
        <f>IF(B198="", "", 'Lighting Inventory (Ref only)'!AE209)</f>
        <v/>
      </c>
      <c r="AN198" s="375" t="str">
        <f>IF(B198="", "", 'Lighting Inventory (Ref only)'!AF209)</f>
        <v/>
      </c>
      <c r="AO198" s="375" t="str">
        <f>IF(B198="", "", 'Lighting Inventory (Ref only)'!AG209)</f>
        <v/>
      </c>
    </row>
    <row r="199" spans="1:41">
      <c r="A199" s="298" t="str">
        <f>IF(G199="", "", Lookups!BF201)</f>
        <v/>
      </c>
      <c r="B199" s="298" t="str">
        <f>IF('Lighting Inventory (Ref only)'!Q210="", "", 'Lighting Inventory (Ref only)'!Q210)</f>
        <v/>
      </c>
      <c r="C199" s="298" t="str">
        <f>IF(A199="", "", 'Lighting Inventory (Ref only)'!AO210)</f>
        <v/>
      </c>
      <c r="D199" s="370" t="str">
        <f>IF(B199= "","", Inventory!S207)</f>
        <v/>
      </c>
      <c r="E199" s="371"/>
      <c r="F199" s="298" t="str">
        <f>IF(B199="", "", 'Version Log'!$B$34)</f>
        <v/>
      </c>
      <c r="G199" s="298" t="str">
        <f t="shared" si="12"/>
        <v/>
      </c>
      <c r="H199" s="298" t="str">
        <f t="shared" si="13"/>
        <v/>
      </c>
      <c r="I199" s="298" t="str">
        <f>IF(B199="", "",Inventory!D207)</f>
        <v/>
      </c>
      <c r="J199" s="298" t="str">
        <f>IF(B199="","",IF(Inventory!C207="N","Interior","Exterior"))</f>
        <v/>
      </c>
      <c r="K199" s="298" t="str">
        <f t="shared" si="14"/>
        <v/>
      </c>
      <c r="L199" s="298" t="str">
        <f>IF(B199="", "", Inventory!E207)</f>
        <v/>
      </c>
      <c r="M199" s="298" t="str">
        <f>IF(B199="","",IF(Cool_Type=Lookups!$L$9,Cool_Type,IF(Cool_Type=Lookups!$L$10,Cool_Type,IF(Cool_Type=Lookups!$L$11,Cool_Type,IF(Cool_Type=Lookups!L209,Cool_Type,IF('Project Info and Summary'!$C$20="Electric",CONCATENATE(Cool_Type," ",Heating_Type," Heat"),IF('Project Info and Summary'!$C$20="Non-Electric",CONCATENATE(Cool_Type," ",Heating_Type," Heat"),CONCATENATE(Cool_Type," ",Heating_Type))))))))</f>
        <v/>
      </c>
      <c r="N199" s="298" t="str">
        <f t="shared" si="15"/>
        <v/>
      </c>
      <c r="O199" s="298" t="str">
        <f>IF(B199="", "", 'Lighting Inventory (Ref only)'!G210)</f>
        <v/>
      </c>
      <c r="P199" s="298" t="str">
        <f>IF(B199="", "", 'Lighting Inventory (Ref only)'!E210)</f>
        <v/>
      </c>
      <c r="Q199" s="298" t="str">
        <f>IF(B199="", "", 'Lighting Inventory (Ref only)'!J210)</f>
        <v/>
      </c>
      <c r="R199" s="298" t="str">
        <f>IF(B199="", "",'Lighting Inventory (Ref only)'!K210)</f>
        <v/>
      </c>
      <c r="S199" s="372" t="str">
        <f>IF(B199="", "", 'Lighting Inventory (Ref only)'!G210*'Lighting Inventory (Ref only)'!K210/1000)</f>
        <v/>
      </c>
      <c r="T199" s="298" t="str">
        <f>IF(B199="", "", IF('Lighting Inventory (Ref only)'!I210="", "Light Switch",Inventory!H207))</f>
        <v/>
      </c>
      <c r="U199" s="298" t="str">
        <f>IF(B199="", "", 'Lighting Inventory (Ref only)'!Q210)</f>
        <v/>
      </c>
      <c r="V199" s="298" t="str">
        <f>IF(B199="", "", 'Lighting Inventory (Ref only)'!K210)</f>
        <v/>
      </c>
      <c r="W199" s="373" t="str">
        <f>IF(B199="","",('Lighting Inventory (Ref only)'!L210/1000))</f>
        <v/>
      </c>
      <c r="X199" s="298" t="str">
        <f>IF(B199="", "", 'Lighting Inventory (Ref only)'!Q210)</f>
        <v/>
      </c>
      <c r="Y199" s="298" t="str">
        <f>IF(C199="", "", Inventory!N207)</f>
        <v/>
      </c>
      <c r="Z199" s="374" t="str">
        <f>IF(B199="", "", 'Lighting Inventory (Ref only)'!P210)</f>
        <v/>
      </c>
      <c r="AA199" s="372" t="str">
        <f>IF(B199="", "",'Lighting Inventory (Ref only)'!R210/1000)</f>
        <v/>
      </c>
      <c r="AB199" s="372" t="str">
        <f>IF(B199="", "", Inventory!M207)</f>
        <v/>
      </c>
      <c r="AC199" s="374" t="str">
        <f>IF(B199="", "", 'Lighting Inventory (Ref only)'!T210)</f>
        <v/>
      </c>
      <c r="AD199" s="374" t="str">
        <f>IF(C199="", "", 'Lighting Inventory (Ref only)'!AA210)</f>
        <v/>
      </c>
      <c r="AE199" s="375" t="str">
        <f>IF(B199="", "", 'Lighting Inventory (Ref only)'!U210)</f>
        <v/>
      </c>
      <c r="AF199" s="375" t="str">
        <f>IF(B199="", "",'Lighting Inventory (Ref only)'!W210)</f>
        <v/>
      </c>
      <c r="AG199" s="375" t="str">
        <f>IF(B199="", "", 'Lighting Inventory (Ref only)'!V210)</f>
        <v/>
      </c>
      <c r="AH199" s="375" t="str">
        <f>IF(B199="", "",'Lighting Inventory (Ref only)'!Z210)</f>
        <v/>
      </c>
      <c r="AI199" s="375" t="str">
        <f>IF(B199="", "", 'Lighting Inventory (Ref only)'!Y210)</f>
        <v/>
      </c>
      <c r="AJ199" s="375" t="str">
        <f>IF(C199="", "",'Lighting Inventory (Ref only)'!AB210)</f>
        <v/>
      </c>
      <c r="AK199" s="375" t="str">
        <f>IF(B199="", "", 'Lighting Inventory (Ref only)'!AG210)</f>
        <v/>
      </c>
      <c r="AL199" s="375" t="str">
        <f>IF(B199="", "", 'Lighting Inventory (Ref only)'!AD210)</f>
        <v/>
      </c>
      <c r="AM199" s="375" t="str">
        <f>IF(B199="", "", 'Lighting Inventory (Ref only)'!AE210)</f>
        <v/>
      </c>
      <c r="AN199" s="375" t="str">
        <f>IF(B199="", "", 'Lighting Inventory (Ref only)'!AF210)</f>
        <v/>
      </c>
      <c r="AO199" s="375" t="str">
        <f>IF(B199="", "", 'Lighting Inventory (Ref only)'!AG210)</f>
        <v/>
      </c>
    </row>
    <row r="200" spans="1:41">
      <c r="A200" s="298" t="str">
        <f>IF(G200="", "", Lookups!BF202)</f>
        <v/>
      </c>
      <c r="B200" s="298" t="str">
        <f>IF('Lighting Inventory (Ref only)'!Q211="", "", 'Lighting Inventory (Ref only)'!Q211)</f>
        <v/>
      </c>
      <c r="C200" s="298" t="str">
        <f>IF(A200="", "", 'Lighting Inventory (Ref only)'!AO211)</f>
        <v/>
      </c>
      <c r="D200" s="370" t="str">
        <f>IF(B200= "","", Inventory!S208)</f>
        <v/>
      </c>
      <c r="E200" s="371"/>
      <c r="F200" s="298" t="str">
        <f>IF(B200="", "", 'Version Log'!$B$34)</f>
        <v/>
      </c>
      <c r="G200" s="298" t="str">
        <f t="shared" si="12"/>
        <v/>
      </c>
      <c r="H200" s="298" t="str">
        <f t="shared" si="13"/>
        <v/>
      </c>
      <c r="I200" s="298" t="str">
        <f>IF(B200="", "",Inventory!D208)</f>
        <v/>
      </c>
      <c r="J200" s="298" t="str">
        <f>IF(B200="","",IF(Inventory!C208="N","Interior","Exterior"))</f>
        <v/>
      </c>
      <c r="K200" s="298" t="str">
        <f t="shared" si="14"/>
        <v/>
      </c>
      <c r="L200" s="298" t="str">
        <f>IF(B200="", "", Inventory!E208)</f>
        <v/>
      </c>
      <c r="M200" s="298" t="str">
        <f>IF(B200="","",IF(Cool_Type=Lookups!$L$9,Cool_Type,IF(Cool_Type=Lookups!$L$10,Cool_Type,IF(Cool_Type=Lookups!$L$11,Cool_Type,IF(Cool_Type=Lookups!L210,Cool_Type,IF('Project Info and Summary'!$C$20="Electric",CONCATENATE(Cool_Type," ",Heating_Type," Heat"),IF('Project Info and Summary'!$C$20="Non-Electric",CONCATENATE(Cool_Type," ",Heating_Type," Heat"),CONCATENATE(Cool_Type," ",Heating_Type))))))))</f>
        <v/>
      </c>
      <c r="N200" s="298" t="str">
        <f t="shared" si="15"/>
        <v/>
      </c>
      <c r="O200" s="298" t="str">
        <f>IF(B200="", "", 'Lighting Inventory (Ref only)'!G211)</f>
        <v/>
      </c>
      <c r="P200" s="298" t="str">
        <f>IF(B200="", "", 'Lighting Inventory (Ref only)'!E211)</f>
        <v/>
      </c>
      <c r="Q200" s="298" t="str">
        <f>IF(B200="", "", 'Lighting Inventory (Ref only)'!J211)</f>
        <v/>
      </c>
      <c r="R200" s="298" t="str">
        <f>IF(B200="", "",'Lighting Inventory (Ref only)'!K211)</f>
        <v/>
      </c>
      <c r="S200" s="372" t="str">
        <f>IF(B200="", "", 'Lighting Inventory (Ref only)'!G211*'Lighting Inventory (Ref only)'!K211/1000)</f>
        <v/>
      </c>
      <c r="T200" s="298" t="str">
        <f>IF(B200="", "", IF('Lighting Inventory (Ref only)'!I211="", "Light Switch",Inventory!H208))</f>
        <v/>
      </c>
      <c r="U200" s="298" t="str">
        <f>IF(B200="", "", 'Lighting Inventory (Ref only)'!Q211)</f>
        <v/>
      </c>
      <c r="V200" s="298" t="str">
        <f>IF(B200="", "", 'Lighting Inventory (Ref only)'!K211)</f>
        <v/>
      </c>
      <c r="W200" s="373" t="str">
        <f>IF(B200="","",('Lighting Inventory (Ref only)'!L211/1000))</f>
        <v/>
      </c>
      <c r="X200" s="298" t="str">
        <f>IF(B200="", "", 'Lighting Inventory (Ref only)'!Q211)</f>
        <v/>
      </c>
      <c r="Y200" s="298" t="str">
        <f>IF(C200="", "", Inventory!N208)</f>
        <v/>
      </c>
      <c r="Z200" s="374" t="str">
        <f>IF(B200="", "", 'Lighting Inventory (Ref only)'!P211)</f>
        <v/>
      </c>
      <c r="AA200" s="372" t="str">
        <f>IF(B200="", "",'Lighting Inventory (Ref only)'!R211/1000)</f>
        <v/>
      </c>
      <c r="AB200" s="372" t="str">
        <f>IF(B200="", "", Inventory!M208)</f>
        <v/>
      </c>
      <c r="AC200" s="374" t="str">
        <f>IF(B200="", "", 'Lighting Inventory (Ref only)'!T211)</f>
        <v/>
      </c>
      <c r="AD200" s="374" t="str">
        <f>IF(C200="", "", 'Lighting Inventory (Ref only)'!AA211)</f>
        <v/>
      </c>
      <c r="AE200" s="375" t="str">
        <f>IF(B200="", "", 'Lighting Inventory (Ref only)'!U211)</f>
        <v/>
      </c>
      <c r="AF200" s="375" t="str">
        <f>IF(B200="", "",'Lighting Inventory (Ref only)'!W211)</f>
        <v/>
      </c>
      <c r="AG200" s="375" t="str">
        <f>IF(B200="", "", 'Lighting Inventory (Ref only)'!V211)</f>
        <v/>
      </c>
      <c r="AH200" s="375" t="str">
        <f>IF(B200="", "",'Lighting Inventory (Ref only)'!Z211)</f>
        <v/>
      </c>
      <c r="AI200" s="375" t="str">
        <f>IF(B200="", "", 'Lighting Inventory (Ref only)'!Y211)</f>
        <v/>
      </c>
      <c r="AJ200" s="375" t="str">
        <f>IF(C200="", "",'Lighting Inventory (Ref only)'!AB211)</f>
        <v/>
      </c>
      <c r="AK200" s="375" t="str">
        <f>IF(B200="", "", 'Lighting Inventory (Ref only)'!AG211)</f>
        <v/>
      </c>
      <c r="AL200" s="375" t="str">
        <f>IF(B200="", "", 'Lighting Inventory (Ref only)'!AD211)</f>
        <v/>
      </c>
      <c r="AM200" s="375" t="str">
        <f>IF(B200="", "", 'Lighting Inventory (Ref only)'!AE211)</f>
        <v/>
      </c>
      <c r="AN200" s="375" t="str">
        <f>IF(B200="", "", 'Lighting Inventory (Ref only)'!AF211)</f>
        <v/>
      </c>
      <c r="AO200" s="375" t="str">
        <f>IF(B200="", "", 'Lighting Inventory (Ref only)'!AG211)</f>
        <v/>
      </c>
    </row>
    <row r="201" spans="1:41">
      <c r="A201" s="298" t="str">
        <f>IF(G201="", "", Lookups!BF203)</f>
        <v/>
      </c>
      <c r="B201" s="298" t="str">
        <f>IF('Lighting Inventory (Ref only)'!Q212="", "", 'Lighting Inventory (Ref only)'!Q212)</f>
        <v/>
      </c>
      <c r="C201" s="298" t="str">
        <f>IF(A201="", "", 'Lighting Inventory (Ref only)'!AO212)</f>
        <v/>
      </c>
      <c r="D201" s="370" t="str">
        <f>IF(B201= "","", Inventory!S209)</f>
        <v/>
      </c>
      <c r="E201" s="371"/>
      <c r="F201" s="298" t="str">
        <f>IF(B201="", "", 'Version Log'!$B$34)</f>
        <v/>
      </c>
      <c r="G201" s="298" t="str">
        <f t="shared" si="12"/>
        <v/>
      </c>
      <c r="H201" s="298" t="str">
        <f t="shared" si="13"/>
        <v/>
      </c>
      <c r="I201" s="298" t="str">
        <f>IF(B201="", "",Inventory!D209)</f>
        <v/>
      </c>
      <c r="J201" s="298" t="str">
        <f>IF(B201="","",IF(Inventory!C209="N","Interior","Exterior"))</f>
        <v/>
      </c>
      <c r="K201" s="298" t="str">
        <f t="shared" si="14"/>
        <v/>
      </c>
      <c r="L201" s="298" t="str">
        <f>IF(B201="", "", Inventory!E209)</f>
        <v/>
      </c>
      <c r="M201" s="298" t="str">
        <f>IF(B201="","",IF(Cool_Type=Lookups!$L$9,Cool_Type,IF(Cool_Type=Lookups!$L$10,Cool_Type,IF(Cool_Type=Lookups!$L$11,Cool_Type,IF(Cool_Type=Lookups!L211,Cool_Type,IF('Project Info and Summary'!$C$20="Electric",CONCATENATE(Cool_Type," ",Heating_Type," Heat"),IF('Project Info and Summary'!$C$20="Non-Electric",CONCATENATE(Cool_Type," ",Heating_Type," Heat"),CONCATENATE(Cool_Type," ",Heating_Type))))))))</f>
        <v/>
      </c>
      <c r="N201" s="298" t="str">
        <f t="shared" si="15"/>
        <v/>
      </c>
      <c r="O201" s="298" t="str">
        <f>IF(B201="", "", 'Lighting Inventory (Ref only)'!G212)</f>
        <v/>
      </c>
      <c r="P201" s="298" t="str">
        <f>IF(B201="", "", 'Lighting Inventory (Ref only)'!E212)</f>
        <v/>
      </c>
      <c r="Q201" s="298" t="str">
        <f>IF(B201="", "", 'Lighting Inventory (Ref only)'!J212)</f>
        <v/>
      </c>
      <c r="R201" s="298" t="str">
        <f>IF(B201="", "",'Lighting Inventory (Ref only)'!K212)</f>
        <v/>
      </c>
      <c r="S201" s="372" t="str">
        <f>IF(B201="", "", 'Lighting Inventory (Ref only)'!G212*'Lighting Inventory (Ref only)'!K212/1000)</f>
        <v/>
      </c>
      <c r="T201" s="298" t="str">
        <f>IF(B201="", "", IF('Lighting Inventory (Ref only)'!I212="", "Light Switch",Inventory!H209))</f>
        <v/>
      </c>
      <c r="U201" s="298" t="str">
        <f>IF(B201="", "", 'Lighting Inventory (Ref only)'!Q212)</f>
        <v/>
      </c>
      <c r="V201" s="298" t="str">
        <f>IF(B201="", "", 'Lighting Inventory (Ref only)'!K212)</f>
        <v/>
      </c>
      <c r="W201" s="373" t="str">
        <f>IF(B201="","",('Lighting Inventory (Ref only)'!L212/1000))</f>
        <v/>
      </c>
      <c r="X201" s="298" t="str">
        <f>IF(B201="", "", 'Lighting Inventory (Ref only)'!Q212)</f>
        <v/>
      </c>
      <c r="Y201" s="298" t="str">
        <f>IF(C201="", "", Inventory!N209)</f>
        <v/>
      </c>
      <c r="Z201" s="374" t="str">
        <f>IF(B201="", "", 'Lighting Inventory (Ref only)'!P212)</f>
        <v/>
      </c>
      <c r="AA201" s="372" t="str">
        <f>IF(B201="", "",'Lighting Inventory (Ref only)'!R212/1000)</f>
        <v/>
      </c>
      <c r="AB201" s="372" t="str">
        <f>IF(B201="", "", Inventory!M209)</f>
        <v/>
      </c>
      <c r="AC201" s="374" t="str">
        <f>IF(B201="", "", 'Lighting Inventory (Ref only)'!T212)</f>
        <v/>
      </c>
      <c r="AD201" s="374" t="str">
        <f>IF(C201="", "", 'Lighting Inventory (Ref only)'!AA212)</f>
        <v/>
      </c>
      <c r="AE201" s="375" t="str">
        <f>IF(B201="", "", 'Lighting Inventory (Ref only)'!U212)</f>
        <v/>
      </c>
      <c r="AF201" s="375" t="str">
        <f>IF(B201="", "",'Lighting Inventory (Ref only)'!W212)</f>
        <v/>
      </c>
      <c r="AG201" s="375" t="str">
        <f>IF(B201="", "", 'Lighting Inventory (Ref only)'!V212)</f>
        <v/>
      </c>
      <c r="AH201" s="375" t="str">
        <f>IF(B201="", "",'Lighting Inventory (Ref only)'!Z212)</f>
        <v/>
      </c>
      <c r="AI201" s="375" t="str">
        <f>IF(B201="", "", 'Lighting Inventory (Ref only)'!Y212)</f>
        <v/>
      </c>
      <c r="AJ201" s="375" t="str">
        <f>IF(C201="", "",'Lighting Inventory (Ref only)'!AB212)</f>
        <v/>
      </c>
      <c r="AK201" s="375" t="str">
        <f>IF(B201="", "", 'Lighting Inventory (Ref only)'!AG212)</f>
        <v/>
      </c>
      <c r="AL201" s="375" t="str">
        <f>IF(B201="", "", 'Lighting Inventory (Ref only)'!AD212)</f>
        <v/>
      </c>
      <c r="AM201" s="375" t="str">
        <f>IF(B201="", "", 'Lighting Inventory (Ref only)'!AE212)</f>
        <v/>
      </c>
      <c r="AN201" s="375" t="str">
        <f>IF(B201="", "", 'Lighting Inventory (Ref only)'!AF212)</f>
        <v/>
      </c>
      <c r="AO201" s="375" t="str">
        <f>IF(B201="", "", 'Lighting Inventory (Ref only)'!AG212)</f>
        <v/>
      </c>
    </row>
    <row r="202" spans="1:41">
      <c r="A202" s="298" t="str">
        <f>IF(G202="", "", Lookups!BF204)</f>
        <v/>
      </c>
      <c r="B202" s="298" t="str">
        <f>IF('Lighting Inventory (Ref only)'!Q213="", "", 'Lighting Inventory (Ref only)'!Q213)</f>
        <v/>
      </c>
      <c r="C202" s="298" t="str">
        <f>IF(A202="", "", 'Lighting Inventory (Ref only)'!AO213)</f>
        <v/>
      </c>
      <c r="D202" s="370" t="str">
        <f>IF(B202= "","", Inventory!S210)</f>
        <v/>
      </c>
      <c r="E202" s="371"/>
      <c r="F202" s="298" t="str">
        <f>IF(B202="", "", 'Version Log'!$B$34)</f>
        <v/>
      </c>
      <c r="G202" s="298" t="str">
        <f t="shared" si="12"/>
        <v/>
      </c>
      <c r="H202" s="298" t="str">
        <f t="shared" si="13"/>
        <v/>
      </c>
      <c r="I202" s="298" t="str">
        <f>IF(B202="", "",Inventory!D210)</f>
        <v/>
      </c>
      <c r="J202" s="298" t="str">
        <f>IF(B202="","",IF(Inventory!C210="N","Interior","Exterior"))</f>
        <v/>
      </c>
      <c r="K202" s="298" t="str">
        <f t="shared" si="14"/>
        <v/>
      </c>
      <c r="L202" s="298" t="str">
        <f>IF(B202="", "", Inventory!E210)</f>
        <v/>
      </c>
      <c r="M202" s="298" t="str">
        <f>IF(B202="","",IF(Cool_Type=Lookups!$L$9,Cool_Type,IF(Cool_Type=Lookups!$L$10,Cool_Type,IF(Cool_Type=Lookups!$L$11,Cool_Type,IF(Cool_Type=Lookups!L212,Cool_Type,IF('Project Info and Summary'!$C$20="Electric",CONCATENATE(Cool_Type," ",Heating_Type," Heat"),IF('Project Info and Summary'!$C$20="Non-Electric",CONCATENATE(Cool_Type," ",Heating_Type," Heat"),CONCATENATE(Cool_Type," ",Heating_Type))))))))</f>
        <v/>
      </c>
      <c r="N202" s="298" t="str">
        <f t="shared" si="15"/>
        <v/>
      </c>
      <c r="O202" s="298" t="str">
        <f>IF(B202="", "", 'Lighting Inventory (Ref only)'!G213)</f>
        <v/>
      </c>
      <c r="P202" s="298" t="str">
        <f>IF(B202="", "", 'Lighting Inventory (Ref only)'!E213)</f>
        <v/>
      </c>
      <c r="Q202" s="298" t="str">
        <f>IF(B202="", "", 'Lighting Inventory (Ref only)'!J213)</f>
        <v/>
      </c>
      <c r="R202" s="298" t="str">
        <f>IF(B202="", "",'Lighting Inventory (Ref only)'!K213)</f>
        <v/>
      </c>
      <c r="S202" s="372" t="str">
        <f>IF(B202="", "", 'Lighting Inventory (Ref only)'!G213*'Lighting Inventory (Ref only)'!K213/1000)</f>
        <v/>
      </c>
      <c r="T202" s="298" t="str">
        <f>IF(B202="", "", IF('Lighting Inventory (Ref only)'!I213="", "Light Switch",Inventory!H210))</f>
        <v/>
      </c>
      <c r="U202" s="298" t="str">
        <f>IF(B202="", "", 'Lighting Inventory (Ref only)'!Q213)</f>
        <v/>
      </c>
      <c r="V202" s="298" t="str">
        <f>IF(B202="", "", 'Lighting Inventory (Ref only)'!K213)</f>
        <v/>
      </c>
      <c r="W202" s="373" t="str">
        <f>IF(B202="","",('Lighting Inventory (Ref only)'!L213/1000))</f>
        <v/>
      </c>
      <c r="X202" s="298" t="str">
        <f>IF(B202="", "", 'Lighting Inventory (Ref only)'!Q213)</f>
        <v/>
      </c>
      <c r="Y202" s="298" t="str">
        <f>IF(C202="", "", Inventory!N210)</f>
        <v/>
      </c>
      <c r="Z202" s="374" t="str">
        <f>IF(B202="", "", 'Lighting Inventory (Ref only)'!P213)</f>
        <v/>
      </c>
      <c r="AA202" s="372" t="str">
        <f>IF(B202="", "",'Lighting Inventory (Ref only)'!R213/1000)</f>
        <v/>
      </c>
      <c r="AB202" s="372" t="str">
        <f>IF(B202="", "", Inventory!M210)</f>
        <v/>
      </c>
      <c r="AC202" s="374" t="str">
        <f>IF(B202="", "", 'Lighting Inventory (Ref only)'!T213)</f>
        <v/>
      </c>
      <c r="AD202" s="374" t="str">
        <f>IF(C202="", "", 'Lighting Inventory (Ref only)'!AA213)</f>
        <v/>
      </c>
      <c r="AE202" s="375" t="str">
        <f>IF(B202="", "", 'Lighting Inventory (Ref only)'!U213)</f>
        <v/>
      </c>
      <c r="AF202" s="375" t="str">
        <f>IF(B202="", "",'Lighting Inventory (Ref only)'!W213)</f>
        <v/>
      </c>
      <c r="AG202" s="375" t="str">
        <f>IF(B202="", "", 'Lighting Inventory (Ref only)'!V213)</f>
        <v/>
      </c>
      <c r="AH202" s="375" t="str">
        <f>IF(B202="", "",'Lighting Inventory (Ref only)'!Z213)</f>
        <v/>
      </c>
      <c r="AI202" s="375" t="str">
        <f>IF(B202="", "", 'Lighting Inventory (Ref only)'!Y213)</f>
        <v/>
      </c>
      <c r="AJ202" s="375" t="str">
        <f>IF(C202="", "",'Lighting Inventory (Ref only)'!AB213)</f>
        <v/>
      </c>
      <c r="AK202" s="375" t="str">
        <f>IF(B202="", "", 'Lighting Inventory (Ref only)'!AG213)</f>
        <v/>
      </c>
      <c r="AL202" s="375" t="str">
        <f>IF(B202="", "", 'Lighting Inventory (Ref only)'!AD213)</f>
        <v/>
      </c>
      <c r="AM202" s="375" t="str">
        <f>IF(B202="", "", 'Lighting Inventory (Ref only)'!AE213)</f>
        <v/>
      </c>
      <c r="AN202" s="375" t="str">
        <f>IF(B202="", "", 'Lighting Inventory (Ref only)'!AF213)</f>
        <v/>
      </c>
      <c r="AO202" s="375" t="str">
        <f>IF(B202="", "", 'Lighting Inventory (Ref only)'!AG213)</f>
        <v/>
      </c>
    </row>
    <row r="203" spans="1:41">
      <c r="A203" s="298" t="str">
        <f>IF(G203="", "", Lookups!BF205)</f>
        <v/>
      </c>
      <c r="B203" s="298" t="str">
        <f>IF('Lighting Inventory (Ref only)'!Q214="", "", 'Lighting Inventory (Ref only)'!Q214)</f>
        <v/>
      </c>
      <c r="C203" s="298" t="str">
        <f>IF(A203="", "", 'Lighting Inventory (Ref only)'!AO214)</f>
        <v/>
      </c>
      <c r="D203" s="370" t="str">
        <f>IF(B203= "","", Inventory!S211)</f>
        <v/>
      </c>
      <c r="E203" s="371"/>
      <c r="F203" s="298" t="str">
        <f>IF(B203="", "", 'Version Log'!$B$34)</f>
        <v/>
      </c>
      <c r="G203" s="298" t="str">
        <f t="shared" si="12"/>
        <v/>
      </c>
      <c r="H203" s="298" t="str">
        <f t="shared" si="13"/>
        <v/>
      </c>
      <c r="I203" s="298" t="str">
        <f>IF(B203="", "",Inventory!D211)</f>
        <v/>
      </c>
      <c r="J203" s="298" t="str">
        <f>IF(B203="","",IF(Inventory!C211="N","Interior","Exterior"))</f>
        <v/>
      </c>
      <c r="K203" s="298" t="str">
        <f t="shared" si="14"/>
        <v/>
      </c>
      <c r="L203" s="298" t="str">
        <f>IF(B203="", "", Inventory!E211)</f>
        <v/>
      </c>
      <c r="M203" s="298" t="str">
        <f>IF(B203="","",IF(Cool_Type=Lookups!$L$9,Cool_Type,IF(Cool_Type=Lookups!$L$10,Cool_Type,IF(Cool_Type=Lookups!$L$11,Cool_Type,IF(Cool_Type=Lookups!L213,Cool_Type,IF('Project Info and Summary'!$C$20="Electric",CONCATENATE(Cool_Type," ",Heating_Type," Heat"),IF('Project Info and Summary'!$C$20="Non-Electric",CONCATENATE(Cool_Type," ",Heating_Type," Heat"),CONCATENATE(Cool_Type," ",Heating_Type))))))))</f>
        <v/>
      </c>
      <c r="N203" s="298" t="str">
        <f t="shared" si="15"/>
        <v/>
      </c>
      <c r="O203" s="298" t="str">
        <f>IF(B203="", "", 'Lighting Inventory (Ref only)'!G214)</f>
        <v/>
      </c>
      <c r="P203" s="298" t="str">
        <f>IF(B203="", "", 'Lighting Inventory (Ref only)'!E214)</f>
        <v/>
      </c>
      <c r="Q203" s="298" t="str">
        <f>IF(B203="", "", 'Lighting Inventory (Ref only)'!J214)</f>
        <v/>
      </c>
      <c r="R203" s="298" t="str">
        <f>IF(B203="", "",'Lighting Inventory (Ref only)'!K214)</f>
        <v/>
      </c>
      <c r="S203" s="372" t="str">
        <f>IF(B203="", "", 'Lighting Inventory (Ref only)'!G214*'Lighting Inventory (Ref only)'!K214/1000)</f>
        <v/>
      </c>
      <c r="T203" s="298" t="str">
        <f>IF(B203="", "", IF('Lighting Inventory (Ref only)'!I214="", "Light Switch",Inventory!H211))</f>
        <v/>
      </c>
      <c r="U203" s="298" t="str">
        <f>IF(B203="", "", 'Lighting Inventory (Ref only)'!Q214)</f>
        <v/>
      </c>
      <c r="V203" s="298" t="str">
        <f>IF(B203="", "", 'Lighting Inventory (Ref only)'!K214)</f>
        <v/>
      </c>
      <c r="W203" s="373" t="str">
        <f>IF(B203="","",('Lighting Inventory (Ref only)'!L214/1000))</f>
        <v/>
      </c>
      <c r="X203" s="298" t="str">
        <f>IF(B203="", "", 'Lighting Inventory (Ref only)'!Q214)</f>
        <v/>
      </c>
      <c r="Y203" s="298" t="str">
        <f>IF(C203="", "", Inventory!N211)</f>
        <v/>
      </c>
      <c r="Z203" s="374" t="str">
        <f>IF(B203="", "", 'Lighting Inventory (Ref only)'!P214)</f>
        <v/>
      </c>
      <c r="AA203" s="372" t="str">
        <f>IF(B203="", "",'Lighting Inventory (Ref only)'!R214/1000)</f>
        <v/>
      </c>
      <c r="AB203" s="372" t="str">
        <f>IF(B203="", "", Inventory!M211)</f>
        <v/>
      </c>
      <c r="AC203" s="374" t="str">
        <f>IF(B203="", "", 'Lighting Inventory (Ref only)'!T214)</f>
        <v/>
      </c>
      <c r="AD203" s="374" t="str">
        <f>IF(C203="", "", 'Lighting Inventory (Ref only)'!AA214)</f>
        <v/>
      </c>
      <c r="AE203" s="375" t="str">
        <f>IF(B203="", "", 'Lighting Inventory (Ref only)'!U214)</f>
        <v/>
      </c>
      <c r="AF203" s="375" t="str">
        <f>IF(B203="", "",'Lighting Inventory (Ref only)'!W214)</f>
        <v/>
      </c>
      <c r="AG203" s="375" t="str">
        <f>IF(B203="", "", 'Lighting Inventory (Ref only)'!V214)</f>
        <v/>
      </c>
      <c r="AH203" s="375" t="str">
        <f>IF(B203="", "",'Lighting Inventory (Ref only)'!Z214)</f>
        <v/>
      </c>
      <c r="AI203" s="375" t="str">
        <f>IF(B203="", "", 'Lighting Inventory (Ref only)'!Y214)</f>
        <v/>
      </c>
      <c r="AJ203" s="375" t="str">
        <f>IF(C203="", "",'Lighting Inventory (Ref only)'!AB214)</f>
        <v/>
      </c>
      <c r="AK203" s="375" t="str">
        <f>IF(B203="", "", 'Lighting Inventory (Ref only)'!AG214)</f>
        <v/>
      </c>
      <c r="AL203" s="375" t="str">
        <f>IF(B203="", "", 'Lighting Inventory (Ref only)'!AD214)</f>
        <v/>
      </c>
      <c r="AM203" s="375" t="str">
        <f>IF(B203="", "", 'Lighting Inventory (Ref only)'!AE214)</f>
        <v/>
      </c>
      <c r="AN203" s="375" t="str">
        <f>IF(B203="", "", 'Lighting Inventory (Ref only)'!AF214)</f>
        <v/>
      </c>
      <c r="AO203" s="375" t="str">
        <f>IF(B203="", "", 'Lighting Inventory (Ref only)'!AG214)</f>
        <v/>
      </c>
    </row>
    <row r="204" spans="1:41">
      <c r="A204" s="298" t="str">
        <f>IF(G204="", "", Lookups!BF206)</f>
        <v/>
      </c>
      <c r="B204" s="298" t="str">
        <f>IF('Lighting Inventory (Ref only)'!Q215="", "", 'Lighting Inventory (Ref only)'!Q215)</f>
        <v/>
      </c>
      <c r="C204" s="298" t="str">
        <f>IF(A204="", "", 'Lighting Inventory (Ref only)'!AO215)</f>
        <v/>
      </c>
      <c r="D204" s="370" t="str">
        <f>IF(B204= "","", Inventory!S212)</f>
        <v/>
      </c>
      <c r="E204" s="371"/>
      <c r="F204" s="298" t="str">
        <f>IF(B204="", "", 'Version Log'!$B$34)</f>
        <v/>
      </c>
      <c r="G204" s="298" t="str">
        <f t="shared" si="12"/>
        <v/>
      </c>
      <c r="H204" s="298" t="str">
        <f t="shared" si="13"/>
        <v/>
      </c>
      <c r="I204" s="298" t="str">
        <f>IF(B204="", "",Inventory!D212)</f>
        <v/>
      </c>
      <c r="J204" s="298" t="str">
        <f>IF(B204="","",IF(Inventory!C212="N","Interior","Exterior"))</f>
        <v/>
      </c>
      <c r="K204" s="298" t="str">
        <f t="shared" si="14"/>
        <v/>
      </c>
      <c r="L204" s="298" t="str">
        <f>IF(B204="", "", Inventory!E212)</f>
        <v/>
      </c>
      <c r="M204" s="298" t="str">
        <f>IF(B204="","",IF(Cool_Type=Lookups!$L$9,Cool_Type,IF(Cool_Type=Lookups!$L$10,Cool_Type,IF(Cool_Type=Lookups!$L$11,Cool_Type,IF(Cool_Type=Lookups!L214,Cool_Type,IF('Project Info and Summary'!$C$20="Electric",CONCATENATE(Cool_Type," ",Heating_Type," Heat"),IF('Project Info and Summary'!$C$20="Non-Electric",CONCATENATE(Cool_Type," ",Heating_Type," Heat"),CONCATENATE(Cool_Type," ",Heating_Type))))))))</f>
        <v/>
      </c>
      <c r="N204" s="298" t="str">
        <f t="shared" si="15"/>
        <v/>
      </c>
      <c r="O204" s="298" t="str">
        <f>IF(B204="", "", 'Lighting Inventory (Ref only)'!G215)</f>
        <v/>
      </c>
      <c r="P204" s="298" t="str">
        <f>IF(B204="", "", 'Lighting Inventory (Ref only)'!E215)</f>
        <v/>
      </c>
      <c r="Q204" s="298" t="str">
        <f>IF(B204="", "", 'Lighting Inventory (Ref only)'!J215)</f>
        <v/>
      </c>
      <c r="R204" s="298" t="str">
        <f>IF(B204="", "",'Lighting Inventory (Ref only)'!K215)</f>
        <v/>
      </c>
      <c r="S204" s="372" t="str">
        <f>IF(B204="", "", 'Lighting Inventory (Ref only)'!G215*'Lighting Inventory (Ref only)'!K215/1000)</f>
        <v/>
      </c>
      <c r="T204" s="298" t="str">
        <f>IF(B204="", "", IF('Lighting Inventory (Ref only)'!I215="", "Light Switch",Inventory!H212))</f>
        <v/>
      </c>
      <c r="U204" s="298" t="str">
        <f>IF(B204="", "", 'Lighting Inventory (Ref only)'!Q215)</f>
        <v/>
      </c>
      <c r="V204" s="298" t="str">
        <f>IF(B204="", "", 'Lighting Inventory (Ref only)'!K215)</f>
        <v/>
      </c>
      <c r="W204" s="373" t="str">
        <f>IF(B204="","",('Lighting Inventory (Ref only)'!L215/1000))</f>
        <v/>
      </c>
      <c r="X204" s="298" t="str">
        <f>IF(B204="", "", 'Lighting Inventory (Ref only)'!Q215)</f>
        <v/>
      </c>
      <c r="Y204" s="298" t="str">
        <f>IF(C204="", "", Inventory!N212)</f>
        <v/>
      </c>
      <c r="Z204" s="374" t="str">
        <f>IF(B204="", "", 'Lighting Inventory (Ref only)'!P215)</f>
        <v/>
      </c>
      <c r="AA204" s="372" t="str">
        <f>IF(B204="", "",'Lighting Inventory (Ref only)'!R215/1000)</f>
        <v/>
      </c>
      <c r="AB204" s="372" t="str">
        <f>IF(B204="", "", Inventory!M212)</f>
        <v/>
      </c>
      <c r="AC204" s="374" t="str">
        <f>IF(B204="", "", 'Lighting Inventory (Ref only)'!T215)</f>
        <v/>
      </c>
      <c r="AD204" s="374" t="str">
        <f>IF(C204="", "", 'Lighting Inventory (Ref only)'!AA215)</f>
        <v/>
      </c>
      <c r="AE204" s="375" t="str">
        <f>IF(B204="", "", 'Lighting Inventory (Ref only)'!U215)</f>
        <v/>
      </c>
      <c r="AF204" s="375" t="str">
        <f>IF(B204="", "",'Lighting Inventory (Ref only)'!W215)</f>
        <v/>
      </c>
      <c r="AG204" s="375" t="str">
        <f>IF(B204="", "", 'Lighting Inventory (Ref only)'!V215)</f>
        <v/>
      </c>
      <c r="AH204" s="375" t="str">
        <f>IF(B204="", "",'Lighting Inventory (Ref only)'!Z215)</f>
        <v/>
      </c>
      <c r="AI204" s="375" t="str">
        <f>IF(B204="", "", 'Lighting Inventory (Ref only)'!Y215)</f>
        <v/>
      </c>
      <c r="AJ204" s="375" t="str">
        <f>IF(C204="", "",'Lighting Inventory (Ref only)'!AB215)</f>
        <v/>
      </c>
      <c r="AK204" s="375" t="str">
        <f>IF(B204="", "", 'Lighting Inventory (Ref only)'!AG215)</f>
        <v/>
      </c>
      <c r="AL204" s="375" t="str">
        <f>IF(B204="", "", 'Lighting Inventory (Ref only)'!AD215)</f>
        <v/>
      </c>
      <c r="AM204" s="375" t="str">
        <f>IF(B204="", "", 'Lighting Inventory (Ref only)'!AE215)</f>
        <v/>
      </c>
      <c r="AN204" s="375" t="str">
        <f>IF(B204="", "", 'Lighting Inventory (Ref only)'!AF215)</f>
        <v/>
      </c>
      <c r="AO204" s="375" t="str">
        <f>IF(B204="", "", 'Lighting Inventory (Ref only)'!AG215)</f>
        <v/>
      </c>
    </row>
    <row r="205" spans="1:41">
      <c r="A205" s="298" t="str">
        <f>IF(G205="", "", Lookups!BF207)</f>
        <v/>
      </c>
      <c r="B205" s="298" t="str">
        <f>IF('Lighting Inventory (Ref only)'!Q216="", "", 'Lighting Inventory (Ref only)'!Q216)</f>
        <v/>
      </c>
      <c r="C205" s="298" t="str">
        <f>IF(A205="", "", 'Lighting Inventory (Ref only)'!AO216)</f>
        <v/>
      </c>
      <c r="D205" s="370" t="str">
        <f>IF(B205= "","", Inventory!S213)</f>
        <v/>
      </c>
      <c r="E205" s="371"/>
      <c r="F205" s="298" t="str">
        <f>IF(B205="", "", 'Version Log'!$B$34)</f>
        <v/>
      </c>
      <c r="G205" s="298" t="str">
        <f t="shared" si="12"/>
        <v/>
      </c>
      <c r="H205" s="298" t="str">
        <f t="shared" si="13"/>
        <v/>
      </c>
      <c r="I205" s="298" t="str">
        <f>IF(B205="", "",Inventory!D213)</f>
        <v/>
      </c>
      <c r="J205" s="298" t="str">
        <f>IF(B205="","",IF(Inventory!C213="N","Interior","Exterior"))</f>
        <v/>
      </c>
      <c r="K205" s="298" t="str">
        <f t="shared" si="14"/>
        <v/>
      </c>
      <c r="L205" s="298" t="str">
        <f>IF(B205="", "", Inventory!E213)</f>
        <v/>
      </c>
      <c r="M205" s="298" t="str">
        <f>IF(B205="","",IF(Cool_Type=Lookups!$L$9,Cool_Type,IF(Cool_Type=Lookups!$L$10,Cool_Type,IF(Cool_Type=Lookups!$L$11,Cool_Type,IF(Cool_Type=Lookups!L215,Cool_Type,IF('Project Info and Summary'!$C$20="Electric",CONCATENATE(Cool_Type," ",Heating_Type," Heat"),IF('Project Info and Summary'!$C$20="Non-Electric",CONCATENATE(Cool_Type," ",Heating_Type," Heat"),CONCATENATE(Cool_Type," ",Heating_Type))))))))</f>
        <v/>
      </c>
      <c r="N205" s="298" t="str">
        <f t="shared" si="15"/>
        <v/>
      </c>
      <c r="O205" s="298" t="str">
        <f>IF(B205="", "", 'Lighting Inventory (Ref only)'!G216)</f>
        <v/>
      </c>
      <c r="P205" s="298" t="str">
        <f>IF(B205="", "", 'Lighting Inventory (Ref only)'!E216)</f>
        <v/>
      </c>
      <c r="Q205" s="298" t="str">
        <f>IF(B205="", "", 'Lighting Inventory (Ref only)'!J216)</f>
        <v/>
      </c>
      <c r="R205" s="298" t="str">
        <f>IF(B205="", "",'Lighting Inventory (Ref only)'!K216)</f>
        <v/>
      </c>
      <c r="S205" s="372" t="str">
        <f>IF(B205="", "", 'Lighting Inventory (Ref only)'!G216*'Lighting Inventory (Ref only)'!K216/1000)</f>
        <v/>
      </c>
      <c r="T205" s="298" t="str">
        <f>IF(B205="", "", IF('Lighting Inventory (Ref only)'!I216="", "Light Switch",Inventory!H213))</f>
        <v/>
      </c>
      <c r="U205" s="298" t="str">
        <f>IF(B205="", "", 'Lighting Inventory (Ref only)'!Q216)</f>
        <v/>
      </c>
      <c r="V205" s="298" t="str">
        <f>IF(B205="", "", 'Lighting Inventory (Ref only)'!K216)</f>
        <v/>
      </c>
      <c r="W205" s="373" t="str">
        <f>IF(B205="","",('Lighting Inventory (Ref only)'!L216/1000))</f>
        <v/>
      </c>
      <c r="X205" s="298" t="str">
        <f>IF(B205="", "", 'Lighting Inventory (Ref only)'!Q216)</f>
        <v/>
      </c>
      <c r="Y205" s="298" t="str">
        <f>IF(C205="", "", Inventory!N213)</f>
        <v/>
      </c>
      <c r="Z205" s="374" t="str">
        <f>IF(B205="", "", 'Lighting Inventory (Ref only)'!P216)</f>
        <v/>
      </c>
      <c r="AA205" s="372" t="str">
        <f>IF(B205="", "",'Lighting Inventory (Ref only)'!R216/1000)</f>
        <v/>
      </c>
      <c r="AB205" s="372" t="str">
        <f>IF(B205="", "", Inventory!M213)</f>
        <v/>
      </c>
      <c r="AC205" s="374" t="str">
        <f>IF(B205="", "", 'Lighting Inventory (Ref only)'!T216)</f>
        <v/>
      </c>
      <c r="AD205" s="374" t="str">
        <f>IF(C205="", "", 'Lighting Inventory (Ref only)'!AA216)</f>
        <v/>
      </c>
      <c r="AE205" s="375" t="str">
        <f>IF(B205="", "", 'Lighting Inventory (Ref only)'!U216)</f>
        <v/>
      </c>
      <c r="AF205" s="375" t="str">
        <f>IF(B205="", "",'Lighting Inventory (Ref only)'!W216)</f>
        <v/>
      </c>
      <c r="AG205" s="375" t="str">
        <f>IF(B205="", "", 'Lighting Inventory (Ref only)'!V216)</f>
        <v/>
      </c>
      <c r="AH205" s="375" t="str">
        <f>IF(B205="", "",'Lighting Inventory (Ref only)'!Z216)</f>
        <v/>
      </c>
      <c r="AI205" s="375" t="str">
        <f>IF(B205="", "", 'Lighting Inventory (Ref only)'!Y216)</f>
        <v/>
      </c>
      <c r="AJ205" s="375" t="str">
        <f>IF(C205="", "",'Lighting Inventory (Ref only)'!AB216)</f>
        <v/>
      </c>
      <c r="AK205" s="375" t="str">
        <f>IF(B205="", "", 'Lighting Inventory (Ref only)'!AG216)</f>
        <v/>
      </c>
      <c r="AL205" s="375" t="str">
        <f>IF(B205="", "", 'Lighting Inventory (Ref only)'!AD216)</f>
        <v/>
      </c>
      <c r="AM205" s="375" t="str">
        <f>IF(B205="", "", 'Lighting Inventory (Ref only)'!AE216)</f>
        <v/>
      </c>
      <c r="AN205" s="375" t="str">
        <f>IF(B205="", "", 'Lighting Inventory (Ref only)'!AF216)</f>
        <v/>
      </c>
      <c r="AO205" s="375" t="str">
        <f>IF(B205="", "", 'Lighting Inventory (Ref only)'!AG216)</f>
        <v/>
      </c>
    </row>
    <row r="206" spans="1:41">
      <c r="A206" s="298" t="str">
        <f>IF(G206="", "", Lookups!BF208)</f>
        <v/>
      </c>
      <c r="B206" s="298" t="str">
        <f>IF('Lighting Inventory (Ref only)'!Q217="", "", 'Lighting Inventory (Ref only)'!Q217)</f>
        <v/>
      </c>
      <c r="C206" s="298" t="str">
        <f>IF(A206="", "", 'Lighting Inventory (Ref only)'!AO217)</f>
        <v/>
      </c>
      <c r="D206" s="370" t="str">
        <f>IF(B206= "","", Inventory!S214)</f>
        <v/>
      </c>
      <c r="E206" s="371"/>
      <c r="F206" s="298" t="str">
        <f>IF(B206="", "", 'Version Log'!$B$34)</f>
        <v/>
      </c>
      <c r="G206" s="298" t="str">
        <f t="shared" si="12"/>
        <v/>
      </c>
      <c r="H206" s="298" t="str">
        <f t="shared" si="13"/>
        <v/>
      </c>
      <c r="I206" s="298" t="str">
        <f>IF(B206="", "",Inventory!D214)</f>
        <v/>
      </c>
      <c r="J206" s="298" t="str">
        <f>IF(B206="","",IF(Inventory!C214="N","Interior","Exterior"))</f>
        <v/>
      </c>
      <c r="K206" s="298" t="str">
        <f t="shared" si="14"/>
        <v/>
      </c>
      <c r="L206" s="298" t="str">
        <f>IF(B206="", "", Inventory!E214)</f>
        <v/>
      </c>
      <c r="M206" s="298" t="str">
        <f>IF(B206="","",IF(Cool_Type=Lookups!$L$9,Cool_Type,IF(Cool_Type=Lookups!$L$10,Cool_Type,IF(Cool_Type=Lookups!$L$11,Cool_Type,IF(Cool_Type=Lookups!L216,Cool_Type,IF('Project Info and Summary'!$C$20="Electric",CONCATENATE(Cool_Type," ",Heating_Type," Heat"),IF('Project Info and Summary'!$C$20="Non-Electric",CONCATENATE(Cool_Type," ",Heating_Type," Heat"),CONCATENATE(Cool_Type," ",Heating_Type))))))))</f>
        <v/>
      </c>
      <c r="N206" s="298" t="str">
        <f t="shared" si="15"/>
        <v/>
      </c>
      <c r="O206" s="298" t="str">
        <f>IF(B206="", "", 'Lighting Inventory (Ref only)'!G217)</f>
        <v/>
      </c>
      <c r="P206" s="298" t="str">
        <f>IF(B206="", "", 'Lighting Inventory (Ref only)'!E217)</f>
        <v/>
      </c>
      <c r="Q206" s="298" t="str">
        <f>IF(B206="", "", 'Lighting Inventory (Ref only)'!J217)</f>
        <v/>
      </c>
      <c r="R206" s="298" t="str">
        <f>IF(B206="", "",'Lighting Inventory (Ref only)'!K217)</f>
        <v/>
      </c>
      <c r="S206" s="372" t="str">
        <f>IF(B206="", "", 'Lighting Inventory (Ref only)'!G217*'Lighting Inventory (Ref only)'!K217/1000)</f>
        <v/>
      </c>
      <c r="T206" s="298" t="str">
        <f>IF(B206="", "", IF('Lighting Inventory (Ref only)'!I217="", "Light Switch",Inventory!H214))</f>
        <v/>
      </c>
      <c r="U206" s="298" t="str">
        <f>IF(B206="", "", 'Lighting Inventory (Ref only)'!Q217)</f>
        <v/>
      </c>
      <c r="V206" s="298" t="str">
        <f>IF(B206="", "", 'Lighting Inventory (Ref only)'!K217)</f>
        <v/>
      </c>
      <c r="W206" s="373" t="str">
        <f>IF(B206="","",('Lighting Inventory (Ref only)'!L217/1000))</f>
        <v/>
      </c>
      <c r="X206" s="298" t="str">
        <f>IF(B206="", "", 'Lighting Inventory (Ref only)'!Q217)</f>
        <v/>
      </c>
      <c r="Y206" s="298" t="str">
        <f>IF(C206="", "", Inventory!N214)</f>
        <v/>
      </c>
      <c r="Z206" s="374" t="str">
        <f>IF(B206="", "", 'Lighting Inventory (Ref only)'!P217)</f>
        <v/>
      </c>
      <c r="AA206" s="372" t="str">
        <f>IF(B206="", "",'Lighting Inventory (Ref only)'!R217/1000)</f>
        <v/>
      </c>
      <c r="AB206" s="372" t="str">
        <f>IF(B206="", "", Inventory!M214)</f>
        <v/>
      </c>
      <c r="AC206" s="374" t="str">
        <f>IF(B206="", "", 'Lighting Inventory (Ref only)'!T217)</f>
        <v/>
      </c>
      <c r="AD206" s="374" t="str">
        <f>IF(C206="", "", 'Lighting Inventory (Ref only)'!AA217)</f>
        <v/>
      </c>
      <c r="AE206" s="375" t="str">
        <f>IF(B206="", "", 'Lighting Inventory (Ref only)'!U217)</f>
        <v/>
      </c>
      <c r="AF206" s="375" t="str">
        <f>IF(B206="", "",'Lighting Inventory (Ref only)'!W217)</f>
        <v/>
      </c>
      <c r="AG206" s="375" t="str">
        <f>IF(B206="", "", 'Lighting Inventory (Ref only)'!V217)</f>
        <v/>
      </c>
      <c r="AH206" s="375" t="str">
        <f>IF(B206="", "",'Lighting Inventory (Ref only)'!Z217)</f>
        <v/>
      </c>
      <c r="AI206" s="375" t="str">
        <f>IF(B206="", "", 'Lighting Inventory (Ref only)'!Y217)</f>
        <v/>
      </c>
      <c r="AJ206" s="375" t="str">
        <f>IF(C206="", "",'Lighting Inventory (Ref only)'!AB217)</f>
        <v/>
      </c>
      <c r="AK206" s="375" t="str">
        <f>IF(B206="", "", 'Lighting Inventory (Ref only)'!AG217)</f>
        <v/>
      </c>
      <c r="AL206" s="375" t="str">
        <f>IF(B206="", "", 'Lighting Inventory (Ref only)'!AD217)</f>
        <v/>
      </c>
      <c r="AM206" s="375" t="str">
        <f>IF(B206="", "", 'Lighting Inventory (Ref only)'!AE217)</f>
        <v/>
      </c>
      <c r="AN206" s="375" t="str">
        <f>IF(B206="", "", 'Lighting Inventory (Ref only)'!AF217)</f>
        <v/>
      </c>
      <c r="AO206" s="375" t="str">
        <f>IF(B206="", "", 'Lighting Inventory (Ref only)'!AG217)</f>
        <v/>
      </c>
    </row>
    <row r="207" spans="1:41">
      <c r="A207" s="298" t="str">
        <f>IF(G207="", "", Lookups!BF209)</f>
        <v/>
      </c>
      <c r="B207" s="298" t="str">
        <f>IF('Lighting Inventory (Ref only)'!Q218="", "", 'Lighting Inventory (Ref only)'!Q218)</f>
        <v/>
      </c>
      <c r="C207" s="298" t="str">
        <f>IF(A207="", "", 'Lighting Inventory (Ref only)'!AO218)</f>
        <v/>
      </c>
      <c r="D207" s="370" t="str">
        <f>IF(B207= "","", Inventory!S215)</f>
        <v/>
      </c>
      <c r="E207" s="371"/>
      <c r="F207" s="298" t="str">
        <f>IF(B207="", "", 'Version Log'!$B$34)</f>
        <v/>
      </c>
      <c r="G207" s="298" t="str">
        <f t="shared" si="12"/>
        <v/>
      </c>
      <c r="H207" s="298" t="str">
        <f t="shared" si="13"/>
        <v/>
      </c>
      <c r="I207" s="298" t="str">
        <f>IF(B207="", "",Inventory!D215)</f>
        <v/>
      </c>
      <c r="J207" s="298" t="str">
        <f>IF(B207="","",IF(Inventory!C215="N","Interior","Exterior"))</f>
        <v/>
      </c>
      <c r="K207" s="298" t="str">
        <f t="shared" si="14"/>
        <v/>
      </c>
      <c r="L207" s="298" t="str">
        <f>IF(B207="", "", Inventory!E215)</f>
        <v/>
      </c>
      <c r="M207" s="298" t="str">
        <f>IF(B207="","",IF(Cool_Type=Lookups!$L$9,Cool_Type,IF(Cool_Type=Lookups!$L$10,Cool_Type,IF(Cool_Type=Lookups!$L$11,Cool_Type,IF(Cool_Type=Lookups!L217,Cool_Type,IF('Project Info and Summary'!$C$20="Electric",CONCATENATE(Cool_Type," ",Heating_Type," Heat"),IF('Project Info and Summary'!$C$20="Non-Electric",CONCATENATE(Cool_Type," ",Heating_Type," Heat"),CONCATENATE(Cool_Type," ",Heating_Type))))))))</f>
        <v/>
      </c>
      <c r="N207" s="298" t="str">
        <f t="shared" si="15"/>
        <v/>
      </c>
      <c r="O207" s="298" t="str">
        <f>IF(B207="", "", 'Lighting Inventory (Ref only)'!G218)</f>
        <v/>
      </c>
      <c r="P207" s="298" t="str">
        <f>IF(B207="", "", 'Lighting Inventory (Ref only)'!E218)</f>
        <v/>
      </c>
      <c r="Q207" s="298" t="str">
        <f>IF(B207="", "", 'Lighting Inventory (Ref only)'!J218)</f>
        <v/>
      </c>
      <c r="R207" s="298" t="str">
        <f>IF(B207="", "",'Lighting Inventory (Ref only)'!K218)</f>
        <v/>
      </c>
      <c r="S207" s="372" t="str">
        <f>IF(B207="", "", 'Lighting Inventory (Ref only)'!G218*'Lighting Inventory (Ref only)'!K218/1000)</f>
        <v/>
      </c>
      <c r="T207" s="298" t="str">
        <f>IF(B207="", "", IF('Lighting Inventory (Ref only)'!I218="", "Light Switch",Inventory!H215))</f>
        <v/>
      </c>
      <c r="U207" s="298" t="str">
        <f>IF(B207="", "", 'Lighting Inventory (Ref only)'!Q218)</f>
        <v/>
      </c>
      <c r="V207" s="298" t="str">
        <f>IF(B207="", "", 'Lighting Inventory (Ref only)'!K218)</f>
        <v/>
      </c>
      <c r="W207" s="373" t="str">
        <f>IF(B207="","",('Lighting Inventory (Ref only)'!L218/1000))</f>
        <v/>
      </c>
      <c r="X207" s="298" t="str">
        <f>IF(B207="", "", 'Lighting Inventory (Ref only)'!Q218)</f>
        <v/>
      </c>
      <c r="Y207" s="298" t="str">
        <f>IF(C207="", "", Inventory!N215)</f>
        <v/>
      </c>
      <c r="Z207" s="374" t="str">
        <f>IF(B207="", "", 'Lighting Inventory (Ref only)'!P218)</f>
        <v/>
      </c>
      <c r="AA207" s="372" t="str">
        <f>IF(B207="", "",'Lighting Inventory (Ref only)'!R218/1000)</f>
        <v/>
      </c>
      <c r="AB207" s="372" t="str">
        <f>IF(B207="", "", Inventory!M215)</f>
        <v/>
      </c>
      <c r="AC207" s="374" t="str">
        <f>IF(B207="", "", 'Lighting Inventory (Ref only)'!T218)</f>
        <v/>
      </c>
      <c r="AD207" s="374" t="str">
        <f>IF(C207="", "", 'Lighting Inventory (Ref only)'!AA218)</f>
        <v/>
      </c>
      <c r="AE207" s="375" t="str">
        <f>IF(B207="", "", 'Lighting Inventory (Ref only)'!U218)</f>
        <v/>
      </c>
      <c r="AF207" s="375" t="str">
        <f>IF(B207="", "",'Lighting Inventory (Ref only)'!W218)</f>
        <v/>
      </c>
      <c r="AG207" s="375" t="str">
        <f>IF(B207="", "", 'Lighting Inventory (Ref only)'!V218)</f>
        <v/>
      </c>
      <c r="AH207" s="375" t="str">
        <f>IF(B207="", "",'Lighting Inventory (Ref only)'!Z218)</f>
        <v/>
      </c>
      <c r="AI207" s="375" t="str">
        <f>IF(B207="", "", 'Lighting Inventory (Ref only)'!Y218)</f>
        <v/>
      </c>
      <c r="AJ207" s="375" t="str">
        <f>IF(C207="", "",'Lighting Inventory (Ref only)'!AB218)</f>
        <v/>
      </c>
      <c r="AK207" s="375" t="str">
        <f>IF(B207="", "", 'Lighting Inventory (Ref only)'!AG218)</f>
        <v/>
      </c>
      <c r="AL207" s="375" t="str">
        <f>IF(B207="", "", 'Lighting Inventory (Ref only)'!AD218)</f>
        <v/>
      </c>
      <c r="AM207" s="375" t="str">
        <f>IF(B207="", "", 'Lighting Inventory (Ref only)'!AE218)</f>
        <v/>
      </c>
      <c r="AN207" s="375" t="str">
        <f>IF(B207="", "", 'Lighting Inventory (Ref only)'!AF218)</f>
        <v/>
      </c>
      <c r="AO207" s="375" t="str">
        <f>IF(B207="", "", 'Lighting Inventory (Ref only)'!AG218)</f>
        <v/>
      </c>
    </row>
    <row r="208" spans="1:41">
      <c r="A208" s="298" t="str">
        <f>IF(G208="", "", Lookups!BF210)</f>
        <v/>
      </c>
      <c r="B208" s="298" t="str">
        <f>IF('Lighting Inventory (Ref only)'!Q219="", "", 'Lighting Inventory (Ref only)'!Q219)</f>
        <v/>
      </c>
      <c r="C208" s="298" t="str">
        <f>IF(A208="", "", 'Lighting Inventory (Ref only)'!AO219)</f>
        <v/>
      </c>
      <c r="D208" s="370" t="str">
        <f>IF(B208= "","", Inventory!S216)</f>
        <v/>
      </c>
      <c r="E208" s="371"/>
      <c r="F208" s="298" t="str">
        <f>IF(B208="", "", 'Version Log'!$B$34)</f>
        <v/>
      </c>
      <c r="G208" s="298" t="str">
        <f t="shared" si="12"/>
        <v/>
      </c>
      <c r="H208" s="298" t="str">
        <f t="shared" si="13"/>
        <v/>
      </c>
      <c r="I208" s="298" t="str">
        <f>IF(B208="", "",Inventory!D216)</f>
        <v/>
      </c>
      <c r="J208" s="298" t="str">
        <f>IF(B208="","",IF(Inventory!C216="N","Interior","Exterior"))</f>
        <v/>
      </c>
      <c r="K208" s="298" t="str">
        <f t="shared" si="14"/>
        <v/>
      </c>
      <c r="L208" s="298" t="str">
        <f>IF(B208="", "", Inventory!E216)</f>
        <v/>
      </c>
      <c r="M208" s="298" t="str">
        <f>IF(B208="","",IF(Cool_Type=Lookups!$L$9,Cool_Type,IF(Cool_Type=Lookups!$L$10,Cool_Type,IF(Cool_Type=Lookups!$L$11,Cool_Type,IF(Cool_Type=Lookups!L218,Cool_Type,IF('Project Info and Summary'!$C$20="Electric",CONCATENATE(Cool_Type," ",Heating_Type," Heat"),IF('Project Info and Summary'!$C$20="Non-Electric",CONCATENATE(Cool_Type," ",Heating_Type," Heat"),CONCATENATE(Cool_Type," ",Heating_Type))))))))</f>
        <v/>
      </c>
      <c r="N208" s="298" t="str">
        <f t="shared" si="15"/>
        <v/>
      </c>
      <c r="O208" s="298" t="str">
        <f>IF(B208="", "", 'Lighting Inventory (Ref only)'!G219)</f>
        <v/>
      </c>
      <c r="P208" s="298" t="str">
        <f>IF(B208="", "", 'Lighting Inventory (Ref only)'!E219)</f>
        <v/>
      </c>
      <c r="Q208" s="298" t="str">
        <f>IF(B208="", "", 'Lighting Inventory (Ref only)'!J219)</f>
        <v/>
      </c>
      <c r="R208" s="298" t="str">
        <f>IF(B208="", "",'Lighting Inventory (Ref only)'!K219)</f>
        <v/>
      </c>
      <c r="S208" s="372" t="str">
        <f>IF(B208="", "", 'Lighting Inventory (Ref only)'!G219*'Lighting Inventory (Ref only)'!K219/1000)</f>
        <v/>
      </c>
      <c r="T208" s="298" t="str">
        <f>IF(B208="", "", IF('Lighting Inventory (Ref only)'!I219="", "Light Switch",Inventory!H216))</f>
        <v/>
      </c>
      <c r="U208" s="298" t="str">
        <f>IF(B208="", "", 'Lighting Inventory (Ref only)'!Q219)</f>
        <v/>
      </c>
      <c r="V208" s="298" t="str">
        <f>IF(B208="", "", 'Lighting Inventory (Ref only)'!K219)</f>
        <v/>
      </c>
      <c r="W208" s="373" t="str">
        <f>IF(B208="","",('Lighting Inventory (Ref only)'!L219/1000))</f>
        <v/>
      </c>
      <c r="X208" s="298" t="str">
        <f>IF(B208="", "", 'Lighting Inventory (Ref only)'!Q219)</f>
        <v/>
      </c>
      <c r="Y208" s="298" t="str">
        <f>IF(C208="", "", Inventory!N216)</f>
        <v/>
      </c>
      <c r="Z208" s="374" t="str">
        <f>IF(B208="", "", 'Lighting Inventory (Ref only)'!P219)</f>
        <v/>
      </c>
      <c r="AA208" s="372" t="str">
        <f>IF(B208="", "",'Lighting Inventory (Ref only)'!R219/1000)</f>
        <v/>
      </c>
      <c r="AB208" s="372" t="str">
        <f>IF(B208="", "", Inventory!M216)</f>
        <v/>
      </c>
      <c r="AC208" s="374" t="str">
        <f>IF(B208="", "", 'Lighting Inventory (Ref only)'!T219)</f>
        <v/>
      </c>
      <c r="AD208" s="374" t="str">
        <f>IF(C208="", "", 'Lighting Inventory (Ref only)'!AA219)</f>
        <v/>
      </c>
      <c r="AE208" s="375" t="str">
        <f>IF(B208="", "", 'Lighting Inventory (Ref only)'!U219)</f>
        <v/>
      </c>
      <c r="AF208" s="375" t="str">
        <f>IF(B208="", "",'Lighting Inventory (Ref only)'!W219)</f>
        <v/>
      </c>
      <c r="AG208" s="375" t="str">
        <f>IF(B208="", "", 'Lighting Inventory (Ref only)'!V219)</f>
        <v/>
      </c>
      <c r="AH208" s="375" t="str">
        <f>IF(B208="", "",'Lighting Inventory (Ref only)'!Z219)</f>
        <v/>
      </c>
      <c r="AI208" s="375" t="str">
        <f>IF(B208="", "", 'Lighting Inventory (Ref only)'!Y219)</f>
        <v/>
      </c>
      <c r="AJ208" s="375" t="str">
        <f>IF(C208="", "",'Lighting Inventory (Ref only)'!AB219)</f>
        <v/>
      </c>
      <c r="AK208" s="375" t="str">
        <f>IF(B208="", "", 'Lighting Inventory (Ref only)'!AG219)</f>
        <v/>
      </c>
      <c r="AL208" s="375" t="str">
        <f>IF(B208="", "", 'Lighting Inventory (Ref only)'!AD219)</f>
        <v/>
      </c>
      <c r="AM208" s="375" t="str">
        <f>IF(B208="", "", 'Lighting Inventory (Ref only)'!AE219)</f>
        <v/>
      </c>
      <c r="AN208" s="375" t="str">
        <f>IF(B208="", "", 'Lighting Inventory (Ref only)'!AF219)</f>
        <v/>
      </c>
      <c r="AO208" s="375" t="str">
        <f>IF(B208="", "", 'Lighting Inventory (Ref only)'!AG219)</f>
        <v/>
      </c>
    </row>
    <row r="209" spans="1:41">
      <c r="A209" s="298" t="str">
        <f>IF(G209="", "", Lookups!BF211)</f>
        <v/>
      </c>
      <c r="B209" s="298" t="str">
        <f>IF('Lighting Inventory (Ref only)'!Q220="", "", 'Lighting Inventory (Ref only)'!Q220)</f>
        <v/>
      </c>
      <c r="C209" s="298" t="str">
        <f>IF(A209="", "", 'Lighting Inventory (Ref only)'!AO220)</f>
        <v/>
      </c>
      <c r="D209" s="370" t="str">
        <f>IF(B209= "","", Inventory!S217)</f>
        <v/>
      </c>
      <c r="E209" s="371"/>
      <c r="F209" s="298" t="str">
        <f>IF(B209="", "", 'Version Log'!$B$34)</f>
        <v/>
      </c>
      <c r="G209" s="298" t="str">
        <f t="shared" si="12"/>
        <v/>
      </c>
      <c r="H209" s="298" t="str">
        <f t="shared" si="13"/>
        <v/>
      </c>
      <c r="I209" s="298" t="str">
        <f>IF(B209="", "",Inventory!D217)</f>
        <v/>
      </c>
      <c r="J209" s="298" t="str">
        <f>IF(B209="","",IF(Inventory!C217="N","Interior","Exterior"))</f>
        <v/>
      </c>
      <c r="K209" s="298" t="str">
        <f t="shared" si="14"/>
        <v/>
      </c>
      <c r="L209" s="298" t="str">
        <f>IF(B209="", "", Inventory!E217)</f>
        <v/>
      </c>
      <c r="M209" s="298" t="str">
        <f>IF(B209="","",IF(Cool_Type=Lookups!$L$9,Cool_Type,IF(Cool_Type=Lookups!$L$10,Cool_Type,IF(Cool_Type=Lookups!$L$11,Cool_Type,IF(Cool_Type=Lookups!L219,Cool_Type,IF('Project Info and Summary'!$C$20="Electric",CONCATENATE(Cool_Type," ",Heating_Type," Heat"),IF('Project Info and Summary'!$C$20="Non-Electric",CONCATENATE(Cool_Type," ",Heating_Type," Heat"),CONCATENATE(Cool_Type," ",Heating_Type))))))))</f>
        <v/>
      </c>
      <c r="N209" s="298" t="str">
        <f t="shared" si="15"/>
        <v/>
      </c>
      <c r="O209" s="298" t="str">
        <f>IF(B209="", "", 'Lighting Inventory (Ref only)'!G220)</f>
        <v/>
      </c>
      <c r="P209" s="298" t="str">
        <f>IF(B209="", "", 'Lighting Inventory (Ref only)'!E220)</f>
        <v/>
      </c>
      <c r="Q209" s="298" t="str">
        <f>IF(B209="", "", 'Lighting Inventory (Ref only)'!J220)</f>
        <v/>
      </c>
      <c r="R209" s="298" t="str">
        <f>IF(B209="", "",'Lighting Inventory (Ref only)'!K220)</f>
        <v/>
      </c>
      <c r="S209" s="372" t="str">
        <f>IF(B209="", "", 'Lighting Inventory (Ref only)'!G220*'Lighting Inventory (Ref only)'!K220/1000)</f>
        <v/>
      </c>
      <c r="T209" s="298" t="str">
        <f>IF(B209="", "", IF('Lighting Inventory (Ref only)'!I220="", "Light Switch",Inventory!H217))</f>
        <v/>
      </c>
      <c r="U209" s="298" t="str">
        <f>IF(B209="", "", 'Lighting Inventory (Ref only)'!Q220)</f>
        <v/>
      </c>
      <c r="V209" s="298" t="str">
        <f>IF(B209="", "", 'Lighting Inventory (Ref only)'!K220)</f>
        <v/>
      </c>
      <c r="W209" s="373" t="str">
        <f>IF(B209="","",('Lighting Inventory (Ref only)'!L220/1000))</f>
        <v/>
      </c>
      <c r="X209" s="298" t="str">
        <f>IF(B209="", "", 'Lighting Inventory (Ref only)'!Q220)</f>
        <v/>
      </c>
      <c r="Y209" s="298" t="str">
        <f>IF(C209="", "", Inventory!N217)</f>
        <v/>
      </c>
      <c r="Z209" s="374" t="str">
        <f>IF(B209="", "", 'Lighting Inventory (Ref only)'!P220)</f>
        <v/>
      </c>
      <c r="AA209" s="372" t="str">
        <f>IF(B209="", "",'Lighting Inventory (Ref only)'!R220/1000)</f>
        <v/>
      </c>
      <c r="AB209" s="372" t="str">
        <f>IF(B209="", "", Inventory!M217)</f>
        <v/>
      </c>
      <c r="AC209" s="374" t="str">
        <f>IF(B209="", "", 'Lighting Inventory (Ref only)'!T220)</f>
        <v/>
      </c>
      <c r="AD209" s="374" t="str">
        <f>IF(C209="", "", 'Lighting Inventory (Ref only)'!AA220)</f>
        <v/>
      </c>
      <c r="AE209" s="375" t="str">
        <f>IF(B209="", "", 'Lighting Inventory (Ref only)'!U220)</f>
        <v/>
      </c>
      <c r="AF209" s="375" t="str">
        <f>IF(B209="", "",'Lighting Inventory (Ref only)'!W220)</f>
        <v/>
      </c>
      <c r="AG209" s="375" t="str">
        <f>IF(B209="", "", 'Lighting Inventory (Ref only)'!V220)</f>
        <v/>
      </c>
      <c r="AH209" s="375" t="str">
        <f>IF(B209="", "",'Lighting Inventory (Ref only)'!Z220)</f>
        <v/>
      </c>
      <c r="AI209" s="375" t="str">
        <f>IF(B209="", "", 'Lighting Inventory (Ref only)'!Y220)</f>
        <v/>
      </c>
      <c r="AJ209" s="375" t="str">
        <f>IF(C209="", "",'Lighting Inventory (Ref only)'!AB220)</f>
        <v/>
      </c>
      <c r="AK209" s="375" t="str">
        <f>IF(B209="", "", 'Lighting Inventory (Ref only)'!AG220)</f>
        <v/>
      </c>
      <c r="AL209" s="375" t="str">
        <f>IF(B209="", "", 'Lighting Inventory (Ref only)'!AD220)</f>
        <v/>
      </c>
      <c r="AM209" s="375" t="str">
        <f>IF(B209="", "", 'Lighting Inventory (Ref only)'!AE220)</f>
        <v/>
      </c>
      <c r="AN209" s="375" t="str">
        <f>IF(B209="", "", 'Lighting Inventory (Ref only)'!AF220)</f>
        <v/>
      </c>
      <c r="AO209" s="375" t="str">
        <f>IF(B209="", "", 'Lighting Inventory (Ref only)'!AG220)</f>
        <v/>
      </c>
    </row>
    <row r="210" spans="1:41">
      <c r="A210" s="298" t="str">
        <f>IF(G210="", "", Lookups!BF212)</f>
        <v/>
      </c>
      <c r="B210" s="298" t="str">
        <f>IF('Lighting Inventory (Ref only)'!Q221="", "", 'Lighting Inventory (Ref only)'!Q221)</f>
        <v/>
      </c>
      <c r="C210" s="298" t="str">
        <f>IF(A210="", "", 'Lighting Inventory (Ref only)'!AO221)</f>
        <v/>
      </c>
      <c r="D210" s="370" t="str">
        <f>IF(B210= "","", Inventory!S218)</f>
        <v/>
      </c>
      <c r="E210" s="371"/>
      <c r="F210" s="298" t="str">
        <f>IF(B210="", "", 'Version Log'!$B$34)</f>
        <v/>
      </c>
      <c r="G210" s="298" t="str">
        <f t="shared" si="12"/>
        <v/>
      </c>
      <c r="H210" s="298" t="str">
        <f t="shared" si="13"/>
        <v/>
      </c>
      <c r="I210" s="298" t="str">
        <f>IF(B210="", "",Inventory!D218)</f>
        <v/>
      </c>
      <c r="J210" s="298" t="str">
        <f>IF(B210="","",IF(Inventory!C218="N","Interior","Exterior"))</f>
        <v/>
      </c>
      <c r="K210" s="298" t="str">
        <f t="shared" si="14"/>
        <v/>
      </c>
      <c r="L210" s="298" t="str">
        <f>IF(B210="", "", Inventory!E218)</f>
        <v/>
      </c>
      <c r="M210" s="298" t="str">
        <f>IF(B210="","",IF(Cool_Type=Lookups!$L$9,Cool_Type,IF(Cool_Type=Lookups!$L$10,Cool_Type,IF(Cool_Type=Lookups!$L$11,Cool_Type,IF(Cool_Type=Lookups!L220,Cool_Type,IF('Project Info and Summary'!$C$20="Electric",CONCATENATE(Cool_Type," ",Heating_Type," Heat"),IF('Project Info and Summary'!$C$20="Non-Electric",CONCATENATE(Cool_Type," ",Heating_Type," Heat"),CONCATENATE(Cool_Type," ",Heating_Type))))))))</f>
        <v/>
      </c>
      <c r="N210" s="298" t="str">
        <f t="shared" si="15"/>
        <v/>
      </c>
      <c r="O210" s="298" t="str">
        <f>IF(B210="", "", 'Lighting Inventory (Ref only)'!G221)</f>
        <v/>
      </c>
      <c r="P210" s="298" t="str">
        <f>IF(B210="", "", 'Lighting Inventory (Ref only)'!E221)</f>
        <v/>
      </c>
      <c r="Q210" s="298" t="str">
        <f>IF(B210="", "", 'Lighting Inventory (Ref only)'!J221)</f>
        <v/>
      </c>
      <c r="R210" s="298" t="str">
        <f>IF(B210="", "",'Lighting Inventory (Ref only)'!K221)</f>
        <v/>
      </c>
      <c r="S210" s="372" t="str">
        <f>IF(B210="", "", 'Lighting Inventory (Ref only)'!G221*'Lighting Inventory (Ref only)'!K221/1000)</f>
        <v/>
      </c>
      <c r="T210" s="298" t="str">
        <f>IF(B210="", "", IF('Lighting Inventory (Ref only)'!I221="", "Light Switch",Inventory!H218))</f>
        <v/>
      </c>
      <c r="U210" s="298" t="str">
        <f>IF(B210="", "", 'Lighting Inventory (Ref only)'!Q221)</f>
        <v/>
      </c>
      <c r="V210" s="298" t="str">
        <f>IF(B210="", "", 'Lighting Inventory (Ref only)'!K221)</f>
        <v/>
      </c>
      <c r="W210" s="373" t="str">
        <f>IF(B210="","",('Lighting Inventory (Ref only)'!L221/1000))</f>
        <v/>
      </c>
      <c r="X210" s="298" t="str">
        <f>IF(B210="", "", 'Lighting Inventory (Ref only)'!Q221)</f>
        <v/>
      </c>
      <c r="Y210" s="298" t="str">
        <f>IF(C210="", "", Inventory!N218)</f>
        <v/>
      </c>
      <c r="Z210" s="374" t="str">
        <f>IF(B210="", "", 'Lighting Inventory (Ref only)'!P221)</f>
        <v/>
      </c>
      <c r="AA210" s="372" t="str">
        <f>IF(B210="", "",'Lighting Inventory (Ref only)'!R221/1000)</f>
        <v/>
      </c>
      <c r="AB210" s="372" t="str">
        <f>IF(B210="", "", Inventory!M218)</f>
        <v/>
      </c>
      <c r="AC210" s="374" t="str">
        <f>IF(B210="", "", 'Lighting Inventory (Ref only)'!T221)</f>
        <v/>
      </c>
      <c r="AD210" s="374" t="str">
        <f>IF(C210="", "", 'Lighting Inventory (Ref only)'!AA221)</f>
        <v/>
      </c>
      <c r="AE210" s="375" t="str">
        <f>IF(B210="", "", 'Lighting Inventory (Ref only)'!U221)</f>
        <v/>
      </c>
      <c r="AF210" s="375" t="str">
        <f>IF(B210="", "",'Lighting Inventory (Ref only)'!W221)</f>
        <v/>
      </c>
      <c r="AG210" s="375" t="str">
        <f>IF(B210="", "", 'Lighting Inventory (Ref only)'!V221)</f>
        <v/>
      </c>
      <c r="AH210" s="375" t="str">
        <f>IF(B210="", "",'Lighting Inventory (Ref only)'!Z221)</f>
        <v/>
      </c>
      <c r="AI210" s="375" t="str">
        <f>IF(B210="", "", 'Lighting Inventory (Ref only)'!Y221)</f>
        <v/>
      </c>
      <c r="AJ210" s="375" t="str">
        <f>IF(C210="", "",'Lighting Inventory (Ref only)'!AB221)</f>
        <v/>
      </c>
      <c r="AK210" s="375" t="str">
        <f>IF(B210="", "", 'Lighting Inventory (Ref only)'!AG221)</f>
        <v/>
      </c>
      <c r="AL210" s="375" t="str">
        <f>IF(B210="", "", 'Lighting Inventory (Ref only)'!AD221)</f>
        <v/>
      </c>
      <c r="AM210" s="375" t="str">
        <f>IF(B210="", "", 'Lighting Inventory (Ref only)'!AE221)</f>
        <v/>
      </c>
      <c r="AN210" s="375" t="str">
        <f>IF(B210="", "", 'Lighting Inventory (Ref only)'!AF221)</f>
        <v/>
      </c>
      <c r="AO210" s="375" t="str">
        <f>IF(B210="", "", 'Lighting Inventory (Ref only)'!AG221)</f>
        <v/>
      </c>
    </row>
    <row r="211" spans="1:41">
      <c r="A211" s="298" t="str">
        <f>IF(G211="", "", Lookups!BF213)</f>
        <v/>
      </c>
      <c r="B211" s="298" t="str">
        <f>IF('Lighting Inventory (Ref only)'!Q222="", "", 'Lighting Inventory (Ref only)'!Q222)</f>
        <v/>
      </c>
      <c r="C211" s="298" t="str">
        <f>IF(A211="", "", 'Lighting Inventory (Ref only)'!AO222)</f>
        <v/>
      </c>
      <c r="D211" s="370" t="str">
        <f>IF(B211= "","", Inventory!S219)</f>
        <v/>
      </c>
      <c r="E211" s="371"/>
      <c r="F211" s="298" t="str">
        <f>IF(B211="", "", 'Version Log'!$B$34)</f>
        <v/>
      </c>
      <c r="G211" s="298" t="str">
        <f t="shared" si="12"/>
        <v/>
      </c>
      <c r="H211" s="298" t="str">
        <f t="shared" si="13"/>
        <v/>
      </c>
      <c r="I211" s="298" t="str">
        <f>IF(B211="", "",Inventory!D219)</f>
        <v/>
      </c>
      <c r="J211" s="298" t="str">
        <f>IF(B211="","",IF(Inventory!C219="N","Interior","Exterior"))</f>
        <v/>
      </c>
      <c r="K211" s="298" t="str">
        <f t="shared" si="14"/>
        <v/>
      </c>
      <c r="L211" s="298" t="str">
        <f>IF(B211="", "", Inventory!E219)</f>
        <v/>
      </c>
      <c r="M211" s="298" t="str">
        <f>IF(B211="","",IF(Cool_Type=Lookups!$L$9,Cool_Type,IF(Cool_Type=Lookups!$L$10,Cool_Type,IF(Cool_Type=Lookups!$L$11,Cool_Type,IF(Cool_Type=Lookups!L221,Cool_Type,IF('Project Info and Summary'!$C$20="Electric",CONCATENATE(Cool_Type," ",Heating_Type," Heat"),IF('Project Info and Summary'!$C$20="Non-Electric",CONCATENATE(Cool_Type," ",Heating_Type," Heat"),CONCATENATE(Cool_Type," ",Heating_Type))))))))</f>
        <v/>
      </c>
      <c r="N211" s="298" t="str">
        <f t="shared" si="15"/>
        <v/>
      </c>
      <c r="O211" s="298" t="str">
        <f>IF(B211="", "", 'Lighting Inventory (Ref only)'!G222)</f>
        <v/>
      </c>
      <c r="P211" s="298" t="str">
        <f>IF(B211="", "", 'Lighting Inventory (Ref only)'!E222)</f>
        <v/>
      </c>
      <c r="Q211" s="298" t="str">
        <f>IF(B211="", "", 'Lighting Inventory (Ref only)'!J222)</f>
        <v/>
      </c>
      <c r="R211" s="298" t="str">
        <f>IF(B211="", "",'Lighting Inventory (Ref only)'!K222)</f>
        <v/>
      </c>
      <c r="S211" s="372" t="str">
        <f>IF(B211="", "", 'Lighting Inventory (Ref only)'!G222*'Lighting Inventory (Ref only)'!K222/1000)</f>
        <v/>
      </c>
      <c r="T211" s="298" t="str">
        <f>IF(B211="", "", IF('Lighting Inventory (Ref only)'!I222="", "Light Switch",Inventory!H219))</f>
        <v/>
      </c>
      <c r="U211" s="298" t="str">
        <f>IF(B211="", "", 'Lighting Inventory (Ref only)'!Q222)</f>
        <v/>
      </c>
      <c r="V211" s="298" t="str">
        <f>IF(B211="", "", 'Lighting Inventory (Ref only)'!K222)</f>
        <v/>
      </c>
      <c r="W211" s="373" t="str">
        <f>IF(B211="","",('Lighting Inventory (Ref only)'!L222/1000))</f>
        <v/>
      </c>
      <c r="X211" s="298" t="str">
        <f>IF(B211="", "", 'Lighting Inventory (Ref only)'!Q222)</f>
        <v/>
      </c>
      <c r="Y211" s="298" t="str">
        <f>IF(C211="", "", Inventory!N219)</f>
        <v/>
      </c>
      <c r="Z211" s="374" t="str">
        <f>IF(B211="", "", 'Lighting Inventory (Ref only)'!P222)</f>
        <v/>
      </c>
      <c r="AA211" s="372" t="str">
        <f>IF(B211="", "",'Lighting Inventory (Ref only)'!R222/1000)</f>
        <v/>
      </c>
      <c r="AB211" s="372" t="str">
        <f>IF(B211="", "", Inventory!M219)</f>
        <v/>
      </c>
      <c r="AC211" s="374" t="str">
        <f>IF(B211="", "", 'Lighting Inventory (Ref only)'!T222)</f>
        <v/>
      </c>
      <c r="AD211" s="374" t="str">
        <f>IF(C211="", "", 'Lighting Inventory (Ref only)'!AA222)</f>
        <v/>
      </c>
      <c r="AE211" s="375" t="str">
        <f>IF(B211="", "", 'Lighting Inventory (Ref only)'!U222)</f>
        <v/>
      </c>
      <c r="AF211" s="375" t="str">
        <f>IF(B211="", "",'Lighting Inventory (Ref only)'!W222)</f>
        <v/>
      </c>
      <c r="AG211" s="375" t="str">
        <f>IF(B211="", "", 'Lighting Inventory (Ref only)'!V222)</f>
        <v/>
      </c>
      <c r="AH211" s="375" t="str">
        <f>IF(B211="", "",'Lighting Inventory (Ref only)'!Z222)</f>
        <v/>
      </c>
      <c r="AI211" s="375" t="str">
        <f>IF(B211="", "", 'Lighting Inventory (Ref only)'!Y222)</f>
        <v/>
      </c>
      <c r="AJ211" s="375" t="str">
        <f>IF(C211="", "",'Lighting Inventory (Ref only)'!AB222)</f>
        <v/>
      </c>
      <c r="AK211" s="375" t="str">
        <f>IF(B211="", "", 'Lighting Inventory (Ref only)'!AG222)</f>
        <v/>
      </c>
      <c r="AL211" s="375" t="str">
        <f>IF(B211="", "", 'Lighting Inventory (Ref only)'!AD222)</f>
        <v/>
      </c>
      <c r="AM211" s="375" t="str">
        <f>IF(B211="", "", 'Lighting Inventory (Ref only)'!AE222)</f>
        <v/>
      </c>
      <c r="AN211" s="375" t="str">
        <f>IF(B211="", "", 'Lighting Inventory (Ref only)'!AF222)</f>
        <v/>
      </c>
      <c r="AO211" s="375" t="str">
        <f>IF(B211="", "", 'Lighting Inventory (Ref only)'!AG222)</f>
        <v/>
      </c>
    </row>
    <row r="212" spans="1:41">
      <c r="A212" s="298" t="str">
        <f>IF(G212="", "", Lookups!BF214)</f>
        <v/>
      </c>
      <c r="B212" s="298" t="str">
        <f>IF('Lighting Inventory (Ref only)'!Q223="", "", 'Lighting Inventory (Ref only)'!Q223)</f>
        <v/>
      </c>
      <c r="C212" s="298" t="str">
        <f>IF(A212="", "", 'Lighting Inventory (Ref only)'!AO223)</f>
        <v/>
      </c>
      <c r="D212" s="370" t="str">
        <f>IF(B212= "","", Inventory!S220)</f>
        <v/>
      </c>
      <c r="E212" s="371"/>
      <c r="F212" s="298" t="str">
        <f>IF(B212="", "", 'Version Log'!$B$34)</f>
        <v/>
      </c>
      <c r="G212" s="298" t="str">
        <f t="shared" si="12"/>
        <v/>
      </c>
      <c r="H212" s="298" t="str">
        <f t="shared" si="13"/>
        <v/>
      </c>
      <c r="I212" s="298" t="str">
        <f>IF(B212="", "",Inventory!D220)</f>
        <v/>
      </c>
      <c r="J212" s="298" t="str">
        <f>IF(B212="","",IF(Inventory!C220="N","Interior","Exterior"))</f>
        <v/>
      </c>
      <c r="K212" s="298" t="str">
        <f t="shared" si="14"/>
        <v/>
      </c>
      <c r="L212" s="298" t="str">
        <f>IF(B212="", "", Inventory!E220)</f>
        <v/>
      </c>
      <c r="M212" s="298" t="str">
        <f>IF(B212="","",IF(Cool_Type=Lookups!$L$9,Cool_Type,IF(Cool_Type=Lookups!$L$10,Cool_Type,IF(Cool_Type=Lookups!$L$11,Cool_Type,IF(Cool_Type=Lookups!L222,Cool_Type,IF('Project Info and Summary'!$C$20="Electric",CONCATENATE(Cool_Type," ",Heating_Type," Heat"),IF('Project Info and Summary'!$C$20="Non-Electric",CONCATENATE(Cool_Type," ",Heating_Type," Heat"),CONCATENATE(Cool_Type," ",Heating_Type))))))))</f>
        <v/>
      </c>
      <c r="N212" s="298" t="str">
        <f t="shared" si="15"/>
        <v/>
      </c>
      <c r="O212" s="298" t="str">
        <f>IF(B212="", "", 'Lighting Inventory (Ref only)'!G223)</f>
        <v/>
      </c>
      <c r="P212" s="298" t="str">
        <f>IF(B212="", "", 'Lighting Inventory (Ref only)'!E223)</f>
        <v/>
      </c>
      <c r="Q212" s="298" t="str">
        <f>IF(B212="", "", 'Lighting Inventory (Ref only)'!J223)</f>
        <v/>
      </c>
      <c r="R212" s="298" t="str">
        <f>IF(B212="", "",'Lighting Inventory (Ref only)'!K223)</f>
        <v/>
      </c>
      <c r="S212" s="372" t="str">
        <f>IF(B212="", "", 'Lighting Inventory (Ref only)'!G223*'Lighting Inventory (Ref only)'!K223/1000)</f>
        <v/>
      </c>
      <c r="T212" s="298" t="str">
        <f>IF(B212="", "", IF('Lighting Inventory (Ref only)'!I223="", "Light Switch",Inventory!H220))</f>
        <v/>
      </c>
      <c r="U212" s="298" t="str">
        <f>IF(B212="", "", 'Lighting Inventory (Ref only)'!Q223)</f>
        <v/>
      </c>
      <c r="V212" s="298" t="str">
        <f>IF(B212="", "", 'Lighting Inventory (Ref only)'!K223)</f>
        <v/>
      </c>
      <c r="W212" s="373" t="str">
        <f>IF(B212="","",('Lighting Inventory (Ref only)'!L223/1000))</f>
        <v/>
      </c>
      <c r="X212" s="298" t="str">
        <f>IF(B212="", "", 'Lighting Inventory (Ref only)'!Q223)</f>
        <v/>
      </c>
      <c r="Y212" s="298" t="str">
        <f>IF(C212="", "", Inventory!N220)</f>
        <v/>
      </c>
      <c r="Z212" s="374" t="str">
        <f>IF(B212="", "", 'Lighting Inventory (Ref only)'!P223)</f>
        <v/>
      </c>
      <c r="AA212" s="372" t="str">
        <f>IF(B212="", "",'Lighting Inventory (Ref only)'!R223/1000)</f>
        <v/>
      </c>
      <c r="AB212" s="372" t="str">
        <f>IF(B212="", "", Inventory!M220)</f>
        <v/>
      </c>
      <c r="AC212" s="374" t="str">
        <f>IF(B212="", "", 'Lighting Inventory (Ref only)'!T223)</f>
        <v/>
      </c>
      <c r="AD212" s="374" t="str">
        <f>IF(C212="", "", 'Lighting Inventory (Ref only)'!AA223)</f>
        <v/>
      </c>
      <c r="AE212" s="375" t="str">
        <f>IF(B212="", "", 'Lighting Inventory (Ref only)'!U223)</f>
        <v/>
      </c>
      <c r="AF212" s="375" t="str">
        <f>IF(B212="", "",'Lighting Inventory (Ref only)'!W223)</f>
        <v/>
      </c>
      <c r="AG212" s="375" t="str">
        <f>IF(B212="", "", 'Lighting Inventory (Ref only)'!V223)</f>
        <v/>
      </c>
      <c r="AH212" s="375" t="str">
        <f>IF(B212="", "",'Lighting Inventory (Ref only)'!Z223)</f>
        <v/>
      </c>
      <c r="AI212" s="375" t="str">
        <f>IF(B212="", "", 'Lighting Inventory (Ref only)'!Y223)</f>
        <v/>
      </c>
      <c r="AJ212" s="375" t="str">
        <f>IF(C212="", "",'Lighting Inventory (Ref only)'!AB223)</f>
        <v/>
      </c>
      <c r="AK212" s="375" t="str">
        <f>IF(B212="", "", 'Lighting Inventory (Ref only)'!AG223)</f>
        <v/>
      </c>
      <c r="AL212" s="375" t="str">
        <f>IF(B212="", "", 'Lighting Inventory (Ref only)'!AD223)</f>
        <v/>
      </c>
      <c r="AM212" s="375" t="str">
        <f>IF(B212="", "", 'Lighting Inventory (Ref only)'!AE223)</f>
        <v/>
      </c>
      <c r="AN212" s="375" t="str">
        <f>IF(B212="", "", 'Lighting Inventory (Ref only)'!AF223)</f>
        <v/>
      </c>
      <c r="AO212" s="375" t="str">
        <f>IF(B212="", "", 'Lighting Inventory (Ref only)'!AG223)</f>
        <v/>
      </c>
    </row>
    <row r="213" spans="1:41">
      <c r="A213" s="298" t="str">
        <f>IF(G213="", "", Lookups!BF215)</f>
        <v/>
      </c>
      <c r="B213" s="298" t="str">
        <f>IF('Lighting Inventory (Ref only)'!Q224="", "", 'Lighting Inventory (Ref only)'!Q224)</f>
        <v/>
      </c>
      <c r="C213" s="298" t="str">
        <f>IF(A213="", "", 'Lighting Inventory (Ref only)'!AO224)</f>
        <v/>
      </c>
      <c r="D213" s="370" t="str">
        <f>IF(B213= "","", Inventory!S221)</f>
        <v/>
      </c>
      <c r="E213" s="371"/>
      <c r="F213" s="298" t="str">
        <f>IF(B213="", "", 'Version Log'!$B$34)</f>
        <v/>
      </c>
      <c r="G213" s="298" t="str">
        <f t="shared" si="12"/>
        <v/>
      </c>
      <c r="H213" s="298" t="str">
        <f t="shared" si="13"/>
        <v/>
      </c>
      <c r="I213" s="298" t="str">
        <f>IF(B213="", "",Inventory!D221)</f>
        <v/>
      </c>
      <c r="J213" s="298" t="str">
        <f>IF(B213="","",IF(Inventory!C221="N","Interior","Exterior"))</f>
        <v/>
      </c>
      <c r="K213" s="298" t="str">
        <f t="shared" si="14"/>
        <v/>
      </c>
      <c r="L213" s="298" t="str">
        <f>IF(B213="", "", Inventory!E221)</f>
        <v/>
      </c>
      <c r="M213" s="298" t="str">
        <f>IF(B213="","",IF(Cool_Type=Lookups!$L$9,Cool_Type,IF(Cool_Type=Lookups!$L$10,Cool_Type,IF(Cool_Type=Lookups!$L$11,Cool_Type,IF(Cool_Type=Lookups!L223,Cool_Type,IF('Project Info and Summary'!$C$20="Electric",CONCATENATE(Cool_Type," ",Heating_Type," Heat"),IF('Project Info and Summary'!$C$20="Non-Electric",CONCATENATE(Cool_Type," ",Heating_Type," Heat"),CONCATENATE(Cool_Type," ",Heating_Type))))))))</f>
        <v/>
      </c>
      <c r="N213" s="298" t="str">
        <f t="shared" si="15"/>
        <v/>
      </c>
      <c r="O213" s="298" t="str">
        <f>IF(B213="", "", 'Lighting Inventory (Ref only)'!G224)</f>
        <v/>
      </c>
      <c r="P213" s="298" t="str">
        <f>IF(B213="", "", 'Lighting Inventory (Ref only)'!E224)</f>
        <v/>
      </c>
      <c r="Q213" s="298" t="str">
        <f>IF(B213="", "", 'Lighting Inventory (Ref only)'!J224)</f>
        <v/>
      </c>
      <c r="R213" s="298" t="str">
        <f>IF(B213="", "",'Lighting Inventory (Ref only)'!K224)</f>
        <v/>
      </c>
      <c r="S213" s="372" t="str">
        <f>IF(B213="", "", 'Lighting Inventory (Ref only)'!G224*'Lighting Inventory (Ref only)'!K224/1000)</f>
        <v/>
      </c>
      <c r="T213" s="298" t="str">
        <f>IF(B213="", "", IF('Lighting Inventory (Ref only)'!I224="", "Light Switch",Inventory!H221))</f>
        <v/>
      </c>
      <c r="U213" s="298" t="str">
        <f>IF(B213="", "", 'Lighting Inventory (Ref only)'!Q224)</f>
        <v/>
      </c>
      <c r="V213" s="298" t="str">
        <f>IF(B213="", "", 'Lighting Inventory (Ref only)'!K224)</f>
        <v/>
      </c>
      <c r="W213" s="373" t="str">
        <f>IF(B213="","",('Lighting Inventory (Ref only)'!L224/1000))</f>
        <v/>
      </c>
      <c r="X213" s="298" t="str">
        <f>IF(B213="", "", 'Lighting Inventory (Ref only)'!Q224)</f>
        <v/>
      </c>
      <c r="Y213" s="298" t="str">
        <f>IF(C213="", "", Inventory!N221)</f>
        <v/>
      </c>
      <c r="Z213" s="374" t="str">
        <f>IF(B213="", "", 'Lighting Inventory (Ref only)'!P224)</f>
        <v/>
      </c>
      <c r="AA213" s="372" t="str">
        <f>IF(B213="", "",'Lighting Inventory (Ref only)'!R224/1000)</f>
        <v/>
      </c>
      <c r="AB213" s="372" t="str">
        <f>IF(B213="", "", Inventory!M221)</f>
        <v/>
      </c>
      <c r="AC213" s="374" t="str">
        <f>IF(B213="", "", 'Lighting Inventory (Ref only)'!T224)</f>
        <v/>
      </c>
      <c r="AD213" s="374" t="str">
        <f>IF(C213="", "", 'Lighting Inventory (Ref only)'!AA224)</f>
        <v/>
      </c>
      <c r="AE213" s="375" t="str">
        <f>IF(B213="", "", 'Lighting Inventory (Ref only)'!U224)</f>
        <v/>
      </c>
      <c r="AF213" s="375" t="str">
        <f>IF(B213="", "",'Lighting Inventory (Ref only)'!W224)</f>
        <v/>
      </c>
      <c r="AG213" s="375" t="str">
        <f>IF(B213="", "", 'Lighting Inventory (Ref only)'!V224)</f>
        <v/>
      </c>
      <c r="AH213" s="375" t="str">
        <f>IF(B213="", "",'Lighting Inventory (Ref only)'!Z224)</f>
        <v/>
      </c>
      <c r="AI213" s="375" t="str">
        <f>IF(B213="", "", 'Lighting Inventory (Ref only)'!Y224)</f>
        <v/>
      </c>
      <c r="AJ213" s="375" t="str">
        <f>IF(C213="", "",'Lighting Inventory (Ref only)'!AB224)</f>
        <v/>
      </c>
      <c r="AK213" s="375" t="str">
        <f>IF(B213="", "", 'Lighting Inventory (Ref only)'!AG224)</f>
        <v/>
      </c>
      <c r="AL213" s="375" t="str">
        <f>IF(B213="", "", 'Lighting Inventory (Ref only)'!AD224)</f>
        <v/>
      </c>
      <c r="AM213" s="375" t="str">
        <f>IF(B213="", "", 'Lighting Inventory (Ref only)'!AE224)</f>
        <v/>
      </c>
      <c r="AN213" s="375" t="str">
        <f>IF(B213="", "", 'Lighting Inventory (Ref only)'!AF224)</f>
        <v/>
      </c>
      <c r="AO213" s="375" t="str">
        <f>IF(B213="", "", 'Lighting Inventory (Ref only)'!AG224)</f>
        <v/>
      </c>
    </row>
    <row r="214" spans="1:41">
      <c r="A214" s="298" t="str">
        <f>IF(G214="", "", Lookups!BF216)</f>
        <v/>
      </c>
      <c r="B214" s="298" t="str">
        <f>IF('Lighting Inventory (Ref only)'!Q225="", "", 'Lighting Inventory (Ref only)'!Q225)</f>
        <v/>
      </c>
      <c r="C214" s="298" t="str">
        <f>IF(A214="", "", 'Lighting Inventory (Ref only)'!AO225)</f>
        <v/>
      </c>
      <c r="D214" s="370" t="str">
        <f>IF(B214= "","", Inventory!S222)</f>
        <v/>
      </c>
      <c r="E214" s="371"/>
      <c r="F214" s="298" t="str">
        <f>IF(B214="", "", 'Version Log'!$B$34)</f>
        <v/>
      </c>
      <c r="G214" s="298" t="str">
        <f t="shared" si="12"/>
        <v/>
      </c>
      <c r="H214" s="298" t="str">
        <f t="shared" si="13"/>
        <v/>
      </c>
      <c r="I214" s="298" t="str">
        <f>IF(B214="", "",Inventory!D222)</f>
        <v/>
      </c>
      <c r="J214" s="298" t="str">
        <f>IF(B214="","",IF(Inventory!C222="N","Interior","Exterior"))</f>
        <v/>
      </c>
      <c r="K214" s="298" t="str">
        <f t="shared" si="14"/>
        <v/>
      </c>
      <c r="L214" s="298" t="str">
        <f>IF(B214="", "", Inventory!E222)</f>
        <v/>
      </c>
      <c r="M214" s="298" t="str">
        <f>IF(B214="","",IF(Cool_Type=Lookups!$L$9,Cool_Type,IF(Cool_Type=Lookups!$L$10,Cool_Type,IF(Cool_Type=Lookups!$L$11,Cool_Type,IF(Cool_Type=Lookups!L224,Cool_Type,IF('Project Info and Summary'!$C$20="Electric",CONCATENATE(Cool_Type," ",Heating_Type," Heat"),IF('Project Info and Summary'!$C$20="Non-Electric",CONCATENATE(Cool_Type," ",Heating_Type," Heat"),CONCATENATE(Cool_Type," ",Heating_Type))))))))</f>
        <v/>
      </c>
      <c r="N214" s="298" t="str">
        <f t="shared" si="15"/>
        <v/>
      </c>
      <c r="O214" s="298" t="str">
        <f>IF(B214="", "", 'Lighting Inventory (Ref only)'!G225)</f>
        <v/>
      </c>
      <c r="P214" s="298" t="str">
        <f>IF(B214="", "", 'Lighting Inventory (Ref only)'!E225)</f>
        <v/>
      </c>
      <c r="Q214" s="298" t="str">
        <f>IF(B214="", "", 'Lighting Inventory (Ref only)'!J225)</f>
        <v/>
      </c>
      <c r="R214" s="298" t="str">
        <f>IF(B214="", "",'Lighting Inventory (Ref only)'!K225)</f>
        <v/>
      </c>
      <c r="S214" s="372" t="str">
        <f>IF(B214="", "", 'Lighting Inventory (Ref only)'!G225*'Lighting Inventory (Ref only)'!K225/1000)</f>
        <v/>
      </c>
      <c r="T214" s="298" t="str">
        <f>IF(B214="", "", IF('Lighting Inventory (Ref only)'!I225="", "Light Switch",Inventory!H222))</f>
        <v/>
      </c>
      <c r="U214" s="298" t="str">
        <f>IF(B214="", "", 'Lighting Inventory (Ref only)'!Q225)</f>
        <v/>
      </c>
      <c r="V214" s="298" t="str">
        <f>IF(B214="", "", 'Lighting Inventory (Ref only)'!K225)</f>
        <v/>
      </c>
      <c r="W214" s="373" t="str">
        <f>IF(B214="","",('Lighting Inventory (Ref only)'!L225/1000))</f>
        <v/>
      </c>
      <c r="X214" s="298" t="str">
        <f>IF(B214="", "", 'Lighting Inventory (Ref only)'!Q225)</f>
        <v/>
      </c>
      <c r="Y214" s="298" t="str">
        <f>IF(C214="", "", Inventory!N222)</f>
        <v/>
      </c>
      <c r="Z214" s="374" t="str">
        <f>IF(B214="", "", 'Lighting Inventory (Ref only)'!P225)</f>
        <v/>
      </c>
      <c r="AA214" s="372" t="str">
        <f>IF(B214="", "",'Lighting Inventory (Ref only)'!R225/1000)</f>
        <v/>
      </c>
      <c r="AB214" s="372" t="str">
        <f>IF(B214="", "", Inventory!M222)</f>
        <v/>
      </c>
      <c r="AC214" s="374" t="str">
        <f>IF(B214="", "", 'Lighting Inventory (Ref only)'!T225)</f>
        <v/>
      </c>
      <c r="AD214" s="374" t="str">
        <f>IF(C214="", "", 'Lighting Inventory (Ref only)'!AA225)</f>
        <v/>
      </c>
      <c r="AE214" s="375" t="str">
        <f>IF(B214="", "", 'Lighting Inventory (Ref only)'!U225)</f>
        <v/>
      </c>
      <c r="AF214" s="375" t="str">
        <f>IF(B214="", "",'Lighting Inventory (Ref only)'!W225)</f>
        <v/>
      </c>
      <c r="AG214" s="375" t="str">
        <f>IF(B214="", "", 'Lighting Inventory (Ref only)'!V225)</f>
        <v/>
      </c>
      <c r="AH214" s="375" t="str">
        <f>IF(B214="", "",'Lighting Inventory (Ref only)'!Z225)</f>
        <v/>
      </c>
      <c r="AI214" s="375" t="str">
        <f>IF(B214="", "", 'Lighting Inventory (Ref only)'!Y225)</f>
        <v/>
      </c>
      <c r="AJ214" s="375" t="str">
        <f>IF(C214="", "",'Lighting Inventory (Ref only)'!AB225)</f>
        <v/>
      </c>
      <c r="AK214" s="375" t="str">
        <f>IF(B214="", "", 'Lighting Inventory (Ref only)'!AG225)</f>
        <v/>
      </c>
      <c r="AL214" s="375" t="str">
        <f>IF(B214="", "", 'Lighting Inventory (Ref only)'!AD225)</f>
        <v/>
      </c>
      <c r="AM214" s="375" t="str">
        <f>IF(B214="", "", 'Lighting Inventory (Ref only)'!AE225)</f>
        <v/>
      </c>
      <c r="AN214" s="375" t="str">
        <f>IF(B214="", "", 'Lighting Inventory (Ref only)'!AF225)</f>
        <v/>
      </c>
      <c r="AO214" s="375" t="str">
        <f>IF(B214="", "", 'Lighting Inventory (Ref only)'!AG225)</f>
        <v/>
      </c>
    </row>
    <row r="215" spans="1:41">
      <c r="A215" s="298" t="str">
        <f>IF(G215="", "", Lookups!BF217)</f>
        <v/>
      </c>
      <c r="B215" s="298" t="str">
        <f>IF('Lighting Inventory (Ref only)'!Q226="", "", 'Lighting Inventory (Ref only)'!Q226)</f>
        <v/>
      </c>
      <c r="C215" s="298" t="str">
        <f>IF(A215="", "", 'Lighting Inventory (Ref only)'!AO226)</f>
        <v/>
      </c>
      <c r="D215" s="370" t="str">
        <f>IF(B215= "","", Inventory!S223)</f>
        <v/>
      </c>
      <c r="E215" s="371"/>
      <c r="F215" s="298" t="str">
        <f>IF(B215="", "", 'Version Log'!$B$34)</f>
        <v/>
      </c>
      <c r="G215" s="298" t="str">
        <f t="shared" si="12"/>
        <v/>
      </c>
      <c r="H215" s="298" t="str">
        <f t="shared" si="13"/>
        <v/>
      </c>
      <c r="I215" s="298" t="str">
        <f>IF(B215="", "",Inventory!D223)</f>
        <v/>
      </c>
      <c r="J215" s="298" t="str">
        <f>IF(B215="","",IF(Inventory!C223="N","Interior","Exterior"))</f>
        <v/>
      </c>
      <c r="K215" s="298" t="str">
        <f t="shared" si="14"/>
        <v/>
      </c>
      <c r="L215" s="298" t="str">
        <f>IF(B215="", "", Inventory!E223)</f>
        <v/>
      </c>
      <c r="M215" s="298" t="str">
        <f>IF(B215="","",IF(Cool_Type=Lookups!$L$9,Cool_Type,IF(Cool_Type=Lookups!$L$10,Cool_Type,IF(Cool_Type=Lookups!$L$11,Cool_Type,IF(Cool_Type=Lookups!L225,Cool_Type,IF('Project Info and Summary'!$C$20="Electric",CONCATENATE(Cool_Type," ",Heating_Type," Heat"),IF('Project Info and Summary'!$C$20="Non-Electric",CONCATENATE(Cool_Type," ",Heating_Type," Heat"),CONCATENATE(Cool_Type," ",Heating_Type))))))))</f>
        <v/>
      </c>
      <c r="N215" s="298" t="str">
        <f t="shared" si="15"/>
        <v/>
      </c>
      <c r="O215" s="298" t="str">
        <f>IF(B215="", "", 'Lighting Inventory (Ref only)'!G226)</f>
        <v/>
      </c>
      <c r="P215" s="298" t="str">
        <f>IF(B215="", "", 'Lighting Inventory (Ref only)'!E226)</f>
        <v/>
      </c>
      <c r="Q215" s="298" t="str">
        <f>IF(B215="", "", 'Lighting Inventory (Ref only)'!J226)</f>
        <v/>
      </c>
      <c r="R215" s="298" t="str">
        <f>IF(B215="", "",'Lighting Inventory (Ref only)'!K226)</f>
        <v/>
      </c>
      <c r="S215" s="372" t="str">
        <f>IF(B215="", "", 'Lighting Inventory (Ref only)'!G226*'Lighting Inventory (Ref only)'!K226/1000)</f>
        <v/>
      </c>
      <c r="T215" s="298" t="str">
        <f>IF(B215="", "", IF('Lighting Inventory (Ref only)'!I226="", "Light Switch",Inventory!H223))</f>
        <v/>
      </c>
      <c r="U215" s="298" t="str">
        <f>IF(B215="", "", 'Lighting Inventory (Ref only)'!Q226)</f>
        <v/>
      </c>
      <c r="V215" s="298" t="str">
        <f>IF(B215="", "", 'Lighting Inventory (Ref only)'!K226)</f>
        <v/>
      </c>
      <c r="W215" s="373" t="str">
        <f>IF(B215="","",('Lighting Inventory (Ref only)'!L226/1000))</f>
        <v/>
      </c>
      <c r="X215" s="298" t="str">
        <f>IF(B215="", "", 'Lighting Inventory (Ref only)'!Q226)</f>
        <v/>
      </c>
      <c r="Y215" s="298" t="str">
        <f>IF(C215="", "", Inventory!N223)</f>
        <v/>
      </c>
      <c r="Z215" s="374" t="str">
        <f>IF(B215="", "", 'Lighting Inventory (Ref only)'!P226)</f>
        <v/>
      </c>
      <c r="AA215" s="372" t="str">
        <f>IF(B215="", "",'Lighting Inventory (Ref only)'!R226/1000)</f>
        <v/>
      </c>
      <c r="AB215" s="372" t="str">
        <f>IF(B215="", "", Inventory!M223)</f>
        <v/>
      </c>
      <c r="AC215" s="374" t="str">
        <f>IF(B215="", "", 'Lighting Inventory (Ref only)'!T226)</f>
        <v/>
      </c>
      <c r="AD215" s="374" t="str">
        <f>IF(C215="", "", 'Lighting Inventory (Ref only)'!AA226)</f>
        <v/>
      </c>
      <c r="AE215" s="375" t="str">
        <f>IF(B215="", "", 'Lighting Inventory (Ref only)'!U226)</f>
        <v/>
      </c>
      <c r="AF215" s="375" t="str">
        <f>IF(B215="", "",'Lighting Inventory (Ref only)'!W226)</f>
        <v/>
      </c>
      <c r="AG215" s="375" t="str">
        <f>IF(B215="", "", 'Lighting Inventory (Ref only)'!V226)</f>
        <v/>
      </c>
      <c r="AH215" s="375" t="str">
        <f>IF(B215="", "",'Lighting Inventory (Ref only)'!Z226)</f>
        <v/>
      </c>
      <c r="AI215" s="375" t="str">
        <f>IF(B215="", "", 'Lighting Inventory (Ref only)'!Y226)</f>
        <v/>
      </c>
      <c r="AJ215" s="375" t="str">
        <f>IF(C215="", "",'Lighting Inventory (Ref only)'!AB226)</f>
        <v/>
      </c>
      <c r="AK215" s="375" t="str">
        <f>IF(B215="", "", 'Lighting Inventory (Ref only)'!AG226)</f>
        <v/>
      </c>
      <c r="AL215" s="375" t="str">
        <f>IF(B215="", "", 'Lighting Inventory (Ref only)'!AD226)</f>
        <v/>
      </c>
      <c r="AM215" s="375" t="str">
        <f>IF(B215="", "", 'Lighting Inventory (Ref only)'!AE226)</f>
        <v/>
      </c>
      <c r="AN215" s="375" t="str">
        <f>IF(B215="", "", 'Lighting Inventory (Ref only)'!AF226)</f>
        <v/>
      </c>
      <c r="AO215" s="375" t="str">
        <f>IF(B215="", "", 'Lighting Inventory (Ref only)'!AG226)</f>
        <v/>
      </c>
    </row>
    <row r="216" spans="1:41">
      <c r="A216" s="298" t="str">
        <f>IF(G216="", "", Lookups!BF218)</f>
        <v/>
      </c>
      <c r="B216" s="298" t="str">
        <f>IF('Lighting Inventory (Ref only)'!Q227="", "", 'Lighting Inventory (Ref only)'!Q227)</f>
        <v/>
      </c>
      <c r="C216" s="298" t="str">
        <f>IF(A216="", "", 'Lighting Inventory (Ref only)'!AO227)</f>
        <v/>
      </c>
      <c r="D216" s="370" t="str">
        <f>IF(B216= "","", Inventory!S224)</f>
        <v/>
      </c>
      <c r="E216" s="371"/>
      <c r="F216" s="298" t="str">
        <f>IF(B216="", "", 'Version Log'!$B$34)</f>
        <v/>
      </c>
      <c r="G216" s="298" t="str">
        <f t="shared" si="12"/>
        <v/>
      </c>
      <c r="H216" s="298" t="str">
        <f t="shared" si="13"/>
        <v/>
      </c>
      <c r="I216" s="298" t="str">
        <f>IF(B216="", "",Inventory!D224)</f>
        <v/>
      </c>
      <c r="J216" s="298" t="str">
        <f>IF(B216="","",IF(Inventory!C224="N","Interior","Exterior"))</f>
        <v/>
      </c>
      <c r="K216" s="298" t="str">
        <f t="shared" si="14"/>
        <v/>
      </c>
      <c r="L216" s="298" t="str">
        <f>IF(B216="", "", Inventory!E224)</f>
        <v/>
      </c>
      <c r="M216" s="298" t="str">
        <f>IF(B216="","",IF(Cool_Type=Lookups!$L$9,Cool_Type,IF(Cool_Type=Lookups!$L$10,Cool_Type,IF(Cool_Type=Lookups!$L$11,Cool_Type,IF(Cool_Type=Lookups!L226,Cool_Type,IF('Project Info and Summary'!$C$20="Electric",CONCATENATE(Cool_Type," ",Heating_Type," Heat"),IF('Project Info and Summary'!$C$20="Non-Electric",CONCATENATE(Cool_Type," ",Heating_Type," Heat"),CONCATENATE(Cool_Type," ",Heating_Type))))))))</f>
        <v/>
      </c>
      <c r="N216" s="298" t="str">
        <f t="shared" si="15"/>
        <v/>
      </c>
      <c r="O216" s="298" t="str">
        <f>IF(B216="", "", 'Lighting Inventory (Ref only)'!G227)</f>
        <v/>
      </c>
      <c r="P216" s="298" t="str">
        <f>IF(B216="", "", 'Lighting Inventory (Ref only)'!E227)</f>
        <v/>
      </c>
      <c r="Q216" s="298" t="str">
        <f>IF(B216="", "", 'Lighting Inventory (Ref only)'!J227)</f>
        <v/>
      </c>
      <c r="R216" s="298" t="str">
        <f>IF(B216="", "",'Lighting Inventory (Ref only)'!K227)</f>
        <v/>
      </c>
      <c r="S216" s="372" t="str">
        <f>IF(B216="", "", 'Lighting Inventory (Ref only)'!G227*'Lighting Inventory (Ref only)'!K227/1000)</f>
        <v/>
      </c>
      <c r="T216" s="298" t="str">
        <f>IF(B216="", "", IF('Lighting Inventory (Ref only)'!I227="", "Light Switch",Inventory!H224))</f>
        <v/>
      </c>
      <c r="U216" s="298" t="str">
        <f>IF(B216="", "", 'Lighting Inventory (Ref only)'!Q227)</f>
        <v/>
      </c>
      <c r="V216" s="298" t="str">
        <f>IF(B216="", "", 'Lighting Inventory (Ref only)'!K227)</f>
        <v/>
      </c>
      <c r="W216" s="373" t="str">
        <f>IF(B216="","",('Lighting Inventory (Ref only)'!L227/1000))</f>
        <v/>
      </c>
      <c r="X216" s="298" t="str">
        <f>IF(B216="", "", 'Lighting Inventory (Ref only)'!Q227)</f>
        <v/>
      </c>
      <c r="Y216" s="298" t="str">
        <f>IF(C216="", "", Inventory!N224)</f>
        <v/>
      </c>
      <c r="Z216" s="374" t="str">
        <f>IF(B216="", "", 'Lighting Inventory (Ref only)'!P227)</f>
        <v/>
      </c>
      <c r="AA216" s="372" t="str">
        <f>IF(B216="", "",'Lighting Inventory (Ref only)'!R227/1000)</f>
        <v/>
      </c>
      <c r="AB216" s="372" t="str">
        <f>IF(B216="", "", Inventory!M224)</f>
        <v/>
      </c>
      <c r="AC216" s="374" t="str">
        <f>IF(B216="", "", 'Lighting Inventory (Ref only)'!T227)</f>
        <v/>
      </c>
      <c r="AD216" s="374" t="str">
        <f>IF(C216="", "", 'Lighting Inventory (Ref only)'!AA227)</f>
        <v/>
      </c>
      <c r="AE216" s="375" t="str">
        <f>IF(B216="", "", 'Lighting Inventory (Ref only)'!U227)</f>
        <v/>
      </c>
      <c r="AF216" s="375" t="str">
        <f>IF(B216="", "",'Lighting Inventory (Ref only)'!W227)</f>
        <v/>
      </c>
      <c r="AG216" s="375" t="str">
        <f>IF(B216="", "", 'Lighting Inventory (Ref only)'!V227)</f>
        <v/>
      </c>
      <c r="AH216" s="375" t="str">
        <f>IF(B216="", "",'Lighting Inventory (Ref only)'!Z227)</f>
        <v/>
      </c>
      <c r="AI216" s="375" t="str">
        <f>IF(B216="", "", 'Lighting Inventory (Ref only)'!Y227)</f>
        <v/>
      </c>
      <c r="AJ216" s="375" t="str">
        <f>IF(C216="", "",'Lighting Inventory (Ref only)'!AB227)</f>
        <v/>
      </c>
      <c r="AK216" s="375" t="str">
        <f>IF(B216="", "", 'Lighting Inventory (Ref only)'!AG227)</f>
        <v/>
      </c>
      <c r="AL216" s="375" t="str">
        <f>IF(B216="", "", 'Lighting Inventory (Ref only)'!AD227)</f>
        <v/>
      </c>
      <c r="AM216" s="375" t="str">
        <f>IF(B216="", "", 'Lighting Inventory (Ref only)'!AE227)</f>
        <v/>
      </c>
      <c r="AN216" s="375" t="str">
        <f>IF(B216="", "", 'Lighting Inventory (Ref only)'!AF227)</f>
        <v/>
      </c>
      <c r="AO216" s="375" t="str">
        <f>IF(B216="", "", 'Lighting Inventory (Ref only)'!AG227)</f>
        <v/>
      </c>
    </row>
    <row r="217" spans="1:41">
      <c r="A217" s="298" t="str">
        <f>IF(G217="", "", Lookups!BF219)</f>
        <v/>
      </c>
      <c r="B217" s="298" t="str">
        <f>IF('Lighting Inventory (Ref only)'!Q228="", "", 'Lighting Inventory (Ref only)'!Q228)</f>
        <v/>
      </c>
      <c r="C217" s="298" t="str">
        <f>IF(A217="", "", 'Lighting Inventory (Ref only)'!AO228)</f>
        <v/>
      </c>
      <c r="D217" s="370" t="str">
        <f>IF(B217= "","", Inventory!S225)</f>
        <v/>
      </c>
      <c r="E217" s="371"/>
      <c r="F217" s="298" t="str">
        <f>IF(B217="", "", 'Version Log'!$B$34)</f>
        <v/>
      </c>
      <c r="G217" s="298" t="str">
        <f t="shared" si="12"/>
        <v/>
      </c>
      <c r="H217" s="298" t="str">
        <f t="shared" si="13"/>
        <v/>
      </c>
      <c r="I217" s="298" t="str">
        <f>IF(B217="", "",Inventory!D225)</f>
        <v/>
      </c>
      <c r="J217" s="298" t="str">
        <f>IF(B217="","",IF(Inventory!C225="N","Interior","Exterior"))</f>
        <v/>
      </c>
      <c r="K217" s="298" t="str">
        <f t="shared" si="14"/>
        <v/>
      </c>
      <c r="L217" s="298" t="str">
        <f>IF(B217="", "", Inventory!E225)</f>
        <v/>
      </c>
      <c r="M217" s="298" t="str">
        <f>IF(B217="","",IF(Cool_Type=Lookups!$L$9,Cool_Type,IF(Cool_Type=Lookups!$L$10,Cool_Type,IF(Cool_Type=Lookups!$L$11,Cool_Type,IF(Cool_Type=Lookups!L227,Cool_Type,IF('Project Info and Summary'!$C$20="Electric",CONCATENATE(Cool_Type," ",Heating_Type," Heat"),IF('Project Info and Summary'!$C$20="Non-Electric",CONCATENATE(Cool_Type," ",Heating_Type," Heat"),CONCATENATE(Cool_Type," ",Heating_Type))))))))</f>
        <v/>
      </c>
      <c r="N217" s="298" t="str">
        <f t="shared" si="15"/>
        <v/>
      </c>
      <c r="O217" s="298" t="str">
        <f>IF(B217="", "", 'Lighting Inventory (Ref only)'!G228)</f>
        <v/>
      </c>
      <c r="P217" s="298" t="str">
        <f>IF(B217="", "", 'Lighting Inventory (Ref only)'!E228)</f>
        <v/>
      </c>
      <c r="Q217" s="298" t="str">
        <f>IF(B217="", "", 'Lighting Inventory (Ref only)'!J228)</f>
        <v/>
      </c>
      <c r="R217" s="298" t="str">
        <f>IF(B217="", "",'Lighting Inventory (Ref only)'!K228)</f>
        <v/>
      </c>
      <c r="S217" s="372" t="str">
        <f>IF(B217="", "", 'Lighting Inventory (Ref only)'!G228*'Lighting Inventory (Ref only)'!K228/1000)</f>
        <v/>
      </c>
      <c r="T217" s="298" t="str">
        <f>IF(B217="", "", IF('Lighting Inventory (Ref only)'!I228="", "Light Switch",Inventory!H225))</f>
        <v/>
      </c>
      <c r="U217" s="298" t="str">
        <f>IF(B217="", "", 'Lighting Inventory (Ref only)'!Q228)</f>
        <v/>
      </c>
      <c r="V217" s="298" t="str">
        <f>IF(B217="", "", 'Lighting Inventory (Ref only)'!K228)</f>
        <v/>
      </c>
      <c r="W217" s="373" t="str">
        <f>IF(B217="","",('Lighting Inventory (Ref only)'!L228/1000))</f>
        <v/>
      </c>
      <c r="X217" s="298" t="str">
        <f>IF(B217="", "", 'Lighting Inventory (Ref only)'!Q228)</f>
        <v/>
      </c>
      <c r="Y217" s="298" t="str">
        <f>IF(C217="", "", Inventory!N225)</f>
        <v/>
      </c>
      <c r="Z217" s="374" t="str">
        <f>IF(B217="", "", 'Lighting Inventory (Ref only)'!P228)</f>
        <v/>
      </c>
      <c r="AA217" s="372" t="str">
        <f>IF(B217="", "",'Lighting Inventory (Ref only)'!R228/1000)</f>
        <v/>
      </c>
      <c r="AB217" s="372" t="str">
        <f>IF(B217="", "", Inventory!M225)</f>
        <v/>
      </c>
      <c r="AC217" s="374" t="str">
        <f>IF(B217="", "", 'Lighting Inventory (Ref only)'!T228)</f>
        <v/>
      </c>
      <c r="AD217" s="374" t="str">
        <f>IF(C217="", "", 'Lighting Inventory (Ref only)'!AA228)</f>
        <v/>
      </c>
      <c r="AE217" s="375" t="str">
        <f>IF(B217="", "", 'Lighting Inventory (Ref only)'!U228)</f>
        <v/>
      </c>
      <c r="AF217" s="375" t="str">
        <f>IF(B217="", "",'Lighting Inventory (Ref only)'!W228)</f>
        <v/>
      </c>
      <c r="AG217" s="375" t="str">
        <f>IF(B217="", "", 'Lighting Inventory (Ref only)'!V228)</f>
        <v/>
      </c>
      <c r="AH217" s="375" t="str">
        <f>IF(B217="", "",'Lighting Inventory (Ref only)'!Z228)</f>
        <v/>
      </c>
      <c r="AI217" s="375" t="str">
        <f>IF(B217="", "", 'Lighting Inventory (Ref only)'!Y228)</f>
        <v/>
      </c>
      <c r="AJ217" s="375" t="str">
        <f>IF(C217="", "",'Lighting Inventory (Ref only)'!AB228)</f>
        <v/>
      </c>
      <c r="AK217" s="375" t="str">
        <f>IF(B217="", "", 'Lighting Inventory (Ref only)'!AG228)</f>
        <v/>
      </c>
      <c r="AL217" s="375" t="str">
        <f>IF(B217="", "", 'Lighting Inventory (Ref only)'!AD228)</f>
        <v/>
      </c>
      <c r="AM217" s="375" t="str">
        <f>IF(B217="", "", 'Lighting Inventory (Ref only)'!AE228)</f>
        <v/>
      </c>
      <c r="AN217" s="375" t="str">
        <f>IF(B217="", "", 'Lighting Inventory (Ref only)'!AF228)</f>
        <v/>
      </c>
      <c r="AO217" s="375" t="str">
        <f>IF(B217="", "", 'Lighting Inventory (Ref only)'!AG228)</f>
        <v/>
      </c>
    </row>
    <row r="218" spans="1:41">
      <c r="A218" s="298" t="str">
        <f>IF(G218="", "", Lookups!BF220)</f>
        <v/>
      </c>
      <c r="B218" s="298" t="str">
        <f>IF('Lighting Inventory (Ref only)'!Q229="", "", 'Lighting Inventory (Ref only)'!Q229)</f>
        <v/>
      </c>
      <c r="C218" s="298" t="str">
        <f>IF(A218="", "", 'Lighting Inventory (Ref only)'!AO229)</f>
        <v/>
      </c>
      <c r="D218" s="370" t="str">
        <f>IF(B218= "","", Inventory!S226)</f>
        <v/>
      </c>
      <c r="E218" s="371"/>
      <c r="F218" s="298" t="str">
        <f>IF(B218="", "", 'Version Log'!$B$34)</f>
        <v/>
      </c>
      <c r="G218" s="298" t="str">
        <f t="shared" si="12"/>
        <v/>
      </c>
      <c r="H218" s="298" t="str">
        <f t="shared" si="13"/>
        <v/>
      </c>
      <c r="I218" s="298" t="str">
        <f>IF(B218="", "",Inventory!D226)</f>
        <v/>
      </c>
      <c r="J218" s="298" t="str">
        <f>IF(B218="","",IF(Inventory!C226="N","Interior","Exterior"))</f>
        <v/>
      </c>
      <c r="K218" s="298" t="str">
        <f t="shared" si="14"/>
        <v/>
      </c>
      <c r="L218" s="298" t="str">
        <f>IF(B218="", "", Inventory!E226)</f>
        <v/>
      </c>
      <c r="M218" s="298" t="str">
        <f>IF(B218="","",IF(Cool_Type=Lookups!$L$9,Cool_Type,IF(Cool_Type=Lookups!$L$10,Cool_Type,IF(Cool_Type=Lookups!$L$11,Cool_Type,IF(Cool_Type=Lookups!L228,Cool_Type,IF('Project Info and Summary'!$C$20="Electric",CONCATENATE(Cool_Type," ",Heating_Type," Heat"),IF('Project Info and Summary'!$C$20="Non-Electric",CONCATENATE(Cool_Type," ",Heating_Type," Heat"),CONCATENATE(Cool_Type," ",Heating_Type))))))))</f>
        <v/>
      </c>
      <c r="N218" s="298" t="str">
        <f t="shared" si="15"/>
        <v/>
      </c>
      <c r="O218" s="298" t="str">
        <f>IF(B218="", "", 'Lighting Inventory (Ref only)'!G229)</f>
        <v/>
      </c>
      <c r="P218" s="298" t="str">
        <f>IF(B218="", "", 'Lighting Inventory (Ref only)'!E229)</f>
        <v/>
      </c>
      <c r="Q218" s="298" t="str">
        <f>IF(B218="", "", 'Lighting Inventory (Ref only)'!J229)</f>
        <v/>
      </c>
      <c r="R218" s="298" t="str">
        <f>IF(B218="", "",'Lighting Inventory (Ref only)'!K229)</f>
        <v/>
      </c>
      <c r="S218" s="372" t="str">
        <f>IF(B218="", "", 'Lighting Inventory (Ref only)'!G229*'Lighting Inventory (Ref only)'!K229/1000)</f>
        <v/>
      </c>
      <c r="T218" s="298" t="str">
        <f>IF(B218="", "", IF('Lighting Inventory (Ref only)'!I229="", "Light Switch",Inventory!H226))</f>
        <v/>
      </c>
      <c r="U218" s="298" t="str">
        <f>IF(B218="", "", 'Lighting Inventory (Ref only)'!Q229)</f>
        <v/>
      </c>
      <c r="V218" s="298" t="str">
        <f>IF(B218="", "", 'Lighting Inventory (Ref only)'!K229)</f>
        <v/>
      </c>
      <c r="W218" s="373" t="str">
        <f>IF(B218="","",('Lighting Inventory (Ref only)'!L229/1000))</f>
        <v/>
      </c>
      <c r="X218" s="298" t="str">
        <f>IF(B218="", "", 'Lighting Inventory (Ref only)'!Q229)</f>
        <v/>
      </c>
      <c r="Y218" s="298" t="str">
        <f>IF(C218="", "", Inventory!N226)</f>
        <v/>
      </c>
      <c r="Z218" s="374" t="str">
        <f>IF(B218="", "", 'Lighting Inventory (Ref only)'!P229)</f>
        <v/>
      </c>
      <c r="AA218" s="372" t="str">
        <f>IF(B218="", "",'Lighting Inventory (Ref only)'!R229/1000)</f>
        <v/>
      </c>
      <c r="AB218" s="372" t="str">
        <f>IF(B218="", "", Inventory!M226)</f>
        <v/>
      </c>
      <c r="AC218" s="374" t="str">
        <f>IF(B218="", "", 'Lighting Inventory (Ref only)'!T229)</f>
        <v/>
      </c>
      <c r="AD218" s="374" t="str">
        <f>IF(C218="", "", 'Lighting Inventory (Ref only)'!AA229)</f>
        <v/>
      </c>
      <c r="AE218" s="375" t="str">
        <f>IF(B218="", "", 'Lighting Inventory (Ref only)'!U229)</f>
        <v/>
      </c>
      <c r="AF218" s="375" t="str">
        <f>IF(B218="", "",'Lighting Inventory (Ref only)'!W229)</f>
        <v/>
      </c>
      <c r="AG218" s="375" t="str">
        <f>IF(B218="", "", 'Lighting Inventory (Ref only)'!V229)</f>
        <v/>
      </c>
      <c r="AH218" s="375" t="str">
        <f>IF(B218="", "",'Lighting Inventory (Ref only)'!Z229)</f>
        <v/>
      </c>
      <c r="AI218" s="375" t="str">
        <f>IF(B218="", "", 'Lighting Inventory (Ref only)'!Y229)</f>
        <v/>
      </c>
      <c r="AJ218" s="375" t="str">
        <f>IF(C218="", "",'Lighting Inventory (Ref only)'!AB229)</f>
        <v/>
      </c>
      <c r="AK218" s="375" t="str">
        <f>IF(B218="", "", 'Lighting Inventory (Ref only)'!AG229)</f>
        <v/>
      </c>
      <c r="AL218" s="375" t="str">
        <f>IF(B218="", "", 'Lighting Inventory (Ref only)'!AD229)</f>
        <v/>
      </c>
      <c r="AM218" s="375" t="str">
        <f>IF(B218="", "", 'Lighting Inventory (Ref only)'!AE229)</f>
        <v/>
      </c>
      <c r="AN218" s="375" t="str">
        <f>IF(B218="", "", 'Lighting Inventory (Ref only)'!AF229)</f>
        <v/>
      </c>
      <c r="AO218" s="375" t="str">
        <f>IF(B218="", "", 'Lighting Inventory (Ref only)'!AG229)</f>
        <v/>
      </c>
    </row>
    <row r="219" spans="1:41">
      <c r="A219" s="298" t="str">
        <f>IF(G219="", "", Lookups!BF221)</f>
        <v/>
      </c>
      <c r="B219" s="298" t="str">
        <f>IF('Lighting Inventory (Ref only)'!Q230="", "", 'Lighting Inventory (Ref only)'!Q230)</f>
        <v/>
      </c>
      <c r="C219" s="298" t="str">
        <f>IF(A219="", "", 'Lighting Inventory (Ref only)'!AO230)</f>
        <v/>
      </c>
      <c r="D219" s="370" t="str">
        <f>IF(B219= "","", Inventory!S227)</f>
        <v/>
      </c>
      <c r="E219" s="371"/>
      <c r="F219" s="298" t="str">
        <f>IF(B219="", "", 'Version Log'!$B$34)</f>
        <v/>
      </c>
      <c r="G219" s="298" t="str">
        <f t="shared" si="12"/>
        <v/>
      </c>
      <c r="H219" s="298" t="str">
        <f t="shared" si="13"/>
        <v/>
      </c>
      <c r="I219" s="298" t="str">
        <f>IF(B219="", "",Inventory!D227)</f>
        <v/>
      </c>
      <c r="J219" s="298" t="str">
        <f>IF(B219="","",IF(Inventory!C227="N","Interior","Exterior"))</f>
        <v/>
      </c>
      <c r="K219" s="298" t="str">
        <f t="shared" si="14"/>
        <v/>
      </c>
      <c r="L219" s="298" t="str">
        <f>IF(B219="", "", Inventory!E227)</f>
        <v/>
      </c>
      <c r="M219" s="298" t="str">
        <f>IF(B219="","",IF(Cool_Type=Lookups!$L$9,Cool_Type,IF(Cool_Type=Lookups!$L$10,Cool_Type,IF(Cool_Type=Lookups!$L$11,Cool_Type,IF(Cool_Type=Lookups!L229,Cool_Type,IF('Project Info and Summary'!$C$20="Electric",CONCATENATE(Cool_Type," ",Heating_Type," Heat"),IF('Project Info and Summary'!$C$20="Non-Electric",CONCATENATE(Cool_Type," ",Heating_Type," Heat"),CONCATENATE(Cool_Type," ",Heating_Type))))))))</f>
        <v/>
      </c>
      <c r="N219" s="298" t="str">
        <f t="shared" si="15"/>
        <v/>
      </c>
      <c r="O219" s="298" t="str">
        <f>IF(B219="", "", 'Lighting Inventory (Ref only)'!G230)</f>
        <v/>
      </c>
      <c r="P219" s="298" t="str">
        <f>IF(B219="", "", 'Lighting Inventory (Ref only)'!E230)</f>
        <v/>
      </c>
      <c r="Q219" s="298" t="str">
        <f>IF(B219="", "", 'Lighting Inventory (Ref only)'!J230)</f>
        <v/>
      </c>
      <c r="R219" s="298" t="str">
        <f>IF(B219="", "",'Lighting Inventory (Ref only)'!K230)</f>
        <v/>
      </c>
      <c r="S219" s="372" t="str">
        <f>IF(B219="", "", 'Lighting Inventory (Ref only)'!G230*'Lighting Inventory (Ref only)'!K230/1000)</f>
        <v/>
      </c>
      <c r="T219" s="298" t="str">
        <f>IF(B219="", "", IF('Lighting Inventory (Ref only)'!I230="", "Light Switch",Inventory!H227))</f>
        <v/>
      </c>
      <c r="U219" s="298" t="str">
        <f>IF(B219="", "", 'Lighting Inventory (Ref only)'!Q230)</f>
        <v/>
      </c>
      <c r="V219" s="298" t="str">
        <f>IF(B219="", "", 'Lighting Inventory (Ref only)'!K230)</f>
        <v/>
      </c>
      <c r="W219" s="373" t="str">
        <f>IF(B219="","",('Lighting Inventory (Ref only)'!L230/1000))</f>
        <v/>
      </c>
      <c r="X219" s="298" t="str">
        <f>IF(B219="", "", 'Lighting Inventory (Ref only)'!Q230)</f>
        <v/>
      </c>
      <c r="Y219" s="298" t="str">
        <f>IF(C219="", "", Inventory!N227)</f>
        <v/>
      </c>
      <c r="Z219" s="374" t="str">
        <f>IF(B219="", "", 'Lighting Inventory (Ref only)'!P230)</f>
        <v/>
      </c>
      <c r="AA219" s="372" t="str">
        <f>IF(B219="", "",'Lighting Inventory (Ref only)'!R230/1000)</f>
        <v/>
      </c>
      <c r="AB219" s="372" t="str">
        <f>IF(B219="", "", Inventory!M227)</f>
        <v/>
      </c>
      <c r="AC219" s="374" t="str">
        <f>IF(B219="", "", 'Lighting Inventory (Ref only)'!T230)</f>
        <v/>
      </c>
      <c r="AD219" s="374" t="str">
        <f>IF(C219="", "", 'Lighting Inventory (Ref only)'!AA230)</f>
        <v/>
      </c>
      <c r="AE219" s="375" t="str">
        <f>IF(B219="", "", 'Lighting Inventory (Ref only)'!U230)</f>
        <v/>
      </c>
      <c r="AF219" s="375" t="str">
        <f>IF(B219="", "",'Lighting Inventory (Ref only)'!W230)</f>
        <v/>
      </c>
      <c r="AG219" s="375" t="str">
        <f>IF(B219="", "", 'Lighting Inventory (Ref only)'!V230)</f>
        <v/>
      </c>
      <c r="AH219" s="375" t="str">
        <f>IF(B219="", "",'Lighting Inventory (Ref only)'!Z230)</f>
        <v/>
      </c>
      <c r="AI219" s="375" t="str">
        <f>IF(B219="", "", 'Lighting Inventory (Ref only)'!Y230)</f>
        <v/>
      </c>
      <c r="AJ219" s="375" t="str">
        <f>IF(C219="", "",'Lighting Inventory (Ref only)'!AB230)</f>
        <v/>
      </c>
      <c r="AK219" s="375" t="str">
        <f>IF(B219="", "", 'Lighting Inventory (Ref only)'!AG230)</f>
        <v/>
      </c>
      <c r="AL219" s="375" t="str">
        <f>IF(B219="", "", 'Lighting Inventory (Ref only)'!AD230)</f>
        <v/>
      </c>
      <c r="AM219" s="375" t="str">
        <f>IF(B219="", "", 'Lighting Inventory (Ref only)'!AE230)</f>
        <v/>
      </c>
      <c r="AN219" s="375" t="str">
        <f>IF(B219="", "", 'Lighting Inventory (Ref only)'!AF230)</f>
        <v/>
      </c>
      <c r="AO219" s="375" t="str">
        <f>IF(B219="", "", 'Lighting Inventory (Ref only)'!AG230)</f>
        <v/>
      </c>
    </row>
    <row r="220" spans="1:41">
      <c r="A220" s="298" t="str">
        <f>IF(G220="", "", Lookups!BF222)</f>
        <v/>
      </c>
      <c r="B220" s="298" t="str">
        <f>IF('Lighting Inventory (Ref only)'!Q231="", "", 'Lighting Inventory (Ref only)'!Q231)</f>
        <v/>
      </c>
      <c r="C220" s="298" t="str">
        <f>IF(A220="", "", 'Lighting Inventory (Ref only)'!AO231)</f>
        <v/>
      </c>
      <c r="D220" s="370" t="str">
        <f>IF(B220= "","", Inventory!S228)</f>
        <v/>
      </c>
      <c r="E220" s="371"/>
      <c r="F220" s="298" t="str">
        <f>IF(B220="", "", 'Version Log'!$B$34)</f>
        <v/>
      </c>
      <c r="G220" s="298" t="str">
        <f t="shared" si="12"/>
        <v/>
      </c>
      <c r="H220" s="298" t="str">
        <f t="shared" si="13"/>
        <v/>
      </c>
      <c r="I220" s="298" t="str">
        <f>IF(B220="", "",Inventory!D228)</f>
        <v/>
      </c>
      <c r="J220" s="298" t="str">
        <f>IF(B220="","",IF(Inventory!C228="N","Interior","Exterior"))</f>
        <v/>
      </c>
      <c r="K220" s="298" t="str">
        <f t="shared" si="14"/>
        <v/>
      </c>
      <c r="L220" s="298" t="str">
        <f>IF(B220="", "", Inventory!E228)</f>
        <v/>
      </c>
      <c r="M220" s="298" t="str">
        <f>IF(B220="","",IF(Cool_Type=Lookups!$L$9,Cool_Type,IF(Cool_Type=Lookups!$L$10,Cool_Type,IF(Cool_Type=Lookups!$L$11,Cool_Type,IF(Cool_Type=Lookups!L230,Cool_Type,IF('Project Info and Summary'!$C$20="Electric",CONCATENATE(Cool_Type," ",Heating_Type," Heat"),IF('Project Info and Summary'!$C$20="Non-Electric",CONCATENATE(Cool_Type," ",Heating_Type," Heat"),CONCATENATE(Cool_Type," ",Heating_Type))))))))</f>
        <v/>
      </c>
      <c r="N220" s="298" t="str">
        <f t="shared" si="15"/>
        <v/>
      </c>
      <c r="O220" s="298" t="str">
        <f>IF(B220="", "", 'Lighting Inventory (Ref only)'!G231)</f>
        <v/>
      </c>
      <c r="P220" s="298" t="str">
        <f>IF(B220="", "", 'Lighting Inventory (Ref only)'!E231)</f>
        <v/>
      </c>
      <c r="Q220" s="298" t="str">
        <f>IF(B220="", "", 'Lighting Inventory (Ref only)'!J231)</f>
        <v/>
      </c>
      <c r="R220" s="298" t="str">
        <f>IF(B220="", "",'Lighting Inventory (Ref only)'!K231)</f>
        <v/>
      </c>
      <c r="S220" s="372" t="str">
        <f>IF(B220="", "", 'Lighting Inventory (Ref only)'!G231*'Lighting Inventory (Ref only)'!K231/1000)</f>
        <v/>
      </c>
      <c r="T220" s="298" t="str">
        <f>IF(B220="", "", IF('Lighting Inventory (Ref only)'!I231="", "Light Switch",Inventory!H228))</f>
        <v/>
      </c>
      <c r="U220" s="298" t="str">
        <f>IF(B220="", "", 'Lighting Inventory (Ref only)'!Q231)</f>
        <v/>
      </c>
      <c r="V220" s="298" t="str">
        <f>IF(B220="", "", 'Lighting Inventory (Ref only)'!K231)</f>
        <v/>
      </c>
      <c r="W220" s="373" t="str">
        <f>IF(B220="","",('Lighting Inventory (Ref only)'!L231/1000))</f>
        <v/>
      </c>
      <c r="X220" s="298" t="str">
        <f>IF(B220="", "", 'Lighting Inventory (Ref only)'!Q231)</f>
        <v/>
      </c>
      <c r="Y220" s="298" t="str">
        <f>IF(C220="", "", Inventory!N228)</f>
        <v/>
      </c>
      <c r="Z220" s="374" t="str">
        <f>IF(B220="", "", 'Lighting Inventory (Ref only)'!P231)</f>
        <v/>
      </c>
      <c r="AA220" s="372" t="str">
        <f>IF(B220="", "",'Lighting Inventory (Ref only)'!R231/1000)</f>
        <v/>
      </c>
      <c r="AB220" s="372" t="str">
        <f>IF(B220="", "", Inventory!M228)</f>
        <v/>
      </c>
      <c r="AC220" s="374" t="str">
        <f>IF(B220="", "", 'Lighting Inventory (Ref only)'!T231)</f>
        <v/>
      </c>
      <c r="AD220" s="374" t="str">
        <f>IF(C220="", "", 'Lighting Inventory (Ref only)'!AA231)</f>
        <v/>
      </c>
      <c r="AE220" s="375" t="str">
        <f>IF(B220="", "", 'Lighting Inventory (Ref only)'!U231)</f>
        <v/>
      </c>
      <c r="AF220" s="375" t="str">
        <f>IF(B220="", "",'Lighting Inventory (Ref only)'!W231)</f>
        <v/>
      </c>
      <c r="AG220" s="375" t="str">
        <f>IF(B220="", "", 'Lighting Inventory (Ref only)'!V231)</f>
        <v/>
      </c>
      <c r="AH220" s="375" t="str">
        <f>IF(B220="", "",'Lighting Inventory (Ref only)'!Z231)</f>
        <v/>
      </c>
      <c r="AI220" s="375" t="str">
        <f>IF(B220="", "", 'Lighting Inventory (Ref only)'!Y231)</f>
        <v/>
      </c>
      <c r="AJ220" s="375" t="str">
        <f>IF(C220="", "",'Lighting Inventory (Ref only)'!AB231)</f>
        <v/>
      </c>
      <c r="AK220" s="375" t="str">
        <f>IF(B220="", "", 'Lighting Inventory (Ref only)'!AG231)</f>
        <v/>
      </c>
      <c r="AL220" s="375" t="str">
        <f>IF(B220="", "", 'Lighting Inventory (Ref only)'!AD231)</f>
        <v/>
      </c>
      <c r="AM220" s="375" t="str">
        <f>IF(B220="", "", 'Lighting Inventory (Ref only)'!AE231)</f>
        <v/>
      </c>
      <c r="AN220" s="375" t="str">
        <f>IF(B220="", "", 'Lighting Inventory (Ref only)'!AF231)</f>
        <v/>
      </c>
      <c r="AO220" s="375" t="str">
        <f>IF(B220="", "", 'Lighting Inventory (Ref only)'!AG231)</f>
        <v/>
      </c>
    </row>
    <row r="221" spans="1:41">
      <c r="A221" s="298" t="str">
        <f>IF(G221="", "", Lookups!BF223)</f>
        <v/>
      </c>
      <c r="B221" s="298" t="str">
        <f>IF('Lighting Inventory (Ref only)'!Q232="", "", 'Lighting Inventory (Ref only)'!Q232)</f>
        <v/>
      </c>
      <c r="C221" s="298" t="str">
        <f>IF(A221="", "", 'Lighting Inventory (Ref only)'!AO232)</f>
        <v/>
      </c>
      <c r="D221" s="370" t="str">
        <f>IF(B221= "","", Inventory!S229)</f>
        <v/>
      </c>
      <c r="E221" s="371"/>
      <c r="F221" s="298" t="str">
        <f>IF(B221="", "", 'Version Log'!$B$34)</f>
        <v/>
      </c>
      <c r="G221" s="298" t="str">
        <f t="shared" si="12"/>
        <v/>
      </c>
      <c r="H221" s="298" t="str">
        <f t="shared" si="13"/>
        <v/>
      </c>
      <c r="I221" s="298" t="str">
        <f>IF(B221="", "",Inventory!D229)</f>
        <v/>
      </c>
      <c r="J221" s="298" t="str">
        <f>IF(B221="","",IF(Inventory!C229="N","Interior","Exterior"))</f>
        <v/>
      </c>
      <c r="K221" s="298" t="str">
        <f t="shared" si="14"/>
        <v/>
      </c>
      <c r="L221" s="298" t="str">
        <f>IF(B221="", "", Inventory!E229)</f>
        <v/>
      </c>
      <c r="M221" s="298" t="str">
        <f>IF(B221="","",IF(Cool_Type=Lookups!$L$9,Cool_Type,IF(Cool_Type=Lookups!$L$10,Cool_Type,IF(Cool_Type=Lookups!$L$11,Cool_Type,IF(Cool_Type=Lookups!L231,Cool_Type,IF('Project Info and Summary'!$C$20="Electric",CONCATENATE(Cool_Type," ",Heating_Type," Heat"),IF('Project Info and Summary'!$C$20="Non-Electric",CONCATENATE(Cool_Type," ",Heating_Type," Heat"),CONCATENATE(Cool_Type," ",Heating_Type))))))))</f>
        <v/>
      </c>
      <c r="N221" s="298" t="str">
        <f t="shared" si="15"/>
        <v/>
      </c>
      <c r="O221" s="298" t="str">
        <f>IF(B221="", "", 'Lighting Inventory (Ref only)'!G232)</f>
        <v/>
      </c>
      <c r="P221" s="298" t="str">
        <f>IF(B221="", "", 'Lighting Inventory (Ref only)'!E232)</f>
        <v/>
      </c>
      <c r="Q221" s="298" t="str">
        <f>IF(B221="", "", 'Lighting Inventory (Ref only)'!J232)</f>
        <v/>
      </c>
      <c r="R221" s="298" t="str">
        <f>IF(B221="", "",'Lighting Inventory (Ref only)'!K232)</f>
        <v/>
      </c>
      <c r="S221" s="372" t="str">
        <f>IF(B221="", "", 'Lighting Inventory (Ref only)'!G232*'Lighting Inventory (Ref only)'!K232/1000)</f>
        <v/>
      </c>
      <c r="T221" s="298" t="str">
        <f>IF(B221="", "", IF('Lighting Inventory (Ref only)'!I232="", "Light Switch",Inventory!H229))</f>
        <v/>
      </c>
      <c r="U221" s="298" t="str">
        <f>IF(B221="", "", 'Lighting Inventory (Ref only)'!Q232)</f>
        <v/>
      </c>
      <c r="V221" s="298" t="str">
        <f>IF(B221="", "", 'Lighting Inventory (Ref only)'!K232)</f>
        <v/>
      </c>
      <c r="W221" s="373" t="str">
        <f>IF(B221="","",('Lighting Inventory (Ref only)'!L232/1000))</f>
        <v/>
      </c>
      <c r="X221" s="298" t="str">
        <f>IF(B221="", "", 'Lighting Inventory (Ref only)'!Q232)</f>
        <v/>
      </c>
      <c r="Y221" s="298" t="str">
        <f>IF(C221="", "", Inventory!N229)</f>
        <v/>
      </c>
      <c r="Z221" s="374" t="str">
        <f>IF(B221="", "", 'Lighting Inventory (Ref only)'!P232)</f>
        <v/>
      </c>
      <c r="AA221" s="372" t="str">
        <f>IF(B221="", "",'Lighting Inventory (Ref only)'!R232/1000)</f>
        <v/>
      </c>
      <c r="AB221" s="372" t="str">
        <f>IF(B221="", "", Inventory!M229)</f>
        <v/>
      </c>
      <c r="AC221" s="374" t="str">
        <f>IF(B221="", "", 'Lighting Inventory (Ref only)'!T232)</f>
        <v/>
      </c>
      <c r="AD221" s="374" t="str">
        <f>IF(C221="", "", 'Lighting Inventory (Ref only)'!AA232)</f>
        <v/>
      </c>
      <c r="AE221" s="375" t="str">
        <f>IF(B221="", "", 'Lighting Inventory (Ref only)'!U232)</f>
        <v/>
      </c>
      <c r="AF221" s="375" t="str">
        <f>IF(B221="", "",'Lighting Inventory (Ref only)'!W232)</f>
        <v/>
      </c>
      <c r="AG221" s="375" t="str">
        <f>IF(B221="", "", 'Lighting Inventory (Ref only)'!V232)</f>
        <v/>
      </c>
      <c r="AH221" s="375" t="str">
        <f>IF(B221="", "",'Lighting Inventory (Ref only)'!Z232)</f>
        <v/>
      </c>
      <c r="AI221" s="375" t="str">
        <f>IF(B221="", "", 'Lighting Inventory (Ref only)'!Y232)</f>
        <v/>
      </c>
      <c r="AJ221" s="375" t="str">
        <f>IF(C221="", "",'Lighting Inventory (Ref only)'!AB232)</f>
        <v/>
      </c>
      <c r="AK221" s="375" t="str">
        <f>IF(B221="", "", 'Lighting Inventory (Ref only)'!AG232)</f>
        <v/>
      </c>
      <c r="AL221" s="375" t="str">
        <f>IF(B221="", "", 'Lighting Inventory (Ref only)'!AD232)</f>
        <v/>
      </c>
      <c r="AM221" s="375" t="str">
        <f>IF(B221="", "", 'Lighting Inventory (Ref only)'!AE232)</f>
        <v/>
      </c>
      <c r="AN221" s="375" t="str">
        <f>IF(B221="", "", 'Lighting Inventory (Ref only)'!AF232)</f>
        <v/>
      </c>
      <c r="AO221" s="375" t="str">
        <f>IF(B221="", "", 'Lighting Inventory (Ref only)'!AG232)</f>
        <v/>
      </c>
    </row>
    <row r="222" spans="1:41">
      <c r="A222" s="298" t="str">
        <f>IF(G222="", "", Lookups!BF224)</f>
        <v/>
      </c>
      <c r="B222" s="298" t="str">
        <f>IF('Lighting Inventory (Ref only)'!Q233="", "", 'Lighting Inventory (Ref only)'!Q233)</f>
        <v/>
      </c>
      <c r="C222" s="298" t="str">
        <f>IF(A222="", "", 'Lighting Inventory (Ref only)'!AO233)</f>
        <v/>
      </c>
      <c r="D222" s="370" t="str">
        <f>IF(B222= "","", Inventory!S230)</f>
        <v/>
      </c>
      <c r="E222" s="371"/>
      <c r="F222" s="298" t="str">
        <f>IF(B222="", "", 'Version Log'!$B$34)</f>
        <v/>
      </c>
      <c r="G222" s="298" t="str">
        <f t="shared" si="12"/>
        <v/>
      </c>
      <c r="H222" s="298" t="str">
        <f t="shared" si="13"/>
        <v/>
      </c>
      <c r="I222" s="298" t="str">
        <f>IF(B222="", "",Inventory!D230)</f>
        <v/>
      </c>
      <c r="J222" s="298" t="str">
        <f>IF(B222="","",IF(Inventory!C230="N","Interior","Exterior"))</f>
        <v/>
      </c>
      <c r="K222" s="298" t="str">
        <f t="shared" si="14"/>
        <v/>
      </c>
      <c r="L222" s="298" t="str">
        <f>IF(B222="", "", Inventory!E230)</f>
        <v/>
      </c>
      <c r="M222" s="298" t="str">
        <f>IF(B222="","",IF(Cool_Type=Lookups!$L$9,Cool_Type,IF(Cool_Type=Lookups!$L$10,Cool_Type,IF(Cool_Type=Lookups!$L$11,Cool_Type,IF(Cool_Type=Lookups!L232,Cool_Type,IF('Project Info and Summary'!$C$20="Electric",CONCATENATE(Cool_Type," ",Heating_Type," Heat"),IF('Project Info and Summary'!$C$20="Non-Electric",CONCATENATE(Cool_Type," ",Heating_Type," Heat"),CONCATENATE(Cool_Type," ",Heating_Type))))))))</f>
        <v/>
      </c>
      <c r="N222" s="298" t="str">
        <f t="shared" si="15"/>
        <v/>
      </c>
      <c r="O222" s="298" t="str">
        <f>IF(B222="", "", 'Lighting Inventory (Ref only)'!G233)</f>
        <v/>
      </c>
      <c r="P222" s="298" t="str">
        <f>IF(B222="", "", 'Lighting Inventory (Ref only)'!E233)</f>
        <v/>
      </c>
      <c r="Q222" s="298" t="str">
        <f>IF(B222="", "", 'Lighting Inventory (Ref only)'!J233)</f>
        <v/>
      </c>
      <c r="R222" s="298" t="str">
        <f>IF(B222="", "",'Lighting Inventory (Ref only)'!K233)</f>
        <v/>
      </c>
      <c r="S222" s="372" t="str">
        <f>IF(B222="", "", 'Lighting Inventory (Ref only)'!G233*'Lighting Inventory (Ref only)'!K233/1000)</f>
        <v/>
      </c>
      <c r="T222" s="298" t="str">
        <f>IF(B222="", "", IF('Lighting Inventory (Ref only)'!I233="", "Light Switch",Inventory!H230))</f>
        <v/>
      </c>
      <c r="U222" s="298" t="str">
        <f>IF(B222="", "", 'Lighting Inventory (Ref only)'!Q233)</f>
        <v/>
      </c>
      <c r="V222" s="298" t="str">
        <f>IF(B222="", "", 'Lighting Inventory (Ref only)'!K233)</f>
        <v/>
      </c>
      <c r="W222" s="373" t="str">
        <f>IF(B222="","",('Lighting Inventory (Ref only)'!L233/1000))</f>
        <v/>
      </c>
      <c r="X222" s="298" t="str">
        <f>IF(B222="", "", 'Lighting Inventory (Ref only)'!Q233)</f>
        <v/>
      </c>
      <c r="Y222" s="298" t="str">
        <f>IF(C222="", "", Inventory!N230)</f>
        <v/>
      </c>
      <c r="Z222" s="374" t="str">
        <f>IF(B222="", "", 'Lighting Inventory (Ref only)'!P233)</f>
        <v/>
      </c>
      <c r="AA222" s="372" t="str">
        <f>IF(B222="", "",'Lighting Inventory (Ref only)'!R233/1000)</f>
        <v/>
      </c>
      <c r="AB222" s="372" t="str">
        <f>IF(B222="", "", Inventory!M230)</f>
        <v/>
      </c>
      <c r="AC222" s="374" t="str">
        <f>IF(B222="", "", 'Lighting Inventory (Ref only)'!T233)</f>
        <v/>
      </c>
      <c r="AD222" s="374" t="str">
        <f>IF(C222="", "", 'Lighting Inventory (Ref only)'!AA233)</f>
        <v/>
      </c>
      <c r="AE222" s="375" t="str">
        <f>IF(B222="", "", 'Lighting Inventory (Ref only)'!U233)</f>
        <v/>
      </c>
      <c r="AF222" s="375" t="str">
        <f>IF(B222="", "",'Lighting Inventory (Ref only)'!W233)</f>
        <v/>
      </c>
      <c r="AG222" s="375" t="str">
        <f>IF(B222="", "", 'Lighting Inventory (Ref only)'!V233)</f>
        <v/>
      </c>
      <c r="AH222" s="375" t="str">
        <f>IF(B222="", "",'Lighting Inventory (Ref only)'!Z233)</f>
        <v/>
      </c>
      <c r="AI222" s="375" t="str">
        <f>IF(B222="", "", 'Lighting Inventory (Ref only)'!Y233)</f>
        <v/>
      </c>
      <c r="AJ222" s="375" t="str">
        <f>IF(C222="", "",'Lighting Inventory (Ref only)'!AB233)</f>
        <v/>
      </c>
      <c r="AK222" s="375" t="str">
        <f>IF(B222="", "", 'Lighting Inventory (Ref only)'!AG233)</f>
        <v/>
      </c>
      <c r="AL222" s="375" t="str">
        <f>IF(B222="", "", 'Lighting Inventory (Ref only)'!AD233)</f>
        <v/>
      </c>
      <c r="AM222" s="375" t="str">
        <f>IF(B222="", "", 'Lighting Inventory (Ref only)'!AE233)</f>
        <v/>
      </c>
      <c r="AN222" s="375" t="str">
        <f>IF(B222="", "", 'Lighting Inventory (Ref only)'!AF233)</f>
        <v/>
      </c>
      <c r="AO222" s="375" t="str">
        <f>IF(B222="", "", 'Lighting Inventory (Ref only)'!AG233)</f>
        <v/>
      </c>
    </row>
    <row r="223" spans="1:41">
      <c r="A223" s="298" t="str">
        <f>IF(G223="", "", Lookups!BF225)</f>
        <v/>
      </c>
      <c r="B223" s="298" t="str">
        <f>IF('Lighting Inventory (Ref only)'!Q234="", "", 'Lighting Inventory (Ref only)'!Q234)</f>
        <v/>
      </c>
      <c r="C223" s="298" t="str">
        <f>IF(A223="", "", 'Lighting Inventory (Ref only)'!AO234)</f>
        <v/>
      </c>
      <c r="D223" s="370" t="str">
        <f>IF(B223= "","", Inventory!S231)</f>
        <v/>
      </c>
      <c r="E223" s="371"/>
      <c r="F223" s="298" t="str">
        <f>IF(B223="", "", 'Version Log'!$B$34)</f>
        <v/>
      </c>
      <c r="G223" s="298" t="str">
        <f t="shared" si="12"/>
        <v/>
      </c>
      <c r="H223" s="298" t="str">
        <f t="shared" si="13"/>
        <v/>
      </c>
      <c r="I223" s="298" t="str">
        <f>IF(B223="", "",Inventory!D231)</f>
        <v/>
      </c>
      <c r="J223" s="298" t="str">
        <f>IF(B223="","",IF(Inventory!C231="N","Interior","Exterior"))</f>
        <v/>
      </c>
      <c r="K223" s="298" t="str">
        <f t="shared" si="14"/>
        <v/>
      </c>
      <c r="L223" s="298" t="str">
        <f>IF(B223="", "", Inventory!E231)</f>
        <v/>
      </c>
      <c r="M223" s="298" t="str">
        <f>IF(B223="","",IF(Cool_Type=Lookups!$L$9,Cool_Type,IF(Cool_Type=Lookups!$L$10,Cool_Type,IF(Cool_Type=Lookups!$L$11,Cool_Type,IF(Cool_Type=Lookups!L233,Cool_Type,IF('Project Info and Summary'!$C$20="Electric",CONCATENATE(Cool_Type," ",Heating_Type," Heat"),IF('Project Info and Summary'!$C$20="Non-Electric",CONCATENATE(Cool_Type," ",Heating_Type," Heat"),CONCATENATE(Cool_Type," ",Heating_Type))))))))</f>
        <v/>
      </c>
      <c r="N223" s="298" t="str">
        <f t="shared" si="15"/>
        <v/>
      </c>
      <c r="O223" s="298" t="str">
        <f>IF(B223="", "", 'Lighting Inventory (Ref only)'!G234)</f>
        <v/>
      </c>
      <c r="P223" s="298" t="str">
        <f>IF(B223="", "", 'Lighting Inventory (Ref only)'!E234)</f>
        <v/>
      </c>
      <c r="Q223" s="298" t="str">
        <f>IF(B223="", "", 'Lighting Inventory (Ref only)'!J234)</f>
        <v/>
      </c>
      <c r="R223" s="298" t="str">
        <f>IF(B223="", "",'Lighting Inventory (Ref only)'!K234)</f>
        <v/>
      </c>
      <c r="S223" s="372" t="str">
        <f>IF(B223="", "", 'Lighting Inventory (Ref only)'!G234*'Lighting Inventory (Ref only)'!K234/1000)</f>
        <v/>
      </c>
      <c r="T223" s="298" t="str">
        <f>IF(B223="", "", IF('Lighting Inventory (Ref only)'!I234="", "Light Switch",Inventory!H231))</f>
        <v/>
      </c>
      <c r="U223" s="298" t="str">
        <f>IF(B223="", "", 'Lighting Inventory (Ref only)'!Q234)</f>
        <v/>
      </c>
      <c r="V223" s="298" t="str">
        <f>IF(B223="", "", 'Lighting Inventory (Ref only)'!K234)</f>
        <v/>
      </c>
      <c r="W223" s="373" t="str">
        <f>IF(B223="","",('Lighting Inventory (Ref only)'!L234/1000))</f>
        <v/>
      </c>
      <c r="X223" s="298" t="str">
        <f>IF(B223="", "", 'Lighting Inventory (Ref only)'!Q234)</f>
        <v/>
      </c>
      <c r="Y223" s="298" t="str">
        <f>IF(C223="", "", Inventory!N231)</f>
        <v/>
      </c>
      <c r="Z223" s="374" t="str">
        <f>IF(B223="", "", 'Lighting Inventory (Ref only)'!P234)</f>
        <v/>
      </c>
      <c r="AA223" s="372" t="str">
        <f>IF(B223="", "",'Lighting Inventory (Ref only)'!R234/1000)</f>
        <v/>
      </c>
      <c r="AB223" s="372" t="str">
        <f>IF(B223="", "", Inventory!M231)</f>
        <v/>
      </c>
      <c r="AC223" s="374" t="str">
        <f>IF(B223="", "", 'Lighting Inventory (Ref only)'!T234)</f>
        <v/>
      </c>
      <c r="AD223" s="374" t="str">
        <f>IF(C223="", "", 'Lighting Inventory (Ref only)'!AA234)</f>
        <v/>
      </c>
      <c r="AE223" s="375" t="str">
        <f>IF(B223="", "", 'Lighting Inventory (Ref only)'!U234)</f>
        <v/>
      </c>
      <c r="AF223" s="375" t="str">
        <f>IF(B223="", "",'Lighting Inventory (Ref only)'!W234)</f>
        <v/>
      </c>
      <c r="AG223" s="375" t="str">
        <f>IF(B223="", "", 'Lighting Inventory (Ref only)'!V234)</f>
        <v/>
      </c>
      <c r="AH223" s="375" t="str">
        <f>IF(B223="", "",'Lighting Inventory (Ref only)'!Z234)</f>
        <v/>
      </c>
      <c r="AI223" s="375" t="str">
        <f>IF(B223="", "", 'Lighting Inventory (Ref only)'!Y234)</f>
        <v/>
      </c>
      <c r="AJ223" s="375" t="str">
        <f>IF(C223="", "",'Lighting Inventory (Ref only)'!AB234)</f>
        <v/>
      </c>
      <c r="AK223" s="375" t="str">
        <f>IF(B223="", "", 'Lighting Inventory (Ref only)'!AG234)</f>
        <v/>
      </c>
      <c r="AL223" s="375" t="str">
        <f>IF(B223="", "", 'Lighting Inventory (Ref only)'!AD234)</f>
        <v/>
      </c>
      <c r="AM223" s="375" t="str">
        <f>IF(B223="", "", 'Lighting Inventory (Ref only)'!AE234)</f>
        <v/>
      </c>
      <c r="AN223" s="375" t="str">
        <f>IF(B223="", "", 'Lighting Inventory (Ref only)'!AF234)</f>
        <v/>
      </c>
      <c r="AO223" s="375" t="str">
        <f>IF(B223="", "", 'Lighting Inventory (Ref only)'!AG234)</f>
        <v/>
      </c>
    </row>
    <row r="224" spans="1:41">
      <c r="A224" s="298" t="str">
        <f>IF(G224="", "", Lookups!BF226)</f>
        <v/>
      </c>
      <c r="B224" s="298" t="str">
        <f>IF('Lighting Inventory (Ref only)'!Q235="", "", 'Lighting Inventory (Ref only)'!Q235)</f>
        <v/>
      </c>
      <c r="C224" s="298" t="str">
        <f>IF(A224="", "", 'Lighting Inventory (Ref only)'!AO235)</f>
        <v/>
      </c>
      <c r="D224" s="370" t="str">
        <f>IF(B224= "","", Inventory!S232)</f>
        <v/>
      </c>
      <c r="E224" s="371"/>
      <c r="F224" s="298" t="str">
        <f>IF(B224="", "", 'Version Log'!$B$34)</f>
        <v/>
      </c>
      <c r="G224" s="298" t="str">
        <f t="shared" si="12"/>
        <v/>
      </c>
      <c r="H224" s="298" t="str">
        <f t="shared" si="13"/>
        <v/>
      </c>
      <c r="I224" s="298" t="str">
        <f>IF(B224="", "",Inventory!D232)</f>
        <v/>
      </c>
      <c r="J224" s="298" t="str">
        <f>IF(B224="","",IF(Inventory!C232="N","Interior","Exterior"))</f>
        <v/>
      </c>
      <c r="K224" s="298" t="str">
        <f t="shared" si="14"/>
        <v/>
      </c>
      <c r="L224" s="298" t="str">
        <f>IF(B224="", "", Inventory!E232)</f>
        <v/>
      </c>
      <c r="M224" s="298" t="str">
        <f>IF(B224="","",IF(Cool_Type=Lookups!$L$9,Cool_Type,IF(Cool_Type=Lookups!$L$10,Cool_Type,IF(Cool_Type=Lookups!$L$11,Cool_Type,IF(Cool_Type=Lookups!L234,Cool_Type,IF('Project Info and Summary'!$C$20="Electric",CONCATENATE(Cool_Type," ",Heating_Type," Heat"),IF('Project Info and Summary'!$C$20="Non-Electric",CONCATENATE(Cool_Type," ",Heating_Type," Heat"),CONCATENATE(Cool_Type," ",Heating_Type))))))))</f>
        <v/>
      </c>
      <c r="N224" s="298" t="str">
        <f t="shared" si="15"/>
        <v/>
      </c>
      <c r="O224" s="298" t="str">
        <f>IF(B224="", "", 'Lighting Inventory (Ref only)'!G235)</f>
        <v/>
      </c>
      <c r="P224" s="298" t="str">
        <f>IF(B224="", "", 'Lighting Inventory (Ref only)'!E235)</f>
        <v/>
      </c>
      <c r="Q224" s="298" t="str">
        <f>IF(B224="", "", 'Lighting Inventory (Ref only)'!J235)</f>
        <v/>
      </c>
      <c r="R224" s="298" t="str">
        <f>IF(B224="", "",'Lighting Inventory (Ref only)'!K235)</f>
        <v/>
      </c>
      <c r="S224" s="372" t="str">
        <f>IF(B224="", "", 'Lighting Inventory (Ref only)'!G235*'Lighting Inventory (Ref only)'!K235/1000)</f>
        <v/>
      </c>
      <c r="T224" s="298" t="str">
        <f>IF(B224="", "", IF('Lighting Inventory (Ref only)'!I235="", "Light Switch",Inventory!H232))</f>
        <v/>
      </c>
      <c r="U224" s="298" t="str">
        <f>IF(B224="", "", 'Lighting Inventory (Ref only)'!Q235)</f>
        <v/>
      </c>
      <c r="V224" s="298" t="str">
        <f>IF(B224="", "", 'Lighting Inventory (Ref only)'!K235)</f>
        <v/>
      </c>
      <c r="W224" s="373" t="str">
        <f>IF(B224="","",('Lighting Inventory (Ref only)'!L235/1000))</f>
        <v/>
      </c>
      <c r="X224" s="298" t="str">
        <f>IF(B224="", "", 'Lighting Inventory (Ref only)'!Q235)</f>
        <v/>
      </c>
      <c r="Y224" s="298" t="str">
        <f>IF(C224="", "", Inventory!N232)</f>
        <v/>
      </c>
      <c r="Z224" s="374" t="str">
        <f>IF(B224="", "", 'Lighting Inventory (Ref only)'!P235)</f>
        <v/>
      </c>
      <c r="AA224" s="372" t="str">
        <f>IF(B224="", "",'Lighting Inventory (Ref only)'!R235/1000)</f>
        <v/>
      </c>
      <c r="AB224" s="372" t="str">
        <f>IF(B224="", "", Inventory!M232)</f>
        <v/>
      </c>
      <c r="AC224" s="374" t="str">
        <f>IF(B224="", "", 'Lighting Inventory (Ref only)'!T235)</f>
        <v/>
      </c>
      <c r="AD224" s="374" t="str">
        <f>IF(C224="", "", 'Lighting Inventory (Ref only)'!AA235)</f>
        <v/>
      </c>
      <c r="AE224" s="375" t="str">
        <f>IF(B224="", "", 'Lighting Inventory (Ref only)'!U235)</f>
        <v/>
      </c>
      <c r="AF224" s="375" t="str">
        <f>IF(B224="", "",'Lighting Inventory (Ref only)'!W235)</f>
        <v/>
      </c>
      <c r="AG224" s="375" t="str">
        <f>IF(B224="", "", 'Lighting Inventory (Ref only)'!V235)</f>
        <v/>
      </c>
      <c r="AH224" s="375" t="str">
        <f>IF(B224="", "",'Lighting Inventory (Ref only)'!Z235)</f>
        <v/>
      </c>
      <c r="AI224" s="375" t="str">
        <f>IF(B224="", "", 'Lighting Inventory (Ref only)'!Y235)</f>
        <v/>
      </c>
      <c r="AJ224" s="375" t="str">
        <f>IF(C224="", "",'Lighting Inventory (Ref only)'!AB235)</f>
        <v/>
      </c>
      <c r="AK224" s="375" t="str">
        <f>IF(B224="", "", 'Lighting Inventory (Ref only)'!AG235)</f>
        <v/>
      </c>
      <c r="AL224" s="375" t="str">
        <f>IF(B224="", "", 'Lighting Inventory (Ref only)'!AD235)</f>
        <v/>
      </c>
      <c r="AM224" s="375" t="str">
        <f>IF(B224="", "", 'Lighting Inventory (Ref only)'!AE235)</f>
        <v/>
      </c>
      <c r="AN224" s="375" t="str">
        <f>IF(B224="", "", 'Lighting Inventory (Ref only)'!AF235)</f>
        <v/>
      </c>
      <c r="AO224" s="375" t="str">
        <f>IF(B224="", "", 'Lighting Inventory (Ref only)'!AG235)</f>
        <v/>
      </c>
    </row>
    <row r="225" spans="1:41">
      <c r="A225" s="298" t="str">
        <f>IF(G225="", "", Lookups!BF227)</f>
        <v/>
      </c>
      <c r="B225" s="298" t="str">
        <f>IF('Lighting Inventory (Ref only)'!Q236="", "", 'Lighting Inventory (Ref only)'!Q236)</f>
        <v/>
      </c>
      <c r="C225" s="298" t="str">
        <f>IF(A225="", "", 'Lighting Inventory (Ref only)'!AO236)</f>
        <v/>
      </c>
      <c r="D225" s="370" t="str">
        <f>IF(B225= "","", Inventory!S233)</f>
        <v/>
      </c>
      <c r="E225" s="371"/>
      <c r="F225" s="298" t="str">
        <f>IF(B225="", "", 'Version Log'!$B$34)</f>
        <v/>
      </c>
      <c r="G225" s="298" t="str">
        <f t="shared" si="12"/>
        <v/>
      </c>
      <c r="H225" s="298" t="str">
        <f t="shared" si="13"/>
        <v/>
      </c>
      <c r="I225" s="298" t="str">
        <f>IF(B225="", "",Inventory!D233)</f>
        <v/>
      </c>
      <c r="J225" s="298" t="str">
        <f>IF(B225="","",IF(Inventory!C233="N","Interior","Exterior"))</f>
        <v/>
      </c>
      <c r="K225" s="298" t="str">
        <f t="shared" si="14"/>
        <v/>
      </c>
      <c r="L225" s="298" t="str">
        <f>IF(B225="", "", Inventory!E233)</f>
        <v/>
      </c>
      <c r="M225" s="298" t="str">
        <f>IF(B225="","",IF(Cool_Type=Lookups!$L$9,Cool_Type,IF(Cool_Type=Lookups!$L$10,Cool_Type,IF(Cool_Type=Lookups!$L$11,Cool_Type,IF(Cool_Type=Lookups!L235,Cool_Type,IF('Project Info and Summary'!$C$20="Electric",CONCATENATE(Cool_Type," ",Heating_Type," Heat"),IF('Project Info and Summary'!$C$20="Non-Electric",CONCATENATE(Cool_Type," ",Heating_Type," Heat"),CONCATENATE(Cool_Type," ",Heating_Type))))))))</f>
        <v/>
      </c>
      <c r="N225" s="298" t="str">
        <f t="shared" si="15"/>
        <v/>
      </c>
      <c r="O225" s="298" t="str">
        <f>IF(B225="", "", 'Lighting Inventory (Ref only)'!G236)</f>
        <v/>
      </c>
      <c r="P225" s="298" t="str">
        <f>IF(B225="", "", 'Lighting Inventory (Ref only)'!E236)</f>
        <v/>
      </c>
      <c r="Q225" s="298" t="str">
        <f>IF(B225="", "", 'Lighting Inventory (Ref only)'!J236)</f>
        <v/>
      </c>
      <c r="R225" s="298" t="str">
        <f>IF(B225="", "",'Lighting Inventory (Ref only)'!K236)</f>
        <v/>
      </c>
      <c r="S225" s="372" t="str">
        <f>IF(B225="", "", 'Lighting Inventory (Ref only)'!G236*'Lighting Inventory (Ref only)'!K236/1000)</f>
        <v/>
      </c>
      <c r="T225" s="298" t="str">
        <f>IF(B225="", "", IF('Lighting Inventory (Ref only)'!I236="", "Light Switch",Inventory!H233))</f>
        <v/>
      </c>
      <c r="U225" s="298" t="str">
        <f>IF(B225="", "", 'Lighting Inventory (Ref only)'!Q236)</f>
        <v/>
      </c>
      <c r="V225" s="298" t="str">
        <f>IF(B225="", "", 'Lighting Inventory (Ref only)'!K236)</f>
        <v/>
      </c>
      <c r="W225" s="373" t="str">
        <f>IF(B225="","",('Lighting Inventory (Ref only)'!L236/1000))</f>
        <v/>
      </c>
      <c r="X225" s="298" t="str">
        <f>IF(B225="", "", 'Lighting Inventory (Ref only)'!Q236)</f>
        <v/>
      </c>
      <c r="Y225" s="298" t="str">
        <f>IF(C225="", "", Inventory!N233)</f>
        <v/>
      </c>
      <c r="Z225" s="374" t="str">
        <f>IF(B225="", "", 'Lighting Inventory (Ref only)'!P236)</f>
        <v/>
      </c>
      <c r="AA225" s="372" t="str">
        <f>IF(B225="", "",'Lighting Inventory (Ref only)'!R236/1000)</f>
        <v/>
      </c>
      <c r="AB225" s="372" t="str">
        <f>IF(B225="", "", Inventory!M233)</f>
        <v/>
      </c>
      <c r="AC225" s="374" t="str">
        <f>IF(B225="", "", 'Lighting Inventory (Ref only)'!T236)</f>
        <v/>
      </c>
      <c r="AD225" s="374" t="str">
        <f>IF(C225="", "", 'Lighting Inventory (Ref only)'!AA236)</f>
        <v/>
      </c>
      <c r="AE225" s="375" t="str">
        <f>IF(B225="", "", 'Lighting Inventory (Ref only)'!U236)</f>
        <v/>
      </c>
      <c r="AF225" s="375" t="str">
        <f>IF(B225="", "",'Lighting Inventory (Ref only)'!W236)</f>
        <v/>
      </c>
      <c r="AG225" s="375" t="str">
        <f>IF(B225="", "", 'Lighting Inventory (Ref only)'!V236)</f>
        <v/>
      </c>
      <c r="AH225" s="375" t="str">
        <f>IF(B225="", "",'Lighting Inventory (Ref only)'!Z236)</f>
        <v/>
      </c>
      <c r="AI225" s="375" t="str">
        <f>IF(B225="", "", 'Lighting Inventory (Ref only)'!Y236)</f>
        <v/>
      </c>
      <c r="AJ225" s="375" t="str">
        <f>IF(C225="", "",'Lighting Inventory (Ref only)'!AB236)</f>
        <v/>
      </c>
      <c r="AK225" s="375" t="str">
        <f>IF(B225="", "", 'Lighting Inventory (Ref only)'!AG236)</f>
        <v/>
      </c>
      <c r="AL225" s="375" t="str">
        <f>IF(B225="", "", 'Lighting Inventory (Ref only)'!AD236)</f>
        <v/>
      </c>
      <c r="AM225" s="375" t="str">
        <f>IF(B225="", "", 'Lighting Inventory (Ref only)'!AE236)</f>
        <v/>
      </c>
      <c r="AN225" s="375" t="str">
        <f>IF(B225="", "", 'Lighting Inventory (Ref only)'!AF236)</f>
        <v/>
      </c>
      <c r="AO225" s="375" t="str">
        <f>IF(B225="", "", 'Lighting Inventory (Ref only)'!AG236)</f>
        <v/>
      </c>
    </row>
    <row r="226" spans="1:41">
      <c r="A226" s="298" t="str">
        <f>IF(G226="", "", Lookups!BF228)</f>
        <v/>
      </c>
      <c r="B226" s="298" t="str">
        <f>IF('Lighting Inventory (Ref only)'!Q237="", "", 'Lighting Inventory (Ref only)'!Q237)</f>
        <v/>
      </c>
      <c r="C226" s="298" t="str">
        <f>IF(A226="", "", 'Lighting Inventory (Ref only)'!AO237)</f>
        <v/>
      </c>
      <c r="D226" s="370" t="str">
        <f>IF(B226= "","", Inventory!S234)</f>
        <v/>
      </c>
      <c r="E226" s="371"/>
      <c r="F226" s="298" t="str">
        <f>IF(B226="", "", 'Version Log'!$B$34)</f>
        <v/>
      </c>
      <c r="G226" s="298" t="str">
        <f t="shared" si="12"/>
        <v/>
      </c>
      <c r="H226" s="298" t="str">
        <f t="shared" si="13"/>
        <v/>
      </c>
      <c r="I226" s="298" t="str">
        <f>IF(B226="", "",Inventory!D234)</f>
        <v/>
      </c>
      <c r="J226" s="298" t="str">
        <f>IF(B226="","",IF(Inventory!C234="N","Interior","Exterior"))</f>
        <v/>
      </c>
      <c r="K226" s="298" t="str">
        <f t="shared" si="14"/>
        <v/>
      </c>
      <c r="L226" s="298" t="str">
        <f>IF(B226="", "", Inventory!E234)</f>
        <v/>
      </c>
      <c r="M226" s="298" t="str">
        <f>IF(B226="","",IF(Cool_Type=Lookups!$L$9,Cool_Type,IF(Cool_Type=Lookups!$L$10,Cool_Type,IF(Cool_Type=Lookups!$L$11,Cool_Type,IF(Cool_Type=Lookups!L236,Cool_Type,IF('Project Info and Summary'!$C$20="Electric",CONCATENATE(Cool_Type," ",Heating_Type," Heat"),IF('Project Info and Summary'!$C$20="Non-Electric",CONCATENATE(Cool_Type," ",Heating_Type," Heat"),CONCATENATE(Cool_Type," ",Heating_Type))))))))</f>
        <v/>
      </c>
      <c r="N226" s="298" t="str">
        <f t="shared" si="15"/>
        <v/>
      </c>
      <c r="O226" s="298" t="str">
        <f>IF(B226="", "", 'Lighting Inventory (Ref only)'!G237)</f>
        <v/>
      </c>
      <c r="P226" s="298" t="str">
        <f>IF(B226="", "", 'Lighting Inventory (Ref only)'!E237)</f>
        <v/>
      </c>
      <c r="Q226" s="298" t="str">
        <f>IF(B226="", "", 'Lighting Inventory (Ref only)'!J237)</f>
        <v/>
      </c>
      <c r="R226" s="298" t="str">
        <f>IF(B226="", "",'Lighting Inventory (Ref only)'!K237)</f>
        <v/>
      </c>
      <c r="S226" s="372" t="str">
        <f>IF(B226="", "", 'Lighting Inventory (Ref only)'!G237*'Lighting Inventory (Ref only)'!K237/1000)</f>
        <v/>
      </c>
      <c r="T226" s="298" t="str">
        <f>IF(B226="", "", IF('Lighting Inventory (Ref only)'!I237="", "Light Switch",Inventory!H234))</f>
        <v/>
      </c>
      <c r="U226" s="298" t="str">
        <f>IF(B226="", "", 'Lighting Inventory (Ref only)'!Q237)</f>
        <v/>
      </c>
      <c r="V226" s="298" t="str">
        <f>IF(B226="", "", 'Lighting Inventory (Ref only)'!K237)</f>
        <v/>
      </c>
      <c r="W226" s="373" t="str">
        <f>IF(B226="","",('Lighting Inventory (Ref only)'!L237/1000))</f>
        <v/>
      </c>
      <c r="X226" s="298" t="str">
        <f>IF(B226="", "", 'Lighting Inventory (Ref only)'!Q237)</f>
        <v/>
      </c>
      <c r="Y226" s="298" t="str">
        <f>IF(C226="", "", Inventory!N234)</f>
        <v/>
      </c>
      <c r="Z226" s="374" t="str">
        <f>IF(B226="", "", 'Lighting Inventory (Ref only)'!P237)</f>
        <v/>
      </c>
      <c r="AA226" s="372" t="str">
        <f>IF(B226="", "",'Lighting Inventory (Ref only)'!R237/1000)</f>
        <v/>
      </c>
      <c r="AB226" s="372" t="str">
        <f>IF(B226="", "", Inventory!M234)</f>
        <v/>
      </c>
      <c r="AC226" s="374" t="str">
        <f>IF(B226="", "", 'Lighting Inventory (Ref only)'!T237)</f>
        <v/>
      </c>
      <c r="AD226" s="374" t="str">
        <f>IF(C226="", "", 'Lighting Inventory (Ref only)'!AA237)</f>
        <v/>
      </c>
      <c r="AE226" s="375" t="str">
        <f>IF(B226="", "", 'Lighting Inventory (Ref only)'!U237)</f>
        <v/>
      </c>
      <c r="AF226" s="375" t="str">
        <f>IF(B226="", "",'Lighting Inventory (Ref only)'!W237)</f>
        <v/>
      </c>
      <c r="AG226" s="375" t="str">
        <f>IF(B226="", "", 'Lighting Inventory (Ref only)'!V237)</f>
        <v/>
      </c>
      <c r="AH226" s="375" t="str">
        <f>IF(B226="", "",'Lighting Inventory (Ref only)'!Z237)</f>
        <v/>
      </c>
      <c r="AI226" s="375" t="str">
        <f>IF(B226="", "", 'Lighting Inventory (Ref only)'!Y237)</f>
        <v/>
      </c>
      <c r="AJ226" s="375" t="str">
        <f>IF(C226="", "",'Lighting Inventory (Ref only)'!AB237)</f>
        <v/>
      </c>
      <c r="AK226" s="375" t="str">
        <f>IF(B226="", "", 'Lighting Inventory (Ref only)'!AG237)</f>
        <v/>
      </c>
      <c r="AL226" s="375" t="str">
        <f>IF(B226="", "", 'Lighting Inventory (Ref only)'!AD237)</f>
        <v/>
      </c>
      <c r="AM226" s="375" t="str">
        <f>IF(B226="", "", 'Lighting Inventory (Ref only)'!AE237)</f>
        <v/>
      </c>
      <c r="AN226" s="375" t="str">
        <f>IF(B226="", "", 'Lighting Inventory (Ref only)'!AF237)</f>
        <v/>
      </c>
      <c r="AO226" s="375" t="str">
        <f>IF(B226="", "", 'Lighting Inventory (Ref only)'!AG237)</f>
        <v/>
      </c>
    </row>
    <row r="227" spans="1:41">
      <c r="A227" s="298" t="str">
        <f>IF(G227="", "", Lookups!BF229)</f>
        <v/>
      </c>
      <c r="B227" s="298" t="str">
        <f>IF('Lighting Inventory (Ref only)'!Q238="", "", 'Lighting Inventory (Ref only)'!Q238)</f>
        <v/>
      </c>
      <c r="C227" s="298" t="str">
        <f>IF(A227="", "", 'Lighting Inventory (Ref only)'!AO238)</f>
        <v/>
      </c>
      <c r="D227" s="370" t="str">
        <f>IF(B227= "","", Inventory!S235)</f>
        <v/>
      </c>
      <c r="E227" s="371"/>
      <c r="F227" s="298" t="str">
        <f>IF(B227="", "", 'Version Log'!$B$34)</f>
        <v/>
      </c>
      <c r="G227" s="298" t="str">
        <f t="shared" si="12"/>
        <v/>
      </c>
      <c r="H227" s="298" t="str">
        <f t="shared" si="13"/>
        <v/>
      </c>
      <c r="I227" s="298" t="str">
        <f>IF(B227="", "",Inventory!D235)</f>
        <v/>
      </c>
      <c r="J227" s="298" t="str">
        <f>IF(B227="","",IF(Inventory!C235="N","Interior","Exterior"))</f>
        <v/>
      </c>
      <c r="K227" s="298" t="str">
        <f t="shared" si="14"/>
        <v/>
      </c>
      <c r="L227" s="298" t="str">
        <f>IF(B227="", "", Inventory!E235)</f>
        <v/>
      </c>
      <c r="M227" s="298" t="str">
        <f>IF(B227="","",IF(Cool_Type=Lookups!$L$9,Cool_Type,IF(Cool_Type=Lookups!$L$10,Cool_Type,IF(Cool_Type=Lookups!$L$11,Cool_Type,IF(Cool_Type=Lookups!L237,Cool_Type,IF('Project Info and Summary'!$C$20="Electric",CONCATENATE(Cool_Type," ",Heating_Type," Heat"),IF('Project Info and Summary'!$C$20="Non-Electric",CONCATENATE(Cool_Type," ",Heating_Type," Heat"),CONCATENATE(Cool_Type," ",Heating_Type))))))))</f>
        <v/>
      </c>
      <c r="N227" s="298" t="str">
        <f t="shared" si="15"/>
        <v/>
      </c>
      <c r="O227" s="298" t="str">
        <f>IF(B227="", "", 'Lighting Inventory (Ref only)'!G238)</f>
        <v/>
      </c>
      <c r="P227" s="298" t="str">
        <f>IF(B227="", "", 'Lighting Inventory (Ref only)'!E238)</f>
        <v/>
      </c>
      <c r="Q227" s="298" t="str">
        <f>IF(B227="", "", 'Lighting Inventory (Ref only)'!J238)</f>
        <v/>
      </c>
      <c r="R227" s="298" t="str">
        <f>IF(B227="", "",'Lighting Inventory (Ref only)'!K238)</f>
        <v/>
      </c>
      <c r="S227" s="372" t="str">
        <f>IF(B227="", "", 'Lighting Inventory (Ref only)'!G238*'Lighting Inventory (Ref only)'!K238/1000)</f>
        <v/>
      </c>
      <c r="T227" s="298" t="str">
        <f>IF(B227="", "", IF('Lighting Inventory (Ref only)'!I238="", "Light Switch",Inventory!H235))</f>
        <v/>
      </c>
      <c r="U227" s="298" t="str">
        <f>IF(B227="", "", 'Lighting Inventory (Ref only)'!Q238)</f>
        <v/>
      </c>
      <c r="V227" s="298" t="str">
        <f>IF(B227="", "", 'Lighting Inventory (Ref only)'!K238)</f>
        <v/>
      </c>
      <c r="W227" s="373" t="str">
        <f>IF(B227="","",('Lighting Inventory (Ref only)'!L238/1000))</f>
        <v/>
      </c>
      <c r="X227" s="298" t="str">
        <f>IF(B227="", "", 'Lighting Inventory (Ref only)'!Q238)</f>
        <v/>
      </c>
      <c r="Y227" s="298" t="str">
        <f>IF(C227="", "", Inventory!N235)</f>
        <v/>
      </c>
      <c r="Z227" s="374" t="str">
        <f>IF(B227="", "", 'Lighting Inventory (Ref only)'!P238)</f>
        <v/>
      </c>
      <c r="AA227" s="372" t="str">
        <f>IF(B227="", "",'Lighting Inventory (Ref only)'!R238/1000)</f>
        <v/>
      </c>
      <c r="AB227" s="372" t="str">
        <f>IF(B227="", "", Inventory!M235)</f>
        <v/>
      </c>
      <c r="AC227" s="374" t="str">
        <f>IF(B227="", "", 'Lighting Inventory (Ref only)'!T238)</f>
        <v/>
      </c>
      <c r="AD227" s="374" t="str">
        <f>IF(C227="", "", 'Lighting Inventory (Ref only)'!AA238)</f>
        <v/>
      </c>
      <c r="AE227" s="375" t="str">
        <f>IF(B227="", "", 'Lighting Inventory (Ref only)'!U238)</f>
        <v/>
      </c>
      <c r="AF227" s="375" t="str">
        <f>IF(B227="", "",'Lighting Inventory (Ref only)'!W238)</f>
        <v/>
      </c>
      <c r="AG227" s="375" t="str">
        <f>IF(B227="", "", 'Lighting Inventory (Ref only)'!V238)</f>
        <v/>
      </c>
      <c r="AH227" s="375" t="str">
        <f>IF(B227="", "",'Lighting Inventory (Ref only)'!Z238)</f>
        <v/>
      </c>
      <c r="AI227" s="375" t="str">
        <f>IF(B227="", "", 'Lighting Inventory (Ref only)'!Y238)</f>
        <v/>
      </c>
      <c r="AJ227" s="375" t="str">
        <f>IF(C227="", "",'Lighting Inventory (Ref only)'!AB238)</f>
        <v/>
      </c>
      <c r="AK227" s="375" t="str">
        <f>IF(B227="", "", 'Lighting Inventory (Ref only)'!AG238)</f>
        <v/>
      </c>
      <c r="AL227" s="375" t="str">
        <f>IF(B227="", "", 'Lighting Inventory (Ref only)'!AD238)</f>
        <v/>
      </c>
      <c r="AM227" s="375" t="str">
        <f>IF(B227="", "", 'Lighting Inventory (Ref only)'!AE238)</f>
        <v/>
      </c>
      <c r="AN227" s="375" t="str">
        <f>IF(B227="", "", 'Lighting Inventory (Ref only)'!AF238)</f>
        <v/>
      </c>
      <c r="AO227" s="375" t="str">
        <f>IF(B227="", "", 'Lighting Inventory (Ref only)'!AG238)</f>
        <v/>
      </c>
    </row>
    <row r="228" spans="1:41">
      <c r="A228" s="298" t="str">
        <f>IF(G228="", "", Lookups!BF230)</f>
        <v/>
      </c>
      <c r="B228" s="298" t="str">
        <f>IF('Lighting Inventory (Ref only)'!Q239="", "", 'Lighting Inventory (Ref only)'!Q239)</f>
        <v/>
      </c>
      <c r="C228" s="298" t="str">
        <f>IF(A228="", "", 'Lighting Inventory (Ref only)'!AO239)</f>
        <v/>
      </c>
      <c r="D228" s="370" t="str">
        <f>IF(B228= "","", Inventory!S236)</f>
        <v/>
      </c>
      <c r="E228" s="371"/>
      <c r="F228" s="298" t="str">
        <f>IF(B228="", "", 'Version Log'!$B$34)</f>
        <v/>
      </c>
      <c r="G228" s="298" t="str">
        <f t="shared" si="12"/>
        <v/>
      </c>
      <c r="H228" s="298" t="str">
        <f t="shared" si="13"/>
        <v/>
      </c>
      <c r="I228" s="298" t="str">
        <f>IF(B228="", "",Inventory!D236)</f>
        <v/>
      </c>
      <c r="J228" s="298" t="str">
        <f>IF(B228="","",IF(Inventory!C236="N","Interior","Exterior"))</f>
        <v/>
      </c>
      <c r="K228" s="298" t="str">
        <f t="shared" si="14"/>
        <v/>
      </c>
      <c r="L228" s="298" t="str">
        <f>IF(B228="", "", Inventory!E236)</f>
        <v/>
      </c>
      <c r="M228" s="298" t="str">
        <f>IF(B228="","",IF(Cool_Type=Lookups!$L$9,Cool_Type,IF(Cool_Type=Lookups!$L$10,Cool_Type,IF(Cool_Type=Lookups!$L$11,Cool_Type,IF(Cool_Type=Lookups!L238,Cool_Type,IF('Project Info and Summary'!$C$20="Electric",CONCATENATE(Cool_Type," ",Heating_Type," Heat"),IF('Project Info and Summary'!$C$20="Non-Electric",CONCATENATE(Cool_Type," ",Heating_Type," Heat"),CONCATENATE(Cool_Type," ",Heating_Type))))))))</f>
        <v/>
      </c>
      <c r="N228" s="298" t="str">
        <f t="shared" si="15"/>
        <v/>
      </c>
      <c r="O228" s="298" t="str">
        <f>IF(B228="", "", 'Lighting Inventory (Ref only)'!G239)</f>
        <v/>
      </c>
      <c r="P228" s="298" t="str">
        <f>IF(B228="", "", 'Lighting Inventory (Ref only)'!E239)</f>
        <v/>
      </c>
      <c r="Q228" s="298" t="str">
        <f>IF(B228="", "", 'Lighting Inventory (Ref only)'!J239)</f>
        <v/>
      </c>
      <c r="R228" s="298" t="str">
        <f>IF(B228="", "",'Lighting Inventory (Ref only)'!K239)</f>
        <v/>
      </c>
      <c r="S228" s="372" t="str">
        <f>IF(B228="", "", 'Lighting Inventory (Ref only)'!G239*'Lighting Inventory (Ref only)'!K239/1000)</f>
        <v/>
      </c>
      <c r="T228" s="298" t="str">
        <f>IF(B228="", "", IF('Lighting Inventory (Ref only)'!I239="", "Light Switch",Inventory!H236))</f>
        <v/>
      </c>
      <c r="U228" s="298" t="str">
        <f>IF(B228="", "", 'Lighting Inventory (Ref only)'!Q239)</f>
        <v/>
      </c>
      <c r="V228" s="298" t="str">
        <f>IF(B228="", "", 'Lighting Inventory (Ref only)'!K239)</f>
        <v/>
      </c>
      <c r="W228" s="373" t="str">
        <f>IF(B228="","",('Lighting Inventory (Ref only)'!L239/1000))</f>
        <v/>
      </c>
      <c r="X228" s="298" t="str">
        <f>IF(B228="", "", 'Lighting Inventory (Ref only)'!Q239)</f>
        <v/>
      </c>
      <c r="Y228" s="298" t="str">
        <f>IF(C228="", "", Inventory!N236)</f>
        <v/>
      </c>
      <c r="Z228" s="374" t="str">
        <f>IF(B228="", "", 'Lighting Inventory (Ref only)'!P239)</f>
        <v/>
      </c>
      <c r="AA228" s="372" t="str">
        <f>IF(B228="", "",'Lighting Inventory (Ref only)'!R239/1000)</f>
        <v/>
      </c>
      <c r="AB228" s="372" t="str">
        <f>IF(B228="", "", Inventory!M236)</f>
        <v/>
      </c>
      <c r="AC228" s="374" t="str">
        <f>IF(B228="", "", 'Lighting Inventory (Ref only)'!T239)</f>
        <v/>
      </c>
      <c r="AD228" s="374" t="str">
        <f>IF(C228="", "", 'Lighting Inventory (Ref only)'!AA239)</f>
        <v/>
      </c>
      <c r="AE228" s="375" t="str">
        <f>IF(B228="", "", 'Lighting Inventory (Ref only)'!U239)</f>
        <v/>
      </c>
      <c r="AF228" s="375" t="str">
        <f>IF(B228="", "",'Lighting Inventory (Ref only)'!W239)</f>
        <v/>
      </c>
      <c r="AG228" s="375" t="str">
        <f>IF(B228="", "", 'Lighting Inventory (Ref only)'!V239)</f>
        <v/>
      </c>
      <c r="AH228" s="375" t="str">
        <f>IF(B228="", "",'Lighting Inventory (Ref only)'!Z239)</f>
        <v/>
      </c>
      <c r="AI228" s="375" t="str">
        <f>IF(B228="", "", 'Lighting Inventory (Ref only)'!Y239)</f>
        <v/>
      </c>
      <c r="AJ228" s="375" t="str">
        <f>IF(C228="", "",'Lighting Inventory (Ref only)'!AB239)</f>
        <v/>
      </c>
      <c r="AK228" s="375" t="str">
        <f>IF(B228="", "", 'Lighting Inventory (Ref only)'!AG239)</f>
        <v/>
      </c>
      <c r="AL228" s="375" t="str">
        <f>IF(B228="", "", 'Lighting Inventory (Ref only)'!AD239)</f>
        <v/>
      </c>
      <c r="AM228" s="375" t="str">
        <f>IF(B228="", "", 'Lighting Inventory (Ref only)'!AE239)</f>
        <v/>
      </c>
      <c r="AN228" s="375" t="str">
        <f>IF(B228="", "", 'Lighting Inventory (Ref only)'!AF239)</f>
        <v/>
      </c>
      <c r="AO228" s="375" t="str">
        <f>IF(B228="", "", 'Lighting Inventory (Ref only)'!AG239)</f>
        <v/>
      </c>
    </row>
    <row r="229" spans="1:41">
      <c r="A229" s="298" t="str">
        <f>IF(G229="", "", Lookups!BF231)</f>
        <v/>
      </c>
      <c r="B229" s="298" t="str">
        <f>IF('Lighting Inventory (Ref only)'!Q240="", "", 'Lighting Inventory (Ref only)'!Q240)</f>
        <v/>
      </c>
      <c r="C229" s="298" t="str">
        <f>IF(A229="", "", 'Lighting Inventory (Ref only)'!AO240)</f>
        <v/>
      </c>
      <c r="D229" s="370" t="str">
        <f>IF(B229= "","", Inventory!S237)</f>
        <v/>
      </c>
      <c r="E229" s="371"/>
      <c r="F229" s="298" t="str">
        <f>IF(B229="", "", 'Version Log'!$B$34)</f>
        <v/>
      </c>
      <c r="G229" s="298" t="str">
        <f t="shared" si="12"/>
        <v/>
      </c>
      <c r="H229" s="298" t="str">
        <f t="shared" si="13"/>
        <v/>
      </c>
      <c r="I229" s="298" t="str">
        <f>IF(B229="", "",Inventory!D237)</f>
        <v/>
      </c>
      <c r="J229" s="298" t="str">
        <f>IF(B229="","",IF(Inventory!C237="N","Interior","Exterior"))</f>
        <v/>
      </c>
      <c r="K229" s="298" t="str">
        <f t="shared" si="14"/>
        <v/>
      </c>
      <c r="L229" s="298" t="str">
        <f>IF(B229="", "", Inventory!E237)</f>
        <v/>
      </c>
      <c r="M229" s="298" t="str">
        <f>IF(B229="","",IF(Cool_Type=Lookups!$L$9,Cool_Type,IF(Cool_Type=Lookups!$L$10,Cool_Type,IF(Cool_Type=Lookups!$L$11,Cool_Type,IF(Cool_Type=Lookups!L239,Cool_Type,IF('Project Info and Summary'!$C$20="Electric",CONCATENATE(Cool_Type," ",Heating_Type," Heat"),IF('Project Info and Summary'!$C$20="Non-Electric",CONCATENATE(Cool_Type," ",Heating_Type," Heat"),CONCATENATE(Cool_Type," ",Heating_Type))))))))</f>
        <v/>
      </c>
      <c r="N229" s="298" t="str">
        <f t="shared" si="15"/>
        <v/>
      </c>
      <c r="O229" s="298" t="str">
        <f>IF(B229="", "", 'Lighting Inventory (Ref only)'!G240)</f>
        <v/>
      </c>
      <c r="P229" s="298" t="str">
        <f>IF(B229="", "", 'Lighting Inventory (Ref only)'!E240)</f>
        <v/>
      </c>
      <c r="Q229" s="298" t="str">
        <f>IF(B229="", "", 'Lighting Inventory (Ref only)'!J240)</f>
        <v/>
      </c>
      <c r="R229" s="298" t="str">
        <f>IF(B229="", "",'Lighting Inventory (Ref only)'!K240)</f>
        <v/>
      </c>
      <c r="S229" s="372" t="str">
        <f>IF(B229="", "", 'Lighting Inventory (Ref only)'!G240*'Lighting Inventory (Ref only)'!K240/1000)</f>
        <v/>
      </c>
      <c r="T229" s="298" t="str">
        <f>IF(B229="", "", IF('Lighting Inventory (Ref only)'!I240="", "Light Switch",Inventory!H237))</f>
        <v/>
      </c>
      <c r="U229" s="298" t="str">
        <f>IF(B229="", "", 'Lighting Inventory (Ref only)'!Q240)</f>
        <v/>
      </c>
      <c r="V229" s="298" t="str">
        <f>IF(B229="", "", 'Lighting Inventory (Ref only)'!K240)</f>
        <v/>
      </c>
      <c r="W229" s="373" t="str">
        <f>IF(B229="","",('Lighting Inventory (Ref only)'!L240/1000))</f>
        <v/>
      </c>
      <c r="X229" s="298" t="str">
        <f>IF(B229="", "", 'Lighting Inventory (Ref only)'!Q240)</f>
        <v/>
      </c>
      <c r="Y229" s="298" t="str">
        <f>IF(C229="", "", Inventory!N237)</f>
        <v/>
      </c>
      <c r="Z229" s="374" t="str">
        <f>IF(B229="", "", 'Lighting Inventory (Ref only)'!P240)</f>
        <v/>
      </c>
      <c r="AA229" s="372" t="str">
        <f>IF(B229="", "",'Lighting Inventory (Ref only)'!R240/1000)</f>
        <v/>
      </c>
      <c r="AB229" s="372" t="str">
        <f>IF(B229="", "", Inventory!M237)</f>
        <v/>
      </c>
      <c r="AC229" s="374" t="str">
        <f>IF(B229="", "", 'Lighting Inventory (Ref only)'!T240)</f>
        <v/>
      </c>
      <c r="AD229" s="374" t="str">
        <f>IF(C229="", "", 'Lighting Inventory (Ref only)'!AA240)</f>
        <v/>
      </c>
      <c r="AE229" s="375" t="str">
        <f>IF(B229="", "", 'Lighting Inventory (Ref only)'!U240)</f>
        <v/>
      </c>
      <c r="AF229" s="375" t="str">
        <f>IF(B229="", "",'Lighting Inventory (Ref only)'!W240)</f>
        <v/>
      </c>
      <c r="AG229" s="375" t="str">
        <f>IF(B229="", "", 'Lighting Inventory (Ref only)'!V240)</f>
        <v/>
      </c>
      <c r="AH229" s="375" t="str">
        <f>IF(B229="", "",'Lighting Inventory (Ref only)'!Z240)</f>
        <v/>
      </c>
      <c r="AI229" s="375" t="str">
        <f>IF(B229="", "", 'Lighting Inventory (Ref only)'!Y240)</f>
        <v/>
      </c>
      <c r="AJ229" s="375" t="str">
        <f>IF(C229="", "",'Lighting Inventory (Ref only)'!AB240)</f>
        <v/>
      </c>
      <c r="AK229" s="375" t="str">
        <f>IF(B229="", "", 'Lighting Inventory (Ref only)'!AG240)</f>
        <v/>
      </c>
      <c r="AL229" s="375" t="str">
        <f>IF(B229="", "", 'Lighting Inventory (Ref only)'!AD240)</f>
        <v/>
      </c>
      <c r="AM229" s="375" t="str">
        <f>IF(B229="", "", 'Lighting Inventory (Ref only)'!AE240)</f>
        <v/>
      </c>
      <c r="AN229" s="375" t="str">
        <f>IF(B229="", "", 'Lighting Inventory (Ref only)'!AF240)</f>
        <v/>
      </c>
      <c r="AO229" s="375" t="str">
        <f>IF(B229="", "", 'Lighting Inventory (Ref only)'!AG240)</f>
        <v/>
      </c>
    </row>
    <row r="230" spans="1:41">
      <c r="A230" s="298" t="str">
        <f>IF(G230="", "", Lookups!BF232)</f>
        <v/>
      </c>
      <c r="B230" s="298" t="str">
        <f>IF('Lighting Inventory (Ref only)'!Q241="", "", 'Lighting Inventory (Ref only)'!Q241)</f>
        <v/>
      </c>
      <c r="C230" s="298" t="str">
        <f>IF(A230="", "", 'Lighting Inventory (Ref only)'!AO241)</f>
        <v/>
      </c>
      <c r="D230" s="370" t="str">
        <f>IF(B230= "","", Inventory!S238)</f>
        <v/>
      </c>
      <c r="E230" s="371"/>
      <c r="F230" s="298" t="str">
        <f>IF(B230="", "", 'Version Log'!$B$34)</f>
        <v/>
      </c>
      <c r="G230" s="298" t="str">
        <f t="shared" si="12"/>
        <v/>
      </c>
      <c r="H230" s="298" t="str">
        <f t="shared" si="13"/>
        <v/>
      </c>
      <c r="I230" s="298" t="str">
        <f>IF(B230="", "",Inventory!D238)</f>
        <v/>
      </c>
      <c r="J230" s="298" t="str">
        <f>IF(B230="","",IF(Inventory!C238="N","Interior","Exterior"))</f>
        <v/>
      </c>
      <c r="K230" s="298" t="str">
        <f t="shared" si="14"/>
        <v/>
      </c>
      <c r="L230" s="298" t="str">
        <f>IF(B230="", "", Inventory!E238)</f>
        <v/>
      </c>
      <c r="M230" s="298" t="str">
        <f>IF(B230="","",IF(Cool_Type=Lookups!$L$9,Cool_Type,IF(Cool_Type=Lookups!$L$10,Cool_Type,IF(Cool_Type=Lookups!$L$11,Cool_Type,IF(Cool_Type=Lookups!L240,Cool_Type,IF('Project Info and Summary'!$C$20="Electric",CONCATENATE(Cool_Type," ",Heating_Type," Heat"),IF('Project Info and Summary'!$C$20="Non-Electric",CONCATENATE(Cool_Type," ",Heating_Type," Heat"),CONCATENATE(Cool_Type," ",Heating_Type))))))))</f>
        <v/>
      </c>
      <c r="N230" s="298" t="str">
        <f t="shared" si="15"/>
        <v/>
      </c>
      <c r="O230" s="298" t="str">
        <f>IF(B230="", "", 'Lighting Inventory (Ref only)'!G241)</f>
        <v/>
      </c>
      <c r="P230" s="298" t="str">
        <f>IF(B230="", "", 'Lighting Inventory (Ref only)'!E241)</f>
        <v/>
      </c>
      <c r="Q230" s="298" t="str">
        <f>IF(B230="", "", 'Lighting Inventory (Ref only)'!J241)</f>
        <v/>
      </c>
      <c r="R230" s="298" t="str">
        <f>IF(B230="", "",'Lighting Inventory (Ref only)'!K241)</f>
        <v/>
      </c>
      <c r="S230" s="372" t="str">
        <f>IF(B230="", "", 'Lighting Inventory (Ref only)'!G241*'Lighting Inventory (Ref only)'!K241/1000)</f>
        <v/>
      </c>
      <c r="T230" s="298" t="str">
        <f>IF(B230="", "", IF('Lighting Inventory (Ref only)'!I241="", "Light Switch",Inventory!H238))</f>
        <v/>
      </c>
      <c r="U230" s="298" t="str">
        <f>IF(B230="", "", 'Lighting Inventory (Ref only)'!Q241)</f>
        <v/>
      </c>
      <c r="V230" s="298" t="str">
        <f>IF(B230="", "", 'Lighting Inventory (Ref only)'!K241)</f>
        <v/>
      </c>
      <c r="W230" s="373" t="str">
        <f>IF(B230="","",('Lighting Inventory (Ref only)'!L241/1000))</f>
        <v/>
      </c>
      <c r="X230" s="298" t="str">
        <f>IF(B230="", "", 'Lighting Inventory (Ref only)'!Q241)</f>
        <v/>
      </c>
      <c r="Y230" s="298" t="str">
        <f>IF(C230="", "", Inventory!N238)</f>
        <v/>
      </c>
      <c r="Z230" s="374" t="str">
        <f>IF(B230="", "", 'Lighting Inventory (Ref only)'!P241)</f>
        <v/>
      </c>
      <c r="AA230" s="372" t="str">
        <f>IF(B230="", "",'Lighting Inventory (Ref only)'!R241/1000)</f>
        <v/>
      </c>
      <c r="AB230" s="372" t="str">
        <f>IF(B230="", "", Inventory!M238)</f>
        <v/>
      </c>
      <c r="AC230" s="374" t="str">
        <f>IF(B230="", "", 'Lighting Inventory (Ref only)'!T241)</f>
        <v/>
      </c>
      <c r="AD230" s="374" t="str">
        <f>IF(C230="", "", 'Lighting Inventory (Ref only)'!AA241)</f>
        <v/>
      </c>
      <c r="AE230" s="375" t="str">
        <f>IF(B230="", "", 'Lighting Inventory (Ref only)'!U241)</f>
        <v/>
      </c>
      <c r="AF230" s="375" t="str">
        <f>IF(B230="", "",'Lighting Inventory (Ref only)'!W241)</f>
        <v/>
      </c>
      <c r="AG230" s="375" t="str">
        <f>IF(B230="", "", 'Lighting Inventory (Ref only)'!V241)</f>
        <v/>
      </c>
      <c r="AH230" s="375" t="str">
        <f>IF(B230="", "",'Lighting Inventory (Ref only)'!Z241)</f>
        <v/>
      </c>
      <c r="AI230" s="375" t="str">
        <f>IF(B230="", "", 'Lighting Inventory (Ref only)'!Y241)</f>
        <v/>
      </c>
      <c r="AJ230" s="375" t="str">
        <f>IF(C230="", "",'Lighting Inventory (Ref only)'!AB241)</f>
        <v/>
      </c>
      <c r="AK230" s="375" t="str">
        <f>IF(B230="", "", 'Lighting Inventory (Ref only)'!AG241)</f>
        <v/>
      </c>
      <c r="AL230" s="375" t="str">
        <f>IF(B230="", "", 'Lighting Inventory (Ref only)'!AD241)</f>
        <v/>
      </c>
      <c r="AM230" s="375" t="str">
        <f>IF(B230="", "", 'Lighting Inventory (Ref only)'!AE241)</f>
        <v/>
      </c>
      <c r="AN230" s="375" t="str">
        <f>IF(B230="", "", 'Lighting Inventory (Ref only)'!AF241)</f>
        <v/>
      </c>
      <c r="AO230" s="375" t="str">
        <f>IF(B230="", "", 'Lighting Inventory (Ref only)'!AG241)</f>
        <v/>
      </c>
    </row>
    <row r="231" spans="1:41">
      <c r="A231" s="298" t="str">
        <f>IF(G231="", "", Lookups!BF233)</f>
        <v/>
      </c>
      <c r="B231" s="298" t="str">
        <f>IF('Lighting Inventory (Ref only)'!Q242="", "", 'Lighting Inventory (Ref only)'!Q242)</f>
        <v/>
      </c>
      <c r="C231" s="298" t="str">
        <f>IF(A231="", "", 'Lighting Inventory (Ref only)'!AO242)</f>
        <v/>
      </c>
      <c r="D231" s="370" t="str">
        <f>IF(B231= "","", Inventory!S239)</f>
        <v/>
      </c>
      <c r="E231" s="371"/>
      <c r="F231" s="298" t="str">
        <f>IF(B231="", "", 'Version Log'!$B$34)</f>
        <v/>
      </c>
      <c r="G231" s="298" t="str">
        <f t="shared" si="12"/>
        <v/>
      </c>
      <c r="H231" s="298" t="str">
        <f t="shared" si="13"/>
        <v/>
      </c>
      <c r="I231" s="298" t="str">
        <f>IF(B231="", "",Inventory!D239)</f>
        <v/>
      </c>
      <c r="J231" s="298" t="str">
        <f>IF(B231="","",IF(Inventory!C239="N","Interior","Exterior"))</f>
        <v/>
      </c>
      <c r="K231" s="298" t="str">
        <f t="shared" si="14"/>
        <v/>
      </c>
      <c r="L231" s="298" t="str">
        <f>IF(B231="", "", Inventory!E239)</f>
        <v/>
      </c>
      <c r="M231" s="298" t="str">
        <f>IF(B231="","",IF(Cool_Type=Lookups!$L$9,Cool_Type,IF(Cool_Type=Lookups!$L$10,Cool_Type,IF(Cool_Type=Lookups!$L$11,Cool_Type,IF(Cool_Type=Lookups!L241,Cool_Type,IF('Project Info and Summary'!$C$20="Electric",CONCATENATE(Cool_Type," ",Heating_Type," Heat"),IF('Project Info and Summary'!$C$20="Non-Electric",CONCATENATE(Cool_Type," ",Heating_Type," Heat"),CONCATENATE(Cool_Type," ",Heating_Type))))))))</f>
        <v/>
      </c>
      <c r="N231" s="298" t="str">
        <f t="shared" si="15"/>
        <v/>
      </c>
      <c r="O231" s="298" t="str">
        <f>IF(B231="", "", 'Lighting Inventory (Ref only)'!G242)</f>
        <v/>
      </c>
      <c r="P231" s="298" t="str">
        <f>IF(B231="", "", 'Lighting Inventory (Ref only)'!E242)</f>
        <v/>
      </c>
      <c r="Q231" s="298" t="str">
        <f>IF(B231="", "", 'Lighting Inventory (Ref only)'!J242)</f>
        <v/>
      </c>
      <c r="R231" s="298" t="str">
        <f>IF(B231="", "",'Lighting Inventory (Ref only)'!K242)</f>
        <v/>
      </c>
      <c r="S231" s="372" t="str">
        <f>IF(B231="", "", 'Lighting Inventory (Ref only)'!G242*'Lighting Inventory (Ref only)'!K242/1000)</f>
        <v/>
      </c>
      <c r="T231" s="298" t="str">
        <f>IF(B231="", "", IF('Lighting Inventory (Ref only)'!I242="", "Light Switch",Inventory!H239))</f>
        <v/>
      </c>
      <c r="U231" s="298" t="str">
        <f>IF(B231="", "", 'Lighting Inventory (Ref only)'!Q242)</f>
        <v/>
      </c>
      <c r="V231" s="298" t="str">
        <f>IF(B231="", "", 'Lighting Inventory (Ref only)'!K242)</f>
        <v/>
      </c>
      <c r="W231" s="373" t="str">
        <f>IF(B231="","",('Lighting Inventory (Ref only)'!L242/1000))</f>
        <v/>
      </c>
      <c r="X231" s="298" t="str">
        <f>IF(B231="", "", 'Lighting Inventory (Ref only)'!Q242)</f>
        <v/>
      </c>
      <c r="Y231" s="298" t="str">
        <f>IF(C231="", "", Inventory!N239)</f>
        <v/>
      </c>
      <c r="Z231" s="374" t="str">
        <f>IF(B231="", "", 'Lighting Inventory (Ref only)'!P242)</f>
        <v/>
      </c>
      <c r="AA231" s="372" t="str">
        <f>IF(B231="", "",'Lighting Inventory (Ref only)'!R242/1000)</f>
        <v/>
      </c>
      <c r="AB231" s="372" t="str">
        <f>IF(B231="", "", Inventory!M239)</f>
        <v/>
      </c>
      <c r="AC231" s="374" t="str">
        <f>IF(B231="", "", 'Lighting Inventory (Ref only)'!T242)</f>
        <v/>
      </c>
      <c r="AD231" s="374" t="str">
        <f>IF(C231="", "", 'Lighting Inventory (Ref only)'!AA242)</f>
        <v/>
      </c>
      <c r="AE231" s="375" t="str">
        <f>IF(B231="", "", 'Lighting Inventory (Ref only)'!U242)</f>
        <v/>
      </c>
      <c r="AF231" s="375" t="str">
        <f>IF(B231="", "",'Lighting Inventory (Ref only)'!W242)</f>
        <v/>
      </c>
      <c r="AG231" s="375" t="str">
        <f>IF(B231="", "", 'Lighting Inventory (Ref only)'!V242)</f>
        <v/>
      </c>
      <c r="AH231" s="375" t="str">
        <f>IF(B231="", "",'Lighting Inventory (Ref only)'!Z242)</f>
        <v/>
      </c>
      <c r="AI231" s="375" t="str">
        <f>IF(B231="", "", 'Lighting Inventory (Ref only)'!Y242)</f>
        <v/>
      </c>
      <c r="AJ231" s="375" t="str">
        <f>IF(C231="", "",'Lighting Inventory (Ref only)'!AB242)</f>
        <v/>
      </c>
      <c r="AK231" s="375" t="str">
        <f>IF(B231="", "", 'Lighting Inventory (Ref only)'!AG242)</f>
        <v/>
      </c>
      <c r="AL231" s="375" t="str">
        <f>IF(B231="", "", 'Lighting Inventory (Ref only)'!AD242)</f>
        <v/>
      </c>
      <c r="AM231" s="375" t="str">
        <f>IF(B231="", "", 'Lighting Inventory (Ref only)'!AE242)</f>
        <v/>
      </c>
      <c r="AN231" s="375" t="str">
        <f>IF(B231="", "", 'Lighting Inventory (Ref only)'!AF242)</f>
        <v/>
      </c>
      <c r="AO231" s="375" t="str">
        <f>IF(B231="", "", 'Lighting Inventory (Ref only)'!AG242)</f>
        <v/>
      </c>
    </row>
    <row r="232" spans="1:41">
      <c r="A232" s="298" t="str">
        <f>IF(G232="", "", Lookups!BF234)</f>
        <v/>
      </c>
      <c r="B232" s="298" t="str">
        <f>IF('Lighting Inventory (Ref only)'!Q243="", "", 'Lighting Inventory (Ref only)'!Q243)</f>
        <v/>
      </c>
      <c r="C232" s="298" t="str">
        <f>IF(A232="", "", 'Lighting Inventory (Ref only)'!AO243)</f>
        <v/>
      </c>
      <c r="D232" s="370" t="str">
        <f>IF(B232= "","", Inventory!S240)</f>
        <v/>
      </c>
      <c r="E232" s="371"/>
      <c r="F232" s="298" t="str">
        <f>IF(B232="", "", 'Version Log'!$B$34)</f>
        <v/>
      </c>
      <c r="G232" s="298" t="str">
        <f t="shared" si="12"/>
        <v/>
      </c>
      <c r="H232" s="298" t="str">
        <f t="shared" si="13"/>
        <v/>
      </c>
      <c r="I232" s="298" t="str">
        <f>IF(B232="", "",Inventory!D240)</f>
        <v/>
      </c>
      <c r="J232" s="298" t="str">
        <f>IF(B232="","",IF(Inventory!C240="N","Interior","Exterior"))</f>
        <v/>
      </c>
      <c r="K232" s="298" t="str">
        <f t="shared" si="14"/>
        <v/>
      </c>
      <c r="L232" s="298" t="str">
        <f>IF(B232="", "", Inventory!E240)</f>
        <v/>
      </c>
      <c r="M232" s="298" t="str">
        <f>IF(B232="","",IF(Cool_Type=Lookups!$L$9,Cool_Type,IF(Cool_Type=Lookups!$L$10,Cool_Type,IF(Cool_Type=Lookups!$L$11,Cool_Type,IF(Cool_Type=Lookups!L242,Cool_Type,IF('Project Info and Summary'!$C$20="Electric",CONCATENATE(Cool_Type," ",Heating_Type," Heat"),IF('Project Info and Summary'!$C$20="Non-Electric",CONCATENATE(Cool_Type," ",Heating_Type," Heat"),CONCATENATE(Cool_Type," ",Heating_Type))))))))</f>
        <v/>
      </c>
      <c r="N232" s="298" t="str">
        <f t="shared" si="15"/>
        <v/>
      </c>
      <c r="O232" s="298" t="str">
        <f>IF(B232="", "", 'Lighting Inventory (Ref only)'!G243)</f>
        <v/>
      </c>
      <c r="P232" s="298" t="str">
        <f>IF(B232="", "", 'Lighting Inventory (Ref only)'!E243)</f>
        <v/>
      </c>
      <c r="Q232" s="298" t="str">
        <f>IF(B232="", "", 'Lighting Inventory (Ref only)'!J243)</f>
        <v/>
      </c>
      <c r="R232" s="298" t="str">
        <f>IF(B232="", "",'Lighting Inventory (Ref only)'!K243)</f>
        <v/>
      </c>
      <c r="S232" s="372" t="str">
        <f>IF(B232="", "", 'Lighting Inventory (Ref only)'!G243*'Lighting Inventory (Ref only)'!K243/1000)</f>
        <v/>
      </c>
      <c r="T232" s="298" t="str">
        <f>IF(B232="", "", IF('Lighting Inventory (Ref only)'!I243="", "Light Switch",Inventory!H240))</f>
        <v/>
      </c>
      <c r="U232" s="298" t="str">
        <f>IF(B232="", "", 'Lighting Inventory (Ref only)'!Q243)</f>
        <v/>
      </c>
      <c r="V232" s="298" t="str">
        <f>IF(B232="", "", 'Lighting Inventory (Ref only)'!K243)</f>
        <v/>
      </c>
      <c r="W232" s="373" t="str">
        <f>IF(B232="","",('Lighting Inventory (Ref only)'!L243/1000))</f>
        <v/>
      </c>
      <c r="X232" s="298" t="str">
        <f>IF(B232="", "", 'Lighting Inventory (Ref only)'!Q243)</f>
        <v/>
      </c>
      <c r="Y232" s="298" t="str">
        <f>IF(C232="", "", Inventory!N240)</f>
        <v/>
      </c>
      <c r="Z232" s="374" t="str">
        <f>IF(B232="", "", 'Lighting Inventory (Ref only)'!P243)</f>
        <v/>
      </c>
      <c r="AA232" s="372" t="str">
        <f>IF(B232="", "",'Lighting Inventory (Ref only)'!R243/1000)</f>
        <v/>
      </c>
      <c r="AB232" s="372" t="str">
        <f>IF(B232="", "", Inventory!M240)</f>
        <v/>
      </c>
      <c r="AC232" s="374" t="str">
        <f>IF(B232="", "", 'Lighting Inventory (Ref only)'!T243)</f>
        <v/>
      </c>
      <c r="AD232" s="374" t="str">
        <f>IF(C232="", "", 'Lighting Inventory (Ref only)'!AA243)</f>
        <v/>
      </c>
      <c r="AE232" s="375" t="str">
        <f>IF(B232="", "", 'Lighting Inventory (Ref only)'!U243)</f>
        <v/>
      </c>
      <c r="AF232" s="375" t="str">
        <f>IF(B232="", "",'Lighting Inventory (Ref only)'!W243)</f>
        <v/>
      </c>
      <c r="AG232" s="375" t="str">
        <f>IF(B232="", "", 'Lighting Inventory (Ref only)'!V243)</f>
        <v/>
      </c>
      <c r="AH232" s="375" t="str">
        <f>IF(B232="", "",'Lighting Inventory (Ref only)'!Z243)</f>
        <v/>
      </c>
      <c r="AI232" s="375" t="str">
        <f>IF(B232="", "", 'Lighting Inventory (Ref only)'!Y243)</f>
        <v/>
      </c>
      <c r="AJ232" s="375" t="str">
        <f>IF(C232="", "",'Lighting Inventory (Ref only)'!AB243)</f>
        <v/>
      </c>
      <c r="AK232" s="375" t="str">
        <f>IF(B232="", "", 'Lighting Inventory (Ref only)'!AG243)</f>
        <v/>
      </c>
      <c r="AL232" s="375" t="str">
        <f>IF(B232="", "", 'Lighting Inventory (Ref only)'!AD243)</f>
        <v/>
      </c>
      <c r="AM232" s="375" t="str">
        <f>IF(B232="", "", 'Lighting Inventory (Ref only)'!AE243)</f>
        <v/>
      </c>
      <c r="AN232" s="375" t="str">
        <f>IF(B232="", "", 'Lighting Inventory (Ref only)'!AF243)</f>
        <v/>
      </c>
      <c r="AO232" s="375" t="str">
        <f>IF(B232="", "", 'Lighting Inventory (Ref only)'!AG243)</f>
        <v/>
      </c>
    </row>
    <row r="233" spans="1:41">
      <c r="A233" s="298" t="str">
        <f>IF(G233="", "", Lookups!BF235)</f>
        <v/>
      </c>
      <c r="B233" s="298" t="str">
        <f>IF('Lighting Inventory (Ref only)'!Q244="", "", 'Lighting Inventory (Ref only)'!Q244)</f>
        <v/>
      </c>
      <c r="C233" s="298" t="str">
        <f>IF(A233="", "", 'Lighting Inventory (Ref only)'!AO244)</f>
        <v/>
      </c>
      <c r="D233" s="370" t="str">
        <f>IF(B233= "","", Inventory!S241)</f>
        <v/>
      </c>
      <c r="E233" s="371"/>
      <c r="F233" s="298" t="str">
        <f>IF(B233="", "", 'Version Log'!$B$34)</f>
        <v/>
      </c>
      <c r="G233" s="298" t="str">
        <f t="shared" si="12"/>
        <v/>
      </c>
      <c r="H233" s="298" t="str">
        <f t="shared" si="13"/>
        <v/>
      </c>
      <c r="I233" s="298" t="str">
        <f>IF(B233="", "",Inventory!D241)</f>
        <v/>
      </c>
      <c r="J233" s="298" t="str">
        <f>IF(B233="","",IF(Inventory!C241="N","Interior","Exterior"))</f>
        <v/>
      </c>
      <c r="K233" s="298" t="str">
        <f t="shared" si="14"/>
        <v/>
      </c>
      <c r="L233" s="298" t="str">
        <f>IF(B233="", "", Inventory!E241)</f>
        <v/>
      </c>
      <c r="M233" s="298" t="str">
        <f>IF(B233="","",IF(Cool_Type=Lookups!$L$9,Cool_Type,IF(Cool_Type=Lookups!$L$10,Cool_Type,IF(Cool_Type=Lookups!$L$11,Cool_Type,IF(Cool_Type=Lookups!L243,Cool_Type,IF('Project Info and Summary'!$C$20="Electric",CONCATENATE(Cool_Type," ",Heating_Type," Heat"),IF('Project Info and Summary'!$C$20="Non-Electric",CONCATENATE(Cool_Type," ",Heating_Type," Heat"),CONCATENATE(Cool_Type," ",Heating_Type))))))))</f>
        <v/>
      </c>
      <c r="N233" s="298" t="str">
        <f t="shared" si="15"/>
        <v/>
      </c>
      <c r="O233" s="298" t="str">
        <f>IF(B233="", "", 'Lighting Inventory (Ref only)'!G244)</f>
        <v/>
      </c>
      <c r="P233" s="298" t="str">
        <f>IF(B233="", "", 'Lighting Inventory (Ref only)'!E244)</f>
        <v/>
      </c>
      <c r="Q233" s="298" t="str">
        <f>IF(B233="", "", 'Lighting Inventory (Ref only)'!J244)</f>
        <v/>
      </c>
      <c r="R233" s="298" t="str">
        <f>IF(B233="", "",'Lighting Inventory (Ref only)'!K244)</f>
        <v/>
      </c>
      <c r="S233" s="372" t="str">
        <f>IF(B233="", "", 'Lighting Inventory (Ref only)'!G244*'Lighting Inventory (Ref only)'!K244/1000)</f>
        <v/>
      </c>
      <c r="T233" s="298" t="str">
        <f>IF(B233="", "", IF('Lighting Inventory (Ref only)'!I244="", "Light Switch",Inventory!H241))</f>
        <v/>
      </c>
      <c r="U233" s="298" t="str">
        <f>IF(B233="", "", 'Lighting Inventory (Ref only)'!Q244)</f>
        <v/>
      </c>
      <c r="V233" s="298" t="str">
        <f>IF(B233="", "", 'Lighting Inventory (Ref only)'!K244)</f>
        <v/>
      </c>
      <c r="W233" s="373" t="str">
        <f>IF(B233="","",('Lighting Inventory (Ref only)'!L244/1000))</f>
        <v/>
      </c>
      <c r="X233" s="298" t="str">
        <f>IF(B233="", "", 'Lighting Inventory (Ref only)'!Q244)</f>
        <v/>
      </c>
      <c r="Y233" s="298" t="str">
        <f>IF(C233="", "", Inventory!N241)</f>
        <v/>
      </c>
      <c r="Z233" s="374" t="str">
        <f>IF(B233="", "", 'Lighting Inventory (Ref only)'!P244)</f>
        <v/>
      </c>
      <c r="AA233" s="372" t="str">
        <f>IF(B233="", "",'Lighting Inventory (Ref only)'!R244/1000)</f>
        <v/>
      </c>
      <c r="AB233" s="372" t="str">
        <f>IF(B233="", "", Inventory!M241)</f>
        <v/>
      </c>
      <c r="AC233" s="374" t="str">
        <f>IF(B233="", "", 'Lighting Inventory (Ref only)'!T244)</f>
        <v/>
      </c>
      <c r="AD233" s="374" t="str">
        <f>IF(C233="", "", 'Lighting Inventory (Ref only)'!AA244)</f>
        <v/>
      </c>
      <c r="AE233" s="375" t="str">
        <f>IF(B233="", "", 'Lighting Inventory (Ref only)'!U244)</f>
        <v/>
      </c>
      <c r="AF233" s="375" t="str">
        <f>IF(B233="", "",'Lighting Inventory (Ref only)'!W244)</f>
        <v/>
      </c>
      <c r="AG233" s="375" t="str">
        <f>IF(B233="", "", 'Lighting Inventory (Ref only)'!V244)</f>
        <v/>
      </c>
      <c r="AH233" s="375" t="str">
        <f>IF(B233="", "",'Lighting Inventory (Ref only)'!Z244)</f>
        <v/>
      </c>
      <c r="AI233" s="375" t="str">
        <f>IF(B233="", "", 'Lighting Inventory (Ref only)'!Y244)</f>
        <v/>
      </c>
      <c r="AJ233" s="375" t="str">
        <f>IF(C233="", "",'Lighting Inventory (Ref only)'!AB244)</f>
        <v/>
      </c>
      <c r="AK233" s="375" t="str">
        <f>IF(B233="", "", 'Lighting Inventory (Ref only)'!AG244)</f>
        <v/>
      </c>
      <c r="AL233" s="375" t="str">
        <f>IF(B233="", "", 'Lighting Inventory (Ref only)'!AD244)</f>
        <v/>
      </c>
      <c r="AM233" s="375" t="str">
        <f>IF(B233="", "", 'Lighting Inventory (Ref only)'!AE244)</f>
        <v/>
      </c>
      <c r="AN233" s="375" t="str">
        <f>IF(B233="", "", 'Lighting Inventory (Ref only)'!AF244)</f>
        <v/>
      </c>
      <c r="AO233" s="375" t="str">
        <f>IF(B233="", "", 'Lighting Inventory (Ref only)'!AG244)</f>
        <v/>
      </c>
    </row>
    <row r="234" spans="1:41">
      <c r="A234" s="298" t="str">
        <f>IF(G234="", "", Lookups!BF236)</f>
        <v/>
      </c>
      <c r="B234" s="298" t="str">
        <f>IF('Lighting Inventory (Ref only)'!Q245="", "", 'Lighting Inventory (Ref only)'!Q245)</f>
        <v/>
      </c>
      <c r="C234" s="298" t="str">
        <f>IF(A234="", "", 'Lighting Inventory (Ref only)'!AO245)</f>
        <v/>
      </c>
      <c r="D234" s="370" t="str">
        <f>IF(B234= "","", Inventory!S242)</f>
        <v/>
      </c>
      <c r="E234" s="371"/>
      <c r="F234" s="298" t="str">
        <f>IF(B234="", "", 'Version Log'!$B$34)</f>
        <v/>
      </c>
      <c r="G234" s="298" t="str">
        <f t="shared" si="12"/>
        <v/>
      </c>
      <c r="H234" s="298" t="str">
        <f t="shared" si="13"/>
        <v/>
      </c>
      <c r="I234" s="298" t="str">
        <f>IF(B234="", "",Inventory!D242)</f>
        <v/>
      </c>
      <c r="J234" s="298" t="str">
        <f>IF(B234="","",IF(Inventory!C242="N","Interior","Exterior"))</f>
        <v/>
      </c>
      <c r="K234" s="298" t="str">
        <f t="shared" si="14"/>
        <v/>
      </c>
      <c r="L234" s="298" t="str">
        <f>IF(B234="", "", Inventory!E242)</f>
        <v/>
      </c>
      <c r="M234" s="298" t="str">
        <f>IF(B234="","",IF(Cool_Type=Lookups!$L$9,Cool_Type,IF(Cool_Type=Lookups!$L$10,Cool_Type,IF(Cool_Type=Lookups!$L$11,Cool_Type,IF(Cool_Type=Lookups!L244,Cool_Type,IF('Project Info and Summary'!$C$20="Electric",CONCATENATE(Cool_Type," ",Heating_Type," Heat"),IF('Project Info and Summary'!$C$20="Non-Electric",CONCATENATE(Cool_Type," ",Heating_Type," Heat"),CONCATENATE(Cool_Type," ",Heating_Type))))))))</f>
        <v/>
      </c>
      <c r="N234" s="298" t="str">
        <f t="shared" si="15"/>
        <v/>
      </c>
      <c r="O234" s="298" t="str">
        <f>IF(B234="", "", 'Lighting Inventory (Ref only)'!G245)</f>
        <v/>
      </c>
      <c r="P234" s="298" t="str">
        <f>IF(B234="", "", 'Lighting Inventory (Ref only)'!E245)</f>
        <v/>
      </c>
      <c r="Q234" s="298" t="str">
        <f>IF(B234="", "", 'Lighting Inventory (Ref only)'!J245)</f>
        <v/>
      </c>
      <c r="R234" s="298" t="str">
        <f>IF(B234="", "",'Lighting Inventory (Ref only)'!K245)</f>
        <v/>
      </c>
      <c r="S234" s="372" t="str">
        <f>IF(B234="", "", 'Lighting Inventory (Ref only)'!G245*'Lighting Inventory (Ref only)'!K245/1000)</f>
        <v/>
      </c>
      <c r="T234" s="298" t="str">
        <f>IF(B234="", "", IF('Lighting Inventory (Ref only)'!I245="", "Light Switch",Inventory!H242))</f>
        <v/>
      </c>
      <c r="U234" s="298" t="str">
        <f>IF(B234="", "", 'Lighting Inventory (Ref only)'!Q245)</f>
        <v/>
      </c>
      <c r="V234" s="298" t="str">
        <f>IF(B234="", "", 'Lighting Inventory (Ref only)'!K245)</f>
        <v/>
      </c>
      <c r="W234" s="373" t="str">
        <f>IF(B234="","",('Lighting Inventory (Ref only)'!L245/1000))</f>
        <v/>
      </c>
      <c r="X234" s="298" t="str">
        <f>IF(B234="", "", 'Lighting Inventory (Ref only)'!Q245)</f>
        <v/>
      </c>
      <c r="Y234" s="298" t="str">
        <f>IF(C234="", "", Inventory!N242)</f>
        <v/>
      </c>
      <c r="Z234" s="374" t="str">
        <f>IF(B234="", "", 'Lighting Inventory (Ref only)'!P245)</f>
        <v/>
      </c>
      <c r="AA234" s="372" t="str">
        <f>IF(B234="", "",'Lighting Inventory (Ref only)'!R245/1000)</f>
        <v/>
      </c>
      <c r="AB234" s="372" t="str">
        <f>IF(B234="", "", Inventory!M242)</f>
        <v/>
      </c>
      <c r="AC234" s="374" t="str">
        <f>IF(B234="", "", 'Lighting Inventory (Ref only)'!T245)</f>
        <v/>
      </c>
      <c r="AD234" s="374" t="str">
        <f>IF(C234="", "", 'Lighting Inventory (Ref only)'!AA245)</f>
        <v/>
      </c>
      <c r="AE234" s="375" t="str">
        <f>IF(B234="", "", 'Lighting Inventory (Ref only)'!U245)</f>
        <v/>
      </c>
      <c r="AF234" s="375" t="str">
        <f>IF(B234="", "",'Lighting Inventory (Ref only)'!W245)</f>
        <v/>
      </c>
      <c r="AG234" s="375" t="str">
        <f>IF(B234="", "", 'Lighting Inventory (Ref only)'!V245)</f>
        <v/>
      </c>
      <c r="AH234" s="375" t="str">
        <f>IF(B234="", "",'Lighting Inventory (Ref only)'!Z245)</f>
        <v/>
      </c>
      <c r="AI234" s="375" t="str">
        <f>IF(B234="", "", 'Lighting Inventory (Ref only)'!Y245)</f>
        <v/>
      </c>
      <c r="AJ234" s="375" t="str">
        <f>IF(C234="", "",'Lighting Inventory (Ref only)'!AB245)</f>
        <v/>
      </c>
      <c r="AK234" s="375" t="str">
        <f>IF(B234="", "", 'Lighting Inventory (Ref only)'!AG245)</f>
        <v/>
      </c>
      <c r="AL234" s="375" t="str">
        <f>IF(B234="", "", 'Lighting Inventory (Ref only)'!AD245)</f>
        <v/>
      </c>
      <c r="AM234" s="375" t="str">
        <f>IF(B234="", "", 'Lighting Inventory (Ref only)'!AE245)</f>
        <v/>
      </c>
      <c r="AN234" s="375" t="str">
        <f>IF(B234="", "", 'Lighting Inventory (Ref only)'!AF245)</f>
        <v/>
      </c>
      <c r="AO234" s="375" t="str">
        <f>IF(B234="", "", 'Lighting Inventory (Ref only)'!AG245)</f>
        <v/>
      </c>
    </row>
    <row r="235" spans="1:41">
      <c r="A235" s="298" t="str">
        <f>IF(G235="", "", Lookups!BF237)</f>
        <v/>
      </c>
      <c r="B235" s="298" t="str">
        <f>IF('Lighting Inventory (Ref only)'!Q246="", "", 'Lighting Inventory (Ref only)'!Q246)</f>
        <v/>
      </c>
      <c r="C235" s="298" t="str">
        <f>IF(A235="", "", 'Lighting Inventory (Ref only)'!AO246)</f>
        <v/>
      </c>
      <c r="D235" s="370" t="str">
        <f>IF(B235= "","", Inventory!S243)</f>
        <v/>
      </c>
      <c r="E235" s="371"/>
      <c r="F235" s="298" t="str">
        <f>IF(B235="", "", 'Version Log'!$B$34)</f>
        <v/>
      </c>
      <c r="G235" s="298" t="str">
        <f t="shared" si="12"/>
        <v/>
      </c>
      <c r="H235" s="298" t="str">
        <f t="shared" si="13"/>
        <v/>
      </c>
      <c r="I235" s="298" t="str">
        <f>IF(B235="", "",Inventory!D243)</f>
        <v/>
      </c>
      <c r="J235" s="298" t="str">
        <f>IF(B235="","",IF(Inventory!C243="N","Interior","Exterior"))</f>
        <v/>
      </c>
      <c r="K235" s="298" t="str">
        <f t="shared" si="14"/>
        <v/>
      </c>
      <c r="L235" s="298" t="str">
        <f>IF(B235="", "", Inventory!E243)</f>
        <v/>
      </c>
      <c r="M235" s="298" t="str">
        <f>IF(B235="","",IF(Cool_Type=Lookups!$L$9,Cool_Type,IF(Cool_Type=Lookups!$L$10,Cool_Type,IF(Cool_Type=Lookups!$L$11,Cool_Type,IF(Cool_Type=Lookups!L245,Cool_Type,IF('Project Info and Summary'!$C$20="Electric",CONCATENATE(Cool_Type," ",Heating_Type," Heat"),IF('Project Info and Summary'!$C$20="Non-Electric",CONCATENATE(Cool_Type," ",Heating_Type," Heat"),CONCATENATE(Cool_Type," ",Heating_Type))))))))</f>
        <v/>
      </c>
      <c r="N235" s="298" t="str">
        <f t="shared" si="15"/>
        <v/>
      </c>
      <c r="O235" s="298" t="str">
        <f>IF(B235="", "", 'Lighting Inventory (Ref only)'!G246)</f>
        <v/>
      </c>
      <c r="P235" s="298" t="str">
        <f>IF(B235="", "", 'Lighting Inventory (Ref only)'!E246)</f>
        <v/>
      </c>
      <c r="Q235" s="298" t="str">
        <f>IF(B235="", "", 'Lighting Inventory (Ref only)'!J246)</f>
        <v/>
      </c>
      <c r="R235" s="298" t="str">
        <f>IF(B235="", "",'Lighting Inventory (Ref only)'!K246)</f>
        <v/>
      </c>
      <c r="S235" s="372" t="str">
        <f>IF(B235="", "", 'Lighting Inventory (Ref only)'!G246*'Lighting Inventory (Ref only)'!K246/1000)</f>
        <v/>
      </c>
      <c r="T235" s="298" t="str">
        <f>IF(B235="", "", IF('Lighting Inventory (Ref only)'!I246="", "Light Switch",Inventory!H243))</f>
        <v/>
      </c>
      <c r="U235" s="298" t="str">
        <f>IF(B235="", "", 'Lighting Inventory (Ref only)'!Q246)</f>
        <v/>
      </c>
      <c r="V235" s="298" t="str">
        <f>IF(B235="", "", 'Lighting Inventory (Ref only)'!K246)</f>
        <v/>
      </c>
      <c r="W235" s="373" t="str">
        <f>IF(B235="","",('Lighting Inventory (Ref only)'!L246/1000))</f>
        <v/>
      </c>
      <c r="X235" s="298" t="str">
        <f>IF(B235="", "", 'Lighting Inventory (Ref only)'!Q246)</f>
        <v/>
      </c>
      <c r="Y235" s="298" t="str">
        <f>IF(C235="", "", Inventory!N243)</f>
        <v/>
      </c>
      <c r="Z235" s="374" t="str">
        <f>IF(B235="", "", 'Lighting Inventory (Ref only)'!P246)</f>
        <v/>
      </c>
      <c r="AA235" s="372" t="str">
        <f>IF(B235="", "",'Lighting Inventory (Ref only)'!R246/1000)</f>
        <v/>
      </c>
      <c r="AB235" s="372" t="str">
        <f>IF(B235="", "", Inventory!M243)</f>
        <v/>
      </c>
      <c r="AC235" s="374" t="str">
        <f>IF(B235="", "", 'Lighting Inventory (Ref only)'!T246)</f>
        <v/>
      </c>
      <c r="AD235" s="374" t="str">
        <f>IF(C235="", "", 'Lighting Inventory (Ref only)'!AA246)</f>
        <v/>
      </c>
      <c r="AE235" s="375" t="str">
        <f>IF(B235="", "", 'Lighting Inventory (Ref only)'!U246)</f>
        <v/>
      </c>
      <c r="AF235" s="375" t="str">
        <f>IF(B235="", "",'Lighting Inventory (Ref only)'!W246)</f>
        <v/>
      </c>
      <c r="AG235" s="375" t="str">
        <f>IF(B235="", "", 'Lighting Inventory (Ref only)'!V246)</f>
        <v/>
      </c>
      <c r="AH235" s="375" t="str">
        <f>IF(B235="", "",'Lighting Inventory (Ref only)'!Z246)</f>
        <v/>
      </c>
      <c r="AI235" s="375" t="str">
        <f>IF(B235="", "", 'Lighting Inventory (Ref only)'!Y246)</f>
        <v/>
      </c>
      <c r="AJ235" s="375" t="str">
        <f>IF(C235="", "",'Lighting Inventory (Ref only)'!AB246)</f>
        <v/>
      </c>
      <c r="AK235" s="375" t="str">
        <f>IF(B235="", "", 'Lighting Inventory (Ref only)'!AG246)</f>
        <v/>
      </c>
      <c r="AL235" s="375" t="str">
        <f>IF(B235="", "", 'Lighting Inventory (Ref only)'!AD246)</f>
        <v/>
      </c>
      <c r="AM235" s="375" t="str">
        <f>IF(B235="", "", 'Lighting Inventory (Ref only)'!AE246)</f>
        <v/>
      </c>
      <c r="AN235" s="375" t="str">
        <f>IF(B235="", "", 'Lighting Inventory (Ref only)'!AF246)</f>
        <v/>
      </c>
      <c r="AO235" s="375" t="str">
        <f>IF(B235="", "", 'Lighting Inventory (Ref only)'!AG246)</f>
        <v/>
      </c>
    </row>
    <row r="236" spans="1:41">
      <c r="A236" s="298" t="str">
        <f>IF(G236="", "", Lookups!BF238)</f>
        <v/>
      </c>
      <c r="B236" s="298" t="str">
        <f>IF('Lighting Inventory (Ref only)'!Q247="", "", 'Lighting Inventory (Ref only)'!Q247)</f>
        <v/>
      </c>
      <c r="C236" s="298" t="str">
        <f>IF(A236="", "", 'Lighting Inventory (Ref only)'!AO247)</f>
        <v/>
      </c>
      <c r="D236" s="370" t="str">
        <f>IF(B236= "","", Inventory!S244)</f>
        <v/>
      </c>
      <c r="E236" s="371"/>
      <c r="F236" s="298" t="str">
        <f>IF(B236="", "", 'Version Log'!$B$34)</f>
        <v/>
      </c>
      <c r="G236" s="298" t="str">
        <f t="shared" si="12"/>
        <v/>
      </c>
      <c r="H236" s="298" t="str">
        <f t="shared" si="13"/>
        <v/>
      </c>
      <c r="I236" s="298" t="str">
        <f>IF(B236="", "",Inventory!D244)</f>
        <v/>
      </c>
      <c r="J236" s="298" t="str">
        <f>IF(B236="","",IF(Inventory!C244="N","Interior","Exterior"))</f>
        <v/>
      </c>
      <c r="K236" s="298" t="str">
        <f t="shared" si="14"/>
        <v/>
      </c>
      <c r="L236" s="298" t="str">
        <f>IF(B236="", "", Inventory!E244)</f>
        <v/>
      </c>
      <c r="M236" s="298" t="str">
        <f>IF(B236="","",IF(Cool_Type=Lookups!$L$9,Cool_Type,IF(Cool_Type=Lookups!$L$10,Cool_Type,IF(Cool_Type=Lookups!$L$11,Cool_Type,IF(Cool_Type=Lookups!L246,Cool_Type,IF('Project Info and Summary'!$C$20="Electric",CONCATENATE(Cool_Type," ",Heating_Type," Heat"),IF('Project Info and Summary'!$C$20="Non-Electric",CONCATENATE(Cool_Type," ",Heating_Type," Heat"),CONCATENATE(Cool_Type," ",Heating_Type))))))))</f>
        <v/>
      </c>
      <c r="N236" s="298" t="str">
        <f t="shared" si="15"/>
        <v/>
      </c>
      <c r="O236" s="298" t="str">
        <f>IF(B236="", "", 'Lighting Inventory (Ref only)'!G247)</f>
        <v/>
      </c>
      <c r="P236" s="298" t="str">
        <f>IF(B236="", "", 'Lighting Inventory (Ref only)'!E247)</f>
        <v/>
      </c>
      <c r="Q236" s="298" t="str">
        <f>IF(B236="", "", 'Lighting Inventory (Ref only)'!J247)</f>
        <v/>
      </c>
      <c r="R236" s="298" t="str">
        <f>IF(B236="", "",'Lighting Inventory (Ref only)'!K247)</f>
        <v/>
      </c>
      <c r="S236" s="372" t="str">
        <f>IF(B236="", "", 'Lighting Inventory (Ref only)'!G247*'Lighting Inventory (Ref only)'!K247/1000)</f>
        <v/>
      </c>
      <c r="T236" s="298" t="str">
        <f>IF(B236="", "", IF('Lighting Inventory (Ref only)'!I247="", "Light Switch",Inventory!H244))</f>
        <v/>
      </c>
      <c r="U236" s="298" t="str">
        <f>IF(B236="", "", 'Lighting Inventory (Ref only)'!Q247)</f>
        <v/>
      </c>
      <c r="V236" s="298" t="str">
        <f>IF(B236="", "", 'Lighting Inventory (Ref only)'!K247)</f>
        <v/>
      </c>
      <c r="W236" s="373" t="str">
        <f>IF(B236="","",('Lighting Inventory (Ref only)'!L247/1000))</f>
        <v/>
      </c>
      <c r="X236" s="298" t="str">
        <f>IF(B236="", "", 'Lighting Inventory (Ref only)'!Q247)</f>
        <v/>
      </c>
      <c r="Y236" s="298" t="str">
        <f>IF(C236="", "", Inventory!N244)</f>
        <v/>
      </c>
      <c r="Z236" s="374" t="str">
        <f>IF(B236="", "", 'Lighting Inventory (Ref only)'!P247)</f>
        <v/>
      </c>
      <c r="AA236" s="372" t="str">
        <f>IF(B236="", "",'Lighting Inventory (Ref only)'!R247/1000)</f>
        <v/>
      </c>
      <c r="AB236" s="372" t="str">
        <f>IF(B236="", "", Inventory!M244)</f>
        <v/>
      </c>
      <c r="AC236" s="374" t="str">
        <f>IF(B236="", "", 'Lighting Inventory (Ref only)'!T247)</f>
        <v/>
      </c>
      <c r="AD236" s="374" t="str">
        <f>IF(C236="", "", 'Lighting Inventory (Ref only)'!AA247)</f>
        <v/>
      </c>
      <c r="AE236" s="375" t="str">
        <f>IF(B236="", "", 'Lighting Inventory (Ref only)'!U247)</f>
        <v/>
      </c>
      <c r="AF236" s="375" t="str">
        <f>IF(B236="", "",'Lighting Inventory (Ref only)'!W247)</f>
        <v/>
      </c>
      <c r="AG236" s="375" t="str">
        <f>IF(B236="", "", 'Lighting Inventory (Ref only)'!V247)</f>
        <v/>
      </c>
      <c r="AH236" s="375" t="str">
        <f>IF(B236="", "",'Lighting Inventory (Ref only)'!Z247)</f>
        <v/>
      </c>
      <c r="AI236" s="375" t="str">
        <f>IF(B236="", "", 'Lighting Inventory (Ref only)'!Y247)</f>
        <v/>
      </c>
      <c r="AJ236" s="375" t="str">
        <f>IF(C236="", "",'Lighting Inventory (Ref only)'!AB247)</f>
        <v/>
      </c>
      <c r="AK236" s="375" t="str">
        <f>IF(B236="", "", 'Lighting Inventory (Ref only)'!AG247)</f>
        <v/>
      </c>
      <c r="AL236" s="375" t="str">
        <f>IF(B236="", "", 'Lighting Inventory (Ref only)'!AD247)</f>
        <v/>
      </c>
      <c r="AM236" s="375" t="str">
        <f>IF(B236="", "", 'Lighting Inventory (Ref only)'!AE247)</f>
        <v/>
      </c>
      <c r="AN236" s="375" t="str">
        <f>IF(B236="", "", 'Lighting Inventory (Ref only)'!AF247)</f>
        <v/>
      </c>
      <c r="AO236" s="375" t="str">
        <f>IF(B236="", "", 'Lighting Inventory (Ref only)'!AG247)</f>
        <v/>
      </c>
    </row>
    <row r="237" spans="1:41">
      <c r="A237" s="298" t="str">
        <f>IF(G237="", "", Lookups!BF239)</f>
        <v/>
      </c>
      <c r="B237" s="298" t="str">
        <f>IF('Lighting Inventory (Ref only)'!Q248="", "", 'Lighting Inventory (Ref only)'!Q248)</f>
        <v/>
      </c>
      <c r="C237" s="298" t="str">
        <f>IF(A237="", "", 'Lighting Inventory (Ref only)'!AO248)</f>
        <v/>
      </c>
      <c r="D237" s="370" t="str">
        <f>IF(B237= "","", Inventory!S245)</f>
        <v/>
      </c>
      <c r="E237" s="371"/>
      <c r="F237" s="298" t="str">
        <f>IF(B237="", "", 'Version Log'!$B$34)</f>
        <v/>
      </c>
      <c r="G237" s="298" t="str">
        <f t="shared" si="12"/>
        <v/>
      </c>
      <c r="H237" s="298" t="str">
        <f t="shared" si="13"/>
        <v/>
      </c>
      <c r="I237" s="298" t="str">
        <f>IF(B237="", "",Inventory!D245)</f>
        <v/>
      </c>
      <c r="J237" s="298" t="str">
        <f>IF(B237="","",IF(Inventory!C245="N","Interior","Exterior"))</f>
        <v/>
      </c>
      <c r="K237" s="298" t="str">
        <f t="shared" si="14"/>
        <v/>
      </c>
      <c r="L237" s="298" t="str">
        <f>IF(B237="", "", Inventory!E245)</f>
        <v/>
      </c>
      <c r="M237" s="298" t="str">
        <f>IF(B237="","",IF(Cool_Type=Lookups!$L$9,Cool_Type,IF(Cool_Type=Lookups!$L$10,Cool_Type,IF(Cool_Type=Lookups!$L$11,Cool_Type,IF(Cool_Type=Lookups!L247,Cool_Type,IF('Project Info and Summary'!$C$20="Electric",CONCATENATE(Cool_Type," ",Heating_Type," Heat"),IF('Project Info and Summary'!$C$20="Non-Electric",CONCATENATE(Cool_Type," ",Heating_Type," Heat"),CONCATENATE(Cool_Type," ",Heating_Type))))))))</f>
        <v/>
      </c>
      <c r="N237" s="298" t="str">
        <f t="shared" si="15"/>
        <v/>
      </c>
      <c r="O237" s="298" t="str">
        <f>IF(B237="", "", 'Lighting Inventory (Ref only)'!G248)</f>
        <v/>
      </c>
      <c r="P237" s="298" t="str">
        <f>IF(B237="", "", 'Lighting Inventory (Ref only)'!E248)</f>
        <v/>
      </c>
      <c r="Q237" s="298" t="str">
        <f>IF(B237="", "", 'Lighting Inventory (Ref only)'!J248)</f>
        <v/>
      </c>
      <c r="R237" s="298" t="str">
        <f>IF(B237="", "",'Lighting Inventory (Ref only)'!K248)</f>
        <v/>
      </c>
      <c r="S237" s="372" t="str">
        <f>IF(B237="", "", 'Lighting Inventory (Ref only)'!G248*'Lighting Inventory (Ref only)'!K248/1000)</f>
        <v/>
      </c>
      <c r="T237" s="298" t="str">
        <f>IF(B237="", "", IF('Lighting Inventory (Ref only)'!I248="", "Light Switch",Inventory!H245))</f>
        <v/>
      </c>
      <c r="U237" s="298" t="str">
        <f>IF(B237="", "", 'Lighting Inventory (Ref only)'!Q248)</f>
        <v/>
      </c>
      <c r="V237" s="298" t="str">
        <f>IF(B237="", "", 'Lighting Inventory (Ref only)'!K248)</f>
        <v/>
      </c>
      <c r="W237" s="373" t="str">
        <f>IF(B237="","",('Lighting Inventory (Ref only)'!L248/1000))</f>
        <v/>
      </c>
      <c r="X237" s="298" t="str">
        <f>IF(B237="", "", 'Lighting Inventory (Ref only)'!Q248)</f>
        <v/>
      </c>
      <c r="Y237" s="298" t="str">
        <f>IF(C237="", "", Inventory!N245)</f>
        <v/>
      </c>
      <c r="Z237" s="374" t="str">
        <f>IF(B237="", "", 'Lighting Inventory (Ref only)'!P248)</f>
        <v/>
      </c>
      <c r="AA237" s="372" t="str">
        <f>IF(B237="", "",'Lighting Inventory (Ref only)'!R248/1000)</f>
        <v/>
      </c>
      <c r="AB237" s="372" t="str">
        <f>IF(B237="", "", Inventory!M245)</f>
        <v/>
      </c>
      <c r="AC237" s="374" t="str">
        <f>IF(B237="", "", 'Lighting Inventory (Ref only)'!T248)</f>
        <v/>
      </c>
      <c r="AD237" s="374" t="str">
        <f>IF(C237="", "", 'Lighting Inventory (Ref only)'!AA248)</f>
        <v/>
      </c>
      <c r="AE237" s="375" t="str">
        <f>IF(B237="", "", 'Lighting Inventory (Ref only)'!U248)</f>
        <v/>
      </c>
      <c r="AF237" s="375" t="str">
        <f>IF(B237="", "",'Lighting Inventory (Ref only)'!W248)</f>
        <v/>
      </c>
      <c r="AG237" s="375" t="str">
        <f>IF(B237="", "", 'Lighting Inventory (Ref only)'!V248)</f>
        <v/>
      </c>
      <c r="AH237" s="375" t="str">
        <f>IF(B237="", "",'Lighting Inventory (Ref only)'!Z248)</f>
        <v/>
      </c>
      <c r="AI237" s="375" t="str">
        <f>IF(B237="", "", 'Lighting Inventory (Ref only)'!Y248)</f>
        <v/>
      </c>
      <c r="AJ237" s="375" t="str">
        <f>IF(C237="", "",'Lighting Inventory (Ref only)'!AB248)</f>
        <v/>
      </c>
      <c r="AK237" s="375" t="str">
        <f>IF(B237="", "", 'Lighting Inventory (Ref only)'!AG248)</f>
        <v/>
      </c>
      <c r="AL237" s="375" t="str">
        <f>IF(B237="", "", 'Lighting Inventory (Ref only)'!AD248)</f>
        <v/>
      </c>
      <c r="AM237" s="375" t="str">
        <f>IF(B237="", "", 'Lighting Inventory (Ref only)'!AE248)</f>
        <v/>
      </c>
      <c r="AN237" s="375" t="str">
        <f>IF(B237="", "", 'Lighting Inventory (Ref only)'!AF248)</f>
        <v/>
      </c>
      <c r="AO237" s="375" t="str">
        <f>IF(B237="", "", 'Lighting Inventory (Ref only)'!AG248)</f>
        <v/>
      </c>
    </row>
    <row r="238" spans="1:41">
      <c r="A238" s="298" t="str">
        <f>IF(G238="", "", Lookups!BF240)</f>
        <v/>
      </c>
      <c r="B238" s="298" t="str">
        <f>IF('Lighting Inventory (Ref only)'!Q249="", "", 'Lighting Inventory (Ref only)'!Q249)</f>
        <v/>
      </c>
      <c r="C238" s="298" t="str">
        <f>IF(A238="", "", 'Lighting Inventory (Ref only)'!AO249)</f>
        <v/>
      </c>
      <c r="D238" s="370" t="str">
        <f>IF(B238= "","", Inventory!S246)</f>
        <v/>
      </c>
      <c r="E238" s="371"/>
      <c r="F238" s="298" t="str">
        <f>IF(B238="", "", 'Version Log'!$B$34)</f>
        <v/>
      </c>
      <c r="G238" s="298" t="str">
        <f t="shared" si="12"/>
        <v/>
      </c>
      <c r="H238" s="298" t="str">
        <f t="shared" si="13"/>
        <v/>
      </c>
      <c r="I238" s="298" t="str">
        <f>IF(B238="", "",Inventory!D246)</f>
        <v/>
      </c>
      <c r="J238" s="298" t="str">
        <f>IF(B238="","",IF(Inventory!C246="N","Interior","Exterior"))</f>
        <v/>
      </c>
      <c r="K238" s="298" t="str">
        <f t="shared" si="14"/>
        <v/>
      </c>
      <c r="L238" s="298" t="str">
        <f>IF(B238="", "", Inventory!E246)</f>
        <v/>
      </c>
      <c r="M238" s="298" t="str">
        <f>IF(B238="","",IF(Cool_Type=Lookups!$L$9,Cool_Type,IF(Cool_Type=Lookups!$L$10,Cool_Type,IF(Cool_Type=Lookups!$L$11,Cool_Type,IF(Cool_Type=Lookups!L248,Cool_Type,IF('Project Info and Summary'!$C$20="Electric",CONCATENATE(Cool_Type," ",Heating_Type," Heat"),IF('Project Info and Summary'!$C$20="Non-Electric",CONCATENATE(Cool_Type," ",Heating_Type," Heat"),CONCATENATE(Cool_Type," ",Heating_Type))))))))</f>
        <v/>
      </c>
      <c r="N238" s="298" t="str">
        <f t="shared" si="15"/>
        <v/>
      </c>
      <c r="O238" s="298" t="str">
        <f>IF(B238="", "", 'Lighting Inventory (Ref only)'!G249)</f>
        <v/>
      </c>
      <c r="P238" s="298" t="str">
        <f>IF(B238="", "", 'Lighting Inventory (Ref only)'!E249)</f>
        <v/>
      </c>
      <c r="Q238" s="298" t="str">
        <f>IF(B238="", "", 'Lighting Inventory (Ref only)'!J249)</f>
        <v/>
      </c>
      <c r="R238" s="298" t="str">
        <f>IF(B238="", "",'Lighting Inventory (Ref only)'!K249)</f>
        <v/>
      </c>
      <c r="S238" s="372" t="str">
        <f>IF(B238="", "", 'Lighting Inventory (Ref only)'!G249*'Lighting Inventory (Ref only)'!K249/1000)</f>
        <v/>
      </c>
      <c r="T238" s="298" t="str">
        <f>IF(B238="", "", IF('Lighting Inventory (Ref only)'!I249="", "Light Switch",Inventory!H246))</f>
        <v/>
      </c>
      <c r="U238" s="298" t="str">
        <f>IF(B238="", "", 'Lighting Inventory (Ref only)'!Q249)</f>
        <v/>
      </c>
      <c r="V238" s="298" t="str">
        <f>IF(B238="", "", 'Lighting Inventory (Ref only)'!K249)</f>
        <v/>
      </c>
      <c r="W238" s="373" t="str">
        <f>IF(B238="","",('Lighting Inventory (Ref only)'!L249/1000))</f>
        <v/>
      </c>
      <c r="X238" s="298" t="str">
        <f>IF(B238="", "", 'Lighting Inventory (Ref only)'!Q249)</f>
        <v/>
      </c>
      <c r="Y238" s="298" t="str">
        <f>IF(C238="", "", Inventory!N246)</f>
        <v/>
      </c>
      <c r="Z238" s="374" t="str">
        <f>IF(B238="", "", 'Lighting Inventory (Ref only)'!P249)</f>
        <v/>
      </c>
      <c r="AA238" s="372" t="str">
        <f>IF(B238="", "",'Lighting Inventory (Ref only)'!R249/1000)</f>
        <v/>
      </c>
      <c r="AB238" s="372" t="str">
        <f>IF(B238="", "", Inventory!M246)</f>
        <v/>
      </c>
      <c r="AC238" s="374" t="str">
        <f>IF(B238="", "", 'Lighting Inventory (Ref only)'!T249)</f>
        <v/>
      </c>
      <c r="AD238" s="374" t="str">
        <f>IF(C238="", "", 'Lighting Inventory (Ref only)'!AA249)</f>
        <v/>
      </c>
      <c r="AE238" s="375" t="str">
        <f>IF(B238="", "", 'Lighting Inventory (Ref only)'!U249)</f>
        <v/>
      </c>
      <c r="AF238" s="375" t="str">
        <f>IF(B238="", "",'Lighting Inventory (Ref only)'!W249)</f>
        <v/>
      </c>
      <c r="AG238" s="375" t="str">
        <f>IF(B238="", "", 'Lighting Inventory (Ref only)'!V249)</f>
        <v/>
      </c>
      <c r="AH238" s="375" t="str">
        <f>IF(B238="", "",'Lighting Inventory (Ref only)'!Z249)</f>
        <v/>
      </c>
      <c r="AI238" s="375" t="str">
        <f>IF(B238="", "", 'Lighting Inventory (Ref only)'!Y249)</f>
        <v/>
      </c>
      <c r="AJ238" s="375" t="str">
        <f>IF(C238="", "",'Lighting Inventory (Ref only)'!AB249)</f>
        <v/>
      </c>
      <c r="AK238" s="375" t="str">
        <f>IF(B238="", "", 'Lighting Inventory (Ref only)'!AG249)</f>
        <v/>
      </c>
      <c r="AL238" s="375" t="str">
        <f>IF(B238="", "", 'Lighting Inventory (Ref only)'!AD249)</f>
        <v/>
      </c>
      <c r="AM238" s="375" t="str">
        <f>IF(B238="", "", 'Lighting Inventory (Ref only)'!AE249)</f>
        <v/>
      </c>
      <c r="AN238" s="375" t="str">
        <f>IF(B238="", "", 'Lighting Inventory (Ref only)'!AF249)</f>
        <v/>
      </c>
      <c r="AO238" s="375" t="str">
        <f>IF(B238="", "", 'Lighting Inventory (Ref only)'!AG249)</f>
        <v/>
      </c>
    </row>
    <row r="239" spans="1:41">
      <c r="A239" s="298" t="str">
        <f>IF(G239="", "", Lookups!BF241)</f>
        <v/>
      </c>
      <c r="B239" s="298" t="str">
        <f>IF('Lighting Inventory (Ref only)'!Q250="", "", 'Lighting Inventory (Ref only)'!Q250)</f>
        <v/>
      </c>
      <c r="C239" s="298" t="str">
        <f>IF(A239="", "", 'Lighting Inventory (Ref only)'!AO250)</f>
        <v/>
      </c>
      <c r="D239" s="370" t="str">
        <f>IF(B239= "","", Inventory!S247)</f>
        <v/>
      </c>
      <c r="E239" s="371"/>
      <c r="F239" s="298" t="str">
        <f>IF(B239="", "", 'Version Log'!$B$34)</f>
        <v/>
      </c>
      <c r="G239" s="298" t="str">
        <f t="shared" si="12"/>
        <v/>
      </c>
      <c r="H239" s="298" t="str">
        <f t="shared" si="13"/>
        <v/>
      </c>
      <c r="I239" s="298" t="str">
        <f>IF(B239="", "",Inventory!D247)</f>
        <v/>
      </c>
      <c r="J239" s="298" t="str">
        <f>IF(B239="","",IF(Inventory!C247="N","Interior","Exterior"))</f>
        <v/>
      </c>
      <c r="K239" s="298" t="str">
        <f t="shared" si="14"/>
        <v/>
      </c>
      <c r="L239" s="298" t="str">
        <f>IF(B239="", "", Inventory!E247)</f>
        <v/>
      </c>
      <c r="M239" s="298" t="str">
        <f>IF(B239="","",IF(Cool_Type=Lookups!$L$9,Cool_Type,IF(Cool_Type=Lookups!$L$10,Cool_Type,IF(Cool_Type=Lookups!$L$11,Cool_Type,IF(Cool_Type=Lookups!L249,Cool_Type,IF('Project Info and Summary'!$C$20="Electric",CONCATENATE(Cool_Type," ",Heating_Type," Heat"),IF('Project Info and Summary'!$C$20="Non-Electric",CONCATENATE(Cool_Type," ",Heating_Type," Heat"),CONCATENATE(Cool_Type," ",Heating_Type))))))))</f>
        <v/>
      </c>
      <c r="N239" s="298" t="str">
        <f t="shared" si="15"/>
        <v/>
      </c>
      <c r="O239" s="298" t="str">
        <f>IF(B239="", "", 'Lighting Inventory (Ref only)'!G250)</f>
        <v/>
      </c>
      <c r="P239" s="298" t="str">
        <f>IF(B239="", "", 'Lighting Inventory (Ref only)'!E250)</f>
        <v/>
      </c>
      <c r="Q239" s="298" t="str">
        <f>IF(B239="", "", 'Lighting Inventory (Ref only)'!J250)</f>
        <v/>
      </c>
      <c r="R239" s="298" t="str">
        <f>IF(B239="", "",'Lighting Inventory (Ref only)'!K250)</f>
        <v/>
      </c>
      <c r="S239" s="372" t="str">
        <f>IF(B239="", "", 'Lighting Inventory (Ref only)'!G250*'Lighting Inventory (Ref only)'!K250/1000)</f>
        <v/>
      </c>
      <c r="T239" s="298" t="str">
        <f>IF(B239="", "", IF('Lighting Inventory (Ref only)'!I250="", "Light Switch",Inventory!H247))</f>
        <v/>
      </c>
      <c r="U239" s="298" t="str">
        <f>IF(B239="", "", 'Lighting Inventory (Ref only)'!Q250)</f>
        <v/>
      </c>
      <c r="V239" s="298" t="str">
        <f>IF(B239="", "", 'Lighting Inventory (Ref only)'!K250)</f>
        <v/>
      </c>
      <c r="W239" s="373" t="str">
        <f>IF(B239="","",('Lighting Inventory (Ref only)'!L250/1000))</f>
        <v/>
      </c>
      <c r="X239" s="298" t="str">
        <f>IF(B239="", "", 'Lighting Inventory (Ref only)'!Q250)</f>
        <v/>
      </c>
      <c r="Y239" s="298" t="str">
        <f>IF(C239="", "", Inventory!N247)</f>
        <v/>
      </c>
      <c r="Z239" s="374" t="str">
        <f>IF(B239="", "", 'Lighting Inventory (Ref only)'!P250)</f>
        <v/>
      </c>
      <c r="AA239" s="372" t="str">
        <f>IF(B239="", "",'Lighting Inventory (Ref only)'!R250/1000)</f>
        <v/>
      </c>
      <c r="AB239" s="372" t="str">
        <f>IF(B239="", "", Inventory!M247)</f>
        <v/>
      </c>
      <c r="AC239" s="374" t="str">
        <f>IF(B239="", "", 'Lighting Inventory (Ref only)'!T250)</f>
        <v/>
      </c>
      <c r="AD239" s="374" t="str">
        <f>IF(C239="", "", 'Lighting Inventory (Ref only)'!AA250)</f>
        <v/>
      </c>
      <c r="AE239" s="375" t="str">
        <f>IF(B239="", "", 'Lighting Inventory (Ref only)'!U250)</f>
        <v/>
      </c>
      <c r="AF239" s="375" t="str">
        <f>IF(B239="", "",'Lighting Inventory (Ref only)'!W250)</f>
        <v/>
      </c>
      <c r="AG239" s="375" t="str">
        <f>IF(B239="", "", 'Lighting Inventory (Ref only)'!V250)</f>
        <v/>
      </c>
      <c r="AH239" s="375" t="str">
        <f>IF(B239="", "",'Lighting Inventory (Ref only)'!Z250)</f>
        <v/>
      </c>
      <c r="AI239" s="375" t="str">
        <f>IF(B239="", "", 'Lighting Inventory (Ref only)'!Y250)</f>
        <v/>
      </c>
      <c r="AJ239" s="375" t="str">
        <f>IF(C239="", "",'Lighting Inventory (Ref only)'!AB250)</f>
        <v/>
      </c>
      <c r="AK239" s="375" t="str">
        <f>IF(B239="", "", 'Lighting Inventory (Ref only)'!AG250)</f>
        <v/>
      </c>
      <c r="AL239" s="375" t="str">
        <f>IF(B239="", "", 'Lighting Inventory (Ref only)'!AD250)</f>
        <v/>
      </c>
      <c r="AM239" s="375" t="str">
        <f>IF(B239="", "", 'Lighting Inventory (Ref only)'!AE250)</f>
        <v/>
      </c>
      <c r="AN239" s="375" t="str">
        <f>IF(B239="", "", 'Lighting Inventory (Ref only)'!AF250)</f>
        <v/>
      </c>
      <c r="AO239" s="375" t="str">
        <f>IF(B239="", "", 'Lighting Inventory (Ref only)'!AG250)</f>
        <v/>
      </c>
    </row>
    <row r="240" spans="1:41">
      <c r="A240" s="298" t="str">
        <f>IF(G240="", "", Lookups!BF242)</f>
        <v/>
      </c>
      <c r="B240" s="298" t="str">
        <f>IF('Lighting Inventory (Ref only)'!Q251="", "", 'Lighting Inventory (Ref only)'!Q251)</f>
        <v/>
      </c>
      <c r="C240" s="298" t="str">
        <f>IF(A240="", "", 'Lighting Inventory (Ref only)'!AO251)</f>
        <v/>
      </c>
      <c r="D240" s="370" t="str">
        <f>IF(B240= "","", Inventory!S248)</f>
        <v/>
      </c>
      <c r="E240" s="371"/>
      <c r="F240" s="298" t="str">
        <f>IF(B240="", "", 'Version Log'!$B$34)</f>
        <v/>
      </c>
      <c r="G240" s="298" t="str">
        <f t="shared" si="12"/>
        <v/>
      </c>
      <c r="H240" s="298" t="str">
        <f t="shared" si="13"/>
        <v/>
      </c>
      <c r="I240" s="298" t="str">
        <f>IF(B240="", "",Inventory!D248)</f>
        <v/>
      </c>
      <c r="J240" s="298" t="str">
        <f>IF(B240="","",IF(Inventory!C248="N","Interior","Exterior"))</f>
        <v/>
      </c>
      <c r="K240" s="298" t="str">
        <f t="shared" si="14"/>
        <v/>
      </c>
      <c r="L240" s="298" t="str">
        <f>IF(B240="", "", Inventory!E248)</f>
        <v/>
      </c>
      <c r="M240" s="298" t="str">
        <f>IF(B240="","",IF(Cool_Type=Lookups!$L$9,Cool_Type,IF(Cool_Type=Lookups!$L$10,Cool_Type,IF(Cool_Type=Lookups!$L$11,Cool_Type,IF(Cool_Type=Lookups!L250,Cool_Type,IF('Project Info and Summary'!$C$20="Electric",CONCATENATE(Cool_Type," ",Heating_Type," Heat"),IF('Project Info and Summary'!$C$20="Non-Electric",CONCATENATE(Cool_Type," ",Heating_Type," Heat"),CONCATENATE(Cool_Type," ",Heating_Type))))))))</f>
        <v/>
      </c>
      <c r="N240" s="298" t="str">
        <f t="shared" si="15"/>
        <v/>
      </c>
      <c r="O240" s="298" t="str">
        <f>IF(B240="", "", 'Lighting Inventory (Ref only)'!G251)</f>
        <v/>
      </c>
      <c r="P240" s="298" t="str">
        <f>IF(B240="", "", 'Lighting Inventory (Ref only)'!E251)</f>
        <v/>
      </c>
      <c r="Q240" s="298" t="str">
        <f>IF(B240="", "", 'Lighting Inventory (Ref only)'!J251)</f>
        <v/>
      </c>
      <c r="R240" s="298" t="str">
        <f>IF(B240="", "",'Lighting Inventory (Ref only)'!K251)</f>
        <v/>
      </c>
      <c r="S240" s="372" t="str">
        <f>IF(B240="", "", 'Lighting Inventory (Ref only)'!G251*'Lighting Inventory (Ref only)'!K251/1000)</f>
        <v/>
      </c>
      <c r="T240" s="298" t="str">
        <f>IF(B240="", "", IF('Lighting Inventory (Ref only)'!I251="", "Light Switch",Inventory!H248))</f>
        <v/>
      </c>
      <c r="U240" s="298" t="str">
        <f>IF(B240="", "", 'Lighting Inventory (Ref only)'!Q251)</f>
        <v/>
      </c>
      <c r="V240" s="298" t="str">
        <f>IF(B240="", "", 'Lighting Inventory (Ref only)'!K251)</f>
        <v/>
      </c>
      <c r="W240" s="373" t="str">
        <f>IF(B240="","",('Lighting Inventory (Ref only)'!L251/1000))</f>
        <v/>
      </c>
      <c r="X240" s="298" t="str">
        <f>IF(B240="", "", 'Lighting Inventory (Ref only)'!Q251)</f>
        <v/>
      </c>
      <c r="Y240" s="298" t="str">
        <f>IF(C240="", "", Inventory!N248)</f>
        <v/>
      </c>
      <c r="Z240" s="374" t="str">
        <f>IF(B240="", "", 'Lighting Inventory (Ref only)'!P251)</f>
        <v/>
      </c>
      <c r="AA240" s="372" t="str">
        <f>IF(B240="", "",'Lighting Inventory (Ref only)'!R251/1000)</f>
        <v/>
      </c>
      <c r="AB240" s="372" t="str">
        <f>IF(B240="", "", Inventory!M248)</f>
        <v/>
      </c>
      <c r="AC240" s="374" t="str">
        <f>IF(B240="", "", 'Lighting Inventory (Ref only)'!T251)</f>
        <v/>
      </c>
      <c r="AD240" s="374" t="str">
        <f>IF(C240="", "", 'Lighting Inventory (Ref only)'!AA251)</f>
        <v/>
      </c>
      <c r="AE240" s="375" t="str">
        <f>IF(B240="", "", 'Lighting Inventory (Ref only)'!U251)</f>
        <v/>
      </c>
      <c r="AF240" s="375" t="str">
        <f>IF(B240="", "",'Lighting Inventory (Ref only)'!W251)</f>
        <v/>
      </c>
      <c r="AG240" s="375" t="str">
        <f>IF(B240="", "", 'Lighting Inventory (Ref only)'!V251)</f>
        <v/>
      </c>
      <c r="AH240" s="375" t="str">
        <f>IF(B240="", "",'Lighting Inventory (Ref only)'!Z251)</f>
        <v/>
      </c>
      <c r="AI240" s="375" t="str">
        <f>IF(B240="", "", 'Lighting Inventory (Ref only)'!Y251)</f>
        <v/>
      </c>
      <c r="AJ240" s="375" t="str">
        <f>IF(C240="", "",'Lighting Inventory (Ref only)'!AB251)</f>
        <v/>
      </c>
      <c r="AK240" s="375" t="str">
        <f>IF(B240="", "", 'Lighting Inventory (Ref only)'!AG251)</f>
        <v/>
      </c>
      <c r="AL240" s="375" t="str">
        <f>IF(B240="", "", 'Lighting Inventory (Ref only)'!AD251)</f>
        <v/>
      </c>
      <c r="AM240" s="375" t="str">
        <f>IF(B240="", "", 'Lighting Inventory (Ref only)'!AE251)</f>
        <v/>
      </c>
      <c r="AN240" s="375" t="str">
        <f>IF(B240="", "", 'Lighting Inventory (Ref only)'!AF251)</f>
        <v/>
      </c>
      <c r="AO240" s="375" t="str">
        <f>IF(B240="", "", 'Lighting Inventory (Ref only)'!AG251)</f>
        <v/>
      </c>
    </row>
    <row r="241" spans="1:41">
      <c r="A241" s="298" t="str">
        <f>IF(G241="", "", Lookups!BF243)</f>
        <v/>
      </c>
      <c r="B241" s="298" t="str">
        <f>IF('Lighting Inventory (Ref only)'!Q252="", "", 'Lighting Inventory (Ref only)'!Q252)</f>
        <v/>
      </c>
      <c r="C241" s="298" t="str">
        <f>IF(A241="", "", 'Lighting Inventory (Ref only)'!AO252)</f>
        <v/>
      </c>
      <c r="D241" s="370" t="str">
        <f>IF(B241= "","", Inventory!S249)</f>
        <v/>
      </c>
      <c r="E241" s="371"/>
      <c r="F241" s="298" t="str">
        <f>IF(B241="", "", 'Version Log'!$B$34)</f>
        <v/>
      </c>
      <c r="G241" s="298" t="str">
        <f t="shared" si="12"/>
        <v/>
      </c>
      <c r="H241" s="298" t="str">
        <f t="shared" si="13"/>
        <v/>
      </c>
      <c r="I241" s="298" t="str">
        <f>IF(B241="", "",Inventory!D249)</f>
        <v/>
      </c>
      <c r="J241" s="298" t="str">
        <f>IF(B241="","",IF(Inventory!C249="N","Interior","Exterior"))</f>
        <v/>
      </c>
      <c r="K241" s="298" t="str">
        <f t="shared" si="14"/>
        <v/>
      </c>
      <c r="L241" s="298" t="str">
        <f>IF(B241="", "", Inventory!E249)</f>
        <v/>
      </c>
      <c r="M241" s="298" t="str">
        <f>IF(B241="","",IF(Cool_Type=Lookups!$L$9,Cool_Type,IF(Cool_Type=Lookups!$L$10,Cool_Type,IF(Cool_Type=Lookups!$L$11,Cool_Type,IF(Cool_Type=Lookups!L251,Cool_Type,IF('Project Info and Summary'!$C$20="Electric",CONCATENATE(Cool_Type," ",Heating_Type," Heat"),IF('Project Info and Summary'!$C$20="Non-Electric",CONCATENATE(Cool_Type," ",Heating_Type," Heat"),CONCATENATE(Cool_Type," ",Heating_Type))))))))</f>
        <v/>
      </c>
      <c r="N241" s="298" t="str">
        <f t="shared" si="15"/>
        <v/>
      </c>
      <c r="O241" s="298" t="str">
        <f>IF(B241="", "", 'Lighting Inventory (Ref only)'!G252)</f>
        <v/>
      </c>
      <c r="P241" s="298" t="str">
        <f>IF(B241="", "", 'Lighting Inventory (Ref only)'!E252)</f>
        <v/>
      </c>
      <c r="Q241" s="298" t="str">
        <f>IF(B241="", "", 'Lighting Inventory (Ref only)'!J252)</f>
        <v/>
      </c>
      <c r="R241" s="298" t="str">
        <f>IF(B241="", "",'Lighting Inventory (Ref only)'!K252)</f>
        <v/>
      </c>
      <c r="S241" s="372" t="str">
        <f>IF(B241="", "", 'Lighting Inventory (Ref only)'!G252*'Lighting Inventory (Ref only)'!K252/1000)</f>
        <v/>
      </c>
      <c r="T241" s="298" t="str">
        <f>IF(B241="", "", IF('Lighting Inventory (Ref only)'!I252="", "Light Switch",Inventory!H249))</f>
        <v/>
      </c>
      <c r="U241" s="298" t="str">
        <f>IF(B241="", "", 'Lighting Inventory (Ref only)'!Q252)</f>
        <v/>
      </c>
      <c r="V241" s="298" t="str">
        <f>IF(B241="", "", 'Lighting Inventory (Ref only)'!K252)</f>
        <v/>
      </c>
      <c r="W241" s="373" t="str">
        <f>IF(B241="","",('Lighting Inventory (Ref only)'!L252/1000))</f>
        <v/>
      </c>
      <c r="X241" s="298" t="str">
        <f>IF(B241="", "", 'Lighting Inventory (Ref only)'!Q252)</f>
        <v/>
      </c>
      <c r="Y241" s="298" t="str">
        <f>IF(C241="", "", Inventory!N249)</f>
        <v/>
      </c>
      <c r="Z241" s="374" t="str">
        <f>IF(B241="", "", 'Lighting Inventory (Ref only)'!P252)</f>
        <v/>
      </c>
      <c r="AA241" s="372" t="str">
        <f>IF(B241="", "",'Lighting Inventory (Ref only)'!R252/1000)</f>
        <v/>
      </c>
      <c r="AB241" s="372" t="str">
        <f>IF(B241="", "", Inventory!M249)</f>
        <v/>
      </c>
      <c r="AC241" s="374" t="str">
        <f>IF(B241="", "", 'Lighting Inventory (Ref only)'!T252)</f>
        <v/>
      </c>
      <c r="AD241" s="374" t="str">
        <f>IF(C241="", "", 'Lighting Inventory (Ref only)'!AA252)</f>
        <v/>
      </c>
      <c r="AE241" s="375" t="str">
        <f>IF(B241="", "", 'Lighting Inventory (Ref only)'!U252)</f>
        <v/>
      </c>
      <c r="AF241" s="375" t="str">
        <f>IF(B241="", "",'Lighting Inventory (Ref only)'!W252)</f>
        <v/>
      </c>
      <c r="AG241" s="375" t="str">
        <f>IF(B241="", "", 'Lighting Inventory (Ref only)'!V252)</f>
        <v/>
      </c>
      <c r="AH241" s="375" t="str">
        <f>IF(B241="", "",'Lighting Inventory (Ref only)'!Z252)</f>
        <v/>
      </c>
      <c r="AI241" s="375" t="str">
        <f>IF(B241="", "", 'Lighting Inventory (Ref only)'!Y252)</f>
        <v/>
      </c>
      <c r="AJ241" s="375" t="str">
        <f>IF(C241="", "",'Lighting Inventory (Ref only)'!AB252)</f>
        <v/>
      </c>
      <c r="AK241" s="375" t="str">
        <f>IF(B241="", "", 'Lighting Inventory (Ref only)'!AG252)</f>
        <v/>
      </c>
      <c r="AL241" s="375" t="str">
        <f>IF(B241="", "", 'Lighting Inventory (Ref only)'!AD252)</f>
        <v/>
      </c>
      <c r="AM241" s="375" t="str">
        <f>IF(B241="", "", 'Lighting Inventory (Ref only)'!AE252)</f>
        <v/>
      </c>
      <c r="AN241" s="375" t="str">
        <f>IF(B241="", "", 'Lighting Inventory (Ref only)'!AF252)</f>
        <v/>
      </c>
      <c r="AO241" s="375" t="str">
        <f>IF(B241="", "", 'Lighting Inventory (Ref only)'!AG252)</f>
        <v/>
      </c>
    </row>
    <row r="242" spans="1:41">
      <c r="A242" s="298" t="str">
        <f>IF(G242="", "", Lookups!BF244)</f>
        <v/>
      </c>
      <c r="B242" s="298" t="str">
        <f>IF('Lighting Inventory (Ref only)'!Q253="", "", 'Lighting Inventory (Ref only)'!Q253)</f>
        <v/>
      </c>
      <c r="C242" s="298" t="str">
        <f>IF(A242="", "", 'Lighting Inventory (Ref only)'!AO253)</f>
        <v/>
      </c>
      <c r="D242" s="370" t="str">
        <f>IF(B242= "","", Inventory!S250)</f>
        <v/>
      </c>
      <c r="E242" s="371"/>
      <c r="F242" s="298" t="str">
        <f>IF(B242="", "", 'Version Log'!$B$34)</f>
        <v/>
      </c>
      <c r="G242" s="298" t="str">
        <f t="shared" si="12"/>
        <v/>
      </c>
      <c r="H242" s="298" t="str">
        <f t="shared" si="13"/>
        <v/>
      </c>
      <c r="I242" s="298" t="str">
        <f>IF(B242="", "",Inventory!D250)</f>
        <v/>
      </c>
      <c r="J242" s="298" t="str">
        <f>IF(B242="","",IF(Inventory!C250="N","Interior","Exterior"))</f>
        <v/>
      </c>
      <c r="K242" s="298" t="str">
        <f t="shared" si="14"/>
        <v/>
      </c>
      <c r="L242" s="298" t="str">
        <f>IF(B242="", "", Inventory!E250)</f>
        <v/>
      </c>
      <c r="M242" s="298" t="str">
        <f>IF(B242="","",IF(Cool_Type=Lookups!$L$9,Cool_Type,IF(Cool_Type=Lookups!$L$10,Cool_Type,IF(Cool_Type=Lookups!$L$11,Cool_Type,IF(Cool_Type=Lookups!L252,Cool_Type,IF('Project Info and Summary'!$C$20="Electric",CONCATENATE(Cool_Type," ",Heating_Type," Heat"),IF('Project Info and Summary'!$C$20="Non-Electric",CONCATENATE(Cool_Type," ",Heating_Type," Heat"),CONCATENATE(Cool_Type," ",Heating_Type))))))))</f>
        <v/>
      </c>
      <c r="N242" s="298" t="str">
        <f t="shared" si="15"/>
        <v/>
      </c>
      <c r="O242" s="298" t="str">
        <f>IF(B242="", "", 'Lighting Inventory (Ref only)'!G253)</f>
        <v/>
      </c>
      <c r="P242" s="298" t="str">
        <f>IF(B242="", "", 'Lighting Inventory (Ref only)'!E253)</f>
        <v/>
      </c>
      <c r="Q242" s="298" t="str">
        <f>IF(B242="", "", 'Lighting Inventory (Ref only)'!J253)</f>
        <v/>
      </c>
      <c r="R242" s="298" t="str">
        <f>IF(B242="", "",'Lighting Inventory (Ref only)'!K253)</f>
        <v/>
      </c>
      <c r="S242" s="372" t="str">
        <f>IF(B242="", "", 'Lighting Inventory (Ref only)'!G253*'Lighting Inventory (Ref only)'!K253/1000)</f>
        <v/>
      </c>
      <c r="T242" s="298" t="str">
        <f>IF(B242="", "", IF('Lighting Inventory (Ref only)'!I253="", "Light Switch",Inventory!H250))</f>
        <v/>
      </c>
      <c r="U242" s="298" t="str">
        <f>IF(B242="", "", 'Lighting Inventory (Ref only)'!Q253)</f>
        <v/>
      </c>
      <c r="V242" s="298" t="str">
        <f>IF(B242="", "", 'Lighting Inventory (Ref only)'!K253)</f>
        <v/>
      </c>
      <c r="W242" s="373" t="str">
        <f>IF(B242="","",('Lighting Inventory (Ref only)'!L253/1000))</f>
        <v/>
      </c>
      <c r="X242" s="298" t="str">
        <f>IF(B242="", "", 'Lighting Inventory (Ref only)'!Q253)</f>
        <v/>
      </c>
      <c r="Y242" s="298" t="str">
        <f>IF(C242="", "", Inventory!N250)</f>
        <v/>
      </c>
      <c r="Z242" s="374" t="str">
        <f>IF(B242="", "", 'Lighting Inventory (Ref only)'!P253)</f>
        <v/>
      </c>
      <c r="AA242" s="372" t="str">
        <f>IF(B242="", "",'Lighting Inventory (Ref only)'!R253/1000)</f>
        <v/>
      </c>
      <c r="AB242" s="372" t="str">
        <f>IF(B242="", "", Inventory!M250)</f>
        <v/>
      </c>
      <c r="AC242" s="374" t="str">
        <f>IF(B242="", "", 'Lighting Inventory (Ref only)'!T253)</f>
        <v/>
      </c>
      <c r="AD242" s="374" t="str">
        <f>IF(C242="", "", 'Lighting Inventory (Ref only)'!AA253)</f>
        <v/>
      </c>
      <c r="AE242" s="375" t="str">
        <f>IF(B242="", "", 'Lighting Inventory (Ref only)'!U253)</f>
        <v/>
      </c>
      <c r="AF242" s="375" t="str">
        <f>IF(B242="", "",'Lighting Inventory (Ref only)'!W253)</f>
        <v/>
      </c>
      <c r="AG242" s="375" t="str">
        <f>IF(B242="", "", 'Lighting Inventory (Ref only)'!V253)</f>
        <v/>
      </c>
      <c r="AH242" s="375" t="str">
        <f>IF(B242="", "",'Lighting Inventory (Ref only)'!Z253)</f>
        <v/>
      </c>
      <c r="AI242" s="375" t="str">
        <f>IF(B242="", "", 'Lighting Inventory (Ref only)'!Y253)</f>
        <v/>
      </c>
      <c r="AJ242" s="375" t="str">
        <f>IF(C242="", "",'Lighting Inventory (Ref only)'!AB253)</f>
        <v/>
      </c>
      <c r="AK242" s="375" t="str">
        <f>IF(B242="", "", 'Lighting Inventory (Ref only)'!AG253)</f>
        <v/>
      </c>
      <c r="AL242" s="375" t="str">
        <f>IF(B242="", "", 'Lighting Inventory (Ref only)'!AD253)</f>
        <v/>
      </c>
      <c r="AM242" s="375" t="str">
        <f>IF(B242="", "", 'Lighting Inventory (Ref only)'!AE253)</f>
        <v/>
      </c>
      <c r="AN242" s="375" t="str">
        <f>IF(B242="", "", 'Lighting Inventory (Ref only)'!AF253)</f>
        <v/>
      </c>
      <c r="AO242" s="375" t="str">
        <f>IF(B242="", "", 'Lighting Inventory (Ref only)'!AG253)</f>
        <v/>
      </c>
    </row>
    <row r="243" spans="1:41">
      <c r="A243" s="298" t="str">
        <f>IF(G243="", "", Lookups!BF245)</f>
        <v/>
      </c>
      <c r="B243" s="298" t="str">
        <f>IF('Lighting Inventory (Ref only)'!Q254="", "", 'Lighting Inventory (Ref only)'!Q254)</f>
        <v/>
      </c>
      <c r="C243" s="298" t="str">
        <f>IF(A243="", "", 'Lighting Inventory (Ref only)'!AO254)</f>
        <v/>
      </c>
      <c r="D243" s="370" t="str">
        <f>IF(B243= "","", Inventory!S251)</f>
        <v/>
      </c>
      <c r="E243" s="371"/>
      <c r="F243" s="298" t="str">
        <f>IF(B243="", "", 'Version Log'!$B$34)</f>
        <v/>
      </c>
      <c r="G243" s="298" t="str">
        <f t="shared" si="12"/>
        <v/>
      </c>
      <c r="H243" s="298" t="str">
        <f t="shared" si="13"/>
        <v/>
      </c>
      <c r="I243" s="298" t="str">
        <f>IF(B243="", "",Inventory!D251)</f>
        <v/>
      </c>
      <c r="J243" s="298" t="str">
        <f>IF(B243="","",IF(Inventory!C251="N","Interior","Exterior"))</f>
        <v/>
      </c>
      <c r="K243" s="298" t="str">
        <f t="shared" si="14"/>
        <v/>
      </c>
      <c r="L243" s="298" t="str">
        <f>IF(B243="", "", Inventory!E251)</f>
        <v/>
      </c>
      <c r="M243" s="298" t="str">
        <f>IF(B243="","",IF(Cool_Type=Lookups!$L$9,Cool_Type,IF(Cool_Type=Lookups!$L$10,Cool_Type,IF(Cool_Type=Lookups!$L$11,Cool_Type,IF(Cool_Type=Lookups!L253,Cool_Type,IF('Project Info and Summary'!$C$20="Electric",CONCATENATE(Cool_Type," ",Heating_Type," Heat"),IF('Project Info and Summary'!$C$20="Non-Electric",CONCATENATE(Cool_Type," ",Heating_Type," Heat"),CONCATENATE(Cool_Type," ",Heating_Type))))))))</f>
        <v/>
      </c>
      <c r="N243" s="298" t="str">
        <f t="shared" si="15"/>
        <v/>
      </c>
      <c r="O243" s="298" t="str">
        <f>IF(B243="", "", 'Lighting Inventory (Ref only)'!G254)</f>
        <v/>
      </c>
      <c r="P243" s="298" t="str">
        <f>IF(B243="", "", 'Lighting Inventory (Ref only)'!E254)</f>
        <v/>
      </c>
      <c r="Q243" s="298" t="str">
        <f>IF(B243="", "", 'Lighting Inventory (Ref only)'!J254)</f>
        <v/>
      </c>
      <c r="R243" s="298" t="str">
        <f>IF(B243="", "",'Lighting Inventory (Ref only)'!K254)</f>
        <v/>
      </c>
      <c r="S243" s="372" t="str">
        <f>IF(B243="", "", 'Lighting Inventory (Ref only)'!G254*'Lighting Inventory (Ref only)'!K254/1000)</f>
        <v/>
      </c>
      <c r="T243" s="298" t="str">
        <f>IF(B243="", "", IF('Lighting Inventory (Ref only)'!I254="", "Light Switch",Inventory!H251))</f>
        <v/>
      </c>
      <c r="U243" s="298" t="str">
        <f>IF(B243="", "", 'Lighting Inventory (Ref only)'!Q254)</f>
        <v/>
      </c>
      <c r="V243" s="298" t="str">
        <f>IF(B243="", "", 'Lighting Inventory (Ref only)'!K254)</f>
        <v/>
      </c>
      <c r="W243" s="373" t="str">
        <f>IF(B243="","",('Lighting Inventory (Ref only)'!L254/1000))</f>
        <v/>
      </c>
      <c r="X243" s="298" t="str">
        <f>IF(B243="", "", 'Lighting Inventory (Ref only)'!Q254)</f>
        <v/>
      </c>
      <c r="Y243" s="298" t="str">
        <f>IF(C243="", "", Inventory!N251)</f>
        <v/>
      </c>
      <c r="Z243" s="374" t="str">
        <f>IF(B243="", "", 'Lighting Inventory (Ref only)'!P254)</f>
        <v/>
      </c>
      <c r="AA243" s="372" t="str">
        <f>IF(B243="", "",'Lighting Inventory (Ref only)'!R254/1000)</f>
        <v/>
      </c>
      <c r="AB243" s="372" t="str">
        <f>IF(B243="", "", Inventory!M251)</f>
        <v/>
      </c>
      <c r="AC243" s="374" t="str">
        <f>IF(B243="", "", 'Lighting Inventory (Ref only)'!T254)</f>
        <v/>
      </c>
      <c r="AD243" s="374" t="str">
        <f>IF(C243="", "", 'Lighting Inventory (Ref only)'!AA254)</f>
        <v/>
      </c>
      <c r="AE243" s="375" t="str">
        <f>IF(B243="", "", 'Lighting Inventory (Ref only)'!U254)</f>
        <v/>
      </c>
      <c r="AF243" s="375" t="str">
        <f>IF(B243="", "",'Lighting Inventory (Ref only)'!W254)</f>
        <v/>
      </c>
      <c r="AG243" s="375" t="str">
        <f>IF(B243="", "", 'Lighting Inventory (Ref only)'!V254)</f>
        <v/>
      </c>
      <c r="AH243" s="375" t="str">
        <f>IF(B243="", "",'Lighting Inventory (Ref only)'!Z254)</f>
        <v/>
      </c>
      <c r="AI243" s="375" t="str">
        <f>IF(B243="", "", 'Lighting Inventory (Ref only)'!Y254)</f>
        <v/>
      </c>
      <c r="AJ243" s="375" t="str">
        <f>IF(C243="", "",'Lighting Inventory (Ref only)'!AB254)</f>
        <v/>
      </c>
      <c r="AK243" s="375" t="str">
        <f>IF(B243="", "", 'Lighting Inventory (Ref only)'!AG254)</f>
        <v/>
      </c>
      <c r="AL243" s="375" t="str">
        <f>IF(B243="", "", 'Lighting Inventory (Ref only)'!AD254)</f>
        <v/>
      </c>
      <c r="AM243" s="375" t="str">
        <f>IF(B243="", "", 'Lighting Inventory (Ref only)'!AE254)</f>
        <v/>
      </c>
      <c r="AN243" s="375" t="str">
        <f>IF(B243="", "", 'Lighting Inventory (Ref only)'!AF254)</f>
        <v/>
      </c>
      <c r="AO243" s="375" t="str">
        <f>IF(B243="", "", 'Lighting Inventory (Ref only)'!AG254)</f>
        <v/>
      </c>
    </row>
    <row r="244" spans="1:41">
      <c r="A244" s="298" t="str">
        <f>IF(G244="", "", Lookups!BF246)</f>
        <v/>
      </c>
      <c r="B244" s="298" t="str">
        <f>IF('Lighting Inventory (Ref only)'!Q255="", "", 'Lighting Inventory (Ref only)'!Q255)</f>
        <v/>
      </c>
      <c r="C244" s="298" t="str">
        <f>IF(A244="", "", 'Lighting Inventory (Ref only)'!AO255)</f>
        <v/>
      </c>
      <c r="D244" s="370" t="str">
        <f>IF(B244= "","", Inventory!S252)</f>
        <v/>
      </c>
      <c r="E244" s="371"/>
      <c r="F244" s="298" t="str">
        <f>IF(B244="", "", 'Version Log'!$B$34)</f>
        <v/>
      </c>
      <c r="G244" s="298" t="str">
        <f t="shared" si="12"/>
        <v/>
      </c>
      <c r="H244" s="298" t="str">
        <f t="shared" si="13"/>
        <v/>
      </c>
      <c r="I244" s="298" t="str">
        <f>IF(B244="", "",Inventory!D252)</f>
        <v/>
      </c>
      <c r="J244" s="298" t="str">
        <f>IF(B244="","",IF(Inventory!C252="N","Interior","Exterior"))</f>
        <v/>
      </c>
      <c r="K244" s="298" t="str">
        <f t="shared" si="14"/>
        <v/>
      </c>
      <c r="L244" s="298" t="str">
        <f>IF(B244="", "", Inventory!E252)</f>
        <v/>
      </c>
      <c r="M244" s="298" t="str">
        <f>IF(B244="","",IF(Cool_Type=Lookups!$L$9,Cool_Type,IF(Cool_Type=Lookups!$L$10,Cool_Type,IF(Cool_Type=Lookups!$L$11,Cool_Type,IF(Cool_Type=Lookups!L254,Cool_Type,IF('Project Info and Summary'!$C$20="Electric",CONCATENATE(Cool_Type," ",Heating_Type," Heat"),IF('Project Info and Summary'!$C$20="Non-Electric",CONCATENATE(Cool_Type," ",Heating_Type," Heat"),CONCATENATE(Cool_Type," ",Heating_Type))))))))</f>
        <v/>
      </c>
      <c r="N244" s="298" t="str">
        <f t="shared" si="15"/>
        <v/>
      </c>
      <c r="O244" s="298" t="str">
        <f>IF(B244="", "", 'Lighting Inventory (Ref only)'!G255)</f>
        <v/>
      </c>
      <c r="P244" s="298" t="str">
        <f>IF(B244="", "", 'Lighting Inventory (Ref only)'!E255)</f>
        <v/>
      </c>
      <c r="Q244" s="298" t="str">
        <f>IF(B244="", "", 'Lighting Inventory (Ref only)'!J255)</f>
        <v/>
      </c>
      <c r="R244" s="298" t="str">
        <f>IF(B244="", "",'Lighting Inventory (Ref only)'!K255)</f>
        <v/>
      </c>
      <c r="S244" s="372" t="str">
        <f>IF(B244="", "", 'Lighting Inventory (Ref only)'!G255*'Lighting Inventory (Ref only)'!K255/1000)</f>
        <v/>
      </c>
      <c r="T244" s="298" t="str">
        <f>IF(B244="", "", IF('Lighting Inventory (Ref only)'!I255="", "Light Switch",Inventory!H252))</f>
        <v/>
      </c>
      <c r="U244" s="298" t="str">
        <f>IF(B244="", "", 'Lighting Inventory (Ref only)'!Q255)</f>
        <v/>
      </c>
      <c r="V244" s="298" t="str">
        <f>IF(B244="", "", 'Lighting Inventory (Ref only)'!K255)</f>
        <v/>
      </c>
      <c r="W244" s="373" t="str">
        <f>IF(B244="","",('Lighting Inventory (Ref only)'!L255/1000))</f>
        <v/>
      </c>
      <c r="X244" s="298" t="str">
        <f>IF(B244="", "", 'Lighting Inventory (Ref only)'!Q255)</f>
        <v/>
      </c>
      <c r="Y244" s="298" t="str">
        <f>IF(C244="", "", Inventory!N252)</f>
        <v/>
      </c>
      <c r="Z244" s="374" t="str">
        <f>IF(B244="", "", 'Lighting Inventory (Ref only)'!P255)</f>
        <v/>
      </c>
      <c r="AA244" s="372" t="str">
        <f>IF(B244="", "",'Lighting Inventory (Ref only)'!R255/1000)</f>
        <v/>
      </c>
      <c r="AB244" s="372" t="str">
        <f>IF(B244="", "", Inventory!M252)</f>
        <v/>
      </c>
      <c r="AC244" s="374" t="str">
        <f>IF(B244="", "", 'Lighting Inventory (Ref only)'!T255)</f>
        <v/>
      </c>
      <c r="AD244" s="374" t="str">
        <f>IF(C244="", "", 'Lighting Inventory (Ref only)'!AA255)</f>
        <v/>
      </c>
      <c r="AE244" s="375" t="str">
        <f>IF(B244="", "", 'Lighting Inventory (Ref only)'!U255)</f>
        <v/>
      </c>
      <c r="AF244" s="375" t="str">
        <f>IF(B244="", "",'Lighting Inventory (Ref only)'!W255)</f>
        <v/>
      </c>
      <c r="AG244" s="375" t="str">
        <f>IF(B244="", "", 'Lighting Inventory (Ref only)'!V255)</f>
        <v/>
      </c>
      <c r="AH244" s="375" t="str">
        <f>IF(B244="", "",'Lighting Inventory (Ref only)'!Z255)</f>
        <v/>
      </c>
      <c r="AI244" s="375" t="str">
        <f>IF(B244="", "", 'Lighting Inventory (Ref only)'!Y255)</f>
        <v/>
      </c>
      <c r="AJ244" s="375" t="str">
        <f>IF(C244="", "",'Lighting Inventory (Ref only)'!AB255)</f>
        <v/>
      </c>
      <c r="AK244" s="375" t="str">
        <f>IF(B244="", "", 'Lighting Inventory (Ref only)'!AG255)</f>
        <v/>
      </c>
      <c r="AL244" s="375" t="str">
        <f>IF(B244="", "", 'Lighting Inventory (Ref only)'!AD255)</f>
        <v/>
      </c>
      <c r="AM244" s="375" t="str">
        <f>IF(B244="", "", 'Lighting Inventory (Ref only)'!AE255)</f>
        <v/>
      </c>
      <c r="AN244" s="375" t="str">
        <f>IF(B244="", "", 'Lighting Inventory (Ref only)'!AF255)</f>
        <v/>
      </c>
      <c r="AO244" s="375" t="str">
        <f>IF(B244="", "", 'Lighting Inventory (Ref only)'!AG255)</f>
        <v/>
      </c>
    </row>
    <row r="245" spans="1:41">
      <c r="A245" s="298" t="str">
        <f>IF(G245="", "", Lookups!BF247)</f>
        <v/>
      </c>
      <c r="B245" s="298" t="str">
        <f>IF('Lighting Inventory (Ref only)'!Q256="", "", 'Lighting Inventory (Ref only)'!Q256)</f>
        <v/>
      </c>
      <c r="C245" s="298" t="str">
        <f>IF(A245="", "", 'Lighting Inventory (Ref only)'!AO256)</f>
        <v/>
      </c>
      <c r="D245" s="370" t="str">
        <f>IF(B245= "","", Inventory!S253)</f>
        <v/>
      </c>
      <c r="E245" s="371"/>
      <c r="F245" s="298" t="str">
        <f>IF(B245="", "", 'Version Log'!$B$34)</f>
        <v/>
      </c>
      <c r="G245" s="298" t="str">
        <f t="shared" si="12"/>
        <v/>
      </c>
      <c r="H245" s="298" t="str">
        <f t="shared" si="13"/>
        <v/>
      </c>
      <c r="I245" s="298" t="str">
        <f>IF(B245="", "",Inventory!D253)</f>
        <v/>
      </c>
      <c r="J245" s="298" t="str">
        <f>IF(B245="","",IF(Inventory!C253="N","Interior","Exterior"))</f>
        <v/>
      </c>
      <c r="K245" s="298" t="str">
        <f t="shared" si="14"/>
        <v/>
      </c>
      <c r="L245" s="298" t="str">
        <f>IF(B245="", "", Inventory!E253)</f>
        <v/>
      </c>
      <c r="M245" s="298" t="str">
        <f>IF(B245="","",IF(Cool_Type=Lookups!$L$9,Cool_Type,IF(Cool_Type=Lookups!$L$10,Cool_Type,IF(Cool_Type=Lookups!$L$11,Cool_Type,IF(Cool_Type=Lookups!L255,Cool_Type,IF('Project Info and Summary'!$C$20="Electric",CONCATENATE(Cool_Type," ",Heating_Type," Heat"),IF('Project Info and Summary'!$C$20="Non-Electric",CONCATENATE(Cool_Type," ",Heating_Type," Heat"),CONCATENATE(Cool_Type," ",Heating_Type))))))))</f>
        <v/>
      </c>
      <c r="N245" s="298" t="str">
        <f t="shared" si="15"/>
        <v/>
      </c>
      <c r="O245" s="298" t="str">
        <f>IF(B245="", "", 'Lighting Inventory (Ref only)'!G256)</f>
        <v/>
      </c>
      <c r="P245" s="298" t="str">
        <f>IF(B245="", "", 'Lighting Inventory (Ref only)'!E256)</f>
        <v/>
      </c>
      <c r="Q245" s="298" t="str">
        <f>IF(B245="", "", 'Lighting Inventory (Ref only)'!J256)</f>
        <v/>
      </c>
      <c r="R245" s="298" t="str">
        <f>IF(B245="", "",'Lighting Inventory (Ref only)'!K256)</f>
        <v/>
      </c>
      <c r="S245" s="372" t="str">
        <f>IF(B245="", "", 'Lighting Inventory (Ref only)'!G256*'Lighting Inventory (Ref only)'!K256/1000)</f>
        <v/>
      </c>
      <c r="T245" s="298" t="str">
        <f>IF(B245="", "", IF('Lighting Inventory (Ref only)'!I256="", "Light Switch",Inventory!H253))</f>
        <v/>
      </c>
      <c r="U245" s="298" t="str">
        <f>IF(B245="", "", 'Lighting Inventory (Ref only)'!Q256)</f>
        <v/>
      </c>
      <c r="V245" s="298" t="str">
        <f>IF(B245="", "", 'Lighting Inventory (Ref only)'!K256)</f>
        <v/>
      </c>
      <c r="W245" s="373" t="str">
        <f>IF(B245="","",('Lighting Inventory (Ref only)'!L256/1000))</f>
        <v/>
      </c>
      <c r="X245" s="298" t="str">
        <f>IF(B245="", "", 'Lighting Inventory (Ref only)'!Q256)</f>
        <v/>
      </c>
      <c r="Y245" s="298" t="str">
        <f>IF(C245="", "", Inventory!N253)</f>
        <v/>
      </c>
      <c r="Z245" s="374" t="str">
        <f>IF(B245="", "", 'Lighting Inventory (Ref only)'!P256)</f>
        <v/>
      </c>
      <c r="AA245" s="372" t="str">
        <f>IF(B245="", "",'Lighting Inventory (Ref only)'!R256/1000)</f>
        <v/>
      </c>
      <c r="AB245" s="372" t="str">
        <f>IF(B245="", "", Inventory!M253)</f>
        <v/>
      </c>
      <c r="AC245" s="374" t="str">
        <f>IF(B245="", "", 'Lighting Inventory (Ref only)'!T256)</f>
        <v/>
      </c>
      <c r="AD245" s="374" t="str">
        <f>IF(C245="", "", 'Lighting Inventory (Ref only)'!AA256)</f>
        <v/>
      </c>
      <c r="AE245" s="375" t="str">
        <f>IF(B245="", "", 'Lighting Inventory (Ref only)'!U256)</f>
        <v/>
      </c>
      <c r="AF245" s="375" t="str">
        <f>IF(B245="", "",'Lighting Inventory (Ref only)'!W256)</f>
        <v/>
      </c>
      <c r="AG245" s="375" t="str">
        <f>IF(B245="", "", 'Lighting Inventory (Ref only)'!V256)</f>
        <v/>
      </c>
      <c r="AH245" s="375" t="str">
        <f>IF(B245="", "",'Lighting Inventory (Ref only)'!Z256)</f>
        <v/>
      </c>
      <c r="AI245" s="375" t="str">
        <f>IF(B245="", "", 'Lighting Inventory (Ref only)'!Y256)</f>
        <v/>
      </c>
      <c r="AJ245" s="375" t="str">
        <f>IF(C245="", "",'Lighting Inventory (Ref only)'!AB256)</f>
        <v/>
      </c>
      <c r="AK245" s="375" t="str">
        <f>IF(B245="", "", 'Lighting Inventory (Ref only)'!AG256)</f>
        <v/>
      </c>
      <c r="AL245" s="375" t="str">
        <f>IF(B245="", "", 'Lighting Inventory (Ref only)'!AD256)</f>
        <v/>
      </c>
      <c r="AM245" s="375" t="str">
        <f>IF(B245="", "", 'Lighting Inventory (Ref only)'!AE256)</f>
        <v/>
      </c>
      <c r="AN245" s="375" t="str">
        <f>IF(B245="", "", 'Lighting Inventory (Ref only)'!AF256)</f>
        <v/>
      </c>
      <c r="AO245" s="375" t="str">
        <f>IF(B245="", "", 'Lighting Inventory (Ref only)'!AG256)</f>
        <v/>
      </c>
    </row>
    <row r="246" spans="1:41">
      <c r="A246" s="298" t="str">
        <f>IF(G246="", "", Lookups!BF248)</f>
        <v/>
      </c>
      <c r="B246" s="298" t="str">
        <f>IF('Lighting Inventory (Ref only)'!Q257="", "", 'Lighting Inventory (Ref only)'!Q257)</f>
        <v/>
      </c>
      <c r="C246" s="298" t="str">
        <f>IF(A246="", "", 'Lighting Inventory (Ref only)'!AO257)</f>
        <v/>
      </c>
      <c r="D246" s="370" t="str">
        <f>IF(B246= "","", Inventory!S254)</f>
        <v/>
      </c>
      <c r="E246" s="371"/>
      <c r="F246" s="298" t="str">
        <f>IF(B246="", "", 'Version Log'!$B$34)</f>
        <v/>
      </c>
      <c r="G246" s="298" t="str">
        <f t="shared" si="12"/>
        <v/>
      </c>
      <c r="H246" s="298" t="str">
        <f t="shared" si="13"/>
        <v/>
      </c>
      <c r="I246" s="298" t="str">
        <f>IF(B246="", "",Inventory!D254)</f>
        <v/>
      </c>
      <c r="J246" s="298" t="str">
        <f>IF(B246="","",IF(Inventory!C254="N","Interior","Exterior"))</f>
        <v/>
      </c>
      <c r="K246" s="298" t="str">
        <f t="shared" si="14"/>
        <v/>
      </c>
      <c r="L246" s="298" t="str">
        <f>IF(B246="", "", Inventory!E254)</f>
        <v/>
      </c>
      <c r="M246" s="298" t="str">
        <f>IF(B246="","",IF(Cool_Type=Lookups!$L$9,Cool_Type,IF(Cool_Type=Lookups!$L$10,Cool_Type,IF(Cool_Type=Lookups!$L$11,Cool_Type,IF(Cool_Type=Lookups!L256,Cool_Type,IF('Project Info and Summary'!$C$20="Electric",CONCATENATE(Cool_Type," ",Heating_Type," Heat"),IF('Project Info and Summary'!$C$20="Non-Electric",CONCATENATE(Cool_Type," ",Heating_Type," Heat"),CONCATENATE(Cool_Type," ",Heating_Type))))))))</f>
        <v/>
      </c>
      <c r="N246" s="298" t="str">
        <f t="shared" si="15"/>
        <v/>
      </c>
      <c r="O246" s="298" t="str">
        <f>IF(B246="", "", 'Lighting Inventory (Ref only)'!G257)</f>
        <v/>
      </c>
      <c r="P246" s="298" t="str">
        <f>IF(B246="", "", 'Lighting Inventory (Ref only)'!E257)</f>
        <v/>
      </c>
      <c r="Q246" s="298" t="str">
        <f>IF(B246="", "", 'Lighting Inventory (Ref only)'!J257)</f>
        <v/>
      </c>
      <c r="R246" s="298" t="str">
        <f>IF(B246="", "",'Lighting Inventory (Ref only)'!K257)</f>
        <v/>
      </c>
      <c r="S246" s="372" t="str">
        <f>IF(B246="", "", 'Lighting Inventory (Ref only)'!G257*'Lighting Inventory (Ref only)'!K257/1000)</f>
        <v/>
      </c>
      <c r="T246" s="298" t="str">
        <f>IF(B246="", "", IF('Lighting Inventory (Ref only)'!I257="", "Light Switch",Inventory!H254))</f>
        <v/>
      </c>
      <c r="U246" s="298" t="str">
        <f>IF(B246="", "", 'Lighting Inventory (Ref only)'!Q257)</f>
        <v/>
      </c>
      <c r="V246" s="298" t="str">
        <f>IF(B246="", "", 'Lighting Inventory (Ref only)'!K257)</f>
        <v/>
      </c>
      <c r="W246" s="373" t="str">
        <f>IF(B246="","",('Lighting Inventory (Ref only)'!L257/1000))</f>
        <v/>
      </c>
      <c r="X246" s="298" t="str">
        <f>IF(B246="", "", 'Lighting Inventory (Ref only)'!Q257)</f>
        <v/>
      </c>
      <c r="Y246" s="298" t="str">
        <f>IF(C246="", "", Inventory!N254)</f>
        <v/>
      </c>
      <c r="Z246" s="374" t="str">
        <f>IF(B246="", "", 'Lighting Inventory (Ref only)'!P257)</f>
        <v/>
      </c>
      <c r="AA246" s="372" t="str">
        <f>IF(B246="", "",'Lighting Inventory (Ref only)'!R257/1000)</f>
        <v/>
      </c>
      <c r="AB246" s="372" t="str">
        <f>IF(B246="", "", Inventory!M254)</f>
        <v/>
      </c>
      <c r="AC246" s="374" t="str">
        <f>IF(B246="", "", 'Lighting Inventory (Ref only)'!T257)</f>
        <v/>
      </c>
      <c r="AD246" s="374" t="str">
        <f>IF(C246="", "", 'Lighting Inventory (Ref only)'!AA257)</f>
        <v/>
      </c>
      <c r="AE246" s="375" t="str">
        <f>IF(B246="", "", 'Lighting Inventory (Ref only)'!U257)</f>
        <v/>
      </c>
      <c r="AF246" s="375" t="str">
        <f>IF(B246="", "",'Lighting Inventory (Ref only)'!W257)</f>
        <v/>
      </c>
      <c r="AG246" s="375" t="str">
        <f>IF(B246="", "", 'Lighting Inventory (Ref only)'!V257)</f>
        <v/>
      </c>
      <c r="AH246" s="375" t="str">
        <f>IF(B246="", "",'Lighting Inventory (Ref only)'!Z257)</f>
        <v/>
      </c>
      <c r="AI246" s="375" t="str">
        <f>IF(B246="", "", 'Lighting Inventory (Ref only)'!Y257)</f>
        <v/>
      </c>
      <c r="AJ246" s="375" t="str">
        <f>IF(C246="", "",'Lighting Inventory (Ref only)'!AB257)</f>
        <v/>
      </c>
      <c r="AK246" s="375" t="str">
        <f>IF(B246="", "", 'Lighting Inventory (Ref only)'!AG257)</f>
        <v/>
      </c>
      <c r="AL246" s="375" t="str">
        <f>IF(B246="", "", 'Lighting Inventory (Ref only)'!AD257)</f>
        <v/>
      </c>
      <c r="AM246" s="375" t="str">
        <f>IF(B246="", "", 'Lighting Inventory (Ref only)'!AE257)</f>
        <v/>
      </c>
      <c r="AN246" s="375" t="str">
        <f>IF(B246="", "", 'Lighting Inventory (Ref only)'!AF257)</f>
        <v/>
      </c>
      <c r="AO246" s="375" t="str">
        <f>IF(B246="", "", 'Lighting Inventory (Ref only)'!AG257)</f>
        <v/>
      </c>
    </row>
    <row r="247" spans="1:41">
      <c r="A247" s="298" t="str">
        <f>IF(G247="", "", Lookups!BF249)</f>
        <v/>
      </c>
      <c r="B247" s="298" t="str">
        <f>IF('Lighting Inventory (Ref only)'!Q258="", "", 'Lighting Inventory (Ref only)'!Q258)</f>
        <v/>
      </c>
      <c r="C247" s="298" t="str">
        <f>IF(A247="", "", 'Lighting Inventory (Ref only)'!AO258)</f>
        <v/>
      </c>
      <c r="D247" s="370" t="str">
        <f>IF(B247= "","", Inventory!S255)</f>
        <v/>
      </c>
      <c r="E247" s="371"/>
      <c r="F247" s="298" t="str">
        <f>IF(B247="", "", 'Version Log'!$B$34)</f>
        <v/>
      </c>
      <c r="G247" s="298" t="str">
        <f t="shared" si="12"/>
        <v/>
      </c>
      <c r="H247" s="298" t="str">
        <f t="shared" si="13"/>
        <v/>
      </c>
      <c r="I247" s="298" t="str">
        <f>IF(B247="", "",Inventory!D255)</f>
        <v/>
      </c>
      <c r="J247" s="298" t="str">
        <f>IF(B247="","",IF(Inventory!C255="N","Interior","Exterior"))</f>
        <v/>
      </c>
      <c r="K247" s="298" t="str">
        <f t="shared" si="14"/>
        <v/>
      </c>
      <c r="L247" s="298" t="str">
        <f>IF(B247="", "", Inventory!E255)</f>
        <v/>
      </c>
      <c r="M247" s="298" t="str">
        <f>IF(B247="","",IF(Cool_Type=Lookups!$L$9,Cool_Type,IF(Cool_Type=Lookups!$L$10,Cool_Type,IF(Cool_Type=Lookups!$L$11,Cool_Type,IF(Cool_Type=Lookups!L257,Cool_Type,IF('Project Info and Summary'!$C$20="Electric",CONCATENATE(Cool_Type," ",Heating_Type," Heat"),IF('Project Info and Summary'!$C$20="Non-Electric",CONCATENATE(Cool_Type," ",Heating_Type," Heat"),CONCATENATE(Cool_Type," ",Heating_Type))))))))</f>
        <v/>
      </c>
      <c r="N247" s="298" t="str">
        <f t="shared" si="15"/>
        <v/>
      </c>
      <c r="O247" s="298" t="str">
        <f>IF(B247="", "", 'Lighting Inventory (Ref only)'!G258)</f>
        <v/>
      </c>
      <c r="P247" s="298" t="str">
        <f>IF(B247="", "", 'Lighting Inventory (Ref only)'!E258)</f>
        <v/>
      </c>
      <c r="Q247" s="298" t="str">
        <f>IF(B247="", "", 'Lighting Inventory (Ref only)'!J258)</f>
        <v/>
      </c>
      <c r="R247" s="298" t="str">
        <f>IF(B247="", "",'Lighting Inventory (Ref only)'!K258)</f>
        <v/>
      </c>
      <c r="S247" s="372" t="str">
        <f>IF(B247="", "", 'Lighting Inventory (Ref only)'!G258*'Lighting Inventory (Ref only)'!K258/1000)</f>
        <v/>
      </c>
      <c r="T247" s="298" t="str">
        <f>IF(B247="", "", IF('Lighting Inventory (Ref only)'!I258="", "Light Switch",Inventory!H255))</f>
        <v/>
      </c>
      <c r="U247" s="298" t="str">
        <f>IF(B247="", "", 'Lighting Inventory (Ref only)'!Q258)</f>
        <v/>
      </c>
      <c r="V247" s="298" t="str">
        <f>IF(B247="", "", 'Lighting Inventory (Ref only)'!K258)</f>
        <v/>
      </c>
      <c r="W247" s="373" t="str">
        <f>IF(B247="","",('Lighting Inventory (Ref only)'!L258/1000))</f>
        <v/>
      </c>
      <c r="X247" s="298" t="str">
        <f>IF(B247="", "", 'Lighting Inventory (Ref only)'!Q258)</f>
        <v/>
      </c>
      <c r="Y247" s="298" t="str">
        <f>IF(C247="", "", Inventory!N255)</f>
        <v/>
      </c>
      <c r="Z247" s="374" t="str">
        <f>IF(B247="", "", 'Lighting Inventory (Ref only)'!P258)</f>
        <v/>
      </c>
      <c r="AA247" s="372" t="str">
        <f>IF(B247="", "",'Lighting Inventory (Ref only)'!R258/1000)</f>
        <v/>
      </c>
      <c r="AB247" s="372" t="str">
        <f>IF(B247="", "", Inventory!M255)</f>
        <v/>
      </c>
      <c r="AC247" s="374" t="str">
        <f>IF(B247="", "", 'Lighting Inventory (Ref only)'!T258)</f>
        <v/>
      </c>
      <c r="AD247" s="374" t="str">
        <f>IF(C247="", "", 'Lighting Inventory (Ref only)'!AA258)</f>
        <v/>
      </c>
      <c r="AE247" s="375" t="str">
        <f>IF(B247="", "", 'Lighting Inventory (Ref only)'!U258)</f>
        <v/>
      </c>
      <c r="AF247" s="375" t="str">
        <f>IF(B247="", "",'Lighting Inventory (Ref only)'!W258)</f>
        <v/>
      </c>
      <c r="AG247" s="375" t="str">
        <f>IF(B247="", "", 'Lighting Inventory (Ref only)'!V258)</f>
        <v/>
      </c>
      <c r="AH247" s="375" t="str">
        <f>IF(B247="", "",'Lighting Inventory (Ref only)'!Z258)</f>
        <v/>
      </c>
      <c r="AI247" s="375" t="str">
        <f>IF(B247="", "", 'Lighting Inventory (Ref only)'!Y258)</f>
        <v/>
      </c>
      <c r="AJ247" s="375" t="str">
        <f>IF(C247="", "",'Lighting Inventory (Ref only)'!AB258)</f>
        <v/>
      </c>
      <c r="AK247" s="375" t="str">
        <f>IF(B247="", "", 'Lighting Inventory (Ref only)'!AG258)</f>
        <v/>
      </c>
      <c r="AL247" s="375" t="str">
        <f>IF(B247="", "", 'Lighting Inventory (Ref only)'!AD258)</f>
        <v/>
      </c>
      <c r="AM247" s="375" t="str">
        <f>IF(B247="", "", 'Lighting Inventory (Ref only)'!AE258)</f>
        <v/>
      </c>
      <c r="AN247" s="375" t="str">
        <f>IF(B247="", "", 'Lighting Inventory (Ref only)'!AF258)</f>
        <v/>
      </c>
      <c r="AO247" s="375" t="str">
        <f>IF(B247="", "", 'Lighting Inventory (Ref only)'!AG258)</f>
        <v/>
      </c>
    </row>
    <row r="248" spans="1:41">
      <c r="A248" s="298" t="str">
        <f>IF(G248="", "", Lookups!BF250)</f>
        <v/>
      </c>
      <c r="B248" s="298" t="str">
        <f>IF('Lighting Inventory (Ref only)'!Q259="", "", 'Lighting Inventory (Ref only)'!Q259)</f>
        <v/>
      </c>
      <c r="C248" s="298" t="str">
        <f>IF(A248="", "", 'Lighting Inventory (Ref only)'!AO259)</f>
        <v/>
      </c>
      <c r="D248" s="370" t="str">
        <f>IF(B248= "","", Inventory!S256)</f>
        <v/>
      </c>
      <c r="E248" s="371"/>
      <c r="F248" s="298" t="str">
        <f>IF(B248="", "", 'Version Log'!$B$34)</f>
        <v/>
      </c>
      <c r="G248" s="298" t="str">
        <f t="shared" si="12"/>
        <v/>
      </c>
      <c r="H248" s="298" t="str">
        <f t="shared" si="13"/>
        <v/>
      </c>
      <c r="I248" s="298" t="str">
        <f>IF(B248="", "",Inventory!D256)</f>
        <v/>
      </c>
      <c r="J248" s="298" t="str">
        <f>IF(B248="","",IF(Inventory!C256="N","Interior","Exterior"))</f>
        <v/>
      </c>
      <c r="K248" s="298" t="str">
        <f t="shared" si="14"/>
        <v/>
      </c>
      <c r="L248" s="298" t="str">
        <f>IF(B248="", "", Inventory!E256)</f>
        <v/>
      </c>
      <c r="M248" s="298" t="str">
        <f>IF(B248="","",IF(Cool_Type=Lookups!$L$9,Cool_Type,IF(Cool_Type=Lookups!$L$10,Cool_Type,IF(Cool_Type=Lookups!$L$11,Cool_Type,IF(Cool_Type=Lookups!L258,Cool_Type,IF('Project Info and Summary'!$C$20="Electric",CONCATENATE(Cool_Type," ",Heating_Type," Heat"),IF('Project Info and Summary'!$C$20="Non-Electric",CONCATENATE(Cool_Type," ",Heating_Type," Heat"),CONCATENATE(Cool_Type," ",Heating_Type))))))))</f>
        <v/>
      </c>
      <c r="N248" s="298" t="str">
        <f t="shared" si="15"/>
        <v/>
      </c>
      <c r="O248" s="298" t="str">
        <f>IF(B248="", "", 'Lighting Inventory (Ref only)'!G259)</f>
        <v/>
      </c>
      <c r="P248" s="298" t="str">
        <f>IF(B248="", "", 'Lighting Inventory (Ref only)'!E259)</f>
        <v/>
      </c>
      <c r="Q248" s="298" t="str">
        <f>IF(B248="", "", 'Lighting Inventory (Ref only)'!J259)</f>
        <v/>
      </c>
      <c r="R248" s="298" t="str">
        <f>IF(B248="", "",'Lighting Inventory (Ref only)'!K259)</f>
        <v/>
      </c>
      <c r="S248" s="372" t="str">
        <f>IF(B248="", "", 'Lighting Inventory (Ref only)'!G259*'Lighting Inventory (Ref only)'!K259/1000)</f>
        <v/>
      </c>
      <c r="T248" s="298" t="str">
        <f>IF(B248="", "", IF('Lighting Inventory (Ref only)'!I259="", "Light Switch",Inventory!H256))</f>
        <v/>
      </c>
      <c r="U248" s="298" t="str">
        <f>IF(B248="", "", 'Lighting Inventory (Ref only)'!Q259)</f>
        <v/>
      </c>
      <c r="V248" s="298" t="str">
        <f>IF(B248="", "", 'Lighting Inventory (Ref only)'!K259)</f>
        <v/>
      </c>
      <c r="W248" s="373" t="str">
        <f>IF(B248="","",('Lighting Inventory (Ref only)'!L259/1000))</f>
        <v/>
      </c>
      <c r="X248" s="298" t="str">
        <f>IF(B248="", "", 'Lighting Inventory (Ref only)'!Q259)</f>
        <v/>
      </c>
      <c r="Y248" s="298" t="str">
        <f>IF(C248="", "", Inventory!N256)</f>
        <v/>
      </c>
      <c r="Z248" s="374" t="str">
        <f>IF(B248="", "", 'Lighting Inventory (Ref only)'!P259)</f>
        <v/>
      </c>
      <c r="AA248" s="372" t="str">
        <f>IF(B248="", "",'Lighting Inventory (Ref only)'!R259/1000)</f>
        <v/>
      </c>
      <c r="AB248" s="372" t="str">
        <f>IF(B248="", "", Inventory!M256)</f>
        <v/>
      </c>
      <c r="AC248" s="374" t="str">
        <f>IF(B248="", "", 'Lighting Inventory (Ref only)'!T259)</f>
        <v/>
      </c>
      <c r="AD248" s="374" t="str">
        <f>IF(C248="", "", 'Lighting Inventory (Ref only)'!AA259)</f>
        <v/>
      </c>
      <c r="AE248" s="375" t="str">
        <f>IF(B248="", "", 'Lighting Inventory (Ref only)'!U259)</f>
        <v/>
      </c>
      <c r="AF248" s="375" t="str">
        <f>IF(B248="", "",'Lighting Inventory (Ref only)'!W259)</f>
        <v/>
      </c>
      <c r="AG248" s="375" t="str">
        <f>IF(B248="", "", 'Lighting Inventory (Ref only)'!V259)</f>
        <v/>
      </c>
      <c r="AH248" s="375" t="str">
        <f>IF(B248="", "",'Lighting Inventory (Ref only)'!Z259)</f>
        <v/>
      </c>
      <c r="AI248" s="375" t="str">
        <f>IF(B248="", "", 'Lighting Inventory (Ref only)'!Y259)</f>
        <v/>
      </c>
      <c r="AJ248" s="375" t="str">
        <f>IF(C248="", "",'Lighting Inventory (Ref only)'!AB259)</f>
        <v/>
      </c>
      <c r="AK248" s="375" t="str">
        <f>IF(B248="", "", 'Lighting Inventory (Ref only)'!AG259)</f>
        <v/>
      </c>
      <c r="AL248" s="375" t="str">
        <f>IF(B248="", "", 'Lighting Inventory (Ref only)'!AD259)</f>
        <v/>
      </c>
      <c r="AM248" s="375" t="str">
        <f>IF(B248="", "", 'Lighting Inventory (Ref only)'!AE259)</f>
        <v/>
      </c>
      <c r="AN248" s="375" t="str">
        <f>IF(B248="", "", 'Lighting Inventory (Ref only)'!AF259)</f>
        <v/>
      </c>
      <c r="AO248" s="375" t="str">
        <f>IF(B248="", "", 'Lighting Inventory (Ref only)'!AG259)</f>
        <v/>
      </c>
    </row>
    <row r="249" spans="1:41">
      <c r="A249" s="298" t="str">
        <f>IF(G249="", "", Lookups!BF251)</f>
        <v/>
      </c>
      <c r="B249" s="298" t="str">
        <f>IF('Lighting Inventory (Ref only)'!Q260="", "", 'Lighting Inventory (Ref only)'!Q260)</f>
        <v/>
      </c>
      <c r="C249" s="298" t="str">
        <f>IF(A249="", "", 'Lighting Inventory (Ref only)'!AO260)</f>
        <v/>
      </c>
      <c r="D249" s="370" t="str">
        <f>IF(B249= "","", Inventory!S257)</f>
        <v/>
      </c>
      <c r="E249" s="371"/>
      <c r="F249" s="298" t="str">
        <f>IF(B249="", "", 'Version Log'!$B$34)</f>
        <v/>
      </c>
      <c r="G249" s="298" t="str">
        <f t="shared" si="12"/>
        <v/>
      </c>
      <c r="H249" s="298" t="str">
        <f t="shared" si="13"/>
        <v/>
      </c>
      <c r="I249" s="298" t="str">
        <f>IF(B249="", "",Inventory!D257)</f>
        <v/>
      </c>
      <c r="J249" s="298" t="str">
        <f>IF(B249="","",IF(Inventory!C257="N","Interior","Exterior"))</f>
        <v/>
      </c>
      <c r="K249" s="298" t="str">
        <f t="shared" si="14"/>
        <v/>
      </c>
      <c r="L249" s="298" t="str">
        <f>IF(B249="", "", Inventory!E257)</f>
        <v/>
      </c>
      <c r="M249" s="298" t="str">
        <f>IF(B249="","",IF(Cool_Type=Lookups!$L$9,Cool_Type,IF(Cool_Type=Lookups!$L$10,Cool_Type,IF(Cool_Type=Lookups!$L$11,Cool_Type,IF(Cool_Type=Lookups!L259,Cool_Type,IF('Project Info and Summary'!$C$20="Electric",CONCATENATE(Cool_Type," ",Heating_Type," Heat"),IF('Project Info and Summary'!$C$20="Non-Electric",CONCATENATE(Cool_Type," ",Heating_Type," Heat"),CONCATENATE(Cool_Type," ",Heating_Type))))))))</f>
        <v/>
      </c>
      <c r="N249" s="298" t="str">
        <f t="shared" si="15"/>
        <v/>
      </c>
      <c r="O249" s="298" t="str">
        <f>IF(B249="", "", 'Lighting Inventory (Ref only)'!G260)</f>
        <v/>
      </c>
      <c r="P249" s="298" t="str">
        <f>IF(B249="", "", 'Lighting Inventory (Ref only)'!E260)</f>
        <v/>
      </c>
      <c r="Q249" s="298" t="str">
        <f>IF(B249="", "", 'Lighting Inventory (Ref only)'!J260)</f>
        <v/>
      </c>
      <c r="R249" s="298" t="str">
        <f>IF(B249="", "",'Lighting Inventory (Ref only)'!K260)</f>
        <v/>
      </c>
      <c r="S249" s="372" t="str">
        <f>IF(B249="", "", 'Lighting Inventory (Ref only)'!G260*'Lighting Inventory (Ref only)'!K260/1000)</f>
        <v/>
      </c>
      <c r="T249" s="298" t="str">
        <f>IF(B249="", "", IF('Lighting Inventory (Ref only)'!I260="", "Light Switch",Inventory!H257))</f>
        <v/>
      </c>
      <c r="U249" s="298" t="str">
        <f>IF(B249="", "", 'Lighting Inventory (Ref only)'!Q260)</f>
        <v/>
      </c>
      <c r="V249" s="298" t="str">
        <f>IF(B249="", "", 'Lighting Inventory (Ref only)'!K260)</f>
        <v/>
      </c>
      <c r="W249" s="373" t="str">
        <f>IF(B249="","",('Lighting Inventory (Ref only)'!L260/1000))</f>
        <v/>
      </c>
      <c r="X249" s="298" t="str">
        <f>IF(B249="", "", 'Lighting Inventory (Ref only)'!Q260)</f>
        <v/>
      </c>
      <c r="Y249" s="298" t="str">
        <f>IF(C249="", "", Inventory!N257)</f>
        <v/>
      </c>
      <c r="Z249" s="374" t="str">
        <f>IF(B249="", "", 'Lighting Inventory (Ref only)'!P260)</f>
        <v/>
      </c>
      <c r="AA249" s="372" t="str">
        <f>IF(B249="", "",'Lighting Inventory (Ref only)'!R260/1000)</f>
        <v/>
      </c>
      <c r="AB249" s="372" t="str">
        <f>IF(B249="", "", Inventory!M257)</f>
        <v/>
      </c>
      <c r="AC249" s="374" t="str">
        <f>IF(B249="", "", 'Lighting Inventory (Ref only)'!T260)</f>
        <v/>
      </c>
      <c r="AD249" s="374" t="str">
        <f>IF(C249="", "", 'Lighting Inventory (Ref only)'!AA260)</f>
        <v/>
      </c>
      <c r="AE249" s="375" t="str">
        <f>IF(B249="", "", 'Lighting Inventory (Ref only)'!U260)</f>
        <v/>
      </c>
      <c r="AF249" s="375" t="str">
        <f>IF(B249="", "",'Lighting Inventory (Ref only)'!W260)</f>
        <v/>
      </c>
      <c r="AG249" s="375" t="str">
        <f>IF(B249="", "", 'Lighting Inventory (Ref only)'!V260)</f>
        <v/>
      </c>
      <c r="AH249" s="375" t="str">
        <f>IF(B249="", "",'Lighting Inventory (Ref only)'!Z260)</f>
        <v/>
      </c>
      <c r="AI249" s="375" t="str">
        <f>IF(B249="", "", 'Lighting Inventory (Ref only)'!Y260)</f>
        <v/>
      </c>
      <c r="AJ249" s="375" t="str">
        <f>IF(C249="", "",'Lighting Inventory (Ref only)'!AB260)</f>
        <v/>
      </c>
      <c r="AK249" s="375" t="str">
        <f>IF(B249="", "", 'Lighting Inventory (Ref only)'!AG260)</f>
        <v/>
      </c>
      <c r="AL249" s="375" t="str">
        <f>IF(B249="", "", 'Lighting Inventory (Ref only)'!AD260)</f>
        <v/>
      </c>
      <c r="AM249" s="375" t="str">
        <f>IF(B249="", "", 'Lighting Inventory (Ref only)'!AE260)</f>
        <v/>
      </c>
      <c r="AN249" s="375" t="str">
        <f>IF(B249="", "", 'Lighting Inventory (Ref only)'!AF260)</f>
        <v/>
      </c>
      <c r="AO249" s="375" t="str">
        <f>IF(B249="", "", 'Lighting Inventory (Ref only)'!AG260)</f>
        <v/>
      </c>
    </row>
    <row r="250" spans="1:41">
      <c r="A250" s="298" t="str">
        <f>IF(G250="", "", Lookups!BF252)</f>
        <v/>
      </c>
      <c r="B250" s="298" t="str">
        <f>IF('Lighting Inventory (Ref only)'!Q261="", "", 'Lighting Inventory (Ref only)'!Q261)</f>
        <v/>
      </c>
      <c r="C250" s="298" t="str">
        <f>IF(A250="", "", 'Lighting Inventory (Ref only)'!AO261)</f>
        <v/>
      </c>
      <c r="D250" s="370" t="str">
        <f>IF(B250= "","", Inventory!S258)</f>
        <v/>
      </c>
      <c r="E250" s="371"/>
      <c r="F250" s="298" t="str">
        <f>IF(B250="", "", 'Version Log'!$B$34)</f>
        <v/>
      </c>
      <c r="G250" s="298" t="str">
        <f t="shared" si="12"/>
        <v/>
      </c>
      <c r="H250" s="298" t="str">
        <f t="shared" si="13"/>
        <v/>
      </c>
      <c r="I250" s="298" t="str">
        <f>IF(B250="", "",Inventory!D258)</f>
        <v/>
      </c>
      <c r="J250" s="298" t="str">
        <f>IF(B250="","",IF(Inventory!C258="N","Interior","Exterior"))</f>
        <v/>
      </c>
      <c r="K250" s="298" t="str">
        <f t="shared" si="14"/>
        <v/>
      </c>
      <c r="L250" s="298" t="str">
        <f>IF(B250="", "", Inventory!E258)</f>
        <v/>
      </c>
      <c r="M250" s="298" t="str">
        <f>IF(B250="","",IF(Cool_Type=Lookups!$L$9,Cool_Type,IF(Cool_Type=Lookups!$L$10,Cool_Type,IF(Cool_Type=Lookups!$L$11,Cool_Type,IF(Cool_Type=Lookups!L260,Cool_Type,IF('Project Info and Summary'!$C$20="Electric",CONCATENATE(Cool_Type," ",Heating_Type," Heat"),IF('Project Info and Summary'!$C$20="Non-Electric",CONCATENATE(Cool_Type," ",Heating_Type," Heat"),CONCATENATE(Cool_Type," ",Heating_Type))))))))</f>
        <v/>
      </c>
      <c r="N250" s="298" t="str">
        <f t="shared" si="15"/>
        <v/>
      </c>
      <c r="O250" s="298" t="str">
        <f>IF(B250="", "", 'Lighting Inventory (Ref only)'!G261)</f>
        <v/>
      </c>
      <c r="P250" s="298" t="str">
        <f>IF(B250="", "", 'Lighting Inventory (Ref only)'!E261)</f>
        <v/>
      </c>
      <c r="Q250" s="298" t="str">
        <f>IF(B250="", "", 'Lighting Inventory (Ref only)'!J261)</f>
        <v/>
      </c>
      <c r="R250" s="298" t="str">
        <f>IF(B250="", "",'Lighting Inventory (Ref only)'!K261)</f>
        <v/>
      </c>
      <c r="S250" s="372" t="str">
        <f>IF(B250="", "", 'Lighting Inventory (Ref only)'!G261*'Lighting Inventory (Ref only)'!K261/1000)</f>
        <v/>
      </c>
      <c r="T250" s="298" t="str">
        <f>IF(B250="", "", IF('Lighting Inventory (Ref only)'!I261="", "Light Switch",Inventory!H258))</f>
        <v/>
      </c>
      <c r="U250" s="298" t="str">
        <f>IF(B250="", "", 'Lighting Inventory (Ref only)'!Q261)</f>
        <v/>
      </c>
      <c r="V250" s="298" t="str">
        <f>IF(B250="", "", 'Lighting Inventory (Ref only)'!K261)</f>
        <v/>
      </c>
      <c r="W250" s="373" t="str">
        <f>IF(B250="","",('Lighting Inventory (Ref only)'!L261/1000))</f>
        <v/>
      </c>
      <c r="X250" s="298" t="str">
        <f>IF(B250="", "", 'Lighting Inventory (Ref only)'!Q261)</f>
        <v/>
      </c>
      <c r="Y250" s="298" t="str">
        <f>IF(C250="", "", Inventory!N258)</f>
        <v/>
      </c>
      <c r="Z250" s="374" t="str">
        <f>IF(B250="", "", 'Lighting Inventory (Ref only)'!P261)</f>
        <v/>
      </c>
      <c r="AA250" s="372" t="str">
        <f>IF(B250="", "",'Lighting Inventory (Ref only)'!R261/1000)</f>
        <v/>
      </c>
      <c r="AB250" s="372" t="str">
        <f>IF(B250="", "", Inventory!M258)</f>
        <v/>
      </c>
      <c r="AC250" s="374" t="str">
        <f>IF(B250="", "", 'Lighting Inventory (Ref only)'!T261)</f>
        <v/>
      </c>
      <c r="AD250" s="374" t="str">
        <f>IF(C250="", "", 'Lighting Inventory (Ref only)'!AA261)</f>
        <v/>
      </c>
      <c r="AE250" s="375" t="str">
        <f>IF(B250="", "", 'Lighting Inventory (Ref only)'!U261)</f>
        <v/>
      </c>
      <c r="AF250" s="375" t="str">
        <f>IF(B250="", "",'Lighting Inventory (Ref only)'!W261)</f>
        <v/>
      </c>
      <c r="AG250" s="375" t="str">
        <f>IF(B250="", "", 'Lighting Inventory (Ref only)'!V261)</f>
        <v/>
      </c>
      <c r="AH250" s="375" t="str">
        <f>IF(B250="", "",'Lighting Inventory (Ref only)'!Z261)</f>
        <v/>
      </c>
      <c r="AI250" s="375" t="str">
        <f>IF(B250="", "", 'Lighting Inventory (Ref only)'!Y261)</f>
        <v/>
      </c>
      <c r="AJ250" s="375" t="str">
        <f>IF(C250="", "",'Lighting Inventory (Ref only)'!AB261)</f>
        <v/>
      </c>
      <c r="AK250" s="375" t="str">
        <f>IF(B250="", "", 'Lighting Inventory (Ref only)'!AG261)</f>
        <v/>
      </c>
      <c r="AL250" s="375" t="str">
        <f>IF(B250="", "", 'Lighting Inventory (Ref only)'!AD261)</f>
        <v/>
      </c>
      <c r="AM250" s="375" t="str">
        <f>IF(B250="", "", 'Lighting Inventory (Ref only)'!AE261)</f>
        <v/>
      </c>
      <c r="AN250" s="375" t="str">
        <f>IF(B250="", "", 'Lighting Inventory (Ref only)'!AF261)</f>
        <v/>
      </c>
      <c r="AO250" s="375" t="str">
        <f>IF(B250="", "", 'Lighting Inventory (Ref only)'!AG261)</f>
        <v/>
      </c>
    </row>
    <row r="251" spans="1:41">
      <c r="A251" s="298" t="str">
        <f>IF(G251="", "", Lookups!BF253)</f>
        <v/>
      </c>
      <c r="B251" s="298" t="str">
        <f>IF('Lighting Inventory (Ref only)'!Q262="", "", 'Lighting Inventory (Ref only)'!Q262)</f>
        <v/>
      </c>
      <c r="C251" s="298" t="str">
        <f>IF(A251="", "", 'Lighting Inventory (Ref only)'!AO262)</f>
        <v/>
      </c>
      <c r="D251" s="370" t="str">
        <f>IF(B251= "","", Inventory!S259)</f>
        <v/>
      </c>
      <c r="E251" s="371"/>
      <c r="F251" s="298" t="str">
        <f>IF(B251="", "", 'Version Log'!$B$34)</f>
        <v/>
      </c>
      <c r="G251" s="298" t="str">
        <f t="shared" si="12"/>
        <v/>
      </c>
      <c r="H251" s="298" t="str">
        <f t="shared" si="13"/>
        <v/>
      </c>
      <c r="I251" s="298" t="str">
        <f>IF(B251="", "",Inventory!D259)</f>
        <v/>
      </c>
      <c r="J251" s="298" t="str">
        <f>IF(B251="","",IF(Inventory!C259="N","Interior","Exterior"))</f>
        <v/>
      </c>
      <c r="K251" s="298" t="str">
        <f t="shared" si="14"/>
        <v/>
      </c>
      <c r="L251" s="298" t="str">
        <f>IF(B251="", "", Inventory!E259)</f>
        <v/>
      </c>
      <c r="M251" s="298" t="str">
        <f>IF(B251="","",IF(Cool_Type=Lookups!$L$9,Cool_Type,IF(Cool_Type=Lookups!$L$10,Cool_Type,IF(Cool_Type=Lookups!$L$11,Cool_Type,IF(Cool_Type=Lookups!L261,Cool_Type,IF('Project Info and Summary'!$C$20="Electric",CONCATENATE(Cool_Type," ",Heating_Type," Heat"),IF('Project Info and Summary'!$C$20="Non-Electric",CONCATENATE(Cool_Type," ",Heating_Type," Heat"),CONCATENATE(Cool_Type," ",Heating_Type))))))))</f>
        <v/>
      </c>
      <c r="N251" s="298" t="str">
        <f t="shared" si="15"/>
        <v/>
      </c>
      <c r="O251" s="298" t="str">
        <f>IF(B251="", "", 'Lighting Inventory (Ref only)'!G262)</f>
        <v/>
      </c>
      <c r="P251" s="298" t="str">
        <f>IF(B251="", "", 'Lighting Inventory (Ref only)'!E262)</f>
        <v/>
      </c>
      <c r="Q251" s="298" t="str">
        <f>IF(B251="", "", 'Lighting Inventory (Ref only)'!J262)</f>
        <v/>
      </c>
      <c r="R251" s="298" t="str">
        <f>IF(B251="", "",'Lighting Inventory (Ref only)'!K262)</f>
        <v/>
      </c>
      <c r="S251" s="372" t="str">
        <f>IF(B251="", "", 'Lighting Inventory (Ref only)'!G262*'Lighting Inventory (Ref only)'!K262/1000)</f>
        <v/>
      </c>
      <c r="T251" s="298" t="str">
        <f>IF(B251="", "", IF('Lighting Inventory (Ref only)'!I262="", "Light Switch",Inventory!H259))</f>
        <v/>
      </c>
      <c r="U251" s="298" t="str">
        <f>IF(B251="", "", 'Lighting Inventory (Ref only)'!Q262)</f>
        <v/>
      </c>
      <c r="V251" s="298" t="str">
        <f>IF(B251="", "", 'Lighting Inventory (Ref only)'!K262)</f>
        <v/>
      </c>
      <c r="W251" s="373" t="str">
        <f>IF(B251="","",('Lighting Inventory (Ref only)'!L262/1000))</f>
        <v/>
      </c>
      <c r="X251" s="298" t="str">
        <f>IF(B251="", "", 'Lighting Inventory (Ref only)'!Q262)</f>
        <v/>
      </c>
      <c r="Y251" s="298" t="str">
        <f>IF(C251="", "", Inventory!N259)</f>
        <v/>
      </c>
      <c r="Z251" s="374" t="str">
        <f>IF(B251="", "", 'Lighting Inventory (Ref only)'!P262)</f>
        <v/>
      </c>
      <c r="AA251" s="372" t="str">
        <f>IF(B251="", "",'Lighting Inventory (Ref only)'!R262/1000)</f>
        <v/>
      </c>
      <c r="AB251" s="372" t="str">
        <f>IF(B251="", "", Inventory!M259)</f>
        <v/>
      </c>
      <c r="AC251" s="374" t="str">
        <f>IF(B251="", "", 'Lighting Inventory (Ref only)'!T262)</f>
        <v/>
      </c>
      <c r="AD251" s="374" t="str">
        <f>IF(C251="", "", 'Lighting Inventory (Ref only)'!AA262)</f>
        <v/>
      </c>
      <c r="AE251" s="375" t="str">
        <f>IF(B251="", "", 'Lighting Inventory (Ref only)'!U262)</f>
        <v/>
      </c>
      <c r="AF251" s="375" t="str">
        <f>IF(B251="", "",'Lighting Inventory (Ref only)'!W262)</f>
        <v/>
      </c>
      <c r="AG251" s="375" t="str">
        <f>IF(B251="", "", 'Lighting Inventory (Ref only)'!V262)</f>
        <v/>
      </c>
      <c r="AH251" s="375" t="str">
        <f>IF(B251="", "",'Lighting Inventory (Ref only)'!Z262)</f>
        <v/>
      </c>
      <c r="AI251" s="375" t="str">
        <f>IF(B251="", "", 'Lighting Inventory (Ref only)'!Y262)</f>
        <v/>
      </c>
      <c r="AJ251" s="375" t="str">
        <f>IF(C251="", "",'Lighting Inventory (Ref only)'!AB262)</f>
        <v/>
      </c>
      <c r="AK251" s="375" t="str">
        <f>IF(B251="", "", 'Lighting Inventory (Ref only)'!AG262)</f>
        <v/>
      </c>
      <c r="AL251" s="375" t="str">
        <f>IF(B251="", "", 'Lighting Inventory (Ref only)'!AD262)</f>
        <v/>
      </c>
      <c r="AM251" s="375" t="str">
        <f>IF(B251="", "", 'Lighting Inventory (Ref only)'!AE262)</f>
        <v/>
      </c>
      <c r="AN251" s="375" t="str">
        <f>IF(B251="", "", 'Lighting Inventory (Ref only)'!AF262)</f>
        <v/>
      </c>
      <c r="AO251" s="375" t="str">
        <f>IF(B251="", "", 'Lighting Inventory (Ref only)'!AG262)</f>
        <v/>
      </c>
    </row>
    <row r="252" spans="1:41">
      <c r="A252" s="298" t="str">
        <f>IF(G252="", "", Lookups!BF254)</f>
        <v/>
      </c>
      <c r="B252" s="298" t="str">
        <f>IF('Lighting Inventory (Ref only)'!Q263="", "", 'Lighting Inventory (Ref only)'!Q263)</f>
        <v/>
      </c>
      <c r="C252" s="298" t="str">
        <f>IF(A252="", "", 'Lighting Inventory (Ref only)'!AO263)</f>
        <v/>
      </c>
      <c r="D252" s="370" t="str">
        <f>IF(B252= "","", Inventory!S260)</f>
        <v/>
      </c>
      <c r="E252" s="371"/>
      <c r="F252" s="298" t="str">
        <f>IF(B252="", "", 'Version Log'!$B$34)</f>
        <v/>
      </c>
      <c r="G252" s="298" t="str">
        <f t="shared" si="12"/>
        <v/>
      </c>
      <c r="H252" s="298" t="str">
        <f t="shared" si="13"/>
        <v/>
      </c>
      <c r="I252" s="298" t="str">
        <f>IF(B252="", "",Inventory!D260)</f>
        <v/>
      </c>
      <c r="J252" s="298" t="str">
        <f>IF(B252="","",IF(Inventory!C260="N","Interior","Exterior"))</f>
        <v/>
      </c>
      <c r="K252" s="298" t="str">
        <f t="shared" si="14"/>
        <v/>
      </c>
      <c r="L252" s="298" t="str">
        <f>IF(B252="", "", Inventory!E260)</f>
        <v/>
      </c>
      <c r="M252" s="298" t="str">
        <f>IF(B252="","",IF(Cool_Type=Lookups!$L$9,Cool_Type,IF(Cool_Type=Lookups!$L$10,Cool_Type,IF(Cool_Type=Lookups!$L$11,Cool_Type,IF(Cool_Type=Lookups!L262,Cool_Type,IF('Project Info and Summary'!$C$20="Electric",CONCATENATE(Cool_Type," ",Heating_Type," Heat"),IF('Project Info and Summary'!$C$20="Non-Electric",CONCATENATE(Cool_Type," ",Heating_Type," Heat"),CONCATENATE(Cool_Type," ",Heating_Type))))))))</f>
        <v/>
      </c>
      <c r="N252" s="298" t="str">
        <f t="shared" si="15"/>
        <v/>
      </c>
      <c r="O252" s="298" t="str">
        <f>IF(B252="", "", 'Lighting Inventory (Ref only)'!G263)</f>
        <v/>
      </c>
      <c r="P252" s="298" t="str">
        <f>IF(B252="", "", 'Lighting Inventory (Ref only)'!E263)</f>
        <v/>
      </c>
      <c r="Q252" s="298" t="str">
        <f>IF(B252="", "", 'Lighting Inventory (Ref only)'!J263)</f>
        <v/>
      </c>
      <c r="R252" s="298" t="str">
        <f>IF(B252="", "",'Lighting Inventory (Ref only)'!K263)</f>
        <v/>
      </c>
      <c r="S252" s="372" t="str">
        <f>IF(B252="", "", 'Lighting Inventory (Ref only)'!G263*'Lighting Inventory (Ref only)'!K263/1000)</f>
        <v/>
      </c>
      <c r="T252" s="298" t="str">
        <f>IF(B252="", "", IF('Lighting Inventory (Ref only)'!I263="", "Light Switch",Inventory!H260))</f>
        <v/>
      </c>
      <c r="W252" s="373"/>
      <c r="X252" s="298" t="str">
        <f>IF(B252="", "", 'Lighting Inventory (Ref only)'!Q263)</f>
        <v/>
      </c>
      <c r="Z252" s="374"/>
      <c r="AA252" s="372" t="str">
        <f>IF(B252="", "",'Lighting Inventory (Ref only)'!R263/1000)</f>
        <v/>
      </c>
      <c r="AB252" s="372" t="str">
        <f>IF(B252="", "", Inventory!M260)</f>
        <v/>
      </c>
      <c r="AC252" s="374" t="str">
        <f>IF(B252="", "", 'Lighting Inventory (Ref only)'!T263)</f>
        <v/>
      </c>
      <c r="AD252" s="374" t="str">
        <f>IF(C252="", "", 'Lighting Inventory (Ref only)'!AA263)</f>
        <v/>
      </c>
      <c r="AE252" s="375" t="str">
        <f>IF(B252="", "", 'Lighting Inventory (Ref only)'!U263)</f>
        <v/>
      </c>
      <c r="AF252" s="375" t="str">
        <f>IF(B252="", "",'Lighting Inventory (Ref only)'!W263)</f>
        <v/>
      </c>
      <c r="AG252" s="375"/>
      <c r="AH252" s="375" t="str">
        <f>IF(B252="", "",'Lighting Inventory (Ref only)'!Z263)</f>
        <v/>
      </c>
      <c r="AI252" s="375" t="str">
        <f>IF(B252="", "", 'Lighting Inventory (Ref only)'!Y263)</f>
        <v/>
      </c>
      <c r="AJ252" s="375" t="str">
        <f>IF(C252="", "",'Lighting Inventory (Ref only)'!AB263)</f>
        <v/>
      </c>
      <c r="AK252" s="375" t="str">
        <f>IF(B252="", "", 'Lighting Inventory (Ref only)'!AG263)</f>
        <v/>
      </c>
      <c r="AL252" s="375" t="str">
        <f>IF(B252="", "", 'Lighting Inventory (Ref only)'!AD263)</f>
        <v/>
      </c>
      <c r="AM252" s="375" t="str">
        <f>IF(B252="", "", 'Lighting Inventory (Ref only)'!AE263)</f>
        <v/>
      </c>
      <c r="AN252" s="375" t="str">
        <f>IF(B252="", "", 'Lighting Inventory (Ref only)'!AF263)</f>
        <v/>
      </c>
      <c r="AO252" s="375" t="str">
        <f>IF(B252="", "", 'Lighting Inventory (Ref only)'!AG263)</f>
        <v/>
      </c>
    </row>
    <row r="253" spans="1:41">
      <c r="A253" s="298" t="str">
        <f>IF(G253="", "", Lookups!BF255)</f>
        <v/>
      </c>
      <c r="B253" s="298" t="str">
        <f>IF('Lighting Inventory (Ref only)'!Q264="", "", 'Lighting Inventory (Ref only)'!Q264)</f>
        <v/>
      </c>
      <c r="C253" s="298" t="str">
        <f>IF(A253="", "", 'Lighting Inventory (Ref only)'!AO264)</f>
        <v/>
      </c>
      <c r="D253" s="370" t="str">
        <f>IF(B253= "","", Inventory!S261)</f>
        <v/>
      </c>
      <c r="E253" s="371"/>
      <c r="F253" s="298" t="str">
        <f>IF(B253="", "", 'Version Log'!$B$34)</f>
        <v/>
      </c>
      <c r="G253" s="298" t="str">
        <f t="shared" si="12"/>
        <v/>
      </c>
      <c r="H253" s="298" t="str">
        <f t="shared" si="13"/>
        <v/>
      </c>
      <c r="I253" s="298" t="str">
        <f>IF(B253="", "",Inventory!D261)</f>
        <v/>
      </c>
      <c r="J253" s="298" t="str">
        <f>IF(B253="","",IF(Inventory!C261="N","Interior","Exterior"))</f>
        <v/>
      </c>
      <c r="K253" s="298" t="str">
        <f t="shared" si="14"/>
        <v/>
      </c>
      <c r="L253" s="298" t="str">
        <f>IF(B253="", "", Inventory!E261)</f>
        <v/>
      </c>
      <c r="M253" s="298" t="str">
        <f>IF(B253="","",IF(Cool_Type=Lookups!$L$9,Cool_Type,IF(Cool_Type=Lookups!$L$10,Cool_Type,IF(Cool_Type=Lookups!$L$11,Cool_Type,IF(Cool_Type=Lookups!L263,Cool_Type,IF('Project Info and Summary'!$C$20="Electric",CONCATENATE(Cool_Type," ",Heating_Type," Heat"),IF('Project Info and Summary'!$C$20="Non-Electric",CONCATENATE(Cool_Type," ",Heating_Type," Heat"),CONCATENATE(Cool_Type," ",Heating_Type))))))))</f>
        <v/>
      </c>
      <c r="N253" s="298" t="str">
        <f t="shared" si="15"/>
        <v/>
      </c>
      <c r="O253" s="298" t="str">
        <f>IF(B253="", "", 'Lighting Inventory (Ref only)'!G264)</f>
        <v/>
      </c>
      <c r="P253" s="298" t="str">
        <f>IF(B253="", "", 'Lighting Inventory (Ref only)'!E264)</f>
        <v/>
      </c>
      <c r="Q253" s="298" t="str">
        <f>IF(B253="", "", 'Lighting Inventory (Ref only)'!J264)</f>
        <v/>
      </c>
      <c r="R253" s="298" t="str">
        <f>IF(B253="", "",'Lighting Inventory (Ref only)'!K264)</f>
        <v/>
      </c>
      <c r="S253" s="372" t="str">
        <f>IF(B253="", "", 'Lighting Inventory (Ref only)'!G264*'Lighting Inventory (Ref only)'!K264/1000)</f>
        <v/>
      </c>
      <c r="T253" s="298" t="str">
        <f>IF(B253="", "", IF('Lighting Inventory (Ref only)'!I264="", "Light Switch",Inventory!H261))</f>
        <v/>
      </c>
      <c r="W253" s="373"/>
      <c r="X253" s="298" t="str">
        <f>IF(B253="", "", 'Lighting Inventory (Ref only)'!Q264)</f>
        <v/>
      </c>
      <c r="Z253" s="374"/>
      <c r="AA253" s="372" t="str">
        <f>IF(B253="", "",'Lighting Inventory (Ref only)'!R264/1000)</f>
        <v/>
      </c>
      <c r="AB253" s="372" t="str">
        <f>IF(B253="", "", Inventory!M261)</f>
        <v/>
      </c>
      <c r="AC253" s="374" t="str">
        <f>IF(B253="", "", 'Lighting Inventory (Ref only)'!T264)</f>
        <v/>
      </c>
      <c r="AD253" s="374" t="str">
        <f>IF(C253="", "", 'Lighting Inventory (Ref only)'!AA264)</f>
        <v/>
      </c>
      <c r="AE253" s="375" t="str">
        <f>IF(B253="", "", 'Lighting Inventory (Ref only)'!U264)</f>
        <v/>
      </c>
      <c r="AF253" s="375" t="str">
        <f>IF(B253="", "",'Lighting Inventory (Ref only)'!W264)</f>
        <v/>
      </c>
      <c r="AG253" s="375"/>
      <c r="AH253" s="375" t="str">
        <f>IF(B253="", "",'Lighting Inventory (Ref only)'!Z264)</f>
        <v/>
      </c>
      <c r="AI253" s="375" t="str">
        <f>IF(B253="", "", 'Lighting Inventory (Ref only)'!Y264)</f>
        <v/>
      </c>
      <c r="AJ253" s="375" t="str">
        <f>IF(C253="", "",'Lighting Inventory (Ref only)'!AB264)</f>
        <v/>
      </c>
      <c r="AK253" s="375" t="str">
        <f>IF(B253="", "", 'Lighting Inventory (Ref only)'!AG264)</f>
        <v/>
      </c>
      <c r="AL253" s="375" t="str">
        <f>IF(B253="", "", 'Lighting Inventory (Ref only)'!AD264)</f>
        <v/>
      </c>
      <c r="AM253" s="375" t="str">
        <f>IF(B253="", "", 'Lighting Inventory (Ref only)'!AE264)</f>
        <v/>
      </c>
      <c r="AN253" s="375" t="str">
        <f>IF(B253="", "", 'Lighting Inventory (Ref only)'!AF264)</f>
        <v/>
      </c>
      <c r="AO253" s="375" t="str">
        <f>IF(B253="", "", 'Lighting Inventory (Ref only)'!AG264)</f>
        <v/>
      </c>
    </row>
    <row r="254" spans="1:41">
      <c r="A254" s="298" t="str">
        <f>IF(G254="", "", Lookups!BF256)</f>
        <v/>
      </c>
      <c r="B254" s="298" t="str">
        <f>IF('Lighting Inventory (Ref only)'!Q265="", "", 'Lighting Inventory (Ref only)'!Q265)</f>
        <v/>
      </c>
      <c r="C254" s="298" t="str">
        <f>IF(A254="", "", 'Lighting Inventory (Ref only)'!AO265)</f>
        <v/>
      </c>
      <c r="D254" s="370" t="str">
        <f>IF(B254= "","", Inventory!S262)</f>
        <v/>
      </c>
      <c r="E254" s="371"/>
      <c r="F254" s="298" t="str">
        <f>IF(B254="", "", 'Version Log'!$B$34)</f>
        <v/>
      </c>
      <c r="G254" s="298" t="str">
        <f t="shared" si="12"/>
        <v/>
      </c>
      <c r="H254" s="298" t="str">
        <f t="shared" si="13"/>
        <v/>
      </c>
      <c r="I254" s="298" t="str">
        <f>IF(B254="", "",Inventory!D262)</f>
        <v/>
      </c>
      <c r="J254" s="298" t="str">
        <f>IF(B254="","",IF(Inventory!C262="N","Interior","Exterior"))</f>
        <v/>
      </c>
      <c r="K254" s="298" t="str">
        <f t="shared" si="14"/>
        <v/>
      </c>
      <c r="L254" s="298" t="str">
        <f>IF(B254="", "", Inventory!E262)</f>
        <v/>
      </c>
      <c r="M254" s="298" t="str">
        <f>IF(B254="","",IF(Cool_Type=Lookups!$L$9,Cool_Type,IF(Cool_Type=Lookups!$L$10,Cool_Type,IF(Cool_Type=Lookups!$L$11,Cool_Type,IF(Cool_Type=Lookups!L264,Cool_Type,IF('Project Info and Summary'!$C$20="Electric",CONCATENATE(Cool_Type," ",Heating_Type," Heat"),IF('Project Info and Summary'!$C$20="Non-Electric",CONCATENATE(Cool_Type," ",Heating_Type," Heat"),CONCATENATE(Cool_Type," ",Heating_Type))))))))</f>
        <v/>
      </c>
      <c r="N254" s="298" t="str">
        <f t="shared" si="15"/>
        <v/>
      </c>
      <c r="O254" s="298" t="str">
        <f>IF(B254="", "", 'Lighting Inventory (Ref only)'!G265)</f>
        <v/>
      </c>
      <c r="P254" s="298" t="str">
        <f>IF(B254="", "", 'Lighting Inventory (Ref only)'!E265)</f>
        <v/>
      </c>
      <c r="Q254" s="298" t="str">
        <f>IF(B254="", "", 'Lighting Inventory (Ref only)'!J265)</f>
        <v/>
      </c>
      <c r="R254" s="298" t="str">
        <f>IF(B254="", "",'Lighting Inventory (Ref only)'!K265)</f>
        <v/>
      </c>
      <c r="S254" s="372" t="str">
        <f>IF(B254="", "", 'Lighting Inventory (Ref only)'!G265*'Lighting Inventory (Ref only)'!K265/1000)</f>
        <v/>
      </c>
      <c r="T254" s="298" t="str">
        <f>IF(B254="", "", IF('Lighting Inventory (Ref only)'!I265="", "Light Switch",Inventory!H262))</f>
        <v/>
      </c>
      <c r="W254" s="373"/>
      <c r="X254" s="298" t="str">
        <f>IF(B254="", "", 'Lighting Inventory (Ref only)'!Q265)</f>
        <v/>
      </c>
      <c r="Z254" s="374"/>
      <c r="AA254" s="372" t="str">
        <f>IF(B254="", "",'Lighting Inventory (Ref only)'!R265/1000)</f>
        <v/>
      </c>
      <c r="AB254" s="372" t="str">
        <f>IF(B254="", "", Inventory!M262)</f>
        <v/>
      </c>
      <c r="AC254" s="374" t="str">
        <f>IF(B254="", "", 'Lighting Inventory (Ref only)'!T265)</f>
        <v/>
      </c>
      <c r="AD254" s="374" t="str">
        <f>IF(C254="", "", 'Lighting Inventory (Ref only)'!AA265)</f>
        <v/>
      </c>
      <c r="AE254" s="375" t="str">
        <f>IF(B254="", "", 'Lighting Inventory (Ref only)'!U265)</f>
        <v/>
      </c>
      <c r="AF254" s="375" t="str">
        <f>IF(B254="", "",'Lighting Inventory (Ref only)'!W265)</f>
        <v/>
      </c>
      <c r="AG254" s="375"/>
      <c r="AH254" s="375" t="str">
        <f>IF(B254="", "",'Lighting Inventory (Ref only)'!Z265)</f>
        <v/>
      </c>
      <c r="AI254" s="375" t="str">
        <f>IF(B254="", "", 'Lighting Inventory (Ref only)'!Y265)</f>
        <v/>
      </c>
      <c r="AJ254" s="375" t="str">
        <f>IF(C254="", "",'Lighting Inventory (Ref only)'!AB265)</f>
        <v/>
      </c>
      <c r="AK254" s="375" t="str">
        <f>IF(B254="", "", 'Lighting Inventory (Ref only)'!AG265)</f>
        <v/>
      </c>
      <c r="AL254" s="375" t="str">
        <f>IF(B254="", "", 'Lighting Inventory (Ref only)'!AD265)</f>
        <v/>
      </c>
      <c r="AM254" s="375" t="str">
        <f>IF(B254="", "", 'Lighting Inventory (Ref only)'!AE265)</f>
        <v/>
      </c>
      <c r="AN254" s="375" t="str">
        <f>IF(B254="", "", 'Lighting Inventory (Ref only)'!AF265)</f>
        <v/>
      </c>
      <c r="AO254" s="375" t="str">
        <f>IF(B254="", "", 'Lighting Inventory (Ref only)'!AG265)</f>
        <v/>
      </c>
    </row>
    <row r="255" spans="1:41">
      <c r="A255" s="298" t="str">
        <f>IF(G255="", "", Lookups!BF257)</f>
        <v/>
      </c>
      <c r="B255" s="298" t="str">
        <f>IF('Lighting Inventory (Ref only)'!Q266="", "", 'Lighting Inventory (Ref only)'!Q266)</f>
        <v/>
      </c>
      <c r="C255" s="298" t="str">
        <f>IF(A255="", "", 'Lighting Inventory (Ref only)'!AO266)</f>
        <v/>
      </c>
      <c r="D255" s="370" t="str">
        <f>IF(B255= "","", Inventory!S263)</f>
        <v/>
      </c>
      <c r="E255" s="371"/>
      <c r="F255" s="298" t="str">
        <f>IF(B255="", "", 'Version Log'!$B$34)</f>
        <v/>
      </c>
      <c r="G255" s="298" t="str">
        <f t="shared" si="12"/>
        <v/>
      </c>
      <c r="H255" s="298" t="str">
        <f t="shared" si="13"/>
        <v/>
      </c>
      <c r="I255" s="298" t="str">
        <f>IF(B255="", "",Inventory!D263)</f>
        <v/>
      </c>
      <c r="J255" s="298" t="str">
        <f>IF(B255="","",IF(Inventory!C263="N","Interior","Exterior"))</f>
        <v/>
      </c>
      <c r="K255" s="298" t="str">
        <f t="shared" si="14"/>
        <v/>
      </c>
      <c r="L255" s="298" t="str">
        <f>IF(B255="", "", Inventory!E263)</f>
        <v/>
      </c>
      <c r="M255" s="298" t="str">
        <f>IF(B255="","",IF(Cool_Type=Lookups!$L$9,Cool_Type,IF(Cool_Type=Lookups!$L$10,Cool_Type,IF(Cool_Type=Lookups!$L$11,Cool_Type,IF(Cool_Type=Lookups!L265,Cool_Type,IF('Project Info and Summary'!$C$20="Electric",CONCATENATE(Cool_Type," ",Heating_Type," Heat"),IF('Project Info and Summary'!$C$20="Non-Electric",CONCATENATE(Cool_Type," ",Heating_Type," Heat"),CONCATENATE(Cool_Type," ",Heating_Type))))))))</f>
        <v/>
      </c>
      <c r="N255" s="298" t="str">
        <f t="shared" si="15"/>
        <v/>
      </c>
      <c r="O255" s="298" t="str">
        <f>IF(B255="", "", 'Lighting Inventory (Ref only)'!G266)</f>
        <v/>
      </c>
      <c r="P255" s="298" t="str">
        <f>IF(B255="", "", 'Lighting Inventory (Ref only)'!E266)</f>
        <v/>
      </c>
      <c r="Q255" s="298" t="str">
        <f>IF(B255="", "", 'Lighting Inventory (Ref only)'!J266)</f>
        <v/>
      </c>
      <c r="R255" s="298" t="str">
        <f>IF(B255="", "",'Lighting Inventory (Ref only)'!K266)</f>
        <v/>
      </c>
      <c r="S255" s="372" t="str">
        <f>IF(B255="", "", 'Lighting Inventory (Ref only)'!G266*'Lighting Inventory (Ref only)'!K266/1000)</f>
        <v/>
      </c>
      <c r="T255" s="298" t="str">
        <f>IF(B255="", "", IF('Lighting Inventory (Ref only)'!I266="", "Light Switch",Inventory!H263))</f>
        <v/>
      </c>
      <c r="W255" s="373"/>
      <c r="X255" s="298" t="str">
        <f>IF(B255="", "", 'Lighting Inventory (Ref only)'!Q266)</f>
        <v/>
      </c>
      <c r="Z255" s="374"/>
      <c r="AA255" s="372" t="str">
        <f>IF(B255="", "",'Lighting Inventory (Ref only)'!R266/1000)</f>
        <v/>
      </c>
      <c r="AB255" s="372" t="str">
        <f>IF(B255="", "", Inventory!M263)</f>
        <v/>
      </c>
      <c r="AC255" s="374" t="str">
        <f>IF(B255="", "", 'Lighting Inventory (Ref only)'!T266)</f>
        <v/>
      </c>
      <c r="AD255" s="374" t="str">
        <f>IF(C255="", "", 'Lighting Inventory (Ref only)'!AA266)</f>
        <v/>
      </c>
      <c r="AE255" s="375" t="str">
        <f>IF(B255="", "", 'Lighting Inventory (Ref only)'!U266)</f>
        <v/>
      </c>
      <c r="AF255" s="375" t="str">
        <f>IF(B255="", "",'Lighting Inventory (Ref only)'!W266)</f>
        <v/>
      </c>
      <c r="AG255" s="375"/>
      <c r="AH255" s="375" t="str">
        <f>IF(B255="", "",'Lighting Inventory (Ref only)'!Z266)</f>
        <v/>
      </c>
      <c r="AI255" s="375" t="str">
        <f>IF(B255="", "", 'Lighting Inventory (Ref only)'!Y266)</f>
        <v/>
      </c>
      <c r="AJ255" s="375" t="str">
        <f>IF(C255="", "",'Lighting Inventory (Ref only)'!AB266)</f>
        <v/>
      </c>
      <c r="AK255" s="375" t="str">
        <f>IF(B255="", "", 'Lighting Inventory (Ref only)'!AG266)</f>
        <v/>
      </c>
      <c r="AL255" s="375" t="str">
        <f>IF(B255="", "", 'Lighting Inventory (Ref only)'!AD266)</f>
        <v/>
      </c>
      <c r="AM255" s="375" t="str">
        <f>IF(B255="", "", 'Lighting Inventory (Ref only)'!AE266)</f>
        <v/>
      </c>
      <c r="AN255" s="375" t="str">
        <f>IF(B255="", "", 'Lighting Inventory (Ref only)'!AF266)</f>
        <v/>
      </c>
      <c r="AO255" s="375" t="str">
        <f>IF(B255="", "", 'Lighting Inventory (Ref only)'!AG266)</f>
        <v/>
      </c>
    </row>
    <row r="256" spans="1:41">
      <c r="A256" s="298" t="str">
        <f>IF(G256="", "", Lookups!BF258)</f>
        <v/>
      </c>
      <c r="B256" s="298" t="str">
        <f>IF('Lighting Inventory (Ref only)'!Q267="", "", 'Lighting Inventory (Ref only)'!Q267)</f>
        <v/>
      </c>
      <c r="C256" s="298" t="str">
        <f>IF(A256="", "", 'Lighting Inventory (Ref only)'!AO267)</f>
        <v/>
      </c>
      <c r="D256" s="370" t="str">
        <f>IF(B256= "","", Inventory!S264)</f>
        <v/>
      </c>
      <c r="E256" s="371"/>
      <c r="F256" s="298" t="str">
        <f>IF(B256="", "", 'Version Log'!$B$34)</f>
        <v/>
      </c>
      <c r="G256" s="298" t="str">
        <f t="shared" si="12"/>
        <v/>
      </c>
      <c r="H256" s="298" t="str">
        <f t="shared" si="13"/>
        <v/>
      </c>
      <c r="I256" s="298" t="str">
        <f>IF(B256="", "",Inventory!D264)</f>
        <v/>
      </c>
      <c r="J256" s="298" t="str">
        <f>IF(B256="","",IF(Inventory!C264="N","Interior","Exterior"))</f>
        <v/>
      </c>
      <c r="K256" s="298" t="str">
        <f t="shared" si="14"/>
        <v/>
      </c>
      <c r="L256" s="298" t="str">
        <f>IF(B256="", "", Inventory!E264)</f>
        <v/>
      </c>
      <c r="M256" s="298" t="str">
        <f>IF(B256="","",IF(Cool_Type=Lookups!$L$9,Cool_Type,IF(Cool_Type=Lookups!$L$10,Cool_Type,IF(Cool_Type=Lookups!$L$11,Cool_Type,IF(Cool_Type=Lookups!L266,Cool_Type,IF('Project Info and Summary'!$C$20="Electric",CONCATENATE(Cool_Type," ",Heating_Type," Heat"),IF('Project Info and Summary'!$C$20="Non-Electric",CONCATENATE(Cool_Type," ",Heating_Type," Heat"),CONCATENATE(Cool_Type," ",Heating_Type))))))))</f>
        <v/>
      </c>
      <c r="N256" s="298" t="str">
        <f t="shared" si="15"/>
        <v/>
      </c>
      <c r="O256" s="298" t="str">
        <f>IF(B256="", "", 'Lighting Inventory (Ref only)'!G267)</f>
        <v/>
      </c>
      <c r="P256" s="298" t="str">
        <f>IF(B256="", "", 'Lighting Inventory (Ref only)'!E267)</f>
        <v/>
      </c>
      <c r="Q256" s="298" t="str">
        <f>IF(B256="", "", 'Lighting Inventory (Ref only)'!J267)</f>
        <v/>
      </c>
      <c r="R256" s="298" t="str">
        <f>IF(B256="", "",'Lighting Inventory (Ref only)'!K267)</f>
        <v/>
      </c>
      <c r="S256" s="372" t="str">
        <f>IF(B256="", "", 'Lighting Inventory (Ref only)'!G267*'Lighting Inventory (Ref only)'!K267/1000)</f>
        <v/>
      </c>
      <c r="T256" s="298" t="str">
        <f>IF(B256="", "", IF('Lighting Inventory (Ref only)'!I267="", "Light Switch",Inventory!H264))</f>
        <v/>
      </c>
      <c r="W256" s="373"/>
      <c r="X256" s="298" t="str">
        <f>IF(B256="", "", 'Lighting Inventory (Ref only)'!Q267)</f>
        <v/>
      </c>
      <c r="Z256" s="374"/>
      <c r="AA256" s="372" t="str">
        <f>IF(B256="", "",'Lighting Inventory (Ref only)'!R267/1000)</f>
        <v/>
      </c>
      <c r="AB256" s="372" t="str">
        <f>IF(B256="", "", Inventory!M264)</f>
        <v/>
      </c>
      <c r="AC256" s="374" t="str">
        <f>IF(B256="", "", 'Lighting Inventory (Ref only)'!T267)</f>
        <v/>
      </c>
      <c r="AD256" s="374" t="str">
        <f>IF(C256="", "", 'Lighting Inventory (Ref only)'!AA267)</f>
        <v/>
      </c>
      <c r="AE256" s="375" t="str">
        <f>IF(B256="", "", 'Lighting Inventory (Ref only)'!U267)</f>
        <v/>
      </c>
      <c r="AF256" s="375" t="str">
        <f>IF(B256="", "",'Lighting Inventory (Ref only)'!W267)</f>
        <v/>
      </c>
      <c r="AG256" s="375"/>
      <c r="AH256" s="375" t="str">
        <f>IF(B256="", "",'Lighting Inventory (Ref only)'!Z267)</f>
        <v/>
      </c>
      <c r="AI256" s="375" t="str">
        <f>IF(B256="", "", 'Lighting Inventory (Ref only)'!Y267)</f>
        <v/>
      </c>
      <c r="AJ256" s="375" t="str">
        <f>IF(C256="", "",'Lighting Inventory (Ref only)'!AB267)</f>
        <v/>
      </c>
      <c r="AK256" s="375" t="str">
        <f>IF(B256="", "", 'Lighting Inventory (Ref only)'!AG267)</f>
        <v/>
      </c>
      <c r="AL256" s="375" t="str">
        <f>IF(B256="", "", 'Lighting Inventory (Ref only)'!AD267)</f>
        <v/>
      </c>
      <c r="AM256" s="375" t="str">
        <f>IF(B256="", "", 'Lighting Inventory (Ref only)'!AE267)</f>
        <v/>
      </c>
      <c r="AN256" s="375" t="str">
        <f>IF(B256="", "", 'Lighting Inventory (Ref only)'!AF267)</f>
        <v/>
      </c>
      <c r="AO256" s="375" t="str">
        <f>IF(B256="", "", 'Lighting Inventory (Ref only)'!AG267)</f>
        <v/>
      </c>
    </row>
    <row r="257" spans="1:41">
      <c r="A257" s="298" t="str">
        <f>IF(G257="", "", Lookups!BF259)</f>
        <v/>
      </c>
      <c r="B257" s="298" t="str">
        <f>IF('Lighting Inventory (Ref only)'!Q268="", "", 'Lighting Inventory (Ref only)'!Q268)</f>
        <v/>
      </c>
      <c r="C257" s="298" t="str">
        <f>IF(A257="", "", 'Lighting Inventory (Ref only)'!AO268)</f>
        <v/>
      </c>
      <c r="D257" s="370" t="str">
        <f>IF(B257= "","", Inventory!S265)</f>
        <v/>
      </c>
      <c r="E257" s="371"/>
      <c r="F257" s="298" t="str">
        <f>IF(B257="", "", 'Version Log'!$B$34)</f>
        <v/>
      </c>
      <c r="G257" s="298" t="str">
        <f t="shared" si="12"/>
        <v/>
      </c>
      <c r="H257" s="298" t="str">
        <f t="shared" si="13"/>
        <v/>
      </c>
      <c r="I257" s="298" t="str">
        <f>IF(B257="", "",Inventory!D265)</f>
        <v/>
      </c>
      <c r="J257" s="298" t="str">
        <f>IF(B257="","",IF(Inventory!C265="N","Interior","Exterior"))</f>
        <v/>
      </c>
      <c r="K257" s="298" t="str">
        <f t="shared" si="14"/>
        <v/>
      </c>
      <c r="L257" s="298" t="str">
        <f>IF(B257="", "", Inventory!E265)</f>
        <v/>
      </c>
      <c r="M257" s="298" t="str">
        <f>IF(B257="","",IF(Cool_Type=Lookups!$L$9,Cool_Type,IF(Cool_Type=Lookups!$L$10,Cool_Type,IF(Cool_Type=Lookups!$L$11,Cool_Type,IF(Cool_Type=Lookups!L267,Cool_Type,IF('Project Info and Summary'!$C$20="Electric",CONCATENATE(Cool_Type," ",Heating_Type," Heat"),IF('Project Info and Summary'!$C$20="Non-Electric",CONCATENATE(Cool_Type," ",Heating_Type," Heat"),CONCATENATE(Cool_Type," ",Heating_Type))))))))</f>
        <v/>
      </c>
      <c r="N257" s="298" t="str">
        <f t="shared" si="15"/>
        <v/>
      </c>
      <c r="O257" s="298" t="str">
        <f>IF(B257="", "", 'Lighting Inventory (Ref only)'!G268)</f>
        <v/>
      </c>
      <c r="P257" s="298" t="str">
        <f>IF(B257="", "", 'Lighting Inventory (Ref only)'!E268)</f>
        <v/>
      </c>
      <c r="Q257" s="298" t="str">
        <f>IF(B257="", "", 'Lighting Inventory (Ref only)'!J268)</f>
        <v/>
      </c>
      <c r="R257" s="298" t="str">
        <f>IF(B257="", "",'Lighting Inventory (Ref only)'!K268)</f>
        <v/>
      </c>
      <c r="S257" s="372" t="str">
        <f>IF(B257="", "", 'Lighting Inventory (Ref only)'!G268*'Lighting Inventory (Ref only)'!K268/1000)</f>
        <v/>
      </c>
      <c r="T257" s="298" t="str">
        <f>IF(B257="", "", IF('Lighting Inventory (Ref only)'!I268="", "Light Switch",Inventory!H265))</f>
        <v/>
      </c>
      <c r="W257" s="373"/>
      <c r="X257" s="298" t="str">
        <f>IF(B257="", "", 'Lighting Inventory (Ref only)'!Q268)</f>
        <v/>
      </c>
      <c r="Z257" s="374"/>
      <c r="AA257" s="372" t="str">
        <f>IF(B257="", "",'Lighting Inventory (Ref only)'!R268/1000)</f>
        <v/>
      </c>
      <c r="AB257" s="372" t="str">
        <f>IF(B257="", "", Inventory!M265)</f>
        <v/>
      </c>
      <c r="AC257" s="374" t="str">
        <f>IF(B257="", "", 'Lighting Inventory (Ref only)'!T268)</f>
        <v/>
      </c>
      <c r="AD257" s="374" t="str">
        <f>IF(C257="", "", 'Lighting Inventory (Ref only)'!AA268)</f>
        <v/>
      </c>
      <c r="AE257" s="375" t="str">
        <f>IF(B257="", "", 'Lighting Inventory (Ref only)'!U268)</f>
        <v/>
      </c>
      <c r="AF257" s="375" t="str">
        <f>IF(B257="", "",'Lighting Inventory (Ref only)'!W268)</f>
        <v/>
      </c>
      <c r="AG257" s="375"/>
      <c r="AH257" s="375" t="str">
        <f>IF(B257="", "",'Lighting Inventory (Ref only)'!Z268)</f>
        <v/>
      </c>
      <c r="AI257" s="375" t="str">
        <f>IF(B257="", "", 'Lighting Inventory (Ref only)'!Y268)</f>
        <v/>
      </c>
      <c r="AJ257" s="375" t="str">
        <f>IF(C257="", "",'Lighting Inventory (Ref only)'!AB268)</f>
        <v/>
      </c>
      <c r="AK257" s="375" t="str">
        <f>IF(B257="", "", 'Lighting Inventory (Ref only)'!AG268)</f>
        <v/>
      </c>
      <c r="AL257" s="375" t="str">
        <f>IF(B257="", "", 'Lighting Inventory (Ref only)'!AD268)</f>
        <v/>
      </c>
      <c r="AM257" s="375" t="str">
        <f>IF(B257="", "", 'Lighting Inventory (Ref only)'!AE268)</f>
        <v/>
      </c>
      <c r="AN257" s="375" t="str">
        <f>IF(B257="", "", 'Lighting Inventory (Ref only)'!AF268)</f>
        <v/>
      </c>
      <c r="AO257" s="375" t="str">
        <f>IF(B257="", "", 'Lighting Inventory (Ref only)'!AG268)</f>
        <v/>
      </c>
    </row>
    <row r="258" spans="1:41">
      <c r="A258" s="298" t="str">
        <f>IF(G258="", "", Lookups!BF260)</f>
        <v/>
      </c>
      <c r="B258" s="298" t="str">
        <f>IF('Lighting Inventory (Ref only)'!Q269="", "", 'Lighting Inventory (Ref only)'!Q269)</f>
        <v/>
      </c>
      <c r="C258" s="298" t="str">
        <f>IF(A258="", "", 'Lighting Inventory (Ref only)'!AO269)</f>
        <v/>
      </c>
      <c r="D258" s="370" t="str">
        <f>IF(B258= "","", Inventory!S266)</f>
        <v/>
      </c>
      <c r="E258" s="371"/>
      <c r="F258" s="298" t="str">
        <f>IF(B258="", "", 'Version Log'!$B$34)</f>
        <v/>
      </c>
      <c r="G258" s="298" t="str">
        <f t="shared" ref="G258:G321" si="16">IF(B258="", "", PRJ_Type)</f>
        <v/>
      </c>
      <c r="H258" s="298" t="str">
        <f t="shared" ref="H258:H321" si="17">IF(B258="", "", SqFt)</f>
        <v/>
      </c>
      <c r="I258" s="298" t="str">
        <f>IF(B258="", "",Inventory!D266)</f>
        <v/>
      </c>
      <c r="J258" s="298" t="str">
        <f>IF(B258="","",IF(Inventory!C266="N","Interior","Exterior"))</f>
        <v/>
      </c>
      <c r="K258" s="298" t="str">
        <f t="shared" ref="K258:K321" si="18">IF(B258="", "", Building_Type)</f>
        <v/>
      </c>
      <c r="L258" s="298" t="str">
        <f>IF(B258="", "", Inventory!E266)</f>
        <v/>
      </c>
      <c r="M258" s="298" t="str">
        <f>IF(B258="","",IF(Cool_Type=Lookups!$L$9,Cool_Type,IF(Cool_Type=Lookups!$L$10,Cool_Type,IF(Cool_Type=Lookups!$L$11,Cool_Type,IF(Cool_Type=Lookups!L268,Cool_Type,IF('Project Info and Summary'!$C$20="Electric",CONCATENATE(Cool_Type," ",Heating_Type," Heat"),IF('Project Info and Summary'!$C$20="Non-Electric",CONCATENATE(Cool_Type," ",Heating_Type," Heat"),CONCATENATE(Cool_Type," ",Heating_Type))))))))</f>
        <v/>
      </c>
      <c r="N258" s="298" t="str">
        <f t="shared" ref="N258:N321" si="19">IF(B258="", "",Heating_Type)</f>
        <v/>
      </c>
      <c r="O258" s="298" t="str">
        <f>IF(B258="", "", 'Lighting Inventory (Ref only)'!G269)</f>
        <v/>
      </c>
      <c r="P258" s="298" t="str">
        <f>IF(B258="", "", 'Lighting Inventory (Ref only)'!E269)</f>
        <v/>
      </c>
      <c r="Q258" s="298" t="str">
        <f>IF(B258="", "", 'Lighting Inventory (Ref only)'!J269)</f>
        <v/>
      </c>
      <c r="R258" s="298" t="str">
        <f>IF(B258="", "",'Lighting Inventory (Ref only)'!K269)</f>
        <v/>
      </c>
      <c r="S258" s="372" t="str">
        <f>IF(B258="", "", 'Lighting Inventory (Ref only)'!G269*'Lighting Inventory (Ref only)'!K269/1000)</f>
        <v/>
      </c>
      <c r="T258" s="298" t="str">
        <f>IF(B258="", "", IF('Lighting Inventory (Ref only)'!I269="", "Light Switch",Inventory!H266))</f>
        <v/>
      </c>
      <c r="W258" s="373"/>
      <c r="X258" s="298" t="str">
        <f>IF(B258="", "", 'Lighting Inventory (Ref only)'!Q269)</f>
        <v/>
      </c>
      <c r="Z258" s="374"/>
      <c r="AA258" s="372" t="str">
        <f>IF(B258="", "",'Lighting Inventory (Ref only)'!R269/1000)</f>
        <v/>
      </c>
      <c r="AB258" s="372" t="str">
        <f>IF(B258="", "", Inventory!M266)</f>
        <v/>
      </c>
      <c r="AC258" s="374" t="str">
        <f>IF(B258="", "", 'Lighting Inventory (Ref only)'!T269)</f>
        <v/>
      </c>
      <c r="AD258" s="374" t="str">
        <f>IF(C258="", "", 'Lighting Inventory (Ref only)'!AA269)</f>
        <v/>
      </c>
      <c r="AE258" s="375" t="str">
        <f>IF(B258="", "", 'Lighting Inventory (Ref only)'!U269)</f>
        <v/>
      </c>
      <c r="AF258" s="375" t="str">
        <f>IF(B258="", "",'Lighting Inventory (Ref only)'!W269)</f>
        <v/>
      </c>
      <c r="AG258" s="375"/>
      <c r="AH258" s="375" t="str">
        <f>IF(B258="", "",'Lighting Inventory (Ref only)'!Z269)</f>
        <v/>
      </c>
      <c r="AI258" s="375" t="str">
        <f>IF(B258="", "", 'Lighting Inventory (Ref only)'!Y269)</f>
        <v/>
      </c>
      <c r="AJ258" s="375" t="str">
        <f>IF(C258="", "",'Lighting Inventory (Ref only)'!AB269)</f>
        <v/>
      </c>
      <c r="AK258" s="375" t="str">
        <f>IF(B258="", "", 'Lighting Inventory (Ref only)'!AG269)</f>
        <v/>
      </c>
      <c r="AL258" s="375" t="str">
        <f>IF(B258="", "", 'Lighting Inventory (Ref only)'!AD269)</f>
        <v/>
      </c>
      <c r="AM258" s="375" t="str">
        <f>IF(B258="", "", 'Lighting Inventory (Ref only)'!AE269)</f>
        <v/>
      </c>
      <c r="AN258" s="375" t="str">
        <f>IF(B258="", "", 'Lighting Inventory (Ref only)'!AF269)</f>
        <v/>
      </c>
      <c r="AO258" s="375" t="str">
        <f>IF(B258="", "", 'Lighting Inventory (Ref only)'!AG269)</f>
        <v/>
      </c>
    </row>
    <row r="259" spans="1:41">
      <c r="A259" s="298" t="str">
        <f>IF(G259="", "", Lookups!BF261)</f>
        <v/>
      </c>
      <c r="B259" s="298" t="str">
        <f>IF('Lighting Inventory (Ref only)'!Q270="", "", 'Lighting Inventory (Ref only)'!Q270)</f>
        <v/>
      </c>
      <c r="C259" s="298" t="str">
        <f>IF(A259="", "", 'Lighting Inventory (Ref only)'!AO270)</f>
        <v/>
      </c>
      <c r="D259" s="370" t="str">
        <f>IF(B259= "","", Inventory!S267)</f>
        <v/>
      </c>
      <c r="E259" s="371"/>
      <c r="F259" s="298" t="str">
        <f>IF(B259="", "", 'Version Log'!$B$34)</f>
        <v/>
      </c>
      <c r="G259" s="298" t="str">
        <f t="shared" si="16"/>
        <v/>
      </c>
      <c r="H259" s="298" t="str">
        <f t="shared" si="17"/>
        <v/>
      </c>
      <c r="I259" s="298" t="str">
        <f>IF(B259="", "",Inventory!D267)</f>
        <v/>
      </c>
      <c r="J259" s="298" t="str">
        <f>IF(B259="","",IF(Inventory!C267="N","Interior","Exterior"))</f>
        <v/>
      </c>
      <c r="K259" s="298" t="str">
        <f t="shared" si="18"/>
        <v/>
      </c>
      <c r="L259" s="298" t="str">
        <f>IF(B259="", "", Inventory!E267)</f>
        <v/>
      </c>
      <c r="M259" s="298" t="str">
        <f>IF(B259="","",IF(Cool_Type=Lookups!$L$9,Cool_Type,IF(Cool_Type=Lookups!$L$10,Cool_Type,IF(Cool_Type=Lookups!$L$11,Cool_Type,IF(Cool_Type=Lookups!L269,Cool_Type,IF('Project Info and Summary'!$C$20="Electric",CONCATENATE(Cool_Type," ",Heating_Type," Heat"),IF('Project Info and Summary'!$C$20="Non-Electric",CONCATENATE(Cool_Type," ",Heating_Type," Heat"),CONCATENATE(Cool_Type," ",Heating_Type))))))))</f>
        <v/>
      </c>
      <c r="N259" s="298" t="str">
        <f t="shared" si="19"/>
        <v/>
      </c>
      <c r="O259" s="298" t="str">
        <f>IF(B259="", "", 'Lighting Inventory (Ref only)'!G270)</f>
        <v/>
      </c>
      <c r="P259" s="298" t="str">
        <f>IF(B259="", "", 'Lighting Inventory (Ref only)'!E270)</f>
        <v/>
      </c>
      <c r="Q259" s="298" t="str">
        <f>IF(B259="", "", 'Lighting Inventory (Ref only)'!J270)</f>
        <v/>
      </c>
      <c r="R259" s="298" t="str">
        <f>IF(B259="", "",'Lighting Inventory (Ref only)'!K270)</f>
        <v/>
      </c>
      <c r="S259" s="372" t="str">
        <f>IF(B259="", "", 'Lighting Inventory (Ref only)'!G270*'Lighting Inventory (Ref only)'!K270/1000)</f>
        <v/>
      </c>
      <c r="T259" s="298" t="str">
        <f>IF(B259="", "", IF('Lighting Inventory (Ref only)'!I270="", "Light Switch",Inventory!H267))</f>
        <v/>
      </c>
      <c r="W259" s="373"/>
      <c r="X259" s="298" t="str">
        <f>IF(B259="", "", 'Lighting Inventory (Ref only)'!Q270)</f>
        <v/>
      </c>
      <c r="Z259" s="374"/>
      <c r="AA259" s="372" t="str">
        <f>IF(B259="", "",'Lighting Inventory (Ref only)'!R270/1000)</f>
        <v/>
      </c>
      <c r="AB259" s="372" t="str">
        <f>IF(B259="", "", Inventory!M267)</f>
        <v/>
      </c>
      <c r="AC259" s="374" t="str">
        <f>IF(B259="", "", 'Lighting Inventory (Ref only)'!T270)</f>
        <v/>
      </c>
      <c r="AD259" s="374" t="str">
        <f>IF(C259="", "", 'Lighting Inventory (Ref only)'!AA270)</f>
        <v/>
      </c>
      <c r="AE259" s="375" t="str">
        <f>IF(B259="", "", 'Lighting Inventory (Ref only)'!U270)</f>
        <v/>
      </c>
      <c r="AF259" s="375" t="str">
        <f>IF(B259="", "",'Lighting Inventory (Ref only)'!W270)</f>
        <v/>
      </c>
      <c r="AG259" s="375"/>
      <c r="AH259" s="375" t="str">
        <f>IF(B259="", "",'Lighting Inventory (Ref only)'!Z270)</f>
        <v/>
      </c>
      <c r="AI259" s="375" t="str">
        <f>IF(B259="", "", 'Lighting Inventory (Ref only)'!Y270)</f>
        <v/>
      </c>
      <c r="AJ259" s="375" t="str">
        <f>IF(C259="", "",'Lighting Inventory (Ref only)'!AB270)</f>
        <v/>
      </c>
      <c r="AK259" s="375" t="str">
        <f>IF(B259="", "", 'Lighting Inventory (Ref only)'!AG270)</f>
        <v/>
      </c>
      <c r="AL259" s="375" t="str">
        <f>IF(B259="", "", 'Lighting Inventory (Ref only)'!AD270)</f>
        <v/>
      </c>
      <c r="AM259" s="375" t="str">
        <f>IF(B259="", "", 'Lighting Inventory (Ref only)'!AE270)</f>
        <v/>
      </c>
      <c r="AN259" s="375" t="str">
        <f>IF(B259="", "", 'Lighting Inventory (Ref only)'!AF270)</f>
        <v/>
      </c>
      <c r="AO259" s="375" t="str">
        <f>IF(B259="", "", 'Lighting Inventory (Ref only)'!AG270)</f>
        <v/>
      </c>
    </row>
    <row r="260" spans="1:41">
      <c r="A260" s="298" t="str">
        <f>IF(G260="", "", Lookups!BF262)</f>
        <v/>
      </c>
      <c r="B260" s="298" t="str">
        <f>IF('Lighting Inventory (Ref only)'!Q271="", "", 'Lighting Inventory (Ref only)'!Q271)</f>
        <v/>
      </c>
      <c r="C260" s="298" t="str">
        <f>IF(A260="", "", 'Lighting Inventory (Ref only)'!AO271)</f>
        <v/>
      </c>
      <c r="D260" s="370" t="str">
        <f>IF(B260= "","", Inventory!S268)</f>
        <v/>
      </c>
      <c r="E260" s="371"/>
      <c r="F260" s="298" t="str">
        <f>IF(B260="", "", 'Version Log'!$B$34)</f>
        <v/>
      </c>
      <c r="G260" s="298" t="str">
        <f t="shared" si="16"/>
        <v/>
      </c>
      <c r="H260" s="298" t="str">
        <f t="shared" si="17"/>
        <v/>
      </c>
      <c r="I260" s="298" t="str">
        <f>IF(B260="", "",Inventory!D268)</f>
        <v/>
      </c>
      <c r="J260" s="298" t="str">
        <f>IF(B260="","",IF(Inventory!C268="N","Interior","Exterior"))</f>
        <v/>
      </c>
      <c r="K260" s="298" t="str">
        <f t="shared" si="18"/>
        <v/>
      </c>
      <c r="L260" s="298" t="str">
        <f>IF(B260="", "", Inventory!E268)</f>
        <v/>
      </c>
      <c r="M260" s="298" t="str">
        <f>IF(B260="","",IF(Cool_Type=Lookups!$L$9,Cool_Type,IF(Cool_Type=Lookups!$L$10,Cool_Type,IF(Cool_Type=Lookups!$L$11,Cool_Type,IF(Cool_Type=Lookups!L270,Cool_Type,IF('Project Info and Summary'!$C$20="Electric",CONCATENATE(Cool_Type," ",Heating_Type," Heat"),IF('Project Info and Summary'!$C$20="Non-Electric",CONCATENATE(Cool_Type," ",Heating_Type," Heat"),CONCATENATE(Cool_Type," ",Heating_Type))))))))</f>
        <v/>
      </c>
      <c r="N260" s="298" t="str">
        <f t="shared" si="19"/>
        <v/>
      </c>
      <c r="O260" s="298" t="str">
        <f>IF(B260="", "", 'Lighting Inventory (Ref only)'!G271)</f>
        <v/>
      </c>
      <c r="P260" s="298" t="str">
        <f>IF(B260="", "", 'Lighting Inventory (Ref only)'!E271)</f>
        <v/>
      </c>
      <c r="Q260" s="298" t="str">
        <f>IF(B260="", "", 'Lighting Inventory (Ref only)'!J271)</f>
        <v/>
      </c>
      <c r="R260" s="298" t="str">
        <f>IF(B260="", "",'Lighting Inventory (Ref only)'!K271)</f>
        <v/>
      </c>
      <c r="S260" s="372" t="str">
        <f>IF(B260="", "", 'Lighting Inventory (Ref only)'!G271*'Lighting Inventory (Ref only)'!K271/1000)</f>
        <v/>
      </c>
      <c r="T260" s="298" t="str">
        <f>IF(B260="", "", IF('Lighting Inventory (Ref only)'!I271="", "Light Switch",Inventory!H268))</f>
        <v/>
      </c>
      <c r="W260" s="373"/>
      <c r="X260" s="298" t="str">
        <f>IF(B260="", "", 'Lighting Inventory (Ref only)'!Q271)</f>
        <v/>
      </c>
      <c r="Z260" s="374"/>
      <c r="AA260" s="372" t="str">
        <f>IF(B260="", "",'Lighting Inventory (Ref only)'!R271/1000)</f>
        <v/>
      </c>
      <c r="AB260" s="372" t="str">
        <f>IF(B260="", "", Inventory!M268)</f>
        <v/>
      </c>
      <c r="AC260" s="374" t="str">
        <f>IF(B260="", "", 'Lighting Inventory (Ref only)'!T271)</f>
        <v/>
      </c>
      <c r="AD260" s="374" t="str">
        <f>IF(C260="", "", 'Lighting Inventory (Ref only)'!AA271)</f>
        <v/>
      </c>
      <c r="AE260" s="375" t="str">
        <f>IF(B260="", "", 'Lighting Inventory (Ref only)'!U271)</f>
        <v/>
      </c>
      <c r="AF260" s="375" t="str">
        <f>IF(B260="", "",'Lighting Inventory (Ref only)'!W271)</f>
        <v/>
      </c>
      <c r="AG260" s="375"/>
      <c r="AH260" s="375" t="str">
        <f>IF(B260="", "",'Lighting Inventory (Ref only)'!Z271)</f>
        <v/>
      </c>
      <c r="AI260" s="375" t="str">
        <f>IF(B260="", "", 'Lighting Inventory (Ref only)'!Y271)</f>
        <v/>
      </c>
      <c r="AJ260" s="375" t="str">
        <f>IF(C260="", "",'Lighting Inventory (Ref only)'!AB271)</f>
        <v/>
      </c>
      <c r="AK260" s="375" t="str">
        <f>IF(B260="", "", 'Lighting Inventory (Ref only)'!AG271)</f>
        <v/>
      </c>
      <c r="AL260" s="375" t="str">
        <f>IF(B260="", "", 'Lighting Inventory (Ref only)'!AD271)</f>
        <v/>
      </c>
      <c r="AM260" s="375" t="str">
        <f>IF(B260="", "", 'Lighting Inventory (Ref only)'!AE271)</f>
        <v/>
      </c>
      <c r="AN260" s="375" t="str">
        <f>IF(B260="", "", 'Lighting Inventory (Ref only)'!AF271)</f>
        <v/>
      </c>
      <c r="AO260" s="375" t="str">
        <f>IF(B260="", "", 'Lighting Inventory (Ref only)'!AG271)</f>
        <v/>
      </c>
    </row>
    <row r="261" spans="1:41">
      <c r="A261" s="298" t="str">
        <f>IF(G261="", "", Lookups!BF263)</f>
        <v/>
      </c>
      <c r="B261" s="298" t="str">
        <f>IF('Lighting Inventory (Ref only)'!Q272="", "", 'Lighting Inventory (Ref only)'!Q272)</f>
        <v/>
      </c>
      <c r="C261" s="298" t="str">
        <f>IF(A261="", "", 'Lighting Inventory (Ref only)'!AO272)</f>
        <v/>
      </c>
      <c r="D261" s="370" t="str">
        <f>IF(B261= "","", Inventory!S269)</f>
        <v/>
      </c>
      <c r="E261" s="371"/>
      <c r="F261" s="298" t="str">
        <f>IF(B261="", "", 'Version Log'!$B$34)</f>
        <v/>
      </c>
      <c r="G261" s="298" t="str">
        <f t="shared" si="16"/>
        <v/>
      </c>
      <c r="H261" s="298" t="str">
        <f t="shared" si="17"/>
        <v/>
      </c>
      <c r="I261" s="298" t="str">
        <f>IF(B261="", "",Inventory!D269)</f>
        <v/>
      </c>
      <c r="J261" s="298" t="str">
        <f>IF(B261="","",IF(Inventory!C269="N","Interior","Exterior"))</f>
        <v/>
      </c>
      <c r="K261" s="298" t="str">
        <f t="shared" si="18"/>
        <v/>
      </c>
      <c r="L261" s="298" t="str">
        <f>IF(B261="", "", Inventory!E269)</f>
        <v/>
      </c>
      <c r="M261" s="298" t="str">
        <f>IF(B261="","",IF(Cool_Type=Lookups!$L$9,Cool_Type,IF(Cool_Type=Lookups!$L$10,Cool_Type,IF(Cool_Type=Lookups!$L$11,Cool_Type,IF(Cool_Type=Lookups!L271,Cool_Type,IF('Project Info and Summary'!$C$20="Electric",CONCATENATE(Cool_Type," ",Heating_Type," Heat"),IF('Project Info and Summary'!$C$20="Non-Electric",CONCATENATE(Cool_Type," ",Heating_Type," Heat"),CONCATENATE(Cool_Type," ",Heating_Type))))))))</f>
        <v/>
      </c>
      <c r="N261" s="298" t="str">
        <f t="shared" si="19"/>
        <v/>
      </c>
      <c r="O261" s="298" t="str">
        <f>IF(B261="", "", 'Lighting Inventory (Ref only)'!G272)</f>
        <v/>
      </c>
      <c r="P261" s="298" t="str">
        <f>IF(B261="", "", 'Lighting Inventory (Ref only)'!E272)</f>
        <v/>
      </c>
      <c r="Q261" s="298" t="str">
        <f>IF(B261="", "", 'Lighting Inventory (Ref only)'!J272)</f>
        <v/>
      </c>
      <c r="R261" s="298" t="str">
        <f>IF(B261="", "",'Lighting Inventory (Ref only)'!K272)</f>
        <v/>
      </c>
      <c r="S261" s="372" t="str">
        <f>IF(B261="", "", 'Lighting Inventory (Ref only)'!G272*'Lighting Inventory (Ref only)'!K272/1000)</f>
        <v/>
      </c>
      <c r="T261" s="298" t="str">
        <f>IF(B261="", "", IF('Lighting Inventory (Ref only)'!I272="", "Light Switch",Inventory!H269))</f>
        <v/>
      </c>
      <c r="W261" s="373"/>
      <c r="X261" s="298" t="str">
        <f>IF(B261="", "", 'Lighting Inventory (Ref only)'!Q272)</f>
        <v/>
      </c>
      <c r="Z261" s="374"/>
      <c r="AA261" s="372" t="str">
        <f>IF(B261="", "",'Lighting Inventory (Ref only)'!R272/1000)</f>
        <v/>
      </c>
      <c r="AB261" s="372" t="str">
        <f>IF(B261="", "", Inventory!M269)</f>
        <v/>
      </c>
      <c r="AC261" s="374" t="str">
        <f>IF(B261="", "", 'Lighting Inventory (Ref only)'!T272)</f>
        <v/>
      </c>
      <c r="AD261" s="374" t="str">
        <f>IF(C261="", "", 'Lighting Inventory (Ref only)'!AA272)</f>
        <v/>
      </c>
      <c r="AE261" s="375" t="str">
        <f>IF(B261="", "", 'Lighting Inventory (Ref only)'!U272)</f>
        <v/>
      </c>
      <c r="AF261" s="375" t="str">
        <f>IF(B261="", "",'Lighting Inventory (Ref only)'!W272)</f>
        <v/>
      </c>
      <c r="AG261" s="375"/>
      <c r="AH261" s="375" t="str">
        <f>IF(B261="", "",'Lighting Inventory (Ref only)'!Z272)</f>
        <v/>
      </c>
      <c r="AI261" s="375" t="str">
        <f>IF(B261="", "", 'Lighting Inventory (Ref only)'!Y272)</f>
        <v/>
      </c>
      <c r="AJ261" s="375" t="str">
        <f>IF(C261="", "",'Lighting Inventory (Ref only)'!AB272)</f>
        <v/>
      </c>
      <c r="AK261" s="375" t="str">
        <f>IF(B261="", "", 'Lighting Inventory (Ref only)'!AG272)</f>
        <v/>
      </c>
      <c r="AL261" s="375" t="str">
        <f>IF(B261="", "", 'Lighting Inventory (Ref only)'!AD272)</f>
        <v/>
      </c>
      <c r="AM261" s="375" t="str">
        <f>IF(B261="", "", 'Lighting Inventory (Ref only)'!AE272)</f>
        <v/>
      </c>
      <c r="AN261" s="375" t="str">
        <f>IF(B261="", "", 'Lighting Inventory (Ref only)'!AF272)</f>
        <v/>
      </c>
      <c r="AO261" s="375" t="str">
        <f>IF(B261="", "", 'Lighting Inventory (Ref only)'!AG272)</f>
        <v/>
      </c>
    </row>
    <row r="262" spans="1:41">
      <c r="A262" s="298" t="str">
        <f>IF(G262="", "", Lookups!BF264)</f>
        <v/>
      </c>
      <c r="B262" s="298" t="str">
        <f>IF('Lighting Inventory (Ref only)'!Q273="", "", 'Lighting Inventory (Ref only)'!Q273)</f>
        <v/>
      </c>
      <c r="C262" s="298" t="str">
        <f>IF(A262="", "", 'Lighting Inventory (Ref only)'!AO273)</f>
        <v/>
      </c>
      <c r="D262" s="370" t="str">
        <f>IF(B262= "","", Inventory!S270)</f>
        <v/>
      </c>
      <c r="E262" s="371"/>
      <c r="F262" s="298" t="str">
        <f>IF(B262="", "", 'Version Log'!$B$34)</f>
        <v/>
      </c>
      <c r="G262" s="298" t="str">
        <f t="shared" si="16"/>
        <v/>
      </c>
      <c r="H262" s="298" t="str">
        <f t="shared" si="17"/>
        <v/>
      </c>
      <c r="I262" s="298" t="str">
        <f>IF(B262="", "",Inventory!D270)</f>
        <v/>
      </c>
      <c r="J262" s="298" t="str">
        <f>IF(B262="","",IF(Inventory!C270="N","Interior","Exterior"))</f>
        <v/>
      </c>
      <c r="K262" s="298" t="str">
        <f t="shared" si="18"/>
        <v/>
      </c>
      <c r="L262" s="298" t="str">
        <f>IF(B262="", "", Inventory!E270)</f>
        <v/>
      </c>
      <c r="M262" s="298" t="str">
        <f>IF(B262="","",IF(Cool_Type=Lookups!$L$9,Cool_Type,IF(Cool_Type=Lookups!$L$10,Cool_Type,IF(Cool_Type=Lookups!$L$11,Cool_Type,IF(Cool_Type=Lookups!L272,Cool_Type,IF('Project Info and Summary'!$C$20="Electric",CONCATENATE(Cool_Type," ",Heating_Type," Heat"),IF('Project Info and Summary'!$C$20="Non-Electric",CONCATENATE(Cool_Type," ",Heating_Type," Heat"),CONCATENATE(Cool_Type," ",Heating_Type))))))))</f>
        <v/>
      </c>
      <c r="N262" s="298" t="str">
        <f t="shared" si="19"/>
        <v/>
      </c>
      <c r="O262" s="298" t="str">
        <f>IF(B262="", "", 'Lighting Inventory (Ref only)'!G273)</f>
        <v/>
      </c>
      <c r="P262" s="298" t="str">
        <f>IF(B262="", "", 'Lighting Inventory (Ref only)'!E273)</f>
        <v/>
      </c>
      <c r="Q262" s="298" t="str">
        <f>IF(B262="", "", 'Lighting Inventory (Ref only)'!J273)</f>
        <v/>
      </c>
      <c r="R262" s="298" t="str">
        <f>IF(B262="", "",'Lighting Inventory (Ref only)'!K273)</f>
        <v/>
      </c>
      <c r="S262" s="372" t="str">
        <f>IF(B262="", "", 'Lighting Inventory (Ref only)'!G273*'Lighting Inventory (Ref only)'!K273/1000)</f>
        <v/>
      </c>
      <c r="T262" s="298" t="str">
        <f>IF(B262="", "", IF('Lighting Inventory (Ref only)'!I273="", "Light Switch",Inventory!H270))</f>
        <v/>
      </c>
      <c r="W262" s="373"/>
      <c r="X262" s="298" t="str">
        <f>IF(B262="", "", 'Lighting Inventory (Ref only)'!Q273)</f>
        <v/>
      </c>
      <c r="Z262" s="374"/>
      <c r="AA262" s="372" t="str">
        <f>IF(B262="", "",'Lighting Inventory (Ref only)'!R273/1000)</f>
        <v/>
      </c>
      <c r="AB262" s="372" t="str">
        <f>IF(B262="", "", Inventory!M270)</f>
        <v/>
      </c>
      <c r="AC262" s="374" t="str">
        <f>IF(B262="", "", 'Lighting Inventory (Ref only)'!T273)</f>
        <v/>
      </c>
      <c r="AD262" s="374" t="str">
        <f>IF(C262="", "", 'Lighting Inventory (Ref only)'!AA273)</f>
        <v/>
      </c>
      <c r="AE262" s="375" t="str">
        <f>IF(B262="", "", 'Lighting Inventory (Ref only)'!U273)</f>
        <v/>
      </c>
      <c r="AF262" s="375" t="str">
        <f>IF(B262="", "",'Lighting Inventory (Ref only)'!W273)</f>
        <v/>
      </c>
      <c r="AG262" s="375"/>
      <c r="AH262" s="375" t="str">
        <f>IF(B262="", "",'Lighting Inventory (Ref only)'!Z273)</f>
        <v/>
      </c>
      <c r="AI262" s="375" t="str">
        <f>IF(B262="", "", 'Lighting Inventory (Ref only)'!Y273)</f>
        <v/>
      </c>
      <c r="AJ262" s="375" t="str">
        <f>IF(C262="", "",'Lighting Inventory (Ref only)'!AB273)</f>
        <v/>
      </c>
      <c r="AK262" s="375" t="str">
        <f>IF(B262="", "", 'Lighting Inventory (Ref only)'!AG273)</f>
        <v/>
      </c>
      <c r="AL262" s="375" t="str">
        <f>IF(B262="", "", 'Lighting Inventory (Ref only)'!AD273)</f>
        <v/>
      </c>
      <c r="AM262" s="375" t="str">
        <f>IF(B262="", "", 'Lighting Inventory (Ref only)'!AE273)</f>
        <v/>
      </c>
      <c r="AN262" s="375" t="str">
        <f>IF(B262="", "", 'Lighting Inventory (Ref only)'!AF273)</f>
        <v/>
      </c>
      <c r="AO262" s="375" t="str">
        <f>IF(B262="", "", 'Lighting Inventory (Ref only)'!AG273)</f>
        <v/>
      </c>
    </row>
    <row r="263" spans="1:41">
      <c r="A263" s="298" t="str">
        <f>IF(G263="", "", Lookups!BF265)</f>
        <v/>
      </c>
      <c r="B263" s="298" t="str">
        <f>IF('Lighting Inventory (Ref only)'!Q274="", "", 'Lighting Inventory (Ref only)'!Q274)</f>
        <v/>
      </c>
      <c r="C263" s="298" t="str">
        <f>IF(A263="", "", 'Lighting Inventory (Ref only)'!AO274)</f>
        <v/>
      </c>
      <c r="D263" s="370" t="str">
        <f>IF(B263= "","", Inventory!S271)</f>
        <v/>
      </c>
      <c r="E263" s="371"/>
      <c r="F263" s="298" t="str">
        <f>IF(B263="", "", 'Version Log'!$B$34)</f>
        <v/>
      </c>
      <c r="G263" s="298" t="str">
        <f t="shared" si="16"/>
        <v/>
      </c>
      <c r="H263" s="298" t="str">
        <f t="shared" si="17"/>
        <v/>
      </c>
      <c r="I263" s="298" t="str">
        <f>IF(B263="", "",Inventory!D271)</f>
        <v/>
      </c>
      <c r="J263" s="298" t="str">
        <f>IF(B263="","",IF(Inventory!C271="N","Interior","Exterior"))</f>
        <v/>
      </c>
      <c r="K263" s="298" t="str">
        <f t="shared" si="18"/>
        <v/>
      </c>
      <c r="L263" s="298" t="str">
        <f>IF(B263="", "", Inventory!E271)</f>
        <v/>
      </c>
      <c r="M263" s="298" t="str">
        <f>IF(B263="","",IF(Cool_Type=Lookups!$L$9,Cool_Type,IF(Cool_Type=Lookups!$L$10,Cool_Type,IF(Cool_Type=Lookups!$L$11,Cool_Type,IF(Cool_Type=Lookups!L273,Cool_Type,IF('Project Info and Summary'!$C$20="Electric",CONCATENATE(Cool_Type," ",Heating_Type," Heat"),IF('Project Info and Summary'!$C$20="Non-Electric",CONCATENATE(Cool_Type," ",Heating_Type," Heat"),CONCATENATE(Cool_Type," ",Heating_Type))))))))</f>
        <v/>
      </c>
      <c r="N263" s="298" t="str">
        <f t="shared" si="19"/>
        <v/>
      </c>
      <c r="O263" s="298" t="str">
        <f>IF(B263="", "", 'Lighting Inventory (Ref only)'!G274)</f>
        <v/>
      </c>
      <c r="P263" s="298" t="str">
        <f>IF(B263="", "", 'Lighting Inventory (Ref only)'!E274)</f>
        <v/>
      </c>
      <c r="Q263" s="298" t="str">
        <f>IF(B263="", "", 'Lighting Inventory (Ref only)'!J274)</f>
        <v/>
      </c>
      <c r="R263" s="298" t="str">
        <f>IF(B263="", "",'Lighting Inventory (Ref only)'!K274)</f>
        <v/>
      </c>
      <c r="S263" s="372" t="str">
        <f>IF(B263="", "", 'Lighting Inventory (Ref only)'!G274*'Lighting Inventory (Ref only)'!K274/1000)</f>
        <v/>
      </c>
      <c r="T263" s="298" t="str">
        <f>IF(B263="", "", IF('Lighting Inventory (Ref only)'!I274="", "Light Switch",Inventory!H271))</f>
        <v/>
      </c>
      <c r="W263" s="373"/>
      <c r="X263" s="298" t="str">
        <f>IF(B263="", "", 'Lighting Inventory (Ref only)'!Q274)</f>
        <v/>
      </c>
      <c r="Z263" s="374"/>
      <c r="AA263" s="372" t="str">
        <f>IF(B263="", "",'Lighting Inventory (Ref only)'!R274/1000)</f>
        <v/>
      </c>
      <c r="AB263" s="372" t="str">
        <f>IF(B263="", "", Inventory!M271)</f>
        <v/>
      </c>
      <c r="AC263" s="374" t="str">
        <f>IF(B263="", "", 'Lighting Inventory (Ref only)'!T274)</f>
        <v/>
      </c>
      <c r="AD263" s="374" t="str">
        <f>IF(C263="", "", 'Lighting Inventory (Ref only)'!AA274)</f>
        <v/>
      </c>
      <c r="AE263" s="375" t="str">
        <f>IF(B263="", "", 'Lighting Inventory (Ref only)'!U274)</f>
        <v/>
      </c>
      <c r="AF263" s="375" t="str">
        <f>IF(B263="", "",'Lighting Inventory (Ref only)'!W274)</f>
        <v/>
      </c>
      <c r="AG263" s="375"/>
      <c r="AH263" s="375" t="str">
        <f>IF(B263="", "",'Lighting Inventory (Ref only)'!Z274)</f>
        <v/>
      </c>
      <c r="AI263" s="375" t="str">
        <f>IF(B263="", "", 'Lighting Inventory (Ref only)'!Y274)</f>
        <v/>
      </c>
      <c r="AJ263" s="375" t="str">
        <f>IF(C263="", "",'Lighting Inventory (Ref only)'!AB274)</f>
        <v/>
      </c>
      <c r="AK263" s="375" t="str">
        <f>IF(B263="", "", 'Lighting Inventory (Ref only)'!AG274)</f>
        <v/>
      </c>
      <c r="AL263" s="375" t="str">
        <f>IF(B263="", "", 'Lighting Inventory (Ref only)'!AD274)</f>
        <v/>
      </c>
      <c r="AM263" s="375" t="str">
        <f>IF(B263="", "", 'Lighting Inventory (Ref only)'!AE274)</f>
        <v/>
      </c>
      <c r="AN263" s="375" t="str">
        <f>IF(B263="", "", 'Lighting Inventory (Ref only)'!AF274)</f>
        <v/>
      </c>
      <c r="AO263" s="375" t="str">
        <f>IF(B263="", "", 'Lighting Inventory (Ref only)'!AG274)</f>
        <v/>
      </c>
    </row>
    <row r="264" spans="1:41">
      <c r="A264" s="298" t="str">
        <f>IF(G264="", "", Lookups!BF266)</f>
        <v/>
      </c>
      <c r="B264" s="298" t="str">
        <f>IF('Lighting Inventory (Ref only)'!Q275="", "", 'Lighting Inventory (Ref only)'!Q275)</f>
        <v/>
      </c>
      <c r="C264" s="298" t="str">
        <f>IF(A264="", "", 'Lighting Inventory (Ref only)'!AO275)</f>
        <v/>
      </c>
      <c r="D264" s="370" t="str">
        <f>IF(B264= "","", Inventory!S272)</f>
        <v/>
      </c>
      <c r="E264" s="371"/>
      <c r="F264" s="298" t="str">
        <f>IF(B264="", "", 'Version Log'!$B$34)</f>
        <v/>
      </c>
      <c r="G264" s="298" t="str">
        <f t="shared" si="16"/>
        <v/>
      </c>
      <c r="H264" s="298" t="str">
        <f t="shared" si="17"/>
        <v/>
      </c>
      <c r="I264" s="298" t="str">
        <f>IF(B264="", "",Inventory!D272)</f>
        <v/>
      </c>
      <c r="J264" s="298" t="str">
        <f>IF(B264="","",IF(Inventory!C272="N","Interior","Exterior"))</f>
        <v/>
      </c>
      <c r="K264" s="298" t="str">
        <f t="shared" si="18"/>
        <v/>
      </c>
      <c r="L264" s="298" t="str">
        <f>IF(B264="", "", Inventory!E272)</f>
        <v/>
      </c>
      <c r="M264" s="298" t="str">
        <f>IF(B264="","",IF(Cool_Type=Lookups!$L$9,Cool_Type,IF(Cool_Type=Lookups!$L$10,Cool_Type,IF(Cool_Type=Lookups!$L$11,Cool_Type,IF(Cool_Type=Lookups!L274,Cool_Type,IF('Project Info and Summary'!$C$20="Electric",CONCATENATE(Cool_Type," ",Heating_Type," Heat"),IF('Project Info and Summary'!$C$20="Non-Electric",CONCATENATE(Cool_Type," ",Heating_Type," Heat"),CONCATENATE(Cool_Type," ",Heating_Type))))))))</f>
        <v/>
      </c>
      <c r="N264" s="298" t="str">
        <f t="shared" si="19"/>
        <v/>
      </c>
      <c r="O264" s="298" t="str">
        <f>IF(B264="", "", 'Lighting Inventory (Ref only)'!G275)</f>
        <v/>
      </c>
      <c r="P264" s="298" t="str">
        <f>IF(B264="", "", 'Lighting Inventory (Ref only)'!E275)</f>
        <v/>
      </c>
      <c r="Q264" s="298" t="str">
        <f>IF(B264="", "", 'Lighting Inventory (Ref only)'!J275)</f>
        <v/>
      </c>
      <c r="R264" s="298" t="str">
        <f>IF(B264="", "",'Lighting Inventory (Ref only)'!K275)</f>
        <v/>
      </c>
      <c r="S264" s="372" t="str">
        <f>IF(B264="", "", 'Lighting Inventory (Ref only)'!G275*'Lighting Inventory (Ref only)'!K275/1000)</f>
        <v/>
      </c>
      <c r="T264" s="298" t="str">
        <f>IF(B264="", "", IF('Lighting Inventory (Ref only)'!I275="", "Light Switch",Inventory!H272))</f>
        <v/>
      </c>
      <c r="W264" s="373"/>
      <c r="X264" s="298" t="str">
        <f>IF(B264="", "", 'Lighting Inventory (Ref only)'!Q275)</f>
        <v/>
      </c>
      <c r="Z264" s="374"/>
      <c r="AA264" s="372" t="str">
        <f>IF(B264="", "",'Lighting Inventory (Ref only)'!R275/1000)</f>
        <v/>
      </c>
      <c r="AB264" s="372" t="str">
        <f>IF(B264="", "", Inventory!M272)</f>
        <v/>
      </c>
      <c r="AC264" s="374" t="str">
        <f>IF(B264="", "", 'Lighting Inventory (Ref only)'!T275)</f>
        <v/>
      </c>
      <c r="AD264" s="374" t="str">
        <f>IF(C264="", "", 'Lighting Inventory (Ref only)'!AA275)</f>
        <v/>
      </c>
      <c r="AE264" s="375" t="str">
        <f>IF(B264="", "", 'Lighting Inventory (Ref only)'!U275)</f>
        <v/>
      </c>
      <c r="AF264" s="375" t="str">
        <f>IF(B264="", "",'Lighting Inventory (Ref only)'!W275)</f>
        <v/>
      </c>
      <c r="AG264" s="375"/>
      <c r="AH264" s="375" t="str">
        <f>IF(B264="", "",'Lighting Inventory (Ref only)'!Z275)</f>
        <v/>
      </c>
      <c r="AI264" s="375" t="str">
        <f>IF(B264="", "", 'Lighting Inventory (Ref only)'!Y275)</f>
        <v/>
      </c>
      <c r="AJ264" s="375" t="str">
        <f>IF(C264="", "",'Lighting Inventory (Ref only)'!AB275)</f>
        <v/>
      </c>
      <c r="AK264" s="375" t="str">
        <f>IF(B264="", "", 'Lighting Inventory (Ref only)'!AG275)</f>
        <v/>
      </c>
      <c r="AL264" s="375" t="str">
        <f>IF(B264="", "", 'Lighting Inventory (Ref only)'!AD275)</f>
        <v/>
      </c>
      <c r="AM264" s="375" t="str">
        <f>IF(B264="", "", 'Lighting Inventory (Ref only)'!AE275)</f>
        <v/>
      </c>
      <c r="AN264" s="375" t="str">
        <f>IF(B264="", "", 'Lighting Inventory (Ref only)'!AF275)</f>
        <v/>
      </c>
      <c r="AO264" s="375" t="str">
        <f>IF(B264="", "", 'Lighting Inventory (Ref only)'!AG275)</f>
        <v/>
      </c>
    </row>
    <row r="265" spans="1:41">
      <c r="A265" s="298" t="str">
        <f>IF(G265="", "", Lookups!BF267)</f>
        <v/>
      </c>
      <c r="B265" s="298" t="str">
        <f>IF('Lighting Inventory (Ref only)'!Q276="", "", 'Lighting Inventory (Ref only)'!Q276)</f>
        <v/>
      </c>
      <c r="C265" s="298" t="str">
        <f>IF(A265="", "", 'Lighting Inventory (Ref only)'!AO276)</f>
        <v/>
      </c>
      <c r="D265" s="370" t="str">
        <f>IF(B265= "","", Inventory!S273)</f>
        <v/>
      </c>
      <c r="E265" s="371"/>
      <c r="F265" s="298" t="str">
        <f>IF(B265="", "", 'Version Log'!$B$34)</f>
        <v/>
      </c>
      <c r="G265" s="298" t="str">
        <f t="shared" si="16"/>
        <v/>
      </c>
      <c r="H265" s="298" t="str">
        <f t="shared" si="17"/>
        <v/>
      </c>
      <c r="I265" s="298" t="str">
        <f>IF(B265="", "",Inventory!D273)</f>
        <v/>
      </c>
      <c r="J265" s="298" t="str">
        <f>IF(B265="","",IF(Inventory!C273="N","Interior","Exterior"))</f>
        <v/>
      </c>
      <c r="K265" s="298" t="str">
        <f t="shared" si="18"/>
        <v/>
      </c>
      <c r="L265" s="298" t="str">
        <f>IF(B265="", "", Inventory!E273)</f>
        <v/>
      </c>
      <c r="M265" s="298" t="str">
        <f>IF(B265="","",IF(Cool_Type=Lookups!$L$9,Cool_Type,IF(Cool_Type=Lookups!$L$10,Cool_Type,IF(Cool_Type=Lookups!$L$11,Cool_Type,IF(Cool_Type=Lookups!L275,Cool_Type,IF('Project Info and Summary'!$C$20="Electric",CONCATENATE(Cool_Type," ",Heating_Type," Heat"),IF('Project Info and Summary'!$C$20="Non-Electric",CONCATENATE(Cool_Type," ",Heating_Type," Heat"),CONCATENATE(Cool_Type," ",Heating_Type))))))))</f>
        <v/>
      </c>
      <c r="N265" s="298" t="str">
        <f t="shared" si="19"/>
        <v/>
      </c>
      <c r="O265" s="298" t="str">
        <f>IF(B265="", "", 'Lighting Inventory (Ref only)'!G276)</f>
        <v/>
      </c>
      <c r="P265" s="298" t="str">
        <f>IF(B265="", "", 'Lighting Inventory (Ref only)'!E276)</f>
        <v/>
      </c>
      <c r="Q265" s="298" t="str">
        <f>IF(B265="", "", 'Lighting Inventory (Ref only)'!J276)</f>
        <v/>
      </c>
      <c r="R265" s="298" t="str">
        <f>IF(B265="", "",'Lighting Inventory (Ref only)'!K276)</f>
        <v/>
      </c>
      <c r="S265" s="372" t="str">
        <f>IF(B265="", "", 'Lighting Inventory (Ref only)'!G276*'Lighting Inventory (Ref only)'!K276/1000)</f>
        <v/>
      </c>
      <c r="T265" s="298" t="str">
        <f>IF(B265="", "", IF('Lighting Inventory (Ref only)'!I276="", "Light Switch",Inventory!H273))</f>
        <v/>
      </c>
      <c r="W265" s="373"/>
      <c r="X265" s="298" t="str">
        <f>IF(B265="", "", 'Lighting Inventory (Ref only)'!Q276)</f>
        <v/>
      </c>
      <c r="Z265" s="374"/>
      <c r="AA265" s="372" t="str">
        <f>IF(B265="", "",'Lighting Inventory (Ref only)'!R276/1000)</f>
        <v/>
      </c>
      <c r="AB265" s="372" t="str">
        <f>IF(B265="", "", Inventory!M273)</f>
        <v/>
      </c>
      <c r="AC265" s="374" t="str">
        <f>IF(B265="", "", 'Lighting Inventory (Ref only)'!T276)</f>
        <v/>
      </c>
      <c r="AD265" s="374" t="str">
        <f>IF(C265="", "", 'Lighting Inventory (Ref only)'!AA276)</f>
        <v/>
      </c>
      <c r="AE265" s="375" t="str">
        <f>IF(B265="", "", 'Lighting Inventory (Ref only)'!U276)</f>
        <v/>
      </c>
      <c r="AF265" s="375" t="str">
        <f>IF(B265="", "",'Lighting Inventory (Ref only)'!W276)</f>
        <v/>
      </c>
      <c r="AG265" s="375"/>
      <c r="AH265" s="375" t="str">
        <f>IF(B265="", "",'Lighting Inventory (Ref only)'!Z276)</f>
        <v/>
      </c>
      <c r="AI265" s="375" t="str">
        <f>IF(B265="", "", 'Lighting Inventory (Ref only)'!Y276)</f>
        <v/>
      </c>
      <c r="AJ265" s="375" t="str">
        <f>IF(C265="", "",'Lighting Inventory (Ref only)'!AB276)</f>
        <v/>
      </c>
      <c r="AK265" s="375" t="str">
        <f>IF(B265="", "", 'Lighting Inventory (Ref only)'!AG276)</f>
        <v/>
      </c>
      <c r="AL265" s="375" t="str">
        <f>IF(B265="", "", 'Lighting Inventory (Ref only)'!AD276)</f>
        <v/>
      </c>
      <c r="AM265" s="375" t="str">
        <f>IF(B265="", "", 'Lighting Inventory (Ref only)'!AE276)</f>
        <v/>
      </c>
      <c r="AN265" s="375" t="str">
        <f>IF(B265="", "", 'Lighting Inventory (Ref only)'!AF276)</f>
        <v/>
      </c>
      <c r="AO265" s="375" t="str">
        <f>IF(B265="", "", 'Lighting Inventory (Ref only)'!AG276)</f>
        <v/>
      </c>
    </row>
    <row r="266" spans="1:41">
      <c r="A266" s="298" t="str">
        <f>IF(G266="", "", Lookups!BF268)</f>
        <v/>
      </c>
      <c r="B266" s="298" t="str">
        <f>IF('Lighting Inventory (Ref only)'!Q277="", "", 'Lighting Inventory (Ref only)'!Q277)</f>
        <v/>
      </c>
      <c r="C266" s="298" t="str">
        <f>IF(A266="", "", 'Lighting Inventory (Ref only)'!AO277)</f>
        <v/>
      </c>
      <c r="D266" s="370" t="str">
        <f>IF(B266= "","", Inventory!S274)</f>
        <v/>
      </c>
      <c r="E266" s="371"/>
      <c r="F266" s="298" t="str">
        <f>IF(B266="", "", 'Version Log'!$B$34)</f>
        <v/>
      </c>
      <c r="G266" s="298" t="str">
        <f t="shared" si="16"/>
        <v/>
      </c>
      <c r="H266" s="298" t="str">
        <f t="shared" si="17"/>
        <v/>
      </c>
      <c r="I266" s="298" t="str">
        <f>IF(B266="", "",Inventory!D274)</f>
        <v/>
      </c>
      <c r="J266" s="298" t="str">
        <f>IF(B266="","",IF(Inventory!C274="N","Interior","Exterior"))</f>
        <v/>
      </c>
      <c r="K266" s="298" t="str">
        <f t="shared" si="18"/>
        <v/>
      </c>
      <c r="L266" s="298" t="str">
        <f>IF(B266="", "", Inventory!E274)</f>
        <v/>
      </c>
      <c r="M266" s="298" t="str">
        <f>IF(B266="","",IF(Cool_Type=Lookups!$L$9,Cool_Type,IF(Cool_Type=Lookups!$L$10,Cool_Type,IF(Cool_Type=Lookups!$L$11,Cool_Type,IF(Cool_Type=Lookups!L276,Cool_Type,IF('Project Info and Summary'!$C$20="Electric",CONCATENATE(Cool_Type," ",Heating_Type," Heat"),IF('Project Info and Summary'!$C$20="Non-Electric",CONCATENATE(Cool_Type," ",Heating_Type," Heat"),CONCATENATE(Cool_Type," ",Heating_Type))))))))</f>
        <v/>
      </c>
      <c r="N266" s="298" t="str">
        <f t="shared" si="19"/>
        <v/>
      </c>
      <c r="O266" s="298" t="str">
        <f>IF(B266="", "", 'Lighting Inventory (Ref only)'!G277)</f>
        <v/>
      </c>
      <c r="P266" s="298" t="str">
        <f>IF(B266="", "", 'Lighting Inventory (Ref only)'!E277)</f>
        <v/>
      </c>
      <c r="Q266" s="298" t="str">
        <f>IF(B266="", "", 'Lighting Inventory (Ref only)'!J277)</f>
        <v/>
      </c>
      <c r="R266" s="298" t="str">
        <f>IF(B266="", "",'Lighting Inventory (Ref only)'!K277)</f>
        <v/>
      </c>
      <c r="S266" s="372" t="str">
        <f>IF(B266="", "", 'Lighting Inventory (Ref only)'!G277*'Lighting Inventory (Ref only)'!K277/1000)</f>
        <v/>
      </c>
      <c r="T266" s="298" t="str">
        <f>IF(B266="", "", IF('Lighting Inventory (Ref only)'!I277="", "Light Switch",Inventory!H274))</f>
        <v/>
      </c>
      <c r="W266" s="373"/>
      <c r="X266" s="298" t="str">
        <f>IF(B266="", "", 'Lighting Inventory (Ref only)'!Q277)</f>
        <v/>
      </c>
      <c r="Z266" s="374"/>
      <c r="AA266" s="372" t="str">
        <f>IF(B266="", "",'Lighting Inventory (Ref only)'!R277/1000)</f>
        <v/>
      </c>
      <c r="AB266" s="372" t="str">
        <f>IF(B266="", "", Inventory!M274)</f>
        <v/>
      </c>
      <c r="AC266" s="374" t="str">
        <f>IF(B266="", "", 'Lighting Inventory (Ref only)'!T277)</f>
        <v/>
      </c>
      <c r="AD266" s="374" t="str">
        <f>IF(C266="", "", 'Lighting Inventory (Ref only)'!AA277)</f>
        <v/>
      </c>
      <c r="AE266" s="375" t="str">
        <f>IF(B266="", "", 'Lighting Inventory (Ref only)'!U277)</f>
        <v/>
      </c>
      <c r="AF266" s="375" t="str">
        <f>IF(B266="", "",'Lighting Inventory (Ref only)'!W277)</f>
        <v/>
      </c>
      <c r="AG266" s="375"/>
      <c r="AH266" s="375" t="str">
        <f>IF(B266="", "",'Lighting Inventory (Ref only)'!Z277)</f>
        <v/>
      </c>
      <c r="AI266" s="375" t="str">
        <f>IF(B266="", "", 'Lighting Inventory (Ref only)'!Y277)</f>
        <v/>
      </c>
      <c r="AJ266" s="375" t="str">
        <f>IF(C266="", "",'Lighting Inventory (Ref only)'!AB277)</f>
        <v/>
      </c>
      <c r="AK266" s="375" t="str">
        <f>IF(B266="", "", 'Lighting Inventory (Ref only)'!AG277)</f>
        <v/>
      </c>
      <c r="AL266" s="375" t="str">
        <f>IF(B266="", "", 'Lighting Inventory (Ref only)'!AD277)</f>
        <v/>
      </c>
      <c r="AM266" s="375" t="str">
        <f>IF(B266="", "", 'Lighting Inventory (Ref only)'!AE277)</f>
        <v/>
      </c>
      <c r="AN266" s="375" t="str">
        <f>IF(B266="", "", 'Lighting Inventory (Ref only)'!AF277)</f>
        <v/>
      </c>
      <c r="AO266" s="375" t="str">
        <f>IF(B266="", "", 'Lighting Inventory (Ref only)'!AG277)</f>
        <v/>
      </c>
    </row>
    <row r="267" spans="1:41">
      <c r="A267" s="298" t="str">
        <f>IF(G267="", "", Lookups!BF269)</f>
        <v/>
      </c>
      <c r="B267" s="298" t="str">
        <f>IF('Lighting Inventory (Ref only)'!Q278="", "", 'Lighting Inventory (Ref only)'!Q278)</f>
        <v/>
      </c>
      <c r="C267" s="298" t="str">
        <f>IF(A267="", "", 'Lighting Inventory (Ref only)'!AO278)</f>
        <v/>
      </c>
      <c r="D267" s="370" t="str">
        <f>IF(B267= "","", Inventory!S275)</f>
        <v/>
      </c>
      <c r="E267" s="371"/>
      <c r="F267" s="298" t="str">
        <f>IF(B267="", "", 'Version Log'!$B$34)</f>
        <v/>
      </c>
      <c r="G267" s="298" t="str">
        <f t="shared" si="16"/>
        <v/>
      </c>
      <c r="H267" s="298" t="str">
        <f t="shared" si="17"/>
        <v/>
      </c>
      <c r="I267" s="298" t="str">
        <f>IF(B267="", "",Inventory!D275)</f>
        <v/>
      </c>
      <c r="J267" s="298" t="str">
        <f>IF(B267="","",IF(Inventory!C275="N","Interior","Exterior"))</f>
        <v/>
      </c>
      <c r="K267" s="298" t="str">
        <f t="shared" si="18"/>
        <v/>
      </c>
      <c r="L267" s="298" t="str">
        <f>IF(B267="", "", Inventory!E275)</f>
        <v/>
      </c>
      <c r="M267" s="298" t="str">
        <f>IF(B267="","",IF(Cool_Type=Lookups!$L$9,Cool_Type,IF(Cool_Type=Lookups!$L$10,Cool_Type,IF(Cool_Type=Lookups!$L$11,Cool_Type,IF(Cool_Type=Lookups!L277,Cool_Type,IF('Project Info and Summary'!$C$20="Electric",CONCATENATE(Cool_Type," ",Heating_Type," Heat"),IF('Project Info and Summary'!$C$20="Non-Electric",CONCATENATE(Cool_Type," ",Heating_Type," Heat"),CONCATENATE(Cool_Type," ",Heating_Type))))))))</f>
        <v/>
      </c>
      <c r="N267" s="298" t="str">
        <f t="shared" si="19"/>
        <v/>
      </c>
      <c r="O267" s="298" t="str">
        <f>IF(B267="", "", 'Lighting Inventory (Ref only)'!G278)</f>
        <v/>
      </c>
      <c r="P267" s="298" t="str">
        <f>IF(B267="", "", 'Lighting Inventory (Ref only)'!E278)</f>
        <v/>
      </c>
      <c r="Q267" s="298" t="str">
        <f>IF(B267="", "", 'Lighting Inventory (Ref only)'!J278)</f>
        <v/>
      </c>
      <c r="R267" s="298" t="str">
        <f>IF(B267="", "",'Lighting Inventory (Ref only)'!K278)</f>
        <v/>
      </c>
      <c r="S267" s="372" t="str">
        <f>IF(B267="", "", 'Lighting Inventory (Ref only)'!G278*'Lighting Inventory (Ref only)'!K278/1000)</f>
        <v/>
      </c>
      <c r="T267" s="298" t="str">
        <f>IF(B267="", "", IF('Lighting Inventory (Ref only)'!I278="", "Light Switch",Inventory!H275))</f>
        <v/>
      </c>
      <c r="W267" s="373"/>
      <c r="X267" s="298" t="str">
        <f>IF(B267="", "", 'Lighting Inventory (Ref only)'!Q278)</f>
        <v/>
      </c>
      <c r="Z267" s="374"/>
      <c r="AA267" s="372" t="str">
        <f>IF(B267="", "",'Lighting Inventory (Ref only)'!R278/1000)</f>
        <v/>
      </c>
      <c r="AB267" s="372" t="str">
        <f>IF(B267="", "", Inventory!M275)</f>
        <v/>
      </c>
      <c r="AC267" s="374" t="str">
        <f>IF(B267="", "", 'Lighting Inventory (Ref only)'!T278)</f>
        <v/>
      </c>
      <c r="AD267" s="374" t="str">
        <f>IF(C267="", "", 'Lighting Inventory (Ref only)'!AA278)</f>
        <v/>
      </c>
      <c r="AE267" s="375" t="str">
        <f>IF(B267="", "", 'Lighting Inventory (Ref only)'!U278)</f>
        <v/>
      </c>
      <c r="AF267" s="375" t="str">
        <f>IF(B267="", "",'Lighting Inventory (Ref only)'!W278)</f>
        <v/>
      </c>
      <c r="AG267" s="375"/>
      <c r="AH267" s="375" t="str">
        <f>IF(B267="", "",'Lighting Inventory (Ref only)'!Z278)</f>
        <v/>
      </c>
      <c r="AI267" s="375" t="str">
        <f>IF(B267="", "", 'Lighting Inventory (Ref only)'!Y278)</f>
        <v/>
      </c>
      <c r="AJ267" s="375" t="str">
        <f>IF(C267="", "",'Lighting Inventory (Ref only)'!AB278)</f>
        <v/>
      </c>
      <c r="AK267" s="375" t="str">
        <f>IF(B267="", "", 'Lighting Inventory (Ref only)'!AG278)</f>
        <v/>
      </c>
      <c r="AL267" s="375" t="str">
        <f>IF(B267="", "", 'Lighting Inventory (Ref only)'!AD278)</f>
        <v/>
      </c>
      <c r="AM267" s="375" t="str">
        <f>IF(B267="", "", 'Lighting Inventory (Ref only)'!AE278)</f>
        <v/>
      </c>
      <c r="AN267" s="375" t="str">
        <f>IF(B267="", "", 'Lighting Inventory (Ref only)'!AF278)</f>
        <v/>
      </c>
      <c r="AO267" s="375" t="str">
        <f>IF(B267="", "", 'Lighting Inventory (Ref only)'!AG278)</f>
        <v/>
      </c>
    </row>
    <row r="268" spans="1:41">
      <c r="A268" s="298" t="str">
        <f>IF(G268="", "", Lookups!BF270)</f>
        <v/>
      </c>
      <c r="B268" s="298" t="str">
        <f>IF('Lighting Inventory (Ref only)'!Q279="", "", 'Lighting Inventory (Ref only)'!Q279)</f>
        <v/>
      </c>
      <c r="C268" s="298" t="str">
        <f>IF(A268="", "", 'Lighting Inventory (Ref only)'!AO279)</f>
        <v/>
      </c>
      <c r="D268" s="370" t="str">
        <f>IF(B268= "","", Inventory!S276)</f>
        <v/>
      </c>
      <c r="E268" s="371"/>
      <c r="F268" s="298" t="str">
        <f>IF(B268="", "", 'Version Log'!$B$34)</f>
        <v/>
      </c>
      <c r="G268" s="298" t="str">
        <f t="shared" si="16"/>
        <v/>
      </c>
      <c r="H268" s="298" t="str">
        <f t="shared" si="17"/>
        <v/>
      </c>
      <c r="I268" s="298" t="str">
        <f>IF(B268="", "",Inventory!D276)</f>
        <v/>
      </c>
      <c r="J268" s="298" t="str">
        <f>IF(B268="","",IF(Inventory!C276="N","Interior","Exterior"))</f>
        <v/>
      </c>
      <c r="K268" s="298" t="str">
        <f t="shared" si="18"/>
        <v/>
      </c>
      <c r="L268" s="298" t="str">
        <f>IF(B268="", "", Inventory!E276)</f>
        <v/>
      </c>
      <c r="M268" s="298" t="str">
        <f>IF(B268="","",IF(Cool_Type=Lookups!$L$9,Cool_Type,IF(Cool_Type=Lookups!$L$10,Cool_Type,IF(Cool_Type=Lookups!$L$11,Cool_Type,IF(Cool_Type=Lookups!L278,Cool_Type,IF('Project Info and Summary'!$C$20="Electric",CONCATENATE(Cool_Type," ",Heating_Type," Heat"),IF('Project Info and Summary'!$C$20="Non-Electric",CONCATENATE(Cool_Type," ",Heating_Type," Heat"),CONCATENATE(Cool_Type," ",Heating_Type))))))))</f>
        <v/>
      </c>
      <c r="N268" s="298" t="str">
        <f t="shared" si="19"/>
        <v/>
      </c>
      <c r="O268" s="298" t="str">
        <f>IF(B268="", "", 'Lighting Inventory (Ref only)'!G279)</f>
        <v/>
      </c>
      <c r="P268" s="298" t="str">
        <f>IF(B268="", "", 'Lighting Inventory (Ref only)'!E279)</f>
        <v/>
      </c>
      <c r="Q268" s="298" t="str">
        <f>IF(B268="", "", 'Lighting Inventory (Ref only)'!J279)</f>
        <v/>
      </c>
      <c r="R268" s="298" t="str">
        <f>IF(B268="", "",'Lighting Inventory (Ref only)'!K279)</f>
        <v/>
      </c>
      <c r="S268" s="372" t="str">
        <f>IF(B268="", "", 'Lighting Inventory (Ref only)'!G279*'Lighting Inventory (Ref only)'!K279/1000)</f>
        <v/>
      </c>
      <c r="T268" s="298" t="str">
        <f>IF(B268="", "", IF('Lighting Inventory (Ref only)'!I279="", "Light Switch",Inventory!H276))</f>
        <v/>
      </c>
      <c r="W268" s="373"/>
      <c r="X268" s="298" t="str">
        <f>IF(B268="", "", 'Lighting Inventory (Ref only)'!Q279)</f>
        <v/>
      </c>
      <c r="Z268" s="374"/>
      <c r="AA268" s="372" t="str">
        <f>IF(B268="", "",'Lighting Inventory (Ref only)'!R279/1000)</f>
        <v/>
      </c>
      <c r="AB268" s="372" t="str">
        <f>IF(B268="", "", Inventory!M276)</f>
        <v/>
      </c>
      <c r="AC268" s="374" t="str">
        <f>IF(B268="", "", 'Lighting Inventory (Ref only)'!T279)</f>
        <v/>
      </c>
      <c r="AD268" s="374" t="str">
        <f>IF(C268="", "", 'Lighting Inventory (Ref only)'!AA279)</f>
        <v/>
      </c>
      <c r="AE268" s="375" t="str">
        <f>IF(B268="", "", 'Lighting Inventory (Ref only)'!U279)</f>
        <v/>
      </c>
      <c r="AF268" s="375" t="str">
        <f>IF(B268="", "",'Lighting Inventory (Ref only)'!W279)</f>
        <v/>
      </c>
      <c r="AG268" s="375"/>
      <c r="AH268" s="375" t="str">
        <f>IF(B268="", "",'Lighting Inventory (Ref only)'!Z279)</f>
        <v/>
      </c>
      <c r="AI268" s="375" t="str">
        <f>IF(B268="", "", 'Lighting Inventory (Ref only)'!Y279)</f>
        <v/>
      </c>
      <c r="AJ268" s="375" t="str">
        <f>IF(C268="", "",'Lighting Inventory (Ref only)'!AB279)</f>
        <v/>
      </c>
      <c r="AK268" s="375" t="str">
        <f>IF(B268="", "", 'Lighting Inventory (Ref only)'!AG279)</f>
        <v/>
      </c>
      <c r="AL268" s="375" t="str">
        <f>IF(B268="", "", 'Lighting Inventory (Ref only)'!AD279)</f>
        <v/>
      </c>
      <c r="AM268" s="375" t="str">
        <f>IF(B268="", "", 'Lighting Inventory (Ref only)'!AE279)</f>
        <v/>
      </c>
      <c r="AN268" s="375" t="str">
        <f>IF(B268="", "", 'Lighting Inventory (Ref only)'!AF279)</f>
        <v/>
      </c>
      <c r="AO268" s="375" t="str">
        <f>IF(B268="", "", 'Lighting Inventory (Ref only)'!AG279)</f>
        <v/>
      </c>
    </row>
    <row r="269" spans="1:41">
      <c r="A269" s="298" t="str">
        <f>IF(G269="", "", Lookups!BF271)</f>
        <v/>
      </c>
      <c r="B269" s="298" t="str">
        <f>IF('Lighting Inventory (Ref only)'!Q280="", "", 'Lighting Inventory (Ref only)'!Q280)</f>
        <v/>
      </c>
      <c r="C269" s="298" t="str">
        <f>IF(A269="", "", 'Lighting Inventory (Ref only)'!AO280)</f>
        <v/>
      </c>
      <c r="D269" s="370" t="str">
        <f>IF(B269= "","", Inventory!S277)</f>
        <v/>
      </c>
      <c r="E269" s="371"/>
      <c r="F269" s="298" t="str">
        <f>IF(B269="", "", 'Version Log'!$B$34)</f>
        <v/>
      </c>
      <c r="G269" s="298" t="str">
        <f t="shared" si="16"/>
        <v/>
      </c>
      <c r="H269" s="298" t="str">
        <f t="shared" si="17"/>
        <v/>
      </c>
      <c r="I269" s="298" t="str">
        <f>IF(B269="", "",Inventory!D277)</f>
        <v/>
      </c>
      <c r="J269" s="298" t="str">
        <f>IF(B269="","",IF(Inventory!C277="N","Interior","Exterior"))</f>
        <v/>
      </c>
      <c r="K269" s="298" t="str">
        <f t="shared" si="18"/>
        <v/>
      </c>
      <c r="L269" s="298" t="str">
        <f>IF(B269="", "", Inventory!E277)</f>
        <v/>
      </c>
      <c r="M269" s="298" t="str">
        <f>IF(B269="","",IF(Cool_Type=Lookups!$L$9,Cool_Type,IF(Cool_Type=Lookups!$L$10,Cool_Type,IF(Cool_Type=Lookups!$L$11,Cool_Type,IF(Cool_Type=Lookups!L279,Cool_Type,IF('Project Info and Summary'!$C$20="Electric",CONCATENATE(Cool_Type," ",Heating_Type," Heat"),IF('Project Info and Summary'!$C$20="Non-Electric",CONCATENATE(Cool_Type," ",Heating_Type," Heat"),CONCATENATE(Cool_Type," ",Heating_Type))))))))</f>
        <v/>
      </c>
      <c r="N269" s="298" t="str">
        <f t="shared" si="19"/>
        <v/>
      </c>
      <c r="O269" s="298" t="str">
        <f>IF(B269="", "", 'Lighting Inventory (Ref only)'!G280)</f>
        <v/>
      </c>
      <c r="P269" s="298" t="str">
        <f>IF(B269="", "", 'Lighting Inventory (Ref only)'!E280)</f>
        <v/>
      </c>
      <c r="Q269" s="298" t="str">
        <f>IF(B269="", "", 'Lighting Inventory (Ref only)'!J280)</f>
        <v/>
      </c>
      <c r="R269" s="298" t="str">
        <f>IF(B269="", "",'Lighting Inventory (Ref only)'!K280)</f>
        <v/>
      </c>
      <c r="S269" s="372" t="str">
        <f>IF(B269="", "", 'Lighting Inventory (Ref only)'!G280*'Lighting Inventory (Ref only)'!K280/1000)</f>
        <v/>
      </c>
      <c r="T269" s="298" t="str">
        <f>IF(B269="", "", IF('Lighting Inventory (Ref only)'!I280="", "Light Switch",Inventory!H277))</f>
        <v/>
      </c>
      <c r="W269" s="373"/>
      <c r="X269" s="298" t="str">
        <f>IF(B269="", "", 'Lighting Inventory (Ref only)'!Q280)</f>
        <v/>
      </c>
      <c r="Z269" s="374"/>
      <c r="AA269" s="372" t="str">
        <f>IF(B269="", "",'Lighting Inventory (Ref only)'!R280/1000)</f>
        <v/>
      </c>
      <c r="AB269" s="372" t="str">
        <f>IF(B269="", "", Inventory!M277)</f>
        <v/>
      </c>
      <c r="AC269" s="374" t="str">
        <f>IF(B269="", "", 'Lighting Inventory (Ref only)'!T280)</f>
        <v/>
      </c>
      <c r="AD269" s="374" t="str">
        <f>IF(C269="", "", 'Lighting Inventory (Ref only)'!AA280)</f>
        <v/>
      </c>
      <c r="AE269" s="375" t="str">
        <f>IF(B269="", "", 'Lighting Inventory (Ref only)'!U280)</f>
        <v/>
      </c>
      <c r="AF269" s="375" t="str">
        <f>IF(B269="", "",'Lighting Inventory (Ref only)'!W280)</f>
        <v/>
      </c>
      <c r="AG269" s="375"/>
      <c r="AH269" s="375" t="str">
        <f>IF(B269="", "",'Lighting Inventory (Ref only)'!Z280)</f>
        <v/>
      </c>
      <c r="AI269" s="375" t="str">
        <f>IF(B269="", "", 'Lighting Inventory (Ref only)'!Y280)</f>
        <v/>
      </c>
      <c r="AJ269" s="375" t="str">
        <f>IF(C269="", "",'Lighting Inventory (Ref only)'!AB280)</f>
        <v/>
      </c>
      <c r="AK269" s="375" t="str">
        <f>IF(B269="", "", 'Lighting Inventory (Ref only)'!AG280)</f>
        <v/>
      </c>
      <c r="AL269" s="375" t="str">
        <f>IF(B269="", "", 'Lighting Inventory (Ref only)'!AD280)</f>
        <v/>
      </c>
      <c r="AM269" s="375" t="str">
        <f>IF(B269="", "", 'Lighting Inventory (Ref only)'!AE280)</f>
        <v/>
      </c>
      <c r="AN269" s="375" t="str">
        <f>IF(B269="", "", 'Lighting Inventory (Ref only)'!AF280)</f>
        <v/>
      </c>
      <c r="AO269" s="375" t="str">
        <f>IF(B269="", "", 'Lighting Inventory (Ref only)'!AG280)</f>
        <v/>
      </c>
    </row>
    <row r="270" spans="1:41">
      <c r="A270" s="298" t="str">
        <f>IF(G270="", "", Lookups!BF272)</f>
        <v/>
      </c>
      <c r="B270" s="298" t="str">
        <f>IF('Lighting Inventory (Ref only)'!Q281="", "", 'Lighting Inventory (Ref only)'!Q281)</f>
        <v/>
      </c>
      <c r="C270" s="298" t="str">
        <f>IF(A270="", "", 'Lighting Inventory (Ref only)'!AO281)</f>
        <v/>
      </c>
      <c r="D270" s="370" t="str">
        <f>IF(B270= "","", Inventory!S278)</f>
        <v/>
      </c>
      <c r="E270" s="371"/>
      <c r="F270" s="298" t="str">
        <f>IF(B270="", "", 'Version Log'!$B$34)</f>
        <v/>
      </c>
      <c r="G270" s="298" t="str">
        <f t="shared" si="16"/>
        <v/>
      </c>
      <c r="H270" s="298" t="str">
        <f t="shared" si="17"/>
        <v/>
      </c>
      <c r="I270" s="298" t="str">
        <f>IF(B270="", "",Inventory!D278)</f>
        <v/>
      </c>
      <c r="J270" s="298" t="str">
        <f>IF(B270="","",IF(Inventory!C278="N","Interior","Exterior"))</f>
        <v/>
      </c>
      <c r="K270" s="298" t="str">
        <f t="shared" si="18"/>
        <v/>
      </c>
      <c r="L270" s="298" t="str">
        <f>IF(B270="", "", Inventory!E278)</f>
        <v/>
      </c>
      <c r="M270" s="298" t="str">
        <f>IF(B270="","",IF(Cool_Type=Lookups!$L$9,Cool_Type,IF(Cool_Type=Lookups!$L$10,Cool_Type,IF(Cool_Type=Lookups!$L$11,Cool_Type,IF(Cool_Type=Lookups!L280,Cool_Type,IF('Project Info and Summary'!$C$20="Electric",CONCATENATE(Cool_Type," ",Heating_Type," Heat"),IF('Project Info and Summary'!$C$20="Non-Electric",CONCATENATE(Cool_Type," ",Heating_Type," Heat"),CONCATENATE(Cool_Type," ",Heating_Type))))))))</f>
        <v/>
      </c>
      <c r="N270" s="298" t="str">
        <f t="shared" si="19"/>
        <v/>
      </c>
      <c r="O270" s="298" t="str">
        <f>IF(B270="", "", 'Lighting Inventory (Ref only)'!G281)</f>
        <v/>
      </c>
      <c r="P270" s="298" t="str">
        <f>IF(B270="", "", 'Lighting Inventory (Ref only)'!E281)</f>
        <v/>
      </c>
      <c r="Q270" s="298" t="str">
        <f>IF(B270="", "", 'Lighting Inventory (Ref only)'!J281)</f>
        <v/>
      </c>
      <c r="R270" s="298" t="str">
        <f>IF(B270="", "",'Lighting Inventory (Ref only)'!K281)</f>
        <v/>
      </c>
      <c r="S270" s="372" t="str">
        <f>IF(B270="", "", 'Lighting Inventory (Ref only)'!G281*'Lighting Inventory (Ref only)'!K281/1000)</f>
        <v/>
      </c>
      <c r="T270" s="298" t="str">
        <f>IF(B270="", "", IF('Lighting Inventory (Ref only)'!I281="", "Light Switch",Inventory!H278))</f>
        <v/>
      </c>
      <c r="W270" s="373"/>
      <c r="X270" s="298" t="str">
        <f>IF(B270="", "", 'Lighting Inventory (Ref only)'!Q281)</f>
        <v/>
      </c>
      <c r="Z270" s="374"/>
      <c r="AA270" s="372" t="str">
        <f>IF(B270="", "",'Lighting Inventory (Ref only)'!R281/1000)</f>
        <v/>
      </c>
      <c r="AB270" s="372" t="str">
        <f>IF(B270="", "", Inventory!M278)</f>
        <v/>
      </c>
      <c r="AC270" s="374" t="str">
        <f>IF(B270="", "", 'Lighting Inventory (Ref only)'!T281)</f>
        <v/>
      </c>
      <c r="AD270" s="374" t="str">
        <f>IF(C270="", "", 'Lighting Inventory (Ref only)'!AA281)</f>
        <v/>
      </c>
      <c r="AE270" s="375" t="str">
        <f>IF(B270="", "", 'Lighting Inventory (Ref only)'!U281)</f>
        <v/>
      </c>
      <c r="AF270" s="375" t="str">
        <f>IF(B270="", "",'Lighting Inventory (Ref only)'!W281)</f>
        <v/>
      </c>
      <c r="AG270" s="375"/>
      <c r="AH270" s="375" t="str">
        <f>IF(B270="", "",'Lighting Inventory (Ref only)'!Z281)</f>
        <v/>
      </c>
      <c r="AI270" s="375" t="str">
        <f>IF(B270="", "", 'Lighting Inventory (Ref only)'!Y281)</f>
        <v/>
      </c>
      <c r="AJ270" s="375" t="str">
        <f>IF(C270="", "",'Lighting Inventory (Ref only)'!AB281)</f>
        <v/>
      </c>
      <c r="AK270" s="375" t="str">
        <f>IF(B270="", "", 'Lighting Inventory (Ref only)'!AG281)</f>
        <v/>
      </c>
      <c r="AL270" s="375" t="str">
        <f>IF(B270="", "", 'Lighting Inventory (Ref only)'!AD281)</f>
        <v/>
      </c>
      <c r="AM270" s="375" t="str">
        <f>IF(B270="", "", 'Lighting Inventory (Ref only)'!AE281)</f>
        <v/>
      </c>
      <c r="AN270" s="375" t="str">
        <f>IF(B270="", "", 'Lighting Inventory (Ref only)'!AF281)</f>
        <v/>
      </c>
      <c r="AO270" s="375" t="str">
        <f>IF(B270="", "", 'Lighting Inventory (Ref only)'!AG281)</f>
        <v/>
      </c>
    </row>
    <row r="271" spans="1:41">
      <c r="A271" s="298" t="str">
        <f>IF(G271="", "", Lookups!BF273)</f>
        <v/>
      </c>
      <c r="B271" s="298" t="str">
        <f>IF('Lighting Inventory (Ref only)'!Q282="", "", 'Lighting Inventory (Ref only)'!Q282)</f>
        <v/>
      </c>
      <c r="C271" s="298" t="str">
        <f>IF(A271="", "", 'Lighting Inventory (Ref only)'!AO282)</f>
        <v/>
      </c>
      <c r="D271" s="370" t="str">
        <f>IF(B271= "","", Inventory!S279)</f>
        <v/>
      </c>
      <c r="E271" s="371"/>
      <c r="F271" s="298" t="str">
        <f>IF(B271="", "", 'Version Log'!$B$34)</f>
        <v/>
      </c>
      <c r="G271" s="298" t="str">
        <f t="shared" si="16"/>
        <v/>
      </c>
      <c r="H271" s="298" t="str">
        <f t="shared" si="17"/>
        <v/>
      </c>
      <c r="I271" s="298" t="str">
        <f>IF(B271="", "",Inventory!D279)</f>
        <v/>
      </c>
      <c r="J271" s="298" t="str">
        <f>IF(B271="","",IF(Inventory!C279="N","Interior","Exterior"))</f>
        <v/>
      </c>
      <c r="K271" s="298" t="str">
        <f t="shared" si="18"/>
        <v/>
      </c>
      <c r="L271" s="298" t="str">
        <f>IF(B271="", "", Inventory!E279)</f>
        <v/>
      </c>
      <c r="M271" s="298" t="str">
        <f>IF(B271="","",IF(Cool_Type=Lookups!$L$9,Cool_Type,IF(Cool_Type=Lookups!$L$10,Cool_Type,IF(Cool_Type=Lookups!$L$11,Cool_Type,IF(Cool_Type=Lookups!L281,Cool_Type,IF('Project Info and Summary'!$C$20="Electric",CONCATENATE(Cool_Type," ",Heating_Type," Heat"),IF('Project Info and Summary'!$C$20="Non-Electric",CONCATENATE(Cool_Type," ",Heating_Type," Heat"),CONCATENATE(Cool_Type," ",Heating_Type))))))))</f>
        <v/>
      </c>
      <c r="N271" s="298" t="str">
        <f t="shared" si="19"/>
        <v/>
      </c>
      <c r="O271" s="298" t="str">
        <f>IF(B271="", "", 'Lighting Inventory (Ref only)'!G282)</f>
        <v/>
      </c>
      <c r="P271" s="298" t="str">
        <f>IF(B271="", "", 'Lighting Inventory (Ref only)'!E282)</f>
        <v/>
      </c>
      <c r="Q271" s="298" t="str">
        <f>IF(B271="", "", 'Lighting Inventory (Ref only)'!J282)</f>
        <v/>
      </c>
      <c r="R271" s="298" t="str">
        <f>IF(B271="", "",'Lighting Inventory (Ref only)'!K282)</f>
        <v/>
      </c>
      <c r="S271" s="372" t="str">
        <f>IF(B271="", "", 'Lighting Inventory (Ref only)'!G282*'Lighting Inventory (Ref only)'!K282/1000)</f>
        <v/>
      </c>
      <c r="T271" s="298" t="str">
        <f>IF(B271="", "", IF('Lighting Inventory (Ref only)'!I282="", "Light Switch",Inventory!H279))</f>
        <v/>
      </c>
      <c r="W271" s="373"/>
      <c r="X271" s="298" t="str">
        <f>IF(B271="", "", 'Lighting Inventory (Ref only)'!Q282)</f>
        <v/>
      </c>
      <c r="Z271" s="374"/>
      <c r="AA271" s="372" t="str">
        <f>IF(B271="", "",'Lighting Inventory (Ref only)'!R282/1000)</f>
        <v/>
      </c>
      <c r="AB271" s="372" t="str">
        <f>IF(B271="", "", Inventory!M279)</f>
        <v/>
      </c>
      <c r="AC271" s="374" t="str">
        <f>IF(B271="", "", 'Lighting Inventory (Ref only)'!T282)</f>
        <v/>
      </c>
      <c r="AD271" s="374" t="str">
        <f>IF(C271="", "", 'Lighting Inventory (Ref only)'!AA282)</f>
        <v/>
      </c>
      <c r="AE271" s="375" t="str">
        <f>IF(B271="", "", 'Lighting Inventory (Ref only)'!U282)</f>
        <v/>
      </c>
      <c r="AF271" s="375" t="str">
        <f>IF(B271="", "",'Lighting Inventory (Ref only)'!W282)</f>
        <v/>
      </c>
      <c r="AG271" s="375"/>
      <c r="AH271" s="375" t="str">
        <f>IF(B271="", "",'Lighting Inventory (Ref only)'!Z282)</f>
        <v/>
      </c>
      <c r="AI271" s="375" t="str">
        <f>IF(B271="", "", 'Lighting Inventory (Ref only)'!Y282)</f>
        <v/>
      </c>
      <c r="AJ271" s="375" t="str">
        <f>IF(C271="", "",'Lighting Inventory (Ref only)'!AB282)</f>
        <v/>
      </c>
      <c r="AK271" s="375" t="str">
        <f>IF(B271="", "", 'Lighting Inventory (Ref only)'!AG282)</f>
        <v/>
      </c>
      <c r="AL271" s="375" t="str">
        <f>IF(B271="", "", 'Lighting Inventory (Ref only)'!AD282)</f>
        <v/>
      </c>
      <c r="AM271" s="375" t="str">
        <f>IF(B271="", "", 'Lighting Inventory (Ref only)'!AE282)</f>
        <v/>
      </c>
      <c r="AN271" s="375" t="str">
        <f>IF(B271="", "", 'Lighting Inventory (Ref only)'!AF282)</f>
        <v/>
      </c>
      <c r="AO271" s="375" t="str">
        <f>IF(B271="", "", 'Lighting Inventory (Ref only)'!AG282)</f>
        <v/>
      </c>
    </row>
    <row r="272" spans="1:41">
      <c r="A272" s="298" t="str">
        <f>IF(G272="", "", Lookups!BF274)</f>
        <v/>
      </c>
      <c r="B272" s="298" t="str">
        <f>IF('Lighting Inventory (Ref only)'!Q283="", "", 'Lighting Inventory (Ref only)'!Q283)</f>
        <v/>
      </c>
      <c r="C272" s="298" t="str">
        <f>IF(A272="", "", 'Lighting Inventory (Ref only)'!AO283)</f>
        <v/>
      </c>
      <c r="D272" s="370" t="str">
        <f>IF(B272= "","", Inventory!S280)</f>
        <v/>
      </c>
      <c r="E272" s="371"/>
      <c r="F272" s="298" t="str">
        <f>IF(B272="", "", 'Version Log'!$B$34)</f>
        <v/>
      </c>
      <c r="G272" s="298" t="str">
        <f t="shared" si="16"/>
        <v/>
      </c>
      <c r="H272" s="298" t="str">
        <f t="shared" si="17"/>
        <v/>
      </c>
      <c r="I272" s="298" t="str">
        <f>IF(B272="", "",Inventory!D280)</f>
        <v/>
      </c>
      <c r="J272" s="298" t="str">
        <f>IF(B272="","",IF(Inventory!C280="N","Interior","Exterior"))</f>
        <v/>
      </c>
      <c r="K272" s="298" t="str">
        <f t="shared" si="18"/>
        <v/>
      </c>
      <c r="L272" s="298" t="str">
        <f>IF(B272="", "", Inventory!E280)</f>
        <v/>
      </c>
      <c r="M272" s="298" t="str">
        <f>IF(B272="","",IF(Cool_Type=Lookups!$L$9,Cool_Type,IF(Cool_Type=Lookups!$L$10,Cool_Type,IF(Cool_Type=Lookups!$L$11,Cool_Type,IF(Cool_Type=Lookups!L282,Cool_Type,IF('Project Info and Summary'!$C$20="Electric",CONCATENATE(Cool_Type," ",Heating_Type," Heat"),IF('Project Info and Summary'!$C$20="Non-Electric",CONCATENATE(Cool_Type," ",Heating_Type," Heat"),CONCATENATE(Cool_Type," ",Heating_Type))))))))</f>
        <v/>
      </c>
      <c r="N272" s="298" t="str">
        <f t="shared" si="19"/>
        <v/>
      </c>
      <c r="O272" s="298" t="str">
        <f>IF(B272="", "", 'Lighting Inventory (Ref only)'!G283)</f>
        <v/>
      </c>
      <c r="P272" s="298" t="str">
        <f>IF(B272="", "", 'Lighting Inventory (Ref only)'!E283)</f>
        <v/>
      </c>
      <c r="Q272" s="298" t="str">
        <f>IF(B272="", "", 'Lighting Inventory (Ref only)'!J283)</f>
        <v/>
      </c>
      <c r="R272" s="298" t="str">
        <f>IF(B272="", "",'Lighting Inventory (Ref only)'!K283)</f>
        <v/>
      </c>
      <c r="S272" s="372" t="str">
        <f>IF(B272="", "", 'Lighting Inventory (Ref only)'!G283*'Lighting Inventory (Ref only)'!K283/1000)</f>
        <v/>
      </c>
      <c r="T272" s="298" t="str">
        <f>IF(B272="", "", IF('Lighting Inventory (Ref only)'!I283="", "Light Switch",Inventory!H280))</f>
        <v/>
      </c>
      <c r="W272" s="373"/>
      <c r="X272" s="298" t="str">
        <f>IF(B272="", "", 'Lighting Inventory (Ref only)'!Q283)</f>
        <v/>
      </c>
      <c r="Z272" s="374"/>
      <c r="AA272" s="372" t="str">
        <f>IF(B272="", "",'Lighting Inventory (Ref only)'!R283/1000)</f>
        <v/>
      </c>
      <c r="AB272" s="372" t="str">
        <f>IF(B272="", "", Inventory!M280)</f>
        <v/>
      </c>
      <c r="AC272" s="374" t="str">
        <f>IF(B272="", "", 'Lighting Inventory (Ref only)'!T283)</f>
        <v/>
      </c>
      <c r="AD272" s="374" t="str">
        <f>IF(C272="", "", 'Lighting Inventory (Ref only)'!AA283)</f>
        <v/>
      </c>
      <c r="AE272" s="375" t="str">
        <f>IF(B272="", "", 'Lighting Inventory (Ref only)'!U283)</f>
        <v/>
      </c>
      <c r="AF272" s="375" t="str">
        <f>IF(B272="", "",'Lighting Inventory (Ref only)'!W283)</f>
        <v/>
      </c>
      <c r="AG272" s="375"/>
      <c r="AH272" s="375" t="str">
        <f>IF(B272="", "",'Lighting Inventory (Ref only)'!Z283)</f>
        <v/>
      </c>
      <c r="AI272" s="375" t="str">
        <f>IF(B272="", "", 'Lighting Inventory (Ref only)'!Y283)</f>
        <v/>
      </c>
      <c r="AJ272" s="375" t="str">
        <f>IF(C272="", "",'Lighting Inventory (Ref only)'!AB283)</f>
        <v/>
      </c>
      <c r="AK272" s="375" t="str">
        <f>IF(B272="", "", 'Lighting Inventory (Ref only)'!AG283)</f>
        <v/>
      </c>
      <c r="AL272" s="375" t="str">
        <f>IF(B272="", "", 'Lighting Inventory (Ref only)'!AD283)</f>
        <v/>
      </c>
      <c r="AM272" s="375" t="str">
        <f>IF(B272="", "", 'Lighting Inventory (Ref only)'!AE283)</f>
        <v/>
      </c>
      <c r="AN272" s="375" t="str">
        <f>IF(B272="", "", 'Lighting Inventory (Ref only)'!AF283)</f>
        <v/>
      </c>
      <c r="AO272" s="375" t="str">
        <f>IF(B272="", "", 'Lighting Inventory (Ref only)'!AG283)</f>
        <v/>
      </c>
    </row>
    <row r="273" spans="1:41">
      <c r="A273" s="298" t="str">
        <f>IF(G273="", "", Lookups!BF275)</f>
        <v/>
      </c>
      <c r="B273" s="298" t="str">
        <f>IF('Lighting Inventory (Ref only)'!Q284="", "", 'Lighting Inventory (Ref only)'!Q284)</f>
        <v/>
      </c>
      <c r="C273" s="298" t="str">
        <f>IF(A273="", "", 'Lighting Inventory (Ref only)'!AO284)</f>
        <v/>
      </c>
      <c r="D273" s="370" t="str">
        <f>IF(B273= "","", Inventory!S281)</f>
        <v/>
      </c>
      <c r="E273" s="371"/>
      <c r="F273" s="298" t="str">
        <f>IF(B273="", "", 'Version Log'!$B$34)</f>
        <v/>
      </c>
      <c r="G273" s="298" t="str">
        <f t="shared" si="16"/>
        <v/>
      </c>
      <c r="H273" s="298" t="str">
        <f t="shared" si="17"/>
        <v/>
      </c>
      <c r="I273" s="298" t="str">
        <f>IF(B273="", "",Inventory!D281)</f>
        <v/>
      </c>
      <c r="J273" s="298" t="str">
        <f>IF(B273="","",IF(Inventory!C281="N","Interior","Exterior"))</f>
        <v/>
      </c>
      <c r="K273" s="298" t="str">
        <f t="shared" si="18"/>
        <v/>
      </c>
      <c r="L273" s="298" t="str">
        <f>IF(B273="", "", Inventory!E281)</f>
        <v/>
      </c>
      <c r="M273" s="298" t="str">
        <f>IF(B273="","",IF(Cool_Type=Lookups!$L$9,Cool_Type,IF(Cool_Type=Lookups!$L$10,Cool_Type,IF(Cool_Type=Lookups!$L$11,Cool_Type,IF(Cool_Type=Lookups!L283,Cool_Type,IF('Project Info and Summary'!$C$20="Electric",CONCATENATE(Cool_Type," ",Heating_Type," Heat"),IF('Project Info and Summary'!$C$20="Non-Electric",CONCATENATE(Cool_Type," ",Heating_Type," Heat"),CONCATENATE(Cool_Type," ",Heating_Type))))))))</f>
        <v/>
      </c>
      <c r="N273" s="298" t="str">
        <f t="shared" si="19"/>
        <v/>
      </c>
      <c r="O273" s="298" t="str">
        <f>IF(B273="", "", 'Lighting Inventory (Ref only)'!G284)</f>
        <v/>
      </c>
      <c r="P273" s="298" t="str">
        <f>IF(B273="", "", 'Lighting Inventory (Ref only)'!E284)</f>
        <v/>
      </c>
      <c r="Q273" s="298" t="str">
        <f>IF(B273="", "", 'Lighting Inventory (Ref only)'!J284)</f>
        <v/>
      </c>
      <c r="R273" s="298" t="str">
        <f>IF(B273="", "",'Lighting Inventory (Ref only)'!K284)</f>
        <v/>
      </c>
      <c r="S273" s="372" t="str">
        <f>IF(B273="", "", 'Lighting Inventory (Ref only)'!G284*'Lighting Inventory (Ref only)'!K284/1000)</f>
        <v/>
      </c>
      <c r="T273" s="298" t="str">
        <f>IF(B273="", "", IF('Lighting Inventory (Ref only)'!I284="", "Light Switch",Inventory!H281))</f>
        <v/>
      </c>
      <c r="W273" s="373"/>
      <c r="X273" s="298" t="str">
        <f>IF(B273="", "", 'Lighting Inventory (Ref only)'!Q284)</f>
        <v/>
      </c>
      <c r="Z273" s="374"/>
      <c r="AA273" s="372" t="str">
        <f>IF(B273="", "",'Lighting Inventory (Ref only)'!R284/1000)</f>
        <v/>
      </c>
      <c r="AB273" s="372" t="str">
        <f>IF(B273="", "", Inventory!M281)</f>
        <v/>
      </c>
      <c r="AC273" s="374" t="str">
        <f>IF(B273="", "", 'Lighting Inventory (Ref only)'!T284)</f>
        <v/>
      </c>
      <c r="AD273" s="374" t="str">
        <f>IF(C273="", "", 'Lighting Inventory (Ref only)'!AA284)</f>
        <v/>
      </c>
      <c r="AE273" s="375" t="str">
        <f>IF(B273="", "", 'Lighting Inventory (Ref only)'!U284)</f>
        <v/>
      </c>
      <c r="AF273" s="375" t="str">
        <f>IF(B273="", "",'Lighting Inventory (Ref only)'!W284)</f>
        <v/>
      </c>
      <c r="AG273" s="375"/>
      <c r="AH273" s="375" t="str">
        <f>IF(B273="", "",'Lighting Inventory (Ref only)'!Z284)</f>
        <v/>
      </c>
      <c r="AI273" s="375" t="str">
        <f>IF(B273="", "", 'Lighting Inventory (Ref only)'!Y284)</f>
        <v/>
      </c>
      <c r="AJ273" s="375" t="str">
        <f>IF(C273="", "",'Lighting Inventory (Ref only)'!AB284)</f>
        <v/>
      </c>
      <c r="AK273" s="375" t="str">
        <f>IF(B273="", "", 'Lighting Inventory (Ref only)'!AG284)</f>
        <v/>
      </c>
      <c r="AL273" s="375" t="str">
        <f>IF(B273="", "", 'Lighting Inventory (Ref only)'!AD284)</f>
        <v/>
      </c>
      <c r="AM273" s="375" t="str">
        <f>IF(B273="", "", 'Lighting Inventory (Ref only)'!AE284)</f>
        <v/>
      </c>
      <c r="AN273" s="375" t="str">
        <f>IF(B273="", "", 'Lighting Inventory (Ref only)'!AF284)</f>
        <v/>
      </c>
      <c r="AO273" s="375" t="str">
        <f>IF(B273="", "", 'Lighting Inventory (Ref only)'!AG284)</f>
        <v/>
      </c>
    </row>
    <row r="274" spans="1:41">
      <c r="A274" s="298" t="str">
        <f>IF(G274="", "", Lookups!BF276)</f>
        <v/>
      </c>
      <c r="B274" s="298" t="str">
        <f>IF('Lighting Inventory (Ref only)'!Q285="", "", 'Lighting Inventory (Ref only)'!Q285)</f>
        <v/>
      </c>
      <c r="C274" s="298" t="str">
        <f>IF(A274="", "", 'Lighting Inventory (Ref only)'!AO285)</f>
        <v/>
      </c>
      <c r="D274" s="370" t="str">
        <f>IF(B274= "","", Inventory!S282)</f>
        <v/>
      </c>
      <c r="E274" s="371"/>
      <c r="F274" s="298" t="str">
        <f>IF(B274="", "", 'Version Log'!$B$34)</f>
        <v/>
      </c>
      <c r="G274" s="298" t="str">
        <f t="shared" si="16"/>
        <v/>
      </c>
      <c r="H274" s="298" t="str">
        <f t="shared" si="17"/>
        <v/>
      </c>
      <c r="I274" s="298" t="str">
        <f>IF(B274="", "",Inventory!D282)</f>
        <v/>
      </c>
      <c r="J274" s="298" t="str">
        <f>IF(B274="","",IF(Inventory!C282="N","Interior","Exterior"))</f>
        <v/>
      </c>
      <c r="K274" s="298" t="str">
        <f t="shared" si="18"/>
        <v/>
      </c>
      <c r="L274" s="298" t="str">
        <f>IF(B274="", "", Inventory!E282)</f>
        <v/>
      </c>
      <c r="M274" s="298" t="str">
        <f>IF(B274="","",IF(Cool_Type=Lookups!$L$9,Cool_Type,IF(Cool_Type=Lookups!$L$10,Cool_Type,IF(Cool_Type=Lookups!$L$11,Cool_Type,IF(Cool_Type=Lookups!L284,Cool_Type,IF('Project Info and Summary'!$C$20="Electric",CONCATENATE(Cool_Type," ",Heating_Type," Heat"),IF('Project Info and Summary'!$C$20="Non-Electric",CONCATENATE(Cool_Type," ",Heating_Type," Heat"),CONCATENATE(Cool_Type," ",Heating_Type))))))))</f>
        <v/>
      </c>
      <c r="N274" s="298" t="str">
        <f t="shared" si="19"/>
        <v/>
      </c>
      <c r="O274" s="298" t="str">
        <f>IF(B274="", "", 'Lighting Inventory (Ref only)'!G285)</f>
        <v/>
      </c>
      <c r="P274" s="298" t="str">
        <f>IF(B274="", "", 'Lighting Inventory (Ref only)'!E285)</f>
        <v/>
      </c>
      <c r="Q274" s="298" t="str">
        <f>IF(B274="", "", 'Lighting Inventory (Ref only)'!J285)</f>
        <v/>
      </c>
      <c r="R274" s="298" t="str">
        <f>IF(B274="", "",'Lighting Inventory (Ref only)'!K285)</f>
        <v/>
      </c>
      <c r="S274" s="372" t="str">
        <f>IF(B274="", "", 'Lighting Inventory (Ref only)'!G285*'Lighting Inventory (Ref only)'!K285/1000)</f>
        <v/>
      </c>
      <c r="T274" s="298" t="str">
        <f>IF(B274="", "", IF('Lighting Inventory (Ref only)'!I285="", "Light Switch",Inventory!H282))</f>
        <v/>
      </c>
      <c r="W274" s="373"/>
      <c r="X274" s="298" t="str">
        <f>IF(B274="", "", 'Lighting Inventory (Ref only)'!Q285)</f>
        <v/>
      </c>
      <c r="Z274" s="374"/>
      <c r="AA274" s="372" t="str">
        <f>IF(B274="", "",'Lighting Inventory (Ref only)'!R285/1000)</f>
        <v/>
      </c>
      <c r="AB274" s="372" t="str">
        <f>IF(B274="", "", Inventory!M282)</f>
        <v/>
      </c>
      <c r="AC274" s="374" t="str">
        <f>IF(B274="", "", 'Lighting Inventory (Ref only)'!T285)</f>
        <v/>
      </c>
      <c r="AD274" s="374" t="str">
        <f>IF(C274="", "", 'Lighting Inventory (Ref only)'!AA285)</f>
        <v/>
      </c>
      <c r="AE274" s="375" t="str">
        <f>IF(B274="", "", 'Lighting Inventory (Ref only)'!U285)</f>
        <v/>
      </c>
      <c r="AF274" s="375" t="str">
        <f>IF(B274="", "",'Lighting Inventory (Ref only)'!W285)</f>
        <v/>
      </c>
      <c r="AG274" s="375"/>
      <c r="AH274" s="375" t="str">
        <f>IF(B274="", "",'Lighting Inventory (Ref only)'!Z285)</f>
        <v/>
      </c>
      <c r="AI274" s="375" t="str">
        <f>IF(B274="", "", 'Lighting Inventory (Ref only)'!Y285)</f>
        <v/>
      </c>
      <c r="AJ274" s="375" t="str">
        <f>IF(C274="", "",'Lighting Inventory (Ref only)'!AB285)</f>
        <v/>
      </c>
      <c r="AK274" s="375" t="str">
        <f>IF(B274="", "", 'Lighting Inventory (Ref only)'!AG285)</f>
        <v/>
      </c>
      <c r="AL274" s="375" t="str">
        <f>IF(B274="", "", 'Lighting Inventory (Ref only)'!AD285)</f>
        <v/>
      </c>
      <c r="AM274" s="375" t="str">
        <f>IF(B274="", "", 'Lighting Inventory (Ref only)'!AE285)</f>
        <v/>
      </c>
      <c r="AN274" s="375" t="str">
        <f>IF(B274="", "", 'Lighting Inventory (Ref only)'!AF285)</f>
        <v/>
      </c>
      <c r="AO274" s="375" t="str">
        <f>IF(B274="", "", 'Lighting Inventory (Ref only)'!AG285)</f>
        <v/>
      </c>
    </row>
    <row r="275" spans="1:41">
      <c r="A275" s="298" t="str">
        <f>IF(G275="", "", Lookups!BF277)</f>
        <v/>
      </c>
      <c r="B275" s="298" t="str">
        <f>IF('Lighting Inventory (Ref only)'!Q286="", "", 'Lighting Inventory (Ref only)'!Q286)</f>
        <v/>
      </c>
      <c r="C275" s="298" t="str">
        <f>IF(A275="", "", 'Lighting Inventory (Ref only)'!AO286)</f>
        <v/>
      </c>
      <c r="D275" s="370" t="str">
        <f>IF(B275= "","", Inventory!S283)</f>
        <v/>
      </c>
      <c r="E275" s="371"/>
      <c r="F275" s="298" t="str">
        <f>IF(B275="", "", 'Version Log'!$B$34)</f>
        <v/>
      </c>
      <c r="G275" s="298" t="str">
        <f t="shared" si="16"/>
        <v/>
      </c>
      <c r="H275" s="298" t="str">
        <f t="shared" si="17"/>
        <v/>
      </c>
      <c r="I275" s="298" t="str">
        <f>IF(B275="", "",Inventory!D283)</f>
        <v/>
      </c>
      <c r="J275" s="298" t="str">
        <f>IF(B275="","",IF(Inventory!C283="N","Interior","Exterior"))</f>
        <v/>
      </c>
      <c r="K275" s="298" t="str">
        <f t="shared" si="18"/>
        <v/>
      </c>
      <c r="L275" s="298" t="str">
        <f>IF(B275="", "", Inventory!E283)</f>
        <v/>
      </c>
      <c r="M275" s="298" t="str">
        <f>IF(B275="","",IF(Cool_Type=Lookups!$L$9,Cool_Type,IF(Cool_Type=Lookups!$L$10,Cool_Type,IF(Cool_Type=Lookups!$L$11,Cool_Type,IF(Cool_Type=Lookups!L285,Cool_Type,IF('Project Info and Summary'!$C$20="Electric",CONCATENATE(Cool_Type," ",Heating_Type," Heat"),IF('Project Info and Summary'!$C$20="Non-Electric",CONCATENATE(Cool_Type," ",Heating_Type," Heat"),CONCATENATE(Cool_Type," ",Heating_Type))))))))</f>
        <v/>
      </c>
      <c r="N275" s="298" t="str">
        <f t="shared" si="19"/>
        <v/>
      </c>
      <c r="O275" s="298" t="str">
        <f>IF(B275="", "", 'Lighting Inventory (Ref only)'!G286)</f>
        <v/>
      </c>
      <c r="P275" s="298" t="str">
        <f>IF(B275="", "", 'Lighting Inventory (Ref only)'!E286)</f>
        <v/>
      </c>
      <c r="Q275" s="298" t="str">
        <f>IF(B275="", "", 'Lighting Inventory (Ref only)'!J286)</f>
        <v/>
      </c>
      <c r="R275" s="298" t="str">
        <f>IF(B275="", "",'Lighting Inventory (Ref only)'!K286)</f>
        <v/>
      </c>
      <c r="S275" s="372" t="str">
        <f>IF(B275="", "", 'Lighting Inventory (Ref only)'!G286*'Lighting Inventory (Ref only)'!K286/1000)</f>
        <v/>
      </c>
      <c r="T275" s="298" t="str">
        <f>IF(B275="", "", IF('Lighting Inventory (Ref only)'!I286="", "Light Switch",Inventory!H283))</f>
        <v/>
      </c>
      <c r="W275" s="373"/>
      <c r="X275" s="298" t="str">
        <f>IF(B275="", "", 'Lighting Inventory (Ref only)'!Q286)</f>
        <v/>
      </c>
      <c r="Z275" s="374"/>
      <c r="AA275" s="372" t="str">
        <f>IF(B275="", "",'Lighting Inventory (Ref only)'!R286/1000)</f>
        <v/>
      </c>
      <c r="AB275" s="372" t="str">
        <f>IF(B275="", "", Inventory!M283)</f>
        <v/>
      </c>
      <c r="AC275" s="374" t="str">
        <f>IF(B275="", "", 'Lighting Inventory (Ref only)'!T286)</f>
        <v/>
      </c>
      <c r="AD275" s="374" t="str">
        <f>IF(C275="", "", 'Lighting Inventory (Ref only)'!AA286)</f>
        <v/>
      </c>
      <c r="AE275" s="375" t="str">
        <f>IF(B275="", "", 'Lighting Inventory (Ref only)'!U286)</f>
        <v/>
      </c>
      <c r="AF275" s="375" t="str">
        <f>IF(B275="", "",'Lighting Inventory (Ref only)'!W286)</f>
        <v/>
      </c>
      <c r="AG275" s="375"/>
      <c r="AH275" s="375" t="str">
        <f>IF(B275="", "",'Lighting Inventory (Ref only)'!Z286)</f>
        <v/>
      </c>
      <c r="AI275" s="375" t="str">
        <f>IF(B275="", "", 'Lighting Inventory (Ref only)'!Y286)</f>
        <v/>
      </c>
      <c r="AJ275" s="375" t="str">
        <f>IF(C275="", "",'Lighting Inventory (Ref only)'!AB286)</f>
        <v/>
      </c>
      <c r="AK275" s="375" t="str">
        <f>IF(B275="", "", 'Lighting Inventory (Ref only)'!AG286)</f>
        <v/>
      </c>
      <c r="AL275" s="375" t="str">
        <f>IF(B275="", "", 'Lighting Inventory (Ref only)'!AD286)</f>
        <v/>
      </c>
      <c r="AM275" s="375" t="str">
        <f>IF(B275="", "", 'Lighting Inventory (Ref only)'!AE286)</f>
        <v/>
      </c>
      <c r="AN275" s="375" t="str">
        <f>IF(B275="", "", 'Lighting Inventory (Ref only)'!AF286)</f>
        <v/>
      </c>
      <c r="AO275" s="375" t="str">
        <f>IF(B275="", "", 'Lighting Inventory (Ref only)'!AG286)</f>
        <v/>
      </c>
    </row>
    <row r="276" spans="1:41">
      <c r="A276" s="298" t="str">
        <f>IF(G276="", "", Lookups!BF278)</f>
        <v/>
      </c>
      <c r="B276" s="298" t="str">
        <f>IF('Lighting Inventory (Ref only)'!Q287="", "", 'Lighting Inventory (Ref only)'!Q287)</f>
        <v/>
      </c>
      <c r="C276" s="298" t="str">
        <f>IF(A276="", "", 'Lighting Inventory (Ref only)'!AO287)</f>
        <v/>
      </c>
      <c r="D276" s="370" t="str">
        <f>IF(B276= "","", Inventory!S284)</f>
        <v/>
      </c>
      <c r="E276" s="371"/>
      <c r="F276" s="298" t="str">
        <f>IF(B276="", "", 'Version Log'!$B$34)</f>
        <v/>
      </c>
      <c r="G276" s="298" t="str">
        <f t="shared" si="16"/>
        <v/>
      </c>
      <c r="H276" s="298" t="str">
        <f t="shared" si="17"/>
        <v/>
      </c>
      <c r="I276" s="298" t="str">
        <f>IF(B276="", "",Inventory!D284)</f>
        <v/>
      </c>
      <c r="J276" s="298" t="str">
        <f>IF(B276="","",IF(Inventory!C284="N","Interior","Exterior"))</f>
        <v/>
      </c>
      <c r="K276" s="298" t="str">
        <f t="shared" si="18"/>
        <v/>
      </c>
      <c r="L276" s="298" t="str">
        <f>IF(B276="", "", Inventory!E284)</f>
        <v/>
      </c>
      <c r="M276" s="298" t="str">
        <f>IF(B276="","",IF(Cool_Type=Lookups!$L$9,Cool_Type,IF(Cool_Type=Lookups!$L$10,Cool_Type,IF(Cool_Type=Lookups!$L$11,Cool_Type,IF(Cool_Type=Lookups!L286,Cool_Type,IF('Project Info and Summary'!$C$20="Electric",CONCATENATE(Cool_Type," ",Heating_Type," Heat"),IF('Project Info and Summary'!$C$20="Non-Electric",CONCATENATE(Cool_Type," ",Heating_Type," Heat"),CONCATENATE(Cool_Type," ",Heating_Type))))))))</f>
        <v/>
      </c>
      <c r="N276" s="298" t="str">
        <f t="shared" si="19"/>
        <v/>
      </c>
      <c r="O276" s="298" t="str">
        <f>IF(B276="", "", 'Lighting Inventory (Ref only)'!G287)</f>
        <v/>
      </c>
      <c r="P276" s="298" t="str">
        <f>IF(B276="", "", 'Lighting Inventory (Ref only)'!E287)</f>
        <v/>
      </c>
      <c r="Q276" s="298" t="str">
        <f>IF(B276="", "", 'Lighting Inventory (Ref only)'!J287)</f>
        <v/>
      </c>
      <c r="R276" s="298" t="str">
        <f>IF(B276="", "",'Lighting Inventory (Ref only)'!K287)</f>
        <v/>
      </c>
      <c r="S276" s="372" t="str">
        <f>IF(B276="", "", 'Lighting Inventory (Ref only)'!G287*'Lighting Inventory (Ref only)'!K287/1000)</f>
        <v/>
      </c>
      <c r="T276" s="298" t="str">
        <f>IF(B276="", "", IF('Lighting Inventory (Ref only)'!I287="", "Light Switch",Inventory!H284))</f>
        <v/>
      </c>
      <c r="W276" s="373"/>
      <c r="X276" s="298" t="str">
        <f>IF(B276="", "", 'Lighting Inventory (Ref only)'!Q287)</f>
        <v/>
      </c>
      <c r="Z276" s="374"/>
      <c r="AA276" s="372" t="str">
        <f>IF(B276="", "",'Lighting Inventory (Ref only)'!R287/1000)</f>
        <v/>
      </c>
      <c r="AB276" s="372" t="str">
        <f>IF(B276="", "", Inventory!M284)</f>
        <v/>
      </c>
      <c r="AC276" s="374" t="str">
        <f>IF(B276="", "", 'Lighting Inventory (Ref only)'!T287)</f>
        <v/>
      </c>
      <c r="AD276" s="374" t="str">
        <f>IF(C276="", "", 'Lighting Inventory (Ref only)'!AA287)</f>
        <v/>
      </c>
      <c r="AE276" s="375" t="str">
        <f>IF(B276="", "", 'Lighting Inventory (Ref only)'!U287)</f>
        <v/>
      </c>
      <c r="AF276" s="375" t="str">
        <f>IF(B276="", "",'Lighting Inventory (Ref only)'!W287)</f>
        <v/>
      </c>
      <c r="AG276" s="375"/>
      <c r="AH276" s="375" t="str">
        <f>IF(B276="", "",'Lighting Inventory (Ref only)'!Z287)</f>
        <v/>
      </c>
      <c r="AI276" s="375" t="str">
        <f>IF(B276="", "", 'Lighting Inventory (Ref only)'!Y287)</f>
        <v/>
      </c>
      <c r="AJ276" s="375" t="str">
        <f>IF(C276="", "",'Lighting Inventory (Ref only)'!AB287)</f>
        <v/>
      </c>
      <c r="AK276" s="375" t="str">
        <f>IF(B276="", "", 'Lighting Inventory (Ref only)'!AG287)</f>
        <v/>
      </c>
      <c r="AL276" s="375" t="str">
        <f>IF(B276="", "", 'Lighting Inventory (Ref only)'!AD287)</f>
        <v/>
      </c>
      <c r="AM276" s="375" t="str">
        <f>IF(B276="", "", 'Lighting Inventory (Ref only)'!AE287)</f>
        <v/>
      </c>
      <c r="AN276" s="375" t="str">
        <f>IF(B276="", "", 'Lighting Inventory (Ref only)'!AF287)</f>
        <v/>
      </c>
      <c r="AO276" s="375" t="str">
        <f>IF(B276="", "", 'Lighting Inventory (Ref only)'!AG287)</f>
        <v/>
      </c>
    </row>
    <row r="277" spans="1:41">
      <c r="A277" s="298" t="str">
        <f>IF(G277="", "", Lookups!BF279)</f>
        <v/>
      </c>
      <c r="B277" s="298" t="str">
        <f>IF('Lighting Inventory (Ref only)'!Q288="", "", 'Lighting Inventory (Ref only)'!Q288)</f>
        <v/>
      </c>
      <c r="C277" s="298" t="str">
        <f>IF(A277="", "", 'Lighting Inventory (Ref only)'!AO288)</f>
        <v/>
      </c>
      <c r="D277" s="370" t="str">
        <f>IF(B277= "","", Inventory!S285)</f>
        <v/>
      </c>
      <c r="E277" s="371"/>
      <c r="F277" s="298" t="str">
        <f>IF(B277="", "", 'Version Log'!$B$34)</f>
        <v/>
      </c>
      <c r="G277" s="298" t="str">
        <f t="shared" si="16"/>
        <v/>
      </c>
      <c r="H277" s="298" t="str">
        <f t="shared" si="17"/>
        <v/>
      </c>
      <c r="I277" s="298" t="str">
        <f>IF(B277="", "",Inventory!D285)</f>
        <v/>
      </c>
      <c r="J277" s="298" t="str">
        <f>IF(B277="","",IF(Inventory!C285="N","Interior","Exterior"))</f>
        <v/>
      </c>
      <c r="K277" s="298" t="str">
        <f t="shared" si="18"/>
        <v/>
      </c>
      <c r="L277" s="298" t="str">
        <f>IF(B277="", "", Inventory!E285)</f>
        <v/>
      </c>
      <c r="M277" s="298" t="str">
        <f>IF(B277="","",IF(Cool_Type=Lookups!$L$9,Cool_Type,IF(Cool_Type=Lookups!$L$10,Cool_Type,IF(Cool_Type=Lookups!$L$11,Cool_Type,IF(Cool_Type=Lookups!L287,Cool_Type,IF('Project Info and Summary'!$C$20="Electric",CONCATENATE(Cool_Type," ",Heating_Type," Heat"),IF('Project Info and Summary'!$C$20="Non-Electric",CONCATENATE(Cool_Type," ",Heating_Type," Heat"),CONCATENATE(Cool_Type," ",Heating_Type))))))))</f>
        <v/>
      </c>
      <c r="N277" s="298" t="str">
        <f t="shared" si="19"/>
        <v/>
      </c>
      <c r="O277" s="298" t="str">
        <f>IF(B277="", "", 'Lighting Inventory (Ref only)'!G288)</f>
        <v/>
      </c>
      <c r="P277" s="298" t="str">
        <f>IF(B277="", "", 'Lighting Inventory (Ref only)'!E288)</f>
        <v/>
      </c>
      <c r="Q277" s="298" t="str">
        <f>IF(B277="", "", 'Lighting Inventory (Ref only)'!J288)</f>
        <v/>
      </c>
      <c r="R277" s="298" t="str">
        <f>IF(B277="", "",'Lighting Inventory (Ref only)'!K288)</f>
        <v/>
      </c>
      <c r="S277" s="372" t="str">
        <f>IF(B277="", "", 'Lighting Inventory (Ref only)'!G288*'Lighting Inventory (Ref only)'!K288/1000)</f>
        <v/>
      </c>
      <c r="T277" s="298" t="str">
        <f>IF(B277="", "", IF('Lighting Inventory (Ref only)'!I288="", "Light Switch",Inventory!H285))</f>
        <v/>
      </c>
      <c r="W277" s="373"/>
      <c r="X277" s="298" t="str">
        <f>IF(B277="", "", 'Lighting Inventory (Ref only)'!Q288)</f>
        <v/>
      </c>
      <c r="Z277" s="374"/>
      <c r="AA277" s="372" t="str">
        <f>IF(B277="", "",'Lighting Inventory (Ref only)'!R288/1000)</f>
        <v/>
      </c>
      <c r="AB277" s="372" t="str">
        <f>IF(B277="", "", Inventory!M285)</f>
        <v/>
      </c>
      <c r="AC277" s="374" t="str">
        <f>IF(B277="", "", 'Lighting Inventory (Ref only)'!T288)</f>
        <v/>
      </c>
      <c r="AD277" s="374" t="str">
        <f>IF(C277="", "", 'Lighting Inventory (Ref only)'!AA288)</f>
        <v/>
      </c>
      <c r="AE277" s="375" t="str">
        <f>IF(B277="", "", 'Lighting Inventory (Ref only)'!U288)</f>
        <v/>
      </c>
      <c r="AF277" s="375" t="str">
        <f>IF(B277="", "",'Lighting Inventory (Ref only)'!W288)</f>
        <v/>
      </c>
      <c r="AG277" s="375"/>
      <c r="AH277" s="375" t="str">
        <f>IF(B277="", "",'Lighting Inventory (Ref only)'!Z288)</f>
        <v/>
      </c>
      <c r="AI277" s="375" t="str">
        <f>IF(B277="", "", 'Lighting Inventory (Ref only)'!Y288)</f>
        <v/>
      </c>
      <c r="AJ277" s="375" t="str">
        <f>IF(C277="", "",'Lighting Inventory (Ref only)'!AB288)</f>
        <v/>
      </c>
      <c r="AK277" s="375" t="str">
        <f>IF(B277="", "", 'Lighting Inventory (Ref only)'!AG288)</f>
        <v/>
      </c>
      <c r="AL277" s="375" t="str">
        <f>IF(B277="", "", 'Lighting Inventory (Ref only)'!AD288)</f>
        <v/>
      </c>
      <c r="AM277" s="375" t="str">
        <f>IF(B277="", "", 'Lighting Inventory (Ref only)'!AE288)</f>
        <v/>
      </c>
      <c r="AN277" s="375" t="str">
        <f>IF(B277="", "", 'Lighting Inventory (Ref only)'!AF288)</f>
        <v/>
      </c>
      <c r="AO277" s="375" t="str">
        <f>IF(B277="", "", 'Lighting Inventory (Ref only)'!AG288)</f>
        <v/>
      </c>
    </row>
    <row r="278" spans="1:41">
      <c r="A278" s="298" t="str">
        <f>IF(G278="", "", Lookups!BF280)</f>
        <v/>
      </c>
      <c r="B278" s="298" t="str">
        <f>IF('Lighting Inventory (Ref only)'!Q289="", "", 'Lighting Inventory (Ref only)'!Q289)</f>
        <v/>
      </c>
      <c r="C278" s="298" t="str">
        <f>IF(A278="", "", 'Lighting Inventory (Ref only)'!AO289)</f>
        <v/>
      </c>
      <c r="D278" s="370" t="str">
        <f>IF(B278= "","", Inventory!S286)</f>
        <v/>
      </c>
      <c r="E278" s="371"/>
      <c r="F278" s="298" t="str">
        <f>IF(B278="", "", 'Version Log'!$B$34)</f>
        <v/>
      </c>
      <c r="G278" s="298" t="str">
        <f t="shared" si="16"/>
        <v/>
      </c>
      <c r="H278" s="298" t="str">
        <f t="shared" si="17"/>
        <v/>
      </c>
      <c r="I278" s="298" t="str">
        <f>IF(B278="", "",Inventory!D286)</f>
        <v/>
      </c>
      <c r="J278" s="298" t="str">
        <f>IF(B278="","",IF(Inventory!C286="N","Interior","Exterior"))</f>
        <v/>
      </c>
      <c r="K278" s="298" t="str">
        <f t="shared" si="18"/>
        <v/>
      </c>
      <c r="L278" s="298" t="str">
        <f>IF(B278="", "", Inventory!E286)</f>
        <v/>
      </c>
      <c r="M278" s="298" t="str">
        <f>IF(B278="","",IF(Cool_Type=Lookups!$L$9,Cool_Type,IF(Cool_Type=Lookups!$L$10,Cool_Type,IF(Cool_Type=Lookups!$L$11,Cool_Type,IF(Cool_Type=Lookups!L288,Cool_Type,IF('Project Info and Summary'!$C$20="Electric",CONCATENATE(Cool_Type," ",Heating_Type," Heat"),IF('Project Info and Summary'!$C$20="Non-Electric",CONCATENATE(Cool_Type," ",Heating_Type," Heat"),CONCATENATE(Cool_Type," ",Heating_Type))))))))</f>
        <v/>
      </c>
      <c r="N278" s="298" t="str">
        <f t="shared" si="19"/>
        <v/>
      </c>
      <c r="O278" s="298" t="str">
        <f>IF(B278="", "", 'Lighting Inventory (Ref only)'!G289)</f>
        <v/>
      </c>
      <c r="P278" s="298" t="str">
        <f>IF(B278="", "", 'Lighting Inventory (Ref only)'!E289)</f>
        <v/>
      </c>
      <c r="Q278" s="298" t="str">
        <f>IF(B278="", "", 'Lighting Inventory (Ref only)'!J289)</f>
        <v/>
      </c>
      <c r="R278" s="298" t="str">
        <f>IF(B278="", "",'Lighting Inventory (Ref only)'!K289)</f>
        <v/>
      </c>
      <c r="S278" s="372" t="str">
        <f>IF(B278="", "", 'Lighting Inventory (Ref only)'!G289*'Lighting Inventory (Ref only)'!K289/1000)</f>
        <v/>
      </c>
      <c r="T278" s="298" t="str">
        <f>IF(B278="", "", IF('Lighting Inventory (Ref only)'!I289="", "Light Switch",Inventory!H286))</f>
        <v/>
      </c>
      <c r="W278" s="373"/>
      <c r="X278" s="298" t="str">
        <f>IF(B278="", "", 'Lighting Inventory (Ref only)'!Q289)</f>
        <v/>
      </c>
      <c r="Z278" s="374"/>
      <c r="AA278" s="372" t="str">
        <f>IF(B278="", "",'Lighting Inventory (Ref only)'!R289/1000)</f>
        <v/>
      </c>
      <c r="AB278" s="372" t="str">
        <f>IF(B278="", "", Inventory!M286)</f>
        <v/>
      </c>
      <c r="AC278" s="374" t="str">
        <f>IF(B278="", "", 'Lighting Inventory (Ref only)'!T289)</f>
        <v/>
      </c>
      <c r="AD278" s="374" t="str">
        <f>IF(C278="", "", 'Lighting Inventory (Ref only)'!AA289)</f>
        <v/>
      </c>
      <c r="AE278" s="375" t="str">
        <f>IF(B278="", "", 'Lighting Inventory (Ref only)'!U289)</f>
        <v/>
      </c>
      <c r="AF278" s="375" t="str">
        <f>IF(B278="", "",'Lighting Inventory (Ref only)'!W289)</f>
        <v/>
      </c>
      <c r="AG278" s="375"/>
      <c r="AH278" s="375" t="str">
        <f>IF(B278="", "",'Lighting Inventory (Ref only)'!Z289)</f>
        <v/>
      </c>
      <c r="AI278" s="375" t="str">
        <f>IF(B278="", "", 'Lighting Inventory (Ref only)'!Y289)</f>
        <v/>
      </c>
      <c r="AJ278" s="375" t="str">
        <f>IF(C278="", "",'Lighting Inventory (Ref only)'!AB289)</f>
        <v/>
      </c>
      <c r="AK278" s="375" t="str">
        <f>IF(B278="", "", 'Lighting Inventory (Ref only)'!AG289)</f>
        <v/>
      </c>
      <c r="AL278" s="375" t="str">
        <f>IF(B278="", "", 'Lighting Inventory (Ref only)'!AD289)</f>
        <v/>
      </c>
      <c r="AM278" s="375" t="str">
        <f>IF(B278="", "", 'Lighting Inventory (Ref only)'!AE289)</f>
        <v/>
      </c>
      <c r="AN278" s="375" t="str">
        <f>IF(B278="", "", 'Lighting Inventory (Ref only)'!AF289)</f>
        <v/>
      </c>
      <c r="AO278" s="375" t="str">
        <f>IF(B278="", "", 'Lighting Inventory (Ref only)'!AG289)</f>
        <v/>
      </c>
    </row>
    <row r="279" spans="1:41">
      <c r="A279" s="298" t="str">
        <f>IF(G279="", "", Lookups!BF281)</f>
        <v/>
      </c>
      <c r="B279" s="298" t="str">
        <f>IF('Lighting Inventory (Ref only)'!Q290="", "", 'Lighting Inventory (Ref only)'!Q290)</f>
        <v/>
      </c>
      <c r="C279" s="298" t="str">
        <f>IF(A279="", "", 'Lighting Inventory (Ref only)'!AO290)</f>
        <v/>
      </c>
      <c r="D279" s="370" t="str">
        <f>IF(B279= "","", Inventory!S287)</f>
        <v/>
      </c>
      <c r="E279" s="371"/>
      <c r="F279" s="298" t="str">
        <f>IF(B279="", "", 'Version Log'!$B$34)</f>
        <v/>
      </c>
      <c r="G279" s="298" t="str">
        <f t="shared" si="16"/>
        <v/>
      </c>
      <c r="H279" s="298" t="str">
        <f t="shared" si="17"/>
        <v/>
      </c>
      <c r="I279" s="298" t="str">
        <f>IF(B279="", "",Inventory!D287)</f>
        <v/>
      </c>
      <c r="J279" s="298" t="str">
        <f>IF(B279="","",IF(Inventory!C287="N","Interior","Exterior"))</f>
        <v/>
      </c>
      <c r="K279" s="298" t="str">
        <f t="shared" si="18"/>
        <v/>
      </c>
      <c r="L279" s="298" t="str">
        <f>IF(B279="", "", Inventory!E287)</f>
        <v/>
      </c>
      <c r="M279" s="298" t="str">
        <f>IF(B279="","",IF(Cool_Type=Lookups!$L$9,Cool_Type,IF(Cool_Type=Lookups!$L$10,Cool_Type,IF(Cool_Type=Lookups!$L$11,Cool_Type,IF(Cool_Type=Lookups!L289,Cool_Type,IF('Project Info and Summary'!$C$20="Electric",CONCATENATE(Cool_Type," ",Heating_Type," Heat"),IF('Project Info and Summary'!$C$20="Non-Electric",CONCATENATE(Cool_Type," ",Heating_Type," Heat"),CONCATENATE(Cool_Type," ",Heating_Type))))))))</f>
        <v/>
      </c>
      <c r="N279" s="298" t="str">
        <f t="shared" si="19"/>
        <v/>
      </c>
      <c r="O279" s="298" t="str">
        <f>IF(B279="", "", 'Lighting Inventory (Ref only)'!G290)</f>
        <v/>
      </c>
      <c r="P279" s="298" t="str">
        <f>IF(B279="", "", 'Lighting Inventory (Ref only)'!E290)</f>
        <v/>
      </c>
      <c r="Q279" s="298" t="str">
        <f>IF(B279="", "", 'Lighting Inventory (Ref only)'!J290)</f>
        <v/>
      </c>
      <c r="R279" s="298" t="str">
        <f>IF(B279="", "",'Lighting Inventory (Ref only)'!K290)</f>
        <v/>
      </c>
      <c r="S279" s="372" t="str">
        <f>IF(B279="", "", 'Lighting Inventory (Ref only)'!G290*'Lighting Inventory (Ref only)'!K290/1000)</f>
        <v/>
      </c>
      <c r="T279" s="298" t="str">
        <f>IF(B279="", "", IF('Lighting Inventory (Ref only)'!I290="", "Light Switch",Inventory!H287))</f>
        <v/>
      </c>
      <c r="W279" s="373"/>
      <c r="X279" s="298" t="str">
        <f>IF(B279="", "", 'Lighting Inventory (Ref only)'!Q290)</f>
        <v/>
      </c>
      <c r="Z279" s="374"/>
      <c r="AA279" s="372" t="str">
        <f>IF(B279="", "",'Lighting Inventory (Ref only)'!R290/1000)</f>
        <v/>
      </c>
      <c r="AB279" s="372" t="str">
        <f>IF(B279="", "", Inventory!M287)</f>
        <v/>
      </c>
      <c r="AC279" s="374" t="str">
        <f>IF(B279="", "", 'Lighting Inventory (Ref only)'!T290)</f>
        <v/>
      </c>
      <c r="AD279" s="374" t="str">
        <f>IF(C279="", "", 'Lighting Inventory (Ref only)'!AA290)</f>
        <v/>
      </c>
      <c r="AE279" s="375" t="str">
        <f>IF(B279="", "", 'Lighting Inventory (Ref only)'!U290)</f>
        <v/>
      </c>
      <c r="AF279" s="375" t="str">
        <f>IF(B279="", "",'Lighting Inventory (Ref only)'!W290)</f>
        <v/>
      </c>
      <c r="AG279" s="375"/>
      <c r="AH279" s="375" t="str">
        <f>IF(B279="", "",'Lighting Inventory (Ref only)'!Z290)</f>
        <v/>
      </c>
      <c r="AI279" s="375" t="str">
        <f>IF(B279="", "", 'Lighting Inventory (Ref only)'!Y290)</f>
        <v/>
      </c>
      <c r="AJ279" s="375" t="str">
        <f>IF(C279="", "",'Lighting Inventory (Ref only)'!AB290)</f>
        <v/>
      </c>
      <c r="AK279" s="375" t="str">
        <f>IF(B279="", "", 'Lighting Inventory (Ref only)'!AG290)</f>
        <v/>
      </c>
      <c r="AL279" s="375" t="str">
        <f>IF(B279="", "", 'Lighting Inventory (Ref only)'!AD290)</f>
        <v/>
      </c>
      <c r="AM279" s="375" t="str">
        <f>IF(B279="", "", 'Lighting Inventory (Ref only)'!AE290)</f>
        <v/>
      </c>
      <c r="AN279" s="375" t="str">
        <f>IF(B279="", "", 'Lighting Inventory (Ref only)'!AF290)</f>
        <v/>
      </c>
      <c r="AO279" s="375" t="str">
        <f>IF(B279="", "", 'Lighting Inventory (Ref only)'!AG290)</f>
        <v/>
      </c>
    </row>
    <row r="280" spans="1:41">
      <c r="A280" s="298" t="str">
        <f>IF(G280="", "", Lookups!BF282)</f>
        <v/>
      </c>
      <c r="B280" s="298" t="str">
        <f>IF('Lighting Inventory (Ref only)'!Q291="", "", 'Lighting Inventory (Ref only)'!Q291)</f>
        <v/>
      </c>
      <c r="C280" s="298" t="str">
        <f>IF(A280="", "", 'Lighting Inventory (Ref only)'!AO291)</f>
        <v/>
      </c>
      <c r="D280" s="370" t="str">
        <f>IF(B280= "","", Inventory!S288)</f>
        <v/>
      </c>
      <c r="E280" s="371"/>
      <c r="F280" s="298" t="str">
        <f>IF(B280="", "", 'Version Log'!$B$34)</f>
        <v/>
      </c>
      <c r="G280" s="298" t="str">
        <f t="shared" si="16"/>
        <v/>
      </c>
      <c r="H280" s="298" t="str">
        <f t="shared" si="17"/>
        <v/>
      </c>
      <c r="I280" s="298" t="str">
        <f>IF(B280="", "",Inventory!D288)</f>
        <v/>
      </c>
      <c r="J280" s="298" t="str">
        <f>IF(B280="","",IF(Inventory!C288="N","Interior","Exterior"))</f>
        <v/>
      </c>
      <c r="K280" s="298" t="str">
        <f t="shared" si="18"/>
        <v/>
      </c>
      <c r="L280" s="298" t="str">
        <f>IF(B280="", "", Inventory!E288)</f>
        <v/>
      </c>
      <c r="M280" s="298" t="str">
        <f>IF(B280="","",IF(Cool_Type=Lookups!$L$9,Cool_Type,IF(Cool_Type=Lookups!$L$10,Cool_Type,IF(Cool_Type=Lookups!$L$11,Cool_Type,IF(Cool_Type=Lookups!L290,Cool_Type,IF('Project Info and Summary'!$C$20="Electric",CONCATENATE(Cool_Type," ",Heating_Type," Heat"),IF('Project Info and Summary'!$C$20="Non-Electric",CONCATENATE(Cool_Type," ",Heating_Type," Heat"),CONCATENATE(Cool_Type," ",Heating_Type))))))))</f>
        <v/>
      </c>
      <c r="N280" s="298" t="str">
        <f t="shared" si="19"/>
        <v/>
      </c>
      <c r="O280" s="298" t="str">
        <f>IF(B280="", "", 'Lighting Inventory (Ref only)'!G291)</f>
        <v/>
      </c>
      <c r="P280" s="298" t="str">
        <f>IF(B280="", "", 'Lighting Inventory (Ref only)'!E291)</f>
        <v/>
      </c>
      <c r="Q280" s="298" t="str">
        <f>IF(B280="", "", 'Lighting Inventory (Ref only)'!J291)</f>
        <v/>
      </c>
      <c r="R280" s="298" t="str">
        <f>IF(B280="", "",'Lighting Inventory (Ref only)'!K291)</f>
        <v/>
      </c>
      <c r="S280" s="372" t="str">
        <f>IF(B280="", "", 'Lighting Inventory (Ref only)'!G291*'Lighting Inventory (Ref only)'!K291/1000)</f>
        <v/>
      </c>
      <c r="T280" s="298" t="str">
        <f>IF(B280="", "", IF('Lighting Inventory (Ref only)'!I291="", "Light Switch",Inventory!H288))</f>
        <v/>
      </c>
      <c r="W280" s="373"/>
      <c r="X280" s="298" t="str">
        <f>IF(B280="", "", 'Lighting Inventory (Ref only)'!Q291)</f>
        <v/>
      </c>
      <c r="Z280" s="374"/>
      <c r="AA280" s="372" t="str">
        <f>IF(B280="", "",'Lighting Inventory (Ref only)'!R291/1000)</f>
        <v/>
      </c>
      <c r="AB280" s="372" t="str">
        <f>IF(B280="", "", Inventory!M288)</f>
        <v/>
      </c>
      <c r="AC280" s="374" t="str">
        <f>IF(B280="", "", 'Lighting Inventory (Ref only)'!T291)</f>
        <v/>
      </c>
      <c r="AD280" s="374" t="str">
        <f>IF(C280="", "", 'Lighting Inventory (Ref only)'!AA291)</f>
        <v/>
      </c>
      <c r="AE280" s="375" t="str">
        <f>IF(B280="", "", 'Lighting Inventory (Ref only)'!U291)</f>
        <v/>
      </c>
      <c r="AF280" s="375" t="str">
        <f>IF(B280="", "",'Lighting Inventory (Ref only)'!W291)</f>
        <v/>
      </c>
      <c r="AG280" s="375"/>
      <c r="AH280" s="375" t="str">
        <f>IF(B280="", "",'Lighting Inventory (Ref only)'!Z291)</f>
        <v/>
      </c>
      <c r="AI280" s="375" t="str">
        <f>IF(B280="", "", 'Lighting Inventory (Ref only)'!Y291)</f>
        <v/>
      </c>
      <c r="AJ280" s="375" t="str">
        <f>IF(C280="", "",'Lighting Inventory (Ref only)'!AB291)</f>
        <v/>
      </c>
      <c r="AK280" s="375" t="str">
        <f>IF(B280="", "", 'Lighting Inventory (Ref only)'!AG291)</f>
        <v/>
      </c>
      <c r="AL280" s="375" t="str">
        <f>IF(B280="", "", 'Lighting Inventory (Ref only)'!AD291)</f>
        <v/>
      </c>
      <c r="AM280" s="375" t="str">
        <f>IF(B280="", "", 'Lighting Inventory (Ref only)'!AE291)</f>
        <v/>
      </c>
      <c r="AN280" s="375" t="str">
        <f>IF(B280="", "", 'Lighting Inventory (Ref only)'!AF291)</f>
        <v/>
      </c>
      <c r="AO280" s="375" t="str">
        <f>IF(B280="", "", 'Lighting Inventory (Ref only)'!AG291)</f>
        <v/>
      </c>
    </row>
    <row r="281" spans="1:41">
      <c r="A281" s="298" t="str">
        <f>IF(G281="", "", Lookups!BF283)</f>
        <v/>
      </c>
      <c r="B281" s="298" t="str">
        <f>IF('Lighting Inventory (Ref only)'!Q292="", "", 'Lighting Inventory (Ref only)'!Q292)</f>
        <v/>
      </c>
      <c r="C281" s="298" t="str">
        <f>IF(A281="", "", 'Lighting Inventory (Ref only)'!AO292)</f>
        <v/>
      </c>
      <c r="D281" s="370" t="str">
        <f>IF(B281= "","", Inventory!S289)</f>
        <v/>
      </c>
      <c r="E281" s="371"/>
      <c r="F281" s="298" t="str">
        <f>IF(B281="", "", 'Version Log'!$B$34)</f>
        <v/>
      </c>
      <c r="G281" s="298" t="str">
        <f t="shared" si="16"/>
        <v/>
      </c>
      <c r="H281" s="298" t="str">
        <f t="shared" si="17"/>
        <v/>
      </c>
      <c r="I281" s="298" t="str">
        <f>IF(B281="", "",Inventory!D289)</f>
        <v/>
      </c>
      <c r="J281" s="298" t="str">
        <f>IF(B281="","",IF(Inventory!C289="N","Interior","Exterior"))</f>
        <v/>
      </c>
      <c r="K281" s="298" t="str">
        <f t="shared" si="18"/>
        <v/>
      </c>
      <c r="L281" s="298" t="str">
        <f>IF(B281="", "", Inventory!E289)</f>
        <v/>
      </c>
      <c r="M281" s="298" t="str">
        <f>IF(B281="","",IF(Cool_Type=Lookups!$L$9,Cool_Type,IF(Cool_Type=Lookups!$L$10,Cool_Type,IF(Cool_Type=Lookups!$L$11,Cool_Type,IF(Cool_Type=Lookups!L291,Cool_Type,IF('Project Info and Summary'!$C$20="Electric",CONCATENATE(Cool_Type," ",Heating_Type," Heat"),IF('Project Info and Summary'!$C$20="Non-Electric",CONCATENATE(Cool_Type," ",Heating_Type," Heat"),CONCATENATE(Cool_Type," ",Heating_Type))))))))</f>
        <v/>
      </c>
      <c r="N281" s="298" t="str">
        <f t="shared" si="19"/>
        <v/>
      </c>
      <c r="O281" s="298" t="str">
        <f>IF(B281="", "", 'Lighting Inventory (Ref only)'!G292)</f>
        <v/>
      </c>
      <c r="P281" s="298" t="str">
        <f>IF(B281="", "", 'Lighting Inventory (Ref only)'!E292)</f>
        <v/>
      </c>
      <c r="Q281" s="298" t="str">
        <f>IF(B281="", "", 'Lighting Inventory (Ref only)'!J292)</f>
        <v/>
      </c>
      <c r="R281" s="298" t="str">
        <f>IF(B281="", "",'Lighting Inventory (Ref only)'!K292)</f>
        <v/>
      </c>
      <c r="S281" s="372" t="str">
        <f>IF(B281="", "", 'Lighting Inventory (Ref only)'!G292*'Lighting Inventory (Ref only)'!K292/1000)</f>
        <v/>
      </c>
      <c r="T281" s="298" t="str">
        <f>IF(B281="", "", IF('Lighting Inventory (Ref only)'!I292="", "Light Switch",Inventory!H289))</f>
        <v/>
      </c>
      <c r="W281" s="373"/>
      <c r="X281" s="298" t="str">
        <f>IF(B281="", "", 'Lighting Inventory (Ref only)'!Q292)</f>
        <v/>
      </c>
      <c r="Z281" s="374"/>
      <c r="AA281" s="372" t="str">
        <f>IF(B281="", "",'Lighting Inventory (Ref only)'!R292/1000)</f>
        <v/>
      </c>
      <c r="AB281" s="372" t="str">
        <f>IF(B281="", "", Inventory!M289)</f>
        <v/>
      </c>
      <c r="AC281" s="374" t="str">
        <f>IF(B281="", "", 'Lighting Inventory (Ref only)'!T292)</f>
        <v/>
      </c>
      <c r="AD281" s="374" t="str">
        <f>IF(C281="", "", 'Lighting Inventory (Ref only)'!AA292)</f>
        <v/>
      </c>
      <c r="AE281" s="375" t="str">
        <f>IF(B281="", "", 'Lighting Inventory (Ref only)'!U292)</f>
        <v/>
      </c>
      <c r="AF281" s="375" t="str">
        <f>IF(B281="", "",'Lighting Inventory (Ref only)'!W292)</f>
        <v/>
      </c>
      <c r="AG281" s="375"/>
      <c r="AH281" s="375" t="str">
        <f>IF(B281="", "",'Lighting Inventory (Ref only)'!Z292)</f>
        <v/>
      </c>
      <c r="AI281" s="375" t="str">
        <f>IF(B281="", "", 'Lighting Inventory (Ref only)'!Y292)</f>
        <v/>
      </c>
      <c r="AJ281" s="375" t="str">
        <f>IF(C281="", "",'Lighting Inventory (Ref only)'!AB292)</f>
        <v/>
      </c>
      <c r="AK281" s="375" t="str">
        <f>IF(B281="", "", 'Lighting Inventory (Ref only)'!AG292)</f>
        <v/>
      </c>
      <c r="AL281" s="375" t="str">
        <f>IF(B281="", "", 'Lighting Inventory (Ref only)'!AD292)</f>
        <v/>
      </c>
      <c r="AM281" s="375" t="str">
        <f>IF(B281="", "", 'Lighting Inventory (Ref only)'!AE292)</f>
        <v/>
      </c>
      <c r="AN281" s="375" t="str">
        <f>IF(B281="", "", 'Lighting Inventory (Ref only)'!AF292)</f>
        <v/>
      </c>
      <c r="AO281" s="375" t="str">
        <f>IF(B281="", "", 'Lighting Inventory (Ref only)'!AG292)</f>
        <v/>
      </c>
    </row>
    <row r="282" spans="1:41">
      <c r="A282" s="298" t="str">
        <f>IF(G282="", "", Lookups!BF284)</f>
        <v/>
      </c>
      <c r="B282" s="298" t="str">
        <f>IF('Lighting Inventory (Ref only)'!Q293="", "", 'Lighting Inventory (Ref only)'!Q293)</f>
        <v/>
      </c>
      <c r="C282" s="298" t="str">
        <f>IF(A282="", "", 'Lighting Inventory (Ref only)'!AO293)</f>
        <v/>
      </c>
      <c r="D282" s="370" t="str">
        <f>IF(B282= "","", Inventory!S290)</f>
        <v/>
      </c>
      <c r="E282" s="371"/>
      <c r="F282" s="298" t="str">
        <f>IF(B282="", "", 'Version Log'!$B$34)</f>
        <v/>
      </c>
      <c r="G282" s="298" t="str">
        <f t="shared" si="16"/>
        <v/>
      </c>
      <c r="H282" s="298" t="str">
        <f t="shared" si="17"/>
        <v/>
      </c>
      <c r="I282" s="298" t="str">
        <f>IF(B282="", "",Inventory!D290)</f>
        <v/>
      </c>
      <c r="J282" s="298" t="str">
        <f>IF(B282="","",IF(Inventory!C290="N","Interior","Exterior"))</f>
        <v/>
      </c>
      <c r="K282" s="298" t="str">
        <f t="shared" si="18"/>
        <v/>
      </c>
      <c r="L282" s="298" t="str">
        <f>IF(B282="", "", Inventory!E290)</f>
        <v/>
      </c>
      <c r="M282" s="298" t="str">
        <f>IF(B282="","",IF(Cool_Type=Lookups!$L$9,Cool_Type,IF(Cool_Type=Lookups!$L$10,Cool_Type,IF(Cool_Type=Lookups!$L$11,Cool_Type,IF(Cool_Type=Lookups!L292,Cool_Type,IF('Project Info and Summary'!$C$20="Electric",CONCATENATE(Cool_Type," ",Heating_Type," Heat"),IF('Project Info and Summary'!$C$20="Non-Electric",CONCATENATE(Cool_Type," ",Heating_Type," Heat"),CONCATENATE(Cool_Type," ",Heating_Type))))))))</f>
        <v/>
      </c>
      <c r="N282" s="298" t="str">
        <f t="shared" si="19"/>
        <v/>
      </c>
      <c r="O282" s="298" t="str">
        <f>IF(B282="", "", 'Lighting Inventory (Ref only)'!G293)</f>
        <v/>
      </c>
      <c r="P282" s="298" t="str">
        <f>IF(B282="", "", 'Lighting Inventory (Ref only)'!E293)</f>
        <v/>
      </c>
      <c r="Q282" s="298" t="str">
        <f>IF(B282="", "", 'Lighting Inventory (Ref only)'!J293)</f>
        <v/>
      </c>
      <c r="R282" s="298" t="str">
        <f>IF(B282="", "",'Lighting Inventory (Ref only)'!K293)</f>
        <v/>
      </c>
      <c r="S282" s="372" t="str">
        <f>IF(B282="", "", 'Lighting Inventory (Ref only)'!G293*'Lighting Inventory (Ref only)'!K293/1000)</f>
        <v/>
      </c>
      <c r="T282" s="298" t="str">
        <f>IF(B282="", "", IF('Lighting Inventory (Ref only)'!I293="", "Light Switch",Inventory!H290))</f>
        <v/>
      </c>
      <c r="W282" s="373"/>
      <c r="X282" s="298" t="str">
        <f>IF(B282="", "", 'Lighting Inventory (Ref only)'!Q293)</f>
        <v/>
      </c>
      <c r="Z282" s="374"/>
      <c r="AA282" s="372" t="str">
        <f>IF(B282="", "",'Lighting Inventory (Ref only)'!R293/1000)</f>
        <v/>
      </c>
      <c r="AB282" s="372" t="str">
        <f>IF(B282="", "", Inventory!M290)</f>
        <v/>
      </c>
      <c r="AC282" s="374" t="str">
        <f>IF(B282="", "", 'Lighting Inventory (Ref only)'!T293)</f>
        <v/>
      </c>
      <c r="AD282" s="374" t="str">
        <f>IF(C282="", "", 'Lighting Inventory (Ref only)'!AA293)</f>
        <v/>
      </c>
      <c r="AE282" s="375" t="str">
        <f>IF(B282="", "", 'Lighting Inventory (Ref only)'!U293)</f>
        <v/>
      </c>
      <c r="AF282" s="375" t="str">
        <f>IF(B282="", "",'Lighting Inventory (Ref only)'!W293)</f>
        <v/>
      </c>
      <c r="AG282" s="375"/>
      <c r="AH282" s="375" t="str">
        <f>IF(B282="", "",'Lighting Inventory (Ref only)'!Z293)</f>
        <v/>
      </c>
      <c r="AI282" s="375" t="str">
        <f>IF(B282="", "", 'Lighting Inventory (Ref only)'!Y293)</f>
        <v/>
      </c>
      <c r="AJ282" s="375" t="str">
        <f>IF(C282="", "",'Lighting Inventory (Ref only)'!AB293)</f>
        <v/>
      </c>
      <c r="AK282" s="375" t="str">
        <f>IF(B282="", "", 'Lighting Inventory (Ref only)'!AG293)</f>
        <v/>
      </c>
      <c r="AL282" s="375" t="str">
        <f>IF(B282="", "", 'Lighting Inventory (Ref only)'!AD293)</f>
        <v/>
      </c>
      <c r="AM282" s="375" t="str">
        <f>IF(B282="", "", 'Lighting Inventory (Ref only)'!AE293)</f>
        <v/>
      </c>
      <c r="AN282" s="375" t="str">
        <f>IF(B282="", "", 'Lighting Inventory (Ref only)'!AF293)</f>
        <v/>
      </c>
      <c r="AO282" s="375" t="str">
        <f>IF(B282="", "", 'Lighting Inventory (Ref only)'!AG293)</f>
        <v/>
      </c>
    </row>
    <row r="283" spans="1:41">
      <c r="A283" s="298" t="str">
        <f>IF(G283="", "", Lookups!BF285)</f>
        <v/>
      </c>
      <c r="B283" s="298" t="str">
        <f>IF('Lighting Inventory (Ref only)'!Q294="", "", 'Lighting Inventory (Ref only)'!Q294)</f>
        <v/>
      </c>
      <c r="C283" s="298" t="str">
        <f>IF(A283="", "", 'Lighting Inventory (Ref only)'!AO294)</f>
        <v/>
      </c>
      <c r="D283" s="370" t="str">
        <f>IF(B283= "","", Inventory!S291)</f>
        <v/>
      </c>
      <c r="E283" s="371"/>
      <c r="F283" s="298" t="str">
        <f>IF(B283="", "", 'Version Log'!$B$34)</f>
        <v/>
      </c>
      <c r="G283" s="298" t="str">
        <f t="shared" si="16"/>
        <v/>
      </c>
      <c r="H283" s="298" t="str">
        <f t="shared" si="17"/>
        <v/>
      </c>
      <c r="I283" s="298" t="str">
        <f>IF(B283="", "",Inventory!D291)</f>
        <v/>
      </c>
      <c r="J283" s="298" t="str">
        <f>IF(B283="","",IF(Inventory!C291="N","Interior","Exterior"))</f>
        <v/>
      </c>
      <c r="K283" s="298" t="str">
        <f t="shared" si="18"/>
        <v/>
      </c>
      <c r="L283" s="298" t="str">
        <f>IF(B283="", "", Inventory!E291)</f>
        <v/>
      </c>
      <c r="M283" s="298" t="str">
        <f>IF(B283="","",IF(Cool_Type=Lookups!$L$9,Cool_Type,IF(Cool_Type=Lookups!$L$10,Cool_Type,IF(Cool_Type=Lookups!$L$11,Cool_Type,IF(Cool_Type=Lookups!L293,Cool_Type,IF('Project Info and Summary'!$C$20="Electric",CONCATENATE(Cool_Type," ",Heating_Type," Heat"),IF('Project Info and Summary'!$C$20="Non-Electric",CONCATENATE(Cool_Type," ",Heating_Type," Heat"),CONCATENATE(Cool_Type," ",Heating_Type))))))))</f>
        <v/>
      </c>
      <c r="N283" s="298" t="str">
        <f t="shared" si="19"/>
        <v/>
      </c>
      <c r="O283" s="298" t="str">
        <f>IF(B283="", "", 'Lighting Inventory (Ref only)'!G294)</f>
        <v/>
      </c>
      <c r="P283" s="298" t="str">
        <f>IF(B283="", "", 'Lighting Inventory (Ref only)'!E294)</f>
        <v/>
      </c>
      <c r="Q283" s="298" t="str">
        <f>IF(B283="", "", 'Lighting Inventory (Ref only)'!J294)</f>
        <v/>
      </c>
      <c r="R283" s="298" t="str">
        <f>IF(B283="", "",'Lighting Inventory (Ref only)'!K294)</f>
        <v/>
      </c>
      <c r="S283" s="372" t="str">
        <f>IF(B283="", "", 'Lighting Inventory (Ref only)'!G294*'Lighting Inventory (Ref only)'!K294/1000)</f>
        <v/>
      </c>
      <c r="T283" s="298" t="str">
        <f>IF(B283="", "", IF('Lighting Inventory (Ref only)'!I294="", "Light Switch",Inventory!H291))</f>
        <v/>
      </c>
      <c r="W283" s="373"/>
      <c r="X283" s="298" t="str">
        <f>IF(B283="", "", 'Lighting Inventory (Ref only)'!Q294)</f>
        <v/>
      </c>
      <c r="Z283" s="374"/>
      <c r="AA283" s="372" t="str">
        <f>IF(B283="", "",'Lighting Inventory (Ref only)'!R294/1000)</f>
        <v/>
      </c>
      <c r="AB283" s="372" t="str">
        <f>IF(B283="", "", Inventory!M291)</f>
        <v/>
      </c>
      <c r="AC283" s="374" t="str">
        <f>IF(B283="", "", 'Lighting Inventory (Ref only)'!T294)</f>
        <v/>
      </c>
      <c r="AD283" s="374" t="str">
        <f>IF(C283="", "", 'Lighting Inventory (Ref only)'!AA294)</f>
        <v/>
      </c>
      <c r="AE283" s="375" t="str">
        <f>IF(B283="", "", 'Lighting Inventory (Ref only)'!U294)</f>
        <v/>
      </c>
      <c r="AF283" s="375" t="str">
        <f>IF(B283="", "",'Lighting Inventory (Ref only)'!W294)</f>
        <v/>
      </c>
      <c r="AG283" s="375"/>
      <c r="AH283" s="375" t="str">
        <f>IF(B283="", "",'Lighting Inventory (Ref only)'!Z294)</f>
        <v/>
      </c>
      <c r="AI283" s="375" t="str">
        <f>IF(B283="", "", 'Lighting Inventory (Ref only)'!Y294)</f>
        <v/>
      </c>
      <c r="AJ283" s="375" t="str">
        <f>IF(C283="", "",'Lighting Inventory (Ref only)'!AB294)</f>
        <v/>
      </c>
      <c r="AK283" s="375" t="str">
        <f>IF(B283="", "", 'Lighting Inventory (Ref only)'!AG294)</f>
        <v/>
      </c>
      <c r="AL283" s="375" t="str">
        <f>IF(B283="", "", 'Lighting Inventory (Ref only)'!AD294)</f>
        <v/>
      </c>
      <c r="AM283" s="375" t="str">
        <f>IF(B283="", "", 'Lighting Inventory (Ref only)'!AE294)</f>
        <v/>
      </c>
      <c r="AN283" s="375" t="str">
        <f>IF(B283="", "", 'Lighting Inventory (Ref only)'!AF294)</f>
        <v/>
      </c>
      <c r="AO283" s="375" t="str">
        <f>IF(B283="", "", 'Lighting Inventory (Ref only)'!AG294)</f>
        <v/>
      </c>
    </row>
    <row r="284" spans="1:41">
      <c r="A284" s="298" t="str">
        <f>IF(G284="", "", Lookups!BF286)</f>
        <v/>
      </c>
      <c r="B284" s="298" t="str">
        <f>IF('Lighting Inventory (Ref only)'!Q295="", "", 'Lighting Inventory (Ref only)'!Q295)</f>
        <v/>
      </c>
      <c r="C284" s="298" t="str">
        <f>IF(A284="", "", 'Lighting Inventory (Ref only)'!AO295)</f>
        <v/>
      </c>
      <c r="D284" s="370" t="str">
        <f>IF(B284= "","", Inventory!S292)</f>
        <v/>
      </c>
      <c r="E284" s="371"/>
      <c r="F284" s="298" t="str">
        <f>IF(B284="", "", 'Version Log'!$B$34)</f>
        <v/>
      </c>
      <c r="G284" s="298" t="str">
        <f t="shared" si="16"/>
        <v/>
      </c>
      <c r="H284" s="298" t="str">
        <f t="shared" si="17"/>
        <v/>
      </c>
      <c r="I284" s="298" t="str">
        <f>IF(B284="", "",Inventory!D292)</f>
        <v/>
      </c>
      <c r="J284" s="298" t="str">
        <f>IF(B284="","",IF(Inventory!C292="N","Interior","Exterior"))</f>
        <v/>
      </c>
      <c r="K284" s="298" t="str">
        <f t="shared" si="18"/>
        <v/>
      </c>
      <c r="L284" s="298" t="str">
        <f>IF(B284="", "", Inventory!E292)</f>
        <v/>
      </c>
      <c r="M284" s="298" t="str">
        <f>IF(B284="","",IF(Cool_Type=Lookups!$L$9,Cool_Type,IF(Cool_Type=Lookups!$L$10,Cool_Type,IF(Cool_Type=Lookups!$L$11,Cool_Type,IF(Cool_Type=Lookups!L294,Cool_Type,IF('Project Info and Summary'!$C$20="Electric",CONCATENATE(Cool_Type," ",Heating_Type," Heat"),IF('Project Info and Summary'!$C$20="Non-Electric",CONCATENATE(Cool_Type," ",Heating_Type," Heat"),CONCATENATE(Cool_Type," ",Heating_Type))))))))</f>
        <v/>
      </c>
      <c r="N284" s="298" t="str">
        <f t="shared" si="19"/>
        <v/>
      </c>
      <c r="O284" s="298" t="str">
        <f>IF(B284="", "", 'Lighting Inventory (Ref only)'!G295)</f>
        <v/>
      </c>
      <c r="P284" s="298" t="str">
        <f>IF(B284="", "", 'Lighting Inventory (Ref only)'!E295)</f>
        <v/>
      </c>
      <c r="Q284" s="298" t="str">
        <f>IF(B284="", "", 'Lighting Inventory (Ref only)'!J295)</f>
        <v/>
      </c>
      <c r="R284" s="298" t="str">
        <f>IF(B284="", "",'Lighting Inventory (Ref only)'!K295)</f>
        <v/>
      </c>
      <c r="S284" s="372" t="str">
        <f>IF(B284="", "", 'Lighting Inventory (Ref only)'!G295*'Lighting Inventory (Ref only)'!K295/1000)</f>
        <v/>
      </c>
      <c r="T284" s="298" t="str">
        <f>IF(B284="", "", IF('Lighting Inventory (Ref only)'!I295="", "Light Switch",Inventory!H292))</f>
        <v/>
      </c>
      <c r="W284" s="373"/>
      <c r="X284" s="298" t="str">
        <f>IF(B284="", "", 'Lighting Inventory (Ref only)'!Q295)</f>
        <v/>
      </c>
      <c r="Z284" s="374"/>
      <c r="AA284" s="372" t="str">
        <f>IF(B284="", "",'Lighting Inventory (Ref only)'!R295/1000)</f>
        <v/>
      </c>
      <c r="AB284" s="372" t="str">
        <f>IF(B284="", "", Inventory!M292)</f>
        <v/>
      </c>
      <c r="AC284" s="374" t="str">
        <f>IF(B284="", "", 'Lighting Inventory (Ref only)'!T295)</f>
        <v/>
      </c>
      <c r="AD284" s="374" t="str">
        <f>IF(C284="", "", 'Lighting Inventory (Ref only)'!AA295)</f>
        <v/>
      </c>
      <c r="AE284" s="375" t="str">
        <f>IF(B284="", "", 'Lighting Inventory (Ref only)'!U295)</f>
        <v/>
      </c>
      <c r="AF284" s="375" t="str">
        <f>IF(B284="", "",'Lighting Inventory (Ref only)'!W295)</f>
        <v/>
      </c>
      <c r="AG284" s="375"/>
      <c r="AH284" s="375" t="str">
        <f>IF(B284="", "",'Lighting Inventory (Ref only)'!Z295)</f>
        <v/>
      </c>
      <c r="AI284" s="375" t="str">
        <f>IF(B284="", "", 'Lighting Inventory (Ref only)'!Y295)</f>
        <v/>
      </c>
      <c r="AJ284" s="375" t="str">
        <f>IF(C284="", "",'Lighting Inventory (Ref only)'!AB295)</f>
        <v/>
      </c>
      <c r="AK284" s="375" t="str">
        <f>IF(B284="", "", 'Lighting Inventory (Ref only)'!AG295)</f>
        <v/>
      </c>
      <c r="AL284" s="375" t="str">
        <f>IF(B284="", "", 'Lighting Inventory (Ref only)'!AD295)</f>
        <v/>
      </c>
      <c r="AM284" s="375" t="str">
        <f>IF(B284="", "", 'Lighting Inventory (Ref only)'!AE295)</f>
        <v/>
      </c>
      <c r="AN284" s="375" t="str">
        <f>IF(B284="", "", 'Lighting Inventory (Ref only)'!AF295)</f>
        <v/>
      </c>
      <c r="AO284" s="375" t="str">
        <f>IF(B284="", "", 'Lighting Inventory (Ref only)'!AG295)</f>
        <v/>
      </c>
    </row>
    <row r="285" spans="1:41">
      <c r="A285" s="298" t="str">
        <f>IF(G285="", "", Lookups!BF287)</f>
        <v/>
      </c>
      <c r="B285" s="298" t="str">
        <f>IF('Lighting Inventory (Ref only)'!Q296="", "", 'Lighting Inventory (Ref only)'!Q296)</f>
        <v/>
      </c>
      <c r="C285" s="298" t="str">
        <f>IF(A285="", "", 'Lighting Inventory (Ref only)'!AO296)</f>
        <v/>
      </c>
      <c r="D285" s="370" t="str">
        <f>IF(B285= "","", Inventory!S293)</f>
        <v/>
      </c>
      <c r="E285" s="371"/>
      <c r="F285" s="298" t="str">
        <f>IF(B285="", "", 'Version Log'!$B$34)</f>
        <v/>
      </c>
      <c r="G285" s="298" t="str">
        <f t="shared" si="16"/>
        <v/>
      </c>
      <c r="H285" s="298" t="str">
        <f t="shared" si="17"/>
        <v/>
      </c>
      <c r="I285" s="298" t="str">
        <f>IF(B285="", "",Inventory!D293)</f>
        <v/>
      </c>
      <c r="J285" s="298" t="str">
        <f>IF(B285="","",IF(Inventory!C293="N","Interior","Exterior"))</f>
        <v/>
      </c>
      <c r="K285" s="298" t="str">
        <f t="shared" si="18"/>
        <v/>
      </c>
      <c r="L285" s="298" t="str">
        <f>IF(B285="", "", Inventory!E293)</f>
        <v/>
      </c>
      <c r="M285" s="298" t="str">
        <f>IF(B285="","",IF(Cool_Type=Lookups!$L$9,Cool_Type,IF(Cool_Type=Lookups!$L$10,Cool_Type,IF(Cool_Type=Lookups!$L$11,Cool_Type,IF(Cool_Type=Lookups!L295,Cool_Type,IF('Project Info and Summary'!$C$20="Electric",CONCATENATE(Cool_Type," ",Heating_Type," Heat"),IF('Project Info and Summary'!$C$20="Non-Electric",CONCATENATE(Cool_Type," ",Heating_Type," Heat"),CONCATENATE(Cool_Type," ",Heating_Type))))))))</f>
        <v/>
      </c>
      <c r="N285" s="298" t="str">
        <f t="shared" si="19"/>
        <v/>
      </c>
      <c r="O285" s="298" t="str">
        <f>IF(B285="", "", 'Lighting Inventory (Ref only)'!G296)</f>
        <v/>
      </c>
      <c r="P285" s="298" t="str">
        <f>IF(B285="", "", 'Lighting Inventory (Ref only)'!E296)</f>
        <v/>
      </c>
      <c r="Q285" s="298" t="str">
        <f>IF(B285="", "", 'Lighting Inventory (Ref only)'!J296)</f>
        <v/>
      </c>
      <c r="R285" s="298" t="str">
        <f>IF(B285="", "",'Lighting Inventory (Ref only)'!K296)</f>
        <v/>
      </c>
      <c r="S285" s="372" t="str">
        <f>IF(B285="", "", 'Lighting Inventory (Ref only)'!G296*'Lighting Inventory (Ref only)'!K296/1000)</f>
        <v/>
      </c>
      <c r="T285" s="298" t="str">
        <f>IF(B285="", "", IF('Lighting Inventory (Ref only)'!I296="", "Light Switch",Inventory!H293))</f>
        <v/>
      </c>
      <c r="W285" s="373"/>
      <c r="X285" s="298" t="str">
        <f>IF(B285="", "", 'Lighting Inventory (Ref only)'!Q296)</f>
        <v/>
      </c>
      <c r="Z285" s="374"/>
      <c r="AA285" s="372" t="str">
        <f>IF(B285="", "",'Lighting Inventory (Ref only)'!R296/1000)</f>
        <v/>
      </c>
      <c r="AB285" s="372" t="str">
        <f>IF(B285="", "", Inventory!M293)</f>
        <v/>
      </c>
      <c r="AC285" s="374" t="str">
        <f>IF(B285="", "", 'Lighting Inventory (Ref only)'!T296)</f>
        <v/>
      </c>
      <c r="AD285" s="374" t="str">
        <f>IF(C285="", "", 'Lighting Inventory (Ref only)'!AA296)</f>
        <v/>
      </c>
      <c r="AE285" s="375" t="str">
        <f>IF(B285="", "", 'Lighting Inventory (Ref only)'!U296)</f>
        <v/>
      </c>
      <c r="AF285" s="375" t="str">
        <f>IF(B285="", "",'Lighting Inventory (Ref only)'!W296)</f>
        <v/>
      </c>
      <c r="AG285" s="375"/>
      <c r="AH285" s="375" t="str">
        <f>IF(B285="", "",'Lighting Inventory (Ref only)'!Z296)</f>
        <v/>
      </c>
      <c r="AI285" s="375" t="str">
        <f>IF(B285="", "", 'Lighting Inventory (Ref only)'!Y296)</f>
        <v/>
      </c>
      <c r="AJ285" s="375" t="str">
        <f>IF(C285="", "",'Lighting Inventory (Ref only)'!AB296)</f>
        <v/>
      </c>
      <c r="AK285" s="375" t="str">
        <f>IF(B285="", "", 'Lighting Inventory (Ref only)'!AG296)</f>
        <v/>
      </c>
      <c r="AL285" s="375" t="str">
        <f>IF(B285="", "", 'Lighting Inventory (Ref only)'!AD296)</f>
        <v/>
      </c>
      <c r="AM285" s="375" t="str">
        <f>IF(B285="", "", 'Lighting Inventory (Ref only)'!AE296)</f>
        <v/>
      </c>
      <c r="AN285" s="375" t="str">
        <f>IF(B285="", "", 'Lighting Inventory (Ref only)'!AF296)</f>
        <v/>
      </c>
      <c r="AO285" s="375" t="str">
        <f>IF(B285="", "", 'Lighting Inventory (Ref only)'!AG296)</f>
        <v/>
      </c>
    </row>
    <row r="286" spans="1:41">
      <c r="A286" s="298" t="str">
        <f>IF(G286="", "", Lookups!BF288)</f>
        <v/>
      </c>
      <c r="B286" s="298" t="str">
        <f>IF('Lighting Inventory (Ref only)'!Q297="", "", 'Lighting Inventory (Ref only)'!Q297)</f>
        <v/>
      </c>
      <c r="C286" s="298" t="str">
        <f>IF(A286="", "", 'Lighting Inventory (Ref only)'!AO297)</f>
        <v/>
      </c>
      <c r="D286" s="370" t="str">
        <f>IF(B286= "","", Inventory!S294)</f>
        <v/>
      </c>
      <c r="E286" s="371"/>
      <c r="F286" s="298" t="str">
        <f>IF(B286="", "", 'Version Log'!$B$34)</f>
        <v/>
      </c>
      <c r="G286" s="298" t="str">
        <f t="shared" si="16"/>
        <v/>
      </c>
      <c r="H286" s="298" t="str">
        <f t="shared" si="17"/>
        <v/>
      </c>
      <c r="I286" s="298" t="str">
        <f>IF(B286="", "",Inventory!D294)</f>
        <v/>
      </c>
      <c r="J286" s="298" t="str">
        <f>IF(B286="","",IF(Inventory!C294="N","Interior","Exterior"))</f>
        <v/>
      </c>
      <c r="K286" s="298" t="str">
        <f t="shared" si="18"/>
        <v/>
      </c>
      <c r="L286" s="298" t="str">
        <f>IF(B286="", "", Inventory!E294)</f>
        <v/>
      </c>
      <c r="M286" s="298" t="str">
        <f>IF(B286="","",IF(Cool_Type=Lookups!$L$9,Cool_Type,IF(Cool_Type=Lookups!$L$10,Cool_Type,IF(Cool_Type=Lookups!$L$11,Cool_Type,IF(Cool_Type=Lookups!L296,Cool_Type,IF('Project Info and Summary'!$C$20="Electric",CONCATENATE(Cool_Type," ",Heating_Type," Heat"),IF('Project Info and Summary'!$C$20="Non-Electric",CONCATENATE(Cool_Type," ",Heating_Type," Heat"),CONCATENATE(Cool_Type," ",Heating_Type))))))))</f>
        <v/>
      </c>
      <c r="N286" s="298" t="str">
        <f t="shared" si="19"/>
        <v/>
      </c>
      <c r="O286" s="298" t="str">
        <f>IF(B286="", "", 'Lighting Inventory (Ref only)'!G297)</f>
        <v/>
      </c>
      <c r="P286" s="298" t="str">
        <f>IF(B286="", "", 'Lighting Inventory (Ref only)'!E297)</f>
        <v/>
      </c>
      <c r="Q286" s="298" t="str">
        <f>IF(B286="", "", 'Lighting Inventory (Ref only)'!J297)</f>
        <v/>
      </c>
      <c r="R286" s="298" t="str">
        <f>IF(B286="", "",'Lighting Inventory (Ref only)'!K297)</f>
        <v/>
      </c>
      <c r="S286" s="372" t="str">
        <f>IF(B286="", "", 'Lighting Inventory (Ref only)'!G297*'Lighting Inventory (Ref only)'!K297/1000)</f>
        <v/>
      </c>
      <c r="T286" s="298" t="str">
        <f>IF(B286="", "", IF('Lighting Inventory (Ref only)'!I297="", "Light Switch",Inventory!H294))</f>
        <v/>
      </c>
      <c r="W286" s="373"/>
      <c r="X286" s="298" t="str">
        <f>IF(B286="", "", 'Lighting Inventory (Ref only)'!Q297)</f>
        <v/>
      </c>
      <c r="Z286" s="374"/>
      <c r="AA286" s="372" t="str">
        <f>IF(B286="", "",'Lighting Inventory (Ref only)'!R297/1000)</f>
        <v/>
      </c>
      <c r="AB286" s="372" t="str">
        <f>IF(B286="", "", Inventory!M294)</f>
        <v/>
      </c>
      <c r="AC286" s="374" t="str">
        <f>IF(B286="", "", 'Lighting Inventory (Ref only)'!T297)</f>
        <v/>
      </c>
      <c r="AD286" s="374" t="str">
        <f>IF(C286="", "", 'Lighting Inventory (Ref only)'!AA297)</f>
        <v/>
      </c>
      <c r="AE286" s="375" t="str">
        <f>IF(B286="", "", 'Lighting Inventory (Ref only)'!U297)</f>
        <v/>
      </c>
      <c r="AF286" s="375" t="str">
        <f>IF(B286="", "",'Lighting Inventory (Ref only)'!W297)</f>
        <v/>
      </c>
      <c r="AG286" s="375"/>
      <c r="AH286" s="375" t="str">
        <f>IF(B286="", "",'Lighting Inventory (Ref only)'!Z297)</f>
        <v/>
      </c>
      <c r="AI286" s="375" t="str">
        <f>IF(B286="", "", 'Lighting Inventory (Ref only)'!Y297)</f>
        <v/>
      </c>
      <c r="AJ286" s="375" t="str">
        <f>IF(C286="", "",'Lighting Inventory (Ref only)'!AB297)</f>
        <v/>
      </c>
      <c r="AK286" s="375" t="str">
        <f>IF(B286="", "", 'Lighting Inventory (Ref only)'!AG297)</f>
        <v/>
      </c>
      <c r="AL286" s="375" t="str">
        <f>IF(B286="", "", 'Lighting Inventory (Ref only)'!AD297)</f>
        <v/>
      </c>
      <c r="AM286" s="375" t="str">
        <f>IF(B286="", "", 'Lighting Inventory (Ref only)'!AE297)</f>
        <v/>
      </c>
      <c r="AN286" s="375" t="str">
        <f>IF(B286="", "", 'Lighting Inventory (Ref only)'!AF297)</f>
        <v/>
      </c>
      <c r="AO286" s="375" t="str">
        <f>IF(B286="", "", 'Lighting Inventory (Ref only)'!AG297)</f>
        <v/>
      </c>
    </row>
    <row r="287" spans="1:41">
      <c r="A287" s="298" t="str">
        <f>IF(G287="", "", Lookups!BF289)</f>
        <v/>
      </c>
      <c r="B287" s="298" t="str">
        <f>IF('Lighting Inventory (Ref only)'!Q298="", "", 'Lighting Inventory (Ref only)'!Q298)</f>
        <v/>
      </c>
      <c r="C287" s="298" t="str">
        <f>IF(A287="", "", 'Lighting Inventory (Ref only)'!AO298)</f>
        <v/>
      </c>
      <c r="D287" s="370" t="str">
        <f>IF(B287= "","", Inventory!S295)</f>
        <v/>
      </c>
      <c r="E287" s="371"/>
      <c r="F287" s="298" t="str">
        <f>IF(B287="", "", 'Version Log'!$B$34)</f>
        <v/>
      </c>
      <c r="G287" s="298" t="str">
        <f t="shared" si="16"/>
        <v/>
      </c>
      <c r="H287" s="298" t="str">
        <f t="shared" si="17"/>
        <v/>
      </c>
      <c r="I287" s="298" t="str">
        <f>IF(B287="", "",Inventory!D295)</f>
        <v/>
      </c>
      <c r="J287" s="298" t="str">
        <f>IF(B287="","",IF(Inventory!C295="N","Interior","Exterior"))</f>
        <v/>
      </c>
      <c r="K287" s="298" t="str">
        <f t="shared" si="18"/>
        <v/>
      </c>
      <c r="L287" s="298" t="str">
        <f>IF(B287="", "", Inventory!E295)</f>
        <v/>
      </c>
      <c r="M287" s="298" t="str">
        <f>IF(B287="","",IF(Cool_Type=Lookups!$L$9,Cool_Type,IF(Cool_Type=Lookups!$L$10,Cool_Type,IF(Cool_Type=Lookups!$L$11,Cool_Type,IF(Cool_Type=Lookups!L297,Cool_Type,IF('Project Info and Summary'!$C$20="Electric",CONCATENATE(Cool_Type," ",Heating_Type," Heat"),IF('Project Info and Summary'!$C$20="Non-Electric",CONCATENATE(Cool_Type," ",Heating_Type," Heat"),CONCATENATE(Cool_Type," ",Heating_Type))))))))</f>
        <v/>
      </c>
      <c r="N287" s="298" t="str">
        <f t="shared" si="19"/>
        <v/>
      </c>
      <c r="O287" s="298" t="str">
        <f>IF(B287="", "", 'Lighting Inventory (Ref only)'!G298)</f>
        <v/>
      </c>
      <c r="P287" s="298" t="str">
        <f>IF(B287="", "", 'Lighting Inventory (Ref only)'!E298)</f>
        <v/>
      </c>
      <c r="Q287" s="298" t="str">
        <f>IF(B287="", "", 'Lighting Inventory (Ref only)'!J298)</f>
        <v/>
      </c>
      <c r="R287" s="298" t="str">
        <f>IF(B287="", "",'Lighting Inventory (Ref only)'!K298)</f>
        <v/>
      </c>
      <c r="S287" s="372" t="str">
        <f>IF(B287="", "", 'Lighting Inventory (Ref only)'!G298*'Lighting Inventory (Ref only)'!K298/1000)</f>
        <v/>
      </c>
      <c r="T287" s="298" t="str">
        <f>IF(B287="", "", IF('Lighting Inventory (Ref only)'!I298="", "Light Switch",Inventory!H295))</f>
        <v/>
      </c>
      <c r="W287" s="373"/>
      <c r="X287" s="298" t="str">
        <f>IF(B287="", "", 'Lighting Inventory (Ref only)'!Q298)</f>
        <v/>
      </c>
      <c r="Z287" s="374"/>
      <c r="AA287" s="372" t="str">
        <f>IF(B287="", "",'Lighting Inventory (Ref only)'!R298/1000)</f>
        <v/>
      </c>
      <c r="AB287" s="372" t="str">
        <f>IF(B287="", "", Inventory!M295)</f>
        <v/>
      </c>
      <c r="AC287" s="374" t="str">
        <f>IF(B287="", "", 'Lighting Inventory (Ref only)'!T298)</f>
        <v/>
      </c>
      <c r="AD287" s="374" t="str">
        <f>IF(C287="", "", 'Lighting Inventory (Ref only)'!AA298)</f>
        <v/>
      </c>
      <c r="AE287" s="375" t="str">
        <f>IF(B287="", "", 'Lighting Inventory (Ref only)'!U298)</f>
        <v/>
      </c>
      <c r="AF287" s="375" t="str">
        <f>IF(B287="", "",'Lighting Inventory (Ref only)'!W298)</f>
        <v/>
      </c>
      <c r="AG287" s="375"/>
      <c r="AH287" s="375" t="str">
        <f>IF(B287="", "",'Lighting Inventory (Ref only)'!Z298)</f>
        <v/>
      </c>
      <c r="AI287" s="375" t="str">
        <f>IF(B287="", "", 'Lighting Inventory (Ref only)'!Y298)</f>
        <v/>
      </c>
      <c r="AJ287" s="375" t="str">
        <f>IF(C287="", "",'Lighting Inventory (Ref only)'!AB298)</f>
        <v/>
      </c>
      <c r="AK287" s="375" t="str">
        <f>IF(B287="", "", 'Lighting Inventory (Ref only)'!AG298)</f>
        <v/>
      </c>
      <c r="AL287" s="375" t="str">
        <f>IF(B287="", "", 'Lighting Inventory (Ref only)'!AD298)</f>
        <v/>
      </c>
      <c r="AM287" s="375" t="str">
        <f>IF(B287="", "", 'Lighting Inventory (Ref only)'!AE298)</f>
        <v/>
      </c>
      <c r="AN287" s="375" t="str">
        <f>IF(B287="", "", 'Lighting Inventory (Ref only)'!AF298)</f>
        <v/>
      </c>
      <c r="AO287" s="375" t="str">
        <f>IF(B287="", "", 'Lighting Inventory (Ref only)'!AG298)</f>
        <v/>
      </c>
    </row>
    <row r="288" spans="1:41">
      <c r="A288" s="298" t="str">
        <f>IF(G288="", "", Lookups!BF290)</f>
        <v/>
      </c>
      <c r="B288" s="298" t="str">
        <f>IF('Lighting Inventory (Ref only)'!Q299="", "", 'Lighting Inventory (Ref only)'!Q299)</f>
        <v/>
      </c>
      <c r="C288" s="298" t="str">
        <f>IF(A288="", "", 'Lighting Inventory (Ref only)'!AO299)</f>
        <v/>
      </c>
      <c r="D288" s="370" t="str">
        <f>IF(B288= "","", Inventory!S296)</f>
        <v/>
      </c>
      <c r="E288" s="371"/>
      <c r="F288" s="298" t="str">
        <f>IF(B288="", "", 'Version Log'!$B$34)</f>
        <v/>
      </c>
      <c r="G288" s="298" t="str">
        <f t="shared" si="16"/>
        <v/>
      </c>
      <c r="H288" s="298" t="str">
        <f t="shared" si="17"/>
        <v/>
      </c>
      <c r="I288" s="298" t="str">
        <f>IF(B288="", "",Inventory!D296)</f>
        <v/>
      </c>
      <c r="J288" s="298" t="str">
        <f>IF(B288="","",IF(Inventory!C296="N","Interior","Exterior"))</f>
        <v/>
      </c>
      <c r="K288" s="298" t="str">
        <f t="shared" si="18"/>
        <v/>
      </c>
      <c r="L288" s="298" t="str">
        <f>IF(B288="", "", Inventory!E296)</f>
        <v/>
      </c>
      <c r="M288" s="298" t="str">
        <f>IF(B288="","",IF(Cool_Type=Lookups!$L$9,Cool_Type,IF(Cool_Type=Lookups!$L$10,Cool_Type,IF(Cool_Type=Lookups!$L$11,Cool_Type,IF(Cool_Type=Lookups!L298,Cool_Type,IF('Project Info and Summary'!$C$20="Electric",CONCATENATE(Cool_Type," ",Heating_Type," Heat"),IF('Project Info and Summary'!$C$20="Non-Electric",CONCATENATE(Cool_Type," ",Heating_Type," Heat"),CONCATENATE(Cool_Type," ",Heating_Type))))))))</f>
        <v/>
      </c>
      <c r="N288" s="298" t="str">
        <f t="shared" si="19"/>
        <v/>
      </c>
      <c r="O288" s="298" t="str">
        <f>IF(B288="", "", 'Lighting Inventory (Ref only)'!G299)</f>
        <v/>
      </c>
      <c r="P288" s="298" t="str">
        <f>IF(B288="", "", 'Lighting Inventory (Ref only)'!E299)</f>
        <v/>
      </c>
      <c r="Q288" s="298" t="str">
        <f>IF(B288="", "", 'Lighting Inventory (Ref only)'!J299)</f>
        <v/>
      </c>
      <c r="R288" s="298" t="str">
        <f>IF(B288="", "",'Lighting Inventory (Ref only)'!K299)</f>
        <v/>
      </c>
      <c r="S288" s="372" t="str">
        <f>IF(B288="", "", 'Lighting Inventory (Ref only)'!G299*'Lighting Inventory (Ref only)'!K299/1000)</f>
        <v/>
      </c>
      <c r="T288" s="298" t="str">
        <f>IF(B288="", "", IF('Lighting Inventory (Ref only)'!I299="", "Light Switch",Inventory!H296))</f>
        <v/>
      </c>
      <c r="W288" s="373"/>
      <c r="X288" s="298" t="str">
        <f>IF(B288="", "", 'Lighting Inventory (Ref only)'!Q299)</f>
        <v/>
      </c>
      <c r="Z288" s="374"/>
      <c r="AA288" s="372" t="str">
        <f>IF(B288="", "",'Lighting Inventory (Ref only)'!R299/1000)</f>
        <v/>
      </c>
      <c r="AB288" s="372" t="str">
        <f>IF(B288="", "", Inventory!M296)</f>
        <v/>
      </c>
      <c r="AC288" s="374" t="str">
        <f>IF(B288="", "", 'Lighting Inventory (Ref only)'!T299)</f>
        <v/>
      </c>
      <c r="AD288" s="374" t="str">
        <f>IF(C288="", "", 'Lighting Inventory (Ref only)'!AA299)</f>
        <v/>
      </c>
      <c r="AE288" s="375" t="str">
        <f>IF(B288="", "", 'Lighting Inventory (Ref only)'!U299)</f>
        <v/>
      </c>
      <c r="AF288" s="375" t="str">
        <f>IF(B288="", "",'Lighting Inventory (Ref only)'!W299)</f>
        <v/>
      </c>
      <c r="AG288" s="375"/>
      <c r="AH288" s="375" t="str">
        <f>IF(B288="", "",'Lighting Inventory (Ref only)'!Z299)</f>
        <v/>
      </c>
      <c r="AI288" s="375" t="str">
        <f>IF(B288="", "", 'Lighting Inventory (Ref only)'!Y299)</f>
        <v/>
      </c>
      <c r="AJ288" s="375" t="str">
        <f>IF(C288="", "",'Lighting Inventory (Ref only)'!AB299)</f>
        <v/>
      </c>
      <c r="AK288" s="375" t="str">
        <f>IF(B288="", "", 'Lighting Inventory (Ref only)'!AG299)</f>
        <v/>
      </c>
      <c r="AL288" s="375" t="str">
        <f>IF(B288="", "", 'Lighting Inventory (Ref only)'!AD299)</f>
        <v/>
      </c>
      <c r="AM288" s="375" t="str">
        <f>IF(B288="", "", 'Lighting Inventory (Ref only)'!AE299)</f>
        <v/>
      </c>
      <c r="AN288" s="375" t="str">
        <f>IF(B288="", "", 'Lighting Inventory (Ref only)'!AF299)</f>
        <v/>
      </c>
      <c r="AO288" s="375" t="str">
        <f>IF(B288="", "", 'Lighting Inventory (Ref only)'!AG299)</f>
        <v/>
      </c>
    </row>
    <row r="289" spans="1:41">
      <c r="A289" s="298" t="str">
        <f>IF(G289="", "", Lookups!BF291)</f>
        <v/>
      </c>
      <c r="B289" s="298" t="str">
        <f>IF('Lighting Inventory (Ref only)'!Q300="", "", 'Lighting Inventory (Ref only)'!Q300)</f>
        <v/>
      </c>
      <c r="C289" s="298" t="str">
        <f>IF(A289="", "", 'Lighting Inventory (Ref only)'!AO300)</f>
        <v/>
      </c>
      <c r="D289" s="370" t="str">
        <f>IF(B289= "","", Inventory!S297)</f>
        <v/>
      </c>
      <c r="E289" s="371"/>
      <c r="F289" s="298" t="str">
        <f>IF(B289="", "", 'Version Log'!$B$34)</f>
        <v/>
      </c>
      <c r="G289" s="298" t="str">
        <f t="shared" si="16"/>
        <v/>
      </c>
      <c r="H289" s="298" t="str">
        <f t="shared" si="17"/>
        <v/>
      </c>
      <c r="I289" s="298" t="str">
        <f>IF(B289="", "",Inventory!D297)</f>
        <v/>
      </c>
      <c r="J289" s="298" t="str">
        <f>IF(B289="","",IF(Inventory!C297="N","Interior","Exterior"))</f>
        <v/>
      </c>
      <c r="K289" s="298" t="str">
        <f t="shared" si="18"/>
        <v/>
      </c>
      <c r="L289" s="298" t="str">
        <f>IF(B289="", "", Inventory!E297)</f>
        <v/>
      </c>
      <c r="M289" s="298" t="str">
        <f>IF(B289="","",IF(Cool_Type=Lookups!$L$9,Cool_Type,IF(Cool_Type=Lookups!$L$10,Cool_Type,IF(Cool_Type=Lookups!$L$11,Cool_Type,IF(Cool_Type=Lookups!L299,Cool_Type,IF('Project Info and Summary'!$C$20="Electric",CONCATENATE(Cool_Type," ",Heating_Type," Heat"),IF('Project Info and Summary'!$C$20="Non-Electric",CONCATENATE(Cool_Type," ",Heating_Type," Heat"),CONCATENATE(Cool_Type," ",Heating_Type))))))))</f>
        <v/>
      </c>
      <c r="N289" s="298" t="str">
        <f t="shared" si="19"/>
        <v/>
      </c>
      <c r="O289" s="298" t="str">
        <f>IF(B289="", "", 'Lighting Inventory (Ref only)'!G300)</f>
        <v/>
      </c>
      <c r="P289" s="298" t="str">
        <f>IF(B289="", "", 'Lighting Inventory (Ref only)'!E300)</f>
        <v/>
      </c>
      <c r="Q289" s="298" t="str">
        <f>IF(B289="", "", 'Lighting Inventory (Ref only)'!J300)</f>
        <v/>
      </c>
      <c r="R289" s="298" t="str">
        <f>IF(B289="", "",'Lighting Inventory (Ref only)'!K300)</f>
        <v/>
      </c>
      <c r="S289" s="372" t="str">
        <f>IF(B289="", "", 'Lighting Inventory (Ref only)'!G300*'Lighting Inventory (Ref only)'!K300/1000)</f>
        <v/>
      </c>
      <c r="T289" s="298" t="str">
        <f>IF(B289="", "", IF('Lighting Inventory (Ref only)'!I300="", "Light Switch",Inventory!H297))</f>
        <v/>
      </c>
      <c r="W289" s="373"/>
      <c r="X289" s="298" t="str">
        <f>IF(B289="", "", 'Lighting Inventory (Ref only)'!Q300)</f>
        <v/>
      </c>
      <c r="Z289" s="374"/>
      <c r="AA289" s="372" t="str">
        <f>IF(B289="", "",'Lighting Inventory (Ref only)'!R300/1000)</f>
        <v/>
      </c>
      <c r="AB289" s="372" t="str">
        <f>IF(B289="", "", Inventory!M297)</f>
        <v/>
      </c>
      <c r="AC289" s="374" t="str">
        <f>IF(B289="", "", 'Lighting Inventory (Ref only)'!T300)</f>
        <v/>
      </c>
      <c r="AD289" s="374" t="str">
        <f>IF(C289="", "", 'Lighting Inventory (Ref only)'!AA300)</f>
        <v/>
      </c>
      <c r="AE289" s="375" t="str">
        <f>IF(B289="", "", 'Lighting Inventory (Ref only)'!U300)</f>
        <v/>
      </c>
      <c r="AF289" s="375" t="str">
        <f>IF(B289="", "",'Lighting Inventory (Ref only)'!W300)</f>
        <v/>
      </c>
      <c r="AG289" s="375"/>
      <c r="AH289" s="375" t="str">
        <f>IF(B289="", "",'Lighting Inventory (Ref only)'!Z300)</f>
        <v/>
      </c>
      <c r="AI289" s="375" t="str">
        <f>IF(B289="", "", 'Lighting Inventory (Ref only)'!Y300)</f>
        <v/>
      </c>
      <c r="AJ289" s="375" t="str">
        <f>IF(C289="", "",'Lighting Inventory (Ref only)'!AB300)</f>
        <v/>
      </c>
      <c r="AK289" s="375" t="str">
        <f>IF(B289="", "", 'Lighting Inventory (Ref only)'!AG300)</f>
        <v/>
      </c>
      <c r="AL289" s="375" t="str">
        <f>IF(B289="", "", 'Lighting Inventory (Ref only)'!AD300)</f>
        <v/>
      </c>
      <c r="AM289" s="375" t="str">
        <f>IF(B289="", "", 'Lighting Inventory (Ref only)'!AE300)</f>
        <v/>
      </c>
      <c r="AN289" s="375" t="str">
        <f>IF(B289="", "", 'Lighting Inventory (Ref only)'!AF300)</f>
        <v/>
      </c>
      <c r="AO289" s="375" t="str">
        <f>IF(B289="", "", 'Lighting Inventory (Ref only)'!AG300)</f>
        <v/>
      </c>
    </row>
    <row r="290" spans="1:41">
      <c r="A290" s="298" t="str">
        <f>IF(G290="", "", Lookups!BF292)</f>
        <v/>
      </c>
      <c r="B290" s="298" t="str">
        <f>IF('Lighting Inventory (Ref only)'!Q301="", "", 'Lighting Inventory (Ref only)'!Q301)</f>
        <v/>
      </c>
      <c r="C290" s="298" t="str">
        <f>IF(A290="", "", 'Lighting Inventory (Ref only)'!AO301)</f>
        <v/>
      </c>
      <c r="D290" s="370" t="str">
        <f>IF(B290= "","", Inventory!S298)</f>
        <v/>
      </c>
      <c r="E290" s="371"/>
      <c r="F290" s="298" t="str">
        <f>IF(B290="", "", 'Version Log'!$B$34)</f>
        <v/>
      </c>
      <c r="G290" s="298" t="str">
        <f t="shared" si="16"/>
        <v/>
      </c>
      <c r="H290" s="298" t="str">
        <f t="shared" si="17"/>
        <v/>
      </c>
      <c r="I290" s="298" t="str">
        <f>IF(B290="", "",Inventory!D298)</f>
        <v/>
      </c>
      <c r="J290" s="298" t="str">
        <f>IF(B290="","",IF(Inventory!C298="N","Interior","Exterior"))</f>
        <v/>
      </c>
      <c r="K290" s="298" t="str">
        <f t="shared" si="18"/>
        <v/>
      </c>
      <c r="L290" s="298" t="str">
        <f>IF(B290="", "", Inventory!E298)</f>
        <v/>
      </c>
      <c r="M290" s="298" t="str">
        <f>IF(B290="","",IF(Cool_Type=Lookups!$L$9,Cool_Type,IF(Cool_Type=Lookups!$L$10,Cool_Type,IF(Cool_Type=Lookups!$L$11,Cool_Type,IF(Cool_Type=Lookups!L300,Cool_Type,IF('Project Info and Summary'!$C$20="Electric",CONCATENATE(Cool_Type," ",Heating_Type," Heat"),IF('Project Info and Summary'!$C$20="Non-Electric",CONCATENATE(Cool_Type," ",Heating_Type," Heat"),CONCATENATE(Cool_Type," ",Heating_Type))))))))</f>
        <v/>
      </c>
      <c r="N290" s="298" t="str">
        <f t="shared" si="19"/>
        <v/>
      </c>
      <c r="O290" s="298" t="str">
        <f>IF(B290="", "", 'Lighting Inventory (Ref only)'!G301)</f>
        <v/>
      </c>
      <c r="P290" s="298" t="str">
        <f>IF(B290="", "", 'Lighting Inventory (Ref only)'!E301)</f>
        <v/>
      </c>
      <c r="Q290" s="298" t="str">
        <f>IF(B290="", "", 'Lighting Inventory (Ref only)'!J301)</f>
        <v/>
      </c>
      <c r="R290" s="298" t="str">
        <f>IF(B290="", "",'Lighting Inventory (Ref only)'!K301)</f>
        <v/>
      </c>
      <c r="S290" s="372" t="str">
        <f>IF(B290="", "", 'Lighting Inventory (Ref only)'!G301*'Lighting Inventory (Ref only)'!K301/1000)</f>
        <v/>
      </c>
      <c r="T290" s="298" t="str">
        <f>IF(B290="", "", IF('Lighting Inventory (Ref only)'!I301="", "Light Switch",Inventory!H298))</f>
        <v/>
      </c>
      <c r="W290" s="373"/>
      <c r="X290" s="298" t="str">
        <f>IF(B290="", "", 'Lighting Inventory (Ref only)'!Q301)</f>
        <v/>
      </c>
      <c r="Z290" s="374"/>
      <c r="AA290" s="372" t="str">
        <f>IF(B290="", "",'Lighting Inventory (Ref only)'!R301/1000)</f>
        <v/>
      </c>
      <c r="AB290" s="372" t="str">
        <f>IF(B290="", "", Inventory!M298)</f>
        <v/>
      </c>
      <c r="AC290" s="374" t="str">
        <f>IF(B290="", "", 'Lighting Inventory (Ref only)'!T301)</f>
        <v/>
      </c>
      <c r="AD290" s="374" t="str">
        <f>IF(C290="", "", 'Lighting Inventory (Ref only)'!AA301)</f>
        <v/>
      </c>
      <c r="AE290" s="375" t="str">
        <f>IF(B290="", "", 'Lighting Inventory (Ref only)'!U301)</f>
        <v/>
      </c>
      <c r="AF290" s="375" t="str">
        <f>IF(B290="", "",'Lighting Inventory (Ref only)'!W301)</f>
        <v/>
      </c>
      <c r="AG290" s="375"/>
      <c r="AH290" s="375" t="str">
        <f>IF(B290="", "",'Lighting Inventory (Ref only)'!Z301)</f>
        <v/>
      </c>
      <c r="AI290" s="375" t="str">
        <f>IF(B290="", "", 'Lighting Inventory (Ref only)'!Y301)</f>
        <v/>
      </c>
      <c r="AJ290" s="375" t="str">
        <f>IF(C290="", "",'Lighting Inventory (Ref only)'!AB301)</f>
        <v/>
      </c>
      <c r="AK290" s="375" t="str">
        <f>IF(B290="", "", 'Lighting Inventory (Ref only)'!AG301)</f>
        <v/>
      </c>
      <c r="AL290" s="375" t="str">
        <f>IF(B290="", "", 'Lighting Inventory (Ref only)'!AD301)</f>
        <v/>
      </c>
      <c r="AM290" s="375" t="str">
        <f>IF(B290="", "", 'Lighting Inventory (Ref only)'!AE301)</f>
        <v/>
      </c>
      <c r="AN290" s="375" t="str">
        <f>IF(B290="", "", 'Lighting Inventory (Ref only)'!AF301)</f>
        <v/>
      </c>
      <c r="AO290" s="375" t="str">
        <f>IF(B290="", "", 'Lighting Inventory (Ref only)'!AG301)</f>
        <v/>
      </c>
    </row>
    <row r="291" spans="1:41">
      <c r="A291" s="298" t="str">
        <f>IF(G291="", "", Lookups!BF293)</f>
        <v/>
      </c>
      <c r="B291" s="298" t="str">
        <f>IF('Lighting Inventory (Ref only)'!Q302="", "", 'Lighting Inventory (Ref only)'!Q302)</f>
        <v/>
      </c>
      <c r="C291" s="298" t="str">
        <f>IF(A291="", "", 'Lighting Inventory (Ref only)'!AO302)</f>
        <v/>
      </c>
      <c r="D291" s="370" t="str">
        <f>IF(B291= "","", Inventory!S299)</f>
        <v/>
      </c>
      <c r="E291" s="371"/>
      <c r="F291" s="298" t="str">
        <f>IF(B291="", "", 'Version Log'!$B$34)</f>
        <v/>
      </c>
      <c r="G291" s="298" t="str">
        <f t="shared" si="16"/>
        <v/>
      </c>
      <c r="H291" s="298" t="str">
        <f t="shared" si="17"/>
        <v/>
      </c>
      <c r="I291" s="298" t="str">
        <f>IF(B291="", "",Inventory!D299)</f>
        <v/>
      </c>
      <c r="J291" s="298" t="str">
        <f>IF(B291="","",IF(Inventory!C299="N","Interior","Exterior"))</f>
        <v/>
      </c>
      <c r="K291" s="298" t="str">
        <f t="shared" si="18"/>
        <v/>
      </c>
      <c r="L291" s="298" t="str">
        <f>IF(B291="", "", Inventory!E299)</f>
        <v/>
      </c>
      <c r="M291" s="298" t="str">
        <f>IF(B291="","",IF(Cool_Type=Lookups!$L$9,Cool_Type,IF(Cool_Type=Lookups!$L$10,Cool_Type,IF(Cool_Type=Lookups!$L$11,Cool_Type,IF(Cool_Type=Lookups!L301,Cool_Type,IF('Project Info and Summary'!$C$20="Electric",CONCATENATE(Cool_Type," ",Heating_Type," Heat"),IF('Project Info and Summary'!$C$20="Non-Electric",CONCATENATE(Cool_Type," ",Heating_Type," Heat"),CONCATENATE(Cool_Type," ",Heating_Type))))))))</f>
        <v/>
      </c>
      <c r="N291" s="298" t="str">
        <f t="shared" si="19"/>
        <v/>
      </c>
      <c r="O291" s="298" t="str">
        <f>IF(B291="", "", 'Lighting Inventory (Ref only)'!G302)</f>
        <v/>
      </c>
      <c r="P291" s="298" t="str">
        <f>IF(B291="", "", 'Lighting Inventory (Ref only)'!E302)</f>
        <v/>
      </c>
      <c r="Q291" s="298" t="str">
        <f>IF(B291="", "", 'Lighting Inventory (Ref only)'!J302)</f>
        <v/>
      </c>
      <c r="R291" s="298" t="str">
        <f>IF(B291="", "",'Lighting Inventory (Ref only)'!K302)</f>
        <v/>
      </c>
      <c r="S291" s="372" t="str">
        <f>IF(B291="", "", 'Lighting Inventory (Ref only)'!G302*'Lighting Inventory (Ref only)'!K302/1000)</f>
        <v/>
      </c>
      <c r="T291" s="298" t="str">
        <f>IF(B291="", "", IF('Lighting Inventory (Ref only)'!I302="", "Light Switch",Inventory!H299))</f>
        <v/>
      </c>
      <c r="W291" s="373"/>
      <c r="X291" s="298" t="str">
        <f>IF(B291="", "", 'Lighting Inventory (Ref only)'!Q302)</f>
        <v/>
      </c>
      <c r="Z291" s="374"/>
      <c r="AA291" s="372" t="str">
        <f>IF(B291="", "",'Lighting Inventory (Ref only)'!R302/1000)</f>
        <v/>
      </c>
      <c r="AB291" s="372" t="str">
        <f>IF(B291="", "", Inventory!M299)</f>
        <v/>
      </c>
      <c r="AC291" s="374" t="str">
        <f>IF(B291="", "", 'Lighting Inventory (Ref only)'!T302)</f>
        <v/>
      </c>
      <c r="AD291" s="374" t="str">
        <f>IF(C291="", "", 'Lighting Inventory (Ref only)'!AA302)</f>
        <v/>
      </c>
      <c r="AE291" s="375" t="str">
        <f>IF(B291="", "", 'Lighting Inventory (Ref only)'!U302)</f>
        <v/>
      </c>
      <c r="AF291" s="375" t="str">
        <f>IF(B291="", "",'Lighting Inventory (Ref only)'!W302)</f>
        <v/>
      </c>
      <c r="AG291" s="375"/>
      <c r="AH291" s="375" t="str">
        <f>IF(B291="", "",'Lighting Inventory (Ref only)'!Z302)</f>
        <v/>
      </c>
      <c r="AI291" s="375" t="str">
        <f>IF(B291="", "", 'Lighting Inventory (Ref only)'!Y302)</f>
        <v/>
      </c>
      <c r="AJ291" s="375" t="str">
        <f>IF(C291="", "",'Lighting Inventory (Ref only)'!AB302)</f>
        <v/>
      </c>
      <c r="AK291" s="375" t="str">
        <f>IF(B291="", "", 'Lighting Inventory (Ref only)'!AG302)</f>
        <v/>
      </c>
      <c r="AL291" s="375" t="str">
        <f>IF(B291="", "", 'Lighting Inventory (Ref only)'!AD302)</f>
        <v/>
      </c>
      <c r="AM291" s="375" t="str">
        <f>IF(B291="", "", 'Lighting Inventory (Ref only)'!AE302)</f>
        <v/>
      </c>
      <c r="AN291" s="375" t="str">
        <f>IF(B291="", "", 'Lighting Inventory (Ref only)'!AF302)</f>
        <v/>
      </c>
      <c r="AO291" s="375" t="str">
        <f>IF(B291="", "", 'Lighting Inventory (Ref only)'!AG302)</f>
        <v/>
      </c>
    </row>
    <row r="292" spans="1:41">
      <c r="A292" s="298" t="str">
        <f>IF(G292="", "", Lookups!BF294)</f>
        <v/>
      </c>
      <c r="B292" s="298" t="str">
        <f>IF('Lighting Inventory (Ref only)'!Q303="", "", 'Lighting Inventory (Ref only)'!Q303)</f>
        <v/>
      </c>
      <c r="C292" s="298" t="str">
        <f>IF(A292="", "", 'Lighting Inventory (Ref only)'!AO303)</f>
        <v/>
      </c>
      <c r="D292" s="370" t="str">
        <f>IF(B292= "","", Inventory!S300)</f>
        <v/>
      </c>
      <c r="E292" s="371"/>
      <c r="F292" s="298" t="str">
        <f>IF(B292="", "", 'Version Log'!$B$34)</f>
        <v/>
      </c>
      <c r="G292" s="298" t="str">
        <f t="shared" si="16"/>
        <v/>
      </c>
      <c r="H292" s="298" t="str">
        <f t="shared" si="17"/>
        <v/>
      </c>
      <c r="I292" s="298" t="str">
        <f>IF(B292="", "",Inventory!D300)</f>
        <v/>
      </c>
      <c r="J292" s="298" t="str">
        <f>IF(B292="","",IF(Inventory!C300="N","Interior","Exterior"))</f>
        <v/>
      </c>
      <c r="K292" s="298" t="str">
        <f t="shared" si="18"/>
        <v/>
      </c>
      <c r="L292" s="298" t="str">
        <f>IF(B292="", "", Inventory!E300)</f>
        <v/>
      </c>
      <c r="M292" s="298" t="str">
        <f>IF(B292="","",IF(Cool_Type=Lookups!$L$9,Cool_Type,IF(Cool_Type=Lookups!$L$10,Cool_Type,IF(Cool_Type=Lookups!$L$11,Cool_Type,IF(Cool_Type=Lookups!L302,Cool_Type,IF('Project Info and Summary'!$C$20="Electric",CONCATENATE(Cool_Type," ",Heating_Type," Heat"),IF('Project Info and Summary'!$C$20="Non-Electric",CONCATENATE(Cool_Type," ",Heating_Type," Heat"),CONCATENATE(Cool_Type," ",Heating_Type))))))))</f>
        <v/>
      </c>
      <c r="N292" s="298" t="str">
        <f t="shared" si="19"/>
        <v/>
      </c>
      <c r="O292" s="298" t="str">
        <f>IF(B292="", "", 'Lighting Inventory (Ref only)'!G303)</f>
        <v/>
      </c>
      <c r="P292" s="298" t="str">
        <f>IF(B292="", "", 'Lighting Inventory (Ref only)'!E303)</f>
        <v/>
      </c>
      <c r="Q292" s="298" t="str">
        <f>IF(B292="", "", 'Lighting Inventory (Ref only)'!J303)</f>
        <v/>
      </c>
      <c r="R292" s="298" t="str">
        <f>IF(B292="", "",'Lighting Inventory (Ref only)'!K303)</f>
        <v/>
      </c>
      <c r="S292" s="372" t="str">
        <f>IF(B292="", "", 'Lighting Inventory (Ref only)'!G303*'Lighting Inventory (Ref only)'!K303/1000)</f>
        <v/>
      </c>
      <c r="T292" s="298" t="str">
        <f>IF(B292="", "", IF('Lighting Inventory (Ref only)'!I303="", "Light Switch",Inventory!H300))</f>
        <v/>
      </c>
      <c r="W292" s="373"/>
      <c r="X292" s="298" t="str">
        <f>IF(B292="", "", 'Lighting Inventory (Ref only)'!Q303)</f>
        <v/>
      </c>
      <c r="Z292" s="374"/>
      <c r="AA292" s="372" t="str">
        <f>IF(B292="", "",'Lighting Inventory (Ref only)'!R303/1000)</f>
        <v/>
      </c>
      <c r="AB292" s="372" t="str">
        <f>IF(B292="", "", Inventory!M300)</f>
        <v/>
      </c>
      <c r="AC292" s="374" t="str">
        <f>IF(B292="", "", 'Lighting Inventory (Ref only)'!T303)</f>
        <v/>
      </c>
      <c r="AD292" s="374" t="str">
        <f>IF(C292="", "", 'Lighting Inventory (Ref only)'!AA303)</f>
        <v/>
      </c>
      <c r="AE292" s="375" t="str">
        <f>IF(B292="", "", 'Lighting Inventory (Ref only)'!U303)</f>
        <v/>
      </c>
      <c r="AF292" s="375" t="str">
        <f>IF(B292="", "",'Lighting Inventory (Ref only)'!W303)</f>
        <v/>
      </c>
      <c r="AG292" s="375"/>
      <c r="AH292" s="375" t="str">
        <f>IF(B292="", "",'Lighting Inventory (Ref only)'!Z303)</f>
        <v/>
      </c>
      <c r="AI292" s="375" t="str">
        <f>IF(B292="", "", 'Lighting Inventory (Ref only)'!Y303)</f>
        <v/>
      </c>
      <c r="AJ292" s="375" t="str">
        <f>IF(C292="", "",'Lighting Inventory (Ref only)'!AB303)</f>
        <v/>
      </c>
      <c r="AK292" s="375" t="str">
        <f>IF(B292="", "", 'Lighting Inventory (Ref only)'!AG303)</f>
        <v/>
      </c>
      <c r="AL292" s="375" t="str">
        <f>IF(B292="", "", 'Lighting Inventory (Ref only)'!AD303)</f>
        <v/>
      </c>
      <c r="AM292" s="375" t="str">
        <f>IF(B292="", "", 'Lighting Inventory (Ref only)'!AE303)</f>
        <v/>
      </c>
      <c r="AN292" s="375" t="str">
        <f>IF(B292="", "", 'Lighting Inventory (Ref only)'!AF303)</f>
        <v/>
      </c>
      <c r="AO292" s="375" t="str">
        <f>IF(B292="", "", 'Lighting Inventory (Ref only)'!AG303)</f>
        <v/>
      </c>
    </row>
    <row r="293" spans="1:41">
      <c r="A293" s="298" t="str">
        <f>IF(G293="", "", Lookups!BF295)</f>
        <v/>
      </c>
      <c r="B293" s="298" t="str">
        <f>IF('Lighting Inventory (Ref only)'!Q304="", "", 'Lighting Inventory (Ref only)'!Q304)</f>
        <v/>
      </c>
      <c r="C293" s="298" t="str">
        <f>IF(A293="", "", 'Lighting Inventory (Ref only)'!AO304)</f>
        <v/>
      </c>
      <c r="D293" s="370" t="str">
        <f>IF(B293= "","", Inventory!S301)</f>
        <v/>
      </c>
      <c r="E293" s="371"/>
      <c r="F293" s="298" t="str">
        <f>IF(B293="", "", 'Version Log'!$B$34)</f>
        <v/>
      </c>
      <c r="G293" s="298" t="str">
        <f t="shared" si="16"/>
        <v/>
      </c>
      <c r="H293" s="298" t="str">
        <f t="shared" si="17"/>
        <v/>
      </c>
      <c r="I293" s="298" t="str">
        <f>IF(B293="", "",Inventory!D301)</f>
        <v/>
      </c>
      <c r="J293" s="298" t="str">
        <f>IF(B293="","",IF(Inventory!C301="N","Interior","Exterior"))</f>
        <v/>
      </c>
      <c r="K293" s="298" t="str">
        <f t="shared" si="18"/>
        <v/>
      </c>
      <c r="L293" s="298" t="str">
        <f>IF(B293="", "", Inventory!E301)</f>
        <v/>
      </c>
      <c r="M293" s="298" t="str">
        <f>IF(B293="","",IF(Cool_Type=Lookups!$L$9,Cool_Type,IF(Cool_Type=Lookups!$L$10,Cool_Type,IF(Cool_Type=Lookups!$L$11,Cool_Type,IF(Cool_Type=Lookups!L303,Cool_Type,IF('Project Info and Summary'!$C$20="Electric",CONCATENATE(Cool_Type," ",Heating_Type," Heat"),IF('Project Info and Summary'!$C$20="Non-Electric",CONCATENATE(Cool_Type," ",Heating_Type," Heat"),CONCATENATE(Cool_Type," ",Heating_Type))))))))</f>
        <v/>
      </c>
      <c r="N293" s="298" t="str">
        <f t="shared" si="19"/>
        <v/>
      </c>
      <c r="O293" s="298" t="str">
        <f>IF(B293="", "", 'Lighting Inventory (Ref only)'!G304)</f>
        <v/>
      </c>
      <c r="P293" s="298" t="str">
        <f>IF(B293="", "", 'Lighting Inventory (Ref only)'!E304)</f>
        <v/>
      </c>
      <c r="Q293" s="298" t="str">
        <f>IF(B293="", "", 'Lighting Inventory (Ref only)'!J304)</f>
        <v/>
      </c>
      <c r="R293" s="298" t="str">
        <f>IF(B293="", "",'Lighting Inventory (Ref only)'!K304)</f>
        <v/>
      </c>
      <c r="S293" s="372" t="str">
        <f>IF(B293="", "", 'Lighting Inventory (Ref only)'!G304*'Lighting Inventory (Ref only)'!K304/1000)</f>
        <v/>
      </c>
      <c r="T293" s="298" t="str">
        <f>IF(B293="", "", IF('Lighting Inventory (Ref only)'!I304="", "Light Switch",Inventory!H301))</f>
        <v/>
      </c>
      <c r="W293" s="373"/>
      <c r="X293" s="298" t="str">
        <f>IF(B293="", "", 'Lighting Inventory (Ref only)'!Q304)</f>
        <v/>
      </c>
      <c r="Z293" s="374"/>
      <c r="AA293" s="372" t="str">
        <f>IF(B293="", "",'Lighting Inventory (Ref only)'!R304/1000)</f>
        <v/>
      </c>
      <c r="AB293" s="372" t="str">
        <f>IF(B293="", "", Inventory!M301)</f>
        <v/>
      </c>
      <c r="AC293" s="374" t="str">
        <f>IF(B293="", "", 'Lighting Inventory (Ref only)'!T304)</f>
        <v/>
      </c>
      <c r="AD293" s="374" t="str">
        <f>IF(C293="", "", 'Lighting Inventory (Ref only)'!AA304)</f>
        <v/>
      </c>
      <c r="AE293" s="375" t="str">
        <f>IF(B293="", "", 'Lighting Inventory (Ref only)'!U304)</f>
        <v/>
      </c>
      <c r="AF293" s="375" t="str">
        <f>IF(B293="", "",'Lighting Inventory (Ref only)'!W304)</f>
        <v/>
      </c>
      <c r="AG293" s="375"/>
      <c r="AH293" s="375" t="str">
        <f>IF(B293="", "",'Lighting Inventory (Ref only)'!Z304)</f>
        <v/>
      </c>
      <c r="AI293" s="375" t="str">
        <f>IF(B293="", "", 'Lighting Inventory (Ref only)'!Y304)</f>
        <v/>
      </c>
      <c r="AJ293" s="375" t="str">
        <f>IF(C293="", "",'Lighting Inventory (Ref only)'!AB304)</f>
        <v/>
      </c>
      <c r="AK293" s="375" t="str">
        <f>IF(B293="", "", 'Lighting Inventory (Ref only)'!AG304)</f>
        <v/>
      </c>
      <c r="AL293" s="375" t="str">
        <f>IF(B293="", "", 'Lighting Inventory (Ref only)'!AD304)</f>
        <v/>
      </c>
      <c r="AM293" s="375" t="str">
        <f>IF(B293="", "", 'Lighting Inventory (Ref only)'!AE304)</f>
        <v/>
      </c>
      <c r="AN293" s="375" t="str">
        <f>IF(B293="", "", 'Lighting Inventory (Ref only)'!AF304)</f>
        <v/>
      </c>
      <c r="AO293" s="375" t="str">
        <f>IF(B293="", "", 'Lighting Inventory (Ref only)'!AG304)</f>
        <v/>
      </c>
    </row>
    <row r="294" spans="1:41">
      <c r="A294" s="298" t="str">
        <f>IF(G294="", "", Lookups!BF296)</f>
        <v/>
      </c>
      <c r="B294" s="298" t="str">
        <f>IF('Lighting Inventory (Ref only)'!Q305="", "", 'Lighting Inventory (Ref only)'!Q305)</f>
        <v/>
      </c>
      <c r="C294" s="298" t="str">
        <f>IF(A294="", "", 'Lighting Inventory (Ref only)'!AO305)</f>
        <v/>
      </c>
      <c r="D294" s="370" t="str">
        <f>IF(B294= "","", Inventory!S302)</f>
        <v/>
      </c>
      <c r="E294" s="371"/>
      <c r="F294" s="298" t="str">
        <f>IF(B294="", "", 'Version Log'!$B$34)</f>
        <v/>
      </c>
      <c r="G294" s="298" t="str">
        <f t="shared" si="16"/>
        <v/>
      </c>
      <c r="H294" s="298" t="str">
        <f t="shared" si="17"/>
        <v/>
      </c>
      <c r="I294" s="298" t="str">
        <f>IF(B294="", "",Inventory!D302)</f>
        <v/>
      </c>
      <c r="J294" s="298" t="str">
        <f>IF(B294="","",IF(Inventory!C302="N","Interior","Exterior"))</f>
        <v/>
      </c>
      <c r="K294" s="298" t="str">
        <f t="shared" si="18"/>
        <v/>
      </c>
      <c r="L294" s="298" t="str">
        <f>IF(B294="", "", Inventory!E302)</f>
        <v/>
      </c>
      <c r="M294" s="298" t="str">
        <f>IF(B294="","",IF(Cool_Type=Lookups!$L$9,Cool_Type,IF(Cool_Type=Lookups!$L$10,Cool_Type,IF(Cool_Type=Lookups!$L$11,Cool_Type,IF(Cool_Type=Lookups!L304,Cool_Type,IF('Project Info and Summary'!$C$20="Electric",CONCATENATE(Cool_Type," ",Heating_Type," Heat"),IF('Project Info and Summary'!$C$20="Non-Electric",CONCATENATE(Cool_Type," ",Heating_Type," Heat"),CONCATENATE(Cool_Type," ",Heating_Type))))))))</f>
        <v/>
      </c>
      <c r="N294" s="298" t="str">
        <f t="shared" si="19"/>
        <v/>
      </c>
      <c r="O294" s="298" t="str">
        <f>IF(B294="", "", 'Lighting Inventory (Ref only)'!G305)</f>
        <v/>
      </c>
      <c r="P294" s="298" t="str">
        <f>IF(B294="", "", 'Lighting Inventory (Ref only)'!E305)</f>
        <v/>
      </c>
      <c r="Q294" s="298" t="str">
        <f>IF(B294="", "", 'Lighting Inventory (Ref only)'!J305)</f>
        <v/>
      </c>
      <c r="R294" s="298" t="str">
        <f>IF(B294="", "",'Lighting Inventory (Ref only)'!K305)</f>
        <v/>
      </c>
      <c r="S294" s="372" t="str">
        <f>IF(B294="", "", 'Lighting Inventory (Ref only)'!G305*'Lighting Inventory (Ref only)'!K305/1000)</f>
        <v/>
      </c>
      <c r="T294" s="298" t="str">
        <f>IF(B294="", "", IF('Lighting Inventory (Ref only)'!I305="", "Light Switch",Inventory!H302))</f>
        <v/>
      </c>
      <c r="W294" s="373"/>
      <c r="X294" s="298" t="str">
        <f>IF(B294="", "", 'Lighting Inventory (Ref only)'!Q305)</f>
        <v/>
      </c>
      <c r="Z294" s="374"/>
      <c r="AA294" s="372" t="str">
        <f>IF(B294="", "",'Lighting Inventory (Ref only)'!R305/1000)</f>
        <v/>
      </c>
      <c r="AB294" s="372" t="str">
        <f>IF(B294="", "", Inventory!M302)</f>
        <v/>
      </c>
      <c r="AC294" s="374" t="str">
        <f>IF(B294="", "", 'Lighting Inventory (Ref only)'!T305)</f>
        <v/>
      </c>
      <c r="AD294" s="374" t="str">
        <f>IF(C294="", "", 'Lighting Inventory (Ref only)'!AA305)</f>
        <v/>
      </c>
      <c r="AE294" s="375" t="str">
        <f>IF(B294="", "", 'Lighting Inventory (Ref only)'!U305)</f>
        <v/>
      </c>
      <c r="AF294" s="375" t="str">
        <f>IF(B294="", "",'Lighting Inventory (Ref only)'!W305)</f>
        <v/>
      </c>
      <c r="AG294" s="375"/>
      <c r="AH294" s="375" t="str">
        <f>IF(B294="", "",'Lighting Inventory (Ref only)'!Z305)</f>
        <v/>
      </c>
      <c r="AI294" s="375" t="str">
        <f>IF(B294="", "", 'Lighting Inventory (Ref only)'!Y305)</f>
        <v/>
      </c>
      <c r="AJ294" s="375" t="str">
        <f>IF(C294="", "",'Lighting Inventory (Ref only)'!AB305)</f>
        <v/>
      </c>
      <c r="AK294" s="375" t="str">
        <f>IF(B294="", "", 'Lighting Inventory (Ref only)'!AG305)</f>
        <v/>
      </c>
      <c r="AL294" s="375" t="str">
        <f>IF(B294="", "", 'Lighting Inventory (Ref only)'!AD305)</f>
        <v/>
      </c>
      <c r="AM294" s="375" t="str">
        <f>IF(B294="", "", 'Lighting Inventory (Ref only)'!AE305)</f>
        <v/>
      </c>
      <c r="AN294" s="375" t="str">
        <f>IF(B294="", "", 'Lighting Inventory (Ref only)'!AF305)</f>
        <v/>
      </c>
      <c r="AO294" s="375" t="str">
        <f>IF(B294="", "", 'Lighting Inventory (Ref only)'!AG305)</f>
        <v/>
      </c>
    </row>
    <row r="295" spans="1:41">
      <c r="A295" s="298" t="str">
        <f>IF(G295="", "", Lookups!BF297)</f>
        <v/>
      </c>
      <c r="B295" s="298" t="str">
        <f>IF('Lighting Inventory (Ref only)'!Q306="", "", 'Lighting Inventory (Ref only)'!Q306)</f>
        <v/>
      </c>
      <c r="C295" s="298" t="str">
        <f>IF(A295="", "", 'Lighting Inventory (Ref only)'!AO306)</f>
        <v/>
      </c>
      <c r="D295" s="370" t="str">
        <f>IF(B295= "","", Inventory!S303)</f>
        <v/>
      </c>
      <c r="E295" s="371"/>
      <c r="F295" s="298" t="str">
        <f>IF(B295="", "", 'Version Log'!$B$34)</f>
        <v/>
      </c>
      <c r="G295" s="298" t="str">
        <f t="shared" si="16"/>
        <v/>
      </c>
      <c r="H295" s="298" t="str">
        <f t="shared" si="17"/>
        <v/>
      </c>
      <c r="I295" s="298" t="str">
        <f>IF(B295="", "",Inventory!D303)</f>
        <v/>
      </c>
      <c r="J295" s="298" t="str">
        <f>IF(B295="","",IF(Inventory!C303="N","Interior","Exterior"))</f>
        <v/>
      </c>
      <c r="K295" s="298" t="str">
        <f t="shared" si="18"/>
        <v/>
      </c>
      <c r="L295" s="298" t="str">
        <f>IF(B295="", "", Inventory!E303)</f>
        <v/>
      </c>
      <c r="M295" s="298" t="str">
        <f>IF(B295="","",IF(Cool_Type=Lookups!$L$9,Cool_Type,IF(Cool_Type=Lookups!$L$10,Cool_Type,IF(Cool_Type=Lookups!$L$11,Cool_Type,IF(Cool_Type=Lookups!L305,Cool_Type,IF('Project Info and Summary'!$C$20="Electric",CONCATENATE(Cool_Type," ",Heating_Type," Heat"),IF('Project Info and Summary'!$C$20="Non-Electric",CONCATENATE(Cool_Type," ",Heating_Type," Heat"),CONCATENATE(Cool_Type," ",Heating_Type))))))))</f>
        <v/>
      </c>
      <c r="N295" s="298" t="str">
        <f t="shared" si="19"/>
        <v/>
      </c>
      <c r="O295" s="298" t="str">
        <f>IF(B295="", "", 'Lighting Inventory (Ref only)'!G306)</f>
        <v/>
      </c>
      <c r="P295" s="298" t="str">
        <f>IF(B295="", "", 'Lighting Inventory (Ref only)'!E306)</f>
        <v/>
      </c>
      <c r="Q295" s="298" t="str">
        <f>IF(B295="", "", 'Lighting Inventory (Ref only)'!J306)</f>
        <v/>
      </c>
      <c r="R295" s="298" t="str">
        <f>IF(B295="", "",'Lighting Inventory (Ref only)'!K306)</f>
        <v/>
      </c>
      <c r="S295" s="372" t="str">
        <f>IF(B295="", "", 'Lighting Inventory (Ref only)'!G306*'Lighting Inventory (Ref only)'!K306/1000)</f>
        <v/>
      </c>
      <c r="T295" s="298" t="str">
        <f>IF(B295="", "", IF('Lighting Inventory (Ref only)'!I306="", "Light Switch",Inventory!H303))</f>
        <v/>
      </c>
      <c r="W295" s="373"/>
      <c r="X295" s="298" t="str">
        <f>IF(B295="", "", 'Lighting Inventory (Ref only)'!Q306)</f>
        <v/>
      </c>
      <c r="Z295" s="374"/>
      <c r="AA295" s="372" t="str">
        <f>IF(B295="", "",'Lighting Inventory (Ref only)'!R306/1000)</f>
        <v/>
      </c>
      <c r="AB295" s="372" t="str">
        <f>IF(B295="", "", Inventory!M303)</f>
        <v/>
      </c>
      <c r="AC295" s="374" t="str">
        <f>IF(B295="", "", 'Lighting Inventory (Ref only)'!T306)</f>
        <v/>
      </c>
      <c r="AD295" s="374" t="str">
        <f>IF(C295="", "", 'Lighting Inventory (Ref only)'!AA306)</f>
        <v/>
      </c>
      <c r="AE295" s="375" t="str">
        <f>IF(B295="", "", 'Lighting Inventory (Ref only)'!U306)</f>
        <v/>
      </c>
      <c r="AF295" s="375" t="str">
        <f>IF(B295="", "",'Lighting Inventory (Ref only)'!W306)</f>
        <v/>
      </c>
      <c r="AG295" s="375"/>
      <c r="AH295" s="375" t="str">
        <f>IF(B295="", "",'Lighting Inventory (Ref only)'!Z306)</f>
        <v/>
      </c>
      <c r="AI295" s="375" t="str">
        <f>IF(B295="", "", 'Lighting Inventory (Ref only)'!Y306)</f>
        <v/>
      </c>
      <c r="AJ295" s="375" t="str">
        <f>IF(C295="", "",'Lighting Inventory (Ref only)'!AB306)</f>
        <v/>
      </c>
      <c r="AK295" s="375" t="str">
        <f>IF(B295="", "", 'Lighting Inventory (Ref only)'!AG306)</f>
        <v/>
      </c>
      <c r="AL295" s="375" t="str">
        <f>IF(B295="", "", 'Lighting Inventory (Ref only)'!AD306)</f>
        <v/>
      </c>
      <c r="AM295" s="375" t="str">
        <f>IF(B295="", "", 'Lighting Inventory (Ref only)'!AE306)</f>
        <v/>
      </c>
      <c r="AN295" s="375" t="str">
        <f>IF(B295="", "", 'Lighting Inventory (Ref only)'!AF306)</f>
        <v/>
      </c>
      <c r="AO295" s="375" t="str">
        <f>IF(B295="", "", 'Lighting Inventory (Ref only)'!AG306)</f>
        <v/>
      </c>
    </row>
    <row r="296" spans="1:41">
      <c r="A296" s="298" t="str">
        <f>IF(G296="", "", Lookups!BF298)</f>
        <v/>
      </c>
      <c r="B296" s="298" t="str">
        <f>IF('Lighting Inventory (Ref only)'!Q307="", "", 'Lighting Inventory (Ref only)'!Q307)</f>
        <v/>
      </c>
      <c r="C296" s="298" t="str">
        <f>IF(A296="", "", 'Lighting Inventory (Ref only)'!AO307)</f>
        <v/>
      </c>
      <c r="D296" s="370" t="str">
        <f>IF(B296= "","", Inventory!S304)</f>
        <v/>
      </c>
      <c r="E296" s="371"/>
      <c r="F296" s="298" t="str">
        <f>IF(B296="", "", 'Version Log'!$B$34)</f>
        <v/>
      </c>
      <c r="G296" s="298" t="str">
        <f t="shared" si="16"/>
        <v/>
      </c>
      <c r="H296" s="298" t="str">
        <f t="shared" si="17"/>
        <v/>
      </c>
      <c r="I296" s="298" t="str">
        <f>IF(B296="", "",Inventory!D304)</f>
        <v/>
      </c>
      <c r="J296" s="298" t="str">
        <f>IF(B296="","",IF(Inventory!C304="N","Interior","Exterior"))</f>
        <v/>
      </c>
      <c r="K296" s="298" t="str">
        <f t="shared" si="18"/>
        <v/>
      </c>
      <c r="L296" s="298" t="str">
        <f>IF(B296="", "", Inventory!E304)</f>
        <v/>
      </c>
      <c r="M296" s="298" t="str">
        <f>IF(B296="","",IF(Cool_Type=Lookups!$L$9,Cool_Type,IF(Cool_Type=Lookups!$L$10,Cool_Type,IF(Cool_Type=Lookups!$L$11,Cool_Type,IF(Cool_Type=Lookups!L306,Cool_Type,IF('Project Info and Summary'!$C$20="Electric",CONCATENATE(Cool_Type," ",Heating_Type," Heat"),IF('Project Info and Summary'!$C$20="Non-Electric",CONCATENATE(Cool_Type," ",Heating_Type," Heat"),CONCATENATE(Cool_Type," ",Heating_Type))))))))</f>
        <v/>
      </c>
      <c r="N296" s="298" t="str">
        <f t="shared" si="19"/>
        <v/>
      </c>
      <c r="O296" s="298" t="str">
        <f>IF(B296="", "", 'Lighting Inventory (Ref only)'!G307)</f>
        <v/>
      </c>
      <c r="P296" s="298" t="str">
        <f>IF(B296="", "", 'Lighting Inventory (Ref only)'!E307)</f>
        <v/>
      </c>
      <c r="Q296" s="298" t="str">
        <f>IF(B296="", "", 'Lighting Inventory (Ref only)'!J307)</f>
        <v/>
      </c>
      <c r="R296" s="298" t="str">
        <f>IF(B296="", "",'Lighting Inventory (Ref only)'!K307)</f>
        <v/>
      </c>
      <c r="S296" s="372" t="str">
        <f>IF(B296="", "", 'Lighting Inventory (Ref only)'!G307*'Lighting Inventory (Ref only)'!K307/1000)</f>
        <v/>
      </c>
      <c r="T296" s="298" t="str">
        <f>IF(B296="", "", IF('Lighting Inventory (Ref only)'!I307="", "Light Switch",Inventory!H304))</f>
        <v/>
      </c>
      <c r="W296" s="373"/>
      <c r="X296" s="298" t="str">
        <f>IF(B296="", "", 'Lighting Inventory (Ref only)'!Q307)</f>
        <v/>
      </c>
      <c r="Z296" s="374"/>
      <c r="AA296" s="372" t="str">
        <f>IF(B296="", "",'Lighting Inventory (Ref only)'!R307/1000)</f>
        <v/>
      </c>
      <c r="AB296" s="372" t="str">
        <f>IF(B296="", "", Inventory!M304)</f>
        <v/>
      </c>
      <c r="AC296" s="374" t="str">
        <f>IF(B296="", "", 'Lighting Inventory (Ref only)'!T307)</f>
        <v/>
      </c>
      <c r="AD296" s="374" t="str">
        <f>IF(C296="", "", 'Lighting Inventory (Ref only)'!AA307)</f>
        <v/>
      </c>
      <c r="AE296" s="375" t="str">
        <f>IF(B296="", "", 'Lighting Inventory (Ref only)'!U307)</f>
        <v/>
      </c>
      <c r="AF296" s="375" t="str">
        <f>IF(B296="", "",'Lighting Inventory (Ref only)'!W307)</f>
        <v/>
      </c>
      <c r="AG296" s="375"/>
      <c r="AH296" s="375" t="str">
        <f>IF(B296="", "",'Lighting Inventory (Ref only)'!Z307)</f>
        <v/>
      </c>
      <c r="AI296" s="375" t="str">
        <f>IF(B296="", "", 'Lighting Inventory (Ref only)'!Y307)</f>
        <v/>
      </c>
      <c r="AJ296" s="375" t="str">
        <f>IF(C296="", "",'Lighting Inventory (Ref only)'!AB307)</f>
        <v/>
      </c>
      <c r="AK296" s="375" t="str">
        <f>IF(B296="", "", 'Lighting Inventory (Ref only)'!AG307)</f>
        <v/>
      </c>
      <c r="AL296" s="375" t="str">
        <f>IF(B296="", "", 'Lighting Inventory (Ref only)'!AD307)</f>
        <v/>
      </c>
      <c r="AM296" s="375" t="str">
        <f>IF(B296="", "", 'Lighting Inventory (Ref only)'!AE307)</f>
        <v/>
      </c>
      <c r="AN296" s="375" t="str">
        <f>IF(B296="", "", 'Lighting Inventory (Ref only)'!AF307)</f>
        <v/>
      </c>
      <c r="AO296" s="375" t="str">
        <f>IF(B296="", "", 'Lighting Inventory (Ref only)'!AG307)</f>
        <v/>
      </c>
    </row>
    <row r="297" spans="1:41">
      <c r="A297" s="298" t="str">
        <f>IF(G297="", "", Lookups!BF299)</f>
        <v/>
      </c>
      <c r="B297" s="298" t="str">
        <f>IF('Lighting Inventory (Ref only)'!Q308="", "", 'Lighting Inventory (Ref only)'!Q308)</f>
        <v/>
      </c>
      <c r="C297" s="298" t="str">
        <f>IF(A297="", "", 'Lighting Inventory (Ref only)'!AO308)</f>
        <v/>
      </c>
      <c r="D297" s="370" t="str">
        <f>IF(B297= "","", Inventory!S305)</f>
        <v/>
      </c>
      <c r="E297" s="371"/>
      <c r="F297" s="298" t="str">
        <f>IF(B297="", "", 'Version Log'!$B$34)</f>
        <v/>
      </c>
      <c r="G297" s="298" t="str">
        <f t="shared" si="16"/>
        <v/>
      </c>
      <c r="H297" s="298" t="str">
        <f t="shared" si="17"/>
        <v/>
      </c>
      <c r="I297" s="298" t="str">
        <f>IF(B297="", "",Inventory!D305)</f>
        <v/>
      </c>
      <c r="J297" s="298" t="str">
        <f>IF(B297="","",IF(Inventory!C305="N","Interior","Exterior"))</f>
        <v/>
      </c>
      <c r="K297" s="298" t="str">
        <f t="shared" si="18"/>
        <v/>
      </c>
      <c r="L297" s="298" t="str">
        <f>IF(B297="", "", Inventory!E305)</f>
        <v/>
      </c>
      <c r="M297" s="298" t="str">
        <f>IF(B297="","",IF(Cool_Type=Lookups!$L$9,Cool_Type,IF(Cool_Type=Lookups!$L$10,Cool_Type,IF(Cool_Type=Lookups!$L$11,Cool_Type,IF(Cool_Type=Lookups!L307,Cool_Type,IF('Project Info and Summary'!$C$20="Electric",CONCATENATE(Cool_Type," ",Heating_Type," Heat"),IF('Project Info and Summary'!$C$20="Non-Electric",CONCATENATE(Cool_Type," ",Heating_Type," Heat"),CONCATENATE(Cool_Type," ",Heating_Type))))))))</f>
        <v/>
      </c>
      <c r="N297" s="298" t="str">
        <f t="shared" si="19"/>
        <v/>
      </c>
      <c r="O297" s="298" t="str">
        <f>IF(B297="", "", 'Lighting Inventory (Ref only)'!G308)</f>
        <v/>
      </c>
      <c r="P297" s="298" t="str">
        <f>IF(B297="", "", 'Lighting Inventory (Ref only)'!E308)</f>
        <v/>
      </c>
      <c r="Q297" s="298" t="str">
        <f>IF(B297="", "", 'Lighting Inventory (Ref only)'!J308)</f>
        <v/>
      </c>
      <c r="R297" s="298" t="str">
        <f>IF(B297="", "",'Lighting Inventory (Ref only)'!K308)</f>
        <v/>
      </c>
      <c r="S297" s="372" t="str">
        <f>IF(B297="", "", 'Lighting Inventory (Ref only)'!G308*'Lighting Inventory (Ref only)'!K308/1000)</f>
        <v/>
      </c>
      <c r="T297" s="298" t="str">
        <f>IF(B297="", "", IF('Lighting Inventory (Ref only)'!I308="", "Light Switch",Inventory!H305))</f>
        <v/>
      </c>
      <c r="W297" s="373"/>
      <c r="X297" s="298" t="str">
        <f>IF(B297="", "", 'Lighting Inventory (Ref only)'!Q308)</f>
        <v/>
      </c>
      <c r="Z297" s="374"/>
      <c r="AA297" s="372" t="str">
        <f>IF(B297="", "",'Lighting Inventory (Ref only)'!R308/1000)</f>
        <v/>
      </c>
      <c r="AB297" s="372" t="str">
        <f>IF(B297="", "", Inventory!M305)</f>
        <v/>
      </c>
      <c r="AC297" s="374" t="str">
        <f>IF(B297="", "", 'Lighting Inventory (Ref only)'!T308)</f>
        <v/>
      </c>
      <c r="AD297" s="374" t="str">
        <f>IF(C297="", "", 'Lighting Inventory (Ref only)'!AA308)</f>
        <v/>
      </c>
      <c r="AE297" s="375" t="str">
        <f>IF(B297="", "", 'Lighting Inventory (Ref only)'!U308)</f>
        <v/>
      </c>
      <c r="AF297" s="375" t="str">
        <f>IF(B297="", "",'Lighting Inventory (Ref only)'!W308)</f>
        <v/>
      </c>
      <c r="AG297" s="375"/>
      <c r="AH297" s="375" t="str">
        <f>IF(B297="", "",'Lighting Inventory (Ref only)'!Z308)</f>
        <v/>
      </c>
      <c r="AI297" s="375" t="str">
        <f>IF(B297="", "", 'Lighting Inventory (Ref only)'!Y308)</f>
        <v/>
      </c>
      <c r="AJ297" s="375" t="str">
        <f>IF(C297="", "",'Lighting Inventory (Ref only)'!AB308)</f>
        <v/>
      </c>
      <c r="AK297" s="375" t="str">
        <f>IF(B297="", "", 'Lighting Inventory (Ref only)'!AG308)</f>
        <v/>
      </c>
      <c r="AL297" s="375" t="str">
        <f>IF(B297="", "", 'Lighting Inventory (Ref only)'!AD308)</f>
        <v/>
      </c>
      <c r="AM297" s="375" t="str">
        <f>IF(B297="", "", 'Lighting Inventory (Ref only)'!AE308)</f>
        <v/>
      </c>
      <c r="AN297" s="375" t="str">
        <f>IF(B297="", "", 'Lighting Inventory (Ref only)'!AF308)</f>
        <v/>
      </c>
      <c r="AO297" s="375" t="str">
        <f>IF(B297="", "", 'Lighting Inventory (Ref only)'!AG308)</f>
        <v/>
      </c>
    </row>
    <row r="298" spans="1:41">
      <c r="A298" s="298" t="str">
        <f>IF(G298="", "", Lookups!BF300)</f>
        <v/>
      </c>
      <c r="B298" s="298" t="str">
        <f>IF('Lighting Inventory (Ref only)'!Q309="", "", 'Lighting Inventory (Ref only)'!Q309)</f>
        <v/>
      </c>
      <c r="C298" s="298" t="str">
        <f>IF(A298="", "", 'Lighting Inventory (Ref only)'!AO309)</f>
        <v/>
      </c>
      <c r="D298" s="370" t="str">
        <f>IF(B298= "","", Inventory!S306)</f>
        <v/>
      </c>
      <c r="E298" s="371"/>
      <c r="F298" s="298" t="str">
        <f>IF(B298="", "", 'Version Log'!$B$34)</f>
        <v/>
      </c>
      <c r="G298" s="298" t="str">
        <f t="shared" si="16"/>
        <v/>
      </c>
      <c r="H298" s="298" t="str">
        <f t="shared" si="17"/>
        <v/>
      </c>
      <c r="I298" s="298" t="str">
        <f>IF(B298="", "",Inventory!D306)</f>
        <v/>
      </c>
      <c r="J298" s="298" t="str">
        <f>IF(B298="","",IF(Inventory!C306="N","Interior","Exterior"))</f>
        <v/>
      </c>
      <c r="K298" s="298" t="str">
        <f t="shared" si="18"/>
        <v/>
      </c>
      <c r="L298" s="298" t="str">
        <f>IF(B298="", "", Inventory!E306)</f>
        <v/>
      </c>
      <c r="M298" s="298" t="str">
        <f>IF(B298="","",IF(Cool_Type=Lookups!$L$9,Cool_Type,IF(Cool_Type=Lookups!$L$10,Cool_Type,IF(Cool_Type=Lookups!$L$11,Cool_Type,IF(Cool_Type=Lookups!L308,Cool_Type,IF('Project Info and Summary'!$C$20="Electric",CONCATENATE(Cool_Type," ",Heating_Type," Heat"),IF('Project Info and Summary'!$C$20="Non-Electric",CONCATENATE(Cool_Type," ",Heating_Type," Heat"),CONCATENATE(Cool_Type," ",Heating_Type))))))))</f>
        <v/>
      </c>
      <c r="N298" s="298" t="str">
        <f t="shared" si="19"/>
        <v/>
      </c>
      <c r="O298" s="298" t="str">
        <f>IF(B298="", "", 'Lighting Inventory (Ref only)'!G309)</f>
        <v/>
      </c>
      <c r="P298" s="298" t="str">
        <f>IF(B298="", "", 'Lighting Inventory (Ref only)'!E309)</f>
        <v/>
      </c>
      <c r="Q298" s="298" t="str">
        <f>IF(B298="", "", 'Lighting Inventory (Ref only)'!J309)</f>
        <v/>
      </c>
      <c r="R298" s="298" t="str">
        <f>IF(B298="", "",'Lighting Inventory (Ref only)'!K309)</f>
        <v/>
      </c>
      <c r="S298" s="372" t="str">
        <f>IF(B298="", "", 'Lighting Inventory (Ref only)'!G309*'Lighting Inventory (Ref only)'!K309/1000)</f>
        <v/>
      </c>
      <c r="T298" s="298" t="str">
        <f>IF(B298="", "", IF('Lighting Inventory (Ref only)'!I309="", "Light Switch",Inventory!H306))</f>
        <v/>
      </c>
      <c r="W298" s="373"/>
      <c r="X298" s="298" t="str">
        <f>IF(B298="", "", 'Lighting Inventory (Ref only)'!Q309)</f>
        <v/>
      </c>
      <c r="Z298" s="374"/>
      <c r="AA298" s="372" t="str">
        <f>IF(B298="", "",'Lighting Inventory (Ref only)'!R309/1000)</f>
        <v/>
      </c>
      <c r="AB298" s="372" t="str">
        <f>IF(B298="", "", Inventory!M306)</f>
        <v/>
      </c>
      <c r="AC298" s="374" t="str">
        <f>IF(B298="", "", 'Lighting Inventory (Ref only)'!T309)</f>
        <v/>
      </c>
      <c r="AD298" s="374" t="str">
        <f>IF(C298="", "", 'Lighting Inventory (Ref only)'!AA309)</f>
        <v/>
      </c>
      <c r="AE298" s="375" t="str">
        <f>IF(B298="", "", 'Lighting Inventory (Ref only)'!U309)</f>
        <v/>
      </c>
      <c r="AF298" s="375" t="str">
        <f>IF(B298="", "",'Lighting Inventory (Ref only)'!W309)</f>
        <v/>
      </c>
      <c r="AG298" s="375"/>
      <c r="AH298" s="375" t="str">
        <f>IF(B298="", "",'Lighting Inventory (Ref only)'!Z309)</f>
        <v/>
      </c>
      <c r="AI298" s="375" t="str">
        <f>IF(B298="", "", 'Lighting Inventory (Ref only)'!Y309)</f>
        <v/>
      </c>
      <c r="AJ298" s="375" t="str">
        <f>IF(C298="", "",'Lighting Inventory (Ref only)'!AB309)</f>
        <v/>
      </c>
      <c r="AK298" s="375" t="str">
        <f>IF(B298="", "", 'Lighting Inventory (Ref only)'!AG309)</f>
        <v/>
      </c>
      <c r="AL298" s="375" t="str">
        <f>IF(B298="", "", 'Lighting Inventory (Ref only)'!AD309)</f>
        <v/>
      </c>
      <c r="AM298" s="375" t="str">
        <f>IF(B298="", "", 'Lighting Inventory (Ref only)'!AE309)</f>
        <v/>
      </c>
      <c r="AN298" s="375" t="str">
        <f>IF(B298="", "", 'Lighting Inventory (Ref only)'!AF309)</f>
        <v/>
      </c>
      <c r="AO298" s="375" t="str">
        <f>IF(B298="", "", 'Lighting Inventory (Ref only)'!AG309)</f>
        <v/>
      </c>
    </row>
    <row r="299" spans="1:41">
      <c r="A299" s="298" t="str">
        <f>IF(G299="", "", Lookups!BF301)</f>
        <v/>
      </c>
      <c r="B299" s="298" t="str">
        <f>IF('Lighting Inventory (Ref only)'!Q310="", "", 'Lighting Inventory (Ref only)'!Q310)</f>
        <v/>
      </c>
      <c r="C299" s="298" t="str">
        <f>IF(A299="", "", 'Lighting Inventory (Ref only)'!AO310)</f>
        <v/>
      </c>
      <c r="D299" s="370" t="str">
        <f>IF(B299= "","", Inventory!S307)</f>
        <v/>
      </c>
      <c r="E299" s="371"/>
      <c r="F299" s="298" t="str">
        <f>IF(B299="", "", 'Version Log'!$B$34)</f>
        <v/>
      </c>
      <c r="G299" s="298" t="str">
        <f t="shared" si="16"/>
        <v/>
      </c>
      <c r="H299" s="298" t="str">
        <f t="shared" si="17"/>
        <v/>
      </c>
      <c r="I299" s="298" t="str">
        <f>IF(B299="", "",Inventory!D307)</f>
        <v/>
      </c>
      <c r="J299" s="298" t="str">
        <f>IF(B299="","",IF(Inventory!C307="N","Interior","Exterior"))</f>
        <v/>
      </c>
      <c r="K299" s="298" t="str">
        <f t="shared" si="18"/>
        <v/>
      </c>
      <c r="L299" s="298" t="str">
        <f>IF(B299="", "", Inventory!E307)</f>
        <v/>
      </c>
      <c r="M299" s="298" t="str">
        <f>IF(B299="","",IF(Cool_Type=Lookups!$L$9,Cool_Type,IF(Cool_Type=Lookups!$L$10,Cool_Type,IF(Cool_Type=Lookups!$L$11,Cool_Type,IF(Cool_Type=Lookups!L309,Cool_Type,IF('Project Info and Summary'!$C$20="Electric",CONCATENATE(Cool_Type," ",Heating_Type," Heat"),IF('Project Info and Summary'!$C$20="Non-Electric",CONCATENATE(Cool_Type," ",Heating_Type," Heat"),CONCATENATE(Cool_Type," ",Heating_Type))))))))</f>
        <v/>
      </c>
      <c r="N299" s="298" t="str">
        <f t="shared" si="19"/>
        <v/>
      </c>
      <c r="O299" s="298" t="str">
        <f>IF(B299="", "", 'Lighting Inventory (Ref only)'!G310)</f>
        <v/>
      </c>
      <c r="P299" s="298" t="str">
        <f>IF(B299="", "", 'Lighting Inventory (Ref only)'!E310)</f>
        <v/>
      </c>
      <c r="Q299" s="298" t="str">
        <f>IF(B299="", "", 'Lighting Inventory (Ref only)'!J310)</f>
        <v/>
      </c>
      <c r="R299" s="298" t="str">
        <f>IF(B299="", "",'Lighting Inventory (Ref only)'!K310)</f>
        <v/>
      </c>
      <c r="S299" s="372" t="str">
        <f>IF(B299="", "", 'Lighting Inventory (Ref only)'!G310*'Lighting Inventory (Ref only)'!K310/1000)</f>
        <v/>
      </c>
      <c r="T299" s="298" t="str">
        <f>IF(B299="", "", IF('Lighting Inventory (Ref only)'!I310="", "Light Switch",Inventory!H307))</f>
        <v/>
      </c>
      <c r="W299" s="373"/>
      <c r="X299" s="298" t="str">
        <f>IF(B299="", "", 'Lighting Inventory (Ref only)'!Q310)</f>
        <v/>
      </c>
      <c r="Z299" s="374"/>
      <c r="AA299" s="372" t="str">
        <f>IF(B299="", "",'Lighting Inventory (Ref only)'!R310/1000)</f>
        <v/>
      </c>
      <c r="AB299" s="372" t="str">
        <f>IF(B299="", "", Inventory!M307)</f>
        <v/>
      </c>
      <c r="AC299" s="374" t="str">
        <f>IF(B299="", "", 'Lighting Inventory (Ref only)'!T310)</f>
        <v/>
      </c>
      <c r="AD299" s="374" t="str">
        <f>IF(C299="", "", 'Lighting Inventory (Ref only)'!AA310)</f>
        <v/>
      </c>
      <c r="AE299" s="375" t="str">
        <f>IF(B299="", "", 'Lighting Inventory (Ref only)'!U310)</f>
        <v/>
      </c>
      <c r="AF299" s="375" t="str">
        <f>IF(B299="", "",'Lighting Inventory (Ref only)'!W310)</f>
        <v/>
      </c>
      <c r="AG299" s="375"/>
      <c r="AH299" s="375" t="str">
        <f>IF(B299="", "",'Lighting Inventory (Ref only)'!Z310)</f>
        <v/>
      </c>
      <c r="AI299" s="375" t="str">
        <f>IF(B299="", "", 'Lighting Inventory (Ref only)'!Y310)</f>
        <v/>
      </c>
      <c r="AJ299" s="375" t="str">
        <f>IF(C299="", "",'Lighting Inventory (Ref only)'!AB310)</f>
        <v/>
      </c>
      <c r="AK299" s="375" t="str">
        <f>IF(B299="", "", 'Lighting Inventory (Ref only)'!AG310)</f>
        <v/>
      </c>
      <c r="AL299" s="375" t="str">
        <f>IF(B299="", "", 'Lighting Inventory (Ref only)'!AD310)</f>
        <v/>
      </c>
      <c r="AM299" s="375" t="str">
        <f>IF(B299="", "", 'Lighting Inventory (Ref only)'!AE310)</f>
        <v/>
      </c>
      <c r="AN299" s="375" t="str">
        <f>IF(B299="", "", 'Lighting Inventory (Ref only)'!AF310)</f>
        <v/>
      </c>
      <c r="AO299" s="375" t="str">
        <f>IF(B299="", "", 'Lighting Inventory (Ref only)'!AG310)</f>
        <v/>
      </c>
    </row>
    <row r="300" spans="1:41">
      <c r="A300" s="298" t="str">
        <f>IF(G300="", "", Lookups!BF302)</f>
        <v/>
      </c>
      <c r="B300" s="298" t="str">
        <f>IF('Lighting Inventory (Ref only)'!Q311="", "", 'Lighting Inventory (Ref only)'!Q311)</f>
        <v/>
      </c>
      <c r="C300" s="298" t="str">
        <f>IF(A300="", "", 'Lighting Inventory (Ref only)'!AO311)</f>
        <v/>
      </c>
      <c r="D300" s="370" t="str">
        <f>IF(B300= "","", Inventory!S308)</f>
        <v/>
      </c>
      <c r="E300" s="371"/>
      <c r="F300" s="298" t="str">
        <f>IF(B300="", "", 'Version Log'!$B$34)</f>
        <v/>
      </c>
      <c r="G300" s="298" t="str">
        <f t="shared" si="16"/>
        <v/>
      </c>
      <c r="H300" s="298" t="str">
        <f t="shared" si="17"/>
        <v/>
      </c>
      <c r="I300" s="298" t="str">
        <f>IF(B300="", "",Inventory!D308)</f>
        <v/>
      </c>
      <c r="J300" s="298" t="str">
        <f>IF(B300="","",IF(Inventory!C308="N","Interior","Exterior"))</f>
        <v/>
      </c>
      <c r="K300" s="298" t="str">
        <f t="shared" si="18"/>
        <v/>
      </c>
      <c r="L300" s="298" t="str">
        <f>IF(B300="", "", Inventory!E308)</f>
        <v/>
      </c>
      <c r="M300" s="298" t="str">
        <f>IF(B300="","",IF(Cool_Type=Lookups!$L$9,Cool_Type,IF(Cool_Type=Lookups!$L$10,Cool_Type,IF(Cool_Type=Lookups!$L$11,Cool_Type,IF(Cool_Type=Lookups!L310,Cool_Type,IF('Project Info and Summary'!$C$20="Electric",CONCATENATE(Cool_Type," ",Heating_Type," Heat"),IF('Project Info and Summary'!$C$20="Non-Electric",CONCATENATE(Cool_Type," ",Heating_Type," Heat"),CONCATENATE(Cool_Type," ",Heating_Type))))))))</f>
        <v/>
      </c>
      <c r="N300" s="298" t="str">
        <f t="shared" si="19"/>
        <v/>
      </c>
      <c r="O300" s="298" t="str">
        <f>IF(B300="", "", 'Lighting Inventory (Ref only)'!G311)</f>
        <v/>
      </c>
      <c r="P300" s="298" t="str">
        <f>IF(B300="", "", 'Lighting Inventory (Ref only)'!E311)</f>
        <v/>
      </c>
      <c r="Q300" s="298" t="str">
        <f>IF(B300="", "", 'Lighting Inventory (Ref only)'!J311)</f>
        <v/>
      </c>
      <c r="R300" s="298" t="str">
        <f>IF(B300="", "",'Lighting Inventory (Ref only)'!K311)</f>
        <v/>
      </c>
      <c r="S300" s="372" t="str">
        <f>IF(B300="", "", 'Lighting Inventory (Ref only)'!G311*'Lighting Inventory (Ref only)'!K311/1000)</f>
        <v/>
      </c>
      <c r="T300" s="298" t="str">
        <f>IF(B300="", "", IF('Lighting Inventory (Ref only)'!I311="", "Light Switch",Inventory!H308))</f>
        <v/>
      </c>
      <c r="W300" s="373"/>
      <c r="X300" s="298" t="str">
        <f>IF(B300="", "", 'Lighting Inventory (Ref only)'!Q311)</f>
        <v/>
      </c>
      <c r="Z300" s="374"/>
      <c r="AA300" s="372" t="str">
        <f>IF(B300="", "",'Lighting Inventory (Ref only)'!R311/1000)</f>
        <v/>
      </c>
      <c r="AB300" s="372" t="str">
        <f>IF(B300="", "", Inventory!M308)</f>
        <v/>
      </c>
      <c r="AC300" s="374" t="str">
        <f>IF(B300="", "", 'Lighting Inventory (Ref only)'!T311)</f>
        <v/>
      </c>
      <c r="AD300" s="374" t="str">
        <f>IF(C300="", "", 'Lighting Inventory (Ref only)'!AA311)</f>
        <v/>
      </c>
      <c r="AE300" s="375" t="str">
        <f>IF(B300="", "", 'Lighting Inventory (Ref only)'!U311)</f>
        <v/>
      </c>
      <c r="AF300" s="375" t="str">
        <f>IF(B300="", "",'Lighting Inventory (Ref only)'!W311)</f>
        <v/>
      </c>
      <c r="AG300" s="375"/>
      <c r="AH300" s="375" t="str">
        <f>IF(B300="", "",'Lighting Inventory (Ref only)'!Z311)</f>
        <v/>
      </c>
      <c r="AI300" s="375" t="str">
        <f>IF(B300="", "", 'Lighting Inventory (Ref only)'!Y311)</f>
        <v/>
      </c>
      <c r="AJ300" s="375" t="str">
        <f>IF(C300="", "",'Lighting Inventory (Ref only)'!AB311)</f>
        <v/>
      </c>
      <c r="AK300" s="375" t="str">
        <f>IF(B300="", "", 'Lighting Inventory (Ref only)'!AG311)</f>
        <v/>
      </c>
      <c r="AL300" s="375" t="str">
        <f>IF(B300="", "", 'Lighting Inventory (Ref only)'!AD311)</f>
        <v/>
      </c>
      <c r="AM300" s="375" t="str">
        <f>IF(B300="", "", 'Lighting Inventory (Ref only)'!AE311)</f>
        <v/>
      </c>
      <c r="AN300" s="375" t="str">
        <f>IF(B300="", "", 'Lighting Inventory (Ref only)'!AF311)</f>
        <v/>
      </c>
      <c r="AO300" s="375" t="str">
        <f>IF(B300="", "", 'Lighting Inventory (Ref only)'!AG311)</f>
        <v/>
      </c>
    </row>
    <row r="301" spans="1:41">
      <c r="A301" s="298" t="str">
        <f>IF(G301="", "", Lookups!BF303)</f>
        <v/>
      </c>
      <c r="B301" s="298" t="str">
        <f>IF('Lighting Inventory (Ref only)'!Q312="", "", 'Lighting Inventory (Ref only)'!Q312)</f>
        <v/>
      </c>
      <c r="C301" s="298" t="str">
        <f>IF(A301="", "", 'Lighting Inventory (Ref only)'!AO312)</f>
        <v/>
      </c>
      <c r="D301" s="370" t="str">
        <f>IF(B301= "","", Inventory!S309)</f>
        <v/>
      </c>
      <c r="E301" s="371"/>
      <c r="F301" s="298" t="str">
        <f>IF(B301="", "", 'Version Log'!$B$34)</f>
        <v/>
      </c>
      <c r="G301" s="298" t="str">
        <f t="shared" si="16"/>
        <v/>
      </c>
      <c r="H301" s="298" t="str">
        <f t="shared" si="17"/>
        <v/>
      </c>
      <c r="I301" s="298" t="str">
        <f>IF(B301="", "",Inventory!D309)</f>
        <v/>
      </c>
      <c r="J301" s="298" t="str">
        <f>IF(B301="","",IF(Inventory!C309="N","Interior","Exterior"))</f>
        <v/>
      </c>
      <c r="K301" s="298" t="str">
        <f t="shared" si="18"/>
        <v/>
      </c>
      <c r="L301" s="298" t="str">
        <f>IF(B301="", "", Inventory!E309)</f>
        <v/>
      </c>
      <c r="M301" s="298" t="str">
        <f>IF(B301="","",IF(Cool_Type=Lookups!$L$9,Cool_Type,IF(Cool_Type=Lookups!$L$10,Cool_Type,IF(Cool_Type=Lookups!$L$11,Cool_Type,IF(Cool_Type=Lookups!L311,Cool_Type,IF('Project Info and Summary'!$C$20="Electric",CONCATENATE(Cool_Type," ",Heating_Type," Heat"),IF('Project Info and Summary'!$C$20="Non-Electric",CONCATENATE(Cool_Type," ",Heating_Type," Heat"),CONCATENATE(Cool_Type," ",Heating_Type))))))))</f>
        <v/>
      </c>
      <c r="N301" s="298" t="str">
        <f t="shared" si="19"/>
        <v/>
      </c>
      <c r="O301" s="298" t="str">
        <f>IF(B301="", "", 'Lighting Inventory (Ref only)'!G312)</f>
        <v/>
      </c>
      <c r="P301" s="298" t="str">
        <f>IF(B301="", "", 'Lighting Inventory (Ref only)'!E312)</f>
        <v/>
      </c>
      <c r="Q301" s="298" t="str">
        <f>IF(B301="", "", 'Lighting Inventory (Ref only)'!J312)</f>
        <v/>
      </c>
      <c r="R301" s="298" t="str">
        <f>IF(B301="", "",'Lighting Inventory (Ref only)'!K312)</f>
        <v/>
      </c>
      <c r="S301" s="372" t="str">
        <f>IF(B301="", "", 'Lighting Inventory (Ref only)'!G312*'Lighting Inventory (Ref only)'!K312/1000)</f>
        <v/>
      </c>
      <c r="T301" s="298" t="str">
        <f>IF(B301="", "", IF('Lighting Inventory (Ref only)'!I312="", "Light Switch",Inventory!H309))</f>
        <v/>
      </c>
      <c r="W301" s="373"/>
      <c r="X301" s="298" t="str">
        <f>IF(B301="", "", 'Lighting Inventory (Ref only)'!Q312)</f>
        <v/>
      </c>
      <c r="Z301" s="374"/>
      <c r="AA301" s="372" t="str">
        <f>IF(B301="", "",'Lighting Inventory (Ref only)'!R312/1000)</f>
        <v/>
      </c>
      <c r="AB301" s="372" t="str">
        <f>IF(B301="", "", Inventory!M309)</f>
        <v/>
      </c>
      <c r="AC301" s="374" t="str">
        <f>IF(B301="", "", 'Lighting Inventory (Ref only)'!T312)</f>
        <v/>
      </c>
      <c r="AD301" s="374" t="str">
        <f>IF(C301="", "", 'Lighting Inventory (Ref only)'!AA312)</f>
        <v/>
      </c>
      <c r="AE301" s="375" t="str">
        <f>IF(B301="", "", 'Lighting Inventory (Ref only)'!U312)</f>
        <v/>
      </c>
      <c r="AF301" s="375" t="str">
        <f>IF(B301="", "",'Lighting Inventory (Ref only)'!W312)</f>
        <v/>
      </c>
      <c r="AG301" s="375"/>
      <c r="AH301" s="375" t="str">
        <f>IF(B301="", "",'Lighting Inventory (Ref only)'!Z312)</f>
        <v/>
      </c>
      <c r="AI301" s="375" t="str">
        <f>IF(B301="", "", 'Lighting Inventory (Ref only)'!Y312)</f>
        <v/>
      </c>
      <c r="AJ301" s="375" t="str">
        <f>IF(C301="", "",'Lighting Inventory (Ref only)'!AB312)</f>
        <v/>
      </c>
      <c r="AK301" s="375" t="str">
        <f>IF(B301="", "", 'Lighting Inventory (Ref only)'!AG312)</f>
        <v/>
      </c>
      <c r="AL301" s="375" t="str">
        <f>IF(B301="", "", 'Lighting Inventory (Ref only)'!AD312)</f>
        <v/>
      </c>
      <c r="AM301" s="375" t="str">
        <f>IF(B301="", "", 'Lighting Inventory (Ref only)'!AE312)</f>
        <v/>
      </c>
      <c r="AN301" s="375" t="str">
        <f>IF(B301="", "", 'Lighting Inventory (Ref only)'!AF312)</f>
        <v/>
      </c>
      <c r="AO301" s="375" t="str">
        <f>IF(B301="", "", 'Lighting Inventory (Ref only)'!AG312)</f>
        <v/>
      </c>
    </row>
    <row r="302" spans="1:41">
      <c r="A302" s="298" t="str">
        <f>IF(G302="", "", Lookups!BF304)</f>
        <v/>
      </c>
      <c r="B302" s="298" t="str">
        <f>IF('Lighting Inventory (Ref only)'!Q313="", "", 'Lighting Inventory (Ref only)'!Q313)</f>
        <v/>
      </c>
      <c r="C302" s="298" t="str">
        <f>IF(A302="", "", 'Lighting Inventory (Ref only)'!AO313)</f>
        <v/>
      </c>
      <c r="D302" s="370" t="str">
        <f>IF(B302= "","", Inventory!S310)</f>
        <v/>
      </c>
      <c r="E302" s="371"/>
      <c r="F302" s="298" t="str">
        <f>IF(B302="", "", 'Version Log'!$B$34)</f>
        <v/>
      </c>
      <c r="G302" s="298" t="str">
        <f t="shared" si="16"/>
        <v/>
      </c>
      <c r="H302" s="298" t="str">
        <f t="shared" si="17"/>
        <v/>
      </c>
      <c r="I302" s="298" t="str">
        <f>IF(B302="", "",Inventory!D310)</f>
        <v/>
      </c>
      <c r="J302" s="298" t="str">
        <f>IF(B302="","",IF(Inventory!C310="N","Interior","Exterior"))</f>
        <v/>
      </c>
      <c r="K302" s="298" t="str">
        <f t="shared" si="18"/>
        <v/>
      </c>
      <c r="L302" s="298" t="str">
        <f>IF(B302="", "", Inventory!E310)</f>
        <v/>
      </c>
      <c r="M302" s="298" t="str">
        <f>IF(B302="","",IF(Cool_Type=Lookups!$L$9,Cool_Type,IF(Cool_Type=Lookups!$L$10,Cool_Type,IF(Cool_Type=Lookups!$L$11,Cool_Type,IF(Cool_Type=Lookups!L312,Cool_Type,IF('Project Info and Summary'!$C$20="Electric",CONCATENATE(Cool_Type," ",Heating_Type," Heat"),IF('Project Info and Summary'!$C$20="Non-Electric",CONCATENATE(Cool_Type," ",Heating_Type," Heat"),CONCATENATE(Cool_Type," ",Heating_Type))))))))</f>
        <v/>
      </c>
      <c r="N302" s="298" t="str">
        <f t="shared" si="19"/>
        <v/>
      </c>
      <c r="O302" s="298" t="str">
        <f>IF(B302="", "", 'Lighting Inventory (Ref only)'!G313)</f>
        <v/>
      </c>
      <c r="P302" s="298" t="str">
        <f>IF(B302="", "", 'Lighting Inventory (Ref only)'!E313)</f>
        <v/>
      </c>
      <c r="Q302" s="298" t="str">
        <f>IF(B302="", "", 'Lighting Inventory (Ref only)'!J313)</f>
        <v/>
      </c>
      <c r="R302" s="298" t="str">
        <f>IF(B302="", "",'Lighting Inventory (Ref only)'!K313)</f>
        <v/>
      </c>
      <c r="S302" s="372" t="str">
        <f>IF(B302="", "", 'Lighting Inventory (Ref only)'!G313*'Lighting Inventory (Ref only)'!K313/1000)</f>
        <v/>
      </c>
      <c r="T302" s="298" t="str">
        <f>IF(B302="", "", IF('Lighting Inventory (Ref only)'!I313="", "Light Switch",Inventory!H310))</f>
        <v/>
      </c>
      <c r="W302" s="373"/>
      <c r="X302" s="298" t="str">
        <f>IF(B302="", "", 'Lighting Inventory (Ref only)'!Q313)</f>
        <v/>
      </c>
      <c r="Z302" s="374"/>
      <c r="AA302" s="372" t="str">
        <f>IF(B302="", "",'Lighting Inventory (Ref only)'!R313/1000)</f>
        <v/>
      </c>
      <c r="AB302" s="372" t="str">
        <f>IF(B302="", "", Inventory!M310)</f>
        <v/>
      </c>
      <c r="AC302" s="374" t="str">
        <f>IF(B302="", "", 'Lighting Inventory (Ref only)'!T313)</f>
        <v/>
      </c>
      <c r="AD302" s="374" t="str">
        <f>IF(C302="", "", 'Lighting Inventory (Ref only)'!AA313)</f>
        <v/>
      </c>
      <c r="AE302" s="375" t="str">
        <f>IF(B302="", "", 'Lighting Inventory (Ref only)'!U313)</f>
        <v/>
      </c>
      <c r="AF302" s="375" t="str">
        <f>IF(B302="", "",'Lighting Inventory (Ref only)'!W313)</f>
        <v/>
      </c>
      <c r="AG302" s="375"/>
      <c r="AH302" s="375" t="str">
        <f>IF(B302="", "",'Lighting Inventory (Ref only)'!Z313)</f>
        <v/>
      </c>
      <c r="AI302" s="375" t="str">
        <f>IF(B302="", "", 'Lighting Inventory (Ref only)'!Y313)</f>
        <v/>
      </c>
      <c r="AJ302" s="375" t="str">
        <f>IF(C302="", "",'Lighting Inventory (Ref only)'!AB313)</f>
        <v/>
      </c>
      <c r="AK302" s="375" t="str">
        <f>IF(B302="", "", 'Lighting Inventory (Ref only)'!AG313)</f>
        <v/>
      </c>
      <c r="AL302" s="375" t="str">
        <f>IF(B302="", "", 'Lighting Inventory (Ref only)'!AD313)</f>
        <v/>
      </c>
      <c r="AM302" s="375" t="str">
        <f>IF(B302="", "", 'Lighting Inventory (Ref only)'!AE313)</f>
        <v/>
      </c>
      <c r="AN302" s="375" t="str">
        <f>IF(B302="", "", 'Lighting Inventory (Ref only)'!AF313)</f>
        <v/>
      </c>
      <c r="AO302" s="375" t="str">
        <f>IF(B302="", "", 'Lighting Inventory (Ref only)'!AG313)</f>
        <v/>
      </c>
    </row>
    <row r="303" spans="1:41">
      <c r="A303" s="298" t="str">
        <f>IF(G303="", "", Lookups!BF305)</f>
        <v/>
      </c>
      <c r="B303" s="298" t="str">
        <f>IF('Lighting Inventory (Ref only)'!Q314="", "", 'Lighting Inventory (Ref only)'!Q314)</f>
        <v/>
      </c>
      <c r="C303" s="298" t="str">
        <f>IF(A303="", "", 'Lighting Inventory (Ref only)'!AO314)</f>
        <v/>
      </c>
      <c r="D303" s="370" t="str">
        <f>IF(B303= "","", Inventory!S311)</f>
        <v/>
      </c>
      <c r="E303" s="371"/>
      <c r="F303" s="298" t="str">
        <f>IF(B303="", "", 'Version Log'!$B$34)</f>
        <v/>
      </c>
      <c r="G303" s="298" t="str">
        <f t="shared" si="16"/>
        <v/>
      </c>
      <c r="H303" s="298" t="str">
        <f t="shared" si="17"/>
        <v/>
      </c>
      <c r="I303" s="298" t="str">
        <f>IF(B303="", "",Inventory!D311)</f>
        <v/>
      </c>
      <c r="J303" s="298" t="str">
        <f>IF(B303="","",IF(Inventory!C311="N","Interior","Exterior"))</f>
        <v/>
      </c>
      <c r="K303" s="298" t="str">
        <f t="shared" si="18"/>
        <v/>
      </c>
      <c r="L303" s="298" t="str">
        <f>IF(B303="", "", Inventory!E311)</f>
        <v/>
      </c>
      <c r="M303" s="298" t="str">
        <f>IF(B303="","",IF(Cool_Type=Lookups!$L$9,Cool_Type,IF(Cool_Type=Lookups!$L$10,Cool_Type,IF(Cool_Type=Lookups!$L$11,Cool_Type,IF(Cool_Type=Lookups!L313,Cool_Type,IF('Project Info and Summary'!$C$20="Electric",CONCATENATE(Cool_Type," ",Heating_Type," Heat"),IF('Project Info and Summary'!$C$20="Non-Electric",CONCATENATE(Cool_Type," ",Heating_Type," Heat"),CONCATENATE(Cool_Type," ",Heating_Type))))))))</f>
        <v/>
      </c>
      <c r="N303" s="298" t="str">
        <f t="shared" si="19"/>
        <v/>
      </c>
      <c r="O303" s="298" t="str">
        <f>IF(B303="", "", 'Lighting Inventory (Ref only)'!G314)</f>
        <v/>
      </c>
      <c r="P303" s="298" t="str">
        <f>IF(B303="", "", 'Lighting Inventory (Ref only)'!E314)</f>
        <v/>
      </c>
      <c r="Q303" s="298" t="str">
        <f>IF(B303="", "", 'Lighting Inventory (Ref only)'!J314)</f>
        <v/>
      </c>
      <c r="R303" s="298" t="str">
        <f>IF(B303="", "",'Lighting Inventory (Ref only)'!K314)</f>
        <v/>
      </c>
      <c r="S303" s="372" t="str">
        <f>IF(B303="", "", 'Lighting Inventory (Ref only)'!G314*'Lighting Inventory (Ref only)'!K314/1000)</f>
        <v/>
      </c>
      <c r="T303" s="298" t="str">
        <f>IF(B303="", "", IF('Lighting Inventory (Ref only)'!I314="", "Light Switch",Inventory!H311))</f>
        <v/>
      </c>
      <c r="W303" s="373"/>
      <c r="X303" s="298" t="str">
        <f>IF(B303="", "", 'Lighting Inventory (Ref only)'!Q314)</f>
        <v/>
      </c>
      <c r="Z303" s="374"/>
      <c r="AA303" s="372" t="str">
        <f>IF(B303="", "",'Lighting Inventory (Ref only)'!R314/1000)</f>
        <v/>
      </c>
      <c r="AB303" s="372" t="str">
        <f>IF(B303="", "", Inventory!M311)</f>
        <v/>
      </c>
      <c r="AC303" s="374" t="str">
        <f>IF(B303="", "", 'Lighting Inventory (Ref only)'!T314)</f>
        <v/>
      </c>
      <c r="AD303" s="374" t="str">
        <f>IF(C303="", "", 'Lighting Inventory (Ref only)'!AA314)</f>
        <v/>
      </c>
      <c r="AE303" s="375" t="str">
        <f>IF(B303="", "", 'Lighting Inventory (Ref only)'!U314)</f>
        <v/>
      </c>
      <c r="AF303" s="375" t="str">
        <f>IF(B303="", "",'Lighting Inventory (Ref only)'!W314)</f>
        <v/>
      </c>
      <c r="AG303" s="375"/>
      <c r="AH303" s="375" t="str">
        <f>IF(B303="", "",'Lighting Inventory (Ref only)'!Z314)</f>
        <v/>
      </c>
      <c r="AI303" s="375" t="str">
        <f>IF(B303="", "", 'Lighting Inventory (Ref only)'!Y314)</f>
        <v/>
      </c>
      <c r="AJ303" s="375" t="str">
        <f>IF(C303="", "",'Lighting Inventory (Ref only)'!AB314)</f>
        <v/>
      </c>
      <c r="AK303" s="375" t="str">
        <f>IF(B303="", "", 'Lighting Inventory (Ref only)'!AG314)</f>
        <v/>
      </c>
      <c r="AL303" s="375" t="str">
        <f>IF(B303="", "", 'Lighting Inventory (Ref only)'!AD314)</f>
        <v/>
      </c>
      <c r="AM303" s="375" t="str">
        <f>IF(B303="", "", 'Lighting Inventory (Ref only)'!AE314)</f>
        <v/>
      </c>
      <c r="AN303" s="375" t="str">
        <f>IF(B303="", "", 'Lighting Inventory (Ref only)'!AF314)</f>
        <v/>
      </c>
      <c r="AO303" s="375" t="str">
        <f>IF(B303="", "", 'Lighting Inventory (Ref only)'!AG314)</f>
        <v/>
      </c>
    </row>
    <row r="304" spans="1:41">
      <c r="A304" s="298" t="str">
        <f>IF(G304="", "", Lookups!BF306)</f>
        <v/>
      </c>
      <c r="B304" s="298" t="str">
        <f>IF('Lighting Inventory (Ref only)'!Q315="", "", 'Lighting Inventory (Ref only)'!Q315)</f>
        <v/>
      </c>
      <c r="C304" s="298" t="str">
        <f>IF(A304="", "", 'Lighting Inventory (Ref only)'!AO315)</f>
        <v/>
      </c>
      <c r="D304" s="370" t="str">
        <f>IF(B304= "","", Inventory!S312)</f>
        <v/>
      </c>
      <c r="E304" s="371"/>
      <c r="F304" s="298" t="str">
        <f>IF(B304="", "", 'Version Log'!$B$34)</f>
        <v/>
      </c>
      <c r="G304" s="298" t="str">
        <f t="shared" si="16"/>
        <v/>
      </c>
      <c r="H304" s="298" t="str">
        <f t="shared" si="17"/>
        <v/>
      </c>
      <c r="I304" s="298" t="str">
        <f>IF(B304="", "",Inventory!D312)</f>
        <v/>
      </c>
      <c r="J304" s="298" t="str">
        <f>IF(B304="","",IF(Inventory!C312="N","Interior","Exterior"))</f>
        <v/>
      </c>
      <c r="K304" s="298" t="str">
        <f t="shared" si="18"/>
        <v/>
      </c>
      <c r="L304" s="298" t="str">
        <f>IF(B304="", "", Inventory!E312)</f>
        <v/>
      </c>
      <c r="M304" s="298" t="str">
        <f>IF(B304="","",IF(Cool_Type=Lookups!$L$9,Cool_Type,IF(Cool_Type=Lookups!$L$10,Cool_Type,IF(Cool_Type=Lookups!$L$11,Cool_Type,IF(Cool_Type=Lookups!L314,Cool_Type,IF('Project Info and Summary'!$C$20="Electric",CONCATENATE(Cool_Type," ",Heating_Type," Heat"),IF('Project Info and Summary'!$C$20="Non-Electric",CONCATENATE(Cool_Type," ",Heating_Type," Heat"),CONCATENATE(Cool_Type," ",Heating_Type))))))))</f>
        <v/>
      </c>
      <c r="N304" s="298" t="str">
        <f t="shared" si="19"/>
        <v/>
      </c>
      <c r="O304" s="298" t="str">
        <f>IF(B304="", "", 'Lighting Inventory (Ref only)'!G315)</f>
        <v/>
      </c>
      <c r="P304" s="298" t="str">
        <f>IF(B304="", "", 'Lighting Inventory (Ref only)'!E315)</f>
        <v/>
      </c>
      <c r="Q304" s="298" t="str">
        <f>IF(B304="", "", 'Lighting Inventory (Ref only)'!J315)</f>
        <v/>
      </c>
      <c r="R304" s="298" t="str">
        <f>IF(B304="", "",'Lighting Inventory (Ref only)'!K315)</f>
        <v/>
      </c>
      <c r="S304" s="372" t="str">
        <f>IF(B304="", "", 'Lighting Inventory (Ref only)'!G315*'Lighting Inventory (Ref only)'!K315/1000)</f>
        <v/>
      </c>
      <c r="T304" s="298" t="str">
        <f>IF(B304="", "", IF('Lighting Inventory (Ref only)'!I315="", "Light Switch",Inventory!H312))</f>
        <v/>
      </c>
      <c r="W304" s="373"/>
      <c r="X304" s="298" t="str">
        <f>IF(B304="", "", 'Lighting Inventory (Ref only)'!Q315)</f>
        <v/>
      </c>
      <c r="Z304" s="374"/>
      <c r="AA304" s="372" t="str">
        <f>IF(B304="", "",'Lighting Inventory (Ref only)'!R315/1000)</f>
        <v/>
      </c>
      <c r="AB304" s="372" t="str">
        <f>IF(B304="", "", Inventory!M312)</f>
        <v/>
      </c>
      <c r="AC304" s="374" t="str">
        <f>IF(B304="", "", 'Lighting Inventory (Ref only)'!T315)</f>
        <v/>
      </c>
      <c r="AD304" s="374" t="str">
        <f>IF(C304="", "", 'Lighting Inventory (Ref only)'!AA315)</f>
        <v/>
      </c>
      <c r="AE304" s="375" t="str">
        <f>IF(B304="", "", 'Lighting Inventory (Ref only)'!U315)</f>
        <v/>
      </c>
      <c r="AF304" s="375" t="str">
        <f>IF(B304="", "",'Lighting Inventory (Ref only)'!W315)</f>
        <v/>
      </c>
      <c r="AG304" s="375"/>
      <c r="AH304" s="375" t="str">
        <f>IF(B304="", "",'Lighting Inventory (Ref only)'!Z315)</f>
        <v/>
      </c>
      <c r="AI304" s="375" t="str">
        <f>IF(B304="", "", 'Lighting Inventory (Ref only)'!Y315)</f>
        <v/>
      </c>
      <c r="AJ304" s="375" t="str">
        <f>IF(C304="", "",'Lighting Inventory (Ref only)'!AB315)</f>
        <v/>
      </c>
      <c r="AK304" s="375" t="str">
        <f>IF(B304="", "", 'Lighting Inventory (Ref only)'!AG315)</f>
        <v/>
      </c>
      <c r="AL304" s="375" t="str">
        <f>IF(B304="", "", 'Lighting Inventory (Ref only)'!AD315)</f>
        <v/>
      </c>
      <c r="AM304" s="375" t="str">
        <f>IF(B304="", "", 'Lighting Inventory (Ref only)'!AE315)</f>
        <v/>
      </c>
      <c r="AN304" s="375" t="str">
        <f>IF(B304="", "", 'Lighting Inventory (Ref only)'!AF315)</f>
        <v/>
      </c>
      <c r="AO304" s="375" t="str">
        <f>IF(B304="", "", 'Lighting Inventory (Ref only)'!AG315)</f>
        <v/>
      </c>
    </row>
    <row r="305" spans="1:41">
      <c r="A305" s="298" t="str">
        <f>IF(G305="", "", Lookups!BF307)</f>
        <v/>
      </c>
      <c r="B305" s="298" t="str">
        <f>IF('Lighting Inventory (Ref only)'!Q316="", "", 'Lighting Inventory (Ref only)'!Q316)</f>
        <v/>
      </c>
      <c r="C305" s="298" t="str">
        <f>IF(A305="", "", 'Lighting Inventory (Ref only)'!AO316)</f>
        <v/>
      </c>
      <c r="D305" s="370" t="str">
        <f>IF(B305= "","", Inventory!S313)</f>
        <v/>
      </c>
      <c r="E305" s="371"/>
      <c r="F305" s="298" t="str">
        <f>IF(B305="", "", 'Version Log'!$B$34)</f>
        <v/>
      </c>
      <c r="G305" s="298" t="str">
        <f t="shared" si="16"/>
        <v/>
      </c>
      <c r="H305" s="298" t="str">
        <f t="shared" si="17"/>
        <v/>
      </c>
      <c r="I305" s="298" t="str">
        <f>IF(B305="", "",Inventory!D313)</f>
        <v/>
      </c>
      <c r="J305" s="298" t="str">
        <f>IF(B305="","",IF(Inventory!C313="N","Interior","Exterior"))</f>
        <v/>
      </c>
      <c r="K305" s="298" t="str">
        <f t="shared" si="18"/>
        <v/>
      </c>
      <c r="L305" s="298" t="str">
        <f>IF(B305="", "", Inventory!E313)</f>
        <v/>
      </c>
      <c r="M305" s="298" t="str">
        <f>IF(B305="","",IF(Cool_Type=Lookups!$L$9,Cool_Type,IF(Cool_Type=Lookups!$L$10,Cool_Type,IF(Cool_Type=Lookups!$L$11,Cool_Type,IF(Cool_Type=Lookups!L315,Cool_Type,IF('Project Info and Summary'!$C$20="Electric",CONCATENATE(Cool_Type," ",Heating_Type," Heat"),IF('Project Info and Summary'!$C$20="Non-Electric",CONCATENATE(Cool_Type," ",Heating_Type," Heat"),CONCATENATE(Cool_Type," ",Heating_Type))))))))</f>
        <v/>
      </c>
      <c r="N305" s="298" t="str">
        <f t="shared" si="19"/>
        <v/>
      </c>
      <c r="O305" s="298" t="str">
        <f>IF(B305="", "", 'Lighting Inventory (Ref only)'!G316)</f>
        <v/>
      </c>
      <c r="P305" s="298" t="str">
        <f>IF(B305="", "", 'Lighting Inventory (Ref only)'!E316)</f>
        <v/>
      </c>
      <c r="Q305" s="298" t="str">
        <f>IF(B305="", "", 'Lighting Inventory (Ref only)'!J316)</f>
        <v/>
      </c>
      <c r="R305" s="298" t="str">
        <f>IF(B305="", "",'Lighting Inventory (Ref only)'!K316)</f>
        <v/>
      </c>
      <c r="S305" s="372" t="str">
        <f>IF(B305="", "", 'Lighting Inventory (Ref only)'!G316*'Lighting Inventory (Ref only)'!K316/1000)</f>
        <v/>
      </c>
      <c r="T305" s="298" t="str">
        <f>IF(B305="", "", IF('Lighting Inventory (Ref only)'!I316="", "Light Switch",Inventory!H313))</f>
        <v/>
      </c>
      <c r="W305" s="373"/>
      <c r="X305" s="298" t="str">
        <f>IF(B305="", "", 'Lighting Inventory (Ref only)'!Q316)</f>
        <v/>
      </c>
      <c r="Z305" s="374"/>
      <c r="AA305" s="372" t="str">
        <f>IF(B305="", "",'Lighting Inventory (Ref only)'!R316/1000)</f>
        <v/>
      </c>
      <c r="AB305" s="372" t="str">
        <f>IF(B305="", "", Inventory!M313)</f>
        <v/>
      </c>
      <c r="AC305" s="374" t="str">
        <f>IF(B305="", "", 'Lighting Inventory (Ref only)'!T316)</f>
        <v/>
      </c>
      <c r="AD305" s="374" t="str">
        <f>IF(C305="", "", 'Lighting Inventory (Ref only)'!AA316)</f>
        <v/>
      </c>
      <c r="AE305" s="375" t="str">
        <f>IF(B305="", "", 'Lighting Inventory (Ref only)'!U316)</f>
        <v/>
      </c>
      <c r="AF305" s="375" t="str">
        <f>IF(B305="", "",'Lighting Inventory (Ref only)'!W316)</f>
        <v/>
      </c>
      <c r="AG305" s="375"/>
      <c r="AH305" s="375" t="str">
        <f>IF(B305="", "",'Lighting Inventory (Ref only)'!Z316)</f>
        <v/>
      </c>
      <c r="AI305" s="375" t="str">
        <f>IF(B305="", "", 'Lighting Inventory (Ref only)'!Y316)</f>
        <v/>
      </c>
      <c r="AJ305" s="375" t="str">
        <f>IF(C305="", "",'Lighting Inventory (Ref only)'!AB316)</f>
        <v/>
      </c>
      <c r="AK305" s="375" t="str">
        <f>IF(B305="", "", 'Lighting Inventory (Ref only)'!AG316)</f>
        <v/>
      </c>
      <c r="AL305" s="375" t="str">
        <f>IF(B305="", "", 'Lighting Inventory (Ref only)'!AD316)</f>
        <v/>
      </c>
      <c r="AM305" s="375" t="str">
        <f>IF(B305="", "", 'Lighting Inventory (Ref only)'!AE316)</f>
        <v/>
      </c>
      <c r="AN305" s="375" t="str">
        <f>IF(B305="", "", 'Lighting Inventory (Ref only)'!AF316)</f>
        <v/>
      </c>
      <c r="AO305" s="375" t="str">
        <f>IF(B305="", "", 'Lighting Inventory (Ref only)'!AG316)</f>
        <v/>
      </c>
    </row>
    <row r="306" spans="1:41">
      <c r="A306" s="298" t="str">
        <f>IF(G306="", "", Lookups!BF308)</f>
        <v/>
      </c>
      <c r="B306" s="298" t="str">
        <f>IF('Lighting Inventory (Ref only)'!Q317="", "", 'Lighting Inventory (Ref only)'!Q317)</f>
        <v/>
      </c>
      <c r="C306" s="298" t="str">
        <f>IF(A306="", "", 'Lighting Inventory (Ref only)'!AO317)</f>
        <v/>
      </c>
      <c r="D306" s="370" t="str">
        <f>IF(B306= "","", Inventory!S314)</f>
        <v/>
      </c>
      <c r="E306" s="371"/>
      <c r="F306" s="298" t="str">
        <f>IF(B306="", "", 'Version Log'!$B$34)</f>
        <v/>
      </c>
      <c r="G306" s="298" t="str">
        <f t="shared" si="16"/>
        <v/>
      </c>
      <c r="H306" s="298" t="str">
        <f t="shared" si="17"/>
        <v/>
      </c>
      <c r="I306" s="298" t="str">
        <f>IF(B306="", "",Inventory!D314)</f>
        <v/>
      </c>
      <c r="J306" s="298" t="str">
        <f>IF(B306="","",IF(Inventory!C314="N","Interior","Exterior"))</f>
        <v/>
      </c>
      <c r="K306" s="298" t="str">
        <f t="shared" si="18"/>
        <v/>
      </c>
      <c r="L306" s="298" t="str">
        <f>IF(B306="", "", Inventory!E314)</f>
        <v/>
      </c>
      <c r="M306" s="298" t="str">
        <f>IF(B306="","",IF(Cool_Type=Lookups!$L$9,Cool_Type,IF(Cool_Type=Lookups!$L$10,Cool_Type,IF(Cool_Type=Lookups!$L$11,Cool_Type,IF(Cool_Type=Lookups!L316,Cool_Type,IF('Project Info and Summary'!$C$20="Electric",CONCATENATE(Cool_Type," ",Heating_Type," Heat"),IF('Project Info and Summary'!$C$20="Non-Electric",CONCATENATE(Cool_Type," ",Heating_Type," Heat"),CONCATENATE(Cool_Type," ",Heating_Type))))))))</f>
        <v/>
      </c>
      <c r="N306" s="298" t="str">
        <f t="shared" si="19"/>
        <v/>
      </c>
      <c r="O306" s="298" t="str">
        <f>IF(B306="", "", 'Lighting Inventory (Ref only)'!G317)</f>
        <v/>
      </c>
      <c r="P306" s="298" t="str">
        <f>IF(B306="", "", 'Lighting Inventory (Ref only)'!E317)</f>
        <v/>
      </c>
      <c r="Q306" s="298" t="str">
        <f>IF(B306="", "", 'Lighting Inventory (Ref only)'!J317)</f>
        <v/>
      </c>
      <c r="R306" s="298" t="str">
        <f>IF(B306="", "",'Lighting Inventory (Ref only)'!K317)</f>
        <v/>
      </c>
      <c r="S306" s="372" t="str">
        <f>IF(B306="", "", 'Lighting Inventory (Ref only)'!G317*'Lighting Inventory (Ref only)'!K317/1000)</f>
        <v/>
      </c>
      <c r="T306" s="298" t="str">
        <f>IF(B306="", "", IF('Lighting Inventory (Ref only)'!I317="", "Light Switch",Inventory!H314))</f>
        <v/>
      </c>
      <c r="W306" s="373"/>
      <c r="X306" s="298" t="str">
        <f>IF(B306="", "", 'Lighting Inventory (Ref only)'!Q317)</f>
        <v/>
      </c>
      <c r="Z306" s="374"/>
      <c r="AA306" s="372" t="str">
        <f>IF(B306="", "",'Lighting Inventory (Ref only)'!R317/1000)</f>
        <v/>
      </c>
      <c r="AB306" s="372" t="str">
        <f>IF(B306="", "", Inventory!M314)</f>
        <v/>
      </c>
      <c r="AC306" s="374" t="str">
        <f>IF(B306="", "", 'Lighting Inventory (Ref only)'!T317)</f>
        <v/>
      </c>
      <c r="AD306" s="374" t="str">
        <f>IF(C306="", "", 'Lighting Inventory (Ref only)'!AA317)</f>
        <v/>
      </c>
      <c r="AE306" s="375" t="str">
        <f>IF(B306="", "", 'Lighting Inventory (Ref only)'!U317)</f>
        <v/>
      </c>
      <c r="AF306" s="375" t="str">
        <f>IF(B306="", "",'Lighting Inventory (Ref only)'!W317)</f>
        <v/>
      </c>
      <c r="AG306" s="375"/>
      <c r="AH306" s="375" t="str">
        <f>IF(B306="", "",'Lighting Inventory (Ref only)'!Z317)</f>
        <v/>
      </c>
      <c r="AI306" s="375" t="str">
        <f>IF(B306="", "", 'Lighting Inventory (Ref only)'!Y317)</f>
        <v/>
      </c>
      <c r="AJ306" s="375" t="str">
        <f>IF(C306="", "",'Lighting Inventory (Ref only)'!AB317)</f>
        <v/>
      </c>
      <c r="AK306" s="375" t="str">
        <f>IF(B306="", "", 'Lighting Inventory (Ref only)'!AG317)</f>
        <v/>
      </c>
      <c r="AL306" s="375" t="str">
        <f>IF(B306="", "", 'Lighting Inventory (Ref only)'!AD317)</f>
        <v/>
      </c>
      <c r="AM306" s="375" t="str">
        <f>IF(B306="", "", 'Lighting Inventory (Ref only)'!AE317)</f>
        <v/>
      </c>
      <c r="AN306" s="375" t="str">
        <f>IF(B306="", "", 'Lighting Inventory (Ref only)'!AF317)</f>
        <v/>
      </c>
      <c r="AO306" s="375" t="str">
        <f>IF(B306="", "", 'Lighting Inventory (Ref only)'!AG317)</f>
        <v/>
      </c>
    </row>
    <row r="307" spans="1:41">
      <c r="A307" s="298" t="str">
        <f>IF(G307="", "", Lookups!BF309)</f>
        <v/>
      </c>
      <c r="B307" s="298" t="str">
        <f>IF('Lighting Inventory (Ref only)'!Q318="", "", 'Lighting Inventory (Ref only)'!Q318)</f>
        <v/>
      </c>
      <c r="C307" s="298" t="str">
        <f>IF(A307="", "", 'Lighting Inventory (Ref only)'!AO318)</f>
        <v/>
      </c>
      <c r="D307" s="370" t="str">
        <f>IF(B307= "","", Inventory!S315)</f>
        <v/>
      </c>
      <c r="E307" s="371"/>
      <c r="F307" s="298" t="str">
        <f>IF(B307="", "", 'Version Log'!$B$34)</f>
        <v/>
      </c>
      <c r="G307" s="298" t="str">
        <f t="shared" si="16"/>
        <v/>
      </c>
      <c r="H307" s="298" t="str">
        <f t="shared" si="17"/>
        <v/>
      </c>
      <c r="I307" s="298" t="str">
        <f>IF(B307="", "",Inventory!D315)</f>
        <v/>
      </c>
      <c r="J307" s="298" t="str">
        <f>IF(B307="","",IF(Inventory!C315="N","Interior","Exterior"))</f>
        <v/>
      </c>
      <c r="K307" s="298" t="str">
        <f t="shared" si="18"/>
        <v/>
      </c>
      <c r="L307" s="298" t="str">
        <f>IF(B307="", "", Inventory!E315)</f>
        <v/>
      </c>
      <c r="M307" s="298" t="str">
        <f>IF(B307="","",IF(Cool_Type=Lookups!$L$9,Cool_Type,IF(Cool_Type=Lookups!$L$10,Cool_Type,IF(Cool_Type=Lookups!$L$11,Cool_Type,IF(Cool_Type=Lookups!L317,Cool_Type,IF('Project Info and Summary'!$C$20="Electric",CONCATENATE(Cool_Type," ",Heating_Type," Heat"),IF('Project Info and Summary'!$C$20="Non-Electric",CONCATENATE(Cool_Type," ",Heating_Type," Heat"),CONCATENATE(Cool_Type," ",Heating_Type))))))))</f>
        <v/>
      </c>
      <c r="N307" s="298" t="str">
        <f t="shared" si="19"/>
        <v/>
      </c>
      <c r="O307" s="298" t="str">
        <f>IF(B307="", "", 'Lighting Inventory (Ref only)'!G318)</f>
        <v/>
      </c>
      <c r="P307" s="298" t="str">
        <f>IF(B307="", "", 'Lighting Inventory (Ref only)'!E318)</f>
        <v/>
      </c>
      <c r="Q307" s="298" t="str">
        <f>IF(B307="", "", 'Lighting Inventory (Ref only)'!J318)</f>
        <v/>
      </c>
      <c r="R307" s="298" t="str">
        <f>IF(B307="", "",'Lighting Inventory (Ref only)'!K318)</f>
        <v/>
      </c>
      <c r="S307" s="372" t="str">
        <f>IF(B307="", "", 'Lighting Inventory (Ref only)'!G318*'Lighting Inventory (Ref only)'!K318/1000)</f>
        <v/>
      </c>
      <c r="T307" s="298" t="str">
        <f>IF(B307="", "", IF('Lighting Inventory (Ref only)'!I318="", "Light Switch",Inventory!H315))</f>
        <v/>
      </c>
      <c r="W307" s="373"/>
      <c r="X307" s="298" t="str">
        <f>IF(B307="", "", 'Lighting Inventory (Ref only)'!Q318)</f>
        <v/>
      </c>
      <c r="Z307" s="374"/>
      <c r="AA307" s="372" t="str">
        <f>IF(B307="", "",'Lighting Inventory (Ref only)'!R318/1000)</f>
        <v/>
      </c>
      <c r="AB307" s="372" t="str">
        <f>IF(B307="", "", Inventory!M315)</f>
        <v/>
      </c>
      <c r="AC307" s="374" t="str">
        <f>IF(B307="", "", 'Lighting Inventory (Ref only)'!T318)</f>
        <v/>
      </c>
      <c r="AD307" s="374" t="str">
        <f>IF(C307="", "", 'Lighting Inventory (Ref only)'!AA318)</f>
        <v/>
      </c>
      <c r="AE307" s="375" t="str">
        <f>IF(B307="", "", 'Lighting Inventory (Ref only)'!U318)</f>
        <v/>
      </c>
      <c r="AF307" s="375" t="str">
        <f>IF(B307="", "",'Lighting Inventory (Ref only)'!W318)</f>
        <v/>
      </c>
      <c r="AG307" s="375"/>
      <c r="AH307" s="375" t="str">
        <f>IF(B307="", "",'Lighting Inventory (Ref only)'!Z318)</f>
        <v/>
      </c>
      <c r="AI307" s="375" t="str">
        <f>IF(B307="", "", 'Lighting Inventory (Ref only)'!Y318)</f>
        <v/>
      </c>
      <c r="AJ307" s="375" t="str">
        <f>IF(C307="", "",'Lighting Inventory (Ref only)'!AB318)</f>
        <v/>
      </c>
      <c r="AK307" s="375" t="str">
        <f>IF(B307="", "", 'Lighting Inventory (Ref only)'!AG318)</f>
        <v/>
      </c>
      <c r="AL307" s="375" t="str">
        <f>IF(B307="", "", 'Lighting Inventory (Ref only)'!AD318)</f>
        <v/>
      </c>
      <c r="AM307" s="375" t="str">
        <f>IF(B307="", "", 'Lighting Inventory (Ref only)'!AE318)</f>
        <v/>
      </c>
      <c r="AN307" s="375" t="str">
        <f>IF(B307="", "", 'Lighting Inventory (Ref only)'!AF318)</f>
        <v/>
      </c>
      <c r="AO307" s="375" t="str">
        <f>IF(B307="", "", 'Lighting Inventory (Ref only)'!AG318)</f>
        <v/>
      </c>
    </row>
    <row r="308" spans="1:41">
      <c r="A308" s="298" t="str">
        <f>IF(G308="", "", Lookups!BF310)</f>
        <v/>
      </c>
      <c r="B308" s="298" t="str">
        <f>IF('Lighting Inventory (Ref only)'!Q319="", "", 'Lighting Inventory (Ref only)'!Q319)</f>
        <v/>
      </c>
      <c r="C308" s="298" t="str">
        <f>IF(A308="", "", 'Lighting Inventory (Ref only)'!AO319)</f>
        <v/>
      </c>
      <c r="D308" s="370" t="str">
        <f>IF(B308= "","", Inventory!S316)</f>
        <v/>
      </c>
      <c r="E308" s="371"/>
      <c r="F308" s="298" t="str">
        <f>IF(B308="", "", 'Version Log'!$B$34)</f>
        <v/>
      </c>
      <c r="G308" s="298" t="str">
        <f t="shared" si="16"/>
        <v/>
      </c>
      <c r="H308" s="298" t="str">
        <f t="shared" si="17"/>
        <v/>
      </c>
      <c r="I308" s="298" t="str">
        <f>IF(B308="", "",Inventory!D316)</f>
        <v/>
      </c>
      <c r="J308" s="298" t="str">
        <f>IF(B308="","",IF(Inventory!C316="N","Interior","Exterior"))</f>
        <v/>
      </c>
      <c r="K308" s="298" t="str">
        <f t="shared" si="18"/>
        <v/>
      </c>
      <c r="L308" s="298" t="str">
        <f>IF(B308="", "", Inventory!E316)</f>
        <v/>
      </c>
      <c r="M308" s="298" t="str">
        <f>IF(B308="","",IF(Cool_Type=Lookups!$L$9,Cool_Type,IF(Cool_Type=Lookups!$L$10,Cool_Type,IF(Cool_Type=Lookups!$L$11,Cool_Type,IF(Cool_Type=Lookups!L318,Cool_Type,IF('Project Info and Summary'!$C$20="Electric",CONCATENATE(Cool_Type," ",Heating_Type," Heat"),IF('Project Info and Summary'!$C$20="Non-Electric",CONCATENATE(Cool_Type," ",Heating_Type," Heat"),CONCATENATE(Cool_Type," ",Heating_Type))))))))</f>
        <v/>
      </c>
      <c r="N308" s="298" t="str">
        <f t="shared" si="19"/>
        <v/>
      </c>
      <c r="O308" s="298" t="str">
        <f>IF(B308="", "", 'Lighting Inventory (Ref only)'!G319)</f>
        <v/>
      </c>
      <c r="P308" s="298" t="str">
        <f>IF(B308="", "", 'Lighting Inventory (Ref only)'!E319)</f>
        <v/>
      </c>
      <c r="Q308" s="298" t="str">
        <f>IF(B308="", "", 'Lighting Inventory (Ref only)'!J319)</f>
        <v/>
      </c>
      <c r="R308" s="298" t="str">
        <f>IF(B308="", "",'Lighting Inventory (Ref only)'!K319)</f>
        <v/>
      </c>
      <c r="S308" s="372" t="str">
        <f>IF(B308="", "", 'Lighting Inventory (Ref only)'!G319*'Lighting Inventory (Ref only)'!K319/1000)</f>
        <v/>
      </c>
      <c r="T308" s="298" t="str">
        <f>IF(B308="", "", IF('Lighting Inventory (Ref only)'!I319="", "Light Switch",Inventory!H316))</f>
        <v/>
      </c>
      <c r="W308" s="373"/>
      <c r="X308" s="298" t="str">
        <f>IF(B308="", "", 'Lighting Inventory (Ref only)'!Q319)</f>
        <v/>
      </c>
      <c r="Z308" s="374"/>
      <c r="AA308" s="372" t="str">
        <f>IF(B308="", "",'Lighting Inventory (Ref only)'!R319/1000)</f>
        <v/>
      </c>
      <c r="AB308" s="372" t="str">
        <f>IF(B308="", "", Inventory!M316)</f>
        <v/>
      </c>
      <c r="AC308" s="374" t="str">
        <f>IF(B308="", "", 'Lighting Inventory (Ref only)'!T319)</f>
        <v/>
      </c>
      <c r="AD308" s="374" t="str">
        <f>IF(C308="", "", 'Lighting Inventory (Ref only)'!AA319)</f>
        <v/>
      </c>
      <c r="AE308" s="375" t="str">
        <f>IF(B308="", "", 'Lighting Inventory (Ref only)'!U319)</f>
        <v/>
      </c>
      <c r="AF308" s="375" t="str">
        <f>IF(B308="", "",'Lighting Inventory (Ref only)'!W319)</f>
        <v/>
      </c>
      <c r="AG308" s="375"/>
      <c r="AH308" s="375" t="str">
        <f>IF(B308="", "",'Lighting Inventory (Ref only)'!Z319)</f>
        <v/>
      </c>
      <c r="AI308" s="375" t="str">
        <f>IF(B308="", "", 'Lighting Inventory (Ref only)'!Y319)</f>
        <v/>
      </c>
      <c r="AJ308" s="375" t="str">
        <f>IF(C308="", "",'Lighting Inventory (Ref only)'!AB319)</f>
        <v/>
      </c>
      <c r="AK308" s="375" t="str">
        <f>IF(B308="", "", 'Lighting Inventory (Ref only)'!AG319)</f>
        <v/>
      </c>
      <c r="AL308" s="375" t="str">
        <f>IF(B308="", "", 'Lighting Inventory (Ref only)'!AD319)</f>
        <v/>
      </c>
      <c r="AM308" s="375" t="str">
        <f>IF(B308="", "", 'Lighting Inventory (Ref only)'!AE319)</f>
        <v/>
      </c>
      <c r="AN308" s="375" t="str">
        <f>IF(B308="", "", 'Lighting Inventory (Ref only)'!AF319)</f>
        <v/>
      </c>
      <c r="AO308" s="375" t="str">
        <f>IF(B308="", "", 'Lighting Inventory (Ref only)'!AG319)</f>
        <v/>
      </c>
    </row>
    <row r="309" spans="1:41">
      <c r="A309" s="298" t="str">
        <f>IF(G309="", "", Lookups!BF311)</f>
        <v/>
      </c>
      <c r="B309" s="298" t="str">
        <f>IF('Lighting Inventory (Ref only)'!Q320="", "", 'Lighting Inventory (Ref only)'!Q320)</f>
        <v/>
      </c>
      <c r="C309" s="298" t="str">
        <f>IF(A309="", "", 'Lighting Inventory (Ref only)'!AO320)</f>
        <v/>
      </c>
      <c r="D309" s="370" t="str">
        <f>IF(B309= "","", Inventory!S317)</f>
        <v/>
      </c>
      <c r="E309" s="371"/>
      <c r="F309" s="298" t="str">
        <f>IF(B309="", "", 'Version Log'!$B$34)</f>
        <v/>
      </c>
      <c r="G309" s="298" t="str">
        <f t="shared" si="16"/>
        <v/>
      </c>
      <c r="H309" s="298" t="str">
        <f t="shared" si="17"/>
        <v/>
      </c>
      <c r="I309" s="298" t="str">
        <f>IF(B309="", "",Inventory!D317)</f>
        <v/>
      </c>
      <c r="J309" s="298" t="str">
        <f>IF(B309="","",IF(Inventory!C317="N","Interior","Exterior"))</f>
        <v/>
      </c>
      <c r="K309" s="298" t="str">
        <f t="shared" si="18"/>
        <v/>
      </c>
      <c r="L309" s="298" t="str">
        <f>IF(B309="", "", Inventory!E317)</f>
        <v/>
      </c>
      <c r="M309" s="298" t="str">
        <f>IF(B309="","",IF(Cool_Type=Lookups!$L$9,Cool_Type,IF(Cool_Type=Lookups!$L$10,Cool_Type,IF(Cool_Type=Lookups!$L$11,Cool_Type,IF(Cool_Type=Lookups!L319,Cool_Type,IF('Project Info and Summary'!$C$20="Electric",CONCATENATE(Cool_Type," ",Heating_Type," Heat"),IF('Project Info and Summary'!$C$20="Non-Electric",CONCATENATE(Cool_Type," ",Heating_Type," Heat"),CONCATENATE(Cool_Type," ",Heating_Type))))))))</f>
        <v/>
      </c>
      <c r="N309" s="298" t="str">
        <f t="shared" si="19"/>
        <v/>
      </c>
      <c r="O309" s="298" t="str">
        <f>IF(B309="", "", 'Lighting Inventory (Ref only)'!G320)</f>
        <v/>
      </c>
      <c r="P309" s="298" t="str">
        <f>IF(B309="", "", 'Lighting Inventory (Ref only)'!E320)</f>
        <v/>
      </c>
      <c r="Q309" s="298" t="str">
        <f>IF(B309="", "", 'Lighting Inventory (Ref only)'!J320)</f>
        <v/>
      </c>
      <c r="R309" s="298" t="str">
        <f>IF(B309="", "",'Lighting Inventory (Ref only)'!K320)</f>
        <v/>
      </c>
      <c r="S309" s="372" t="str">
        <f>IF(B309="", "", 'Lighting Inventory (Ref only)'!G320*'Lighting Inventory (Ref only)'!K320/1000)</f>
        <v/>
      </c>
      <c r="T309" s="298" t="str">
        <f>IF(B309="", "", IF('Lighting Inventory (Ref only)'!I320="", "Light Switch",Inventory!H317))</f>
        <v/>
      </c>
      <c r="W309" s="373"/>
      <c r="X309" s="298" t="str">
        <f>IF(B309="", "", 'Lighting Inventory (Ref only)'!Q320)</f>
        <v/>
      </c>
      <c r="Z309" s="374"/>
      <c r="AA309" s="372" t="str">
        <f>IF(B309="", "",'Lighting Inventory (Ref only)'!R320/1000)</f>
        <v/>
      </c>
      <c r="AB309" s="372" t="str">
        <f>IF(B309="", "", Inventory!M317)</f>
        <v/>
      </c>
      <c r="AC309" s="374" t="str">
        <f>IF(B309="", "", 'Lighting Inventory (Ref only)'!T320)</f>
        <v/>
      </c>
      <c r="AD309" s="374" t="str">
        <f>IF(C309="", "", 'Lighting Inventory (Ref only)'!AA320)</f>
        <v/>
      </c>
      <c r="AE309" s="375" t="str">
        <f>IF(B309="", "", 'Lighting Inventory (Ref only)'!U320)</f>
        <v/>
      </c>
      <c r="AF309" s="375" t="str">
        <f>IF(B309="", "",'Lighting Inventory (Ref only)'!W320)</f>
        <v/>
      </c>
      <c r="AG309" s="375"/>
      <c r="AH309" s="375" t="str">
        <f>IF(B309="", "",'Lighting Inventory (Ref only)'!Z320)</f>
        <v/>
      </c>
      <c r="AI309" s="375" t="str">
        <f>IF(B309="", "", 'Lighting Inventory (Ref only)'!Y320)</f>
        <v/>
      </c>
      <c r="AJ309" s="375" t="str">
        <f>IF(C309="", "",'Lighting Inventory (Ref only)'!AB320)</f>
        <v/>
      </c>
      <c r="AK309" s="375" t="str">
        <f>IF(B309="", "", 'Lighting Inventory (Ref only)'!AG320)</f>
        <v/>
      </c>
      <c r="AL309" s="375" t="str">
        <f>IF(B309="", "", 'Lighting Inventory (Ref only)'!AD320)</f>
        <v/>
      </c>
      <c r="AM309" s="375" t="str">
        <f>IF(B309="", "", 'Lighting Inventory (Ref only)'!AE320)</f>
        <v/>
      </c>
      <c r="AN309" s="375" t="str">
        <f>IF(B309="", "", 'Lighting Inventory (Ref only)'!AF320)</f>
        <v/>
      </c>
      <c r="AO309" s="375" t="str">
        <f>IF(B309="", "", 'Lighting Inventory (Ref only)'!AG320)</f>
        <v/>
      </c>
    </row>
    <row r="310" spans="1:41">
      <c r="A310" s="298" t="str">
        <f>IF(G310="", "", Lookups!BF312)</f>
        <v/>
      </c>
      <c r="B310" s="298" t="str">
        <f>IF('Lighting Inventory (Ref only)'!Q321="", "", 'Lighting Inventory (Ref only)'!Q321)</f>
        <v/>
      </c>
      <c r="C310" s="298" t="str">
        <f>IF(A310="", "", 'Lighting Inventory (Ref only)'!AO321)</f>
        <v/>
      </c>
      <c r="D310" s="370" t="str">
        <f>IF(B310= "","", Inventory!S318)</f>
        <v/>
      </c>
      <c r="E310" s="371"/>
      <c r="F310" s="298" t="str">
        <f>IF(B310="", "", 'Version Log'!$B$34)</f>
        <v/>
      </c>
      <c r="G310" s="298" t="str">
        <f t="shared" si="16"/>
        <v/>
      </c>
      <c r="H310" s="298" t="str">
        <f t="shared" si="17"/>
        <v/>
      </c>
      <c r="I310" s="298" t="str">
        <f>IF(B310="", "",Inventory!D318)</f>
        <v/>
      </c>
      <c r="J310" s="298" t="str">
        <f>IF(B310="","",IF(Inventory!C318="N","Interior","Exterior"))</f>
        <v/>
      </c>
      <c r="K310" s="298" t="str">
        <f t="shared" si="18"/>
        <v/>
      </c>
      <c r="L310" s="298" t="str">
        <f>IF(B310="", "", Inventory!E318)</f>
        <v/>
      </c>
      <c r="M310" s="298" t="str">
        <f>IF(B310="","",IF(Cool_Type=Lookups!$L$9,Cool_Type,IF(Cool_Type=Lookups!$L$10,Cool_Type,IF(Cool_Type=Lookups!$L$11,Cool_Type,IF(Cool_Type=Lookups!L320,Cool_Type,IF('Project Info and Summary'!$C$20="Electric",CONCATENATE(Cool_Type," ",Heating_Type," Heat"),IF('Project Info and Summary'!$C$20="Non-Electric",CONCATENATE(Cool_Type," ",Heating_Type," Heat"),CONCATENATE(Cool_Type," ",Heating_Type))))))))</f>
        <v/>
      </c>
      <c r="N310" s="298" t="str">
        <f t="shared" si="19"/>
        <v/>
      </c>
      <c r="O310" s="298" t="str">
        <f>IF(B310="", "", 'Lighting Inventory (Ref only)'!G321)</f>
        <v/>
      </c>
      <c r="P310" s="298" t="str">
        <f>IF(B310="", "", 'Lighting Inventory (Ref only)'!E321)</f>
        <v/>
      </c>
      <c r="Q310" s="298" t="str">
        <f>IF(B310="", "", 'Lighting Inventory (Ref only)'!J321)</f>
        <v/>
      </c>
      <c r="R310" s="298" t="str">
        <f>IF(B310="", "",'Lighting Inventory (Ref only)'!K321)</f>
        <v/>
      </c>
      <c r="S310" s="372" t="str">
        <f>IF(B310="", "", 'Lighting Inventory (Ref only)'!G321*'Lighting Inventory (Ref only)'!K321/1000)</f>
        <v/>
      </c>
      <c r="T310" s="298" t="str">
        <f>IF(B310="", "", IF('Lighting Inventory (Ref only)'!I321="", "Light Switch",Inventory!H318))</f>
        <v/>
      </c>
      <c r="W310" s="373"/>
      <c r="X310" s="298" t="str">
        <f>IF(B310="", "", 'Lighting Inventory (Ref only)'!Q321)</f>
        <v/>
      </c>
      <c r="Z310" s="374"/>
      <c r="AA310" s="372" t="str">
        <f>IF(B310="", "",'Lighting Inventory (Ref only)'!R321/1000)</f>
        <v/>
      </c>
      <c r="AB310" s="372" t="str">
        <f>IF(B310="", "", Inventory!M318)</f>
        <v/>
      </c>
      <c r="AC310" s="374" t="str">
        <f>IF(B310="", "", 'Lighting Inventory (Ref only)'!T321)</f>
        <v/>
      </c>
      <c r="AD310" s="374" t="str">
        <f>IF(C310="", "", 'Lighting Inventory (Ref only)'!AA321)</f>
        <v/>
      </c>
      <c r="AE310" s="375" t="str">
        <f>IF(B310="", "", 'Lighting Inventory (Ref only)'!U321)</f>
        <v/>
      </c>
      <c r="AF310" s="375" t="str">
        <f>IF(B310="", "",'Lighting Inventory (Ref only)'!W321)</f>
        <v/>
      </c>
      <c r="AG310" s="375"/>
      <c r="AH310" s="375" t="str">
        <f>IF(B310="", "",'Lighting Inventory (Ref only)'!Z321)</f>
        <v/>
      </c>
      <c r="AI310" s="375" t="str">
        <f>IF(B310="", "", 'Lighting Inventory (Ref only)'!Y321)</f>
        <v/>
      </c>
      <c r="AJ310" s="375" t="str">
        <f>IF(C310="", "",'Lighting Inventory (Ref only)'!AB321)</f>
        <v/>
      </c>
      <c r="AK310" s="375" t="str">
        <f>IF(B310="", "", 'Lighting Inventory (Ref only)'!AG321)</f>
        <v/>
      </c>
      <c r="AL310" s="375" t="str">
        <f>IF(B310="", "", 'Lighting Inventory (Ref only)'!AD321)</f>
        <v/>
      </c>
      <c r="AM310" s="375" t="str">
        <f>IF(B310="", "", 'Lighting Inventory (Ref only)'!AE321)</f>
        <v/>
      </c>
      <c r="AN310" s="375" t="str">
        <f>IF(B310="", "", 'Lighting Inventory (Ref only)'!AF321)</f>
        <v/>
      </c>
      <c r="AO310" s="375" t="str">
        <f>IF(B310="", "", 'Lighting Inventory (Ref only)'!AG321)</f>
        <v/>
      </c>
    </row>
    <row r="311" spans="1:41">
      <c r="A311" s="298" t="str">
        <f>IF(G311="", "", Lookups!BF313)</f>
        <v/>
      </c>
      <c r="B311" s="298" t="str">
        <f>IF('Lighting Inventory (Ref only)'!Q322="", "", 'Lighting Inventory (Ref only)'!Q322)</f>
        <v/>
      </c>
      <c r="C311" s="298" t="str">
        <f>IF(A311="", "", 'Lighting Inventory (Ref only)'!AO322)</f>
        <v/>
      </c>
      <c r="D311" s="370" t="str">
        <f>IF(B311= "","", Inventory!S319)</f>
        <v/>
      </c>
      <c r="E311" s="371"/>
      <c r="F311" s="298" t="str">
        <f>IF(B311="", "", 'Version Log'!$B$34)</f>
        <v/>
      </c>
      <c r="G311" s="298" t="str">
        <f t="shared" si="16"/>
        <v/>
      </c>
      <c r="H311" s="298" t="str">
        <f t="shared" si="17"/>
        <v/>
      </c>
      <c r="I311" s="298" t="str">
        <f>IF(B311="", "",Inventory!D319)</f>
        <v/>
      </c>
      <c r="J311" s="298" t="str">
        <f>IF(B311="","",IF(Inventory!C319="N","Interior","Exterior"))</f>
        <v/>
      </c>
      <c r="K311" s="298" t="str">
        <f t="shared" si="18"/>
        <v/>
      </c>
      <c r="L311" s="298" t="str">
        <f>IF(B311="", "", Inventory!E319)</f>
        <v/>
      </c>
      <c r="M311" s="298" t="str">
        <f>IF(B311="","",IF(Cool_Type=Lookups!$L$9,Cool_Type,IF(Cool_Type=Lookups!$L$10,Cool_Type,IF(Cool_Type=Lookups!$L$11,Cool_Type,IF(Cool_Type=Lookups!L321,Cool_Type,IF('Project Info and Summary'!$C$20="Electric",CONCATENATE(Cool_Type," ",Heating_Type," Heat"),IF('Project Info and Summary'!$C$20="Non-Electric",CONCATENATE(Cool_Type," ",Heating_Type," Heat"),CONCATENATE(Cool_Type," ",Heating_Type))))))))</f>
        <v/>
      </c>
      <c r="N311" s="298" t="str">
        <f t="shared" si="19"/>
        <v/>
      </c>
      <c r="O311" s="298" t="str">
        <f>IF(B311="", "", 'Lighting Inventory (Ref only)'!G322)</f>
        <v/>
      </c>
      <c r="P311" s="298" t="str">
        <f>IF(B311="", "", 'Lighting Inventory (Ref only)'!E322)</f>
        <v/>
      </c>
      <c r="Q311" s="298" t="str">
        <f>IF(B311="", "", 'Lighting Inventory (Ref only)'!J322)</f>
        <v/>
      </c>
      <c r="R311" s="298" t="str">
        <f>IF(B311="", "",'Lighting Inventory (Ref only)'!K322)</f>
        <v/>
      </c>
      <c r="S311" s="372" t="str">
        <f>IF(B311="", "", 'Lighting Inventory (Ref only)'!G322*'Lighting Inventory (Ref only)'!K322/1000)</f>
        <v/>
      </c>
      <c r="T311" s="298" t="str">
        <f>IF(B311="", "", IF('Lighting Inventory (Ref only)'!I322="", "Light Switch",Inventory!H319))</f>
        <v/>
      </c>
      <c r="W311" s="373"/>
      <c r="X311" s="298" t="str">
        <f>IF(B311="", "", 'Lighting Inventory (Ref only)'!Q322)</f>
        <v/>
      </c>
      <c r="Z311" s="374"/>
      <c r="AA311" s="372" t="str">
        <f>IF(B311="", "",'Lighting Inventory (Ref only)'!R322/1000)</f>
        <v/>
      </c>
      <c r="AB311" s="372" t="str">
        <f>IF(B311="", "", Inventory!M319)</f>
        <v/>
      </c>
      <c r="AC311" s="374" t="str">
        <f>IF(B311="", "", 'Lighting Inventory (Ref only)'!T322)</f>
        <v/>
      </c>
      <c r="AD311" s="374" t="str">
        <f>IF(C311="", "", 'Lighting Inventory (Ref only)'!AA322)</f>
        <v/>
      </c>
      <c r="AE311" s="375" t="str">
        <f>IF(B311="", "", 'Lighting Inventory (Ref only)'!U322)</f>
        <v/>
      </c>
      <c r="AF311" s="375" t="str">
        <f>IF(B311="", "",'Lighting Inventory (Ref only)'!W322)</f>
        <v/>
      </c>
      <c r="AG311" s="375"/>
      <c r="AH311" s="375" t="str">
        <f>IF(B311="", "",'Lighting Inventory (Ref only)'!Z322)</f>
        <v/>
      </c>
      <c r="AI311" s="375" t="str">
        <f>IF(B311="", "", 'Lighting Inventory (Ref only)'!Y322)</f>
        <v/>
      </c>
      <c r="AJ311" s="375" t="str">
        <f>IF(C311="", "",'Lighting Inventory (Ref only)'!AB322)</f>
        <v/>
      </c>
      <c r="AK311" s="375" t="str">
        <f>IF(B311="", "", 'Lighting Inventory (Ref only)'!AG322)</f>
        <v/>
      </c>
      <c r="AL311" s="375" t="str">
        <f>IF(B311="", "", 'Lighting Inventory (Ref only)'!AD322)</f>
        <v/>
      </c>
      <c r="AM311" s="375" t="str">
        <f>IF(B311="", "", 'Lighting Inventory (Ref only)'!AE322)</f>
        <v/>
      </c>
      <c r="AN311" s="375" t="str">
        <f>IF(B311="", "", 'Lighting Inventory (Ref only)'!AF322)</f>
        <v/>
      </c>
      <c r="AO311" s="375" t="str">
        <f>IF(B311="", "", 'Lighting Inventory (Ref only)'!AG322)</f>
        <v/>
      </c>
    </row>
    <row r="312" spans="1:41">
      <c r="A312" s="298" t="str">
        <f>IF(G312="", "", Lookups!BF314)</f>
        <v/>
      </c>
      <c r="B312" s="298" t="str">
        <f>IF('Lighting Inventory (Ref only)'!Q323="", "", 'Lighting Inventory (Ref only)'!Q323)</f>
        <v/>
      </c>
      <c r="C312" s="298" t="str">
        <f>IF(A312="", "", 'Lighting Inventory (Ref only)'!AO323)</f>
        <v/>
      </c>
      <c r="D312" s="370" t="str">
        <f>IF(B312= "","", Inventory!S320)</f>
        <v/>
      </c>
      <c r="E312" s="371"/>
      <c r="F312" s="298" t="str">
        <f>IF(B312="", "", 'Version Log'!$B$34)</f>
        <v/>
      </c>
      <c r="G312" s="298" t="str">
        <f t="shared" si="16"/>
        <v/>
      </c>
      <c r="H312" s="298" t="str">
        <f t="shared" si="17"/>
        <v/>
      </c>
      <c r="I312" s="298" t="str">
        <f>IF(B312="", "",Inventory!D320)</f>
        <v/>
      </c>
      <c r="J312" s="298" t="str">
        <f>IF(B312="","",IF(Inventory!C320="N","Interior","Exterior"))</f>
        <v/>
      </c>
      <c r="K312" s="298" t="str">
        <f t="shared" si="18"/>
        <v/>
      </c>
      <c r="L312" s="298" t="str">
        <f>IF(B312="", "", Inventory!E320)</f>
        <v/>
      </c>
      <c r="M312" s="298" t="str">
        <f>IF(B312="","",IF(Cool_Type=Lookups!$L$9,Cool_Type,IF(Cool_Type=Lookups!$L$10,Cool_Type,IF(Cool_Type=Lookups!$L$11,Cool_Type,IF(Cool_Type=Lookups!L322,Cool_Type,IF('Project Info and Summary'!$C$20="Electric",CONCATENATE(Cool_Type," ",Heating_Type," Heat"),IF('Project Info and Summary'!$C$20="Non-Electric",CONCATENATE(Cool_Type," ",Heating_Type," Heat"),CONCATENATE(Cool_Type," ",Heating_Type))))))))</f>
        <v/>
      </c>
      <c r="N312" s="298" t="str">
        <f t="shared" si="19"/>
        <v/>
      </c>
      <c r="O312" s="298" t="str">
        <f>IF(B312="", "", 'Lighting Inventory (Ref only)'!G323)</f>
        <v/>
      </c>
      <c r="P312" s="298" t="str">
        <f>IF(B312="", "", 'Lighting Inventory (Ref only)'!E323)</f>
        <v/>
      </c>
      <c r="Q312" s="298" t="str">
        <f>IF(B312="", "", 'Lighting Inventory (Ref only)'!J323)</f>
        <v/>
      </c>
      <c r="R312" s="298" t="str">
        <f>IF(B312="", "",'Lighting Inventory (Ref only)'!K323)</f>
        <v/>
      </c>
      <c r="S312" s="372" t="str">
        <f>IF(B312="", "", 'Lighting Inventory (Ref only)'!G323*'Lighting Inventory (Ref only)'!K323/1000)</f>
        <v/>
      </c>
      <c r="T312" s="298" t="str">
        <f>IF(B312="", "", IF('Lighting Inventory (Ref only)'!I323="", "Light Switch",Inventory!H320))</f>
        <v/>
      </c>
      <c r="W312" s="373"/>
      <c r="X312" s="298" t="str">
        <f>IF(B312="", "", 'Lighting Inventory (Ref only)'!Q323)</f>
        <v/>
      </c>
      <c r="Z312" s="374"/>
      <c r="AA312" s="372" t="str">
        <f>IF(B312="", "",'Lighting Inventory (Ref only)'!R323/1000)</f>
        <v/>
      </c>
      <c r="AB312" s="372" t="str">
        <f>IF(B312="", "", Inventory!M320)</f>
        <v/>
      </c>
      <c r="AC312" s="374" t="str">
        <f>IF(B312="", "", 'Lighting Inventory (Ref only)'!T323)</f>
        <v/>
      </c>
      <c r="AD312" s="374" t="str">
        <f>IF(C312="", "", 'Lighting Inventory (Ref only)'!AA323)</f>
        <v/>
      </c>
      <c r="AE312" s="375" t="str">
        <f>IF(B312="", "", 'Lighting Inventory (Ref only)'!U323)</f>
        <v/>
      </c>
      <c r="AF312" s="375" t="str">
        <f>IF(B312="", "",'Lighting Inventory (Ref only)'!W323)</f>
        <v/>
      </c>
      <c r="AG312" s="375"/>
      <c r="AH312" s="375" t="str">
        <f>IF(B312="", "",'Lighting Inventory (Ref only)'!Z323)</f>
        <v/>
      </c>
      <c r="AI312" s="375" t="str">
        <f>IF(B312="", "", 'Lighting Inventory (Ref only)'!Y323)</f>
        <v/>
      </c>
      <c r="AJ312" s="375" t="str">
        <f>IF(C312="", "",'Lighting Inventory (Ref only)'!AB323)</f>
        <v/>
      </c>
      <c r="AK312" s="375" t="str">
        <f>IF(B312="", "", 'Lighting Inventory (Ref only)'!AG323)</f>
        <v/>
      </c>
      <c r="AL312" s="375" t="str">
        <f>IF(B312="", "", 'Lighting Inventory (Ref only)'!AD323)</f>
        <v/>
      </c>
      <c r="AM312" s="375" t="str">
        <f>IF(B312="", "", 'Lighting Inventory (Ref only)'!AE323)</f>
        <v/>
      </c>
      <c r="AN312" s="375" t="str">
        <f>IF(B312="", "", 'Lighting Inventory (Ref only)'!AF323)</f>
        <v/>
      </c>
      <c r="AO312" s="375" t="str">
        <f>IF(B312="", "", 'Lighting Inventory (Ref only)'!AG323)</f>
        <v/>
      </c>
    </row>
    <row r="313" spans="1:41">
      <c r="A313" s="298" t="str">
        <f>IF(G313="", "", Lookups!BF315)</f>
        <v/>
      </c>
      <c r="B313" s="298" t="str">
        <f>IF('Lighting Inventory (Ref only)'!Q324="", "", 'Lighting Inventory (Ref only)'!Q324)</f>
        <v/>
      </c>
      <c r="C313" s="298" t="str">
        <f>IF(A313="", "", 'Lighting Inventory (Ref only)'!AO324)</f>
        <v/>
      </c>
      <c r="D313" s="370" t="str">
        <f>IF(B313= "","", Inventory!S321)</f>
        <v/>
      </c>
      <c r="E313" s="371"/>
      <c r="F313" s="298" t="str">
        <f>IF(B313="", "", 'Version Log'!$B$34)</f>
        <v/>
      </c>
      <c r="G313" s="298" t="str">
        <f t="shared" si="16"/>
        <v/>
      </c>
      <c r="H313" s="298" t="str">
        <f t="shared" si="17"/>
        <v/>
      </c>
      <c r="I313" s="298" t="str">
        <f>IF(B313="", "",Inventory!D321)</f>
        <v/>
      </c>
      <c r="J313" s="298" t="str">
        <f>IF(B313="","",IF(Inventory!C321="N","Interior","Exterior"))</f>
        <v/>
      </c>
      <c r="K313" s="298" t="str">
        <f t="shared" si="18"/>
        <v/>
      </c>
      <c r="L313" s="298" t="str">
        <f>IF(B313="", "", Inventory!E321)</f>
        <v/>
      </c>
      <c r="M313" s="298" t="str">
        <f>IF(B313="","",IF(Cool_Type=Lookups!$L$9,Cool_Type,IF(Cool_Type=Lookups!$L$10,Cool_Type,IF(Cool_Type=Lookups!$L$11,Cool_Type,IF(Cool_Type=Lookups!L323,Cool_Type,IF('Project Info and Summary'!$C$20="Electric",CONCATENATE(Cool_Type," ",Heating_Type," Heat"),IF('Project Info and Summary'!$C$20="Non-Electric",CONCATENATE(Cool_Type," ",Heating_Type," Heat"),CONCATENATE(Cool_Type," ",Heating_Type))))))))</f>
        <v/>
      </c>
      <c r="N313" s="298" t="str">
        <f t="shared" si="19"/>
        <v/>
      </c>
      <c r="O313" s="298" t="str">
        <f>IF(B313="", "", 'Lighting Inventory (Ref only)'!G324)</f>
        <v/>
      </c>
      <c r="P313" s="298" t="str">
        <f>IF(B313="", "", 'Lighting Inventory (Ref only)'!E324)</f>
        <v/>
      </c>
      <c r="Q313" s="298" t="str">
        <f>IF(B313="", "", 'Lighting Inventory (Ref only)'!J324)</f>
        <v/>
      </c>
      <c r="R313" s="298" t="str">
        <f>IF(B313="", "",'Lighting Inventory (Ref only)'!K324)</f>
        <v/>
      </c>
      <c r="S313" s="372" t="str">
        <f>IF(B313="", "", 'Lighting Inventory (Ref only)'!G324*'Lighting Inventory (Ref only)'!K324/1000)</f>
        <v/>
      </c>
      <c r="T313" s="298" t="str">
        <f>IF(B313="", "", IF('Lighting Inventory (Ref only)'!I324="", "Light Switch",Inventory!H321))</f>
        <v/>
      </c>
      <c r="W313" s="373"/>
      <c r="X313" s="298" t="str">
        <f>IF(B313="", "", 'Lighting Inventory (Ref only)'!Q324)</f>
        <v/>
      </c>
      <c r="Z313" s="374"/>
      <c r="AA313" s="372" t="str">
        <f>IF(B313="", "",'Lighting Inventory (Ref only)'!R324/1000)</f>
        <v/>
      </c>
      <c r="AB313" s="372" t="str">
        <f>IF(B313="", "", Inventory!M321)</f>
        <v/>
      </c>
      <c r="AC313" s="374" t="str">
        <f>IF(B313="", "", 'Lighting Inventory (Ref only)'!T324)</f>
        <v/>
      </c>
      <c r="AD313" s="374" t="str">
        <f>IF(C313="", "", 'Lighting Inventory (Ref only)'!AA324)</f>
        <v/>
      </c>
      <c r="AE313" s="375" t="str">
        <f>IF(B313="", "", 'Lighting Inventory (Ref only)'!U324)</f>
        <v/>
      </c>
      <c r="AF313" s="375" t="str">
        <f>IF(B313="", "",'Lighting Inventory (Ref only)'!W324)</f>
        <v/>
      </c>
      <c r="AG313" s="375"/>
      <c r="AH313" s="375" t="str">
        <f>IF(B313="", "",'Lighting Inventory (Ref only)'!Z324)</f>
        <v/>
      </c>
      <c r="AI313" s="375" t="str">
        <f>IF(B313="", "", 'Lighting Inventory (Ref only)'!Y324)</f>
        <v/>
      </c>
      <c r="AJ313" s="375" t="str">
        <f>IF(C313="", "",'Lighting Inventory (Ref only)'!AB324)</f>
        <v/>
      </c>
      <c r="AK313" s="375" t="str">
        <f>IF(B313="", "", 'Lighting Inventory (Ref only)'!AG324)</f>
        <v/>
      </c>
      <c r="AL313" s="375" t="str">
        <f>IF(B313="", "", 'Lighting Inventory (Ref only)'!AD324)</f>
        <v/>
      </c>
      <c r="AM313" s="375" t="str">
        <f>IF(B313="", "", 'Lighting Inventory (Ref only)'!AE324)</f>
        <v/>
      </c>
      <c r="AN313" s="375" t="str">
        <f>IF(B313="", "", 'Lighting Inventory (Ref only)'!AF324)</f>
        <v/>
      </c>
      <c r="AO313" s="375" t="str">
        <f>IF(B313="", "", 'Lighting Inventory (Ref only)'!AG324)</f>
        <v/>
      </c>
    </row>
    <row r="314" spans="1:41">
      <c r="A314" s="298" t="str">
        <f>IF(G314="", "", Lookups!BF316)</f>
        <v/>
      </c>
      <c r="B314" s="298" t="str">
        <f>IF('Lighting Inventory (Ref only)'!Q325="", "", 'Lighting Inventory (Ref only)'!Q325)</f>
        <v/>
      </c>
      <c r="C314" s="298" t="str">
        <f>IF(A314="", "", 'Lighting Inventory (Ref only)'!AO325)</f>
        <v/>
      </c>
      <c r="D314" s="370" t="str">
        <f>IF(B314= "","", Inventory!S322)</f>
        <v/>
      </c>
      <c r="E314" s="371"/>
      <c r="F314" s="298" t="str">
        <f>IF(B314="", "", 'Version Log'!$B$34)</f>
        <v/>
      </c>
      <c r="G314" s="298" t="str">
        <f t="shared" si="16"/>
        <v/>
      </c>
      <c r="H314" s="298" t="str">
        <f t="shared" si="17"/>
        <v/>
      </c>
      <c r="I314" s="298" t="str">
        <f>IF(B314="", "",Inventory!D322)</f>
        <v/>
      </c>
      <c r="J314" s="298" t="str">
        <f>IF(B314="","",IF(Inventory!C322="N","Interior","Exterior"))</f>
        <v/>
      </c>
      <c r="K314" s="298" t="str">
        <f t="shared" si="18"/>
        <v/>
      </c>
      <c r="L314" s="298" t="str">
        <f>IF(B314="", "", Inventory!E322)</f>
        <v/>
      </c>
      <c r="M314" s="298" t="str">
        <f>IF(B314="","",IF(Cool_Type=Lookups!$L$9,Cool_Type,IF(Cool_Type=Lookups!$L$10,Cool_Type,IF(Cool_Type=Lookups!$L$11,Cool_Type,IF(Cool_Type=Lookups!L324,Cool_Type,IF('Project Info and Summary'!$C$20="Electric",CONCATENATE(Cool_Type," ",Heating_Type," Heat"),IF('Project Info and Summary'!$C$20="Non-Electric",CONCATENATE(Cool_Type," ",Heating_Type," Heat"),CONCATENATE(Cool_Type," ",Heating_Type))))))))</f>
        <v/>
      </c>
      <c r="N314" s="298" t="str">
        <f t="shared" si="19"/>
        <v/>
      </c>
      <c r="O314" s="298" t="str">
        <f>IF(B314="", "", 'Lighting Inventory (Ref only)'!G325)</f>
        <v/>
      </c>
      <c r="P314" s="298" t="str">
        <f>IF(B314="", "", 'Lighting Inventory (Ref only)'!E325)</f>
        <v/>
      </c>
      <c r="Q314" s="298" t="str">
        <f>IF(B314="", "", 'Lighting Inventory (Ref only)'!J325)</f>
        <v/>
      </c>
      <c r="R314" s="298" t="str">
        <f>IF(B314="", "",'Lighting Inventory (Ref only)'!K325)</f>
        <v/>
      </c>
      <c r="S314" s="372" t="str">
        <f>IF(B314="", "", 'Lighting Inventory (Ref only)'!G325*'Lighting Inventory (Ref only)'!K325/1000)</f>
        <v/>
      </c>
      <c r="T314" s="298" t="str">
        <f>IF(B314="", "", IF('Lighting Inventory (Ref only)'!I325="", "Light Switch",Inventory!H322))</f>
        <v/>
      </c>
      <c r="W314" s="373"/>
      <c r="X314" s="298" t="str">
        <f>IF(B314="", "", 'Lighting Inventory (Ref only)'!Q325)</f>
        <v/>
      </c>
      <c r="Z314" s="374"/>
      <c r="AA314" s="372" t="str">
        <f>IF(B314="", "",'Lighting Inventory (Ref only)'!R325/1000)</f>
        <v/>
      </c>
      <c r="AB314" s="372" t="str">
        <f>IF(B314="", "", Inventory!M322)</f>
        <v/>
      </c>
      <c r="AC314" s="374" t="str">
        <f>IF(B314="", "", 'Lighting Inventory (Ref only)'!T325)</f>
        <v/>
      </c>
      <c r="AD314" s="374" t="str">
        <f>IF(C314="", "", 'Lighting Inventory (Ref only)'!AA325)</f>
        <v/>
      </c>
      <c r="AE314" s="375" t="str">
        <f>IF(B314="", "", 'Lighting Inventory (Ref only)'!U325)</f>
        <v/>
      </c>
      <c r="AF314" s="375" t="str">
        <f>IF(B314="", "",'Lighting Inventory (Ref only)'!W325)</f>
        <v/>
      </c>
      <c r="AG314" s="375"/>
      <c r="AH314" s="375" t="str">
        <f>IF(B314="", "",'Lighting Inventory (Ref only)'!Z325)</f>
        <v/>
      </c>
      <c r="AI314" s="375" t="str">
        <f>IF(B314="", "", 'Lighting Inventory (Ref only)'!Y325)</f>
        <v/>
      </c>
      <c r="AJ314" s="375" t="str">
        <f>IF(C314="", "",'Lighting Inventory (Ref only)'!AB325)</f>
        <v/>
      </c>
      <c r="AK314" s="375" t="str">
        <f>IF(B314="", "", 'Lighting Inventory (Ref only)'!AG325)</f>
        <v/>
      </c>
      <c r="AL314" s="375" t="str">
        <f>IF(B314="", "", 'Lighting Inventory (Ref only)'!AD325)</f>
        <v/>
      </c>
      <c r="AM314" s="375" t="str">
        <f>IF(B314="", "", 'Lighting Inventory (Ref only)'!AE325)</f>
        <v/>
      </c>
      <c r="AN314" s="375" t="str">
        <f>IF(B314="", "", 'Lighting Inventory (Ref only)'!AF325)</f>
        <v/>
      </c>
      <c r="AO314" s="375" t="str">
        <f>IF(B314="", "", 'Lighting Inventory (Ref only)'!AG325)</f>
        <v/>
      </c>
    </row>
    <row r="315" spans="1:41">
      <c r="A315" s="298" t="str">
        <f>IF(G315="", "", Lookups!BF317)</f>
        <v/>
      </c>
      <c r="B315" s="298" t="str">
        <f>IF('Lighting Inventory (Ref only)'!Q326="", "", 'Lighting Inventory (Ref only)'!Q326)</f>
        <v/>
      </c>
      <c r="C315" s="298" t="str">
        <f>IF(A315="", "", 'Lighting Inventory (Ref only)'!AO326)</f>
        <v/>
      </c>
      <c r="D315" s="370" t="str">
        <f>IF(B315= "","", Inventory!S323)</f>
        <v/>
      </c>
      <c r="E315" s="371"/>
      <c r="F315" s="298" t="str">
        <f>IF(B315="", "", 'Version Log'!$B$34)</f>
        <v/>
      </c>
      <c r="G315" s="298" t="str">
        <f t="shared" si="16"/>
        <v/>
      </c>
      <c r="H315" s="298" t="str">
        <f t="shared" si="17"/>
        <v/>
      </c>
      <c r="I315" s="298" t="str">
        <f>IF(B315="", "",Inventory!D323)</f>
        <v/>
      </c>
      <c r="J315" s="298" t="str">
        <f>IF(B315="","",IF(Inventory!C323="N","Interior","Exterior"))</f>
        <v/>
      </c>
      <c r="K315" s="298" t="str">
        <f t="shared" si="18"/>
        <v/>
      </c>
      <c r="L315" s="298" t="str">
        <f>IF(B315="", "", Inventory!E323)</f>
        <v/>
      </c>
      <c r="M315" s="298" t="str">
        <f>IF(B315="","",IF(Cool_Type=Lookups!$L$9,Cool_Type,IF(Cool_Type=Lookups!$L$10,Cool_Type,IF(Cool_Type=Lookups!$L$11,Cool_Type,IF(Cool_Type=Lookups!L325,Cool_Type,IF('Project Info and Summary'!$C$20="Electric",CONCATENATE(Cool_Type," ",Heating_Type," Heat"),IF('Project Info and Summary'!$C$20="Non-Electric",CONCATENATE(Cool_Type," ",Heating_Type," Heat"),CONCATENATE(Cool_Type," ",Heating_Type))))))))</f>
        <v/>
      </c>
      <c r="N315" s="298" t="str">
        <f t="shared" si="19"/>
        <v/>
      </c>
      <c r="O315" s="298" t="str">
        <f>IF(B315="", "", 'Lighting Inventory (Ref only)'!G326)</f>
        <v/>
      </c>
      <c r="P315" s="298" t="str">
        <f>IF(B315="", "", 'Lighting Inventory (Ref only)'!E326)</f>
        <v/>
      </c>
      <c r="Q315" s="298" t="str">
        <f>IF(B315="", "", 'Lighting Inventory (Ref only)'!J326)</f>
        <v/>
      </c>
      <c r="R315" s="298" t="str">
        <f>IF(B315="", "",'Lighting Inventory (Ref only)'!K326)</f>
        <v/>
      </c>
      <c r="S315" s="372" t="str">
        <f>IF(B315="", "", 'Lighting Inventory (Ref only)'!G326*'Lighting Inventory (Ref only)'!K326/1000)</f>
        <v/>
      </c>
      <c r="T315" s="298" t="str">
        <f>IF(B315="", "", IF('Lighting Inventory (Ref only)'!I326="", "Light Switch",Inventory!H323))</f>
        <v/>
      </c>
      <c r="W315" s="373"/>
      <c r="X315" s="298" t="str">
        <f>IF(B315="", "", 'Lighting Inventory (Ref only)'!Q326)</f>
        <v/>
      </c>
      <c r="Z315" s="374"/>
      <c r="AA315" s="372" t="str">
        <f>IF(B315="", "",'Lighting Inventory (Ref only)'!R326/1000)</f>
        <v/>
      </c>
      <c r="AB315" s="372" t="str">
        <f>IF(B315="", "", Inventory!M323)</f>
        <v/>
      </c>
      <c r="AC315" s="374" t="str">
        <f>IF(B315="", "", 'Lighting Inventory (Ref only)'!T326)</f>
        <v/>
      </c>
      <c r="AD315" s="374" t="str">
        <f>IF(C315="", "", 'Lighting Inventory (Ref only)'!AA326)</f>
        <v/>
      </c>
      <c r="AE315" s="375" t="str">
        <f>IF(B315="", "", 'Lighting Inventory (Ref only)'!U326)</f>
        <v/>
      </c>
      <c r="AF315" s="375" t="str">
        <f>IF(B315="", "",'Lighting Inventory (Ref only)'!W326)</f>
        <v/>
      </c>
      <c r="AG315" s="375"/>
      <c r="AH315" s="375" t="str">
        <f>IF(B315="", "",'Lighting Inventory (Ref only)'!Z326)</f>
        <v/>
      </c>
      <c r="AI315" s="375" t="str">
        <f>IF(B315="", "", 'Lighting Inventory (Ref only)'!Y326)</f>
        <v/>
      </c>
      <c r="AJ315" s="375" t="str">
        <f>IF(C315="", "",'Lighting Inventory (Ref only)'!AB326)</f>
        <v/>
      </c>
      <c r="AK315" s="375" t="str">
        <f>IF(B315="", "", 'Lighting Inventory (Ref only)'!AG326)</f>
        <v/>
      </c>
      <c r="AL315" s="375" t="str">
        <f>IF(B315="", "", 'Lighting Inventory (Ref only)'!AD326)</f>
        <v/>
      </c>
      <c r="AM315" s="375" t="str">
        <f>IF(B315="", "", 'Lighting Inventory (Ref only)'!AE326)</f>
        <v/>
      </c>
      <c r="AN315" s="375" t="str">
        <f>IF(B315="", "", 'Lighting Inventory (Ref only)'!AF326)</f>
        <v/>
      </c>
      <c r="AO315" s="375" t="str">
        <f>IF(B315="", "", 'Lighting Inventory (Ref only)'!AG326)</f>
        <v/>
      </c>
    </row>
    <row r="316" spans="1:41">
      <c r="A316" s="298" t="str">
        <f>IF(G316="", "", Lookups!BF318)</f>
        <v/>
      </c>
      <c r="B316" s="298" t="str">
        <f>IF('Lighting Inventory (Ref only)'!Q327="", "", 'Lighting Inventory (Ref only)'!Q327)</f>
        <v/>
      </c>
      <c r="C316" s="298" t="str">
        <f>IF(A316="", "", 'Lighting Inventory (Ref only)'!AO327)</f>
        <v/>
      </c>
      <c r="D316" s="370" t="str">
        <f>IF(B316= "","", Inventory!S324)</f>
        <v/>
      </c>
      <c r="E316" s="371"/>
      <c r="F316" s="298" t="str">
        <f>IF(B316="", "", 'Version Log'!$B$34)</f>
        <v/>
      </c>
      <c r="G316" s="298" t="str">
        <f t="shared" si="16"/>
        <v/>
      </c>
      <c r="H316" s="298" t="str">
        <f t="shared" si="17"/>
        <v/>
      </c>
      <c r="I316" s="298" t="str">
        <f>IF(B316="", "",Inventory!D324)</f>
        <v/>
      </c>
      <c r="J316" s="298" t="str">
        <f>IF(B316="","",IF(Inventory!C324="N","Interior","Exterior"))</f>
        <v/>
      </c>
      <c r="K316" s="298" t="str">
        <f t="shared" si="18"/>
        <v/>
      </c>
      <c r="L316" s="298" t="str">
        <f>IF(B316="", "", Inventory!E324)</f>
        <v/>
      </c>
      <c r="M316" s="298" t="str">
        <f>IF(B316="","",IF(Cool_Type=Lookups!$L$9,Cool_Type,IF(Cool_Type=Lookups!$L$10,Cool_Type,IF(Cool_Type=Lookups!$L$11,Cool_Type,IF(Cool_Type=Lookups!L326,Cool_Type,IF('Project Info and Summary'!$C$20="Electric",CONCATENATE(Cool_Type," ",Heating_Type," Heat"),IF('Project Info and Summary'!$C$20="Non-Electric",CONCATENATE(Cool_Type," ",Heating_Type," Heat"),CONCATENATE(Cool_Type," ",Heating_Type))))))))</f>
        <v/>
      </c>
      <c r="N316" s="298" t="str">
        <f t="shared" si="19"/>
        <v/>
      </c>
      <c r="O316" s="298" t="str">
        <f>IF(B316="", "", 'Lighting Inventory (Ref only)'!G327)</f>
        <v/>
      </c>
      <c r="P316" s="298" t="str">
        <f>IF(B316="", "", 'Lighting Inventory (Ref only)'!E327)</f>
        <v/>
      </c>
      <c r="Q316" s="298" t="str">
        <f>IF(B316="", "", 'Lighting Inventory (Ref only)'!J327)</f>
        <v/>
      </c>
      <c r="R316" s="298" t="str">
        <f>IF(B316="", "",'Lighting Inventory (Ref only)'!K327)</f>
        <v/>
      </c>
      <c r="S316" s="372" t="str">
        <f>IF(B316="", "", 'Lighting Inventory (Ref only)'!G327*'Lighting Inventory (Ref only)'!K327/1000)</f>
        <v/>
      </c>
      <c r="T316" s="298" t="str">
        <f>IF(B316="", "", IF('Lighting Inventory (Ref only)'!I327="", "Light Switch",Inventory!H324))</f>
        <v/>
      </c>
      <c r="W316" s="373"/>
      <c r="X316" s="298" t="str">
        <f>IF(B316="", "", 'Lighting Inventory (Ref only)'!Q327)</f>
        <v/>
      </c>
      <c r="Z316" s="374"/>
      <c r="AA316" s="372" t="str">
        <f>IF(B316="", "",'Lighting Inventory (Ref only)'!R327/1000)</f>
        <v/>
      </c>
      <c r="AB316" s="372" t="str">
        <f>IF(B316="", "", Inventory!M324)</f>
        <v/>
      </c>
      <c r="AC316" s="374" t="str">
        <f>IF(B316="", "", 'Lighting Inventory (Ref only)'!T327)</f>
        <v/>
      </c>
      <c r="AD316" s="374" t="str">
        <f>IF(C316="", "", 'Lighting Inventory (Ref only)'!AA327)</f>
        <v/>
      </c>
      <c r="AE316" s="375" t="str">
        <f>IF(B316="", "", 'Lighting Inventory (Ref only)'!U327)</f>
        <v/>
      </c>
      <c r="AF316" s="375" t="str">
        <f>IF(B316="", "",'Lighting Inventory (Ref only)'!W327)</f>
        <v/>
      </c>
      <c r="AG316" s="375"/>
      <c r="AH316" s="375" t="str">
        <f>IF(B316="", "",'Lighting Inventory (Ref only)'!Z327)</f>
        <v/>
      </c>
      <c r="AI316" s="375" t="str">
        <f>IF(B316="", "", 'Lighting Inventory (Ref only)'!Y327)</f>
        <v/>
      </c>
      <c r="AJ316" s="375" t="str">
        <f>IF(C316="", "",'Lighting Inventory (Ref only)'!AB327)</f>
        <v/>
      </c>
      <c r="AK316" s="375" t="str">
        <f>IF(B316="", "", 'Lighting Inventory (Ref only)'!AG327)</f>
        <v/>
      </c>
      <c r="AL316" s="375" t="str">
        <f>IF(B316="", "", 'Lighting Inventory (Ref only)'!AD327)</f>
        <v/>
      </c>
      <c r="AM316" s="375" t="str">
        <f>IF(B316="", "", 'Lighting Inventory (Ref only)'!AE327)</f>
        <v/>
      </c>
      <c r="AN316" s="375" t="str">
        <f>IF(B316="", "", 'Lighting Inventory (Ref only)'!AF327)</f>
        <v/>
      </c>
      <c r="AO316" s="375" t="str">
        <f>IF(B316="", "", 'Lighting Inventory (Ref only)'!AG327)</f>
        <v/>
      </c>
    </row>
    <row r="317" spans="1:41">
      <c r="A317" s="298" t="str">
        <f>IF(G317="", "", Lookups!BF319)</f>
        <v/>
      </c>
      <c r="B317" s="298" t="str">
        <f>IF('Lighting Inventory (Ref only)'!Q328="", "", 'Lighting Inventory (Ref only)'!Q328)</f>
        <v/>
      </c>
      <c r="C317" s="298" t="str">
        <f>IF(A317="", "", 'Lighting Inventory (Ref only)'!AO328)</f>
        <v/>
      </c>
      <c r="D317" s="370" t="str">
        <f>IF(B317= "","", Inventory!S325)</f>
        <v/>
      </c>
      <c r="E317" s="371"/>
      <c r="F317" s="298" t="str">
        <f>IF(B317="", "", 'Version Log'!$B$34)</f>
        <v/>
      </c>
      <c r="G317" s="298" t="str">
        <f t="shared" si="16"/>
        <v/>
      </c>
      <c r="H317" s="298" t="str">
        <f t="shared" si="17"/>
        <v/>
      </c>
      <c r="I317" s="298" t="str">
        <f>IF(B317="", "",Inventory!D325)</f>
        <v/>
      </c>
      <c r="J317" s="298" t="str">
        <f>IF(B317="","",IF(Inventory!C325="N","Interior","Exterior"))</f>
        <v/>
      </c>
      <c r="K317" s="298" t="str">
        <f t="shared" si="18"/>
        <v/>
      </c>
      <c r="L317" s="298" t="str">
        <f>IF(B317="", "", Inventory!E325)</f>
        <v/>
      </c>
      <c r="M317" s="298" t="str">
        <f>IF(B317="","",IF(Cool_Type=Lookups!$L$9,Cool_Type,IF(Cool_Type=Lookups!$L$10,Cool_Type,IF(Cool_Type=Lookups!$L$11,Cool_Type,IF(Cool_Type=Lookups!L327,Cool_Type,IF('Project Info and Summary'!$C$20="Electric",CONCATENATE(Cool_Type," ",Heating_Type," Heat"),IF('Project Info and Summary'!$C$20="Non-Electric",CONCATENATE(Cool_Type," ",Heating_Type," Heat"),CONCATENATE(Cool_Type," ",Heating_Type))))))))</f>
        <v/>
      </c>
      <c r="N317" s="298" t="str">
        <f t="shared" si="19"/>
        <v/>
      </c>
      <c r="O317" s="298" t="str">
        <f>IF(B317="", "", 'Lighting Inventory (Ref only)'!G328)</f>
        <v/>
      </c>
      <c r="P317" s="298" t="str">
        <f>IF(B317="", "", 'Lighting Inventory (Ref only)'!E328)</f>
        <v/>
      </c>
      <c r="Q317" s="298" t="str">
        <f>IF(B317="", "", 'Lighting Inventory (Ref only)'!J328)</f>
        <v/>
      </c>
      <c r="R317" s="298" t="str">
        <f>IF(B317="", "",'Lighting Inventory (Ref only)'!K328)</f>
        <v/>
      </c>
      <c r="S317" s="372" t="str">
        <f>IF(B317="", "", 'Lighting Inventory (Ref only)'!G328*'Lighting Inventory (Ref only)'!K328/1000)</f>
        <v/>
      </c>
      <c r="T317" s="298" t="str">
        <f>IF(B317="", "", IF('Lighting Inventory (Ref only)'!I328="", "Light Switch",Inventory!H325))</f>
        <v/>
      </c>
      <c r="W317" s="373"/>
      <c r="X317" s="298" t="str">
        <f>IF(B317="", "", 'Lighting Inventory (Ref only)'!Q328)</f>
        <v/>
      </c>
      <c r="Z317" s="374"/>
      <c r="AA317" s="372" t="str">
        <f>IF(B317="", "",'Lighting Inventory (Ref only)'!R328/1000)</f>
        <v/>
      </c>
      <c r="AB317" s="372" t="str">
        <f>IF(B317="", "", Inventory!M325)</f>
        <v/>
      </c>
      <c r="AC317" s="374" t="str">
        <f>IF(B317="", "", 'Lighting Inventory (Ref only)'!T328)</f>
        <v/>
      </c>
      <c r="AD317" s="374" t="str">
        <f>IF(C317="", "", 'Lighting Inventory (Ref only)'!AA328)</f>
        <v/>
      </c>
      <c r="AE317" s="375" t="str">
        <f>IF(B317="", "", 'Lighting Inventory (Ref only)'!U328)</f>
        <v/>
      </c>
      <c r="AF317" s="375" t="str">
        <f>IF(B317="", "",'Lighting Inventory (Ref only)'!W328)</f>
        <v/>
      </c>
      <c r="AG317" s="375"/>
      <c r="AH317" s="375" t="str">
        <f>IF(B317="", "",'Lighting Inventory (Ref only)'!Z328)</f>
        <v/>
      </c>
      <c r="AI317" s="375" t="str">
        <f>IF(B317="", "", 'Lighting Inventory (Ref only)'!Y328)</f>
        <v/>
      </c>
      <c r="AJ317" s="375" t="str">
        <f>IF(C317="", "",'Lighting Inventory (Ref only)'!AB328)</f>
        <v/>
      </c>
      <c r="AK317" s="375" t="str">
        <f>IF(B317="", "", 'Lighting Inventory (Ref only)'!AG328)</f>
        <v/>
      </c>
      <c r="AL317" s="375" t="str">
        <f>IF(B317="", "", 'Lighting Inventory (Ref only)'!AD328)</f>
        <v/>
      </c>
      <c r="AM317" s="375" t="str">
        <f>IF(B317="", "", 'Lighting Inventory (Ref only)'!AE328)</f>
        <v/>
      </c>
      <c r="AN317" s="375" t="str">
        <f>IF(B317="", "", 'Lighting Inventory (Ref only)'!AF328)</f>
        <v/>
      </c>
      <c r="AO317" s="375" t="str">
        <f>IF(B317="", "", 'Lighting Inventory (Ref only)'!AG328)</f>
        <v/>
      </c>
    </row>
    <row r="318" spans="1:41">
      <c r="A318" s="298" t="str">
        <f>IF(G318="", "", Lookups!BF320)</f>
        <v/>
      </c>
      <c r="B318" s="298" t="str">
        <f>IF('Lighting Inventory (Ref only)'!Q329="", "", 'Lighting Inventory (Ref only)'!Q329)</f>
        <v/>
      </c>
      <c r="C318" s="298" t="str">
        <f>IF(A318="", "", 'Lighting Inventory (Ref only)'!AO329)</f>
        <v/>
      </c>
      <c r="D318" s="370" t="str">
        <f>IF(B318= "","", Inventory!S326)</f>
        <v/>
      </c>
      <c r="E318" s="371"/>
      <c r="F318" s="298" t="str">
        <f>IF(B318="", "", 'Version Log'!$B$34)</f>
        <v/>
      </c>
      <c r="G318" s="298" t="str">
        <f t="shared" si="16"/>
        <v/>
      </c>
      <c r="H318" s="298" t="str">
        <f t="shared" si="17"/>
        <v/>
      </c>
      <c r="I318" s="298" t="str">
        <f>IF(B318="", "",Inventory!D326)</f>
        <v/>
      </c>
      <c r="J318" s="298" t="str">
        <f>IF(B318="","",IF(Inventory!C326="N","Interior","Exterior"))</f>
        <v/>
      </c>
      <c r="K318" s="298" t="str">
        <f t="shared" si="18"/>
        <v/>
      </c>
      <c r="L318" s="298" t="str">
        <f>IF(B318="", "", Inventory!E326)</f>
        <v/>
      </c>
      <c r="M318" s="298" t="str">
        <f>IF(B318="","",IF(Cool_Type=Lookups!$L$9,Cool_Type,IF(Cool_Type=Lookups!$L$10,Cool_Type,IF(Cool_Type=Lookups!$L$11,Cool_Type,IF(Cool_Type=Lookups!L328,Cool_Type,IF('Project Info and Summary'!$C$20="Electric",CONCATENATE(Cool_Type," ",Heating_Type," Heat"),IF('Project Info and Summary'!$C$20="Non-Electric",CONCATENATE(Cool_Type," ",Heating_Type," Heat"),CONCATENATE(Cool_Type," ",Heating_Type))))))))</f>
        <v/>
      </c>
      <c r="N318" s="298" t="str">
        <f t="shared" si="19"/>
        <v/>
      </c>
      <c r="O318" s="298" t="str">
        <f>IF(B318="", "", 'Lighting Inventory (Ref only)'!G329)</f>
        <v/>
      </c>
      <c r="P318" s="298" t="str">
        <f>IF(B318="", "", 'Lighting Inventory (Ref only)'!E329)</f>
        <v/>
      </c>
      <c r="Q318" s="298" t="str">
        <f>IF(B318="", "", 'Lighting Inventory (Ref only)'!J329)</f>
        <v/>
      </c>
      <c r="R318" s="298" t="str">
        <f>IF(B318="", "",'Lighting Inventory (Ref only)'!K329)</f>
        <v/>
      </c>
      <c r="S318" s="372" t="str">
        <f>IF(B318="", "", 'Lighting Inventory (Ref only)'!G329*'Lighting Inventory (Ref only)'!K329/1000)</f>
        <v/>
      </c>
      <c r="T318" s="298" t="str">
        <f>IF(B318="", "", IF('Lighting Inventory (Ref only)'!I329="", "Light Switch",Inventory!H326))</f>
        <v/>
      </c>
      <c r="W318" s="373"/>
      <c r="X318" s="298" t="str">
        <f>IF(B318="", "", 'Lighting Inventory (Ref only)'!Q329)</f>
        <v/>
      </c>
      <c r="Z318" s="374"/>
      <c r="AA318" s="372" t="str">
        <f>IF(B318="", "",'Lighting Inventory (Ref only)'!R329/1000)</f>
        <v/>
      </c>
      <c r="AB318" s="372" t="str">
        <f>IF(B318="", "", Inventory!M326)</f>
        <v/>
      </c>
      <c r="AC318" s="374" t="str">
        <f>IF(B318="", "", 'Lighting Inventory (Ref only)'!T329)</f>
        <v/>
      </c>
      <c r="AD318" s="374" t="str">
        <f>IF(C318="", "", 'Lighting Inventory (Ref only)'!AA329)</f>
        <v/>
      </c>
      <c r="AE318" s="375" t="str">
        <f>IF(B318="", "", 'Lighting Inventory (Ref only)'!U329)</f>
        <v/>
      </c>
      <c r="AF318" s="375" t="str">
        <f>IF(B318="", "",'Lighting Inventory (Ref only)'!W329)</f>
        <v/>
      </c>
      <c r="AG318" s="375"/>
      <c r="AH318" s="375" t="str">
        <f>IF(B318="", "",'Lighting Inventory (Ref only)'!Z329)</f>
        <v/>
      </c>
      <c r="AI318" s="375" t="str">
        <f>IF(B318="", "", 'Lighting Inventory (Ref only)'!Y329)</f>
        <v/>
      </c>
      <c r="AJ318" s="375" t="str">
        <f>IF(C318="", "",'Lighting Inventory (Ref only)'!AB329)</f>
        <v/>
      </c>
      <c r="AK318" s="375" t="str">
        <f>IF(B318="", "", 'Lighting Inventory (Ref only)'!AG329)</f>
        <v/>
      </c>
      <c r="AL318" s="375" t="str">
        <f>IF(B318="", "", 'Lighting Inventory (Ref only)'!AD329)</f>
        <v/>
      </c>
      <c r="AM318" s="375" t="str">
        <f>IF(B318="", "", 'Lighting Inventory (Ref only)'!AE329)</f>
        <v/>
      </c>
      <c r="AN318" s="375" t="str">
        <f>IF(B318="", "", 'Lighting Inventory (Ref only)'!AF329)</f>
        <v/>
      </c>
      <c r="AO318" s="375" t="str">
        <f>IF(B318="", "", 'Lighting Inventory (Ref only)'!AG329)</f>
        <v/>
      </c>
    </row>
    <row r="319" spans="1:41">
      <c r="A319" s="298" t="str">
        <f>IF(G319="", "", Lookups!BF321)</f>
        <v/>
      </c>
      <c r="B319" s="298" t="str">
        <f>IF('Lighting Inventory (Ref only)'!Q330="", "", 'Lighting Inventory (Ref only)'!Q330)</f>
        <v/>
      </c>
      <c r="C319" s="298" t="str">
        <f>IF(A319="", "", 'Lighting Inventory (Ref only)'!AO330)</f>
        <v/>
      </c>
      <c r="D319" s="370" t="str">
        <f>IF(B319= "","", Inventory!S327)</f>
        <v/>
      </c>
      <c r="E319" s="371"/>
      <c r="F319" s="298" t="str">
        <f>IF(B319="", "", 'Version Log'!$B$34)</f>
        <v/>
      </c>
      <c r="G319" s="298" t="str">
        <f t="shared" si="16"/>
        <v/>
      </c>
      <c r="H319" s="298" t="str">
        <f t="shared" si="17"/>
        <v/>
      </c>
      <c r="I319" s="298" t="str">
        <f>IF(B319="", "",Inventory!D327)</f>
        <v/>
      </c>
      <c r="J319" s="298" t="str">
        <f>IF(B319="","",IF(Inventory!C327="N","Interior","Exterior"))</f>
        <v/>
      </c>
      <c r="K319" s="298" t="str">
        <f t="shared" si="18"/>
        <v/>
      </c>
      <c r="L319" s="298" t="str">
        <f>IF(B319="", "", Inventory!E327)</f>
        <v/>
      </c>
      <c r="M319" s="298" t="str">
        <f>IF(B319="","",IF(Cool_Type=Lookups!$L$9,Cool_Type,IF(Cool_Type=Lookups!$L$10,Cool_Type,IF(Cool_Type=Lookups!$L$11,Cool_Type,IF(Cool_Type=Lookups!L329,Cool_Type,IF('Project Info and Summary'!$C$20="Electric",CONCATENATE(Cool_Type," ",Heating_Type," Heat"),IF('Project Info and Summary'!$C$20="Non-Electric",CONCATENATE(Cool_Type," ",Heating_Type," Heat"),CONCATENATE(Cool_Type," ",Heating_Type))))))))</f>
        <v/>
      </c>
      <c r="N319" s="298" t="str">
        <f t="shared" si="19"/>
        <v/>
      </c>
      <c r="O319" s="298" t="str">
        <f>IF(B319="", "", 'Lighting Inventory (Ref only)'!G330)</f>
        <v/>
      </c>
      <c r="P319" s="298" t="str">
        <f>IF(B319="", "", 'Lighting Inventory (Ref only)'!E330)</f>
        <v/>
      </c>
      <c r="Q319" s="298" t="str">
        <f>IF(B319="", "", 'Lighting Inventory (Ref only)'!J330)</f>
        <v/>
      </c>
      <c r="R319" s="298" t="str">
        <f>IF(B319="", "",'Lighting Inventory (Ref only)'!K330)</f>
        <v/>
      </c>
      <c r="S319" s="372" t="str">
        <f>IF(B319="", "", 'Lighting Inventory (Ref only)'!G330*'Lighting Inventory (Ref only)'!K330/1000)</f>
        <v/>
      </c>
      <c r="T319" s="298" t="str">
        <f>IF(B319="", "", IF('Lighting Inventory (Ref only)'!I330="", "Light Switch",Inventory!H327))</f>
        <v/>
      </c>
      <c r="W319" s="373"/>
      <c r="X319" s="298" t="str">
        <f>IF(B319="", "", 'Lighting Inventory (Ref only)'!Q330)</f>
        <v/>
      </c>
      <c r="Z319" s="374"/>
      <c r="AA319" s="372" t="str">
        <f>IF(B319="", "",'Lighting Inventory (Ref only)'!R330/1000)</f>
        <v/>
      </c>
      <c r="AB319" s="372" t="str">
        <f>IF(B319="", "", Inventory!M327)</f>
        <v/>
      </c>
      <c r="AC319" s="374" t="str">
        <f>IF(B319="", "", 'Lighting Inventory (Ref only)'!T330)</f>
        <v/>
      </c>
      <c r="AD319" s="374" t="str">
        <f>IF(C319="", "", 'Lighting Inventory (Ref only)'!AA330)</f>
        <v/>
      </c>
      <c r="AE319" s="375" t="str">
        <f>IF(B319="", "", 'Lighting Inventory (Ref only)'!U330)</f>
        <v/>
      </c>
      <c r="AF319" s="375" t="str">
        <f>IF(B319="", "",'Lighting Inventory (Ref only)'!W330)</f>
        <v/>
      </c>
      <c r="AG319" s="375"/>
      <c r="AH319" s="375" t="str">
        <f>IF(B319="", "",'Lighting Inventory (Ref only)'!Z330)</f>
        <v/>
      </c>
      <c r="AI319" s="375" t="str">
        <f>IF(B319="", "", 'Lighting Inventory (Ref only)'!Y330)</f>
        <v/>
      </c>
      <c r="AJ319" s="375" t="str">
        <f>IF(C319="", "",'Lighting Inventory (Ref only)'!AB330)</f>
        <v/>
      </c>
      <c r="AK319" s="375" t="str">
        <f>IF(B319="", "", 'Lighting Inventory (Ref only)'!AG330)</f>
        <v/>
      </c>
      <c r="AL319" s="375" t="str">
        <f>IF(B319="", "", 'Lighting Inventory (Ref only)'!AD330)</f>
        <v/>
      </c>
      <c r="AM319" s="375" t="str">
        <f>IF(B319="", "", 'Lighting Inventory (Ref only)'!AE330)</f>
        <v/>
      </c>
      <c r="AN319" s="375" t="str">
        <f>IF(B319="", "", 'Lighting Inventory (Ref only)'!AF330)</f>
        <v/>
      </c>
      <c r="AO319" s="375" t="str">
        <f>IF(B319="", "", 'Lighting Inventory (Ref only)'!AG330)</f>
        <v/>
      </c>
    </row>
    <row r="320" spans="1:41">
      <c r="A320" s="298" t="str">
        <f>IF(G320="", "", Lookups!BF322)</f>
        <v/>
      </c>
      <c r="B320" s="298" t="str">
        <f>IF('Lighting Inventory (Ref only)'!Q331="", "", 'Lighting Inventory (Ref only)'!Q331)</f>
        <v/>
      </c>
      <c r="C320" s="298" t="str">
        <f>IF(A320="", "", 'Lighting Inventory (Ref only)'!AO331)</f>
        <v/>
      </c>
      <c r="D320" s="370" t="str">
        <f>IF(B320= "","", Inventory!S328)</f>
        <v/>
      </c>
      <c r="E320" s="371"/>
      <c r="F320" s="298" t="str">
        <f>IF(B320="", "", 'Version Log'!$B$34)</f>
        <v/>
      </c>
      <c r="G320" s="298" t="str">
        <f t="shared" si="16"/>
        <v/>
      </c>
      <c r="H320" s="298" t="str">
        <f t="shared" si="17"/>
        <v/>
      </c>
      <c r="I320" s="298" t="str">
        <f>IF(B320="", "",Inventory!D328)</f>
        <v/>
      </c>
      <c r="J320" s="298" t="str">
        <f>IF(B320="","",IF(Inventory!C328="N","Interior","Exterior"))</f>
        <v/>
      </c>
      <c r="K320" s="298" t="str">
        <f t="shared" si="18"/>
        <v/>
      </c>
      <c r="L320" s="298" t="str">
        <f>IF(B320="", "", Inventory!E328)</f>
        <v/>
      </c>
      <c r="M320" s="298" t="str">
        <f>IF(B320="","",IF(Cool_Type=Lookups!$L$9,Cool_Type,IF(Cool_Type=Lookups!$L$10,Cool_Type,IF(Cool_Type=Lookups!$L$11,Cool_Type,IF(Cool_Type=Lookups!L330,Cool_Type,IF('Project Info and Summary'!$C$20="Electric",CONCATENATE(Cool_Type," ",Heating_Type," Heat"),IF('Project Info and Summary'!$C$20="Non-Electric",CONCATENATE(Cool_Type," ",Heating_Type," Heat"),CONCATENATE(Cool_Type," ",Heating_Type))))))))</f>
        <v/>
      </c>
      <c r="N320" s="298" t="str">
        <f t="shared" si="19"/>
        <v/>
      </c>
      <c r="O320" s="298" t="str">
        <f>IF(B320="", "", 'Lighting Inventory (Ref only)'!G331)</f>
        <v/>
      </c>
      <c r="P320" s="298" t="str">
        <f>IF(B320="", "", 'Lighting Inventory (Ref only)'!E331)</f>
        <v/>
      </c>
      <c r="Q320" s="298" t="str">
        <f>IF(B320="", "", 'Lighting Inventory (Ref only)'!J331)</f>
        <v/>
      </c>
      <c r="R320" s="298" t="str">
        <f>IF(B320="", "",'Lighting Inventory (Ref only)'!K331)</f>
        <v/>
      </c>
      <c r="S320" s="372" t="str">
        <f>IF(B320="", "", 'Lighting Inventory (Ref only)'!G331*'Lighting Inventory (Ref only)'!K331/1000)</f>
        <v/>
      </c>
      <c r="T320" s="298" t="str">
        <f>IF(B320="", "", IF('Lighting Inventory (Ref only)'!I331="", "Light Switch",Inventory!H328))</f>
        <v/>
      </c>
      <c r="W320" s="373"/>
      <c r="X320" s="298" t="str">
        <f>IF(B320="", "", 'Lighting Inventory (Ref only)'!Q331)</f>
        <v/>
      </c>
      <c r="Z320" s="374"/>
      <c r="AA320" s="372" t="str">
        <f>IF(B320="", "",'Lighting Inventory (Ref only)'!R331/1000)</f>
        <v/>
      </c>
      <c r="AB320" s="372" t="str">
        <f>IF(B320="", "", Inventory!M328)</f>
        <v/>
      </c>
      <c r="AC320" s="374" t="str">
        <f>IF(B320="", "", 'Lighting Inventory (Ref only)'!T331)</f>
        <v/>
      </c>
      <c r="AD320" s="374" t="str">
        <f>IF(C320="", "", 'Lighting Inventory (Ref only)'!AA331)</f>
        <v/>
      </c>
      <c r="AE320" s="375" t="str">
        <f>IF(B320="", "", 'Lighting Inventory (Ref only)'!U331)</f>
        <v/>
      </c>
      <c r="AF320" s="375" t="str">
        <f>IF(B320="", "",'Lighting Inventory (Ref only)'!W331)</f>
        <v/>
      </c>
      <c r="AG320" s="375"/>
      <c r="AH320" s="375" t="str">
        <f>IF(B320="", "",'Lighting Inventory (Ref only)'!Z331)</f>
        <v/>
      </c>
      <c r="AI320" s="375" t="str">
        <f>IF(B320="", "", 'Lighting Inventory (Ref only)'!Y331)</f>
        <v/>
      </c>
      <c r="AJ320" s="375" t="str">
        <f>IF(C320="", "",'Lighting Inventory (Ref only)'!AB331)</f>
        <v/>
      </c>
      <c r="AK320" s="375" t="str">
        <f>IF(B320="", "", 'Lighting Inventory (Ref only)'!AG331)</f>
        <v/>
      </c>
      <c r="AL320" s="375" t="str">
        <f>IF(B320="", "", 'Lighting Inventory (Ref only)'!AD331)</f>
        <v/>
      </c>
      <c r="AM320" s="375" t="str">
        <f>IF(B320="", "", 'Lighting Inventory (Ref only)'!AE331)</f>
        <v/>
      </c>
      <c r="AN320" s="375" t="str">
        <f>IF(B320="", "", 'Lighting Inventory (Ref only)'!AF331)</f>
        <v/>
      </c>
      <c r="AO320" s="375" t="str">
        <f>IF(B320="", "", 'Lighting Inventory (Ref only)'!AG331)</f>
        <v/>
      </c>
    </row>
    <row r="321" spans="1:41">
      <c r="A321" s="298" t="str">
        <f>IF(G321="", "", Lookups!BF323)</f>
        <v/>
      </c>
      <c r="B321" s="298" t="str">
        <f>IF('Lighting Inventory (Ref only)'!Q332="", "", 'Lighting Inventory (Ref only)'!Q332)</f>
        <v/>
      </c>
      <c r="C321" s="298" t="str">
        <f>IF(A321="", "", 'Lighting Inventory (Ref only)'!AO332)</f>
        <v/>
      </c>
      <c r="D321" s="370" t="str">
        <f>IF(B321= "","", Inventory!S329)</f>
        <v/>
      </c>
      <c r="E321" s="371"/>
      <c r="F321" s="298" t="str">
        <f>IF(B321="", "", 'Version Log'!$B$34)</f>
        <v/>
      </c>
      <c r="G321" s="298" t="str">
        <f t="shared" si="16"/>
        <v/>
      </c>
      <c r="H321" s="298" t="str">
        <f t="shared" si="17"/>
        <v/>
      </c>
      <c r="I321" s="298" t="str">
        <f>IF(B321="", "",Inventory!D329)</f>
        <v/>
      </c>
      <c r="J321" s="298" t="str">
        <f>IF(B321="","",IF(Inventory!C329="N","Interior","Exterior"))</f>
        <v/>
      </c>
      <c r="K321" s="298" t="str">
        <f t="shared" si="18"/>
        <v/>
      </c>
      <c r="L321" s="298" t="str">
        <f>IF(B321="", "", Inventory!E329)</f>
        <v/>
      </c>
      <c r="M321" s="298" t="str">
        <f>IF(B321="","",IF(Cool_Type=Lookups!$L$9,Cool_Type,IF(Cool_Type=Lookups!$L$10,Cool_Type,IF(Cool_Type=Lookups!$L$11,Cool_Type,IF(Cool_Type=Lookups!L331,Cool_Type,IF('Project Info and Summary'!$C$20="Electric",CONCATENATE(Cool_Type," ",Heating_Type," Heat"),IF('Project Info and Summary'!$C$20="Non-Electric",CONCATENATE(Cool_Type," ",Heating_Type," Heat"),CONCATENATE(Cool_Type," ",Heating_Type))))))))</f>
        <v/>
      </c>
      <c r="N321" s="298" t="str">
        <f t="shared" si="19"/>
        <v/>
      </c>
      <c r="O321" s="298" t="str">
        <f>IF(B321="", "", 'Lighting Inventory (Ref only)'!G332)</f>
        <v/>
      </c>
      <c r="P321" s="298" t="str">
        <f>IF(B321="", "", 'Lighting Inventory (Ref only)'!E332)</f>
        <v/>
      </c>
      <c r="Q321" s="298" t="str">
        <f>IF(B321="", "", 'Lighting Inventory (Ref only)'!J332)</f>
        <v/>
      </c>
      <c r="R321" s="298" t="str">
        <f>IF(B321="", "",'Lighting Inventory (Ref only)'!K332)</f>
        <v/>
      </c>
      <c r="S321" s="372" t="str">
        <f>IF(B321="", "", 'Lighting Inventory (Ref only)'!G332*'Lighting Inventory (Ref only)'!K332/1000)</f>
        <v/>
      </c>
      <c r="T321" s="298" t="str">
        <f>IF(B321="", "", IF('Lighting Inventory (Ref only)'!I332="", "Light Switch",Inventory!H329))</f>
        <v/>
      </c>
      <c r="W321" s="373"/>
      <c r="X321" s="298" t="str">
        <f>IF(B321="", "", 'Lighting Inventory (Ref only)'!Q332)</f>
        <v/>
      </c>
      <c r="Z321" s="374"/>
      <c r="AA321" s="372" t="str">
        <f>IF(B321="", "",'Lighting Inventory (Ref only)'!R332/1000)</f>
        <v/>
      </c>
      <c r="AB321" s="372" t="str">
        <f>IF(B321="", "", Inventory!M329)</f>
        <v/>
      </c>
      <c r="AC321" s="374" t="str">
        <f>IF(B321="", "", 'Lighting Inventory (Ref only)'!T332)</f>
        <v/>
      </c>
      <c r="AD321" s="374" t="str">
        <f>IF(C321="", "", 'Lighting Inventory (Ref only)'!AA332)</f>
        <v/>
      </c>
      <c r="AE321" s="375" t="str">
        <f>IF(B321="", "", 'Lighting Inventory (Ref only)'!U332)</f>
        <v/>
      </c>
      <c r="AF321" s="375" t="str">
        <f>IF(B321="", "",'Lighting Inventory (Ref only)'!W332)</f>
        <v/>
      </c>
      <c r="AG321" s="375"/>
      <c r="AH321" s="375" t="str">
        <f>IF(B321="", "",'Lighting Inventory (Ref only)'!Z332)</f>
        <v/>
      </c>
      <c r="AI321" s="375" t="str">
        <f>IF(B321="", "", 'Lighting Inventory (Ref only)'!Y332)</f>
        <v/>
      </c>
      <c r="AJ321" s="375" t="str">
        <f>IF(C321="", "",'Lighting Inventory (Ref only)'!AB332)</f>
        <v/>
      </c>
      <c r="AK321" s="375" t="str">
        <f>IF(B321="", "", 'Lighting Inventory (Ref only)'!AG332)</f>
        <v/>
      </c>
      <c r="AL321" s="375" t="str">
        <f>IF(B321="", "", 'Lighting Inventory (Ref only)'!AD332)</f>
        <v/>
      </c>
      <c r="AM321" s="375" t="str">
        <f>IF(B321="", "", 'Lighting Inventory (Ref only)'!AE332)</f>
        <v/>
      </c>
      <c r="AN321" s="375" t="str">
        <f>IF(B321="", "", 'Lighting Inventory (Ref only)'!AF332)</f>
        <v/>
      </c>
      <c r="AO321" s="375" t="str">
        <f>IF(B321="", "", 'Lighting Inventory (Ref only)'!AG332)</f>
        <v/>
      </c>
    </row>
    <row r="322" spans="1:41">
      <c r="A322" s="298" t="str">
        <f>IF(G322="", "", Lookups!BF324)</f>
        <v/>
      </c>
      <c r="B322" s="298" t="str">
        <f>IF('Lighting Inventory (Ref only)'!Q333="", "", 'Lighting Inventory (Ref only)'!Q333)</f>
        <v/>
      </c>
      <c r="C322" s="298" t="str">
        <f>IF(A322="", "", 'Lighting Inventory (Ref only)'!AO333)</f>
        <v/>
      </c>
      <c r="D322" s="370" t="str">
        <f>IF(B322= "","", Inventory!S330)</f>
        <v/>
      </c>
      <c r="E322" s="371"/>
      <c r="F322" s="298" t="str">
        <f>IF(B322="", "", 'Version Log'!$B$34)</f>
        <v/>
      </c>
      <c r="G322" s="298" t="str">
        <f t="shared" ref="G322:G385" si="20">IF(B322="", "", PRJ_Type)</f>
        <v/>
      </c>
      <c r="H322" s="298" t="str">
        <f t="shared" ref="H322:H385" si="21">IF(B322="", "", SqFt)</f>
        <v/>
      </c>
      <c r="I322" s="298" t="str">
        <f>IF(B322="", "",Inventory!D330)</f>
        <v/>
      </c>
      <c r="J322" s="298" t="str">
        <f>IF(B322="","",IF(Inventory!C330="N","Interior","Exterior"))</f>
        <v/>
      </c>
      <c r="K322" s="298" t="str">
        <f t="shared" ref="K322:K385" si="22">IF(B322="", "", Building_Type)</f>
        <v/>
      </c>
      <c r="L322" s="298" t="str">
        <f>IF(B322="", "", Inventory!E330)</f>
        <v/>
      </c>
      <c r="M322" s="298" t="str">
        <f>IF(B322="","",IF(Cool_Type=Lookups!$L$9,Cool_Type,IF(Cool_Type=Lookups!$L$10,Cool_Type,IF(Cool_Type=Lookups!$L$11,Cool_Type,IF(Cool_Type=Lookups!L332,Cool_Type,IF('Project Info and Summary'!$C$20="Electric",CONCATENATE(Cool_Type," ",Heating_Type," Heat"),IF('Project Info and Summary'!$C$20="Non-Electric",CONCATENATE(Cool_Type," ",Heating_Type," Heat"),CONCATENATE(Cool_Type," ",Heating_Type))))))))</f>
        <v/>
      </c>
      <c r="N322" s="298" t="str">
        <f t="shared" ref="N322:N385" si="23">IF(B322="", "",Heating_Type)</f>
        <v/>
      </c>
      <c r="O322" s="298" t="str">
        <f>IF(B322="", "", 'Lighting Inventory (Ref only)'!G333)</f>
        <v/>
      </c>
      <c r="P322" s="298" t="str">
        <f>IF(B322="", "", 'Lighting Inventory (Ref only)'!E333)</f>
        <v/>
      </c>
      <c r="Q322" s="298" t="str">
        <f>IF(B322="", "", 'Lighting Inventory (Ref only)'!J333)</f>
        <v/>
      </c>
      <c r="R322" s="298" t="str">
        <f>IF(B322="", "",'Lighting Inventory (Ref only)'!K333)</f>
        <v/>
      </c>
      <c r="S322" s="372" t="str">
        <f>IF(B322="", "", 'Lighting Inventory (Ref only)'!G333*'Lighting Inventory (Ref only)'!K333/1000)</f>
        <v/>
      </c>
      <c r="T322" s="298" t="str">
        <f>IF(B322="", "", IF('Lighting Inventory (Ref only)'!I333="", "Light Switch",Inventory!H330))</f>
        <v/>
      </c>
      <c r="W322" s="373"/>
      <c r="X322" s="298" t="str">
        <f>IF(B322="", "", 'Lighting Inventory (Ref only)'!Q333)</f>
        <v/>
      </c>
      <c r="Z322" s="374"/>
      <c r="AA322" s="372" t="str">
        <f>IF(B322="", "",'Lighting Inventory (Ref only)'!R333/1000)</f>
        <v/>
      </c>
      <c r="AB322" s="372" t="str">
        <f>IF(B322="", "", Inventory!M330)</f>
        <v/>
      </c>
      <c r="AC322" s="374" t="str">
        <f>IF(B322="", "", 'Lighting Inventory (Ref only)'!T333)</f>
        <v/>
      </c>
      <c r="AD322" s="374" t="str">
        <f>IF(C322="", "", 'Lighting Inventory (Ref only)'!AA333)</f>
        <v/>
      </c>
      <c r="AE322" s="375" t="str">
        <f>IF(B322="", "", 'Lighting Inventory (Ref only)'!U333)</f>
        <v/>
      </c>
      <c r="AF322" s="375" t="str">
        <f>IF(B322="", "",'Lighting Inventory (Ref only)'!W333)</f>
        <v/>
      </c>
      <c r="AG322" s="375"/>
      <c r="AH322" s="375" t="str">
        <f>IF(B322="", "",'Lighting Inventory (Ref only)'!Z333)</f>
        <v/>
      </c>
      <c r="AI322" s="375" t="str">
        <f>IF(B322="", "", 'Lighting Inventory (Ref only)'!Y333)</f>
        <v/>
      </c>
      <c r="AJ322" s="375" t="str">
        <f>IF(C322="", "",'Lighting Inventory (Ref only)'!AB333)</f>
        <v/>
      </c>
      <c r="AK322" s="375" t="str">
        <f>IF(B322="", "", 'Lighting Inventory (Ref only)'!AG333)</f>
        <v/>
      </c>
      <c r="AL322" s="375" t="str">
        <f>IF(B322="", "", 'Lighting Inventory (Ref only)'!AD333)</f>
        <v/>
      </c>
      <c r="AM322" s="375" t="str">
        <f>IF(B322="", "", 'Lighting Inventory (Ref only)'!AE333)</f>
        <v/>
      </c>
      <c r="AN322" s="375" t="str">
        <f>IF(B322="", "", 'Lighting Inventory (Ref only)'!AF333)</f>
        <v/>
      </c>
      <c r="AO322" s="375" t="str">
        <f>IF(B322="", "", 'Lighting Inventory (Ref only)'!AG333)</f>
        <v/>
      </c>
    </row>
    <row r="323" spans="1:41">
      <c r="A323" s="298" t="str">
        <f>IF(G323="", "", Lookups!BF325)</f>
        <v/>
      </c>
      <c r="B323" s="298" t="str">
        <f>IF('Lighting Inventory (Ref only)'!Q334="", "", 'Lighting Inventory (Ref only)'!Q334)</f>
        <v/>
      </c>
      <c r="C323" s="298" t="str">
        <f>IF(A323="", "", 'Lighting Inventory (Ref only)'!AO334)</f>
        <v/>
      </c>
      <c r="D323" s="370" t="str">
        <f>IF(B323= "","", Inventory!S331)</f>
        <v/>
      </c>
      <c r="E323" s="371"/>
      <c r="F323" s="298" t="str">
        <f>IF(B323="", "", 'Version Log'!$B$34)</f>
        <v/>
      </c>
      <c r="G323" s="298" t="str">
        <f t="shared" si="20"/>
        <v/>
      </c>
      <c r="H323" s="298" t="str">
        <f t="shared" si="21"/>
        <v/>
      </c>
      <c r="I323" s="298" t="str">
        <f>IF(B323="", "",Inventory!D331)</f>
        <v/>
      </c>
      <c r="J323" s="298" t="str">
        <f>IF(B323="","",IF(Inventory!C331="N","Interior","Exterior"))</f>
        <v/>
      </c>
      <c r="K323" s="298" t="str">
        <f t="shared" si="22"/>
        <v/>
      </c>
      <c r="L323" s="298" t="str">
        <f>IF(B323="", "", Inventory!E331)</f>
        <v/>
      </c>
      <c r="M323" s="298" t="str">
        <f>IF(B323="","",IF(Cool_Type=Lookups!$L$9,Cool_Type,IF(Cool_Type=Lookups!$L$10,Cool_Type,IF(Cool_Type=Lookups!$L$11,Cool_Type,IF(Cool_Type=Lookups!L333,Cool_Type,IF('Project Info and Summary'!$C$20="Electric",CONCATENATE(Cool_Type," ",Heating_Type," Heat"),IF('Project Info and Summary'!$C$20="Non-Electric",CONCATENATE(Cool_Type," ",Heating_Type," Heat"),CONCATENATE(Cool_Type," ",Heating_Type))))))))</f>
        <v/>
      </c>
      <c r="N323" s="298" t="str">
        <f t="shared" si="23"/>
        <v/>
      </c>
      <c r="O323" s="298" t="str">
        <f>IF(B323="", "", 'Lighting Inventory (Ref only)'!G334)</f>
        <v/>
      </c>
      <c r="P323" s="298" t="str">
        <f>IF(B323="", "", 'Lighting Inventory (Ref only)'!E334)</f>
        <v/>
      </c>
      <c r="Q323" s="298" t="str">
        <f>IF(B323="", "", 'Lighting Inventory (Ref only)'!J334)</f>
        <v/>
      </c>
      <c r="R323" s="298" t="str">
        <f>IF(B323="", "",'Lighting Inventory (Ref only)'!K334)</f>
        <v/>
      </c>
      <c r="S323" s="372" t="str">
        <f>IF(B323="", "", 'Lighting Inventory (Ref only)'!G334*'Lighting Inventory (Ref only)'!K334/1000)</f>
        <v/>
      </c>
      <c r="T323" s="298" t="str">
        <f>IF(B323="", "", IF('Lighting Inventory (Ref only)'!I334="", "Light Switch",Inventory!H331))</f>
        <v/>
      </c>
      <c r="W323" s="373"/>
      <c r="X323" s="298" t="str">
        <f>IF(B323="", "", 'Lighting Inventory (Ref only)'!Q334)</f>
        <v/>
      </c>
      <c r="Z323" s="374"/>
      <c r="AA323" s="372" t="str">
        <f>IF(B323="", "",'Lighting Inventory (Ref only)'!R334/1000)</f>
        <v/>
      </c>
      <c r="AB323" s="372" t="str">
        <f>IF(B323="", "", Inventory!M331)</f>
        <v/>
      </c>
      <c r="AC323" s="374" t="str">
        <f>IF(B323="", "", 'Lighting Inventory (Ref only)'!T334)</f>
        <v/>
      </c>
      <c r="AD323" s="374" t="str">
        <f>IF(C323="", "", 'Lighting Inventory (Ref only)'!AA334)</f>
        <v/>
      </c>
      <c r="AE323" s="375" t="str">
        <f>IF(B323="", "", 'Lighting Inventory (Ref only)'!U334)</f>
        <v/>
      </c>
      <c r="AF323" s="375" t="str">
        <f>IF(B323="", "",'Lighting Inventory (Ref only)'!W334)</f>
        <v/>
      </c>
      <c r="AG323" s="375"/>
      <c r="AH323" s="375" t="str">
        <f>IF(B323="", "",'Lighting Inventory (Ref only)'!Z334)</f>
        <v/>
      </c>
      <c r="AI323" s="375" t="str">
        <f>IF(B323="", "", 'Lighting Inventory (Ref only)'!Y334)</f>
        <v/>
      </c>
      <c r="AJ323" s="375" t="str">
        <f>IF(C323="", "",'Lighting Inventory (Ref only)'!AB334)</f>
        <v/>
      </c>
      <c r="AK323" s="375" t="str">
        <f>IF(B323="", "", 'Lighting Inventory (Ref only)'!AG334)</f>
        <v/>
      </c>
      <c r="AL323" s="375" t="str">
        <f>IF(B323="", "", 'Lighting Inventory (Ref only)'!AD334)</f>
        <v/>
      </c>
      <c r="AM323" s="375" t="str">
        <f>IF(B323="", "", 'Lighting Inventory (Ref only)'!AE334)</f>
        <v/>
      </c>
      <c r="AN323" s="375" t="str">
        <f>IF(B323="", "", 'Lighting Inventory (Ref only)'!AF334)</f>
        <v/>
      </c>
      <c r="AO323" s="375" t="str">
        <f>IF(B323="", "", 'Lighting Inventory (Ref only)'!AG334)</f>
        <v/>
      </c>
    </row>
    <row r="324" spans="1:41">
      <c r="A324" s="298" t="str">
        <f>IF(G324="", "", Lookups!BF326)</f>
        <v/>
      </c>
      <c r="B324" s="298" t="str">
        <f>IF('Lighting Inventory (Ref only)'!Q335="", "", 'Lighting Inventory (Ref only)'!Q335)</f>
        <v/>
      </c>
      <c r="C324" s="298" t="str">
        <f>IF(A324="", "", 'Lighting Inventory (Ref only)'!AO335)</f>
        <v/>
      </c>
      <c r="D324" s="370" t="str">
        <f>IF(B324= "","", Inventory!S332)</f>
        <v/>
      </c>
      <c r="E324" s="371"/>
      <c r="F324" s="298" t="str">
        <f>IF(B324="", "", 'Version Log'!$B$34)</f>
        <v/>
      </c>
      <c r="G324" s="298" t="str">
        <f t="shared" si="20"/>
        <v/>
      </c>
      <c r="H324" s="298" t="str">
        <f t="shared" si="21"/>
        <v/>
      </c>
      <c r="I324" s="298" t="str">
        <f>IF(B324="", "",Inventory!D332)</f>
        <v/>
      </c>
      <c r="J324" s="298" t="str">
        <f>IF(B324="","",IF(Inventory!C332="N","Interior","Exterior"))</f>
        <v/>
      </c>
      <c r="K324" s="298" t="str">
        <f t="shared" si="22"/>
        <v/>
      </c>
      <c r="L324" s="298" t="str">
        <f>IF(B324="", "", Inventory!E332)</f>
        <v/>
      </c>
      <c r="M324" s="298" t="str">
        <f>IF(B324="","",IF(Cool_Type=Lookups!$L$9,Cool_Type,IF(Cool_Type=Lookups!$L$10,Cool_Type,IF(Cool_Type=Lookups!$L$11,Cool_Type,IF(Cool_Type=Lookups!L334,Cool_Type,IF('Project Info and Summary'!$C$20="Electric",CONCATENATE(Cool_Type," ",Heating_Type," Heat"),IF('Project Info and Summary'!$C$20="Non-Electric",CONCATENATE(Cool_Type," ",Heating_Type," Heat"),CONCATENATE(Cool_Type," ",Heating_Type))))))))</f>
        <v/>
      </c>
      <c r="N324" s="298" t="str">
        <f t="shared" si="23"/>
        <v/>
      </c>
      <c r="O324" s="298" t="str">
        <f>IF(B324="", "", 'Lighting Inventory (Ref only)'!G335)</f>
        <v/>
      </c>
      <c r="P324" s="298" t="str">
        <f>IF(B324="", "", 'Lighting Inventory (Ref only)'!E335)</f>
        <v/>
      </c>
      <c r="Q324" s="298" t="str">
        <f>IF(B324="", "", 'Lighting Inventory (Ref only)'!J335)</f>
        <v/>
      </c>
      <c r="R324" s="298" t="str">
        <f>IF(B324="", "",'Lighting Inventory (Ref only)'!K335)</f>
        <v/>
      </c>
      <c r="S324" s="372" t="str">
        <f>IF(B324="", "", 'Lighting Inventory (Ref only)'!G335*'Lighting Inventory (Ref only)'!K335/1000)</f>
        <v/>
      </c>
      <c r="T324" s="298" t="str">
        <f>IF(B324="", "", IF('Lighting Inventory (Ref only)'!I335="", "Light Switch",Inventory!H332))</f>
        <v/>
      </c>
      <c r="W324" s="373"/>
      <c r="X324" s="298" t="str">
        <f>IF(B324="", "", 'Lighting Inventory (Ref only)'!Q335)</f>
        <v/>
      </c>
      <c r="Z324" s="374"/>
      <c r="AA324" s="372" t="str">
        <f>IF(B324="", "",'Lighting Inventory (Ref only)'!R335/1000)</f>
        <v/>
      </c>
      <c r="AB324" s="372" t="str">
        <f>IF(B324="", "", Inventory!M332)</f>
        <v/>
      </c>
      <c r="AC324" s="374" t="str">
        <f>IF(B324="", "", 'Lighting Inventory (Ref only)'!T335)</f>
        <v/>
      </c>
      <c r="AD324" s="374" t="str">
        <f>IF(C324="", "", 'Lighting Inventory (Ref only)'!AA335)</f>
        <v/>
      </c>
      <c r="AE324" s="375" t="str">
        <f>IF(B324="", "", 'Lighting Inventory (Ref only)'!U335)</f>
        <v/>
      </c>
      <c r="AF324" s="375" t="str">
        <f>IF(B324="", "",'Lighting Inventory (Ref only)'!W335)</f>
        <v/>
      </c>
      <c r="AG324" s="375"/>
      <c r="AH324" s="375" t="str">
        <f>IF(B324="", "",'Lighting Inventory (Ref only)'!Z335)</f>
        <v/>
      </c>
      <c r="AI324" s="375" t="str">
        <f>IF(B324="", "", 'Lighting Inventory (Ref only)'!Y335)</f>
        <v/>
      </c>
      <c r="AJ324" s="375" t="str">
        <f>IF(C324="", "",'Lighting Inventory (Ref only)'!AB335)</f>
        <v/>
      </c>
      <c r="AK324" s="375" t="str">
        <f>IF(B324="", "", 'Lighting Inventory (Ref only)'!AG335)</f>
        <v/>
      </c>
      <c r="AL324" s="375" t="str">
        <f>IF(B324="", "", 'Lighting Inventory (Ref only)'!AD335)</f>
        <v/>
      </c>
      <c r="AM324" s="375" t="str">
        <f>IF(B324="", "", 'Lighting Inventory (Ref only)'!AE335)</f>
        <v/>
      </c>
      <c r="AN324" s="375" t="str">
        <f>IF(B324="", "", 'Lighting Inventory (Ref only)'!AF335)</f>
        <v/>
      </c>
      <c r="AO324" s="375" t="str">
        <f>IF(B324="", "", 'Lighting Inventory (Ref only)'!AG335)</f>
        <v/>
      </c>
    </row>
    <row r="325" spans="1:41">
      <c r="A325" s="298" t="str">
        <f>IF(G325="", "", Lookups!BF327)</f>
        <v/>
      </c>
      <c r="B325" s="298" t="str">
        <f>IF('Lighting Inventory (Ref only)'!Q336="", "", 'Lighting Inventory (Ref only)'!Q336)</f>
        <v/>
      </c>
      <c r="C325" s="298" t="str">
        <f>IF(A325="", "", 'Lighting Inventory (Ref only)'!AO336)</f>
        <v/>
      </c>
      <c r="D325" s="370" t="str">
        <f>IF(B325= "","", Inventory!S333)</f>
        <v/>
      </c>
      <c r="E325" s="371"/>
      <c r="F325" s="298" t="str">
        <f>IF(B325="", "", 'Version Log'!$B$34)</f>
        <v/>
      </c>
      <c r="G325" s="298" t="str">
        <f t="shared" si="20"/>
        <v/>
      </c>
      <c r="H325" s="298" t="str">
        <f t="shared" si="21"/>
        <v/>
      </c>
      <c r="I325" s="298" t="str">
        <f>IF(B325="", "",Inventory!D333)</f>
        <v/>
      </c>
      <c r="J325" s="298" t="str">
        <f>IF(B325="","",IF(Inventory!C333="N","Interior","Exterior"))</f>
        <v/>
      </c>
      <c r="K325" s="298" t="str">
        <f t="shared" si="22"/>
        <v/>
      </c>
      <c r="L325" s="298" t="str">
        <f>IF(B325="", "", Inventory!E333)</f>
        <v/>
      </c>
      <c r="M325" s="298" t="str">
        <f>IF(B325="","",IF(Cool_Type=Lookups!$L$9,Cool_Type,IF(Cool_Type=Lookups!$L$10,Cool_Type,IF(Cool_Type=Lookups!$L$11,Cool_Type,IF(Cool_Type=Lookups!L335,Cool_Type,IF('Project Info and Summary'!$C$20="Electric",CONCATENATE(Cool_Type," ",Heating_Type," Heat"),IF('Project Info and Summary'!$C$20="Non-Electric",CONCATENATE(Cool_Type," ",Heating_Type," Heat"),CONCATENATE(Cool_Type," ",Heating_Type))))))))</f>
        <v/>
      </c>
      <c r="N325" s="298" t="str">
        <f t="shared" si="23"/>
        <v/>
      </c>
      <c r="O325" s="298" t="str">
        <f>IF(B325="", "", 'Lighting Inventory (Ref only)'!G336)</f>
        <v/>
      </c>
      <c r="P325" s="298" t="str">
        <f>IF(B325="", "", 'Lighting Inventory (Ref only)'!E336)</f>
        <v/>
      </c>
      <c r="Q325" s="298" t="str">
        <f>IF(B325="", "", 'Lighting Inventory (Ref only)'!J336)</f>
        <v/>
      </c>
      <c r="R325" s="298" t="str">
        <f>IF(B325="", "",'Lighting Inventory (Ref only)'!K336)</f>
        <v/>
      </c>
      <c r="S325" s="372" t="str">
        <f>IF(B325="", "", 'Lighting Inventory (Ref only)'!G336*'Lighting Inventory (Ref only)'!K336/1000)</f>
        <v/>
      </c>
      <c r="T325" s="298" t="str">
        <f>IF(B325="", "", IF('Lighting Inventory (Ref only)'!I336="", "Light Switch",Inventory!H333))</f>
        <v/>
      </c>
      <c r="W325" s="373"/>
      <c r="X325" s="298" t="str">
        <f>IF(B325="", "", 'Lighting Inventory (Ref only)'!Q336)</f>
        <v/>
      </c>
      <c r="Z325" s="374"/>
      <c r="AA325" s="372" t="str">
        <f>IF(B325="", "",'Lighting Inventory (Ref only)'!R336/1000)</f>
        <v/>
      </c>
      <c r="AB325" s="372" t="str">
        <f>IF(B325="", "", Inventory!M333)</f>
        <v/>
      </c>
      <c r="AC325" s="374" t="str">
        <f>IF(B325="", "", 'Lighting Inventory (Ref only)'!T336)</f>
        <v/>
      </c>
      <c r="AD325" s="374" t="str">
        <f>IF(C325="", "", 'Lighting Inventory (Ref only)'!AA336)</f>
        <v/>
      </c>
      <c r="AE325" s="375" t="str">
        <f>IF(B325="", "", 'Lighting Inventory (Ref only)'!U336)</f>
        <v/>
      </c>
      <c r="AF325" s="375" t="str">
        <f>IF(B325="", "",'Lighting Inventory (Ref only)'!W336)</f>
        <v/>
      </c>
      <c r="AG325" s="375"/>
      <c r="AH325" s="375" t="str">
        <f>IF(B325="", "",'Lighting Inventory (Ref only)'!Z336)</f>
        <v/>
      </c>
      <c r="AI325" s="375" t="str">
        <f>IF(B325="", "", 'Lighting Inventory (Ref only)'!Y336)</f>
        <v/>
      </c>
      <c r="AJ325" s="375" t="str">
        <f>IF(C325="", "",'Lighting Inventory (Ref only)'!AB336)</f>
        <v/>
      </c>
      <c r="AK325" s="375" t="str">
        <f>IF(B325="", "", 'Lighting Inventory (Ref only)'!AG336)</f>
        <v/>
      </c>
      <c r="AL325" s="375" t="str">
        <f>IF(B325="", "", 'Lighting Inventory (Ref only)'!AD336)</f>
        <v/>
      </c>
      <c r="AM325" s="375" t="str">
        <f>IF(B325="", "", 'Lighting Inventory (Ref only)'!AE336)</f>
        <v/>
      </c>
      <c r="AN325" s="375" t="str">
        <f>IF(B325="", "", 'Lighting Inventory (Ref only)'!AF336)</f>
        <v/>
      </c>
      <c r="AO325" s="375" t="str">
        <f>IF(B325="", "", 'Lighting Inventory (Ref only)'!AG336)</f>
        <v/>
      </c>
    </row>
    <row r="326" spans="1:41">
      <c r="A326" s="298" t="str">
        <f>IF(G326="", "", Lookups!BF328)</f>
        <v/>
      </c>
      <c r="B326" s="298" t="str">
        <f>IF('Lighting Inventory (Ref only)'!Q337="", "", 'Lighting Inventory (Ref only)'!Q337)</f>
        <v/>
      </c>
      <c r="C326" s="298" t="str">
        <f>IF(A326="", "", 'Lighting Inventory (Ref only)'!AO337)</f>
        <v/>
      </c>
      <c r="D326" s="370" t="str">
        <f>IF(B326= "","", Inventory!S334)</f>
        <v/>
      </c>
      <c r="E326" s="371"/>
      <c r="F326" s="298" t="str">
        <f>IF(B326="", "", 'Version Log'!$B$34)</f>
        <v/>
      </c>
      <c r="G326" s="298" t="str">
        <f t="shared" si="20"/>
        <v/>
      </c>
      <c r="H326" s="298" t="str">
        <f t="shared" si="21"/>
        <v/>
      </c>
      <c r="I326" s="298" t="str">
        <f>IF(B326="", "",Inventory!D334)</f>
        <v/>
      </c>
      <c r="J326" s="298" t="str">
        <f>IF(B326="","",IF(Inventory!C334="N","Interior","Exterior"))</f>
        <v/>
      </c>
      <c r="K326" s="298" t="str">
        <f t="shared" si="22"/>
        <v/>
      </c>
      <c r="L326" s="298" t="str">
        <f>IF(B326="", "", Inventory!E334)</f>
        <v/>
      </c>
      <c r="M326" s="298" t="str">
        <f>IF(B326="","",IF(Cool_Type=Lookups!$L$9,Cool_Type,IF(Cool_Type=Lookups!$L$10,Cool_Type,IF(Cool_Type=Lookups!$L$11,Cool_Type,IF(Cool_Type=Lookups!L336,Cool_Type,IF('Project Info and Summary'!$C$20="Electric",CONCATENATE(Cool_Type," ",Heating_Type," Heat"),IF('Project Info and Summary'!$C$20="Non-Electric",CONCATENATE(Cool_Type," ",Heating_Type," Heat"),CONCATENATE(Cool_Type," ",Heating_Type))))))))</f>
        <v/>
      </c>
      <c r="N326" s="298" t="str">
        <f t="shared" si="23"/>
        <v/>
      </c>
      <c r="O326" s="298" t="str">
        <f>IF(B326="", "", 'Lighting Inventory (Ref only)'!G337)</f>
        <v/>
      </c>
      <c r="P326" s="298" t="str">
        <f>IF(B326="", "", 'Lighting Inventory (Ref only)'!E337)</f>
        <v/>
      </c>
      <c r="Q326" s="298" t="str">
        <f>IF(B326="", "", 'Lighting Inventory (Ref only)'!J337)</f>
        <v/>
      </c>
      <c r="R326" s="298" t="str">
        <f>IF(B326="", "",'Lighting Inventory (Ref only)'!K337)</f>
        <v/>
      </c>
      <c r="S326" s="372" t="str">
        <f>IF(B326="", "", 'Lighting Inventory (Ref only)'!G337*'Lighting Inventory (Ref only)'!K337/1000)</f>
        <v/>
      </c>
      <c r="T326" s="298" t="str">
        <f>IF(B326="", "", IF('Lighting Inventory (Ref only)'!I337="", "Light Switch",Inventory!H334))</f>
        <v/>
      </c>
      <c r="W326" s="373"/>
      <c r="X326" s="298" t="str">
        <f>IF(B326="", "", 'Lighting Inventory (Ref only)'!Q337)</f>
        <v/>
      </c>
      <c r="Z326" s="374"/>
      <c r="AA326" s="372" t="str">
        <f>IF(B326="", "",'Lighting Inventory (Ref only)'!R337/1000)</f>
        <v/>
      </c>
      <c r="AB326" s="372" t="str">
        <f>IF(B326="", "", Inventory!M334)</f>
        <v/>
      </c>
      <c r="AC326" s="374" t="str">
        <f>IF(B326="", "", 'Lighting Inventory (Ref only)'!T337)</f>
        <v/>
      </c>
      <c r="AD326" s="374" t="str">
        <f>IF(C326="", "", 'Lighting Inventory (Ref only)'!AA337)</f>
        <v/>
      </c>
      <c r="AE326" s="375" t="str">
        <f>IF(B326="", "", 'Lighting Inventory (Ref only)'!U337)</f>
        <v/>
      </c>
      <c r="AF326" s="375" t="str">
        <f>IF(B326="", "",'Lighting Inventory (Ref only)'!W337)</f>
        <v/>
      </c>
      <c r="AG326" s="375"/>
      <c r="AH326" s="375" t="str">
        <f>IF(B326="", "",'Lighting Inventory (Ref only)'!Z337)</f>
        <v/>
      </c>
      <c r="AI326" s="375" t="str">
        <f>IF(B326="", "", 'Lighting Inventory (Ref only)'!Y337)</f>
        <v/>
      </c>
      <c r="AJ326" s="375" t="str">
        <f>IF(C326="", "",'Lighting Inventory (Ref only)'!AB337)</f>
        <v/>
      </c>
      <c r="AK326" s="375" t="str">
        <f>IF(B326="", "", 'Lighting Inventory (Ref only)'!AG337)</f>
        <v/>
      </c>
      <c r="AL326" s="375" t="str">
        <f>IF(B326="", "", 'Lighting Inventory (Ref only)'!AD337)</f>
        <v/>
      </c>
      <c r="AM326" s="375" t="str">
        <f>IF(B326="", "", 'Lighting Inventory (Ref only)'!AE337)</f>
        <v/>
      </c>
      <c r="AN326" s="375" t="str">
        <f>IF(B326="", "", 'Lighting Inventory (Ref only)'!AF337)</f>
        <v/>
      </c>
      <c r="AO326" s="375" t="str">
        <f>IF(B326="", "", 'Lighting Inventory (Ref only)'!AG337)</f>
        <v/>
      </c>
    </row>
    <row r="327" spans="1:41">
      <c r="A327" s="298" t="str">
        <f>IF(G327="", "", Lookups!BF329)</f>
        <v/>
      </c>
      <c r="B327" s="298" t="str">
        <f>IF('Lighting Inventory (Ref only)'!Q338="", "", 'Lighting Inventory (Ref only)'!Q338)</f>
        <v/>
      </c>
      <c r="C327" s="298" t="str">
        <f>IF(A327="", "", 'Lighting Inventory (Ref only)'!AO338)</f>
        <v/>
      </c>
      <c r="D327" s="370" t="str">
        <f>IF(B327= "","", Inventory!S335)</f>
        <v/>
      </c>
      <c r="E327" s="371"/>
      <c r="F327" s="298" t="str">
        <f>IF(B327="", "", 'Version Log'!$B$34)</f>
        <v/>
      </c>
      <c r="G327" s="298" t="str">
        <f t="shared" si="20"/>
        <v/>
      </c>
      <c r="H327" s="298" t="str">
        <f t="shared" si="21"/>
        <v/>
      </c>
      <c r="I327" s="298" t="str">
        <f>IF(B327="", "",Inventory!D335)</f>
        <v/>
      </c>
      <c r="J327" s="298" t="str">
        <f>IF(B327="","",IF(Inventory!C335="N","Interior","Exterior"))</f>
        <v/>
      </c>
      <c r="K327" s="298" t="str">
        <f t="shared" si="22"/>
        <v/>
      </c>
      <c r="L327" s="298" t="str">
        <f>IF(B327="", "", Inventory!E335)</f>
        <v/>
      </c>
      <c r="M327" s="298" t="str">
        <f>IF(B327="","",IF(Cool_Type=Lookups!$L$9,Cool_Type,IF(Cool_Type=Lookups!$L$10,Cool_Type,IF(Cool_Type=Lookups!$L$11,Cool_Type,IF(Cool_Type=Lookups!L337,Cool_Type,IF('Project Info and Summary'!$C$20="Electric",CONCATENATE(Cool_Type," ",Heating_Type," Heat"),IF('Project Info and Summary'!$C$20="Non-Electric",CONCATENATE(Cool_Type," ",Heating_Type," Heat"),CONCATENATE(Cool_Type," ",Heating_Type))))))))</f>
        <v/>
      </c>
      <c r="N327" s="298" t="str">
        <f t="shared" si="23"/>
        <v/>
      </c>
      <c r="O327" s="298" t="str">
        <f>IF(B327="", "", 'Lighting Inventory (Ref only)'!G338)</f>
        <v/>
      </c>
      <c r="P327" s="298" t="str">
        <f>IF(B327="", "", 'Lighting Inventory (Ref only)'!E338)</f>
        <v/>
      </c>
      <c r="Q327" s="298" t="str">
        <f>IF(B327="", "", 'Lighting Inventory (Ref only)'!J338)</f>
        <v/>
      </c>
      <c r="R327" s="298" t="str">
        <f>IF(B327="", "",'Lighting Inventory (Ref only)'!K338)</f>
        <v/>
      </c>
      <c r="S327" s="372" t="str">
        <f>IF(B327="", "", 'Lighting Inventory (Ref only)'!G338*'Lighting Inventory (Ref only)'!K338/1000)</f>
        <v/>
      </c>
      <c r="T327" s="298" t="str">
        <f>IF(B327="", "", IF('Lighting Inventory (Ref only)'!I338="", "Light Switch",Inventory!H335))</f>
        <v/>
      </c>
      <c r="W327" s="373"/>
      <c r="X327" s="298" t="str">
        <f>IF(B327="", "", 'Lighting Inventory (Ref only)'!Q338)</f>
        <v/>
      </c>
      <c r="Z327" s="374"/>
      <c r="AA327" s="372" t="str">
        <f>IF(B327="", "",'Lighting Inventory (Ref only)'!R338/1000)</f>
        <v/>
      </c>
      <c r="AB327" s="372" t="str">
        <f>IF(B327="", "", Inventory!M335)</f>
        <v/>
      </c>
      <c r="AC327" s="374" t="str">
        <f>IF(B327="", "", 'Lighting Inventory (Ref only)'!T338)</f>
        <v/>
      </c>
      <c r="AD327" s="374" t="str">
        <f>IF(C327="", "", 'Lighting Inventory (Ref only)'!AA338)</f>
        <v/>
      </c>
      <c r="AE327" s="375" t="str">
        <f>IF(B327="", "", 'Lighting Inventory (Ref only)'!U338)</f>
        <v/>
      </c>
      <c r="AF327" s="375" t="str">
        <f>IF(B327="", "",'Lighting Inventory (Ref only)'!W338)</f>
        <v/>
      </c>
      <c r="AG327" s="375"/>
      <c r="AH327" s="375" t="str">
        <f>IF(B327="", "",'Lighting Inventory (Ref only)'!Z338)</f>
        <v/>
      </c>
      <c r="AI327" s="375" t="str">
        <f>IF(B327="", "", 'Lighting Inventory (Ref only)'!Y338)</f>
        <v/>
      </c>
      <c r="AJ327" s="375" t="str">
        <f>IF(C327="", "",'Lighting Inventory (Ref only)'!AB338)</f>
        <v/>
      </c>
      <c r="AK327" s="375" t="str">
        <f>IF(B327="", "", 'Lighting Inventory (Ref only)'!AG338)</f>
        <v/>
      </c>
      <c r="AL327" s="375" t="str">
        <f>IF(B327="", "", 'Lighting Inventory (Ref only)'!AD338)</f>
        <v/>
      </c>
      <c r="AM327" s="375" t="str">
        <f>IF(B327="", "", 'Lighting Inventory (Ref only)'!AE338)</f>
        <v/>
      </c>
      <c r="AN327" s="375" t="str">
        <f>IF(B327="", "", 'Lighting Inventory (Ref only)'!AF338)</f>
        <v/>
      </c>
      <c r="AO327" s="375" t="str">
        <f>IF(B327="", "", 'Lighting Inventory (Ref only)'!AG338)</f>
        <v/>
      </c>
    </row>
    <row r="328" spans="1:41">
      <c r="A328" s="298" t="str">
        <f>IF(G328="", "", Lookups!BF330)</f>
        <v/>
      </c>
      <c r="B328" s="298" t="str">
        <f>IF('Lighting Inventory (Ref only)'!Q339="", "", 'Lighting Inventory (Ref only)'!Q339)</f>
        <v/>
      </c>
      <c r="C328" s="298" t="str">
        <f>IF(A328="", "", 'Lighting Inventory (Ref only)'!AO339)</f>
        <v/>
      </c>
      <c r="D328" s="370" t="str">
        <f>IF(B328= "","", Inventory!S336)</f>
        <v/>
      </c>
      <c r="E328" s="371"/>
      <c r="F328" s="298" t="str">
        <f>IF(B328="", "", 'Version Log'!$B$34)</f>
        <v/>
      </c>
      <c r="G328" s="298" t="str">
        <f t="shared" si="20"/>
        <v/>
      </c>
      <c r="H328" s="298" t="str">
        <f t="shared" si="21"/>
        <v/>
      </c>
      <c r="I328" s="298" t="str">
        <f>IF(B328="", "",Inventory!D336)</f>
        <v/>
      </c>
      <c r="J328" s="298" t="str">
        <f>IF(B328="","",IF(Inventory!C336="N","Interior","Exterior"))</f>
        <v/>
      </c>
      <c r="K328" s="298" t="str">
        <f t="shared" si="22"/>
        <v/>
      </c>
      <c r="L328" s="298" t="str">
        <f>IF(B328="", "", Inventory!E336)</f>
        <v/>
      </c>
      <c r="M328" s="298" t="str">
        <f>IF(B328="","",IF(Cool_Type=Lookups!$L$9,Cool_Type,IF(Cool_Type=Lookups!$L$10,Cool_Type,IF(Cool_Type=Lookups!$L$11,Cool_Type,IF(Cool_Type=Lookups!L338,Cool_Type,IF('Project Info and Summary'!$C$20="Electric",CONCATENATE(Cool_Type," ",Heating_Type," Heat"),IF('Project Info and Summary'!$C$20="Non-Electric",CONCATENATE(Cool_Type," ",Heating_Type," Heat"),CONCATENATE(Cool_Type," ",Heating_Type))))))))</f>
        <v/>
      </c>
      <c r="N328" s="298" t="str">
        <f t="shared" si="23"/>
        <v/>
      </c>
      <c r="O328" s="298" t="str">
        <f>IF(B328="", "", 'Lighting Inventory (Ref only)'!G339)</f>
        <v/>
      </c>
      <c r="P328" s="298" t="str">
        <f>IF(B328="", "", 'Lighting Inventory (Ref only)'!E339)</f>
        <v/>
      </c>
      <c r="Q328" s="298" t="str">
        <f>IF(B328="", "", 'Lighting Inventory (Ref only)'!J339)</f>
        <v/>
      </c>
      <c r="R328" s="298" t="str">
        <f>IF(B328="", "",'Lighting Inventory (Ref only)'!K339)</f>
        <v/>
      </c>
      <c r="S328" s="372" t="str">
        <f>IF(B328="", "", 'Lighting Inventory (Ref only)'!G339*'Lighting Inventory (Ref only)'!K339/1000)</f>
        <v/>
      </c>
      <c r="T328" s="298" t="str">
        <f>IF(B328="", "", IF('Lighting Inventory (Ref only)'!I339="", "Light Switch",Inventory!H336))</f>
        <v/>
      </c>
      <c r="W328" s="373"/>
      <c r="X328" s="298" t="str">
        <f>IF(B328="", "", 'Lighting Inventory (Ref only)'!Q339)</f>
        <v/>
      </c>
      <c r="Z328" s="374"/>
      <c r="AA328" s="372" t="str">
        <f>IF(B328="", "",'Lighting Inventory (Ref only)'!R339/1000)</f>
        <v/>
      </c>
      <c r="AB328" s="372" t="str">
        <f>IF(B328="", "", Inventory!M336)</f>
        <v/>
      </c>
      <c r="AC328" s="374" t="str">
        <f>IF(B328="", "", 'Lighting Inventory (Ref only)'!T339)</f>
        <v/>
      </c>
      <c r="AD328" s="374" t="str">
        <f>IF(C328="", "", 'Lighting Inventory (Ref only)'!AA339)</f>
        <v/>
      </c>
      <c r="AE328" s="375" t="str">
        <f>IF(B328="", "", 'Lighting Inventory (Ref only)'!U339)</f>
        <v/>
      </c>
      <c r="AF328" s="375" t="str">
        <f>IF(B328="", "",'Lighting Inventory (Ref only)'!W339)</f>
        <v/>
      </c>
      <c r="AG328" s="375"/>
      <c r="AH328" s="375" t="str">
        <f>IF(B328="", "",'Lighting Inventory (Ref only)'!Z339)</f>
        <v/>
      </c>
      <c r="AI328" s="375" t="str">
        <f>IF(B328="", "", 'Lighting Inventory (Ref only)'!Y339)</f>
        <v/>
      </c>
      <c r="AJ328" s="375" t="str">
        <f>IF(C328="", "",'Lighting Inventory (Ref only)'!AB339)</f>
        <v/>
      </c>
      <c r="AK328" s="375" t="str">
        <f>IF(B328="", "", 'Lighting Inventory (Ref only)'!AG339)</f>
        <v/>
      </c>
      <c r="AL328" s="375" t="str">
        <f>IF(B328="", "", 'Lighting Inventory (Ref only)'!AD339)</f>
        <v/>
      </c>
      <c r="AM328" s="375" t="str">
        <f>IF(B328="", "", 'Lighting Inventory (Ref only)'!AE339)</f>
        <v/>
      </c>
      <c r="AN328" s="375" t="str">
        <f>IF(B328="", "", 'Lighting Inventory (Ref only)'!AF339)</f>
        <v/>
      </c>
      <c r="AO328" s="375" t="str">
        <f>IF(B328="", "", 'Lighting Inventory (Ref only)'!AG339)</f>
        <v/>
      </c>
    </row>
    <row r="329" spans="1:41">
      <c r="A329" s="298" t="str">
        <f>IF(G329="", "", Lookups!BF331)</f>
        <v/>
      </c>
      <c r="B329" s="298" t="str">
        <f>IF('Lighting Inventory (Ref only)'!Q340="", "", 'Lighting Inventory (Ref only)'!Q340)</f>
        <v/>
      </c>
      <c r="C329" s="298" t="str">
        <f>IF(A329="", "", 'Lighting Inventory (Ref only)'!AO340)</f>
        <v/>
      </c>
      <c r="D329" s="370" t="str">
        <f>IF(B329= "","", Inventory!S337)</f>
        <v/>
      </c>
      <c r="E329" s="371"/>
      <c r="F329" s="298" t="str">
        <f>IF(B329="", "", 'Version Log'!$B$34)</f>
        <v/>
      </c>
      <c r="G329" s="298" t="str">
        <f t="shared" si="20"/>
        <v/>
      </c>
      <c r="H329" s="298" t="str">
        <f t="shared" si="21"/>
        <v/>
      </c>
      <c r="I329" s="298" t="str">
        <f>IF(B329="", "",Inventory!D337)</f>
        <v/>
      </c>
      <c r="J329" s="298" t="str">
        <f>IF(B329="","",IF(Inventory!C337="N","Interior","Exterior"))</f>
        <v/>
      </c>
      <c r="K329" s="298" t="str">
        <f t="shared" si="22"/>
        <v/>
      </c>
      <c r="L329" s="298" t="str">
        <f>IF(B329="", "", Inventory!E337)</f>
        <v/>
      </c>
      <c r="M329" s="298" t="str">
        <f>IF(B329="","",IF(Cool_Type=Lookups!$L$9,Cool_Type,IF(Cool_Type=Lookups!$L$10,Cool_Type,IF(Cool_Type=Lookups!$L$11,Cool_Type,IF(Cool_Type=Lookups!L339,Cool_Type,IF('Project Info and Summary'!$C$20="Electric",CONCATENATE(Cool_Type," ",Heating_Type," Heat"),IF('Project Info and Summary'!$C$20="Non-Electric",CONCATENATE(Cool_Type," ",Heating_Type," Heat"),CONCATENATE(Cool_Type," ",Heating_Type))))))))</f>
        <v/>
      </c>
      <c r="N329" s="298" t="str">
        <f t="shared" si="23"/>
        <v/>
      </c>
      <c r="O329" s="298" t="str">
        <f>IF(B329="", "", 'Lighting Inventory (Ref only)'!G340)</f>
        <v/>
      </c>
      <c r="P329" s="298" t="str">
        <f>IF(B329="", "", 'Lighting Inventory (Ref only)'!E340)</f>
        <v/>
      </c>
      <c r="Q329" s="298" t="str">
        <f>IF(B329="", "", 'Lighting Inventory (Ref only)'!J340)</f>
        <v/>
      </c>
      <c r="R329" s="298" t="str">
        <f>IF(B329="", "",'Lighting Inventory (Ref only)'!K340)</f>
        <v/>
      </c>
      <c r="S329" s="372" t="str">
        <f>IF(B329="", "", 'Lighting Inventory (Ref only)'!G340*'Lighting Inventory (Ref only)'!K340/1000)</f>
        <v/>
      </c>
      <c r="T329" s="298" t="str">
        <f>IF(B329="", "", IF('Lighting Inventory (Ref only)'!I340="", "Light Switch",Inventory!H337))</f>
        <v/>
      </c>
      <c r="W329" s="373"/>
      <c r="X329" s="298" t="str">
        <f>IF(B329="", "", 'Lighting Inventory (Ref only)'!Q340)</f>
        <v/>
      </c>
      <c r="Z329" s="374"/>
      <c r="AA329" s="372" t="str">
        <f>IF(B329="", "",'Lighting Inventory (Ref only)'!R340/1000)</f>
        <v/>
      </c>
      <c r="AB329" s="372" t="str">
        <f>IF(B329="", "", Inventory!M337)</f>
        <v/>
      </c>
      <c r="AC329" s="374" t="str">
        <f>IF(B329="", "", 'Lighting Inventory (Ref only)'!T340)</f>
        <v/>
      </c>
      <c r="AD329" s="374" t="str">
        <f>IF(C329="", "", 'Lighting Inventory (Ref only)'!AA340)</f>
        <v/>
      </c>
      <c r="AE329" s="375" t="str">
        <f>IF(B329="", "", 'Lighting Inventory (Ref only)'!U340)</f>
        <v/>
      </c>
      <c r="AF329" s="375" t="str">
        <f>IF(B329="", "",'Lighting Inventory (Ref only)'!W340)</f>
        <v/>
      </c>
      <c r="AG329" s="375"/>
      <c r="AH329" s="375" t="str">
        <f>IF(B329="", "",'Lighting Inventory (Ref only)'!Z340)</f>
        <v/>
      </c>
      <c r="AI329" s="375" t="str">
        <f>IF(B329="", "", 'Lighting Inventory (Ref only)'!Y340)</f>
        <v/>
      </c>
      <c r="AJ329" s="375" t="str">
        <f>IF(C329="", "",'Lighting Inventory (Ref only)'!AB340)</f>
        <v/>
      </c>
      <c r="AK329" s="375" t="str">
        <f>IF(B329="", "", 'Lighting Inventory (Ref only)'!AG340)</f>
        <v/>
      </c>
      <c r="AL329" s="375" t="str">
        <f>IF(B329="", "", 'Lighting Inventory (Ref only)'!AD340)</f>
        <v/>
      </c>
      <c r="AM329" s="375" t="str">
        <f>IF(B329="", "", 'Lighting Inventory (Ref only)'!AE340)</f>
        <v/>
      </c>
      <c r="AN329" s="375" t="str">
        <f>IF(B329="", "", 'Lighting Inventory (Ref only)'!AF340)</f>
        <v/>
      </c>
      <c r="AO329" s="375" t="str">
        <f>IF(B329="", "", 'Lighting Inventory (Ref only)'!AG340)</f>
        <v/>
      </c>
    </row>
    <row r="330" spans="1:41">
      <c r="A330" s="298" t="str">
        <f>IF(G330="", "", Lookups!BF332)</f>
        <v/>
      </c>
      <c r="B330" s="298" t="str">
        <f>IF('Lighting Inventory (Ref only)'!Q341="", "", 'Lighting Inventory (Ref only)'!Q341)</f>
        <v/>
      </c>
      <c r="C330" s="298" t="str">
        <f>IF(A330="", "", 'Lighting Inventory (Ref only)'!AO341)</f>
        <v/>
      </c>
      <c r="D330" s="370" t="str">
        <f>IF(B330= "","", Inventory!S338)</f>
        <v/>
      </c>
      <c r="E330" s="371"/>
      <c r="F330" s="298" t="str">
        <f>IF(B330="", "", 'Version Log'!$B$34)</f>
        <v/>
      </c>
      <c r="G330" s="298" t="str">
        <f t="shared" si="20"/>
        <v/>
      </c>
      <c r="H330" s="298" t="str">
        <f t="shared" si="21"/>
        <v/>
      </c>
      <c r="I330" s="298" t="str">
        <f>IF(B330="", "",Inventory!D338)</f>
        <v/>
      </c>
      <c r="J330" s="298" t="str">
        <f>IF(B330="","",IF(Inventory!C338="N","Interior","Exterior"))</f>
        <v/>
      </c>
      <c r="K330" s="298" t="str">
        <f t="shared" si="22"/>
        <v/>
      </c>
      <c r="L330" s="298" t="str">
        <f>IF(B330="", "", Inventory!E338)</f>
        <v/>
      </c>
      <c r="M330" s="298" t="str">
        <f>IF(B330="","",IF(Cool_Type=Lookups!$L$9,Cool_Type,IF(Cool_Type=Lookups!$L$10,Cool_Type,IF(Cool_Type=Lookups!$L$11,Cool_Type,IF(Cool_Type=Lookups!L340,Cool_Type,IF('Project Info and Summary'!$C$20="Electric",CONCATENATE(Cool_Type," ",Heating_Type," Heat"),IF('Project Info and Summary'!$C$20="Non-Electric",CONCATENATE(Cool_Type," ",Heating_Type," Heat"),CONCATENATE(Cool_Type," ",Heating_Type))))))))</f>
        <v/>
      </c>
      <c r="N330" s="298" t="str">
        <f t="shared" si="23"/>
        <v/>
      </c>
      <c r="O330" s="298" t="str">
        <f>IF(B330="", "", 'Lighting Inventory (Ref only)'!G341)</f>
        <v/>
      </c>
      <c r="P330" s="298" t="str">
        <f>IF(B330="", "", 'Lighting Inventory (Ref only)'!E341)</f>
        <v/>
      </c>
      <c r="Q330" s="298" t="str">
        <f>IF(B330="", "", 'Lighting Inventory (Ref only)'!J341)</f>
        <v/>
      </c>
      <c r="R330" s="298" t="str">
        <f>IF(B330="", "",'Lighting Inventory (Ref only)'!K341)</f>
        <v/>
      </c>
      <c r="S330" s="372" t="str">
        <f>IF(B330="", "", 'Lighting Inventory (Ref only)'!G341*'Lighting Inventory (Ref only)'!K341/1000)</f>
        <v/>
      </c>
      <c r="T330" s="298" t="str">
        <f>IF(B330="", "", IF('Lighting Inventory (Ref only)'!I341="", "Light Switch",Inventory!H338))</f>
        <v/>
      </c>
      <c r="W330" s="373"/>
      <c r="X330" s="298" t="str">
        <f>IF(B330="", "", 'Lighting Inventory (Ref only)'!Q341)</f>
        <v/>
      </c>
      <c r="Z330" s="374"/>
      <c r="AA330" s="372" t="str">
        <f>IF(B330="", "",'Lighting Inventory (Ref only)'!R341/1000)</f>
        <v/>
      </c>
      <c r="AB330" s="372" t="str">
        <f>IF(B330="", "", Inventory!M338)</f>
        <v/>
      </c>
      <c r="AC330" s="374" t="str">
        <f>IF(B330="", "", 'Lighting Inventory (Ref only)'!T341)</f>
        <v/>
      </c>
      <c r="AD330" s="374" t="str">
        <f>IF(C330="", "", 'Lighting Inventory (Ref only)'!AA341)</f>
        <v/>
      </c>
      <c r="AE330" s="375" t="str">
        <f>IF(B330="", "", 'Lighting Inventory (Ref only)'!U341)</f>
        <v/>
      </c>
      <c r="AF330" s="375" t="str">
        <f>IF(B330="", "",'Lighting Inventory (Ref only)'!W341)</f>
        <v/>
      </c>
      <c r="AG330" s="375"/>
      <c r="AH330" s="375" t="str">
        <f>IF(B330="", "",'Lighting Inventory (Ref only)'!Z341)</f>
        <v/>
      </c>
      <c r="AI330" s="375" t="str">
        <f>IF(B330="", "", 'Lighting Inventory (Ref only)'!Y341)</f>
        <v/>
      </c>
      <c r="AJ330" s="375" t="str">
        <f>IF(C330="", "",'Lighting Inventory (Ref only)'!AB341)</f>
        <v/>
      </c>
      <c r="AK330" s="375" t="str">
        <f>IF(B330="", "", 'Lighting Inventory (Ref only)'!AG341)</f>
        <v/>
      </c>
      <c r="AL330" s="375" t="str">
        <f>IF(B330="", "", 'Lighting Inventory (Ref only)'!AD341)</f>
        <v/>
      </c>
      <c r="AM330" s="375" t="str">
        <f>IF(B330="", "", 'Lighting Inventory (Ref only)'!AE341)</f>
        <v/>
      </c>
      <c r="AN330" s="375" t="str">
        <f>IF(B330="", "", 'Lighting Inventory (Ref only)'!AF341)</f>
        <v/>
      </c>
      <c r="AO330" s="375" t="str">
        <f>IF(B330="", "", 'Lighting Inventory (Ref only)'!AG341)</f>
        <v/>
      </c>
    </row>
    <row r="331" spans="1:41">
      <c r="A331" s="298" t="str">
        <f>IF(G331="", "", Lookups!BF333)</f>
        <v/>
      </c>
      <c r="B331" s="298" t="str">
        <f>IF('Lighting Inventory (Ref only)'!Q342="", "", 'Lighting Inventory (Ref only)'!Q342)</f>
        <v/>
      </c>
      <c r="C331" s="298" t="str">
        <f>IF(A331="", "", 'Lighting Inventory (Ref only)'!AO342)</f>
        <v/>
      </c>
      <c r="D331" s="370" t="str">
        <f>IF(B331= "","", Inventory!S339)</f>
        <v/>
      </c>
      <c r="E331" s="371"/>
      <c r="F331" s="298" t="str">
        <f>IF(B331="", "", 'Version Log'!$B$34)</f>
        <v/>
      </c>
      <c r="G331" s="298" t="str">
        <f t="shared" si="20"/>
        <v/>
      </c>
      <c r="H331" s="298" t="str">
        <f t="shared" si="21"/>
        <v/>
      </c>
      <c r="I331" s="298" t="str">
        <f>IF(B331="", "",Inventory!D339)</f>
        <v/>
      </c>
      <c r="J331" s="298" t="str">
        <f>IF(B331="","",IF(Inventory!C339="N","Interior","Exterior"))</f>
        <v/>
      </c>
      <c r="K331" s="298" t="str">
        <f t="shared" si="22"/>
        <v/>
      </c>
      <c r="L331" s="298" t="str">
        <f>IF(B331="", "", Inventory!E339)</f>
        <v/>
      </c>
      <c r="M331" s="298" t="str">
        <f>IF(B331="","",IF(Cool_Type=Lookups!$L$9,Cool_Type,IF(Cool_Type=Lookups!$L$10,Cool_Type,IF(Cool_Type=Lookups!$L$11,Cool_Type,IF(Cool_Type=Lookups!L341,Cool_Type,IF('Project Info and Summary'!$C$20="Electric",CONCATENATE(Cool_Type," ",Heating_Type," Heat"),IF('Project Info and Summary'!$C$20="Non-Electric",CONCATENATE(Cool_Type," ",Heating_Type," Heat"),CONCATENATE(Cool_Type," ",Heating_Type))))))))</f>
        <v/>
      </c>
      <c r="N331" s="298" t="str">
        <f t="shared" si="23"/>
        <v/>
      </c>
      <c r="O331" s="298" t="str">
        <f>IF(B331="", "", 'Lighting Inventory (Ref only)'!G342)</f>
        <v/>
      </c>
      <c r="P331" s="298" t="str">
        <f>IF(B331="", "", 'Lighting Inventory (Ref only)'!E342)</f>
        <v/>
      </c>
      <c r="Q331" s="298" t="str">
        <f>IF(B331="", "", 'Lighting Inventory (Ref only)'!J342)</f>
        <v/>
      </c>
      <c r="R331" s="298" t="str">
        <f>IF(B331="", "",'Lighting Inventory (Ref only)'!K342)</f>
        <v/>
      </c>
      <c r="S331" s="372" t="str">
        <f>IF(B331="", "", 'Lighting Inventory (Ref only)'!G342*'Lighting Inventory (Ref only)'!K342/1000)</f>
        <v/>
      </c>
      <c r="T331" s="298" t="str">
        <f>IF(B331="", "", IF('Lighting Inventory (Ref only)'!I342="", "Light Switch",Inventory!H339))</f>
        <v/>
      </c>
      <c r="W331" s="373"/>
      <c r="X331" s="298" t="str">
        <f>IF(B331="", "", 'Lighting Inventory (Ref only)'!Q342)</f>
        <v/>
      </c>
      <c r="Z331" s="374"/>
      <c r="AA331" s="372" t="str">
        <f>IF(B331="", "",'Lighting Inventory (Ref only)'!R342/1000)</f>
        <v/>
      </c>
      <c r="AB331" s="372" t="str">
        <f>IF(B331="", "", Inventory!M339)</f>
        <v/>
      </c>
      <c r="AC331" s="374" t="str">
        <f>IF(B331="", "", 'Lighting Inventory (Ref only)'!T342)</f>
        <v/>
      </c>
      <c r="AD331" s="374" t="str">
        <f>IF(C331="", "", 'Lighting Inventory (Ref only)'!AA342)</f>
        <v/>
      </c>
      <c r="AE331" s="375" t="str">
        <f>IF(B331="", "", 'Lighting Inventory (Ref only)'!U342)</f>
        <v/>
      </c>
      <c r="AF331" s="375" t="str">
        <f>IF(B331="", "",'Lighting Inventory (Ref only)'!W342)</f>
        <v/>
      </c>
      <c r="AG331" s="375"/>
      <c r="AH331" s="375" t="str">
        <f>IF(B331="", "",'Lighting Inventory (Ref only)'!Z342)</f>
        <v/>
      </c>
      <c r="AI331" s="375" t="str">
        <f>IF(B331="", "", 'Lighting Inventory (Ref only)'!Y342)</f>
        <v/>
      </c>
      <c r="AJ331" s="375" t="str">
        <f>IF(C331="", "",'Lighting Inventory (Ref only)'!AB342)</f>
        <v/>
      </c>
      <c r="AK331" s="375" t="str">
        <f>IF(B331="", "", 'Lighting Inventory (Ref only)'!AG342)</f>
        <v/>
      </c>
      <c r="AL331" s="375" t="str">
        <f>IF(B331="", "", 'Lighting Inventory (Ref only)'!AD342)</f>
        <v/>
      </c>
      <c r="AM331" s="375" t="str">
        <f>IF(B331="", "", 'Lighting Inventory (Ref only)'!AE342)</f>
        <v/>
      </c>
      <c r="AN331" s="375" t="str">
        <f>IF(B331="", "", 'Lighting Inventory (Ref only)'!AF342)</f>
        <v/>
      </c>
      <c r="AO331" s="375" t="str">
        <f>IF(B331="", "", 'Lighting Inventory (Ref only)'!AG342)</f>
        <v/>
      </c>
    </row>
    <row r="332" spans="1:41">
      <c r="A332" s="298" t="str">
        <f>IF(G332="", "", Lookups!BF334)</f>
        <v/>
      </c>
      <c r="B332" s="298" t="str">
        <f>IF('Lighting Inventory (Ref only)'!Q343="", "", 'Lighting Inventory (Ref only)'!Q343)</f>
        <v/>
      </c>
      <c r="C332" s="298" t="str">
        <f>IF(A332="", "", 'Lighting Inventory (Ref only)'!AO343)</f>
        <v/>
      </c>
      <c r="D332" s="370" t="str">
        <f>IF(B332= "","", Inventory!S340)</f>
        <v/>
      </c>
      <c r="E332" s="371"/>
      <c r="F332" s="298" t="str">
        <f>IF(B332="", "", 'Version Log'!$B$34)</f>
        <v/>
      </c>
      <c r="G332" s="298" t="str">
        <f t="shared" si="20"/>
        <v/>
      </c>
      <c r="H332" s="298" t="str">
        <f t="shared" si="21"/>
        <v/>
      </c>
      <c r="I332" s="298" t="str">
        <f>IF(B332="", "",Inventory!D340)</f>
        <v/>
      </c>
      <c r="J332" s="298" t="str">
        <f>IF(B332="","",IF(Inventory!C340="N","Interior","Exterior"))</f>
        <v/>
      </c>
      <c r="K332" s="298" t="str">
        <f t="shared" si="22"/>
        <v/>
      </c>
      <c r="L332" s="298" t="str">
        <f>IF(B332="", "", Inventory!E340)</f>
        <v/>
      </c>
      <c r="M332" s="298" t="str">
        <f>IF(B332="","",IF(Cool_Type=Lookups!$L$9,Cool_Type,IF(Cool_Type=Lookups!$L$10,Cool_Type,IF(Cool_Type=Lookups!$L$11,Cool_Type,IF(Cool_Type=Lookups!L342,Cool_Type,IF('Project Info and Summary'!$C$20="Electric",CONCATENATE(Cool_Type," ",Heating_Type," Heat"),IF('Project Info and Summary'!$C$20="Non-Electric",CONCATENATE(Cool_Type," ",Heating_Type," Heat"),CONCATENATE(Cool_Type," ",Heating_Type))))))))</f>
        <v/>
      </c>
      <c r="N332" s="298" t="str">
        <f t="shared" si="23"/>
        <v/>
      </c>
      <c r="O332" s="298" t="str">
        <f>IF(B332="", "", 'Lighting Inventory (Ref only)'!G343)</f>
        <v/>
      </c>
      <c r="P332" s="298" t="str">
        <f>IF(B332="", "", 'Lighting Inventory (Ref only)'!E343)</f>
        <v/>
      </c>
      <c r="Q332" s="298" t="str">
        <f>IF(B332="", "", 'Lighting Inventory (Ref only)'!J343)</f>
        <v/>
      </c>
      <c r="R332" s="298" t="str">
        <f>IF(B332="", "",'Lighting Inventory (Ref only)'!K343)</f>
        <v/>
      </c>
      <c r="S332" s="372" t="str">
        <f>IF(B332="", "", 'Lighting Inventory (Ref only)'!G343*'Lighting Inventory (Ref only)'!K343/1000)</f>
        <v/>
      </c>
      <c r="T332" s="298" t="str">
        <f>IF(B332="", "", IF('Lighting Inventory (Ref only)'!I343="", "Light Switch",Inventory!H340))</f>
        <v/>
      </c>
      <c r="W332" s="373"/>
      <c r="X332" s="298" t="str">
        <f>IF(B332="", "", 'Lighting Inventory (Ref only)'!Q343)</f>
        <v/>
      </c>
      <c r="Z332" s="374"/>
      <c r="AA332" s="372" t="str">
        <f>IF(B332="", "",'Lighting Inventory (Ref only)'!R343/1000)</f>
        <v/>
      </c>
      <c r="AB332" s="372" t="str">
        <f>IF(B332="", "", Inventory!M340)</f>
        <v/>
      </c>
      <c r="AC332" s="374" t="str">
        <f>IF(B332="", "", 'Lighting Inventory (Ref only)'!T343)</f>
        <v/>
      </c>
      <c r="AD332" s="374" t="str">
        <f>IF(C332="", "", 'Lighting Inventory (Ref only)'!AA343)</f>
        <v/>
      </c>
      <c r="AE332" s="375" t="str">
        <f>IF(B332="", "", 'Lighting Inventory (Ref only)'!U343)</f>
        <v/>
      </c>
      <c r="AF332" s="375" t="str">
        <f>IF(B332="", "",'Lighting Inventory (Ref only)'!W343)</f>
        <v/>
      </c>
      <c r="AG332" s="375"/>
      <c r="AH332" s="375" t="str">
        <f>IF(B332="", "",'Lighting Inventory (Ref only)'!Z343)</f>
        <v/>
      </c>
      <c r="AI332" s="375" t="str">
        <f>IF(B332="", "", 'Lighting Inventory (Ref only)'!Y343)</f>
        <v/>
      </c>
      <c r="AJ332" s="375" t="str">
        <f>IF(C332="", "",'Lighting Inventory (Ref only)'!AB343)</f>
        <v/>
      </c>
      <c r="AK332" s="375" t="str">
        <f>IF(B332="", "", 'Lighting Inventory (Ref only)'!AG343)</f>
        <v/>
      </c>
      <c r="AL332" s="375" t="str">
        <f>IF(B332="", "", 'Lighting Inventory (Ref only)'!AD343)</f>
        <v/>
      </c>
      <c r="AM332" s="375" t="str">
        <f>IF(B332="", "", 'Lighting Inventory (Ref only)'!AE343)</f>
        <v/>
      </c>
      <c r="AN332" s="375" t="str">
        <f>IF(B332="", "", 'Lighting Inventory (Ref only)'!AF343)</f>
        <v/>
      </c>
      <c r="AO332" s="375" t="str">
        <f>IF(B332="", "", 'Lighting Inventory (Ref only)'!AG343)</f>
        <v/>
      </c>
    </row>
    <row r="333" spans="1:41">
      <c r="A333" s="298" t="str">
        <f>IF(G333="", "", Lookups!BF335)</f>
        <v/>
      </c>
      <c r="B333" s="298" t="str">
        <f>IF('Lighting Inventory (Ref only)'!Q344="", "", 'Lighting Inventory (Ref only)'!Q344)</f>
        <v/>
      </c>
      <c r="C333" s="298" t="str">
        <f>IF(A333="", "", 'Lighting Inventory (Ref only)'!AO344)</f>
        <v/>
      </c>
      <c r="D333" s="370" t="str">
        <f>IF(B333= "","", Inventory!S341)</f>
        <v/>
      </c>
      <c r="E333" s="371"/>
      <c r="F333" s="298" t="str">
        <f>IF(B333="", "", 'Version Log'!$B$34)</f>
        <v/>
      </c>
      <c r="G333" s="298" t="str">
        <f t="shared" si="20"/>
        <v/>
      </c>
      <c r="H333" s="298" t="str">
        <f t="shared" si="21"/>
        <v/>
      </c>
      <c r="I333" s="298" t="str">
        <f>IF(B333="", "",Inventory!D341)</f>
        <v/>
      </c>
      <c r="J333" s="298" t="str">
        <f>IF(B333="","",IF(Inventory!C341="N","Interior","Exterior"))</f>
        <v/>
      </c>
      <c r="K333" s="298" t="str">
        <f t="shared" si="22"/>
        <v/>
      </c>
      <c r="L333" s="298" t="str">
        <f>IF(B333="", "", Inventory!E341)</f>
        <v/>
      </c>
      <c r="M333" s="298" t="str">
        <f>IF(B333="","",IF(Cool_Type=Lookups!$L$9,Cool_Type,IF(Cool_Type=Lookups!$L$10,Cool_Type,IF(Cool_Type=Lookups!$L$11,Cool_Type,IF(Cool_Type=Lookups!L343,Cool_Type,IF('Project Info and Summary'!$C$20="Electric",CONCATENATE(Cool_Type," ",Heating_Type," Heat"),IF('Project Info and Summary'!$C$20="Non-Electric",CONCATENATE(Cool_Type," ",Heating_Type," Heat"),CONCATENATE(Cool_Type," ",Heating_Type))))))))</f>
        <v/>
      </c>
      <c r="N333" s="298" t="str">
        <f t="shared" si="23"/>
        <v/>
      </c>
      <c r="O333" s="298" t="str">
        <f>IF(B333="", "", 'Lighting Inventory (Ref only)'!G344)</f>
        <v/>
      </c>
      <c r="P333" s="298" t="str">
        <f>IF(B333="", "", 'Lighting Inventory (Ref only)'!E344)</f>
        <v/>
      </c>
      <c r="Q333" s="298" t="str">
        <f>IF(B333="", "", 'Lighting Inventory (Ref only)'!J344)</f>
        <v/>
      </c>
      <c r="R333" s="298" t="str">
        <f>IF(B333="", "",'Lighting Inventory (Ref only)'!K344)</f>
        <v/>
      </c>
      <c r="S333" s="372" t="str">
        <f>IF(B333="", "", 'Lighting Inventory (Ref only)'!G344*'Lighting Inventory (Ref only)'!K344/1000)</f>
        <v/>
      </c>
      <c r="T333" s="298" t="str">
        <f>IF(B333="", "", IF('Lighting Inventory (Ref only)'!I344="", "Light Switch",Inventory!H341))</f>
        <v/>
      </c>
      <c r="W333" s="373"/>
      <c r="X333" s="298" t="str">
        <f>IF(B333="", "", 'Lighting Inventory (Ref only)'!Q344)</f>
        <v/>
      </c>
      <c r="Z333" s="374"/>
      <c r="AA333" s="372" t="str">
        <f>IF(B333="", "",'Lighting Inventory (Ref only)'!R344/1000)</f>
        <v/>
      </c>
      <c r="AB333" s="372" t="str">
        <f>IF(B333="", "", Inventory!M341)</f>
        <v/>
      </c>
      <c r="AC333" s="374" t="str">
        <f>IF(B333="", "", 'Lighting Inventory (Ref only)'!T344)</f>
        <v/>
      </c>
      <c r="AD333" s="374" t="str">
        <f>IF(C333="", "", 'Lighting Inventory (Ref only)'!AA344)</f>
        <v/>
      </c>
      <c r="AE333" s="375" t="str">
        <f>IF(B333="", "", 'Lighting Inventory (Ref only)'!U344)</f>
        <v/>
      </c>
      <c r="AF333" s="375" t="str">
        <f>IF(B333="", "",'Lighting Inventory (Ref only)'!W344)</f>
        <v/>
      </c>
      <c r="AG333" s="375"/>
      <c r="AH333" s="375" t="str">
        <f>IF(B333="", "",'Lighting Inventory (Ref only)'!Z344)</f>
        <v/>
      </c>
      <c r="AI333" s="375" t="str">
        <f>IF(B333="", "", 'Lighting Inventory (Ref only)'!Y344)</f>
        <v/>
      </c>
      <c r="AJ333" s="375" t="str">
        <f>IF(C333="", "",'Lighting Inventory (Ref only)'!AB344)</f>
        <v/>
      </c>
      <c r="AK333" s="375" t="str">
        <f>IF(B333="", "", 'Lighting Inventory (Ref only)'!AG344)</f>
        <v/>
      </c>
      <c r="AL333" s="375" t="str">
        <f>IF(B333="", "", 'Lighting Inventory (Ref only)'!AD344)</f>
        <v/>
      </c>
      <c r="AM333" s="375" t="str">
        <f>IF(B333="", "", 'Lighting Inventory (Ref only)'!AE344)</f>
        <v/>
      </c>
      <c r="AN333" s="375" t="str">
        <f>IF(B333="", "", 'Lighting Inventory (Ref only)'!AF344)</f>
        <v/>
      </c>
      <c r="AO333" s="375" t="str">
        <f>IF(B333="", "", 'Lighting Inventory (Ref only)'!AG344)</f>
        <v/>
      </c>
    </row>
    <row r="334" spans="1:41">
      <c r="A334" s="298" t="str">
        <f>IF(G334="", "", Lookups!BF336)</f>
        <v/>
      </c>
      <c r="B334" s="298" t="str">
        <f>IF('Lighting Inventory (Ref only)'!Q345="", "", 'Lighting Inventory (Ref only)'!Q345)</f>
        <v/>
      </c>
      <c r="C334" s="298" t="str">
        <f>IF(A334="", "", 'Lighting Inventory (Ref only)'!AO345)</f>
        <v/>
      </c>
      <c r="D334" s="370" t="str">
        <f>IF(B334= "","", Inventory!S342)</f>
        <v/>
      </c>
      <c r="E334" s="371"/>
      <c r="F334" s="298" t="str">
        <f>IF(B334="", "", 'Version Log'!$B$34)</f>
        <v/>
      </c>
      <c r="G334" s="298" t="str">
        <f t="shared" si="20"/>
        <v/>
      </c>
      <c r="H334" s="298" t="str">
        <f t="shared" si="21"/>
        <v/>
      </c>
      <c r="I334" s="298" t="str">
        <f>IF(B334="", "",Inventory!D342)</f>
        <v/>
      </c>
      <c r="J334" s="298" t="str">
        <f>IF(B334="","",IF(Inventory!C342="N","Interior","Exterior"))</f>
        <v/>
      </c>
      <c r="K334" s="298" t="str">
        <f t="shared" si="22"/>
        <v/>
      </c>
      <c r="L334" s="298" t="str">
        <f>IF(B334="", "", Inventory!E342)</f>
        <v/>
      </c>
      <c r="M334" s="298" t="str">
        <f>IF(B334="","",IF(Cool_Type=Lookups!$L$9,Cool_Type,IF(Cool_Type=Lookups!$L$10,Cool_Type,IF(Cool_Type=Lookups!$L$11,Cool_Type,IF(Cool_Type=Lookups!L344,Cool_Type,IF('Project Info and Summary'!$C$20="Electric",CONCATENATE(Cool_Type," ",Heating_Type," Heat"),IF('Project Info and Summary'!$C$20="Non-Electric",CONCATENATE(Cool_Type," ",Heating_Type," Heat"),CONCATENATE(Cool_Type," ",Heating_Type))))))))</f>
        <v/>
      </c>
      <c r="N334" s="298" t="str">
        <f t="shared" si="23"/>
        <v/>
      </c>
      <c r="O334" s="298" t="str">
        <f>IF(B334="", "", 'Lighting Inventory (Ref only)'!G345)</f>
        <v/>
      </c>
      <c r="P334" s="298" t="str">
        <f>IF(B334="", "", 'Lighting Inventory (Ref only)'!E345)</f>
        <v/>
      </c>
      <c r="Q334" s="298" t="str">
        <f>IF(B334="", "", 'Lighting Inventory (Ref only)'!J345)</f>
        <v/>
      </c>
      <c r="R334" s="298" t="str">
        <f>IF(B334="", "",'Lighting Inventory (Ref only)'!K345)</f>
        <v/>
      </c>
      <c r="S334" s="372" t="str">
        <f>IF(B334="", "", 'Lighting Inventory (Ref only)'!G345*'Lighting Inventory (Ref only)'!K345/1000)</f>
        <v/>
      </c>
      <c r="T334" s="298" t="str">
        <f>IF(B334="", "", IF('Lighting Inventory (Ref only)'!I345="", "Light Switch",Inventory!H342))</f>
        <v/>
      </c>
      <c r="W334" s="373"/>
      <c r="X334" s="298" t="str">
        <f>IF(B334="", "", 'Lighting Inventory (Ref only)'!Q345)</f>
        <v/>
      </c>
      <c r="Z334" s="374"/>
      <c r="AA334" s="372" t="str">
        <f>IF(B334="", "",'Lighting Inventory (Ref only)'!R345/1000)</f>
        <v/>
      </c>
      <c r="AB334" s="372" t="str">
        <f>IF(B334="", "", Inventory!M342)</f>
        <v/>
      </c>
      <c r="AC334" s="374" t="str">
        <f>IF(B334="", "", 'Lighting Inventory (Ref only)'!T345)</f>
        <v/>
      </c>
      <c r="AD334" s="374" t="str">
        <f>IF(C334="", "", 'Lighting Inventory (Ref only)'!AA345)</f>
        <v/>
      </c>
      <c r="AE334" s="375" t="str">
        <f>IF(B334="", "", 'Lighting Inventory (Ref only)'!U345)</f>
        <v/>
      </c>
      <c r="AF334" s="375" t="str">
        <f>IF(B334="", "",'Lighting Inventory (Ref only)'!W345)</f>
        <v/>
      </c>
      <c r="AG334" s="375"/>
      <c r="AH334" s="375" t="str">
        <f>IF(B334="", "",'Lighting Inventory (Ref only)'!Z345)</f>
        <v/>
      </c>
      <c r="AI334" s="375" t="str">
        <f>IF(B334="", "", 'Lighting Inventory (Ref only)'!Y345)</f>
        <v/>
      </c>
      <c r="AJ334" s="375" t="str">
        <f>IF(C334="", "",'Lighting Inventory (Ref only)'!AB345)</f>
        <v/>
      </c>
      <c r="AK334" s="375" t="str">
        <f>IF(B334="", "", 'Lighting Inventory (Ref only)'!AG345)</f>
        <v/>
      </c>
      <c r="AL334" s="375" t="str">
        <f>IF(B334="", "", 'Lighting Inventory (Ref only)'!AD345)</f>
        <v/>
      </c>
      <c r="AM334" s="375" t="str">
        <f>IF(B334="", "", 'Lighting Inventory (Ref only)'!AE345)</f>
        <v/>
      </c>
      <c r="AN334" s="375" t="str">
        <f>IF(B334="", "", 'Lighting Inventory (Ref only)'!AF345)</f>
        <v/>
      </c>
      <c r="AO334" s="375" t="str">
        <f>IF(B334="", "", 'Lighting Inventory (Ref only)'!AG345)</f>
        <v/>
      </c>
    </row>
    <row r="335" spans="1:41">
      <c r="A335" s="298" t="str">
        <f>IF(G335="", "", Lookups!BF337)</f>
        <v/>
      </c>
      <c r="B335" s="298" t="str">
        <f>IF('Lighting Inventory (Ref only)'!Q346="", "", 'Lighting Inventory (Ref only)'!Q346)</f>
        <v/>
      </c>
      <c r="C335" s="298" t="str">
        <f>IF(A335="", "", 'Lighting Inventory (Ref only)'!AO346)</f>
        <v/>
      </c>
      <c r="D335" s="370" t="str">
        <f>IF(B335= "","", Inventory!S343)</f>
        <v/>
      </c>
      <c r="E335" s="371"/>
      <c r="F335" s="298" t="str">
        <f>IF(B335="", "", 'Version Log'!$B$34)</f>
        <v/>
      </c>
      <c r="G335" s="298" t="str">
        <f t="shared" si="20"/>
        <v/>
      </c>
      <c r="H335" s="298" t="str">
        <f t="shared" si="21"/>
        <v/>
      </c>
      <c r="I335" s="298" t="str">
        <f>IF(B335="", "",Inventory!D343)</f>
        <v/>
      </c>
      <c r="J335" s="298" t="str">
        <f>IF(B335="","",IF(Inventory!C343="N","Interior","Exterior"))</f>
        <v/>
      </c>
      <c r="K335" s="298" t="str">
        <f t="shared" si="22"/>
        <v/>
      </c>
      <c r="L335" s="298" t="str">
        <f>IF(B335="", "", Inventory!E343)</f>
        <v/>
      </c>
      <c r="M335" s="298" t="str">
        <f>IF(B335="","",IF(Cool_Type=Lookups!$L$9,Cool_Type,IF(Cool_Type=Lookups!$L$10,Cool_Type,IF(Cool_Type=Lookups!$L$11,Cool_Type,IF(Cool_Type=Lookups!L345,Cool_Type,IF('Project Info and Summary'!$C$20="Electric",CONCATENATE(Cool_Type," ",Heating_Type," Heat"),IF('Project Info and Summary'!$C$20="Non-Electric",CONCATENATE(Cool_Type," ",Heating_Type," Heat"),CONCATENATE(Cool_Type," ",Heating_Type))))))))</f>
        <v/>
      </c>
      <c r="N335" s="298" t="str">
        <f t="shared" si="23"/>
        <v/>
      </c>
      <c r="O335" s="298" t="str">
        <f>IF(B335="", "", 'Lighting Inventory (Ref only)'!G346)</f>
        <v/>
      </c>
      <c r="P335" s="298" t="str">
        <f>IF(B335="", "", 'Lighting Inventory (Ref only)'!E346)</f>
        <v/>
      </c>
      <c r="Q335" s="298" t="str">
        <f>IF(B335="", "", 'Lighting Inventory (Ref only)'!J346)</f>
        <v/>
      </c>
      <c r="R335" s="298" t="str">
        <f>IF(B335="", "",'Lighting Inventory (Ref only)'!K346)</f>
        <v/>
      </c>
      <c r="S335" s="372" t="str">
        <f>IF(B335="", "", 'Lighting Inventory (Ref only)'!G346*'Lighting Inventory (Ref only)'!K346/1000)</f>
        <v/>
      </c>
      <c r="T335" s="298" t="str">
        <f>IF(B335="", "", IF('Lighting Inventory (Ref only)'!I346="", "Light Switch",Inventory!H343))</f>
        <v/>
      </c>
      <c r="W335" s="373"/>
      <c r="X335" s="298" t="str">
        <f>IF(B335="", "", 'Lighting Inventory (Ref only)'!Q346)</f>
        <v/>
      </c>
      <c r="Z335" s="374"/>
      <c r="AA335" s="372" t="str">
        <f>IF(B335="", "",'Lighting Inventory (Ref only)'!R346/1000)</f>
        <v/>
      </c>
      <c r="AB335" s="372" t="str">
        <f>IF(B335="", "", Inventory!M343)</f>
        <v/>
      </c>
      <c r="AC335" s="374" t="str">
        <f>IF(B335="", "", 'Lighting Inventory (Ref only)'!T346)</f>
        <v/>
      </c>
      <c r="AD335" s="374" t="str">
        <f>IF(C335="", "", 'Lighting Inventory (Ref only)'!AA346)</f>
        <v/>
      </c>
      <c r="AE335" s="375" t="str">
        <f>IF(B335="", "", 'Lighting Inventory (Ref only)'!U346)</f>
        <v/>
      </c>
      <c r="AF335" s="375" t="str">
        <f>IF(B335="", "",'Lighting Inventory (Ref only)'!W346)</f>
        <v/>
      </c>
      <c r="AG335" s="375"/>
      <c r="AH335" s="375" t="str">
        <f>IF(B335="", "",'Lighting Inventory (Ref only)'!Z346)</f>
        <v/>
      </c>
      <c r="AI335" s="375" t="str">
        <f>IF(B335="", "", 'Lighting Inventory (Ref only)'!Y346)</f>
        <v/>
      </c>
      <c r="AJ335" s="375" t="str">
        <f>IF(C335="", "",'Lighting Inventory (Ref only)'!AB346)</f>
        <v/>
      </c>
      <c r="AK335" s="375" t="str">
        <f>IF(B335="", "", 'Lighting Inventory (Ref only)'!AG346)</f>
        <v/>
      </c>
      <c r="AL335" s="375" t="str">
        <f>IF(B335="", "", 'Lighting Inventory (Ref only)'!AD346)</f>
        <v/>
      </c>
      <c r="AM335" s="375" t="str">
        <f>IF(B335="", "", 'Lighting Inventory (Ref only)'!AE346)</f>
        <v/>
      </c>
      <c r="AN335" s="375" t="str">
        <f>IF(B335="", "", 'Lighting Inventory (Ref only)'!AF346)</f>
        <v/>
      </c>
      <c r="AO335" s="375" t="str">
        <f>IF(B335="", "", 'Lighting Inventory (Ref only)'!AG346)</f>
        <v/>
      </c>
    </row>
    <row r="336" spans="1:41">
      <c r="A336" s="298" t="str">
        <f>IF(G336="", "", Lookups!BF338)</f>
        <v/>
      </c>
      <c r="B336" s="298" t="str">
        <f>IF('Lighting Inventory (Ref only)'!Q347="", "", 'Lighting Inventory (Ref only)'!Q347)</f>
        <v/>
      </c>
      <c r="C336" s="298" t="str">
        <f>IF(A336="", "", 'Lighting Inventory (Ref only)'!AO347)</f>
        <v/>
      </c>
      <c r="D336" s="370" t="str">
        <f>IF(B336= "","", Inventory!S344)</f>
        <v/>
      </c>
      <c r="E336" s="371"/>
      <c r="F336" s="298" t="str">
        <f>IF(B336="", "", 'Version Log'!$B$34)</f>
        <v/>
      </c>
      <c r="G336" s="298" t="str">
        <f t="shared" si="20"/>
        <v/>
      </c>
      <c r="H336" s="298" t="str">
        <f t="shared" si="21"/>
        <v/>
      </c>
      <c r="I336" s="298" t="str">
        <f>IF(B336="", "",Inventory!D344)</f>
        <v/>
      </c>
      <c r="J336" s="298" t="str">
        <f>IF(B336="","",IF(Inventory!C344="N","Interior","Exterior"))</f>
        <v/>
      </c>
      <c r="K336" s="298" t="str">
        <f t="shared" si="22"/>
        <v/>
      </c>
      <c r="L336" s="298" t="str">
        <f>IF(B336="", "", Inventory!E344)</f>
        <v/>
      </c>
      <c r="M336" s="298" t="str">
        <f>IF(B336="","",IF(Cool_Type=Lookups!$L$9,Cool_Type,IF(Cool_Type=Lookups!$L$10,Cool_Type,IF(Cool_Type=Lookups!$L$11,Cool_Type,IF(Cool_Type=Lookups!L346,Cool_Type,IF('Project Info and Summary'!$C$20="Electric",CONCATENATE(Cool_Type," ",Heating_Type," Heat"),IF('Project Info and Summary'!$C$20="Non-Electric",CONCATENATE(Cool_Type," ",Heating_Type," Heat"),CONCATENATE(Cool_Type," ",Heating_Type))))))))</f>
        <v/>
      </c>
      <c r="N336" s="298" t="str">
        <f t="shared" si="23"/>
        <v/>
      </c>
      <c r="O336" s="298" t="str">
        <f>IF(B336="", "", 'Lighting Inventory (Ref only)'!G347)</f>
        <v/>
      </c>
      <c r="P336" s="298" t="str">
        <f>IF(B336="", "", 'Lighting Inventory (Ref only)'!E347)</f>
        <v/>
      </c>
      <c r="Q336" s="298" t="str">
        <f>IF(B336="", "", 'Lighting Inventory (Ref only)'!J347)</f>
        <v/>
      </c>
      <c r="R336" s="298" t="str">
        <f>IF(B336="", "",'Lighting Inventory (Ref only)'!K347)</f>
        <v/>
      </c>
      <c r="S336" s="372" t="str">
        <f>IF(B336="", "", 'Lighting Inventory (Ref only)'!G347*'Lighting Inventory (Ref only)'!K347/1000)</f>
        <v/>
      </c>
      <c r="T336" s="298" t="str">
        <f>IF(B336="", "", IF('Lighting Inventory (Ref only)'!I347="", "Light Switch",Inventory!H344))</f>
        <v/>
      </c>
      <c r="W336" s="373"/>
      <c r="X336" s="298" t="str">
        <f>IF(B336="", "", 'Lighting Inventory (Ref only)'!Q347)</f>
        <v/>
      </c>
      <c r="Z336" s="374"/>
      <c r="AA336" s="372" t="str">
        <f>IF(B336="", "",'Lighting Inventory (Ref only)'!R347/1000)</f>
        <v/>
      </c>
      <c r="AB336" s="372" t="str">
        <f>IF(B336="", "", Inventory!M344)</f>
        <v/>
      </c>
      <c r="AC336" s="374" t="str">
        <f>IF(B336="", "", 'Lighting Inventory (Ref only)'!T347)</f>
        <v/>
      </c>
      <c r="AD336" s="374" t="str">
        <f>IF(C336="", "", 'Lighting Inventory (Ref only)'!AA347)</f>
        <v/>
      </c>
      <c r="AE336" s="375" t="str">
        <f>IF(B336="", "", 'Lighting Inventory (Ref only)'!U347)</f>
        <v/>
      </c>
      <c r="AF336" s="375" t="str">
        <f>IF(B336="", "",'Lighting Inventory (Ref only)'!W347)</f>
        <v/>
      </c>
      <c r="AG336" s="375"/>
      <c r="AH336" s="375" t="str">
        <f>IF(B336="", "",'Lighting Inventory (Ref only)'!Z347)</f>
        <v/>
      </c>
      <c r="AI336" s="375" t="str">
        <f>IF(B336="", "", 'Lighting Inventory (Ref only)'!Y347)</f>
        <v/>
      </c>
      <c r="AJ336" s="375" t="str">
        <f>IF(C336="", "",'Lighting Inventory (Ref only)'!AB347)</f>
        <v/>
      </c>
      <c r="AK336" s="375" t="str">
        <f>IF(B336="", "", 'Lighting Inventory (Ref only)'!AG347)</f>
        <v/>
      </c>
      <c r="AL336" s="375" t="str">
        <f>IF(B336="", "", 'Lighting Inventory (Ref only)'!AD347)</f>
        <v/>
      </c>
      <c r="AM336" s="375" t="str">
        <f>IF(B336="", "", 'Lighting Inventory (Ref only)'!AE347)</f>
        <v/>
      </c>
      <c r="AN336" s="375" t="str">
        <f>IF(B336="", "", 'Lighting Inventory (Ref only)'!AF347)</f>
        <v/>
      </c>
      <c r="AO336" s="375" t="str">
        <f>IF(B336="", "", 'Lighting Inventory (Ref only)'!AG347)</f>
        <v/>
      </c>
    </row>
    <row r="337" spans="1:41">
      <c r="A337" s="298" t="str">
        <f>IF(G337="", "", Lookups!BF339)</f>
        <v/>
      </c>
      <c r="B337" s="298" t="str">
        <f>IF('Lighting Inventory (Ref only)'!Q348="", "", 'Lighting Inventory (Ref only)'!Q348)</f>
        <v/>
      </c>
      <c r="C337" s="298" t="str">
        <f>IF(A337="", "", 'Lighting Inventory (Ref only)'!AO348)</f>
        <v/>
      </c>
      <c r="D337" s="370" t="str">
        <f>IF(B337= "","", Inventory!S345)</f>
        <v/>
      </c>
      <c r="E337" s="371"/>
      <c r="F337" s="298" t="str">
        <f>IF(B337="", "", 'Version Log'!$B$34)</f>
        <v/>
      </c>
      <c r="G337" s="298" t="str">
        <f t="shared" si="20"/>
        <v/>
      </c>
      <c r="H337" s="298" t="str">
        <f t="shared" si="21"/>
        <v/>
      </c>
      <c r="I337" s="298" t="str">
        <f>IF(B337="", "",Inventory!D345)</f>
        <v/>
      </c>
      <c r="J337" s="298" t="str">
        <f>IF(B337="","",IF(Inventory!C345="N","Interior","Exterior"))</f>
        <v/>
      </c>
      <c r="K337" s="298" t="str">
        <f t="shared" si="22"/>
        <v/>
      </c>
      <c r="L337" s="298" t="str">
        <f>IF(B337="", "", Inventory!E345)</f>
        <v/>
      </c>
      <c r="M337" s="298" t="str">
        <f>IF(B337="","",IF(Cool_Type=Lookups!$L$9,Cool_Type,IF(Cool_Type=Lookups!$L$10,Cool_Type,IF(Cool_Type=Lookups!$L$11,Cool_Type,IF(Cool_Type=Lookups!L347,Cool_Type,IF('Project Info and Summary'!$C$20="Electric",CONCATENATE(Cool_Type," ",Heating_Type," Heat"),IF('Project Info and Summary'!$C$20="Non-Electric",CONCATENATE(Cool_Type," ",Heating_Type," Heat"),CONCATENATE(Cool_Type," ",Heating_Type))))))))</f>
        <v/>
      </c>
      <c r="N337" s="298" t="str">
        <f t="shared" si="23"/>
        <v/>
      </c>
      <c r="O337" s="298" t="str">
        <f>IF(B337="", "", 'Lighting Inventory (Ref only)'!G348)</f>
        <v/>
      </c>
      <c r="P337" s="298" t="str">
        <f>IF(B337="", "", 'Lighting Inventory (Ref only)'!E348)</f>
        <v/>
      </c>
      <c r="Q337" s="298" t="str">
        <f>IF(B337="", "", 'Lighting Inventory (Ref only)'!J348)</f>
        <v/>
      </c>
      <c r="R337" s="298" t="str">
        <f>IF(B337="", "",'Lighting Inventory (Ref only)'!K348)</f>
        <v/>
      </c>
      <c r="S337" s="372" t="str">
        <f>IF(B337="", "", 'Lighting Inventory (Ref only)'!G348*'Lighting Inventory (Ref only)'!K348/1000)</f>
        <v/>
      </c>
      <c r="T337" s="298" t="str">
        <f>IF(B337="", "", IF('Lighting Inventory (Ref only)'!I348="", "Light Switch",Inventory!H345))</f>
        <v/>
      </c>
      <c r="W337" s="373"/>
      <c r="X337" s="298" t="str">
        <f>IF(B337="", "", 'Lighting Inventory (Ref only)'!Q348)</f>
        <v/>
      </c>
      <c r="Z337" s="374"/>
      <c r="AA337" s="372" t="str">
        <f>IF(B337="", "",'Lighting Inventory (Ref only)'!R348/1000)</f>
        <v/>
      </c>
      <c r="AB337" s="372" t="str">
        <f>IF(B337="", "", Inventory!M345)</f>
        <v/>
      </c>
      <c r="AC337" s="374" t="str">
        <f>IF(B337="", "", 'Lighting Inventory (Ref only)'!T348)</f>
        <v/>
      </c>
      <c r="AD337" s="374" t="str">
        <f>IF(C337="", "", 'Lighting Inventory (Ref only)'!AA348)</f>
        <v/>
      </c>
      <c r="AE337" s="375" t="str">
        <f>IF(B337="", "", 'Lighting Inventory (Ref only)'!U348)</f>
        <v/>
      </c>
      <c r="AF337" s="375" t="str">
        <f>IF(B337="", "",'Lighting Inventory (Ref only)'!W348)</f>
        <v/>
      </c>
      <c r="AG337" s="375"/>
      <c r="AH337" s="375" t="str">
        <f>IF(B337="", "",'Lighting Inventory (Ref only)'!Z348)</f>
        <v/>
      </c>
      <c r="AI337" s="375" t="str">
        <f>IF(B337="", "", 'Lighting Inventory (Ref only)'!Y348)</f>
        <v/>
      </c>
      <c r="AJ337" s="375" t="str">
        <f>IF(C337="", "",'Lighting Inventory (Ref only)'!AB348)</f>
        <v/>
      </c>
      <c r="AK337" s="375" t="str">
        <f>IF(B337="", "", 'Lighting Inventory (Ref only)'!AG348)</f>
        <v/>
      </c>
      <c r="AL337" s="375" t="str">
        <f>IF(B337="", "", 'Lighting Inventory (Ref only)'!AD348)</f>
        <v/>
      </c>
      <c r="AM337" s="375" t="str">
        <f>IF(B337="", "", 'Lighting Inventory (Ref only)'!AE348)</f>
        <v/>
      </c>
      <c r="AN337" s="375" t="str">
        <f>IF(B337="", "", 'Lighting Inventory (Ref only)'!AF348)</f>
        <v/>
      </c>
      <c r="AO337" s="375" t="str">
        <f>IF(B337="", "", 'Lighting Inventory (Ref only)'!AG348)</f>
        <v/>
      </c>
    </row>
    <row r="338" spans="1:41">
      <c r="A338" s="298" t="str">
        <f>IF(G338="", "", Lookups!BF340)</f>
        <v/>
      </c>
      <c r="B338" s="298" t="str">
        <f>IF('Lighting Inventory (Ref only)'!Q349="", "", 'Lighting Inventory (Ref only)'!Q349)</f>
        <v/>
      </c>
      <c r="C338" s="298" t="str">
        <f>IF(A338="", "", 'Lighting Inventory (Ref only)'!AO349)</f>
        <v/>
      </c>
      <c r="D338" s="370" t="str">
        <f>IF(B338= "","", Inventory!S346)</f>
        <v/>
      </c>
      <c r="E338" s="371"/>
      <c r="F338" s="298" t="str">
        <f>IF(B338="", "", 'Version Log'!$B$34)</f>
        <v/>
      </c>
      <c r="G338" s="298" t="str">
        <f t="shared" si="20"/>
        <v/>
      </c>
      <c r="H338" s="298" t="str">
        <f t="shared" si="21"/>
        <v/>
      </c>
      <c r="I338" s="298" t="str">
        <f>IF(B338="", "",Inventory!D346)</f>
        <v/>
      </c>
      <c r="J338" s="298" t="str">
        <f>IF(B338="","",IF(Inventory!C346="N","Interior","Exterior"))</f>
        <v/>
      </c>
      <c r="K338" s="298" t="str">
        <f t="shared" si="22"/>
        <v/>
      </c>
      <c r="L338" s="298" t="str">
        <f>IF(B338="", "", Inventory!E346)</f>
        <v/>
      </c>
      <c r="M338" s="298" t="str">
        <f>IF(B338="","",IF(Cool_Type=Lookups!$L$9,Cool_Type,IF(Cool_Type=Lookups!$L$10,Cool_Type,IF(Cool_Type=Lookups!$L$11,Cool_Type,IF(Cool_Type=Lookups!L348,Cool_Type,IF('Project Info and Summary'!$C$20="Electric",CONCATENATE(Cool_Type," ",Heating_Type," Heat"),IF('Project Info and Summary'!$C$20="Non-Electric",CONCATENATE(Cool_Type," ",Heating_Type," Heat"),CONCATENATE(Cool_Type," ",Heating_Type))))))))</f>
        <v/>
      </c>
      <c r="N338" s="298" t="str">
        <f t="shared" si="23"/>
        <v/>
      </c>
      <c r="O338" s="298" t="str">
        <f>IF(B338="", "", 'Lighting Inventory (Ref only)'!G349)</f>
        <v/>
      </c>
      <c r="P338" s="298" t="str">
        <f>IF(B338="", "", 'Lighting Inventory (Ref only)'!E349)</f>
        <v/>
      </c>
      <c r="Q338" s="298" t="str">
        <f>IF(B338="", "", 'Lighting Inventory (Ref only)'!J349)</f>
        <v/>
      </c>
      <c r="R338" s="298" t="str">
        <f>IF(B338="", "",'Lighting Inventory (Ref only)'!K349)</f>
        <v/>
      </c>
      <c r="S338" s="372" t="str">
        <f>IF(B338="", "", 'Lighting Inventory (Ref only)'!G349*'Lighting Inventory (Ref only)'!K349/1000)</f>
        <v/>
      </c>
      <c r="T338" s="298" t="str">
        <f>IF(B338="", "", IF('Lighting Inventory (Ref only)'!I349="", "Light Switch",Inventory!H346))</f>
        <v/>
      </c>
      <c r="W338" s="373"/>
      <c r="X338" s="298" t="str">
        <f>IF(B338="", "", 'Lighting Inventory (Ref only)'!Q349)</f>
        <v/>
      </c>
      <c r="Z338" s="374"/>
      <c r="AA338" s="372" t="str">
        <f>IF(B338="", "",'Lighting Inventory (Ref only)'!R349/1000)</f>
        <v/>
      </c>
      <c r="AB338" s="372" t="str">
        <f>IF(B338="", "", Inventory!M346)</f>
        <v/>
      </c>
      <c r="AC338" s="374" t="str">
        <f>IF(B338="", "", 'Lighting Inventory (Ref only)'!T349)</f>
        <v/>
      </c>
      <c r="AD338" s="374" t="str">
        <f>IF(C338="", "", 'Lighting Inventory (Ref only)'!AA349)</f>
        <v/>
      </c>
      <c r="AE338" s="375" t="str">
        <f>IF(B338="", "", 'Lighting Inventory (Ref only)'!U349)</f>
        <v/>
      </c>
      <c r="AF338" s="375" t="str">
        <f>IF(B338="", "",'Lighting Inventory (Ref only)'!W349)</f>
        <v/>
      </c>
      <c r="AG338" s="375"/>
      <c r="AH338" s="375" t="str">
        <f>IF(B338="", "",'Lighting Inventory (Ref only)'!Z349)</f>
        <v/>
      </c>
      <c r="AI338" s="375" t="str">
        <f>IF(B338="", "", 'Lighting Inventory (Ref only)'!Y349)</f>
        <v/>
      </c>
      <c r="AJ338" s="375" t="str">
        <f>IF(C338="", "",'Lighting Inventory (Ref only)'!AB349)</f>
        <v/>
      </c>
      <c r="AK338" s="375" t="str">
        <f>IF(B338="", "", 'Lighting Inventory (Ref only)'!AG349)</f>
        <v/>
      </c>
      <c r="AL338" s="375" t="str">
        <f>IF(B338="", "", 'Lighting Inventory (Ref only)'!AD349)</f>
        <v/>
      </c>
      <c r="AM338" s="375" t="str">
        <f>IF(B338="", "", 'Lighting Inventory (Ref only)'!AE349)</f>
        <v/>
      </c>
      <c r="AN338" s="375" t="str">
        <f>IF(B338="", "", 'Lighting Inventory (Ref only)'!AF349)</f>
        <v/>
      </c>
      <c r="AO338" s="375" t="str">
        <f>IF(B338="", "", 'Lighting Inventory (Ref only)'!AG349)</f>
        <v/>
      </c>
    </row>
    <row r="339" spans="1:41">
      <c r="A339" s="298" t="str">
        <f>IF(G339="", "", Lookups!BF341)</f>
        <v/>
      </c>
      <c r="B339" s="298" t="str">
        <f>IF('Lighting Inventory (Ref only)'!Q350="", "", 'Lighting Inventory (Ref only)'!Q350)</f>
        <v/>
      </c>
      <c r="C339" s="298" t="str">
        <f>IF(A339="", "", 'Lighting Inventory (Ref only)'!AO350)</f>
        <v/>
      </c>
      <c r="D339" s="370" t="str">
        <f>IF(B339= "","", Inventory!S347)</f>
        <v/>
      </c>
      <c r="E339" s="371"/>
      <c r="F339" s="298" t="str">
        <f>IF(B339="", "", 'Version Log'!$B$34)</f>
        <v/>
      </c>
      <c r="G339" s="298" t="str">
        <f t="shared" si="20"/>
        <v/>
      </c>
      <c r="H339" s="298" t="str">
        <f t="shared" si="21"/>
        <v/>
      </c>
      <c r="I339" s="298" t="str">
        <f>IF(B339="", "",Inventory!D347)</f>
        <v/>
      </c>
      <c r="J339" s="298" t="str">
        <f>IF(B339="","",IF(Inventory!C347="N","Interior","Exterior"))</f>
        <v/>
      </c>
      <c r="K339" s="298" t="str">
        <f t="shared" si="22"/>
        <v/>
      </c>
      <c r="L339" s="298" t="str">
        <f>IF(B339="", "", Inventory!E347)</f>
        <v/>
      </c>
      <c r="M339" s="298" t="str">
        <f>IF(B339="","",IF(Cool_Type=Lookups!$L$9,Cool_Type,IF(Cool_Type=Lookups!$L$10,Cool_Type,IF(Cool_Type=Lookups!$L$11,Cool_Type,IF(Cool_Type=Lookups!L349,Cool_Type,IF('Project Info and Summary'!$C$20="Electric",CONCATENATE(Cool_Type," ",Heating_Type," Heat"),IF('Project Info and Summary'!$C$20="Non-Electric",CONCATENATE(Cool_Type," ",Heating_Type," Heat"),CONCATENATE(Cool_Type," ",Heating_Type))))))))</f>
        <v/>
      </c>
      <c r="N339" s="298" t="str">
        <f t="shared" si="23"/>
        <v/>
      </c>
      <c r="O339" s="298" t="str">
        <f>IF(B339="", "", 'Lighting Inventory (Ref only)'!G350)</f>
        <v/>
      </c>
      <c r="P339" s="298" t="str">
        <f>IF(B339="", "", 'Lighting Inventory (Ref only)'!E350)</f>
        <v/>
      </c>
      <c r="Q339" s="298" t="str">
        <f>IF(B339="", "", 'Lighting Inventory (Ref only)'!J350)</f>
        <v/>
      </c>
      <c r="R339" s="298" t="str">
        <f>IF(B339="", "",'Lighting Inventory (Ref only)'!K350)</f>
        <v/>
      </c>
      <c r="S339" s="372" t="str">
        <f>IF(B339="", "", 'Lighting Inventory (Ref only)'!G350*'Lighting Inventory (Ref only)'!K350/1000)</f>
        <v/>
      </c>
      <c r="T339" s="298" t="str">
        <f>IF(B339="", "", IF('Lighting Inventory (Ref only)'!I350="", "Light Switch",Inventory!H347))</f>
        <v/>
      </c>
      <c r="W339" s="373"/>
      <c r="X339" s="298" t="str">
        <f>IF(B339="", "", 'Lighting Inventory (Ref only)'!Q350)</f>
        <v/>
      </c>
      <c r="Z339" s="374"/>
      <c r="AA339" s="372" t="str">
        <f>IF(B339="", "",'Lighting Inventory (Ref only)'!R350/1000)</f>
        <v/>
      </c>
      <c r="AB339" s="372" t="str">
        <f>IF(B339="", "", Inventory!M347)</f>
        <v/>
      </c>
      <c r="AC339" s="374" t="str">
        <f>IF(B339="", "", 'Lighting Inventory (Ref only)'!T350)</f>
        <v/>
      </c>
      <c r="AD339" s="374" t="str">
        <f>IF(C339="", "", 'Lighting Inventory (Ref only)'!AA350)</f>
        <v/>
      </c>
      <c r="AE339" s="375" t="str">
        <f>IF(B339="", "", 'Lighting Inventory (Ref only)'!U350)</f>
        <v/>
      </c>
      <c r="AF339" s="375" t="str">
        <f>IF(B339="", "",'Lighting Inventory (Ref only)'!W350)</f>
        <v/>
      </c>
      <c r="AG339" s="375"/>
      <c r="AH339" s="375" t="str">
        <f>IF(B339="", "",'Lighting Inventory (Ref only)'!Z350)</f>
        <v/>
      </c>
      <c r="AI339" s="375" t="str">
        <f>IF(B339="", "", 'Lighting Inventory (Ref only)'!Y350)</f>
        <v/>
      </c>
      <c r="AJ339" s="375" t="str">
        <f>IF(C339="", "",'Lighting Inventory (Ref only)'!AB350)</f>
        <v/>
      </c>
      <c r="AK339" s="375" t="str">
        <f>IF(B339="", "", 'Lighting Inventory (Ref only)'!AG350)</f>
        <v/>
      </c>
      <c r="AL339" s="375" t="str">
        <f>IF(B339="", "", 'Lighting Inventory (Ref only)'!AD350)</f>
        <v/>
      </c>
      <c r="AM339" s="375" t="str">
        <f>IF(B339="", "", 'Lighting Inventory (Ref only)'!AE350)</f>
        <v/>
      </c>
      <c r="AN339" s="375" t="str">
        <f>IF(B339="", "", 'Lighting Inventory (Ref only)'!AF350)</f>
        <v/>
      </c>
      <c r="AO339" s="375" t="str">
        <f>IF(B339="", "", 'Lighting Inventory (Ref only)'!AG350)</f>
        <v/>
      </c>
    </row>
    <row r="340" spans="1:41">
      <c r="A340" s="298" t="str">
        <f>IF(G340="", "", Lookups!BF342)</f>
        <v/>
      </c>
      <c r="B340" s="298" t="str">
        <f>IF('Lighting Inventory (Ref only)'!Q351="", "", 'Lighting Inventory (Ref only)'!Q351)</f>
        <v/>
      </c>
      <c r="C340" s="298" t="str">
        <f>IF(A340="", "", 'Lighting Inventory (Ref only)'!AO351)</f>
        <v/>
      </c>
      <c r="D340" s="370" t="str">
        <f>IF(B340= "","", Inventory!S348)</f>
        <v/>
      </c>
      <c r="E340" s="371"/>
      <c r="F340" s="298" t="str">
        <f>IF(B340="", "", 'Version Log'!$B$34)</f>
        <v/>
      </c>
      <c r="G340" s="298" t="str">
        <f t="shared" si="20"/>
        <v/>
      </c>
      <c r="H340" s="298" t="str">
        <f t="shared" si="21"/>
        <v/>
      </c>
      <c r="I340" s="298" t="str">
        <f>IF(B340="", "",Inventory!D348)</f>
        <v/>
      </c>
      <c r="J340" s="298" t="str">
        <f>IF(B340="","",IF(Inventory!C348="N","Interior","Exterior"))</f>
        <v/>
      </c>
      <c r="K340" s="298" t="str">
        <f t="shared" si="22"/>
        <v/>
      </c>
      <c r="L340" s="298" t="str">
        <f>IF(B340="", "", Inventory!E348)</f>
        <v/>
      </c>
      <c r="M340" s="298" t="str">
        <f>IF(B340="","",IF(Cool_Type=Lookups!$L$9,Cool_Type,IF(Cool_Type=Lookups!$L$10,Cool_Type,IF(Cool_Type=Lookups!$L$11,Cool_Type,IF(Cool_Type=Lookups!L350,Cool_Type,IF('Project Info and Summary'!$C$20="Electric",CONCATENATE(Cool_Type," ",Heating_Type," Heat"),IF('Project Info and Summary'!$C$20="Non-Electric",CONCATENATE(Cool_Type," ",Heating_Type," Heat"),CONCATENATE(Cool_Type," ",Heating_Type))))))))</f>
        <v/>
      </c>
      <c r="N340" s="298" t="str">
        <f t="shared" si="23"/>
        <v/>
      </c>
      <c r="O340" s="298" t="str">
        <f>IF(B340="", "", 'Lighting Inventory (Ref only)'!G351)</f>
        <v/>
      </c>
      <c r="P340" s="298" t="str">
        <f>IF(B340="", "", 'Lighting Inventory (Ref only)'!E351)</f>
        <v/>
      </c>
      <c r="Q340" s="298" t="str">
        <f>IF(B340="", "", 'Lighting Inventory (Ref only)'!J351)</f>
        <v/>
      </c>
      <c r="R340" s="298" t="str">
        <f>IF(B340="", "",'Lighting Inventory (Ref only)'!K351)</f>
        <v/>
      </c>
      <c r="S340" s="372" t="str">
        <f>IF(B340="", "", 'Lighting Inventory (Ref only)'!G351*'Lighting Inventory (Ref only)'!K351/1000)</f>
        <v/>
      </c>
      <c r="T340" s="298" t="str">
        <f>IF(B340="", "", IF('Lighting Inventory (Ref only)'!I351="", "Light Switch",Inventory!H348))</f>
        <v/>
      </c>
      <c r="W340" s="373"/>
      <c r="X340" s="298" t="str">
        <f>IF(B340="", "", 'Lighting Inventory (Ref only)'!Q351)</f>
        <v/>
      </c>
      <c r="Z340" s="374"/>
      <c r="AA340" s="372" t="str">
        <f>IF(B340="", "",'Lighting Inventory (Ref only)'!R351/1000)</f>
        <v/>
      </c>
      <c r="AB340" s="372" t="str">
        <f>IF(B340="", "", Inventory!M348)</f>
        <v/>
      </c>
      <c r="AC340" s="374" t="str">
        <f>IF(B340="", "", 'Lighting Inventory (Ref only)'!T351)</f>
        <v/>
      </c>
      <c r="AD340" s="374" t="str">
        <f>IF(C340="", "", 'Lighting Inventory (Ref only)'!AA351)</f>
        <v/>
      </c>
      <c r="AE340" s="375" t="str">
        <f>IF(B340="", "", 'Lighting Inventory (Ref only)'!U351)</f>
        <v/>
      </c>
      <c r="AF340" s="375" t="str">
        <f>IF(B340="", "",'Lighting Inventory (Ref only)'!W351)</f>
        <v/>
      </c>
      <c r="AG340" s="375"/>
      <c r="AH340" s="375" t="str">
        <f>IF(B340="", "",'Lighting Inventory (Ref only)'!Z351)</f>
        <v/>
      </c>
      <c r="AI340" s="375" t="str">
        <f>IF(B340="", "", 'Lighting Inventory (Ref only)'!Y351)</f>
        <v/>
      </c>
      <c r="AJ340" s="375" t="str">
        <f>IF(C340="", "",'Lighting Inventory (Ref only)'!AB351)</f>
        <v/>
      </c>
      <c r="AK340" s="375" t="str">
        <f>IF(B340="", "", 'Lighting Inventory (Ref only)'!AG351)</f>
        <v/>
      </c>
      <c r="AL340" s="375" t="str">
        <f>IF(B340="", "", 'Lighting Inventory (Ref only)'!AD351)</f>
        <v/>
      </c>
      <c r="AM340" s="375" t="str">
        <f>IF(B340="", "", 'Lighting Inventory (Ref only)'!AE351)</f>
        <v/>
      </c>
      <c r="AN340" s="375" t="str">
        <f>IF(B340="", "", 'Lighting Inventory (Ref only)'!AF351)</f>
        <v/>
      </c>
      <c r="AO340" s="375" t="str">
        <f>IF(B340="", "", 'Lighting Inventory (Ref only)'!AG351)</f>
        <v/>
      </c>
    </row>
    <row r="341" spans="1:41">
      <c r="A341" s="298" t="str">
        <f>IF(G341="", "", Lookups!BF343)</f>
        <v/>
      </c>
      <c r="B341" s="298" t="str">
        <f>IF('Lighting Inventory (Ref only)'!Q352="", "", 'Lighting Inventory (Ref only)'!Q352)</f>
        <v/>
      </c>
      <c r="C341" s="298" t="str">
        <f>IF(A341="", "", 'Lighting Inventory (Ref only)'!AO352)</f>
        <v/>
      </c>
      <c r="D341" s="370" t="str">
        <f>IF(B341= "","", Inventory!S349)</f>
        <v/>
      </c>
      <c r="E341" s="371"/>
      <c r="F341" s="298" t="str">
        <f>IF(B341="", "", 'Version Log'!$B$34)</f>
        <v/>
      </c>
      <c r="G341" s="298" t="str">
        <f t="shared" si="20"/>
        <v/>
      </c>
      <c r="H341" s="298" t="str">
        <f t="shared" si="21"/>
        <v/>
      </c>
      <c r="I341" s="298" t="str">
        <f>IF(B341="", "",Inventory!D349)</f>
        <v/>
      </c>
      <c r="J341" s="298" t="str">
        <f>IF(B341="","",IF(Inventory!C349="N","Interior","Exterior"))</f>
        <v/>
      </c>
      <c r="K341" s="298" t="str">
        <f t="shared" si="22"/>
        <v/>
      </c>
      <c r="L341" s="298" t="str">
        <f>IF(B341="", "", Inventory!E349)</f>
        <v/>
      </c>
      <c r="M341" s="298" t="str">
        <f>IF(B341="","",IF(Cool_Type=Lookups!$L$9,Cool_Type,IF(Cool_Type=Lookups!$L$10,Cool_Type,IF(Cool_Type=Lookups!$L$11,Cool_Type,IF(Cool_Type=Lookups!L351,Cool_Type,IF('Project Info and Summary'!$C$20="Electric",CONCATENATE(Cool_Type," ",Heating_Type," Heat"),IF('Project Info and Summary'!$C$20="Non-Electric",CONCATENATE(Cool_Type," ",Heating_Type," Heat"),CONCATENATE(Cool_Type," ",Heating_Type))))))))</f>
        <v/>
      </c>
      <c r="N341" s="298" t="str">
        <f t="shared" si="23"/>
        <v/>
      </c>
      <c r="O341" s="298" t="str">
        <f>IF(B341="", "", 'Lighting Inventory (Ref only)'!G352)</f>
        <v/>
      </c>
      <c r="P341" s="298" t="str">
        <f>IF(B341="", "", 'Lighting Inventory (Ref only)'!E352)</f>
        <v/>
      </c>
      <c r="Q341" s="298" t="str">
        <f>IF(B341="", "", 'Lighting Inventory (Ref only)'!J352)</f>
        <v/>
      </c>
      <c r="R341" s="298" t="str">
        <f>IF(B341="", "",'Lighting Inventory (Ref only)'!K352)</f>
        <v/>
      </c>
      <c r="S341" s="372" t="str">
        <f>IF(B341="", "", 'Lighting Inventory (Ref only)'!G352*'Lighting Inventory (Ref only)'!K352/1000)</f>
        <v/>
      </c>
      <c r="T341" s="298" t="str">
        <f>IF(B341="", "", IF('Lighting Inventory (Ref only)'!I352="", "Light Switch",Inventory!H349))</f>
        <v/>
      </c>
      <c r="W341" s="373"/>
      <c r="X341" s="298" t="str">
        <f>IF(B341="", "", 'Lighting Inventory (Ref only)'!Q352)</f>
        <v/>
      </c>
      <c r="Z341" s="374"/>
      <c r="AA341" s="372" t="str">
        <f>IF(B341="", "",'Lighting Inventory (Ref only)'!R352/1000)</f>
        <v/>
      </c>
      <c r="AB341" s="372" t="str">
        <f>IF(B341="", "", Inventory!M349)</f>
        <v/>
      </c>
      <c r="AC341" s="374" t="str">
        <f>IF(B341="", "", 'Lighting Inventory (Ref only)'!T352)</f>
        <v/>
      </c>
      <c r="AD341" s="374" t="str">
        <f>IF(C341="", "", 'Lighting Inventory (Ref only)'!AA352)</f>
        <v/>
      </c>
      <c r="AE341" s="375" t="str">
        <f>IF(B341="", "", 'Lighting Inventory (Ref only)'!U352)</f>
        <v/>
      </c>
      <c r="AF341" s="375" t="str">
        <f>IF(B341="", "",'Lighting Inventory (Ref only)'!W352)</f>
        <v/>
      </c>
      <c r="AG341" s="375"/>
      <c r="AH341" s="375" t="str">
        <f>IF(B341="", "",'Lighting Inventory (Ref only)'!Z352)</f>
        <v/>
      </c>
      <c r="AI341" s="375" t="str">
        <f>IF(B341="", "", 'Lighting Inventory (Ref only)'!Y352)</f>
        <v/>
      </c>
      <c r="AJ341" s="375" t="str">
        <f>IF(C341="", "",'Lighting Inventory (Ref only)'!AB352)</f>
        <v/>
      </c>
      <c r="AK341" s="375" t="str">
        <f>IF(B341="", "", 'Lighting Inventory (Ref only)'!AG352)</f>
        <v/>
      </c>
      <c r="AL341" s="375" t="str">
        <f>IF(B341="", "", 'Lighting Inventory (Ref only)'!AD352)</f>
        <v/>
      </c>
      <c r="AM341" s="375" t="str">
        <f>IF(B341="", "", 'Lighting Inventory (Ref only)'!AE352)</f>
        <v/>
      </c>
      <c r="AN341" s="375" t="str">
        <f>IF(B341="", "", 'Lighting Inventory (Ref only)'!AF352)</f>
        <v/>
      </c>
      <c r="AO341" s="375" t="str">
        <f>IF(B341="", "", 'Lighting Inventory (Ref only)'!AG352)</f>
        <v/>
      </c>
    </row>
    <row r="342" spans="1:41">
      <c r="A342" s="298" t="str">
        <f>IF(G342="", "", Lookups!BF344)</f>
        <v/>
      </c>
      <c r="B342" s="298" t="str">
        <f>IF('Lighting Inventory (Ref only)'!Q353="", "", 'Lighting Inventory (Ref only)'!Q353)</f>
        <v/>
      </c>
      <c r="C342" s="298" t="str">
        <f>IF(A342="", "", 'Lighting Inventory (Ref only)'!AO353)</f>
        <v/>
      </c>
      <c r="D342" s="370" t="str">
        <f>IF(B342= "","", Inventory!S350)</f>
        <v/>
      </c>
      <c r="E342" s="371"/>
      <c r="F342" s="298" t="str">
        <f>IF(B342="", "", 'Version Log'!$B$34)</f>
        <v/>
      </c>
      <c r="G342" s="298" t="str">
        <f t="shared" si="20"/>
        <v/>
      </c>
      <c r="H342" s="298" t="str">
        <f t="shared" si="21"/>
        <v/>
      </c>
      <c r="I342" s="298" t="str">
        <f>IF(B342="", "",Inventory!D350)</f>
        <v/>
      </c>
      <c r="J342" s="298" t="str">
        <f>IF(B342="","",IF(Inventory!C350="N","Interior","Exterior"))</f>
        <v/>
      </c>
      <c r="K342" s="298" t="str">
        <f t="shared" si="22"/>
        <v/>
      </c>
      <c r="L342" s="298" t="str">
        <f>IF(B342="", "", Inventory!E350)</f>
        <v/>
      </c>
      <c r="M342" s="298" t="str">
        <f>IF(B342="","",IF(Cool_Type=Lookups!$L$9,Cool_Type,IF(Cool_Type=Lookups!$L$10,Cool_Type,IF(Cool_Type=Lookups!$L$11,Cool_Type,IF(Cool_Type=Lookups!L352,Cool_Type,IF('Project Info and Summary'!$C$20="Electric",CONCATENATE(Cool_Type," ",Heating_Type," Heat"),IF('Project Info and Summary'!$C$20="Non-Electric",CONCATENATE(Cool_Type," ",Heating_Type," Heat"),CONCATENATE(Cool_Type," ",Heating_Type))))))))</f>
        <v/>
      </c>
      <c r="N342" s="298" t="str">
        <f t="shared" si="23"/>
        <v/>
      </c>
      <c r="O342" s="298" t="str">
        <f>IF(B342="", "", 'Lighting Inventory (Ref only)'!G353)</f>
        <v/>
      </c>
      <c r="P342" s="298" t="str">
        <f>IF(B342="", "", 'Lighting Inventory (Ref only)'!E353)</f>
        <v/>
      </c>
      <c r="Q342" s="298" t="str">
        <f>IF(B342="", "", 'Lighting Inventory (Ref only)'!J353)</f>
        <v/>
      </c>
      <c r="R342" s="298" t="str">
        <f>IF(B342="", "",'Lighting Inventory (Ref only)'!K353)</f>
        <v/>
      </c>
      <c r="S342" s="372" t="str">
        <f>IF(B342="", "", 'Lighting Inventory (Ref only)'!G353*'Lighting Inventory (Ref only)'!K353/1000)</f>
        <v/>
      </c>
      <c r="T342" s="298" t="str">
        <f>IF(B342="", "", IF('Lighting Inventory (Ref only)'!I353="", "Light Switch",Inventory!H350))</f>
        <v/>
      </c>
      <c r="W342" s="373"/>
      <c r="X342" s="298" t="str">
        <f>IF(B342="", "", 'Lighting Inventory (Ref only)'!Q353)</f>
        <v/>
      </c>
      <c r="Z342" s="374"/>
      <c r="AA342" s="372" t="str">
        <f>IF(B342="", "",'Lighting Inventory (Ref only)'!R353/1000)</f>
        <v/>
      </c>
      <c r="AB342" s="372" t="str">
        <f>IF(B342="", "", Inventory!M350)</f>
        <v/>
      </c>
      <c r="AC342" s="374" t="str">
        <f>IF(B342="", "", 'Lighting Inventory (Ref only)'!T353)</f>
        <v/>
      </c>
      <c r="AD342" s="374" t="str">
        <f>IF(C342="", "", 'Lighting Inventory (Ref only)'!AA353)</f>
        <v/>
      </c>
      <c r="AE342" s="375" t="str">
        <f>IF(B342="", "", 'Lighting Inventory (Ref only)'!U353)</f>
        <v/>
      </c>
      <c r="AF342" s="375" t="str">
        <f>IF(B342="", "",'Lighting Inventory (Ref only)'!W353)</f>
        <v/>
      </c>
      <c r="AG342" s="375"/>
      <c r="AH342" s="375" t="str">
        <f>IF(B342="", "",'Lighting Inventory (Ref only)'!Z353)</f>
        <v/>
      </c>
      <c r="AI342" s="375" t="str">
        <f>IF(B342="", "", 'Lighting Inventory (Ref only)'!Y353)</f>
        <v/>
      </c>
      <c r="AJ342" s="375" t="str">
        <f>IF(C342="", "",'Lighting Inventory (Ref only)'!AB353)</f>
        <v/>
      </c>
      <c r="AK342" s="375" t="str">
        <f>IF(B342="", "", 'Lighting Inventory (Ref only)'!AG353)</f>
        <v/>
      </c>
      <c r="AL342" s="375" t="str">
        <f>IF(B342="", "", 'Lighting Inventory (Ref only)'!AD353)</f>
        <v/>
      </c>
      <c r="AM342" s="375" t="str">
        <f>IF(B342="", "", 'Lighting Inventory (Ref only)'!AE353)</f>
        <v/>
      </c>
      <c r="AN342" s="375" t="str">
        <f>IF(B342="", "", 'Lighting Inventory (Ref only)'!AF353)</f>
        <v/>
      </c>
      <c r="AO342" s="375" t="str">
        <f>IF(B342="", "", 'Lighting Inventory (Ref only)'!AG353)</f>
        <v/>
      </c>
    </row>
    <row r="343" spans="1:41">
      <c r="A343" s="298" t="str">
        <f>IF(G343="", "", Lookups!BF345)</f>
        <v/>
      </c>
      <c r="B343" s="298" t="str">
        <f>IF('Lighting Inventory (Ref only)'!Q354="", "", 'Lighting Inventory (Ref only)'!Q354)</f>
        <v/>
      </c>
      <c r="C343" s="298" t="str">
        <f>IF(A343="", "", 'Lighting Inventory (Ref only)'!AO354)</f>
        <v/>
      </c>
      <c r="D343" s="370" t="str">
        <f>IF(B343= "","", Inventory!S351)</f>
        <v/>
      </c>
      <c r="E343" s="371"/>
      <c r="F343" s="298" t="str">
        <f>IF(B343="", "", 'Version Log'!$B$34)</f>
        <v/>
      </c>
      <c r="G343" s="298" t="str">
        <f t="shared" si="20"/>
        <v/>
      </c>
      <c r="H343" s="298" t="str">
        <f t="shared" si="21"/>
        <v/>
      </c>
      <c r="I343" s="298" t="str">
        <f>IF(B343="", "",Inventory!D351)</f>
        <v/>
      </c>
      <c r="J343" s="298" t="str">
        <f>IF(B343="","",IF(Inventory!C351="N","Interior","Exterior"))</f>
        <v/>
      </c>
      <c r="K343" s="298" t="str">
        <f t="shared" si="22"/>
        <v/>
      </c>
      <c r="L343" s="298" t="str">
        <f>IF(B343="", "", Inventory!E351)</f>
        <v/>
      </c>
      <c r="M343" s="298" t="str">
        <f>IF(B343="","",IF(Cool_Type=Lookups!$L$9,Cool_Type,IF(Cool_Type=Lookups!$L$10,Cool_Type,IF(Cool_Type=Lookups!$L$11,Cool_Type,IF(Cool_Type=Lookups!L353,Cool_Type,IF('Project Info and Summary'!$C$20="Electric",CONCATENATE(Cool_Type," ",Heating_Type," Heat"),IF('Project Info and Summary'!$C$20="Non-Electric",CONCATENATE(Cool_Type," ",Heating_Type," Heat"),CONCATENATE(Cool_Type," ",Heating_Type))))))))</f>
        <v/>
      </c>
      <c r="N343" s="298" t="str">
        <f t="shared" si="23"/>
        <v/>
      </c>
      <c r="O343" s="298" t="str">
        <f>IF(B343="", "", 'Lighting Inventory (Ref only)'!G354)</f>
        <v/>
      </c>
      <c r="P343" s="298" t="str">
        <f>IF(B343="", "", 'Lighting Inventory (Ref only)'!E354)</f>
        <v/>
      </c>
      <c r="Q343" s="298" t="str">
        <f>IF(B343="", "", 'Lighting Inventory (Ref only)'!J354)</f>
        <v/>
      </c>
      <c r="R343" s="298" t="str">
        <f>IF(B343="", "",'Lighting Inventory (Ref only)'!K354)</f>
        <v/>
      </c>
      <c r="S343" s="372" t="str">
        <f>IF(B343="", "", 'Lighting Inventory (Ref only)'!G354*'Lighting Inventory (Ref only)'!K354/1000)</f>
        <v/>
      </c>
      <c r="T343" s="298" t="str">
        <f>IF(B343="", "", IF('Lighting Inventory (Ref only)'!I354="", "Light Switch",Inventory!H351))</f>
        <v/>
      </c>
      <c r="W343" s="373"/>
      <c r="X343" s="298" t="str">
        <f>IF(B343="", "", 'Lighting Inventory (Ref only)'!Q354)</f>
        <v/>
      </c>
      <c r="Z343" s="374"/>
      <c r="AA343" s="372" t="str">
        <f>IF(B343="", "",'Lighting Inventory (Ref only)'!R354/1000)</f>
        <v/>
      </c>
      <c r="AB343" s="372" t="str">
        <f>IF(B343="", "", Inventory!M351)</f>
        <v/>
      </c>
      <c r="AC343" s="374" t="str">
        <f>IF(B343="", "", 'Lighting Inventory (Ref only)'!T354)</f>
        <v/>
      </c>
      <c r="AD343" s="374" t="str">
        <f>IF(C343="", "", 'Lighting Inventory (Ref only)'!AA354)</f>
        <v/>
      </c>
      <c r="AE343" s="375" t="str">
        <f>IF(B343="", "", 'Lighting Inventory (Ref only)'!U354)</f>
        <v/>
      </c>
      <c r="AF343" s="375" t="str">
        <f>IF(B343="", "",'Lighting Inventory (Ref only)'!W354)</f>
        <v/>
      </c>
      <c r="AG343" s="375"/>
      <c r="AH343" s="375" t="str">
        <f>IF(B343="", "",'Lighting Inventory (Ref only)'!Z354)</f>
        <v/>
      </c>
      <c r="AI343" s="375" t="str">
        <f>IF(B343="", "", 'Lighting Inventory (Ref only)'!Y354)</f>
        <v/>
      </c>
      <c r="AJ343" s="375" t="str">
        <f>IF(C343="", "",'Lighting Inventory (Ref only)'!AB354)</f>
        <v/>
      </c>
      <c r="AK343" s="375" t="str">
        <f>IF(B343="", "", 'Lighting Inventory (Ref only)'!AG354)</f>
        <v/>
      </c>
      <c r="AL343" s="375" t="str">
        <f>IF(B343="", "", 'Lighting Inventory (Ref only)'!AD354)</f>
        <v/>
      </c>
      <c r="AM343" s="375" t="str">
        <f>IF(B343="", "", 'Lighting Inventory (Ref only)'!AE354)</f>
        <v/>
      </c>
      <c r="AN343" s="375" t="str">
        <f>IF(B343="", "", 'Lighting Inventory (Ref only)'!AF354)</f>
        <v/>
      </c>
      <c r="AO343" s="375" t="str">
        <f>IF(B343="", "", 'Lighting Inventory (Ref only)'!AG354)</f>
        <v/>
      </c>
    </row>
    <row r="344" spans="1:41">
      <c r="A344" s="298" t="str">
        <f>IF(G344="", "", Lookups!BF346)</f>
        <v/>
      </c>
      <c r="B344" s="298" t="str">
        <f>IF('Lighting Inventory (Ref only)'!Q355="", "", 'Lighting Inventory (Ref only)'!Q355)</f>
        <v/>
      </c>
      <c r="C344" s="298" t="str">
        <f>IF(A344="", "", 'Lighting Inventory (Ref only)'!AO355)</f>
        <v/>
      </c>
      <c r="D344" s="370" t="str">
        <f>IF(B344= "","", Inventory!S352)</f>
        <v/>
      </c>
      <c r="E344" s="371"/>
      <c r="F344" s="298" t="str">
        <f>IF(B344="", "", 'Version Log'!$B$34)</f>
        <v/>
      </c>
      <c r="G344" s="298" t="str">
        <f t="shared" si="20"/>
        <v/>
      </c>
      <c r="H344" s="298" t="str">
        <f t="shared" si="21"/>
        <v/>
      </c>
      <c r="I344" s="298" t="str">
        <f>IF(B344="", "",Inventory!D352)</f>
        <v/>
      </c>
      <c r="J344" s="298" t="str">
        <f>IF(B344="","",IF(Inventory!C352="N","Interior","Exterior"))</f>
        <v/>
      </c>
      <c r="K344" s="298" t="str">
        <f t="shared" si="22"/>
        <v/>
      </c>
      <c r="L344" s="298" t="str">
        <f>IF(B344="", "", Inventory!E352)</f>
        <v/>
      </c>
      <c r="M344" s="298" t="str">
        <f>IF(B344="","",IF(Cool_Type=Lookups!$L$9,Cool_Type,IF(Cool_Type=Lookups!$L$10,Cool_Type,IF(Cool_Type=Lookups!$L$11,Cool_Type,IF(Cool_Type=Lookups!L354,Cool_Type,IF('Project Info and Summary'!$C$20="Electric",CONCATENATE(Cool_Type," ",Heating_Type," Heat"),IF('Project Info and Summary'!$C$20="Non-Electric",CONCATENATE(Cool_Type," ",Heating_Type," Heat"),CONCATENATE(Cool_Type," ",Heating_Type))))))))</f>
        <v/>
      </c>
      <c r="N344" s="298" t="str">
        <f t="shared" si="23"/>
        <v/>
      </c>
      <c r="O344" s="298" t="str">
        <f>IF(B344="", "", 'Lighting Inventory (Ref only)'!G355)</f>
        <v/>
      </c>
      <c r="P344" s="298" t="str">
        <f>IF(B344="", "", 'Lighting Inventory (Ref only)'!E355)</f>
        <v/>
      </c>
      <c r="Q344" s="298" t="str">
        <f>IF(B344="", "", 'Lighting Inventory (Ref only)'!J355)</f>
        <v/>
      </c>
      <c r="R344" s="298" t="str">
        <f>IF(B344="", "",'Lighting Inventory (Ref only)'!K355)</f>
        <v/>
      </c>
      <c r="S344" s="372" t="str">
        <f>IF(B344="", "", 'Lighting Inventory (Ref only)'!G355*'Lighting Inventory (Ref only)'!K355/1000)</f>
        <v/>
      </c>
      <c r="T344" s="298" t="str">
        <f>IF(B344="", "", IF('Lighting Inventory (Ref only)'!I355="", "Light Switch",Inventory!H352))</f>
        <v/>
      </c>
      <c r="W344" s="373"/>
      <c r="X344" s="298" t="str">
        <f>IF(B344="", "", 'Lighting Inventory (Ref only)'!Q355)</f>
        <v/>
      </c>
      <c r="Z344" s="374"/>
      <c r="AA344" s="372" t="str">
        <f>IF(B344="", "",'Lighting Inventory (Ref only)'!R355/1000)</f>
        <v/>
      </c>
      <c r="AB344" s="372" t="str">
        <f>IF(B344="", "", Inventory!M352)</f>
        <v/>
      </c>
      <c r="AC344" s="374" t="str">
        <f>IF(B344="", "", 'Lighting Inventory (Ref only)'!T355)</f>
        <v/>
      </c>
      <c r="AD344" s="374" t="str">
        <f>IF(C344="", "", 'Lighting Inventory (Ref only)'!AA355)</f>
        <v/>
      </c>
      <c r="AE344" s="375" t="str">
        <f>IF(B344="", "", 'Lighting Inventory (Ref only)'!U355)</f>
        <v/>
      </c>
      <c r="AF344" s="375" t="str">
        <f>IF(B344="", "",'Lighting Inventory (Ref only)'!W355)</f>
        <v/>
      </c>
      <c r="AG344" s="375"/>
      <c r="AH344" s="375" t="str">
        <f>IF(B344="", "",'Lighting Inventory (Ref only)'!Z355)</f>
        <v/>
      </c>
      <c r="AI344" s="375" t="str">
        <f>IF(B344="", "", 'Lighting Inventory (Ref only)'!Y355)</f>
        <v/>
      </c>
      <c r="AJ344" s="375" t="str">
        <f>IF(C344="", "",'Lighting Inventory (Ref only)'!AB355)</f>
        <v/>
      </c>
      <c r="AK344" s="375" t="str">
        <f>IF(B344="", "", 'Lighting Inventory (Ref only)'!AG355)</f>
        <v/>
      </c>
      <c r="AL344" s="375" t="str">
        <f>IF(B344="", "", 'Lighting Inventory (Ref only)'!AD355)</f>
        <v/>
      </c>
      <c r="AM344" s="375" t="str">
        <f>IF(B344="", "", 'Lighting Inventory (Ref only)'!AE355)</f>
        <v/>
      </c>
      <c r="AN344" s="375" t="str">
        <f>IF(B344="", "", 'Lighting Inventory (Ref only)'!AF355)</f>
        <v/>
      </c>
      <c r="AO344" s="375" t="str">
        <f>IF(B344="", "", 'Lighting Inventory (Ref only)'!AG355)</f>
        <v/>
      </c>
    </row>
    <row r="345" spans="1:41">
      <c r="A345" s="298" t="str">
        <f>IF(G345="", "", Lookups!BF347)</f>
        <v/>
      </c>
      <c r="B345" s="298" t="str">
        <f>IF('Lighting Inventory (Ref only)'!Q356="", "", 'Lighting Inventory (Ref only)'!Q356)</f>
        <v/>
      </c>
      <c r="C345" s="298" t="str">
        <f>IF(A345="", "", 'Lighting Inventory (Ref only)'!AO356)</f>
        <v/>
      </c>
      <c r="D345" s="370" t="str">
        <f>IF(B345= "","", Inventory!S353)</f>
        <v/>
      </c>
      <c r="E345" s="371"/>
      <c r="F345" s="298" t="str">
        <f>IF(B345="", "", 'Version Log'!$B$34)</f>
        <v/>
      </c>
      <c r="G345" s="298" t="str">
        <f t="shared" si="20"/>
        <v/>
      </c>
      <c r="H345" s="298" t="str">
        <f t="shared" si="21"/>
        <v/>
      </c>
      <c r="I345" s="298" t="str">
        <f>IF(B345="", "",Inventory!D353)</f>
        <v/>
      </c>
      <c r="J345" s="298" t="str">
        <f>IF(B345="","",IF(Inventory!C353="N","Interior","Exterior"))</f>
        <v/>
      </c>
      <c r="K345" s="298" t="str">
        <f t="shared" si="22"/>
        <v/>
      </c>
      <c r="L345" s="298" t="str">
        <f>IF(B345="", "", Inventory!E353)</f>
        <v/>
      </c>
      <c r="M345" s="298" t="str">
        <f>IF(B345="","",IF(Cool_Type=Lookups!$L$9,Cool_Type,IF(Cool_Type=Lookups!$L$10,Cool_Type,IF(Cool_Type=Lookups!$L$11,Cool_Type,IF(Cool_Type=Lookups!L355,Cool_Type,IF('Project Info and Summary'!$C$20="Electric",CONCATENATE(Cool_Type," ",Heating_Type," Heat"),IF('Project Info and Summary'!$C$20="Non-Electric",CONCATENATE(Cool_Type," ",Heating_Type," Heat"),CONCATENATE(Cool_Type," ",Heating_Type))))))))</f>
        <v/>
      </c>
      <c r="N345" s="298" t="str">
        <f t="shared" si="23"/>
        <v/>
      </c>
      <c r="O345" s="298" t="str">
        <f>IF(B345="", "", 'Lighting Inventory (Ref only)'!G356)</f>
        <v/>
      </c>
      <c r="P345" s="298" t="str">
        <f>IF(B345="", "", 'Lighting Inventory (Ref only)'!E356)</f>
        <v/>
      </c>
      <c r="Q345" s="298" t="str">
        <f>IF(B345="", "", 'Lighting Inventory (Ref only)'!J356)</f>
        <v/>
      </c>
      <c r="R345" s="298" t="str">
        <f>IF(B345="", "",'Lighting Inventory (Ref only)'!K356)</f>
        <v/>
      </c>
      <c r="S345" s="372" t="str">
        <f>IF(B345="", "", 'Lighting Inventory (Ref only)'!G356*'Lighting Inventory (Ref only)'!K356/1000)</f>
        <v/>
      </c>
      <c r="T345" s="298" t="str">
        <f>IF(B345="", "", IF('Lighting Inventory (Ref only)'!I356="", "Light Switch",Inventory!H353))</f>
        <v/>
      </c>
      <c r="W345" s="373"/>
      <c r="X345" s="298" t="str">
        <f>IF(B345="", "", 'Lighting Inventory (Ref only)'!Q356)</f>
        <v/>
      </c>
      <c r="Z345" s="374"/>
      <c r="AA345" s="372" t="str">
        <f>IF(B345="", "",'Lighting Inventory (Ref only)'!R356/1000)</f>
        <v/>
      </c>
      <c r="AB345" s="372" t="str">
        <f>IF(B345="", "", Inventory!M353)</f>
        <v/>
      </c>
      <c r="AC345" s="374" t="str">
        <f>IF(B345="", "", 'Lighting Inventory (Ref only)'!T356)</f>
        <v/>
      </c>
      <c r="AD345" s="374" t="str">
        <f>IF(C345="", "", 'Lighting Inventory (Ref only)'!AA356)</f>
        <v/>
      </c>
      <c r="AE345" s="375" t="str">
        <f>IF(B345="", "", 'Lighting Inventory (Ref only)'!U356)</f>
        <v/>
      </c>
      <c r="AF345" s="375" t="str">
        <f>IF(B345="", "",'Lighting Inventory (Ref only)'!W356)</f>
        <v/>
      </c>
      <c r="AG345" s="375"/>
      <c r="AH345" s="375" t="str">
        <f>IF(B345="", "",'Lighting Inventory (Ref only)'!Z356)</f>
        <v/>
      </c>
      <c r="AI345" s="375" t="str">
        <f>IF(B345="", "", 'Lighting Inventory (Ref only)'!Y356)</f>
        <v/>
      </c>
      <c r="AJ345" s="375" t="str">
        <f>IF(C345="", "",'Lighting Inventory (Ref only)'!AB356)</f>
        <v/>
      </c>
      <c r="AK345" s="375" t="str">
        <f>IF(B345="", "", 'Lighting Inventory (Ref only)'!AG356)</f>
        <v/>
      </c>
      <c r="AL345" s="375" t="str">
        <f>IF(B345="", "", 'Lighting Inventory (Ref only)'!AD356)</f>
        <v/>
      </c>
      <c r="AM345" s="375" t="str">
        <f>IF(B345="", "", 'Lighting Inventory (Ref only)'!AE356)</f>
        <v/>
      </c>
      <c r="AN345" s="375" t="str">
        <f>IF(B345="", "", 'Lighting Inventory (Ref only)'!AF356)</f>
        <v/>
      </c>
      <c r="AO345" s="375" t="str">
        <f>IF(B345="", "", 'Lighting Inventory (Ref only)'!AG356)</f>
        <v/>
      </c>
    </row>
    <row r="346" spans="1:41">
      <c r="A346" s="298" t="str">
        <f>IF(G346="", "", Lookups!BF348)</f>
        <v/>
      </c>
      <c r="B346" s="298" t="str">
        <f>IF('Lighting Inventory (Ref only)'!Q357="", "", 'Lighting Inventory (Ref only)'!Q357)</f>
        <v/>
      </c>
      <c r="C346" s="298" t="str">
        <f>IF(A346="", "", 'Lighting Inventory (Ref only)'!AO357)</f>
        <v/>
      </c>
      <c r="D346" s="370" t="str">
        <f>IF(B346= "","", Inventory!S354)</f>
        <v/>
      </c>
      <c r="E346" s="371"/>
      <c r="F346" s="298" t="str">
        <f>IF(B346="", "", 'Version Log'!$B$34)</f>
        <v/>
      </c>
      <c r="G346" s="298" t="str">
        <f t="shared" si="20"/>
        <v/>
      </c>
      <c r="H346" s="298" t="str">
        <f t="shared" si="21"/>
        <v/>
      </c>
      <c r="I346" s="298" t="str">
        <f>IF(B346="", "",Inventory!D354)</f>
        <v/>
      </c>
      <c r="J346" s="298" t="str">
        <f>IF(B346="","",IF(Inventory!C354="N","Interior","Exterior"))</f>
        <v/>
      </c>
      <c r="K346" s="298" t="str">
        <f t="shared" si="22"/>
        <v/>
      </c>
      <c r="L346" s="298" t="str">
        <f>IF(B346="", "", Inventory!E354)</f>
        <v/>
      </c>
      <c r="M346" s="298" t="str">
        <f>IF(B346="","",IF(Cool_Type=Lookups!$L$9,Cool_Type,IF(Cool_Type=Lookups!$L$10,Cool_Type,IF(Cool_Type=Lookups!$L$11,Cool_Type,IF(Cool_Type=Lookups!L356,Cool_Type,IF('Project Info and Summary'!$C$20="Electric",CONCATENATE(Cool_Type," ",Heating_Type," Heat"),IF('Project Info and Summary'!$C$20="Non-Electric",CONCATENATE(Cool_Type," ",Heating_Type," Heat"),CONCATENATE(Cool_Type," ",Heating_Type))))))))</f>
        <v/>
      </c>
      <c r="N346" s="298" t="str">
        <f t="shared" si="23"/>
        <v/>
      </c>
      <c r="O346" s="298" t="str">
        <f>IF(B346="", "", 'Lighting Inventory (Ref only)'!G357)</f>
        <v/>
      </c>
      <c r="P346" s="298" t="str">
        <f>IF(B346="", "", 'Lighting Inventory (Ref only)'!E357)</f>
        <v/>
      </c>
      <c r="Q346" s="298" t="str">
        <f>IF(B346="", "", 'Lighting Inventory (Ref only)'!J357)</f>
        <v/>
      </c>
      <c r="R346" s="298" t="str">
        <f>IF(B346="", "",'Lighting Inventory (Ref only)'!K357)</f>
        <v/>
      </c>
      <c r="S346" s="372" t="str">
        <f>IF(B346="", "", 'Lighting Inventory (Ref only)'!G357*'Lighting Inventory (Ref only)'!K357/1000)</f>
        <v/>
      </c>
      <c r="T346" s="298" t="str">
        <f>IF(B346="", "", IF('Lighting Inventory (Ref only)'!I357="", "Light Switch",Inventory!H354))</f>
        <v/>
      </c>
      <c r="W346" s="373"/>
      <c r="X346" s="298" t="str">
        <f>IF(B346="", "", 'Lighting Inventory (Ref only)'!Q357)</f>
        <v/>
      </c>
      <c r="Z346" s="374"/>
      <c r="AA346" s="372" t="str">
        <f>IF(B346="", "",'Lighting Inventory (Ref only)'!R357/1000)</f>
        <v/>
      </c>
      <c r="AB346" s="372" t="str">
        <f>IF(B346="", "", Inventory!M354)</f>
        <v/>
      </c>
      <c r="AC346" s="374" t="str">
        <f>IF(B346="", "", 'Lighting Inventory (Ref only)'!T357)</f>
        <v/>
      </c>
      <c r="AD346" s="374" t="str">
        <f>IF(C346="", "", 'Lighting Inventory (Ref only)'!AA357)</f>
        <v/>
      </c>
      <c r="AE346" s="375" t="str">
        <f>IF(B346="", "", 'Lighting Inventory (Ref only)'!U357)</f>
        <v/>
      </c>
      <c r="AF346" s="375" t="str">
        <f>IF(B346="", "",'Lighting Inventory (Ref only)'!W357)</f>
        <v/>
      </c>
      <c r="AG346" s="375"/>
      <c r="AH346" s="375" t="str">
        <f>IF(B346="", "",'Lighting Inventory (Ref only)'!Z357)</f>
        <v/>
      </c>
      <c r="AI346" s="375" t="str">
        <f>IF(B346="", "", 'Lighting Inventory (Ref only)'!Y357)</f>
        <v/>
      </c>
      <c r="AJ346" s="375" t="str">
        <f>IF(C346="", "",'Lighting Inventory (Ref only)'!AB357)</f>
        <v/>
      </c>
      <c r="AK346" s="375" t="str">
        <f>IF(B346="", "", 'Lighting Inventory (Ref only)'!AG357)</f>
        <v/>
      </c>
      <c r="AL346" s="375" t="str">
        <f>IF(B346="", "", 'Lighting Inventory (Ref only)'!AD357)</f>
        <v/>
      </c>
      <c r="AM346" s="375" t="str">
        <f>IF(B346="", "", 'Lighting Inventory (Ref only)'!AE357)</f>
        <v/>
      </c>
      <c r="AN346" s="375" t="str">
        <f>IF(B346="", "", 'Lighting Inventory (Ref only)'!AF357)</f>
        <v/>
      </c>
      <c r="AO346" s="375" t="str">
        <f>IF(B346="", "", 'Lighting Inventory (Ref only)'!AG357)</f>
        <v/>
      </c>
    </row>
    <row r="347" spans="1:41">
      <c r="A347" s="298" t="str">
        <f>IF(G347="", "", Lookups!BF349)</f>
        <v/>
      </c>
      <c r="B347" s="298" t="str">
        <f>IF('Lighting Inventory (Ref only)'!Q358="", "", 'Lighting Inventory (Ref only)'!Q358)</f>
        <v/>
      </c>
      <c r="C347" s="298" t="str">
        <f>IF(A347="", "", 'Lighting Inventory (Ref only)'!AO358)</f>
        <v/>
      </c>
      <c r="D347" s="370" t="str">
        <f>IF(B347= "","", Inventory!S355)</f>
        <v/>
      </c>
      <c r="E347" s="371"/>
      <c r="F347" s="298" t="str">
        <f>IF(B347="", "", 'Version Log'!$B$34)</f>
        <v/>
      </c>
      <c r="G347" s="298" t="str">
        <f t="shared" si="20"/>
        <v/>
      </c>
      <c r="H347" s="298" t="str">
        <f t="shared" si="21"/>
        <v/>
      </c>
      <c r="I347" s="298" t="str">
        <f>IF(B347="", "",Inventory!D355)</f>
        <v/>
      </c>
      <c r="J347" s="298" t="str">
        <f>IF(B347="","",IF(Inventory!C355="N","Interior","Exterior"))</f>
        <v/>
      </c>
      <c r="K347" s="298" t="str">
        <f t="shared" si="22"/>
        <v/>
      </c>
      <c r="L347" s="298" t="str">
        <f>IF(B347="", "", Inventory!E355)</f>
        <v/>
      </c>
      <c r="M347" s="298" t="str">
        <f>IF(B347="","",IF(Cool_Type=Lookups!$L$9,Cool_Type,IF(Cool_Type=Lookups!$L$10,Cool_Type,IF(Cool_Type=Lookups!$L$11,Cool_Type,IF(Cool_Type=Lookups!L357,Cool_Type,IF('Project Info and Summary'!$C$20="Electric",CONCATENATE(Cool_Type," ",Heating_Type," Heat"),IF('Project Info and Summary'!$C$20="Non-Electric",CONCATENATE(Cool_Type," ",Heating_Type," Heat"),CONCATENATE(Cool_Type," ",Heating_Type))))))))</f>
        <v/>
      </c>
      <c r="N347" s="298" t="str">
        <f t="shared" si="23"/>
        <v/>
      </c>
      <c r="O347" s="298" t="str">
        <f>IF(B347="", "", 'Lighting Inventory (Ref only)'!G358)</f>
        <v/>
      </c>
      <c r="P347" s="298" t="str">
        <f>IF(B347="", "", 'Lighting Inventory (Ref only)'!E358)</f>
        <v/>
      </c>
      <c r="Q347" s="298" t="str">
        <f>IF(B347="", "", 'Lighting Inventory (Ref only)'!J358)</f>
        <v/>
      </c>
      <c r="R347" s="298" t="str">
        <f>IF(B347="", "",'Lighting Inventory (Ref only)'!K358)</f>
        <v/>
      </c>
      <c r="S347" s="372" t="str">
        <f>IF(B347="", "", 'Lighting Inventory (Ref only)'!G358*'Lighting Inventory (Ref only)'!K358/1000)</f>
        <v/>
      </c>
      <c r="T347" s="298" t="str">
        <f>IF(B347="", "", IF('Lighting Inventory (Ref only)'!I358="", "Light Switch",Inventory!H355))</f>
        <v/>
      </c>
      <c r="W347" s="373"/>
      <c r="X347" s="298" t="str">
        <f>IF(B347="", "", 'Lighting Inventory (Ref only)'!Q358)</f>
        <v/>
      </c>
      <c r="Z347" s="374"/>
      <c r="AA347" s="372" t="str">
        <f>IF(B347="", "",'Lighting Inventory (Ref only)'!R358/1000)</f>
        <v/>
      </c>
      <c r="AB347" s="372" t="str">
        <f>IF(B347="", "", Inventory!M355)</f>
        <v/>
      </c>
      <c r="AC347" s="374" t="str">
        <f>IF(B347="", "", 'Lighting Inventory (Ref only)'!T358)</f>
        <v/>
      </c>
      <c r="AD347" s="374" t="str">
        <f>IF(C347="", "", 'Lighting Inventory (Ref only)'!AA358)</f>
        <v/>
      </c>
      <c r="AE347" s="375" t="str">
        <f>IF(B347="", "", 'Lighting Inventory (Ref only)'!U358)</f>
        <v/>
      </c>
      <c r="AF347" s="375" t="str">
        <f>IF(B347="", "",'Lighting Inventory (Ref only)'!W358)</f>
        <v/>
      </c>
      <c r="AG347" s="375"/>
      <c r="AH347" s="375" t="str">
        <f>IF(B347="", "",'Lighting Inventory (Ref only)'!Z358)</f>
        <v/>
      </c>
      <c r="AI347" s="375" t="str">
        <f>IF(B347="", "", 'Lighting Inventory (Ref only)'!Y358)</f>
        <v/>
      </c>
      <c r="AJ347" s="375" t="str">
        <f>IF(C347="", "",'Lighting Inventory (Ref only)'!AB358)</f>
        <v/>
      </c>
      <c r="AK347" s="375" t="str">
        <f>IF(B347="", "", 'Lighting Inventory (Ref only)'!AG358)</f>
        <v/>
      </c>
      <c r="AL347" s="375" t="str">
        <f>IF(B347="", "", 'Lighting Inventory (Ref only)'!AD358)</f>
        <v/>
      </c>
      <c r="AM347" s="375" t="str">
        <f>IF(B347="", "", 'Lighting Inventory (Ref only)'!AE358)</f>
        <v/>
      </c>
      <c r="AN347" s="375" t="str">
        <f>IF(B347="", "", 'Lighting Inventory (Ref only)'!AF358)</f>
        <v/>
      </c>
      <c r="AO347" s="375" t="str">
        <f>IF(B347="", "", 'Lighting Inventory (Ref only)'!AG358)</f>
        <v/>
      </c>
    </row>
    <row r="348" spans="1:41">
      <c r="A348" s="298" t="str">
        <f>IF(G348="", "", Lookups!BF350)</f>
        <v/>
      </c>
      <c r="B348" s="298" t="str">
        <f>IF('Lighting Inventory (Ref only)'!Q359="", "", 'Lighting Inventory (Ref only)'!Q359)</f>
        <v/>
      </c>
      <c r="C348" s="298" t="str">
        <f>IF(A348="", "", 'Lighting Inventory (Ref only)'!AO359)</f>
        <v/>
      </c>
      <c r="D348" s="370" t="str">
        <f>IF(B348= "","", Inventory!S356)</f>
        <v/>
      </c>
      <c r="E348" s="371"/>
      <c r="F348" s="298" t="str">
        <f>IF(B348="", "", 'Version Log'!$B$34)</f>
        <v/>
      </c>
      <c r="G348" s="298" t="str">
        <f t="shared" si="20"/>
        <v/>
      </c>
      <c r="H348" s="298" t="str">
        <f t="shared" si="21"/>
        <v/>
      </c>
      <c r="I348" s="298" t="str">
        <f>IF(B348="", "",Inventory!D356)</f>
        <v/>
      </c>
      <c r="J348" s="298" t="str">
        <f>IF(B348="","",IF(Inventory!C356="N","Interior","Exterior"))</f>
        <v/>
      </c>
      <c r="K348" s="298" t="str">
        <f t="shared" si="22"/>
        <v/>
      </c>
      <c r="L348" s="298" t="str">
        <f>IF(B348="", "", Inventory!E356)</f>
        <v/>
      </c>
      <c r="M348" s="298" t="str">
        <f>IF(B348="","",IF(Cool_Type=Lookups!$L$9,Cool_Type,IF(Cool_Type=Lookups!$L$10,Cool_Type,IF(Cool_Type=Lookups!$L$11,Cool_Type,IF(Cool_Type=Lookups!L358,Cool_Type,IF('Project Info and Summary'!$C$20="Electric",CONCATENATE(Cool_Type," ",Heating_Type," Heat"),IF('Project Info and Summary'!$C$20="Non-Electric",CONCATENATE(Cool_Type," ",Heating_Type," Heat"),CONCATENATE(Cool_Type," ",Heating_Type))))))))</f>
        <v/>
      </c>
      <c r="N348" s="298" t="str">
        <f t="shared" si="23"/>
        <v/>
      </c>
      <c r="O348" s="298" t="str">
        <f>IF(B348="", "", 'Lighting Inventory (Ref only)'!G359)</f>
        <v/>
      </c>
      <c r="P348" s="298" t="str">
        <f>IF(B348="", "", 'Lighting Inventory (Ref only)'!E359)</f>
        <v/>
      </c>
      <c r="Q348" s="298" t="str">
        <f>IF(B348="", "", 'Lighting Inventory (Ref only)'!J359)</f>
        <v/>
      </c>
      <c r="R348" s="298" t="str">
        <f>IF(B348="", "",'Lighting Inventory (Ref only)'!K359)</f>
        <v/>
      </c>
      <c r="S348" s="372" t="str">
        <f>IF(B348="", "", 'Lighting Inventory (Ref only)'!G359*'Lighting Inventory (Ref only)'!K359/1000)</f>
        <v/>
      </c>
      <c r="T348" s="298" t="str">
        <f>IF(B348="", "", IF('Lighting Inventory (Ref only)'!I359="", "Light Switch",Inventory!H356))</f>
        <v/>
      </c>
      <c r="W348" s="373"/>
      <c r="X348" s="298" t="str">
        <f>IF(B348="", "", 'Lighting Inventory (Ref only)'!Q359)</f>
        <v/>
      </c>
      <c r="Z348" s="374"/>
      <c r="AA348" s="372" t="str">
        <f>IF(B348="", "",'Lighting Inventory (Ref only)'!R359/1000)</f>
        <v/>
      </c>
      <c r="AB348" s="372" t="str">
        <f>IF(B348="", "", Inventory!M356)</f>
        <v/>
      </c>
      <c r="AC348" s="374" t="str">
        <f>IF(B348="", "", 'Lighting Inventory (Ref only)'!T359)</f>
        <v/>
      </c>
      <c r="AD348" s="374" t="str">
        <f>IF(C348="", "", 'Lighting Inventory (Ref only)'!AA359)</f>
        <v/>
      </c>
      <c r="AE348" s="375" t="str">
        <f>IF(B348="", "", 'Lighting Inventory (Ref only)'!U359)</f>
        <v/>
      </c>
      <c r="AF348" s="375" t="str">
        <f>IF(B348="", "",'Lighting Inventory (Ref only)'!W359)</f>
        <v/>
      </c>
      <c r="AG348" s="375"/>
      <c r="AH348" s="375" t="str">
        <f>IF(B348="", "",'Lighting Inventory (Ref only)'!Z359)</f>
        <v/>
      </c>
      <c r="AI348" s="375" t="str">
        <f>IF(B348="", "", 'Lighting Inventory (Ref only)'!Y359)</f>
        <v/>
      </c>
      <c r="AJ348" s="375" t="str">
        <f>IF(C348="", "",'Lighting Inventory (Ref only)'!AB359)</f>
        <v/>
      </c>
      <c r="AK348" s="375" t="str">
        <f>IF(B348="", "", 'Lighting Inventory (Ref only)'!AG359)</f>
        <v/>
      </c>
      <c r="AL348" s="375" t="str">
        <f>IF(B348="", "", 'Lighting Inventory (Ref only)'!AD359)</f>
        <v/>
      </c>
      <c r="AM348" s="375" t="str">
        <f>IF(B348="", "", 'Lighting Inventory (Ref only)'!AE359)</f>
        <v/>
      </c>
      <c r="AN348" s="375" t="str">
        <f>IF(B348="", "", 'Lighting Inventory (Ref only)'!AF359)</f>
        <v/>
      </c>
      <c r="AO348" s="375" t="str">
        <f>IF(B348="", "", 'Lighting Inventory (Ref only)'!AG359)</f>
        <v/>
      </c>
    </row>
    <row r="349" spans="1:41">
      <c r="A349" s="298" t="str">
        <f>IF(G349="", "", Lookups!BF351)</f>
        <v/>
      </c>
      <c r="B349" s="298" t="str">
        <f>IF('Lighting Inventory (Ref only)'!Q360="", "", 'Lighting Inventory (Ref only)'!Q360)</f>
        <v/>
      </c>
      <c r="C349" s="298" t="str">
        <f>IF(A349="", "", 'Lighting Inventory (Ref only)'!AO360)</f>
        <v/>
      </c>
      <c r="D349" s="370" t="str">
        <f>IF(B349= "","", Inventory!S357)</f>
        <v/>
      </c>
      <c r="E349" s="371"/>
      <c r="F349" s="298" t="str">
        <f>IF(B349="", "", 'Version Log'!$B$34)</f>
        <v/>
      </c>
      <c r="G349" s="298" t="str">
        <f t="shared" si="20"/>
        <v/>
      </c>
      <c r="H349" s="298" t="str">
        <f t="shared" si="21"/>
        <v/>
      </c>
      <c r="I349" s="298" t="str">
        <f>IF(B349="", "",Inventory!D357)</f>
        <v/>
      </c>
      <c r="J349" s="298" t="str">
        <f>IF(B349="","",IF(Inventory!C357="N","Interior","Exterior"))</f>
        <v/>
      </c>
      <c r="K349" s="298" t="str">
        <f t="shared" si="22"/>
        <v/>
      </c>
      <c r="L349" s="298" t="str">
        <f>IF(B349="", "", Inventory!E357)</f>
        <v/>
      </c>
      <c r="M349" s="298" t="str">
        <f>IF(B349="","",IF(Cool_Type=Lookups!$L$9,Cool_Type,IF(Cool_Type=Lookups!$L$10,Cool_Type,IF(Cool_Type=Lookups!$L$11,Cool_Type,IF(Cool_Type=Lookups!L359,Cool_Type,IF('Project Info and Summary'!$C$20="Electric",CONCATENATE(Cool_Type," ",Heating_Type," Heat"),IF('Project Info and Summary'!$C$20="Non-Electric",CONCATENATE(Cool_Type," ",Heating_Type," Heat"),CONCATENATE(Cool_Type," ",Heating_Type))))))))</f>
        <v/>
      </c>
      <c r="N349" s="298" t="str">
        <f t="shared" si="23"/>
        <v/>
      </c>
      <c r="O349" s="298" t="str">
        <f>IF(B349="", "", 'Lighting Inventory (Ref only)'!G360)</f>
        <v/>
      </c>
      <c r="P349" s="298" t="str">
        <f>IF(B349="", "", 'Lighting Inventory (Ref only)'!E360)</f>
        <v/>
      </c>
      <c r="Q349" s="298" t="str">
        <f>IF(B349="", "", 'Lighting Inventory (Ref only)'!J360)</f>
        <v/>
      </c>
      <c r="R349" s="298" t="str">
        <f>IF(B349="", "",'Lighting Inventory (Ref only)'!K360)</f>
        <v/>
      </c>
      <c r="S349" s="372" t="str">
        <f>IF(B349="", "", 'Lighting Inventory (Ref only)'!G360*'Lighting Inventory (Ref only)'!K360/1000)</f>
        <v/>
      </c>
      <c r="T349" s="298" t="str">
        <f>IF(B349="", "", IF('Lighting Inventory (Ref only)'!I360="", "Light Switch",Inventory!H357))</f>
        <v/>
      </c>
      <c r="W349" s="373"/>
      <c r="X349" s="298" t="str">
        <f>IF(B349="", "", 'Lighting Inventory (Ref only)'!Q360)</f>
        <v/>
      </c>
      <c r="Z349" s="374"/>
      <c r="AA349" s="372" t="str">
        <f>IF(B349="", "",'Lighting Inventory (Ref only)'!R360/1000)</f>
        <v/>
      </c>
      <c r="AB349" s="372" t="str">
        <f>IF(B349="", "", Inventory!M357)</f>
        <v/>
      </c>
      <c r="AC349" s="374" t="str">
        <f>IF(B349="", "", 'Lighting Inventory (Ref only)'!T360)</f>
        <v/>
      </c>
      <c r="AD349" s="374" t="str">
        <f>IF(C349="", "", 'Lighting Inventory (Ref only)'!AA360)</f>
        <v/>
      </c>
      <c r="AE349" s="375" t="str">
        <f>IF(B349="", "", 'Lighting Inventory (Ref only)'!U360)</f>
        <v/>
      </c>
      <c r="AF349" s="375" t="str">
        <f>IF(B349="", "",'Lighting Inventory (Ref only)'!W360)</f>
        <v/>
      </c>
      <c r="AG349" s="375"/>
      <c r="AH349" s="375" t="str">
        <f>IF(B349="", "",'Lighting Inventory (Ref only)'!Z360)</f>
        <v/>
      </c>
      <c r="AI349" s="375" t="str">
        <f>IF(B349="", "", 'Lighting Inventory (Ref only)'!Y360)</f>
        <v/>
      </c>
      <c r="AJ349" s="375" t="str">
        <f>IF(C349="", "",'Lighting Inventory (Ref only)'!AB360)</f>
        <v/>
      </c>
      <c r="AK349" s="375" t="str">
        <f>IF(B349="", "", 'Lighting Inventory (Ref only)'!AG360)</f>
        <v/>
      </c>
      <c r="AL349" s="375" t="str">
        <f>IF(B349="", "", 'Lighting Inventory (Ref only)'!AD360)</f>
        <v/>
      </c>
      <c r="AM349" s="375" t="str">
        <f>IF(B349="", "", 'Lighting Inventory (Ref only)'!AE360)</f>
        <v/>
      </c>
      <c r="AN349" s="375" t="str">
        <f>IF(B349="", "", 'Lighting Inventory (Ref only)'!AF360)</f>
        <v/>
      </c>
      <c r="AO349" s="375" t="str">
        <f>IF(B349="", "", 'Lighting Inventory (Ref only)'!AG360)</f>
        <v/>
      </c>
    </row>
    <row r="350" spans="1:41">
      <c r="A350" s="298" t="str">
        <f>IF(G350="", "", Lookups!BF352)</f>
        <v/>
      </c>
      <c r="B350" s="298" t="str">
        <f>IF('Lighting Inventory (Ref only)'!Q361="", "", 'Lighting Inventory (Ref only)'!Q361)</f>
        <v/>
      </c>
      <c r="C350" s="298" t="str">
        <f>IF(A350="", "", 'Lighting Inventory (Ref only)'!AO361)</f>
        <v/>
      </c>
      <c r="D350" s="370" t="str">
        <f>IF(B350= "","", Inventory!S358)</f>
        <v/>
      </c>
      <c r="E350" s="371"/>
      <c r="F350" s="298" t="str">
        <f>IF(B350="", "", 'Version Log'!$B$34)</f>
        <v/>
      </c>
      <c r="G350" s="298" t="str">
        <f t="shared" si="20"/>
        <v/>
      </c>
      <c r="H350" s="298" t="str">
        <f t="shared" si="21"/>
        <v/>
      </c>
      <c r="I350" s="298" t="str">
        <f>IF(B350="", "",Inventory!D358)</f>
        <v/>
      </c>
      <c r="J350" s="298" t="str">
        <f>IF(B350="","",IF(Inventory!C358="N","Interior","Exterior"))</f>
        <v/>
      </c>
      <c r="K350" s="298" t="str">
        <f t="shared" si="22"/>
        <v/>
      </c>
      <c r="L350" s="298" t="str">
        <f>IF(B350="", "", Inventory!E358)</f>
        <v/>
      </c>
      <c r="M350" s="298" t="str">
        <f>IF(B350="","",IF(Cool_Type=Lookups!$L$9,Cool_Type,IF(Cool_Type=Lookups!$L$10,Cool_Type,IF(Cool_Type=Lookups!$L$11,Cool_Type,IF(Cool_Type=Lookups!L360,Cool_Type,IF('Project Info and Summary'!$C$20="Electric",CONCATENATE(Cool_Type," ",Heating_Type," Heat"),IF('Project Info and Summary'!$C$20="Non-Electric",CONCATENATE(Cool_Type," ",Heating_Type," Heat"),CONCATENATE(Cool_Type," ",Heating_Type))))))))</f>
        <v/>
      </c>
      <c r="N350" s="298" t="str">
        <f t="shared" si="23"/>
        <v/>
      </c>
      <c r="O350" s="298" t="str">
        <f>IF(B350="", "", 'Lighting Inventory (Ref only)'!G361)</f>
        <v/>
      </c>
      <c r="P350" s="298" t="str">
        <f>IF(B350="", "", 'Lighting Inventory (Ref only)'!E361)</f>
        <v/>
      </c>
      <c r="Q350" s="298" t="str">
        <f>IF(B350="", "", 'Lighting Inventory (Ref only)'!J361)</f>
        <v/>
      </c>
      <c r="R350" s="298" t="str">
        <f>IF(B350="", "",'Lighting Inventory (Ref only)'!K361)</f>
        <v/>
      </c>
      <c r="S350" s="372" t="str">
        <f>IF(B350="", "", 'Lighting Inventory (Ref only)'!G361*'Lighting Inventory (Ref only)'!K361/1000)</f>
        <v/>
      </c>
      <c r="T350" s="298" t="str">
        <f>IF(B350="", "", IF('Lighting Inventory (Ref only)'!I361="", "Light Switch",Inventory!H358))</f>
        <v/>
      </c>
      <c r="W350" s="373"/>
      <c r="X350" s="298" t="str">
        <f>IF(B350="", "", 'Lighting Inventory (Ref only)'!Q361)</f>
        <v/>
      </c>
      <c r="Z350" s="374"/>
      <c r="AA350" s="372" t="str">
        <f>IF(B350="", "",'Lighting Inventory (Ref only)'!R361/1000)</f>
        <v/>
      </c>
      <c r="AB350" s="372" t="str">
        <f>IF(B350="", "", Inventory!M358)</f>
        <v/>
      </c>
      <c r="AC350" s="374" t="str">
        <f>IF(B350="", "", 'Lighting Inventory (Ref only)'!T361)</f>
        <v/>
      </c>
      <c r="AD350" s="374" t="str">
        <f>IF(C350="", "", 'Lighting Inventory (Ref only)'!AA361)</f>
        <v/>
      </c>
      <c r="AE350" s="375" t="str">
        <f>IF(B350="", "", 'Lighting Inventory (Ref only)'!U361)</f>
        <v/>
      </c>
      <c r="AF350" s="375" t="str">
        <f>IF(B350="", "",'Lighting Inventory (Ref only)'!W361)</f>
        <v/>
      </c>
      <c r="AG350" s="375"/>
      <c r="AH350" s="375" t="str">
        <f>IF(B350="", "",'Lighting Inventory (Ref only)'!Z361)</f>
        <v/>
      </c>
      <c r="AI350" s="375" t="str">
        <f>IF(B350="", "", 'Lighting Inventory (Ref only)'!Y361)</f>
        <v/>
      </c>
      <c r="AJ350" s="375" t="str">
        <f>IF(C350="", "",'Lighting Inventory (Ref only)'!AB361)</f>
        <v/>
      </c>
      <c r="AK350" s="375" t="str">
        <f>IF(B350="", "", 'Lighting Inventory (Ref only)'!AG361)</f>
        <v/>
      </c>
      <c r="AL350" s="375" t="str">
        <f>IF(B350="", "", 'Lighting Inventory (Ref only)'!AD361)</f>
        <v/>
      </c>
      <c r="AM350" s="375" t="str">
        <f>IF(B350="", "", 'Lighting Inventory (Ref only)'!AE361)</f>
        <v/>
      </c>
      <c r="AN350" s="375" t="str">
        <f>IF(B350="", "", 'Lighting Inventory (Ref only)'!AF361)</f>
        <v/>
      </c>
      <c r="AO350" s="375" t="str">
        <f>IF(B350="", "", 'Lighting Inventory (Ref only)'!AG361)</f>
        <v/>
      </c>
    </row>
    <row r="351" spans="1:41">
      <c r="A351" s="298" t="str">
        <f>IF(G351="", "", Lookups!BF353)</f>
        <v/>
      </c>
      <c r="B351" s="298" t="str">
        <f>IF('Lighting Inventory (Ref only)'!Q362="", "", 'Lighting Inventory (Ref only)'!Q362)</f>
        <v/>
      </c>
      <c r="C351" s="298" t="str">
        <f>IF(A351="", "", 'Lighting Inventory (Ref only)'!AO362)</f>
        <v/>
      </c>
      <c r="D351" s="370" t="str">
        <f>IF(B351= "","", Inventory!S359)</f>
        <v/>
      </c>
      <c r="E351" s="371"/>
      <c r="F351" s="298" t="str">
        <f>IF(B351="", "", 'Version Log'!$B$34)</f>
        <v/>
      </c>
      <c r="G351" s="298" t="str">
        <f t="shared" si="20"/>
        <v/>
      </c>
      <c r="H351" s="298" t="str">
        <f t="shared" si="21"/>
        <v/>
      </c>
      <c r="I351" s="298" t="str">
        <f>IF(B351="", "",Inventory!D359)</f>
        <v/>
      </c>
      <c r="J351" s="298" t="str">
        <f>IF(B351="","",IF(Inventory!C359="N","Interior","Exterior"))</f>
        <v/>
      </c>
      <c r="K351" s="298" t="str">
        <f t="shared" si="22"/>
        <v/>
      </c>
      <c r="L351" s="298" t="str">
        <f>IF(B351="", "", Inventory!E359)</f>
        <v/>
      </c>
      <c r="M351" s="298" t="str">
        <f>IF(B351="","",IF(Cool_Type=Lookups!$L$9,Cool_Type,IF(Cool_Type=Lookups!$L$10,Cool_Type,IF(Cool_Type=Lookups!$L$11,Cool_Type,IF(Cool_Type=Lookups!L361,Cool_Type,IF('Project Info and Summary'!$C$20="Electric",CONCATENATE(Cool_Type," ",Heating_Type," Heat"),IF('Project Info and Summary'!$C$20="Non-Electric",CONCATENATE(Cool_Type," ",Heating_Type," Heat"),CONCATENATE(Cool_Type," ",Heating_Type))))))))</f>
        <v/>
      </c>
      <c r="N351" s="298" t="str">
        <f t="shared" si="23"/>
        <v/>
      </c>
      <c r="O351" s="298" t="str">
        <f>IF(B351="", "", 'Lighting Inventory (Ref only)'!G362)</f>
        <v/>
      </c>
      <c r="P351" s="298" t="str">
        <f>IF(B351="", "", 'Lighting Inventory (Ref only)'!E362)</f>
        <v/>
      </c>
      <c r="Q351" s="298" t="str">
        <f>IF(B351="", "", 'Lighting Inventory (Ref only)'!J362)</f>
        <v/>
      </c>
      <c r="R351" s="298" t="str">
        <f>IF(B351="", "",'Lighting Inventory (Ref only)'!K362)</f>
        <v/>
      </c>
      <c r="S351" s="372" t="str">
        <f>IF(B351="", "", 'Lighting Inventory (Ref only)'!G362*'Lighting Inventory (Ref only)'!K362/1000)</f>
        <v/>
      </c>
      <c r="T351" s="298" t="str">
        <f>IF(B351="", "", IF('Lighting Inventory (Ref only)'!I362="", "Light Switch",Inventory!H359))</f>
        <v/>
      </c>
      <c r="W351" s="373"/>
      <c r="X351" s="298" t="str">
        <f>IF(B351="", "", 'Lighting Inventory (Ref only)'!Q362)</f>
        <v/>
      </c>
      <c r="Z351" s="374"/>
      <c r="AA351" s="372" t="str">
        <f>IF(B351="", "",'Lighting Inventory (Ref only)'!R362/1000)</f>
        <v/>
      </c>
      <c r="AB351" s="372" t="str">
        <f>IF(B351="", "", Inventory!M359)</f>
        <v/>
      </c>
      <c r="AC351" s="374" t="str">
        <f>IF(B351="", "", 'Lighting Inventory (Ref only)'!T362)</f>
        <v/>
      </c>
      <c r="AD351" s="374" t="str">
        <f>IF(C351="", "", 'Lighting Inventory (Ref only)'!AA362)</f>
        <v/>
      </c>
      <c r="AE351" s="375" t="str">
        <f>IF(B351="", "", 'Lighting Inventory (Ref only)'!U362)</f>
        <v/>
      </c>
      <c r="AF351" s="375" t="str">
        <f>IF(B351="", "",'Lighting Inventory (Ref only)'!W362)</f>
        <v/>
      </c>
      <c r="AG351" s="375"/>
      <c r="AH351" s="375" t="str">
        <f>IF(B351="", "",'Lighting Inventory (Ref only)'!Z362)</f>
        <v/>
      </c>
      <c r="AI351" s="375" t="str">
        <f>IF(B351="", "", 'Lighting Inventory (Ref only)'!Y362)</f>
        <v/>
      </c>
      <c r="AJ351" s="375" t="str">
        <f>IF(C351="", "",'Lighting Inventory (Ref only)'!AB362)</f>
        <v/>
      </c>
      <c r="AK351" s="375" t="str">
        <f>IF(B351="", "", 'Lighting Inventory (Ref only)'!AG362)</f>
        <v/>
      </c>
      <c r="AL351" s="375" t="str">
        <f>IF(B351="", "", 'Lighting Inventory (Ref only)'!AD362)</f>
        <v/>
      </c>
      <c r="AM351" s="375" t="str">
        <f>IF(B351="", "", 'Lighting Inventory (Ref only)'!AE362)</f>
        <v/>
      </c>
      <c r="AN351" s="375" t="str">
        <f>IF(B351="", "", 'Lighting Inventory (Ref only)'!AF362)</f>
        <v/>
      </c>
      <c r="AO351" s="375" t="str">
        <f>IF(B351="", "", 'Lighting Inventory (Ref only)'!AG362)</f>
        <v/>
      </c>
    </row>
    <row r="352" spans="1:41">
      <c r="A352" s="298" t="str">
        <f>IF(G352="", "", Lookups!BF354)</f>
        <v/>
      </c>
      <c r="B352" s="298" t="str">
        <f>IF('Lighting Inventory (Ref only)'!Q363="", "", 'Lighting Inventory (Ref only)'!Q363)</f>
        <v/>
      </c>
      <c r="C352" s="298" t="str">
        <f>IF(A352="", "", 'Lighting Inventory (Ref only)'!AO363)</f>
        <v/>
      </c>
      <c r="D352" s="370" t="str">
        <f>IF(B352= "","", Inventory!S360)</f>
        <v/>
      </c>
      <c r="E352" s="371"/>
      <c r="F352" s="298" t="str">
        <f>IF(B352="", "", 'Version Log'!$B$34)</f>
        <v/>
      </c>
      <c r="G352" s="298" t="str">
        <f t="shared" si="20"/>
        <v/>
      </c>
      <c r="H352" s="298" t="str">
        <f t="shared" si="21"/>
        <v/>
      </c>
      <c r="I352" s="298" t="str">
        <f>IF(B352="", "",Inventory!D360)</f>
        <v/>
      </c>
      <c r="J352" s="298" t="str">
        <f>IF(B352="","",IF(Inventory!C360="N","Interior","Exterior"))</f>
        <v/>
      </c>
      <c r="K352" s="298" t="str">
        <f t="shared" si="22"/>
        <v/>
      </c>
      <c r="L352" s="298" t="str">
        <f>IF(B352="", "", Inventory!E360)</f>
        <v/>
      </c>
      <c r="M352" s="298" t="str">
        <f>IF(B352="","",IF(Cool_Type=Lookups!$L$9,Cool_Type,IF(Cool_Type=Lookups!$L$10,Cool_Type,IF(Cool_Type=Lookups!$L$11,Cool_Type,IF(Cool_Type=Lookups!L362,Cool_Type,IF('Project Info and Summary'!$C$20="Electric",CONCATENATE(Cool_Type," ",Heating_Type," Heat"),IF('Project Info and Summary'!$C$20="Non-Electric",CONCATENATE(Cool_Type," ",Heating_Type," Heat"),CONCATENATE(Cool_Type," ",Heating_Type))))))))</f>
        <v/>
      </c>
      <c r="N352" s="298" t="str">
        <f t="shared" si="23"/>
        <v/>
      </c>
      <c r="O352" s="298" t="str">
        <f>IF(B352="", "", 'Lighting Inventory (Ref only)'!G363)</f>
        <v/>
      </c>
      <c r="P352" s="298" t="str">
        <f>IF(B352="", "", 'Lighting Inventory (Ref only)'!E363)</f>
        <v/>
      </c>
      <c r="Q352" s="298" t="str">
        <f>IF(B352="", "", 'Lighting Inventory (Ref only)'!J363)</f>
        <v/>
      </c>
      <c r="R352" s="298" t="str">
        <f>IF(B352="", "",'Lighting Inventory (Ref only)'!K363)</f>
        <v/>
      </c>
      <c r="S352" s="372" t="str">
        <f>IF(B352="", "", 'Lighting Inventory (Ref only)'!G363*'Lighting Inventory (Ref only)'!K363/1000)</f>
        <v/>
      </c>
      <c r="T352" s="298" t="str">
        <f>IF(B352="", "", IF('Lighting Inventory (Ref only)'!I363="", "Light Switch",Inventory!H360))</f>
        <v/>
      </c>
      <c r="W352" s="373"/>
      <c r="X352" s="298" t="str">
        <f>IF(B352="", "", 'Lighting Inventory (Ref only)'!Q363)</f>
        <v/>
      </c>
      <c r="Z352" s="374"/>
      <c r="AA352" s="372" t="str">
        <f>IF(B352="", "",'Lighting Inventory (Ref only)'!R363/1000)</f>
        <v/>
      </c>
      <c r="AB352" s="372" t="str">
        <f>IF(B352="", "", Inventory!M360)</f>
        <v/>
      </c>
      <c r="AC352" s="374" t="str">
        <f>IF(B352="", "", 'Lighting Inventory (Ref only)'!T363)</f>
        <v/>
      </c>
      <c r="AD352" s="374" t="str">
        <f>IF(C352="", "", 'Lighting Inventory (Ref only)'!AA363)</f>
        <v/>
      </c>
      <c r="AE352" s="375" t="str">
        <f>IF(B352="", "", 'Lighting Inventory (Ref only)'!U363)</f>
        <v/>
      </c>
      <c r="AF352" s="375" t="str">
        <f>IF(B352="", "",'Lighting Inventory (Ref only)'!W363)</f>
        <v/>
      </c>
      <c r="AG352" s="375"/>
      <c r="AH352" s="375" t="str">
        <f>IF(B352="", "",'Lighting Inventory (Ref only)'!Z363)</f>
        <v/>
      </c>
      <c r="AI352" s="375" t="str">
        <f>IF(B352="", "", 'Lighting Inventory (Ref only)'!Y363)</f>
        <v/>
      </c>
      <c r="AJ352" s="375" t="str">
        <f>IF(C352="", "",'Lighting Inventory (Ref only)'!AB363)</f>
        <v/>
      </c>
      <c r="AK352" s="375" t="str">
        <f>IF(B352="", "", 'Lighting Inventory (Ref only)'!AG363)</f>
        <v/>
      </c>
      <c r="AL352" s="375" t="str">
        <f>IF(B352="", "", 'Lighting Inventory (Ref only)'!AD363)</f>
        <v/>
      </c>
      <c r="AM352" s="375" t="str">
        <f>IF(B352="", "", 'Lighting Inventory (Ref only)'!AE363)</f>
        <v/>
      </c>
      <c r="AN352" s="375" t="str">
        <f>IF(B352="", "", 'Lighting Inventory (Ref only)'!AF363)</f>
        <v/>
      </c>
      <c r="AO352" s="375" t="str">
        <f>IF(B352="", "", 'Lighting Inventory (Ref only)'!AG363)</f>
        <v/>
      </c>
    </row>
    <row r="353" spans="1:41">
      <c r="A353" s="298" t="str">
        <f>IF(G353="", "", Lookups!BF355)</f>
        <v/>
      </c>
      <c r="B353" s="298" t="str">
        <f>IF('Lighting Inventory (Ref only)'!Q364="", "", 'Lighting Inventory (Ref only)'!Q364)</f>
        <v/>
      </c>
      <c r="C353" s="298" t="str">
        <f>IF(A353="", "", 'Lighting Inventory (Ref only)'!AO364)</f>
        <v/>
      </c>
      <c r="D353" s="370" t="str">
        <f>IF(B353= "","", Inventory!S361)</f>
        <v/>
      </c>
      <c r="E353" s="371"/>
      <c r="F353" s="298" t="str">
        <f>IF(B353="", "", 'Version Log'!$B$34)</f>
        <v/>
      </c>
      <c r="G353" s="298" t="str">
        <f t="shared" si="20"/>
        <v/>
      </c>
      <c r="H353" s="298" t="str">
        <f t="shared" si="21"/>
        <v/>
      </c>
      <c r="I353" s="298" t="str">
        <f>IF(B353="", "",Inventory!D361)</f>
        <v/>
      </c>
      <c r="J353" s="298" t="str">
        <f>IF(B353="","",IF(Inventory!C361="N","Interior","Exterior"))</f>
        <v/>
      </c>
      <c r="K353" s="298" t="str">
        <f t="shared" si="22"/>
        <v/>
      </c>
      <c r="L353" s="298" t="str">
        <f>IF(B353="", "", Inventory!E361)</f>
        <v/>
      </c>
      <c r="M353" s="298" t="str">
        <f>IF(B353="","",IF(Cool_Type=Lookups!$L$9,Cool_Type,IF(Cool_Type=Lookups!$L$10,Cool_Type,IF(Cool_Type=Lookups!$L$11,Cool_Type,IF(Cool_Type=Lookups!L363,Cool_Type,IF('Project Info and Summary'!$C$20="Electric",CONCATENATE(Cool_Type," ",Heating_Type," Heat"),IF('Project Info and Summary'!$C$20="Non-Electric",CONCATENATE(Cool_Type," ",Heating_Type," Heat"),CONCATENATE(Cool_Type," ",Heating_Type))))))))</f>
        <v/>
      </c>
      <c r="N353" s="298" t="str">
        <f t="shared" si="23"/>
        <v/>
      </c>
      <c r="O353" s="298" t="str">
        <f>IF(B353="", "", 'Lighting Inventory (Ref only)'!G364)</f>
        <v/>
      </c>
      <c r="P353" s="298" t="str">
        <f>IF(B353="", "", 'Lighting Inventory (Ref only)'!E364)</f>
        <v/>
      </c>
      <c r="Q353" s="298" t="str">
        <f>IF(B353="", "", 'Lighting Inventory (Ref only)'!J364)</f>
        <v/>
      </c>
      <c r="R353" s="298" t="str">
        <f>IF(B353="", "",'Lighting Inventory (Ref only)'!K364)</f>
        <v/>
      </c>
      <c r="S353" s="372" t="str">
        <f>IF(B353="", "", 'Lighting Inventory (Ref only)'!G364*'Lighting Inventory (Ref only)'!K364/1000)</f>
        <v/>
      </c>
      <c r="T353" s="298" t="str">
        <f>IF(B353="", "", IF('Lighting Inventory (Ref only)'!I364="", "Light Switch",Inventory!H361))</f>
        <v/>
      </c>
      <c r="W353" s="373"/>
      <c r="X353" s="298" t="str">
        <f>IF(B353="", "", 'Lighting Inventory (Ref only)'!Q364)</f>
        <v/>
      </c>
      <c r="Z353" s="374"/>
      <c r="AA353" s="372" t="str">
        <f>IF(B353="", "",'Lighting Inventory (Ref only)'!R364/1000)</f>
        <v/>
      </c>
      <c r="AB353" s="372" t="str">
        <f>IF(B353="", "", Inventory!M361)</f>
        <v/>
      </c>
      <c r="AC353" s="374" t="str">
        <f>IF(B353="", "", 'Lighting Inventory (Ref only)'!T364)</f>
        <v/>
      </c>
      <c r="AD353" s="374" t="str">
        <f>IF(C353="", "", 'Lighting Inventory (Ref only)'!AA364)</f>
        <v/>
      </c>
      <c r="AE353" s="375" t="str">
        <f>IF(B353="", "", 'Lighting Inventory (Ref only)'!U364)</f>
        <v/>
      </c>
      <c r="AF353" s="375" t="str">
        <f>IF(B353="", "",'Lighting Inventory (Ref only)'!W364)</f>
        <v/>
      </c>
      <c r="AG353" s="375"/>
      <c r="AH353" s="375" t="str">
        <f>IF(B353="", "",'Lighting Inventory (Ref only)'!Z364)</f>
        <v/>
      </c>
      <c r="AI353" s="375" t="str">
        <f>IF(B353="", "", 'Lighting Inventory (Ref only)'!Y364)</f>
        <v/>
      </c>
      <c r="AJ353" s="375" t="str">
        <f>IF(C353="", "",'Lighting Inventory (Ref only)'!AB364)</f>
        <v/>
      </c>
      <c r="AK353" s="375" t="str">
        <f>IF(B353="", "", 'Lighting Inventory (Ref only)'!AG364)</f>
        <v/>
      </c>
      <c r="AL353" s="375" t="str">
        <f>IF(B353="", "", 'Lighting Inventory (Ref only)'!AD364)</f>
        <v/>
      </c>
      <c r="AM353" s="375" t="str">
        <f>IF(B353="", "", 'Lighting Inventory (Ref only)'!AE364)</f>
        <v/>
      </c>
      <c r="AN353" s="375" t="str">
        <f>IF(B353="", "", 'Lighting Inventory (Ref only)'!AF364)</f>
        <v/>
      </c>
      <c r="AO353" s="375" t="str">
        <f>IF(B353="", "", 'Lighting Inventory (Ref only)'!AG364)</f>
        <v/>
      </c>
    </row>
    <row r="354" spans="1:41">
      <c r="A354" s="298" t="str">
        <f>IF(G354="", "", Lookups!BF356)</f>
        <v/>
      </c>
      <c r="B354" s="298" t="str">
        <f>IF('Lighting Inventory (Ref only)'!Q365="", "", 'Lighting Inventory (Ref only)'!Q365)</f>
        <v/>
      </c>
      <c r="C354" s="298" t="str">
        <f>IF(A354="", "", 'Lighting Inventory (Ref only)'!AO365)</f>
        <v/>
      </c>
      <c r="D354" s="370" t="str">
        <f>IF(B354= "","", Inventory!S362)</f>
        <v/>
      </c>
      <c r="E354" s="371"/>
      <c r="F354" s="298" t="str">
        <f>IF(B354="", "", 'Version Log'!$B$34)</f>
        <v/>
      </c>
      <c r="G354" s="298" t="str">
        <f t="shared" si="20"/>
        <v/>
      </c>
      <c r="H354" s="298" t="str">
        <f t="shared" si="21"/>
        <v/>
      </c>
      <c r="I354" s="298" t="str">
        <f>IF(B354="", "",Inventory!D362)</f>
        <v/>
      </c>
      <c r="J354" s="298" t="str">
        <f>IF(B354="","",IF(Inventory!C362="N","Interior","Exterior"))</f>
        <v/>
      </c>
      <c r="K354" s="298" t="str">
        <f t="shared" si="22"/>
        <v/>
      </c>
      <c r="L354" s="298" t="str">
        <f>IF(B354="", "", Inventory!E362)</f>
        <v/>
      </c>
      <c r="M354" s="298" t="str">
        <f>IF(B354="","",IF(Cool_Type=Lookups!$L$9,Cool_Type,IF(Cool_Type=Lookups!$L$10,Cool_Type,IF(Cool_Type=Lookups!$L$11,Cool_Type,IF(Cool_Type=Lookups!L364,Cool_Type,IF('Project Info and Summary'!$C$20="Electric",CONCATENATE(Cool_Type," ",Heating_Type," Heat"),IF('Project Info and Summary'!$C$20="Non-Electric",CONCATENATE(Cool_Type," ",Heating_Type," Heat"),CONCATENATE(Cool_Type," ",Heating_Type))))))))</f>
        <v/>
      </c>
      <c r="N354" s="298" t="str">
        <f t="shared" si="23"/>
        <v/>
      </c>
      <c r="O354" s="298" t="str">
        <f>IF(B354="", "", 'Lighting Inventory (Ref only)'!G365)</f>
        <v/>
      </c>
      <c r="P354" s="298" t="str">
        <f>IF(B354="", "", 'Lighting Inventory (Ref only)'!E365)</f>
        <v/>
      </c>
      <c r="Q354" s="298" t="str">
        <f>IF(B354="", "", 'Lighting Inventory (Ref only)'!J365)</f>
        <v/>
      </c>
      <c r="R354" s="298" t="str">
        <f>IF(B354="", "",'Lighting Inventory (Ref only)'!K365)</f>
        <v/>
      </c>
      <c r="S354" s="372" t="str">
        <f>IF(B354="", "", 'Lighting Inventory (Ref only)'!G365*'Lighting Inventory (Ref only)'!K365/1000)</f>
        <v/>
      </c>
      <c r="T354" s="298" t="str">
        <f>IF(B354="", "", IF('Lighting Inventory (Ref only)'!I365="", "Light Switch",Inventory!H362))</f>
        <v/>
      </c>
      <c r="W354" s="373"/>
      <c r="X354" s="298" t="str">
        <f>IF(B354="", "", 'Lighting Inventory (Ref only)'!Q365)</f>
        <v/>
      </c>
      <c r="Z354" s="374"/>
      <c r="AA354" s="372" t="str">
        <f>IF(B354="", "",'Lighting Inventory (Ref only)'!R365/1000)</f>
        <v/>
      </c>
      <c r="AB354" s="372" t="str">
        <f>IF(B354="", "", Inventory!M362)</f>
        <v/>
      </c>
      <c r="AC354" s="374" t="str">
        <f>IF(B354="", "", 'Lighting Inventory (Ref only)'!T365)</f>
        <v/>
      </c>
      <c r="AD354" s="374" t="str">
        <f>IF(C354="", "", 'Lighting Inventory (Ref only)'!AA365)</f>
        <v/>
      </c>
      <c r="AE354" s="375" t="str">
        <f>IF(B354="", "", 'Lighting Inventory (Ref only)'!U365)</f>
        <v/>
      </c>
      <c r="AF354" s="375" t="str">
        <f>IF(B354="", "",'Lighting Inventory (Ref only)'!W365)</f>
        <v/>
      </c>
      <c r="AG354" s="375"/>
      <c r="AH354" s="375" t="str">
        <f>IF(B354="", "",'Lighting Inventory (Ref only)'!Z365)</f>
        <v/>
      </c>
      <c r="AI354" s="375" t="str">
        <f>IF(B354="", "", 'Lighting Inventory (Ref only)'!Y365)</f>
        <v/>
      </c>
      <c r="AJ354" s="375" t="str">
        <f>IF(C354="", "",'Lighting Inventory (Ref only)'!AB365)</f>
        <v/>
      </c>
      <c r="AK354" s="375" t="str">
        <f>IF(B354="", "", 'Lighting Inventory (Ref only)'!AG365)</f>
        <v/>
      </c>
      <c r="AL354" s="375" t="str">
        <f>IF(B354="", "", 'Lighting Inventory (Ref only)'!AD365)</f>
        <v/>
      </c>
      <c r="AM354" s="375" t="str">
        <f>IF(B354="", "", 'Lighting Inventory (Ref only)'!AE365)</f>
        <v/>
      </c>
      <c r="AN354" s="375" t="str">
        <f>IF(B354="", "", 'Lighting Inventory (Ref only)'!AF365)</f>
        <v/>
      </c>
      <c r="AO354" s="375" t="str">
        <f>IF(B354="", "", 'Lighting Inventory (Ref only)'!AG365)</f>
        <v/>
      </c>
    </row>
    <row r="355" spans="1:41">
      <c r="A355" s="298" t="str">
        <f>IF(G355="", "", Lookups!BF357)</f>
        <v/>
      </c>
      <c r="B355" s="298" t="str">
        <f>IF('Lighting Inventory (Ref only)'!Q366="", "", 'Lighting Inventory (Ref only)'!Q366)</f>
        <v/>
      </c>
      <c r="C355" s="298" t="str">
        <f>IF(A355="", "", 'Lighting Inventory (Ref only)'!AO366)</f>
        <v/>
      </c>
      <c r="D355" s="370" t="str">
        <f>IF(B355= "","", Inventory!S363)</f>
        <v/>
      </c>
      <c r="E355" s="371"/>
      <c r="F355" s="298" t="str">
        <f>IF(B355="", "", 'Version Log'!$B$34)</f>
        <v/>
      </c>
      <c r="G355" s="298" t="str">
        <f t="shared" si="20"/>
        <v/>
      </c>
      <c r="H355" s="298" t="str">
        <f t="shared" si="21"/>
        <v/>
      </c>
      <c r="I355" s="298" t="str">
        <f>IF(B355="", "",Inventory!D363)</f>
        <v/>
      </c>
      <c r="J355" s="298" t="str">
        <f>IF(B355="","",IF(Inventory!C363="N","Interior","Exterior"))</f>
        <v/>
      </c>
      <c r="K355" s="298" t="str">
        <f t="shared" si="22"/>
        <v/>
      </c>
      <c r="L355" s="298" t="str">
        <f>IF(B355="", "", Inventory!E363)</f>
        <v/>
      </c>
      <c r="M355" s="298" t="str">
        <f>IF(B355="","",IF(Cool_Type=Lookups!$L$9,Cool_Type,IF(Cool_Type=Lookups!$L$10,Cool_Type,IF(Cool_Type=Lookups!$L$11,Cool_Type,IF(Cool_Type=Lookups!L365,Cool_Type,IF('Project Info and Summary'!$C$20="Electric",CONCATENATE(Cool_Type," ",Heating_Type," Heat"),IF('Project Info and Summary'!$C$20="Non-Electric",CONCATENATE(Cool_Type," ",Heating_Type," Heat"),CONCATENATE(Cool_Type," ",Heating_Type))))))))</f>
        <v/>
      </c>
      <c r="N355" s="298" t="str">
        <f t="shared" si="23"/>
        <v/>
      </c>
      <c r="O355" s="298" t="str">
        <f>IF(B355="", "", 'Lighting Inventory (Ref only)'!G366)</f>
        <v/>
      </c>
      <c r="P355" s="298" t="str">
        <f>IF(B355="", "", 'Lighting Inventory (Ref only)'!E366)</f>
        <v/>
      </c>
      <c r="Q355" s="298" t="str">
        <f>IF(B355="", "", 'Lighting Inventory (Ref only)'!J366)</f>
        <v/>
      </c>
      <c r="R355" s="298" t="str">
        <f>IF(B355="", "",'Lighting Inventory (Ref only)'!K366)</f>
        <v/>
      </c>
      <c r="S355" s="372" t="str">
        <f>IF(B355="", "", 'Lighting Inventory (Ref only)'!G366*'Lighting Inventory (Ref only)'!K366/1000)</f>
        <v/>
      </c>
      <c r="T355" s="298" t="str">
        <f>IF(B355="", "", IF('Lighting Inventory (Ref only)'!I366="", "Light Switch",Inventory!H363))</f>
        <v/>
      </c>
      <c r="W355" s="373"/>
      <c r="X355" s="298" t="str">
        <f>IF(B355="", "", 'Lighting Inventory (Ref only)'!Q366)</f>
        <v/>
      </c>
      <c r="Z355" s="374"/>
      <c r="AA355" s="372" t="str">
        <f>IF(B355="", "",'Lighting Inventory (Ref only)'!R366/1000)</f>
        <v/>
      </c>
      <c r="AB355" s="372" t="str">
        <f>IF(B355="", "", Inventory!M363)</f>
        <v/>
      </c>
      <c r="AC355" s="374" t="str">
        <f>IF(B355="", "", 'Lighting Inventory (Ref only)'!T366)</f>
        <v/>
      </c>
      <c r="AD355" s="374" t="str">
        <f>IF(C355="", "", 'Lighting Inventory (Ref only)'!AA366)</f>
        <v/>
      </c>
      <c r="AE355" s="375" t="str">
        <f>IF(B355="", "", 'Lighting Inventory (Ref only)'!U366)</f>
        <v/>
      </c>
      <c r="AF355" s="375" t="str">
        <f>IF(B355="", "",'Lighting Inventory (Ref only)'!W366)</f>
        <v/>
      </c>
      <c r="AG355" s="375"/>
      <c r="AH355" s="375" t="str">
        <f>IF(B355="", "",'Lighting Inventory (Ref only)'!Z366)</f>
        <v/>
      </c>
      <c r="AI355" s="375" t="str">
        <f>IF(B355="", "", 'Lighting Inventory (Ref only)'!Y366)</f>
        <v/>
      </c>
      <c r="AJ355" s="375" t="str">
        <f>IF(C355="", "",'Lighting Inventory (Ref only)'!AB366)</f>
        <v/>
      </c>
      <c r="AK355" s="375" t="str">
        <f>IF(B355="", "", 'Lighting Inventory (Ref only)'!AG366)</f>
        <v/>
      </c>
      <c r="AL355" s="375" t="str">
        <f>IF(B355="", "", 'Lighting Inventory (Ref only)'!AD366)</f>
        <v/>
      </c>
      <c r="AM355" s="375" t="str">
        <f>IF(B355="", "", 'Lighting Inventory (Ref only)'!AE366)</f>
        <v/>
      </c>
      <c r="AN355" s="375" t="str">
        <f>IF(B355="", "", 'Lighting Inventory (Ref only)'!AF366)</f>
        <v/>
      </c>
      <c r="AO355" s="375" t="str">
        <f>IF(B355="", "", 'Lighting Inventory (Ref only)'!AG366)</f>
        <v/>
      </c>
    </row>
    <row r="356" spans="1:41">
      <c r="A356" s="298" t="str">
        <f>IF(G356="", "", Lookups!BF358)</f>
        <v/>
      </c>
      <c r="B356" s="298" t="str">
        <f>IF('Lighting Inventory (Ref only)'!Q367="", "", 'Lighting Inventory (Ref only)'!Q367)</f>
        <v/>
      </c>
      <c r="C356" s="298" t="str">
        <f>IF(A356="", "", 'Lighting Inventory (Ref only)'!AO367)</f>
        <v/>
      </c>
      <c r="D356" s="370" t="str">
        <f>IF(B356= "","", Inventory!S364)</f>
        <v/>
      </c>
      <c r="E356" s="371"/>
      <c r="F356" s="298" t="str">
        <f>IF(B356="", "", 'Version Log'!$B$34)</f>
        <v/>
      </c>
      <c r="G356" s="298" t="str">
        <f t="shared" si="20"/>
        <v/>
      </c>
      <c r="H356" s="298" t="str">
        <f t="shared" si="21"/>
        <v/>
      </c>
      <c r="I356" s="298" t="str">
        <f>IF(B356="", "",Inventory!D364)</f>
        <v/>
      </c>
      <c r="J356" s="298" t="str">
        <f>IF(B356="","",IF(Inventory!C364="N","Interior","Exterior"))</f>
        <v/>
      </c>
      <c r="K356" s="298" t="str">
        <f t="shared" si="22"/>
        <v/>
      </c>
      <c r="L356" s="298" t="str">
        <f>IF(B356="", "", Inventory!E364)</f>
        <v/>
      </c>
      <c r="M356" s="298" t="str">
        <f>IF(B356="","",IF(Cool_Type=Lookups!$L$9,Cool_Type,IF(Cool_Type=Lookups!$L$10,Cool_Type,IF(Cool_Type=Lookups!$L$11,Cool_Type,IF(Cool_Type=Lookups!L366,Cool_Type,IF('Project Info and Summary'!$C$20="Electric",CONCATENATE(Cool_Type," ",Heating_Type," Heat"),IF('Project Info and Summary'!$C$20="Non-Electric",CONCATENATE(Cool_Type," ",Heating_Type," Heat"),CONCATENATE(Cool_Type," ",Heating_Type))))))))</f>
        <v/>
      </c>
      <c r="N356" s="298" t="str">
        <f t="shared" si="23"/>
        <v/>
      </c>
      <c r="O356" s="298" t="str">
        <f>IF(B356="", "", 'Lighting Inventory (Ref only)'!G367)</f>
        <v/>
      </c>
      <c r="P356" s="298" t="str">
        <f>IF(B356="", "", 'Lighting Inventory (Ref only)'!E367)</f>
        <v/>
      </c>
      <c r="Q356" s="298" t="str">
        <f>IF(B356="", "", 'Lighting Inventory (Ref only)'!J367)</f>
        <v/>
      </c>
      <c r="R356" s="298" t="str">
        <f>IF(B356="", "",'Lighting Inventory (Ref only)'!K367)</f>
        <v/>
      </c>
      <c r="S356" s="372" t="str">
        <f>IF(B356="", "", 'Lighting Inventory (Ref only)'!G367*'Lighting Inventory (Ref only)'!K367/1000)</f>
        <v/>
      </c>
      <c r="T356" s="298" t="str">
        <f>IF(B356="", "", IF('Lighting Inventory (Ref only)'!I367="", "Light Switch",Inventory!H364))</f>
        <v/>
      </c>
      <c r="W356" s="373"/>
      <c r="X356" s="298" t="str">
        <f>IF(B356="", "", 'Lighting Inventory (Ref only)'!Q367)</f>
        <v/>
      </c>
      <c r="Z356" s="374"/>
      <c r="AA356" s="372" t="str">
        <f>IF(B356="", "",'Lighting Inventory (Ref only)'!R367/1000)</f>
        <v/>
      </c>
      <c r="AB356" s="372" t="str">
        <f>IF(B356="", "", Inventory!M364)</f>
        <v/>
      </c>
      <c r="AC356" s="374" t="str">
        <f>IF(B356="", "", 'Lighting Inventory (Ref only)'!T367)</f>
        <v/>
      </c>
      <c r="AD356" s="374" t="str">
        <f>IF(C356="", "", 'Lighting Inventory (Ref only)'!AA367)</f>
        <v/>
      </c>
      <c r="AE356" s="375" t="str">
        <f>IF(B356="", "", 'Lighting Inventory (Ref only)'!U367)</f>
        <v/>
      </c>
      <c r="AF356" s="375" t="str">
        <f>IF(B356="", "",'Lighting Inventory (Ref only)'!W367)</f>
        <v/>
      </c>
      <c r="AG356" s="375"/>
      <c r="AH356" s="375" t="str">
        <f>IF(B356="", "",'Lighting Inventory (Ref only)'!Z367)</f>
        <v/>
      </c>
      <c r="AI356" s="375" t="str">
        <f>IF(B356="", "", 'Lighting Inventory (Ref only)'!Y367)</f>
        <v/>
      </c>
      <c r="AJ356" s="375" t="str">
        <f>IF(C356="", "",'Lighting Inventory (Ref only)'!AB367)</f>
        <v/>
      </c>
      <c r="AK356" s="375" t="str">
        <f>IF(B356="", "", 'Lighting Inventory (Ref only)'!AG367)</f>
        <v/>
      </c>
      <c r="AL356" s="375" t="str">
        <f>IF(B356="", "", 'Lighting Inventory (Ref only)'!AD367)</f>
        <v/>
      </c>
      <c r="AM356" s="375" t="str">
        <f>IF(B356="", "", 'Lighting Inventory (Ref only)'!AE367)</f>
        <v/>
      </c>
      <c r="AN356" s="375" t="str">
        <f>IF(B356="", "", 'Lighting Inventory (Ref only)'!AF367)</f>
        <v/>
      </c>
      <c r="AO356" s="375" t="str">
        <f>IF(B356="", "", 'Lighting Inventory (Ref only)'!AG367)</f>
        <v/>
      </c>
    </row>
    <row r="357" spans="1:41">
      <c r="A357" s="298" t="str">
        <f>IF(G357="", "", Lookups!BF359)</f>
        <v/>
      </c>
      <c r="B357" s="298" t="str">
        <f>IF('Lighting Inventory (Ref only)'!Q368="", "", 'Lighting Inventory (Ref only)'!Q368)</f>
        <v/>
      </c>
      <c r="C357" s="298" t="str">
        <f>IF(A357="", "", 'Lighting Inventory (Ref only)'!AO368)</f>
        <v/>
      </c>
      <c r="D357" s="370" t="str">
        <f>IF(B357= "","", Inventory!S365)</f>
        <v/>
      </c>
      <c r="E357" s="371"/>
      <c r="F357" s="298" t="str">
        <f>IF(B357="", "", 'Version Log'!$B$34)</f>
        <v/>
      </c>
      <c r="G357" s="298" t="str">
        <f t="shared" si="20"/>
        <v/>
      </c>
      <c r="H357" s="298" t="str">
        <f t="shared" si="21"/>
        <v/>
      </c>
      <c r="I357" s="298" t="str">
        <f>IF(B357="", "",Inventory!D365)</f>
        <v/>
      </c>
      <c r="J357" s="298" t="str">
        <f>IF(B357="","",IF(Inventory!C365="N","Interior","Exterior"))</f>
        <v/>
      </c>
      <c r="K357" s="298" t="str">
        <f t="shared" si="22"/>
        <v/>
      </c>
      <c r="L357" s="298" t="str">
        <f>IF(B357="", "", Inventory!E365)</f>
        <v/>
      </c>
      <c r="M357" s="298" t="str">
        <f>IF(B357="","",IF(Cool_Type=Lookups!$L$9,Cool_Type,IF(Cool_Type=Lookups!$L$10,Cool_Type,IF(Cool_Type=Lookups!$L$11,Cool_Type,IF(Cool_Type=Lookups!L367,Cool_Type,IF('Project Info and Summary'!$C$20="Electric",CONCATENATE(Cool_Type," ",Heating_Type," Heat"),IF('Project Info and Summary'!$C$20="Non-Electric",CONCATENATE(Cool_Type," ",Heating_Type," Heat"),CONCATENATE(Cool_Type," ",Heating_Type))))))))</f>
        <v/>
      </c>
      <c r="N357" s="298" t="str">
        <f t="shared" si="23"/>
        <v/>
      </c>
      <c r="O357" s="298" t="str">
        <f>IF(B357="", "", 'Lighting Inventory (Ref only)'!G368)</f>
        <v/>
      </c>
      <c r="P357" s="298" t="str">
        <f>IF(B357="", "", 'Lighting Inventory (Ref only)'!E368)</f>
        <v/>
      </c>
      <c r="Q357" s="298" t="str">
        <f>IF(B357="", "", 'Lighting Inventory (Ref only)'!J368)</f>
        <v/>
      </c>
      <c r="R357" s="298" t="str">
        <f>IF(B357="", "",'Lighting Inventory (Ref only)'!K368)</f>
        <v/>
      </c>
      <c r="S357" s="372" t="str">
        <f>IF(B357="", "", 'Lighting Inventory (Ref only)'!G368*'Lighting Inventory (Ref only)'!K368/1000)</f>
        <v/>
      </c>
      <c r="T357" s="298" t="str">
        <f>IF(B357="", "", IF('Lighting Inventory (Ref only)'!I368="", "Light Switch",Inventory!H365))</f>
        <v/>
      </c>
      <c r="W357" s="373"/>
      <c r="X357" s="298" t="str">
        <f>IF(B357="", "", 'Lighting Inventory (Ref only)'!Q368)</f>
        <v/>
      </c>
      <c r="Z357" s="374"/>
      <c r="AA357" s="372" t="str">
        <f>IF(B357="", "",'Lighting Inventory (Ref only)'!R368/1000)</f>
        <v/>
      </c>
      <c r="AB357" s="372" t="str">
        <f>IF(B357="", "", Inventory!M365)</f>
        <v/>
      </c>
      <c r="AC357" s="374" t="str">
        <f>IF(B357="", "", 'Lighting Inventory (Ref only)'!T368)</f>
        <v/>
      </c>
      <c r="AD357" s="374" t="str">
        <f>IF(C357="", "", 'Lighting Inventory (Ref only)'!AA368)</f>
        <v/>
      </c>
      <c r="AE357" s="375" t="str">
        <f>IF(B357="", "", 'Lighting Inventory (Ref only)'!U368)</f>
        <v/>
      </c>
      <c r="AF357" s="375" t="str">
        <f>IF(B357="", "",'Lighting Inventory (Ref only)'!W368)</f>
        <v/>
      </c>
      <c r="AG357" s="375"/>
      <c r="AH357" s="375" t="str">
        <f>IF(B357="", "",'Lighting Inventory (Ref only)'!Z368)</f>
        <v/>
      </c>
      <c r="AI357" s="375" t="str">
        <f>IF(B357="", "", 'Lighting Inventory (Ref only)'!Y368)</f>
        <v/>
      </c>
      <c r="AJ357" s="375" t="str">
        <f>IF(C357="", "",'Lighting Inventory (Ref only)'!AB368)</f>
        <v/>
      </c>
      <c r="AK357" s="375" t="str">
        <f>IF(B357="", "", 'Lighting Inventory (Ref only)'!AG368)</f>
        <v/>
      </c>
      <c r="AL357" s="375" t="str">
        <f>IF(B357="", "", 'Lighting Inventory (Ref only)'!AD368)</f>
        <v/>
      </c>
      <c r="AM357" s="375" t="str">
        <f>IF(B357="", "", 'Lighting Inventory (Ref only)'!AE368)</f>
        <v/>
      </c>
      <c r="AN357" s="375" t="str">
        <f>IF(B357="", "", 'Lighting Inventory (Ref only)'!AF368)</f>
        <v/>
      </c>
      <c r="AO357" s="375" t="str">
        <f>IF(B357="", "", 'Lighting Inventory (Ref only)'!AG368)</f>
        <v/>
      </c>
    </row>
    <row r="358" spans="1:41">
      <c r="A358" s="298" t="str">
        <f>IF(G358="", "", Lookups!BF360)</f>
        <v/>
      </c>
      <c r="B358" s="298" t="str">
        <f>IF('Lighting Inventory (Ref only)'!Q369="", "", 'Lighting Inventory (Ref only)'!Q369)</f>
        <v/>
      </c>
      <c r="C358" s="298" t="str">
        <f>IF(A358="", "", 'Lighting Inventory (Ref only)'!AO369)</f>
        <v/>
      </c>
      <c r="D358" s="370" t="str">
        <f>IF(B358= "","", Inventory!S366)</f>
        <v/>
      </c>
      <c r="E358" s="371"/>
      <c r="F358" s="298" t="str">
        <f>IF(B358="", "", 'Version Log'!$B$34)</f>
        <v/>
      </c>
      <c r="G358" s="298" t="str">
        <f t="shared" si="20"/>
        <v/>
      </c>
      <c r="H358" s="298" t="str">
        <f t="shared" si="21"/>
        <v/>
      </c>
      <c r="I358" s="298" t="str">
        <f>IF(B358="", "",Inventory!D366)</f>
        <v/>
      </c>
      <c r="J358" s="298" t="str">
        <f>IF(B358="","",IF(Inventory!C366="N","Interior","Exterior"))</f>
        <v/>
      </c>
      <c r="K358" s="298" t="str">
        <f t="shared" si="22"/>
        <v/>
      </c>
      <c r="L358" s="298" t="str">
        <f>IF(B358="", "", Inventory!E366)</f>
        <v/>
      </c>
      <c r="M358" s="298" t="str">
        <f>IF(B358="","",IF(Cool_Type=Lookups!$L$9,Cool_Type,IF(Cool_Type=Lookups!$L$10,Cool_Type,IF(Cool_Type=Lookups!$L$11,Cool_Type,IF(Cool_Type=Lookups!L368,Cool_Type,IF('Project Info and Summary'!$C$20="Electric",CONCATENATE(Cool_Type," ",Heating_Type," Heat"),IF('Project Info and Summary'!$C$20="Non-Electric",CONCATENATE(Cool_Type," ",Heating_Type," Heat"),CONCATENATE(Cool_Type," ",Heating_Type))))))))</f>
        <v/>
      </c>
      <c r="N358" s="298" t="str">
        <f t="shared" si="23"/>
        <v/>
      </c>
      <c r="O358" s="298" t="str">
        <f>IF(B358="", "", 'Lighting Inventory (Ref only)'!G369)</f>
        <v/>
      </c>
      <c r="P358" s="298" t="str">
        <f>IF(B358="", "", 'Lighting Inventory (Ref only)'!E369)</f>
        <v/>
      </c>
      <c r="Q358" s="298" t="str">
        <f>IF(B358="", "", 'Lighting Inventory (Ref only)'!J369)</f>
        <v/>
      </c>
      <c r="R358" s="298" t="str">
        <f>IF(B358="", "",'Lighting Inventory (Ref only)'!K369)</f>
        <v/>
      </c>
      <c r="S358" s="372" t="str">
        <f>IF(B358="", "", 'Lighting Inventory (Ref only)'!G369*'Lighting Inventory (Ref only)'!K369/1000)</f>
        <v/>
      </c>
      <c r="T358" s="298" t="str">
        <f>IF(B358="", "", IF('Lighting Inventory (Ref only)'!I369="", "Light Switch",Inventory!H366))</f>
        <v/>
      </c>
      <c r="W358" s="373"/>
      <c r="X358" s="298" t="str">
        <f>IF(B358="", "", 'Lighting Inventory (Ref only)'!Q369)</f>
        <v/>
      </c>
      <c r="Z358" s="374"/>
      <c r="AA358" s="372" t="str">
        <f>IF(B358="", "",'Lighting Inventory (Ref only)'!R369/1000)</f>
        <v/>
      </c>
      <c r="AB358" s="372" t="str">
        <f>IF(B358="", "", Inventory!M366)</f>
        <v/>
      </c>
      <c r="AC358" s="374" t="str">
        <f>IF(B358="", "", 'Lighting Inventory (Ref only)'!T369)</f>
        <v/>
      </c>
      <c r="AD358" s="374" t="str">
        <f>IF(C358="", "", 'Lighting Inventory (Ref only)'!AA369)</f>
        <v/>
      </c>
      <c r="AE358" s="375" t="str">
        <f>IF(B358="", "", 'Lighting Inventory (Ref only)'!U369)</f>
        <v/>
      </c>
      <c r="AF358" s="375" t="str">
        <f>IF(B358="", "",'Lighting Inventory (Ref only)'!W369)</f>
        <v/>
      </c>
      <c r="AG358" s="375"/>
      <c r="AH358" s="375" t="str">
        <f>IF(B358="", "",'Lighting Inventory (Ref only)'!Z369)</f>
        <v/>
      </c>
      <c r="AI358" s="375" t="str">
        <f>IF(B358="", "", 'Lighting Inventory (Ref only)'!Y369)</f>
        <v/>
      </c>
      <c r="AJ358" s="375" t="str">
        <f>IF(C358="", "",'Lighting Inventory (Ref only)'!AB369)</f>
        <v/>
      </c>
      <c r="AK358" s="375" t="str">
        <f>IF(B358="", "", 'Lighting Inventory (Ref only)'!AG369)</f>
        <v/>
      </c>
      <c r="AL358" s="375" t="str">
        <f>IF(B358="", "", 'Lighting Inventory (Ref only)'!AD369)</f>
        <v/>
      </c>
      <c r="AM358" s="375" t="str">
        <f>IF(B358="", "", 'Lighting Inventory (Ref only)'!AE369)</f>
        <v/>
      </c>
      <c r="AN358" s="375" t="str">
        <f>IF(B358="", "", 'Lighting Inventory (Ref only)'!AF369)</f>
        <v/>
      </c>
      <c r="AO358" s="375" t="str">
        <f>IF(B358="", "", 'Lighting Inventory (Ref only)'!AG369)</f>
        <v/>
      </c>
    </row>
    <row r="359" spans="1:41">
      <c r="A359" s="298" t="str">
        <f>IF(G359="", "", Lookups!BF361)</f>
        <v/>
      </c>
      <c r="B359" s="298" t="str">
        <f>IF('Lighting Inventory (Ref only)'!Q370="", "", 'Lighting Inventory (Ref only)'!Q370)</f>
        <v/>
      </c>
      <c r="C359" s="298" t="str">
        <f>IF(A359="", "", 'Lighting Inventory (Ref only)'!AO370)</f>
        <v/>
      </c>
      <c r="D359" s="370" t="str">
        <f>IF(B359= "","", Inventory!S367)</f>
        <v/>
      </c>
      <c r="E359" s="371"/>
      <c r="F359" s="298" t="str">
        <f>IF(B359="", "", 'Version Log'!$B$34)</f>
        <v/>
      </c>
      <c r="G359" s="298" t="str">
        <f t="shared" si="20"/>
        <v/>
      </c>
      <c r="H359" s="298" t="str">
        <f t="shared" si="21"/>
        <v/>
      </c>
      <c r="I359" s="298" t="str">
        <f>IF(B359="", "",Inventory!D367)</f>
        <v/>
      </c>
      <c r="J359" s="298" t="str">
        <f>IF(B359="","",IF(Inventory!C367="N","Interior","Exterior"))</f>
        <v/>
      </c>
      <c r="K359" s="298" t="str">
        <f t="shared" si="22"/>
        <v/>
      </c>
      <c r="L359" s="298" t="str">
        <f>IF(B359="", "", Inventory!E367)</f>
        <v/>
      </c>
      <c r="M359" s="298" t="str">
        <f>IF(B359="","",IF(Cool_Type=Lookups!$L$9,Cool_Type,IF(Cool_Type=Lookups!$L$10,Cool_Type,IF(Cool_Type=Lookups!$L$11,Cool_Type,IF(Cool_Type=Lookups!L369,Cool_Type,IF('Project Info and Summary'!$C$20="Electric",CONCATENATE(Cool_Type," ",Heating_Type," Heat"),IF('Project Info and Summary'!$C$20="Non-Electric",CONCATENATE(Cool_Type," ",Heating_Type," Heat"),CONCATENATE(Cool_Type," ",Heating_Type))))))))</f>
        <v/>
      </c>
      <c r="N359" s="298" t="str">
        <f t="shared" si="23"/>
        <v/>
      </c>
      <c r="O359" s="298" t="str">
        <f>IF(B359="", "", 'Lighting Inventory (Ref only)'!G370)</f>
        <v/>
      </c>
      <c r="P359" s="298" t="str">
        <f>IF(B359="", "", 'Lighting Inventory (Ref only)'!E370)</f>
        <v/>
      </c>
      <c r="Q359" s="298" t="str">
        <f>IF(B359="", "", 'Lighting Inventory (Ref only)'!J370)</f>
        <v/>
      </c>
      <c r="R359" s="298" t="str">
        <f>IF(B359="", "",'Lighting Inventory (Ref only)'!K370)</f>
        <v/>
      </c>
      <c r="S359" s="372" t="str">
        <f>IF(B359="", "", 'Lighting Inventory (Ref only)'!G370*'Lighting Inventory (Ref only)'!K370/1000)</f>
        <v/>
      </c>
      <c r="T359" s="298" t="str">
        <f>IF(B359="", "", IF('Lighting Inventory (Ref only)'!I370="", "Light Switch",Inventory!H367))</f>
        <v/>
      </c>
      <c r="W359" s="373"/>
      <c r="X359" s="298" t="str">
        <f>IF(B359="", "", 'Lighting Inventory (Ref only)'!Q370)</f>
        <v/>
      </c>
      <c r="Z359" s="374"/>
      <c r="AA359" s="372" t="str">
        <f>IF(B359="", "",'Lighting Inventory (Ref only)'!R370/1000)</f>
        <v/>
      </c>
      <c r="AB359" s="372" t="str">
        <f>IF(B359="", "", Inventory!M367)</f>
        <v/>
      </c>
      <c r="AC359" s="374" t="str">
        <f>IF(B359="", "", 'Lighting Inventory (Ref only)'!T370)</f>
        <v/>
      </c>
      <c r="AD359" s="374" t="str">
        <f>IF(C359="", "", 'Lighting Inventory (Ref only)'!AA370)</f>
        <v/>
      </c>
      <c r="AE359" s="375" t="str">
        <f>IF(B359="", "", 'Lighting Inventory (Ref only)'!U370)</f>
        <v/>
      </c>
      <c r="AF359" s="375" t="str">
        <f>IF(B359="", "",'Lighting Inventory (Ref only)'!W370)</f>
        <v/>
      </c>
      <c r="AG359" s="375"/>
      <c r="AH359" s="375" t="str">
        <f>IF(B359="", "",'Lighting Inventory (Ref only)'!Z370)</f>
        <v/>
      </c>
      <c r="AI359" s="375" t="str">
        <f>IF(B359="", "", 'Lighting Inventory (Ref only)'!Y370)</f>
        <v/>
      </c>
      <c r="AJ359" s="375" t="str">
        <f>IF(C359="", "",'Lighting Inventory (Ref only)'!AB370)</f>
        <v/>
      </c>
      <c r="AK359" s="375" t="str">
        <f>IF(B359="", "", 'Lighting Inventory (Ref only)'!AG370)</f>
        <v/>
      </c>
      <c r="AL359" s="375" t="str">
        <f>IF(B359="", "", 'Lighting Inventory (Ref only)'!AD370)</f>
        <v/>
      </c>
      <c r="AM359" s="375" t="str">
        <f>IF(B359="", "", 'Lighting Inventory (Ref only)'!AE370)</f>
        <v/>
      </c>
      <c r="AN359" s="375" t="str">
        <f>IF(B359="", "", 'Lighting Inventory (Ref only)'!AF370)</f>
        <v/>
      </c>
      <c r="AO359" s="375" t="str">
        <f>IF(B359="", "", 'Lighting Inventory (Ref only)'!AG370)</f>
        <v/>
      </c>
    </row>
    <row r="360" spans="1:41">
      <c r="A360" s="298" t="str">
        <f>IF(G360="", "", Lookups!BF362)</f>
        <v/>
      </c>
      <c r="B360" s="298" t="str">
        <f>IF('Lighting Inventory (Ref only)'!Q371="", "", 'Lighting Inventory (Ref only)'!Q371)</f>
        <v/>
      </c>
      <c r="C360" s="298" t="str">
        <f>IF(A360="", "", 'Lighting Inventory (Ref only)'!AO371)</f>
        <v/>
      </c>
      <c r="D360" s="370" t="str">
        <f>IF(B360= "","", Inventory!S368)</f>
        <v/>
      </c>
      <c r="E360" s="371"/>
      <c r="F360" s="298" t="str">
        <f>IF(B360="", "", 'Version Log'!$B$34)</f>
        <v/>
      </c>
      <c r="G360" s="298" t="str">
        <f t="shared" si="20"/>
        <v/>
      </c>
      <c r="H360" s="298" t="str">
        <f t="shared" si="21"/>
        <v/>
      </c>
      <c r="I360" s="298" t="str">
        <f>IF(B360="", "",Inventory!D368)</f>
        <v/>
      </c>
      <c r="J360" s="298" t="str">
        <f>IF(B360="","",IF(Inventory!C368="N","Interior","Exterior"))</f>
        <v/>
      </c>
      <c r="K360" s="298" t="str">
        <f t="shared" si="22"/>
        <v/>
      </c>
      <c r="L360" s="298" t="str">
        <f>IF(B360="", "", Inventory!E368)</f>
        <v/>
      </c>
      <c r="M360" s="298" t="str">
        <f>IF(B360="","",IF(Cool_Type=Lookups!$L$9,Cool_Type,IF(Cool_Type=Lookups!$L$10,Cool_Type,IF(Cool_Type=Lookups!$L$11,Cool_Type,IF(Cool_Type=Lookups!L370,Cool_Type,IF('Project Info and Summary'!$C$20="Electric",CONCATENATE(Cool_Type," ",Heating_Type," Heat"),IF('Project Info and Summary'!$C$20="Non-Electric",CONCATENATE(Cool_Type," ",Heating_Type," Heat"),CONCATENATE(Cool_Type," ",Heating_Type))))))))</f>
        <v/>
      </c>
      <c r="N360" s="298" t="str">
        <f t="shared" si="23"/>
        <v/>
      </c>
      <c r="O360" s="298" t="str">
        <f>IF(B360="", "", 'Lighting Inventory (Ref only)'!G371)</f>
        <v/>
      </c>
      <c r="P360" s="298" t="str">
        <f>IF(B360="", "", 'Lighting Inventory (Ref only)'!E371)</f>
        <v/>
      </c>
      <c r="Q360" s="298" t="str">
        <f>IF(B360="", "", 'Lighting Inventory (Ref only)'!J371)</f>
        <v/>
      </c>
      <c r="R360" s="298" t="str">
        <f>IF(B360="", "",'Lighting Inventory (Ref only)'!K371)</f>
        <v/>
      </c>
      <c r="S360" s="372" t="str">
        <f>IF(B360="", "", 'Lighting Inventory (Ref only)'!G371*'Lighting Inventory (Ref only)'!K371/1000)</f>
        <v/>
      </c>
      <c r="T360" s="298" t="str">
        <f>IF(B360="", "", IF('Lighting Inventory (Ref only)'!I371="", "Light Switch",Inventory!H368))</f>
        <v/>
      </c>
      <c r="W360" s="373"/>
      <c r="X360" s="298" t="str">
        <f>IF(B360="", "", 'Lighting Inventory (Ref only)'!Q371)</f>
        <v/>
      </c>
      <c r="Z360" s="374"/>
      <c r="AA360" s="372" t="str">
        <f>IF(B360="", "",'Lighting Inventory (Ref only)'!R371/1000)</f>
        <v/>
      </c>
      <c r="AB360" s="372" t="str">
        <f>IF(B360="", "", Inventory!M368)</f>
        <v/>
      </c>
      <c r="AC360" s="374" t="str">
        <f>IF(B360="", "", 'Lighting Inventory (Ref only)'!T371)</f>
        <v/>
      </c>
      <c r="AD360" s="374" t="str">
        <f>IF(C360="", "", 'Lighting Inventory (Ref only)'!AA371)</f>
        <v/>
      </c>
      <c r="AE360" s="375" t="str">
        <f>IF(B360="", "", 'Lighting Inventory (Ref only)'!U371)</f>
        <v/>
      </c>
      <c r="AF360" s="375" t="str">
        <f>IF(B360="", "",'Lighting Inventory (Ref only)'!W371)</f>
        <v/>
      </c>
      <c r="AG360" s="375"/>
      <c r="AH360" s="375" t="str">
        <f>IF(B360="", "",'Lighting Inventory (Ref only)'!Z371)</f>
        <v/>
      </c>
      <c r="AI360" s="375" t="str">
        <f>IF(B360="", "", 'Lighting Inventory (Ref only)'!Y371)</f>
        <v/>
      </c>
      <c r="AJ360" s="375" t="str">
        <f>IF(C360="", "",'Lighting Inventory (Ref only)'!AB371)</f>
        <v/>
      </c>
      <c r="AK360" s="375" t="str">
        <f>IF(B360="", "", 'Lighting Inventory (Ref only)'!AG371)</f>
        <v/>
      </c>
      <c r="AL360" s="375" t="str">
        <f>IF(B360="", "", 'Lighting Inventory (Ref only)'!AD371)</f>
        <v/>
      </c>
      <c r="AM360" s="375" t="str">
        <f>IF(B360="", "", 'Lighting Inventory (Ref only)'!AE371)</f>
        <v/>
      </c>
      <c r="AN360" s="375" t="str">
        <f>IF(B360="", "", 'Lighting Inventory (Ref only)'!AF371)</f>
        <v/>
      </c>
      <c r="AO360" s="375" t="str">
        <f>IF(B360="", "", 'Lighting Inventory (Ref only)'!AG371)</f>
        <v/>
      </c>
    </row>
    <row r="361" spans="1:41">
      <c r="A361" s="298" t="str">
        <f>IF(G361="", "", Lookups!BF363)</f>
        <v/>
      </c>
      <c r="B361" s="298" t="str">
        <f>IF('Lighting Inventory (Ref only)'!Q372="", "", 'Lighting Inventory (Ref only)'!Q372)</f>
        <v/>
      </c>
      <c r="C361" s="298" t="str">
        <f>IF(A361="", "", 'Lighting Inventory (Ref only)'!AO372)</f>
        <v/>
      </c>
      <c r="D361" s="370" t="str">
        <f>IF(B361= "","", Inventory!S369)</f>
        <v/>
      </c>
      <c r="E361" s="371"/>
      <c r="F361" s="298" t="str">
        <f>IF(B361="", "", 'Version Log'!$B$34)</f>
        <v/>
      </c>
      <c r="G361" s="298" t="str">
        <f t="shared" si="20"/>
        <v/>
      </c>
      <c r="H361" s="298" t="str">
        <f t="shared" si="21"/>
        <v/>
      </c>
      <c r="I361" s="298" t="str">
        <f>IF(B361="", "",Inventory!D369)</f>
        <v/>
      </c>
      <c r="J361" s="298" t="str">
        <f>IF(B361="","",IF(Inventory!C369="N","Interior","Exterior"))</f>
        <v/>
      </c>
      <c r="K361" s="298" t="str">
        <f t="shared" si="22"/>
        <v/>
      </c>
      <c r="L361" s="298" t="str">
        <f>IF(B361="", "", Inventory!E369)</f>
        <v/>
      </c>
      <c r="M361" s="298" t="str">
        <f>IF(B361="","",IF(Cool_Type=Lookups!$L$9,Cool_Type,IF(Cool_Type=Lookups!$L$10,Cool_Type,IF(Cool_Type=Lookups!$L$11,Cool_Type,IF(Cool_Type=Lookups!L371,Cool_Type,IF('Project Info and Summary'!$C$20="Electric",CONCATENATE(Cool_Type," ",Heating_Type," Heat"),IF('Project Info and Summary'!$C$20="Non-Electric",CONCATENATE(Cool_Type," ",Heating_Type," Heat"),CONCATENATE(Cool_Type," ",Heating_Type))))))))</f>
        <v/>
      </c>
      <c r="N361" s="298" t="str">
        <f t="shared" si="23"/>
        <v/>
      </c>
      <c r="O361" s="298" t="str">
        <f>IF(B361="", "", 'Lighting Inventory (Ref only)'!G372)</f>
        <v/>
      </c>
      <c r="P361" s="298" t="str">
        <f>IF(B361="", "", 'Lighting Inventory (Ref only)'!E372)</f>
        <v/>
      </c>
      <c r="Q361" s="298" t="str">
        <f>IF(B361="", "", 'Lighting Inventory (Ref only)'!J372)</f>
        <v/>
      </c>
      <c r="R361" s="298" t="str">
        <f>IF(B361="", "",'Lighting Inventory (Ref only)'!K372)</f>
        <v/>
      </c>
      <c r="S361" s="372" t="str">
        <f>IF(B361="", "", 'Lighting Inventory (Ref only)'!G372*'Lighting Inventory (Ref only)'!K372/1000)</f>
        <v/>
      </c>
      <c r="T361" s="298" t="str">
        <f>IF(B361="", "", IF('Lighting Inventory (Ref only)'!I372="", "Light Switch",Inventory!H369))</f>
        <v/>
      </c>
      <c r="W361" s="373"/>
      <c r="X361" s="298" t="str">
        <f>IF(B361="", "", 'Lighting Inventory (Ref only)'!Q372)</f>
        <v/>
      </c>
      <c r="Z361" s="374"/>
      <c r="AA361" s="372" t="str">
        <f>IF(B361="", "",'Lighting Inventory (Ref only)'!R372/1000)</f>
        <v/>
      </c>
      <c r="AB361" s="372" t="str">
        <f>IF(B361="", "", Inventory!M369)</f>
        <v/>
      </c>
      <c r="AC361" s="374" t="str">
        <f>IF(B361="", "", 'Lighting Inventory (Ref only)'!T372)</f>
        <v/>
      </c>
      <c r="AD361" s="374" t="str">
        <f>IF(C361="", "", 'Lighting Inventory (Ref only)'!AA372)</f>
        <v/>
      </c>
      <c r="AE361" s="375" t="str">
        <f>IF(B361="", "", 'Lighting Inventory (Ref only)'!U372)</f>
        <v/>
      </c>
      <c r="AF361" s="375" t="str">
        <f>IF(B361="", "",'Lighting Inventory (Ref only)'!W372)</f>
        <v/>
      </c>
      <c r="AG361" s="375"/>
      <c r="AH361" s="375" t="str">
        <f>IF(B361="", "",'Lighting Inventory (Ref only)'!Z372)</f>
        <v/>
      </c>
      <c r="AI361" s="375" t="str">
        <f>IF(B361="", "", 'Lighting Inventory (Ref only)'!Y372)</f>
        <v/>
      </c>
      <c r="AJ361" s="375" t="str">
        <f>IF(C361="", "",'Lighting Inventory (Ref only)'!AB372)</f>
        <v/>
      </c>
      <c r="AK361" s="375" t="str">
        <f>IF(B361="", "", 'Lighting Inventory (Ref only)'!AG372)</f>
        <v/>
      </c>
      <c r="AL361" s="375" t="str">
        <f>IF(B361="", "", 'Lighting Inventory (Ref only)'!AD372)</f>
        <v/>
      </c>
      <c r="AM361" s="375" t="str">
        <f>IF(B361="", "", 'Lighting Inventory (Ref only)'!AE372)</f>
        <v/>
      </c>
      <c r="AN361" s="375" t="str">
        <f>IF(B361="", "", 'Lighting Inventory (Ref only)'!AF372)</f>
        <v/>
      </c>
      <c r="AO361" s="375" t="str">
        <f>IF(B361="", "", 'Lighting Inventory (Ref only)'!AG372)</f>
        <v/>
      </c>
    </row>
    <row r="362" spans="1:41">
      <c r="A362" s="298" t="str">
        <f>IF(G362="", "", Lookups!BF364)</f>
        <v/>
      </c>
      <c r="B362" s="298" t="str">
        <f>IF('Lighting Inventory (Ref only)'!Q373="", "", 'Lighting Inventory (Ref only)'!Q373)</f>
        <v/>
      </c>
      <c r="C362" s="298" t="str">
        <f>IF(A362="", "", 'Lighting Inventory (Ref only)'!AO373)</f>
        <v/>
      </c>
      <c r="D362" s="370" t="str">
        <f>IF(B362= "","", Inventory!S370)</f>
        <v/>
      </c>
      <c r="E362" s="371"/>
      <c r="F362" s="298" t="str">
        <f>IF(B362="", "", 'Version Log'!$B$34)</f>
        <v/>
      </c>
      <c r="G362" s="298" t="str">
        <f t="shared" si="20"/>
        <v/>
      </c>
      <c r="H362" s="298" t="str">
        <f t="shared" si="21"/>
        <v/>
      </c>
      <c r="I362" s="298" t="str">
        <f>IF(B362="", "",Inventory!D370)</f>
        <v/>
      </c>
      <c r="J362" s="298" t="str">
        <f>IF(B362="","",IF(Inventory!C370="N","Interior","Exterior"))</f>
        <v/>
      </c>
      <c r="K362" s="298" t="str">
        <f t="shared" si="22"/>
        <v/>
      </c>
      <c r="L362" s="298" t="str">
        <f>IF(B362="", "", Inventory!E370)</f>
        <v/>
      </c>
      <c r="M362" s="298" t="str">
        <f>IF(B362="","",IF(Cool_Type=Lookups!$L$9,Cool_Type,IF(Cool_Type=Lookups!$L$10,Cool_Type,IF(Cool_Type=Lookups!$L$11,Cool_Type,IF(Cool_Type=Lookups!L372,Cool_Type,IF('Project Info and Summary'!$C$20="Electric",CONCATENATE(Cool_Type," ",Heating_Type," Heat"),IF('Project Info and Summary'!$C$20="Non-Electric",CONCATENATE(Cool_Type," ",Heating_Type," Heat"),CONCATENATE(Cool_Type," ",Heating_Type))))))))</f>
        <v/>
      </c>
      <c r="N362" s="298" t="str">
        <f t="shared" si="23"/>
        <v/>
      </c>
      <c r="O362" s="298" t="str">
        <f>IF(B362="", "", 'Lighting Inventory (Ref only)'!G373)</f>
        <v/>
      </c>
      <c r="P362" s="298" t="str">
        <f>IF(B362="", "", 'Lighting Inventory (Ref only)'!E373)</f>
        <v/>
      </c>
      <c r="Q362" s="298" t="str">
        <f>IF(B362="", "", 'Lighting Inventory (Ref only)'!J373)</f>
        <v/>
      </c>
      <c r="R362" s="298" t="str">
        <f>IF(B362="", "",'Lighting Inventory (Ref only)'!K373)</f>
        <v/>
      </c>
      <c r="S362" s="372" t="str">
        <f>IF(B362="", "", 'Lighting Inventory (Ref only)'!G373*'Lighting Inventory (Ref only)'!K373/1000)</f>
        <v/>
      </c>
      <c r="T362" s="298" t="str">
        <f>IF(B362="", "", IF('Lighting Inventory (Ref only)'!I373="", "Light Switch",Inventory!H370))</f>
        <v/>
      </c>
      <c r="W362" s="373"/>
      <c r="X362" s="298" t="str">
        <f>IF(B362="", "", 'Lighting Inventory (Ref only)'!Q373)</f>
        <v/>
      </c>
      <c r="Z362" s="374"/>
      <c r="AA362" s="372" t="str">
        <f>IF(B362="", "",'Lighting Inventory (Ref only)'!R373/1000)</f>
        <v/>
      </c>
      <c r="AB362" s="372" t="str">
        <f>IF(B362="", "", Inventory!M370)</f>
        <v/>
      </c>
      <c r="AC362" s="374" t="str">
        <f>IF(B362="", "", 'Lighting Inventory (Ref only)'!T373)</f>
        <v/>
      </c>
      <c r="AD362" s="374" t="str">
        <f>IF(C362="", "", 'Lighting Inventory (Ref only)'!AA373)</f>
        <v/>
      </c>
      <c r="AE362" s="375" t="str">
        <f>IF(B362="", "", 'Lighting Inventory (Ref only)'!U373)</f>
        <v/>
      </c>
      <c r="AF362" s="375" t="str">
        <f>IF(B362="", "",'Lighting Inventory (Ref only)'!W373)</f>
        <v/>
      </c>
      <c r="AG362" s="375"/>
      <c r="AH362" s="375" t="str">
        <f>IF(B362="", "",'Lighting Inventory (Ref only)'!Z373)</f>
        <v/>
      </c>
      <c r="AI362" s="375" t="str">
        <f>IF(B362="", "", 'Lighting Inventory (Ref only)'!Y373)</f>
        <v/>
      </c>
      <c r="AJ362" s="375" t="str">
        <f>IF(C362="", "",'Lighting Inventory (Ref only)'!AB373)</f>
        <v/>
      </c>
      <c r="AK362" s="375" t="str">
        <f>IF(B362="", "", 'Lighting Inventory (Ref only)'!AG373)</f>
        <v/>
      </c>
      <c r="AL362" s="375" t="str">
        <f>IF(B362="", "", 'Lighting Inventory (Ref only)'!AD373)</f>
        <v/>
      </c>
      <c r="AM362" s="375" t="str">
        <f>IF(B362="", "", 'Lighting Inventory (Ref only)'!AE373)</f>
        <v/>
      </c>
      <c r="AN362" s="375" t="str">
        <f>IF(B362="", "", 'Lighting Inventory (Ref only)'!AF373)</f>
        <v/>
      </c>
      <c r="AO362" s="375" t="str">
        <f>IF(B362="", "", 'Lighting Inventory (Ref only)'!AG373)</f>
        <v/>
      </c>
    </row>
    <row r="363" spans="1:41">
      <c r="A363" s="298" t="str">
        <f>IF(G363="", "", Lookups!BF365)</f>
        <v/>
      </c>
      <c r="B363" s="298" t="str">
        <f>IF('Lighting Inventory (Ref only)'!Q374="", "", 'Lighting Inventory (Ref only)'!Q374)</f>
        <v/>
      </c>
      <c r="C363" s="298" t="str">
        <f>IF(A363="", "", 'Lighting Inventory (Ref only)'!AO374)</f>
        <v/>
      </c>
      <c r="D363" s="370" t="str">
        <f>IF(B363= "","", Inventory!S371)</f>
        <v/>
      </c>
      <c r="E363" s="371"/>
      <c r="F363" s="298" t="str">
        <f>IF(B363="", "", 'Version Log'!$B$34)</f>
        <v/>
      </c>
      <c r="G363" s="298" t="str">
        <f t="shared" si="20"/>
        <v/>
      </c>
      <c r="H363" s="298" t="str">
        <f t="shared" si="21"/>
        <v/>
      </c>
      <c r="I363" s="298" t="str">
        <f>IF(B363="", "",Inventory!D371)</f>
        <v/>
      </c>
      <c r="J363" s="298" t="str">
        <f>IF(B363="","",IF(Inventory!C371="N","Interior","Exterior"))</f>
        <v/>
      </c>
      <c r="K363" s="298" t="str">
        <f t="shared" si="22"/>
        <v/>
      </c>
      <c r="L363" s="298" t="str">
        <f>IF(B363="", "", Inventory!E371)</f>
        <v/>
      </c>
      <c r="M363" s="298" t="str">
        <f>IF(B363="","",IF(Cool_Type=Lookups!$L$9,Cool_Type,IF(Cool_Type=Lookups!$L$10,Cool_Type,IF(Cool_Type=Lookups!$L$11,Cool_Type,IF(Cool_Type=Lookups!L373,Cool_Type,IF('Project Info and Summary'!$C$20="Electric",CONCATENATE(Cool_Type," ",Heating_Type," Heat"),IF('Project Info and Summary'!$C$20="Non-Electric",CONCATENATE(Cool_Type," ",Heating_Type," Heat"),CONCATENATE(Cool_Type," ",Heating_Type))))))))</f>
        <v/>
      </c>
      <c r="N363" s="298" t="str">
        <f t="shared" si="23"/>
        <v/>
      </c>
      <c r="O363" s="298" t="str">
        <f>IF(B363="", "", 'Lighting Inventory (Ref only)'!G374)</f>
        <v/>
      </c>
      <c r="P363" s="298" t="str">
        <f>IF(B363="", "", 'Lighting Inventory (Ref only)'!E374)</f>
        <v/>
      </c>
      <c r="Q363" s="298" t="str">
        <f>IF(B363="", "", 'Lighting Inventory (Ref only)'!J374)</f>
        <v/>
      </c>
      <c r="R363" s="298" t="str">
        <f>IF(B363="", "",'Lighting Inventory (Ref only)'!K374)</f>
        <v/>
      </c>
      <c r="S363" s="372" t="str">
        <f>IF(B363="", "", 'Lighting Inventory (Ref only)'!G374*'Lighting Inventory (Ref only)'!K374/1000)</f>
        <v/>
      </c>
      <c r="T363" s="298" t="str">
        <f>IF(B363="", "", IF('Lighting Inventory (Ref only)'!I374="", "Light Switch",Inventory!H371))</f>
        <v/>
      </c>
      <c r="W363" s="373"/>
      <c r="X363" s="298" t="str">
        <f>IF(B363="", "", 'Lighting Inventory (Ref only)'!Q374)</f>
        <v/>
      </c>
      <c r="Z363" s="374"/>
      <c r="AA363" s="372" t="str">
        <f>IF(B363="", "",'Lighting Inventory (Ref only)'!R374/1000)</f>
        <v/>
      </c>
      <c r="AB363" s="372" t="str">
        <f>IF(B363="", "", Inventory!M371)</f>
        <v/>
      </c>
      <c r="AC363" s="374" t="str">
        <f>IF(B363="", "", 'Lighting Inventory (Ref only)'!T374)</f>
        <v/>
      </c>
      <c r="AD363" s="374" t="str">
        <f>IF(C363="", "", 'Lighting Inventory (Ref only)'!AA374)</f>
        <v/>
      </c>
      <c r="AE363" s="375" t="str">
        <f>IF(B363="", "", 'Lighting Inventory (Ref only)'!U374)</f>
        <v/>
      </c>
      <c r="AF363" s="375" t="str">
        <f>IF(B363="", "",'Lighting Inventory (Ref only)'!W374)</f>
        <v/>
      </c>
      <c r="AG363" s="375"/>
      <c r="AH363" s="375" t="str">
        <f>IF(B363="", "",'Lighting Inventory (Ref only)'!Z374)</f>
        <v/>
      </c>
      <c r="AI363" s="375" t="str">
        <f>IF(B363="", "", 'Lighting Inventory (Ref only)'!Y374)</f>
        <v/>
      </c>
      <c r="AJ363" s="375" t="str">
        <f>IF(C363="", "",'Lighting Inventory (Ref only)'!AB374)</f>
        <v/>
      </c>
      <c r="AK363" s="375" t="str">
        <f>IF(B363="", "", 'Lighting Inventory (Ref only)'!AG374)</f>
        <v/>
      </c>
      <c r="AL363" s="375" t="str">
        <f>IF(B363="", "", 'Lighting Inventory (Ref only)'!AD374)</f>
        <v/>
      </c>
      <c r="AM363" s="375" t="str">
        <f>IF(B363="", "", 'Lighting Inventory (Ref only)'!AE374)</f>
        <v/>
      </c>
      <c r="AN363" s="375" t="str">
        <f>IF(B363="", "", 'Lighting Inventory (Ref only)'!AF374)</f>
        <v/>
      </c>
      <c r="AO363" s="375" t="str">
        <f>IF(B363="", "", 'Lighting Inventory (Ref only)'!AG374)</f>
        <v/>
      </c>
    </row>
    <row r="364" spans="1:41">
      <c r="A364" s="298" t="str">
        <f>IF(G364="", "", Lookups!BF366)</f>
        <v/>
      </c>
      <c r="B364" s="298" t="str">
        <f>IF('Lighting Inventory (Ref only)'!Q375="", "", 'Lighting Inventory (Ref only)'!Q375)</f>
        <v/>
      </c>
      <c r="C364" s="298" t="str">
        <f>IF(A364="", "", 'Lighting Inventory (Ref only)'!AO375)</f>
        <v/>
      </c>
      <c r="D364" s="370" t="str">
        <f>IF(B364= "","", Inventory!S372)</f>
        <v/>
      </c>
      <c r="E364" s="371"/>
      <c r="F364" s="298" t="str">
        <f>IF(B364="", "", 'Version Log'!$B$34)</f>
        <v/>
      </c>
      <c r="G364" s="298" t="str">
        <f t="shared" si="20"/>
        <v/>
      </c>
      <c r="H364" s="298" t="str">
        <f t="shared" si="21"/>
        <v/>
      </c>
      <c r="I364" s="298" t="str">
        <f>IF(B364="", "",Inventory!D372)</f>
        <v/>
      </c>
      <c r="J364" s="298" t="str">
        <f>IF(B364="","",IF(Inventory!C372="N","Interior","Exterior"))</f>
        <v/>
      </c>
      <c r="K364" s="298" t="str">
        <f t="shared" si="22"/>
        <v/>
      </c>
      <c r="L364" s="298" t="str">
        <f>IF(B364="", "", Inventory!E372)</f>
        <v/>
      </c>
      <c r="M364" s="298" t="str">
        <f>IF(B364="","",IF(Cool_Type=Lookups!$L$9,Cool_Type,IF(Cool_Type=Lookups!$L$10,Cool_Type,IF(Cool_Type=Lookups!$L$11,Cool_Type,IF(Cool_Type=Lookups!L374,Cool_Type,IF('Project Info and Summary'!$C$20="Electric",CONCATENATE(Cool_Type," ",Heating_Type," Heat"),IF('Project Info and Summary'!$C$20="Non-Electric",CONCATENATE(Cool_Type," ",Heating_Type," Heat"),CONCATENATE(Cool_Type," ",Heating_Type))))))))</f>
        <v/>
      </c>
      <c r="N364" s="298" t="str">
        <f t="shared" si="23"/>
        <v/>
      </c>
      <c r="O364" s="298" t="str">
        <f>IF(B364="", "", 'Lighting Inventory (Ref only)'!G375)</f>
        <v/>
      </c>
      <c r="P364" s="298" t="str">
        <f>IF(B364="", "", 'Lighting Inventory (Ref only)'!E375)</f>
        <v/>
      </c>
      <c r="Q364" s="298" t="str">
        <f>IF(B364="", "", 'Lighting Inventory (Ref only)'!J375)</f>
        <v/>
      </c>
      <c r="R364" s="298" t="str">
        <f>IF(B364="", "",'Lighting Inventory (Ref only)'!K375)</f>
        <v/>
      </c>
      <c r="S364" s="372" t="str">
        <f>IF(B364="", "", 'Lighting Inventory (Ref only)'!G375*'Lighting Inventory (Ref only)'!K375/1000)</f>
        <v/>
      </c>
      <c r="T364" s="298" t="str">
        <f>IF(B364="", "", IF('Lighting Inventory (Ref only)'!I375="", "Light Switch",Inventory!H372))</f>
        <v/>
      </c>
      <c r="W364" s="373"/>
      <c r="X364" s="298" t="str">
        <f>IF(B364="", "", 'Lighting Inventory (Ref only)'!Q375)</f>
        <v/>
      </c>
      <c r="Z364" s="374"/>
      <c r="AA364" s="372" t="str">
        <f>IF(B364="", "",'Lighting Inventory (Ref only)'!R375/1000)</f>
        <v/>
      </c>
      <c r="AB364" s="372" t="str">
        <f>IF(B364="", "", Inventory!M372)</f>
        <v/>
      </c>
      <c r="AC364" s="374" t="str">
        <f>IF(B364="", "", 'Lighting Inventory (Ref only)'!T375)</f>
        <v/>
      </c>
      <c r="AD364" s="374" t="str">
        <f>IF(C364="", "", 'Lighting Inventory (Ref only)'!AA375)</f>
        <v/>
      </c>
      <c r="AE364" s="375" t="str">
        <f>IF(B364="", "", 'Lighting Inventory (Ref only)'!U375)</f>
        <v/>
      </c>
      <c r="AF364" s="375" t="str">
        <f>IF(B364="", "",'Lighting Inventory (Ref only)'!W375)</f>
        <v/>
      </c>
      <c r="AG364" s="375"/>
      <c r="AH364" s="375" t="str">
        <f>IF(B364="", "",'Lighting Inventory (Ref only)'!Z375)</f>
        <v/>
      </c>
      <c r="AI364" s="375" t="str">
        <f>IF(B364="", "", 'Lighting Inventory (Ref only)'!Y375)</f>
        <v/>
      </c>
      <c r="AJ364" s="375" t="str">
        <f>IF(C364="", "",'Lighting Inventory (Ref only)'!AB375)</f>
        <v/>
      </c>
      <c r="AK364" s="375" t="str">
        <f>IF(B364="", "", 'Lighting Inventory (Ref only)'!AG375)</f>
        <v/>
      </c>
      <c r="AL364" s="375" t="str">
        <f>IF(B364="", "", 'Lighting Inventory (Ref only)'!AD375)</f>
        <v/>
      </c>
      <c r="AM364" s="375" t="str">
        <f>IF(B364="", "", 'Lighting Inventory (Ref only)'!AE375)</f>
        <v/>
      </c>
      <c r="AN364" s="375" t="str">
        <f>IF(B364="", "", 'Lighting Inventory (Ref only)'!AF375)</f>
        <v/>
      </c>
      <c r="AO364" s="375" t="str">
        <f>IF(B364="", "", 'Lighting Inventory (Ref only)'!AG375)</f>
        <v/>
      </c>
    </row>
    <row r="365" spans="1:41">
      <c r="A365" s="298" t="str">
        <f>IF(G365="", "", Lookups!BF367)</f>
        <v/>
      </c>
      <c r="B365" s="298" t="str">
        <f>IF('Lighting Inventory (Ref only)'!Q376="", "", 'Lighting Inventory (Ref only)'!Q376)</f>
        <v/>
      </c>
      <c r="C365" s="298" t="str">
        <f>IF(A365="", "", 'Lighting Inventory (Ref only)'!AO376)</f>
        <v/>
      </c>
      <c r="D365" s="370" t="str">
        <f>IF(B365= "","", Inventory!S373)</f>
        <v/>
      </c>
      <c r="E365" s="371"/>
      <c r="F365" s="298" t="str">
        <f>IF(B365="", "", 'Version Log'!$B$34)</f>
        <v/>
      </c>
      <c r="G365" s="298" t="str">
        <f t="shared" si="20"/>
        <v/>
      </c>
      <c r="H365" s="298" t="str">
        <f t="shared" si="21"/>
        <v/>
      </c>
      <c r="I365" s="298" t="str">
        <f>IF(B365="", "",Inventory!D373)</f>
        <v/>
      </c>
      <c r="J365" s="298" t="str">
        <f>IF(B365="","",IF(Inventory!C373="N","Interior","Exterior"))</f>
        <v/>
      </c>
      <c r="K365" s="298" t="str">
        <f t="shared" si="22"/>
        <v/>
      </c>
      <c r="L365" s="298" t="str">
        <f>IF(B365="", "", Inventory!E373)</f>
        <v/>
      </c>
      <c r="M365" s="298" t="str">
        <f>IF(B365="","",IF(Cool_Type=Lookups!$L$9,Cool_Type,IF(Cool_Type=Lookups!$L$10,Cool_Type,IF(Cool_Type=Lookups!$L$11,Cool_Type,IF(Cool_Type=Lookups!L375,Cool_Type,IF('Project Info and Summary'!$C$20="Electric",CONCATENATE(Cool_Type," ",Heating_Type," Heat"),IF('Project Info and Summary'!$C$20="Non-Electric",CONCATENATE(Cool_Type," ",Heating_Type," Heat"),CONCATENATE(Cool_Type," ",Heating_Type))))))))</f>
        <v/>
      </c>
      <c r="N365" s="298" t="str">
        <f t="shared" si="23"/>
        <v/>
      </c>
      <c r="O365" s="298" t="str">
        <f>IF(B365="", "", 'Lighting Inventory (Ref only)'!G376)</f>
        <v/>
      </c>
      <c r="P365" s="298" t="str">
        <f>IF(B365="", "", 'Lighting Inventory (Ref only)'!E376)</f>
        <v/>
      </c>
      <c r="Q365" s="298" t="str">
        <f>IF(B365="", "", 'Lighting Inventory (Ref only)'!J376)</f>
        <v/>
      </c>
      <c r="R365" s="298" t="str">
        <f>IF(B365="", "",'Lighting Inventory (Ref only)'!K376)</f>
        <v/>
      </c>
      <c r="S365" s="372" t="str">
        <f>IF(B365="", "", 'Lighting Inventory (Ref only)'!G376*'Lighting Inventory (Ref only)'!K376/1000)</f>
        <v/>
      </c>
      <c r="T365" s="298" t="str">
        <f>IF(B365="", "", IF('Lighting Inventory (Ref only)'!I376="", "Light Switch",Inventory!H373))</f>
        <v/>
      </c>
      <c r="W365" s="373"/>
      <c r="X365" s="298" t="str">
        <f>IF(B365="", "", 'Lighting Inventory (Ref only)'!Q376)</f>
        <v/>
      </c>
      <c r="Z365" s="374"/>
      <c r="AA365" s="372" t="str">
        <f>IF(B365="", "",'Lighting Inventory (Ref only)'!R376/1000)</f>
        <v/>
      </c>
      <c r="AB365" s="372" t="str">
        <f>IF(B365="", "", Inventory!M373)</f>
        <v/>
      </c>
      <c r="AC365" s="374" t="str">
        <f>IF(B365="", "", 'Lighting Inventory (Ref only)'!T376)</f>
        <v/>
      </c>
      <c r="AD365" s="374" t="str">
        <f>IF(C365="", "", 'Lighting Inventory (Ref only)'!AA376)</f>
        <v/>
      </c>
      <c r="AE365" s="375" t="str">
        <f>IF(B365="", "", 'Lighting Inventory (Ref only)'!U376)</f>
        <v/>
      </c>
      <c r="AF365" s="375" t="str">
        <f>IF(B365="", "",'Lighting Inventory (Ref only)'!W376)</f>
        <v/>
      </c>
      <c r="AG365" s="375"/>
      <c r="AH365" s="375" t="str">
        <f>IF(B365="", "",'Lighting Inventory (Ref only)'!Z376)</f>
        <v/>
      </c>
      <c r="AI365" s="375" t="str">
        <f>IF(B365="", "", 'Lighting Inventory (Ref only)'!Y376)</f>
        <v/>
      </c>
      <c r="AJ365" s="375" t="str">
        <f>IF(C365="", "",'Lighting Inventory (Ref only)'!AB376)</f>
        <v/>
      </c>
      <c r="AK365" s="375" t="str">
        <f>IF(B365="", "", 'Lighting Inventory (Ref only)'!AG376)</f>
        <v/>
      </c>
      <c r="AL365" s="375" t="str">
        <f>IF(B365="", "", 'Lighting Inventory (Ref only)'!AD376)</f>
        <v/>
      </c>
      <c r="AM365" s="375" t="str">
        <f>IF(B365="", "", 'Lighting Inventory (Ref only)'!AE376)</f>
        <v/>
      </c>
      <c r="AN365" s="375" t="str">
        <f>IF(B365="", "", 'Lighting Inventory (Ref only)'!AF376)</f>
        <v/>
      </c>
      <c r="AO365" s="375" t="str">
        <f>IF(B365="", "", 'Lighting Inventory (Ref only)'!AG376)</f>
        <v/>
      </c>
    </row>
    <row r="366" spans="1:41">
      <c r="A366" s="298" t="str">
        <f>IF(G366="", "", Lookups!BF368)</f>
        <v/>
      </c>
      <c r="B366" s="298" t="str">
        <f>IF('Lighting Inventory (Ref only)'!Q377="", "", 'Lighting Inventory (Ref only)'!Q377)</f>
        <v/>
      </c>
      <c r="C366" s="298" t="str">
        <f>IF(A366="", "", 'Lighting Inventory (Ref only)'!AO377)</f>
        <v/>
      </c>
      <c r="D366" s="370" t="str">
        <f>IF(B366= "","", Inventory!S374)</f>
        <v/>
      </c>
      <c r="E366" s="371"/>
      <c r="F366" s="298" t="str">
        <f>IF(B366="", "", 'Version Log'!$B$34)</f>
        <v/>
      </c>
      <c r="G366" s="298" t="str">
        <f t="shared" si="20"/>
        <v/>
      </c>
      <c r="H366" s="298" t="str">
        <f t="shared" si="21"/>
        <v/>
      </c>
      <c r="I366" s="298" t="str">
        <f>IF(B366="", "",Inventory!D374)</f>
        <v/>
      </c>
      <c r="J366" s="298" t="str">
        <f>IF(B366="","",IF(Inventory!C374="N","Interior","Exterior"))</f>
        <v/>
      </c>
      <c r="K366" s="298" t="str">
        <f t="shared" si="22"/>
        <v/>
      </c>
      <c r="L366" s="298" t="str">
        <f>IF(B366="", "", Inventory!E374)</f>
        <v/>
      </c>
      <c r="M366" s="298" t="str">
        <f>IF(B366="","",IF(Cool_Type=Lookups!$L$9,Cool_Type,IF(Cool_Type=Lookups!$L$10,Cool_Type,IF(Cool_Type=Lookups!$L$11,Cool_Type,IF(Cool_Type=Lookups!L376,Cool_Type,IF('Project Info and Summary'!$C$20="Electric",CONCATENATE(Cool_Type," ",Heating_Type," Heat"),IF('Project Info and Summary'!$C$20="Non-Electric",CONCATENATE(Cool_Type," ",Heating_Type," Heat"),CONCATENATE(Cool_Type," ",Heating_Type))))))))</f>
        <v/>
      </c>
      <c r="N366" s="298" t="str">
        <f t="shared" si="23"/>
        <v/>
      </c>
      <c r="O366" s="298" t="str">
        <f>IF(B366="", "", 'Lighting Inventory (Ref only)'!G377)</f>
        <v/>
      </c>
      <c r="P366" s="298" t="str">
        <f>IF(B366="", "", 'Lighting Inventory (Ref only)'!E377)</f>
        <v/>
      </c>
      <c r="Q366" s="298" t="str">
        <f>IF(B366="", "", 'Lighting Inventory (Ref only)'!J377)</f>
        <v/>
      </c>
      <c r="R366" s="298" t="str">
        <f>IF(B366="", "",'Lighting Inventory (Ref only)'!K377)</f>
        <v/>
      </c>
      <c r="S366" s="372" t="str">
        <f>IF(B366="", "", 'Lighting Inventory (Ref only)'!G377*'Lighting Inventory (Ref only)'!K377/1000)</f>
        <v/>
      </c>
      <c r="T366" s="298" t="str">
        <f>IF(B366="", "", IF('Lighting Inventory (Ref only)'!I377="", "Light Switch",Inventory!H374))</f>
        <v/>
      </c>
      <c r="W366" s="373"/>
      <c r="X366" s="298" t="str">
        <f>IF(B366="", "", 'Lighting Inventory (Ref only)'!Q377)</f>
        <v/>
      </c>
      <c r="Z366" s="374"/>
      <c r="AA366" s="372" t="str">
        <f>IF(B366="", "",'Lighting Inventory (Ref only)'!R377/1000)</f>
        <v/>
      </c>
      <c r="AB366" s="372" t="str">
        <f>IF(B366="", "", Inventory!M374)</f>
        <v/>
      </c>
      <c r="AC366" s="374" t="str">
        <f>IF(B366="", "", 'Lighting Inventory (Ref only)'!T377)</f>
        <v/>
      </c>
      <c r="AD366" s="374" t="str">
        <f>IF(C366="", "", 'Lighting Inventory (Ref only)'!AA377)</f>
        <v/>
      </c>
      <c r="AE366" s="375" t="str">
        <f>IF(B366="", "", 'Lighting Inventory (Ref only)'!U377)</f>
        <v/>
      </c>
      <c r="AF366" s="375" t="str">
        <f>IF(B366="", "",'Lighting Inventory (Ref only)'!W377)</f>
        <v/>
      </c>
      <c r="AG366" s="375"/>
      <c r="AH366" s="375" t="str">
        <f>IF(B366="", "",'Lighting Inventory (Ref only)'!Z377)</f>
        <v/>
      </c>
      <c r="AI366" s="375" t="str">
        <f>IF(B366="", "", 'Lighting Inventory (Ref only)'!Y377)</f>
        <v/>
      </c>
      <c r="AJ366" s="375" t="str">
        <f>IF(C366="", "",'Lighting Inventory (Ref only)'!AB377)</f>
        <v/>
      </c>
      <c r="AK366" s="375" t="str">
        <f>IF(B366="", "", 'Lighting Inventory (Ref only)'!AG377)</f>
        <v/>
      </c>
      <c r="AL366" s="375" t="str">
        <f>IF(B366="", "", 'Lighting Inventory (Ref only)'!AD377)</f>
        <v/>
      </c>
      <c r="AM366" s="375" t="str">
        <f>IF(B366="", "", 'Lighting Inventory (Ref only)'!AE377)</f>
        <v/>
      </c>
      <c r="AN366" s="375" t="str">
        <f>IF(B366="", "", 'Lighting Inventory (Ref only)'!AF377)</f>
        <v/>
      </c>
      <c r="AO366" s="375" t="str">
        <f>IF(B366="", "", 'Lighting Inventory (Ref only)'!AG377)</f>
        <v/>
      </c>
    </row>
    <row r="367" spans="1:41">
      <c r="A367" s="298" t="str">
        <f>IF(G367="", "", Lookups!BF369)</f>
        <v/>
      </c>
      <c r="B367" s="298" t="str">
        <f>IF('Lighting Inventory (Ref only)'!Q378="", "", 'Lighting Inventory (Ref only)'!Q378)</f>
        <v/>
      </c>
      <c r="C367" s="298" t="str">
        <f>IF(A367="", "", 'Lighting Inventory (Ref only)'!AO378)</f>
        <v/>
      </c>
      <c r="D367" s="370" t="str">
        <f>IF(B367= "","", Inventory!S375)</f>
        <v/>
      </c>
      <c r="E367" s="371"/>
      <c r="F367" s="298" t="str">
        <f>IF(B367="", "", 'Version Log'!$B$34)</f>
        <v/>
      </c>
      <c r="G367" s="298" t="str">
        <f t="shared" si="20"/>
        <v/>
      </c>
      <c r="H367" s="298" t="str">
        <f t="shared" si="21"/>
        <v/>
      </c>
      <c r="I367" s="298" t="str">
        <f>IF(B367="", "",Inventory!D375)</f>
        <v/>
      </c>
      <c r="J367" s="298" t="str">
        <f>IF(B367="","",IF(Inventory!C375="N","Interior","Exterior"))</f>
        <v/>
      </c>
      <c r="K367" s="298" t="str">
        <f t="shared" si="22"/>
        <v/>
      </c>
      <c r="L367" s="298" t="str">
        <f>IF(B367="", "", Inventory!E375)</f>
        <v/>
      </c>
      <c r="M367" s="298" t="str">
        <f>IF(B367="","",IF(Cool_Type=Lookups!$L$9,Cool_Type,IF(Cool_Type=Lookups!$L$10,Cool_Type,IF(Cool_Type=Lookups!$L$11,Cool_Type,IF(Cool_Type=Lookups!L377,Cool_Type,IF('Project Info and Summary'!$C$20="Electric",CONCATENATE(Cool_Type," ",Heating_Type," Heat"),IF('Project Info and Summary'!$C$20="Non-Electric",CONCATENATE(Cool_Type," ",Heating_Type," Heat"),CONCATENATE(Cool_Type," ",Heating_Type))))))))</f>
        <v/>
      </c>
      <c r="N367" s="298" t="str">
        <f t="shared" si="23"/>
        <v/>
      </c>
      <c r="O367" s="298" t="str">
        <f>IF(B367="", "", 'Lighting Inventory (Ref only)'!G378)</f>
        <v/>
      </c>
      <c r="P367" s="298" t="str">
        <f>IF(B367="", "", 'Lighting Inventory (Ref only)'!E378)</f>
        <v/>
      </c>
      <c r="Q367" s="298" t="str">
        <f>IF(B367="", "", 'Lighting Inventory (Ref only)'!J378)</f>
        <v/>
      </c>
      <c r="R367" s="298" t="str">
        <f>IF(B367="", "",'Lighting Inventory (Ref only)'!K378)</f>
        <v/>
      </c>
      <c r="S367" s="372" t="str">
        <f>IF(B367="", "", 'Lighting Inventory (Ref only)'!G378*'Lighting Inventory (Ref only)'!K378/1000)</f>
        <v/>
      </c>
      <c r="T367" s="298" t="str">
        <f>IF(B367="", "", IF('Lighting Inventory (Ref only)'!I378="", "Light Switch",Inventory!H375))</f>
        <v/>
      </c>
      <c r="W367" s="373"/>
      <c r="X367" s="298" t="str">
        <f>IF(B367="", "", 'Lighting Inventory (Ref only)'!Q378)</f>
        <v/>
      </c>
      <c r="Z367" s="374"/>
      <c r="AA367" s="372" t="str">
        <f>IF(B367="", "",'Lighting Inventory (Ref only)'!R378/1000)</f>
        <v/>
      </c>
      <c r="AB367" s="372" t="str">
        <f>IF(B367="", "", Inventory!M375)</f>
        <v/>
      </c>
      <c r="AC367" s="374" t="str">
        <f>IF(B367="", "", 'Lighting Inventory (Ref only)'!T378)</f>
        <v/>
      </c>
      <c r="AD367" s="374" t="str">
        <f>IF(C367="", "", 'Lighting Inventory (Ref only)'!AA378)</f>
        <v/>
      </c>
      <c r="AE367" s="375" t="str">
        <f>IF(B367="", "", 'Lighting Inventory (Ref only)'!U378)</f>
        <v/>
      </c>
      <c r="AF367" s="375" t="str">
        <f>IF(B367="", "",'Lighting Inventory (Ref only)'!W378)</f>
        <v/>
      </c>
      <c r="AG367" s="375"/>
      <c r="AH367" s="375" t="str">
        <f>IF(B367="", "",'Lighting Inventory (Ref only)'!Z378)</f>
        <v/>
      </c>
      <c r="AI367" s="375" t="str">
        <f>IF(B367="", "", 'Lighting Inventory (Ref only)'!Y378)</f>
        <v/>
      </c>
      <c r="AJ367" s="375" t="str">
        <f>IF(C367="", "",'Lighting Inventory (Ref only)'!AB378)</f>
        <v/>
      </c>
      <c r="AK367" s="375" t="str">
        <f>IF(B367="", "", 'Lighting Inventory (Ref only)'!AG378)</f>
        <v/>
      </c>
      <c r="AL367" s="375" t="str">
        <f>IF(B367="", "", 'Lighting Inventory (Ref only)'!AD378)</f>
        <v/>
      </c>
      <c r="AM367" s="375" t="str">
        <f>IF(B367="", "", 'Lighting Inventory (Ref only)'!AE378)</f>
        <v/>
      </c>
      <c r="AN367" s="375" t="str">
        <f>IF(B367="", "", 'Lighting Inventory (Ref only)'!AF378)</f>
        <v/>
      </c>
      <c r="AO367" s="375" t="str">
        <f>IF(B367="", "", 'Lighting Inventory (Ref only)'!AG378)</f>
        <v/>
      </c>
    </row>
    <row r="368" spans="1:41">
      <c r="A368" s="298" t="str">
        <f>IF(G368="", "", Lookups!BF370)</f>
        <v/>
      </c>
      <c r="B368" s="298" t="str">
        <f>IF('Lighting Inventory (Ref only)'!Q379="", "", 'Lighting Inventory (Ref only)'!Q379)</f>
        <v/>
      </c>
      <c r="C368" s="298" t="str">
        <f>IF(A368="", "", 'Lighting Inventory (Ref only)'!AO379)</f>
        <v/>
      </c>
      <c r="D368" s="370" t="str">
        <f>IF(B368= "","", Inventory!S376)</f>
        <v/>
      </c>
      <c r="E368" s="371"/>
      <c r="F368" s="298" t="str">
        <f>IF(B368="", "", 'Version Log'!$B$34)</f>
        <v/>
      </c>
      <c r="G368" s="298" t="str">
        <f t="shared" si="20"/>
        <v/>
      </c>
      <c r="H368" s="298" t="str">
        <f t="shared" si="21"/>
        <v/>
      </c>
      <c r="I368" s="298" t="str">
        <f>IF(B368="", "",Inventory!D376)</f>
        <v/>
      </c>
      <c r="J368" s="298" t="str">
        <f>IF(B368="","",IF(Inventory!C376="N","Interior","Exterior"))</f>
        <v/>
      </c>
      <c r="K368" s="298" t="str">
        <f t="shared" si="22"/>
        <v/>
      </c>
      <c r="L368" s="298" t="str">
        <f>IF(B368="", "", Inventory!E376)</f>
        <v/>
      </c>
      <c r="M368" s="298" t="str">
        <f>IF(B368="","",IF(Cool_Type=Lookups!$L$9,Cool_Type,IF(Cool_Type=Lookups!$L$10,Cool_Type,IF(Cool_Type=Lookups!$L$11,Cool_Type,IF(Cool_Type=Lookups!L378,Cool_Type,IF('Project Info and Summary'!$C$20="Electric",CONCATENATE(Cool_Type," ",Heating_Type," Heat"),IF('Project Info and Summary'!$C$20="Non-Electric",CONCATENATE(Cool_Type," ",Heating_Type," Heat"),CONCATENATE(Cool_Type," ",Heating_Type))))))))</f>
        <v/>
      </c>
      <c r="N368" s="298" t="str">
        <f t="shared" si="23"/>
        <v/>
      </c>
      <c r="O368" s="298" t="str">
        <f>IF(B368="", "", 'Lighting Inventory (Ref only)'!G379)</f>
        <v/>
      </c>
      <c r="P368" s="298" t="str">
        <f>IF(B368="", "", 'Lighting Inventory (Ref only)'!E379)</f>
        <v/>
      </c>
      <c r="Q368" s="298" t="str">
        <f>IF(B368="", "", 'Lighting Inventory (Ref only)'!J379)</f>
        <v/>
      </c>
      <c r="R368" s="298" t="str">
        <f>IF(B368="", "",'Lighting Inventory (Ref only)'!K379)</f>
        <v/>
      </c>
      <c r="S368" s="372" t="str">
        <f>IF(B368="", "", 'Lighting Inventory (Ref only)'!G379*'Lighting Inventory (Ref only)'!K379/1000)</f>
        <v/>
      </c>
      <c r="T368" s="298" t="str">
        <f>IF(B368="", "", IF('Lighting Inventory (Ref only)'!I379="", "Light Switch",Inventory!H376))</f>
        <v/>
      </c>
      <c r="W368" s="373"/>
      <c r="X368" s="298" t="str">
        <f>IF(B368="", "", 'Lighting Inventory (Ref only)'!Q379)</f>
        <v/>
      </c>
      <c r="Z368" s="374"/>
      <c r="AA368" s="372" t="str">
        <f>IF(B368="", "",'Lighting Inventory (Ref only)'!R379/1000)</f>
        <v/>
      </c>
      <c r="AB368" s="372" t="str">
        <f>IF(B368="", "", Inventory!M376)</f>
        <v/>
      </c>
      <c r="AC368" s="374" t="str">
        <f>IF(B368="", "", 'Lighting Inventory (Ref only)'!T379)</f>
        <v/>
      </c>
      <c r="AD368" s="374" t="str">
        <f>IF(C368="", "", 'Lighting Inventory (Ref only)'!AA379)</f>
        <v/>
      </c>
      <c r="AE368" s="375" t="str">
        <f>IF(B368="", "", 'Lighting Inventory (Ref only)'!U379)</f>
        <v/>
      </c>
      <c r="AF368" s="375" t="str">
        <f>IF(B368="", "",'Lighting Inventory (Ref only)'!W379)</f>
        <v/>
      </c>
      <c r="AG368" s="375"/>
      <c r="AH368" s="375" t="str">
        <f>IF(B368="", "",'Lighting Inventory (Ref only)'!Z379)</f>
        <v/>
      </c>
      <c r="AI368" s="375" t="str">
        <f>IF(B368="", "", 'Lighting Inventory (Ref only)'!Y379)</f>
        <v/>
      </c>
      <c r="AJ368" s="375" t="str">
        <f>IF(C368="", "",'Lighting Inventory (Ref only)'!AB379)</f>
        <v/>
      </c>
      <c r="AK368" s="375" t="str">
        <f>IF(B368="", "", 'Lighting Inventory (Ref only)'!AG379)</f>
        <v/>
      </c>
      <c r="AL368" s="375" t="str">
        <f>IF(B368="", "", 'Lighting Inventory (Ref only)'!AD379)</f>
        <v/>
      </c>
      <c r="AM368" s="375" t="str">
        <f>IF(B368="", "", 'Lighting Inventory (Ref only)'!AE379)</f>
        <v/>
      </c>
      <c r="AN368" s="375" t="str">
        <f>IF(B368="", "", 'Lighting Inventory (Ref only)'!AF379)</f>
        <v/>
      </c>
      <c r="AO368" s="375" t="str">
        <f>IF(B368="", "", 'Lighting Inventory (Ref only)'!AG379)</f>
        <v/>
      </c>
    </row>
    <row r="369" spans="1:41">
      <c r="A369" s="298" t="str">
        <f>IF(G369="", "", Lookups!BF371)</f>
        <v/>
      </c>
      <c r="B369" s="298" t="str">
        <f>IF('Lighting Inventory (Ref only)'!Q380="", "", 'Lighting Inventory (Ref only)'!Q380)</f>
        <v/>
      </c>
      <c r="C369" s="298" t="str">
        <f>IF(A369="", "", 'Lighting Inventory (Ref only)'!AO380)</f>
        <v/>
      </c>
      <c r="D369" s="370" t="str">
        <f>IF(B369= "","", Inventory!S377)</f>
        <v/>
      </c>
      <c r="E369" s="371"/>
      <c r="F369" s="298" t="str">
        <f>IF(B369="", "", 'Version Log'!$B$34)</f>
        <v/>
      </c>
      <c r="G369" s="298" t="str">
        <f t="shared" si="20"/>
        <v/>
      </c>
      <c r="H369" s="298" t="str">
        <f t="shared" si="21"/>
        <v/>
      </c>
      <c r="I369" s="298" t="str">
        <f>IF(B369="", "",Inventory!D377)</f>
        <v/>
      </c>
      <c r="J369" s="298" t="str">
        <f>IF(B369="","",IF(Inventory!C377="N","Interior","Exterior"))</f>
        <v/>
      </c>
      <c r="K369" s="298" t="str">
        <f t="shared" si="22"/>
        <v/>
      </c>
      <c r="L369" s="298" t="str">
        <f>IF(B369="", "", Inventory!E377)</f>
        <v/>
      </c>
      <c r="M369" s="298" t="str">
        <f>IF(B369="","",IF(Cool_Type=Lookups!$L$9,Cool_Type,IF(Cool_Type=Lookups!$L$10,Cool_Type,IF(Cool_Type=Lookups!$L$11,Cool_Type,IF(Cool_Type=Lookups!L379,Cool_Type,IF('Project Info and Summary'!$C$20="Electric",CONCATENATE(Cool_Type," ",Heating_Type," Heat"),IF('Project Info and Summary'!$C$20="Non-Electric",CONCATENATE(Cool_Type," ",Heating_Type," Heat"),CONCATENATE(Cool_Type," ",Heating_Type))))))))</f>
        <v/>
      </c>
      <c r="N369" s="298" t="str">
        <f t="shared" si="23"/>
        <v/>
      </c>
      <c r="O369" s="298" t="str">
        <f>IF(B369="", "", 'Lighting Inventory (Ref only)'!G380)</f>
        <v/>
      </c>
      <c r="P369" s="298" t="str">
        <f>IF(B369="", "", 'Lighting Inventory (Ref only)'!E380)</f>
        <v/>
      </c>
      <c r="Q369" s="298" t="str">
        <f>IF(B369="", "", 'Lighting Inventory (Ref only)'!J380)</f>
        <v/>
      </c>
      <c r="R369" s="298" t="str">
        <f>IF(B369="", "",'Lighting Inventory (Ref only)'!K380)</f>
        <v/>
      </c>
      <c r="S369" s="372" t="str">
        <f>IF(B369="", "", 'Lighting Inventory (Ref only)'!G380*'Lighting Inventory (Ref only)'!K380/1000)</f>
        <v/>
      </c>
      <c r="T369" s="298" t="str">
        <f>IF(B369="", "", IF('Lighting Inventory (Ref only)'!I380="", "Light Switch",Inventory!H377))</f>
        <v/>
      </c>
      <c r="W369" s="373"/>
      <c r="X369" s="298" t="str">
        <f>IF(B369="", "", 'Lighting Inventory (Ref only)'!Q380)</f>
        <v/>
      </c>
      <c r="Z369" s="374"/>
      <c r="AA369" s="372" t="str">
        <f>IF(B369="", "",'Lighting Inventory (Ref only)'!R380/1000)</f>
        <v/>
      </c>
      <c r="AB369" s="372" t="str">
        <f>IF(B369="", "", Inventory!M377)</f>
        <v/>
      </c>
      <c r="AC369" s="374" t="str">
        <f>IF(B369="", "", 'Lighting Inventory (Ref only)'!T380)</f>
        <v/>
      </c>
      <c r="AD369" s="374" t="str">
        <f>IF(C369="", "", 'Lighting Inventory (Ref only)'!AA380)</f>
        <v/>
      </c>
      <c r="AE369" s="375" t="str">
        <f>IF(B369="", "", 'Lighting Inventory (Ref only)'!U380)</f>
        <v/>
      </c>
      <c r="AF369" s="375" t="str">
        <f>IF(B369="", "",'Lighting Inventory (Ref only)'!W380)</f>
        <v/>
      </c>
      <c r="AG369" s="375"/>
      <c r="AH369" s="375" t="str">
        <f>IF(B369="", "",'Lighting Inventory (Ref only)'!Z380)</f>
        <v/>
      </c>
      <c r="AI369" s="375" t="str">
        <f>IF(B369="", "", 'Lighting Inventory (Ref only)'!Y380)</f>
        <v/>
      </c>
      <c r="AJ369" s="375" t="str">
        <f>IF(C369="", "",'Lighting Inventory (Ref only)'!AB380)</f>
        <v/>
      </c>
      <c r="AK369" s="375" t="str">
        <f>IF(B369="", "", 'Lighting Inventory (Ref only)'!AG380)</f>
        <v/>
      </c>
      <c r="AL369" s="375" t="str">
        <f>IF(B369="", "", 'Lighting Inventory (Ref only)'!AD380)</f>
        <v/>
      </c>
      <c r="AM369" s="375" t="str">
        <f>IF(B369="", "", 'Lighting Inventory (Ref only)'!AE380)</f>
        <v/>
      </c>
      <c r="AN369" s="375" t="str">
        <f>IF(B369="", "", 'Lighting Inventory (Ref only)'!AF380)</f>
        <v/>
      </c>
      <c r="AO369" s="375" t="str">
        <f>IF(B369="", "", 'Lighting Inventory (Ref only)'!AG380)</f>
        <v/>
      </c>
    </row>
    <row r="370" spans="1:41">
      <c r="A370" s="298" t="str">
        <f>IF(G370="", "", Lookups!BF372)</f>
        <v/>
      </c>
      <c r="B370" s="298" t="str">
        <f>IF('Lighting Inventory (Ref only)'!Q381="", "", 'Lighting Inventory (Ref only)'!Q381)</f>
        <v/>
      </c>
      <c r="C370" s="298" t="str">
        <f>IF(A370="", "", 'Lighting Inventory (Ref only)'!AO381)</f>
        <v/>
      </c>
      <c r="D370" s="370" t="str">
        <f>IF(B370= "","", Inventory!S378)</f>
        <v/>
      </c>
      <c r="E370" s="371"/>
      <c r="F370" s="298" t="str">
        <f>IF(B370="", "", 'Version Log'!$B$34)</f>
        <v/>
      </c>
      <c r="G370" s="298" t="str">
        <f t="shared" si="20"/>
        <v/>
      </c>
      <c r="H370" s="298" t="str">
        <f t="shared" si="21"/>
        <v/>
      </c>
      <c r="I370" s="298" t="str">
        <f>IF(B370="", "",Inventory!D378)</f>
        <v/>
      </c>
      <c r="J370" s="298" t="str">
        <f>IF(B370="","",IF(Inventory!C378="N","Interior","Exterior"))</f>
        <v/>
      </c>
      <c r="K370" s="298" t="str">
        <f t="shared" si="22"/>
        <v/>
      </c>
      <c r="L370" s="298" t="str">
        <f>IF(B370="", "", Inventory!E378)</f>
        <v/>
      </c>
      <c r="M370" s="298" t="str">
        <f>IF(B370="","",IF(Cool_Type=Lookups!$L$9,Cool_Type,IF(Cool_Type=Lookups!$L$10,Cool_Type,IF(Cool_Type=Lookups!$L$11,Cool_Type,IF(Cool_Type=Lookups!L380,Cool_Type,IF('Project Info and Summary'!$C$20="Electric",CONCATENATE(Cool_Type," ",Heating_Type," Heat"),IF('Project Info and Summary'!$C$20="Non-Electric",CONCATENATE(Cool_Type," ",Heating_Type," Heat"),CONCATENATE(Cool_Type," ",Heating_Type))))))))</f>
        <v/>
      </c>
      <c r="N370" s="298" t="str">
        <f t="shared" si="23"/>
        <v/>
      </c>
      <c r="O370" s="298" t="str">
        <f>IF(B370="", "", 'Lighting Inventory (Ref only)'!G381)</f>
        <v/>
      </c>
      <c r="P370" s="298" t="str">
        <f>IF(B370="", "", 'Lighting Inventory (Ref only)'!E381)</f>
        <v/>
      </c>
      <c r="Q370" s="298" t="str">
        <f>IF(B370="", "", 'Lighting Inventory (Ref only)'!J381)</f>
        <v/>
      </c>
      <c r="R370" s="298" t="str">
        <f>IF(B370="", "",'Lighting Inventory (Ref only)'!K381)</f>
        <v/>
      </c>
      <c r="S370" s="372" t="str">
        <f>IF(B370="", "", 'Lighting Inventory (Ref only)'!G381*'Lighting Inventory (Ref only)'!K381/1000)</f>
        <v/>
      </c>
      <c r="T370" s="298" t="str">
        <f>IF(B370="", "", IF('Lighting Inventory (Ref only)'!I381="", "Light Switch",Inventory!H378))</f>
        <v/>
      </c>
      <c r="W370" s="373"/>
      <c r="X370" s="298" t="str">
        <f>IF(B370="", "", 'Lighting Inventory (Ref only)'!Q381)</f>
        <v/>
      </c>
      <c r="Z370" s="374"/>
      <c r="AA370" s="372" t="str">
        <f>IF(B370="", "",'Lighting Inventory (Ref only)'!R381/1000)</f>
        <v/>
      </c>
      <c r="AB370" s="372" t="str">
        <f>IF(B370="", "", Inventory!M378)</f>
        <v/>
      </c>
      <c r="AC370" s="374" t="str">
        <f>IF(B370="", "", 'Lighting Inventory (Ref only)'!T381)</f>
        <v/>
      </c>
      <c r="AD370" s="374" t="str">
        <f>IF(C370="", "", 'Lighting Inventory (Ref only)'!AA381)</f>
        <v/>
      </c>
      <c r="AE370" s="375" t="str">
        <f>IF(B370="", "", 'Lighting Inventory (Ref only)'!U381)</f>
        <v/>
      </c>
      <c r="AF370" s="375" t="str">
        <f>IF(B370="", "",'Lighting Inventory (Ref only)'!W381)</f>
        <v/>
      </c>
      <c r="AG370" s="375"/>
      <c r="AH370" s="375" t="str">
        <f>IF(B370="", "",'Lighting Inventory (Ref only)'!Z381)</f>
        <v/>
      </c>
      <c r="AI370" s="375" t="str">
        <f>IF(B370="", "", 'Lighting Inventory (Ref only)'!Y381)</f>
        <v/>
      </c>
      <c r="AJ370" s="375" t="str">
        <f>IF(C370="", "",'Lighting Inventory (Ref only)'!AB381)</f>
        <v/>
      </c>
      <c r="AK370" s="375" t="str">
        <f>IF(B370="", "", 'Lighting Inventory (Ref only)'!AG381)</f>
        <v/>
      </c>
      <c r="AL370" s="375" t="str">
        <f>IF(B370="", "", 'Lighting Inventory (Ref only)'!AD381)</f>
        <v/>
      </c>
      <c r="AM370" s="375" t="str">
        <f>IF(B370="", "", 'Lighting Inventory (Ref only)'!AE381)</f>
        <v/>
      </c>
      <c r="AN370" s="375" t="str">
        <f>IF(B370="", "", 'Lighting Inventory (Ref only)'!AF381)</f>
        <v/>
      </c>
      <c r="AO370" s="375" t="str">
        <f>IF(B370="", "", 'Lighting Inventory (Ref only)'!AG381)</f>
        <v/>
      </c>
    </row>
    <row r="371" spans="1:41">
      <c r="A371" s="298" t="str">
        <f>IF(G371="", "", Lookups!BF373)</f>
        <v/>
      </c>
      <c r="B371" s="298" t="str">
        <f>IF('Lighting Inventory (Ref only)'!Q382="", "", 'Lighting Inventory (Ref only)'!Q382)</f>
        <v/>
      </c>
      <c r="C371" s="298" t="str">
        <f>IF(A371="", "", 'Lighting Inventory (Ref only)'!AO382)</f>
        <v/>
      </c>
      <c r="D371" s="370" t="str">
        <f>IF(B371= "","", Inventory!S379)</f>
        <v/>
      </c>
      <c r="E371" s="371"/>
      <c r="F371" s="298" t="str">
        <f>IF(B371="", "", 'Version Log'!$B$34)</f>
        <v/>
      </c>
      <c r="G371" s="298" t="str">
        <f t="shared" si="20"/>
        <v/>
      </c>
      <c r="H371" s="298" t="str">
        <f t="shared" si="21"/>
        <v/>
      </c>
      <c r="I371" s="298" t="str">
        <f>IF(B371="", "",Inventory!D379)</f>
        <v/>
      </c>
      <c r="J371" s="298" t="str">
        <f>IF(B371="","",IF(Inventory!C379="N","Interior","Exterior"))</f>
        <v/>
      </c>
      <c r="K371" s="298" t="str">
        <f t="shared" si="22"/>
        <v/>
      </c>
      <c r="L371" s="298" t="str">
        <f>IF(B371="", "", Inventory!E379)</f>
        <v/>
      </c>
      <c r="M371" s="298" t="str">
        <f>IF(B371="","",IF(Cool_Type=Lookups!$L$9,Cool_Type,IF(Cool_Type=Lookups!$L$10,Cool_Type,IF(Cool_Type=Lookups!$L$11,Cool_Type,IF(Cool_Type=Lookups!L381,Cool_Type,IF('Project Info and Summary'!$C$20="Electric",CONCATENATE(Cool_Type," ",Heating_Type," Heat"),IF('Project Info and Summary'!$C$20="Non-Electric",CONCATENATE(Cool_Type," ",Heating_Type," Heat"),CONCATENATE(Cool_Type," ",Heating_Type))))))))</f>
        <v/>
      </c>
      <c r="N371" s="298" t="str">
        <f t="shared" si="23"/>
        <v/>
      </c>
      <c r="O371" s="298" t="str">
        <f>IF(B371="", "", 'Lighting Inventory (Ref only)'!G382)</f>
        <v/>
      </c>
      <c r="P371" s="298" t="str">
        <f>IF(B371="", "", 'Lighting Inventory (Ref only)'!E382)</f>
        <v/>
      </c>
      <c r="Q371" s="298" t="str">
        <f>IF(B371="", "", 'Lighting Inventory (Ref only)'!J382)</f>
        <v/>
      </c>
      <c r="R371" s="298" t="str">
        <f>IF(B371="", "",'Lighting Inventory (Ref only)'!K382)</f>
        <v/>
      </c>
      <c r="S371" s="372" t="str">
        <f>IF(B371="", "", 'Lighting Inventory (Ref only)'!G382*'Lighting Inventory (Ref only)'!K382/1000)</f>
        <v/>
      </c>
      <c r="T371" s="298" t="str">
        <f>IF(B371="", "", IF('Lighting Inventory (Ref only)'!I382="", "Light Switch",Inventory!H379))</f>
        <v/>
      </c>
      <c r="W371" s="373"/>
      <c r="X371" s="298" t="str">
        <f>IF(B371="", "", 'Lighting Inventory (Ref only)'!Q382)</f>
        <v/>
      </c>
      <c r="Z371" s="374"/>
      <c r="AA371" s="372" t="str">
        <f>IF(B371="", "",'Lighting Inventory (Ref only)'!R382/1000)</f>
        <v/>
      </c>
      <c r="AB371" s="372" t="str">
        <f>IF(B371="", "", Inventory!M379)</f>
        <v/>
      </c>
      <c r="AC371" s="374" t="str">
        <f>IF(B371="", "", 'Lighting Inventory (Ref only)'!T382)</f>
        <v/>
      </c>
      <c r="AD371" s="374" t="str">
        <f>IF(C371="", "", 'Lighting Inventory (Ref only)'!AA382)</f>
        <v/>
      </c>
      <c r="AE371" s="375" t="str">
        <f>IF(B371="", "", 'Lighting Inventory (Ref only)'!U382)</f>
        <v/>
      </c>
      <c r="AF371" s="375" t="str">
        <f>IF(B371="", "",'Lighting Inventory (Ref only)'!W382)</f>
        <v/>
      </c>
      <c r="AG371" s="375"/>
      <c r="AH371" s="375" t="str">
        <f>IF(B371="", "",'Lighting Inventory (Ref only)'!Z382)</f>
        <v/>
      </c>
      <c r="AI371" s="375" t="str">
        <f>IF(B371="", "", 'Lighting Inventory (Ref only)'!Y382)</f>
        <v/>
      </c>
      <c r="AJ371" s="375" t="str">
        <f>IF(C371="", "",'Lighting Inventory (Ref only)'!AB382)</f>
        <v/>
      </c>
      <c r="AK371" s="375" t="str">
        <f>IF(B371="", "", 'Lighting Inventory (Ref only)'!AG382)</f>
        <v/>
      </c>
      <c r="AL371" s="375" t="str">
        <f>IF(B371="", "", 'Lighting Inventory (Ref only)'!AD382)</f>
        <v/>
      </c>
      <c r="AM371" s="375" t="str">
        <f>IF(B371="", "", 'Lighting Inventory (Ref only)'!AE382)</f>
        <v/>
      </c>
      <c r="AN371" s="375" t="str">
        <f>IF(B371="", "", 'Lighting Inventory (Ref only)'!AF382)</f>
        <v/>
      </c>
      <c r="AO371" s="375" t="str">
        <f>IF(B371="", "", 'Lighting Inventory (Ref only)'!AG382)</f>
        <v/>
      </c>
    </row>
    <row r="372" spans="1:41">
      <c r="A372" s="298" t="str">
        <f>IF(G372="", "", Lookups!BF374)</f>
        <v/>
      </c>
      <c r="B372" s="298" t="str">
        <f>IF('Lighting Inventory (Ref only)'!Q383="", "", 'Lighting Inventory (Ref only)'!Q383)</f>
        <v/>
      </c>
      <c r="C372" s="298" t="str">
        <f>IF(A372="", "", 'Lighting Inventory (Ref only)'!AO383)</f>
        <v/>
      </c>
      <c r="D372" s="370" t="str">
        <f>IF(B372= "","", Inventory!S380)</f>
        <v/>
      </c>
      <c r="E372" s="371"/>
      <c r="F372" s="298" t="str">
        <f>IF(B372="", "", 'Version Log'!$B$34)</f>
        <v/>
      </c>
      <c r="G372" s="298" t="str">
        <f t="shared" si="20"/>
        <v/>
      </c>
      <c r="H372" s="298" t="str">
        <f t="shared" si="21"/>
        <v/>
      </c>
      <c r="I372" s="298" t="str">
        <f>IF(B372="", "",Inventory!D380)</f>
        <v/>
      </c>
      <c r="J372" s="298" t="str">
        <f>IF(B372="","",IF(Inventory!C380="N","Interior","Exterior"))</f>
        <v/>
      </c>
      <c r="K372" s="298" t="str">
        <f t="shared" si="22"/>
        <v/>
      </c>
      <c r="L372" s="298" t="str">
        <f>IF(B372="", "", Inventory!E380)</f>
        <v/>
      </c>
      <c r="M372" s="298" t="str">
        <f>IF(B372="","",IF(Cool_Type=Lookups!$L$9,Cool_Type,IF(Cool_Type=Lookups!$L$10,Cool_Type,IF(Cool_Type=Lookups!$L$11,Cool_Type,IF(Cool_Type=Lookups!L382,Cool_Type,IF('Project Info and Summary'!$C$20="Electric",CONCATENATE(Cool_Type," ",Heating_Type," Heat"),IF('Project Info and Summary'!$C$20="Non-Electric",CONCATENATE(Cool_Type," ",Heating_Type," Heat"),CONCATENATE(Cool_Type," ",Heating_Type))))))))</f>
        <v/>
      </c>
      <c r="N372" s="298" t="str">
        <f t="shared" si="23"/>
        <v/>
      </c>
      <c r="O372" s="298" t="str">
        <f>IF(B372="", "", 'Lighting Inventory (Ref only)'!G383)</f>
        <v/>
      </c>
      <c r="P372" s="298" t="str">
        <f>IF(B372="", "", 'Lighting Inventory (Ref only)'!E383)</f>
        <v/>
      </c>
      <c r="Q372" s="298" t="str">
        <f>IF(B372="", "", 'Lighting Inventory (Ref only)'!J383)</f>
        <v/>
      </c>
      <c r="R372" s="298" t="str">
        <f>IF(B372="", "",'Lighting Inventory (Ref only)'!K383)</f>
        <v/>
      </c>
      <c r="S372" s="372" t="str">
        <f>IF(B372="", "", 'Lighting Inventory (Ref only)'!G383*'Lighting Inventory (Ref only)'!K383/1000)</f>
        <v/>
      </c>
      <c r="T372" s="298" t="str">
        <f>IF(B372="", "", IF('Lighting Inventory (Ref only)'!I383="", "Light Switch",Inventory!H380))</f>
        <v/>
      </c>
      <c r="W372" s="373"/>
      <c r="X372" s="298" t="str">
        <f>IF(B372="", "", 'Lighting Inventory (Ref only)'!Q383)</f>
        <v/>
      </c>
      <c r="Z372" s="374"/>
      <c r="AA372" s="372" t="str">
        <f>IF(B372="", "",'Lighting Inventory (Ref only)'!R383/1000)</f>
        <v/>
      </c>
      <c r="AB372" s="372" t="str">
        <f>IF(B372="", "", Inventory!M380)</f>
        <v/>
      </c>
      <c r="AC372" s="374" t="str">
        <f>IF(B372="", "", 'Lighting Inventory (Ref only)'!T383)</f>
        <v/>
      </c>
      <c r="AD372" s="374" t="str">
        <f>IF(C372="", "", 'Lighting Inventory (Ref only)'!AA383)</f>
        <v/>
      </c>
      <c r="AE372" s="375" t="str">
        <f>IF(B372="", "", 'Lighting Inventory (Ref only)'!U383)</f>
        <v/>
      </c>
      <c r="AF372" s="375" t="str">
        <f>IF(B372="", "",'Lighting Inventory (Ref only)'!W383)</f>
        <v/>
      </c>
      <c r="AG372" s="375"/>
      <c r="AH372" s="375" t="str">
        <f>IF(B372="", "",'Lighting Inventory (Ref only)'!Z383)</f>
        <v/>
      </c>
      <c r="AI372" s="375" t="str">
        <f>IF(B372="", "", 'Lighting Inventory (Ref only)'!Y383)</f>
        <v/>
      </c>
      <c r="AJ372" s="375" t="str">
        <f>IF(C372="", "",'Lighting Inventory (Ref only)'!AB383)</f>
        <v/>
      </c>
      <c r="AK372" s="375" t="str">
        <f>IF(B372="", "", 'Lighting Inventory (Ref only)'!AG383)</f>
        <v/>
      </c>
      <c r="AL372" s="375" t="str">
        <f>IF(B372="", "", 'Lighting Inventory (Ref only)'!AD383)</f>
        <v/>
      </c>
      <c r="AM372" s="375" t="str">
        <f>IF(B372="", "", 'Lighting Inventory (Ref only)'!AE383)</f>
        <v/>
      </c>
      <c r="AN372" s="375" t="str">
        <f>IF(B372="", "", 'Lighting Inventory (Ref only)'!AF383)</f>
        <v/>
      </c>
      <c r="AO372" s="375" t="str">
        <f>IF(B372="", "", 'Lighting Inventory (Ref only)'!AG383)</f>
        <v/>
      </c>
    </row>
    <row r="373" spans="1:41">
      <c r="A373" s="298" t="str">
        <f>IF(G373="", "", Lookups!BF375)</f>
        <v/>
      </c>
      <c r="B373" s="298" t="str">
        <f>IF('Lighting Inventory (Ref only)'!Q384="", "", 'Lighting Inventory (Ref only)'!Q384)</f>
        <v/>
      </c>
      <c r="C373" s="298" t="str">
        <f>IF(A373="", "", 'Lighting Inventory (Ref only)'!AO384)</f>
        <v/>
      </c>
      <c r="D373" s="370" t="str">
        <f>IF(B373= "","", Inventory!S381)</f>
        <v/>
      </c>
      <c r="E373" s="371"/>
      <c r="F373" s="298" t="str">
        <f>IF(B373="", "", 'Version Log'!$B$34)</f>
        <v/>
      </c>
      <c r="G373" s="298" t="str">
        <f t="shared" si="20"/>
        <v/>
      </c>
      <c r="H373" s="298" t="str">
        <f t="shared" si="21"/>
        <v/>
      </c>
      <c r="I373" s="298" t="str">
        <f>IF(B373="", "",Inventory!D381)</f>
        <v/>
      </c>
      <c r="J373" s="298" t="str">
        <f>IF(B373="","",IF(Inventory!C381="N","Interior","Exterior"))</f>
        <v/>
      </c>
      <c r="K373" s="298" t="str">
        <f t="shared" si="22"/>
        <v/>
      </c>
      <c r="L373" s="298" t="str">
        <f>IF(B373="", "", Inventory!E381)</f>
        <v/>
      </c>
      <c r="M373" s="298" t="str">
        <f>IF(B373="","",IF(Cool_Type=Lookups!$L$9,Cool_Type,IF(Cool_Type=Lookups!$L$10,Cool_Type,IF(Cool_Type=Lookups!$L$11,Cool_Type,IF(Cool_Type=Lookups!L383,Cool_Type,IF('Project Info and Summary'!$C$20="Electric",CONCATENATE(Cool_Type," ",Heating_Type," Heat"),IF('Project Info and Summary'!$C$20="Non-Electric",CONCATENATE(Cool_Type," ",Heating_Type," Heat"),CONCATENATE(Cool_Type," ",Heating_Type))))))))</f>
        <v/>
      </c>
      <c r="N373" s="298" t="str">
        <f t="shared" si="23"/>
        <v/>
      </c>
      <c r="O373" s="298" t="str">
        <f>IF(B373="", "", 'Lighting Inventory (Ref only)'!G384)</f>
        <v/>
      </c>
      <c r="P373" s="298" t="str">
        <f>IF(B373="", "", 'Lighting Inventory (Ref only)'!E384)</f>
        <v/>
      </c>
      <c r="Q373" s="298" t="str">
        <f>IF(B373="", "", 'Lighting Inventory (Ref only)'!J384)</f>
        <v/>
      </c>
      <c r="R373" s="298" t="str">
        <f>IF(B373="", "",'Lighting Inventory (Ref only)'!K384)</f>
        <v/>
      </c>
      <c r="S373" s="372" t="str">
        <f>IF(B373="", "", 'Lighting Inventory (Ref only)'!G384*'Lighting Inventory (Ref only)'!K384/1000)</f>
        <v/>
      </c>
      <c r="T373" s="298" t="str">
        <f>IF(B373="", "", IF('Lighting Inventory (Ref only)'!I384="", "Light Switch",Inventory!H381))</f>
        <v/>
      </c>
      <c r="W373" s="373"/>
      <c r="X373" s="298" t="str">
        <f>IF(B373="", "", 'Lighting Inventory (Ref only)'!Q384)</f>
        <v/>
      </c>
      <c r="Z373" s="374"/>
      <c r="AA373" s="372" t="str">
        <f>IF(B373="", "",'Lighting Inventory (Ref only)'!R384/1000)</f>
        <v/>
      </c>
      <c r="AB373" s="372" t="str">
        <f>IF(B373="", "", Inventory!M381)</f>
        <v/>
      </c>
      <c r="AC373" s="374" t="str">
        <f>IF(B373="", "", 'Lighting Inventory (Ref only)'!T384)</f>
        <v/>
      </c>
      <c r="AD373" s="374" t="str">
        <f>IF(C373="", "", 'Lighting Inventory (Ref only)'!AA384)</f>
        <v/>
      </c>
      <c r="AE373" s="375" t="str">
        <f>IF(B373="", "", 'Lighting Inventory (Ref only)'!U384)</f>
        <v/>
      </c>
      <c r="AF373" s="375" t="str">
        <f>IF(B373="", "",'Lighting Inventory (Ref only)'!W384)</f>
        <v/>
      </c>
      <c r="AG373" s="375"/>
      <c r="AH373" s="375" t="str">
        <f>IF(B373="", "",'Lighting Inventory (Ref only)'!Z384)</f>
        <v/>
      </c>
      <c r="AI373" s="375" t="str">
        <f>IF(B373="", "", 'Lighting Inventory (Ref only)'!Y384)</f>
        <v/>
      </c>
      <c r="AJ373" s="375" t="str">
        <f>IF(C373="", "",'Lighting Inventory (Ref only)'!AB384)</f>
        <v/>
      </c>
      <c r="AK373" s="375" t="str">
        <f>IF(B373="", "", 'Lighting Inventory (Ref only)'!AG384)</f>
        <v/>
      </c>
      <c r="AL373" s="375" t="str">
        <f>IF(B373="", "", 'Lighting Inventory (Ref only)'!AD384)</f>
        <v/>
      </c>
      <c r="AM373" s="375" t="str">
        <f>IF(B373="", "", 'Lighting Inventory (Ref only)'!AE384)</f>
        <v/>
      </c>
      <c r="AN373" s="375" t="str">
        <f>IF(B373="", "", 'Lighting Inventory (Ref only)'!AF384)</f>
        <v/>
      </c>
      <c r="AO373" s="375" t="str">
        <f>IF(B373="", "", 'Lighting Inventory (Ref only)'!AG384)</f>
        <v/>
      </c>
    </row>
    <row r="374" spans="1:41">
      <c r="A374" s="298" t="str">
        <f>IF(G374="", "", Lookups!BF376)</f>
        <v/>
      </c>
      <c r="B374" s="298" t="str">
        <f>IF('Lighting Inventory (Ref only)'!Q385="", "", 'Lighting Inventory (Ref only)'!Q385)</f>
        <v/>
      </c>
      <c r="C374" s="298" t="str">
        <f>IF(A374="", "", 'Lighting Inventory (Ref only)'!AO385)</f>
        <v/>
      </c>
      <c r="D374" s="370" t="str">
        <f>IF(B374= "","", Inventory!S382)</f>
        <v/>
      </c>
      <c r="E374" s="371"/>
      <c r="F374" s="298" t="str">
        <f>IF(B374="", "", 'Version Log'!$B$34)</f>
        <v/>
      </c>
      <c r="G374" s="298" t="str">
        <f t="shared" si="20"/>
        <v/>
      </c>
      <c r="H374" s="298" t="str">
        <f t="shared" si="21"/>
        <v/>
      </c>
      <c r="I374" s="298" t="str">
        <f>IF(B374="", "",Inventory!D382)</f>
        <v/>
      </c>
      <c r="J374" s="298" t="str">
        <f>IF(B374="","",IF(Inventory!C382="N","Interior","Exterior"))</f>
        <v/>
      </c>
      <c r="K374" s="298" t="str">
        <f t="shared" si="22"/>
        <v/>
      </c>
      <c r="L374" s="298" t="str">
        <f>IF(B374="", "", Inventory!E382)</f>
        <v/>
      </c>
      <c r="M374" s="298" t="str">
        <f>IF(B374="","",IF(Cool_Type=Lookups!$L$9,Cool_Type,IF(Cool_Type=Lookups!$L$10,Cool_Type,IF(Cool_Type=Lookups!$L$11,Cool_Type,IF(Cool_Type=Lookups!L384,Cool_Type,IF('Project Info and Summary'!$C$20="Electric",CONCATENATE(Cool_Type," ",Heating_Type," Heat"),IF('Project Info and Summary'!$C$20="Non-Electric",CONCATENATE(Cool_Type," ",Heating_Type," Heat"),CONCATENATE(Cool_Type," ",Heating_Type))))))))</f>
        <v/>
      </c>
      <c r="N374" s="298" t="str">
        <f t="shared" si="23"/>
        <v/>
      </c>
      <c r="O374" s="298" t="str">
        <f>IF(B374="", "", 'Lighting Inventory (Ref only)'!G385)</f>
        <v/>
      </c>
      <c r="P374" s="298" t="str">
        <f>IF(B374="", "", 'Lighting Inventory (Ref only)'!E385)</f>
        <v/>
      </c>
      <c r="Q374" s="298" t="str">
        <f>IF(B374="", "", 'Lighting Inventory (Ref only)'!J385)</f>
        <v/>
      </c>
      <c r="R374" s="298" t="str">
        <f>IF(B374="", "",'Lighting Inventory (Ref only)'!K385)</f>
        <v/>
      </c>
      <c r="S374" s="372" t="str">
        <f>IF(B374="", "", 'Lighting Inventory (Ref only)'!G385*'Lighting Inventory (Ref only)'!K385/1000)</f>
        <v/>
      </c>
      <c r="T374" s="298" t="str">
        <f>IF(B374="", "", IF('Lighting Inventory (Ref only)'!I385="", "Light Switch",Inventory!H382))</f>
        <v/>
      </c>
      <c r="W374" s="373"/>
      <c r="X374" s="298" t="str">
        <f>IF(B374="", "", 'Lighting Inventory (Ref only)'!Q385)</f>
        <v/>
      </c>
      <c r="Z374" s="374"/>
      <c r="AA374" s="372" t="str">
        <f>IF(B374="", "",'Lighting Inventory (Ref only)'!R385/1000)</f>
        <v/>
      </c>
      <c r="AB374" s="372" t="str">
        <f>IF(B374="", "", Inventory!M382)</f>
        <v/>
      </c>
      <c r="AC374" s="374" t="str">
        <f>IF(B374="", "", 'Lighting Inventory (Ref only)'!T385)</f>
        <v/>
      </c>
      <c r="AD374" s="374" t="str">
        <f>IF(C374="", "", 'Lighting Inventory (Ref only)'!AA385)</f>
        <v/>
      </c>
      <c r="AE374" s="375" t="str">
        <f>IF(B374="", "", 'Lighting Inventory (Ref only)'!U385)</f>
        <v/>
      </c>
      <c r="AF374" s="375" t="str">
        <f>IF(B374="", "",'Lighting Inventory (Ref only)'!W385)</f>
        <v/>
      </c>
      <c r="AG374" s="375"/>
      <c r="AH374" s="375" t="str">
        <f>IF(B374="", "",'Lighting Inventory (Ref only)'!Z385)</f>
        <v/>
      </c>
      <c r="AI374" s="375" t="str">
        <f>IF(B374="", "", 'Lighting Inventory (Ref only)'!Y385)</f>
        <v/>
      </c>
      <c r="AJ374" s="375" t="str">
        <f>IF(C374="", "",'Lighting Inventory (Ref only)'!AB385)</f>
        <v/>
      </c>
      <c r="AK374" s="375" t="str">
        <f>IF(B374="", "", 'Lighting Inventory (Ref only)'!AG385)</f>
        <v/>
      </c>
      <c r="AL374" s="375" t="str">
        <f>IF(B374="", "", 'Lighting Inventory (Ref only)'!AD385)</f>
        <v/>
      </c>
      <c r="AM374" s="375" t="str">
        <f>IF(B374="", "", 'Lighting Inventory (Ref only)'!AE385)</f>
        <v/>
      </c>
      <c r="AN374" s="375" t="str">
        <f>IF(B374="", "", 'Lighting Inventory (Ref only)'!AF385)</f>
        <v/>
      </c>
      <c r="AO374" s="375" t="str">
        <f>IF(B374="", "", 'Lighting Inventory (Ref only)'!AG385)</f>
        <v/>
      </c>
    </row>
    <row r="375" spans="1:41">
      <c r="A375" s="298" t="str">
        <f>IF(G375="", "", Lookups!BF377)</f>
        <v/>
      </c>
      <c r="B375" s="298" t="str">
        <f>IF('Lighting Inventory (Ref only)'!Q386="", "", 'Lighting Inventory (Ref only)'!Q386)</f>
        <v/>
      </c>
      <c r="C375" s="298" t="str">
        <f>IF(A375="", "", 'Lighting Inventory (Ref only)'!AO386)</f>
        <v/>
      </c>
      <c r="D375" s="370" t="str">
        <f>IF(B375= "","", Inventory!S383)</f>
        <v/>
      </c>
      <c r="E375" s="371"/>
      <c r="F375" s="298" t="str">
        <f>IF(B375="", "", 'Version Log'!$B$34)</f>
        <v/>
      </c>
      <c r="G375" s="298" t="str">
        <f t="shared" si="20"/>
        <v/>
      </c>
      <c r="H375" s="298" t="str">
        <f t="shared" si="21"/>
        <v/>
      </c>
      <c r="I375" s="298" t="str">
        <f>IF(B375="", "",Inventory!D383)</f>
        <v/>
      </c>
      <c r="J375" s="298" t="str">
        <f>IF(B375="","",IF(Inventory!C383="N","Interior","Exterior"))</f>
        <v/>
      </c>
      <c r="K375" s="298" t="str">
        <f t="shared" si="22"/>
        <v/>
      </c>
      <c r="L375" s="298" t="str">
        <f>IF(B375="", "", Inventory!E383)</f>
        <v/>
      </c>
      <c r="M375" s="298" t="str">
        <f>IF(B375="","",IF(Cool_Type=Lookups!$L$9,Cool_Type,IF(Cool_Type=Lookups!$L$10,Cool_Type,IF(Cool_Type=Lookups!$L$11,Cool_Type,IF(Cool_Type=Lookups!L385,Cool_Type,IF('Project Info and Summary'!$C$20="Electric",CONCATENATE(Cool_Type," ",Heating_Type," Heat"),IF('Project Info and Summary'!$C$20="Non-Electric",CONCATENATE(Cool_Type," ",Heating_Type," Heat"),CONCATENATE(Cool_Type," ",Heating_Type))))))))</f>
        <v/>
      </c>
      <c r="N375" s="298" t="str">
        <f t="shared" si="23"/>
        <v/>
      </c>
      <c r="O375" s="298" t="str">
        <f>IF(B375="", "", 'Lighting Inventory (Ref only)'!G386)</f>
        <v/>
      </c>
      <c r="P375" s="298" t="str">
        <f>IF(B375="", "", 'Lighting Inventory (Ref only)'!E386)</f>
        <v/>
      </c>
      <c r="Q375" s="298" t="str">
        <f>IF(B375="", "", 'Lighting Inventory (Ref only)'!J386)</f>
        <v/>
      </c>
      <c r="R375" s="298" t="str">
        <f>IF(B375="", "",'Lighting Inventory (Ref only)'!K386)</f>
        <v/>
      </c>
      <c r="S375" s="372" t="str">
        <f>IF(B375="", "", 'Lighting Inventory (Ref only)'!G386*'Lighting Inventory (Ref only)'!K386/1000)</f>
        <v/>
      </c>
      <c r="T375" s="298" t="str">
        <f>IF(B375="", "", IF('Lighting Inventory (Ref only)'!I386="", "Light Switch",Inventory!H383))</f>
        <v/>
      </c>
      <c r="W375" s="373"/>
      <c r="X375" s="298" t="str">
        <f>IF(B375="", "", 'Lighting Inventory (Ref only)'!Q386)</f>
        <v/>
      </c>
      <c r="Z375" s="374"/>
      <c r="AA375" s="372" t="str">
        <f>IF(B375="", "",'Lighting Inventory (Ref only)'!R386/1000)</f>
        <v/>
      </c>
      <c r="AB375" s="372" t="str">
        <f>IF(B375="", "", Inventory!M383)</f>
        <v/>
      </c>
      <c r="AC375" s="374" t="str">
        <f>IF(B375="", "", 'Lighting Inventory (Ref only)'!T386)</f>
        <v/>
      </c>
      <c r="AD375" s="374" t="str">
        <f>IF(C375="", "", 'Lighting Inventory (Ref only)'!AA386)</f>
        <v/>
      </c>
      <c r="AE375" s="375" t="str">
        <f>IF(B375="", "", 'Lighting Inventory (Ref only)'!U386)</f>
        <v/>
      </c>
      <c r="AF375" s="375" t="str">
        <f>IF(B375="", "",'Lighting Inventory (Ref only)'!W386)</f>
        <v/>
      </c>
      <c r="AG375" s="375"/>
      <c r="AH375" s="375" t="str">
        <f>IF(B375="", "",'Lighting Inventory (Ref only)'!Z386)</f>
        <v/>
      </c>
      <c r="AI375" s="375" t="str">
        <f>IF(B375="", "", 'Lighting Inventory (Ref only)'!Y386)</f>
        <v/>
      </c>
      <c r="AJ375" s="375" t="str">
        <f>IF(C375="", "",'Lighting Inventory (Ref only)'!AB386)</f>
        <v/>
      </c>
      <c r="AK375" s="375" t="str">
        <f>IF(B375="", "", 'Lighting Inventory (Ref only)'!AG386)</f>
        <v/>
      </c>
      <c r="AL375" s="375" t="str">
        <f>IF(B375="", "", 'Lighting Inventory (Ref only)'!AD386)</f>
        <v/>
      </c>
      <c r="AM375" s="375" t="str">
        <f>IF(B375="", "", 'Lighting Inventory (Ref only)'!AE386)</f>
        <v/>
      </c>
      <c r="AN375" s="375" t="str">
        <f>IF(B375="", "", 'Lighting Inventory (Ref only)'!AF386)</f>
        <v/>
      </c>
      <c r="AO375" s="375" t="str">
        <f>IF(B375="", "", 'Lighting Inventory (Ref only)'!AG386)</f>
        <v/>
      </c>
    </row>
    <row r="376" spans="1:41">
      <c r="A376" s="298" t="str">
        <f>IF(G376="", "", Lookups!BF378)</f>
        <v/>
      </c>
      <c r="B376" s="298" t="str">
        <f>IF('Lighting Inventory (Ref only)'!Q387="", "", 'Lighting Inventory (Ref only)'!Q387)</f>
        <v/>
      </c>
      <c r="C376" s="298" t="str">
        <f>IF(A376="", "", 'Lighting Inventory (Ref only)'!AO387)</f>
        <v/>
      </c>
      <c r="D376" s="370" t="str">
        <f>IF(B376= "","", Inventory!S384)</f>
        <v/>
      </c>
      <c r="E376" s="371"/>
      <c r="F376" s="298" t="str">
        <f>IF(B376="", "", 'Version Log'!$B$34)</f>
        <v/>
      </c>
      <c r="G376" s="298" t="str">
        <f t="shared" si="20"/>
        <v/>
      </c>
      <c r="H376" s="298" t="str">
        <f t="shared" si="21"/>
        <v/>
      </c>
      <c r="I376" s="298" t="str">
        <f>IF(B376="", "",Inventory!D384)</f>
        <v/>
      </c>
      <c r="J376" s="298" t="str">
        <f>IF(B376="","",IF(Inventory!C384="N","Interior","Exterior"))</f>
        <v/>
      </c>
      <c r="K376" s="298" t="str">
        <f t="shared" si="22"/>
        <v/>
      </c>
      <c r="L376" s="298" t="str">
        <f>IF(B376="", "", Inventory!E384)</f>
        <v/>
      </c>
      <c r="M376" s="298" t="str">
        <f>IF(B376="","",IF(Cool_Type=Lookups!$L$9,Cool_Type,IF(Cool_Type=Lookups!$L$10,Cool_Type,IF(Cool_Type=Lookups!$L$11,Cool_Type,IF(Cool_Type=Lookups!L386,Cool_Type,IF('Project Info and Summary'!$C$20="Electric",CONCATENATE(Cool_Type," ",Heating_Type," Heat"),IF('Project Info and Summary'!$C$20="Non-Electric",CONCATENATE(Cool_Type," ",Heating_Type," Heat"),CONCATENATE(Cool_Type," ",Heating_Type))))))))</f>
        <v/>
      </c>
      <c r="N376" s="298" t="str">
        <f t="shared" si="23"/>
        <v/>
      </c>
      <c r="O376" s="298" t="str">
        <f>IF(B376="", "", 'Lighting Inventory (Ref only)'!G387)</f>
        <v/>
      </c>
      <c r="P376" s="298" t="str">
        <f>IF(B376="", "", 'Lighting Inventory (Ref only)'!E387)</f>
        <v/>
      </c>
      <c r="Q376" s="298" t="str">
        <f>IF(B376="", "", 'Lighting Inventory (Ref only)'!J387)</f>
        <v/>
      </c>
      <c r="R376" s="298" t="str">
        <f>IF(B376="", "",'Lighting Inventory (Ref only)'!K387)</f>
        <v/>
      </c>
      <c r="S376" s="372" t="str">
        <f>IF(B376="", "", 'Lighting Inventory (Ref only)'!G387*'Lighting Inventory (Ref only)'!K387/1000)</f>
        <v/>
      </c>
      <c r="T376" s="298" t="str">
        <f>IF(B376="", "", IF('Lighting Inventory (Ref only)'!I387="", "Light Switch",Inventory!H384))</f>
        <v/>
      </c>
      <c r="W376" s="373"/>
      <c r="X376" s="298" t="str">
        <f>IF(B376="", "", 'Lighting Inventory (Ref only)'!Q387)</f>
        <v/>
      </c>
      <c r="Z376" s="374"/>
      <c r="AA376" s="372" t="str">
        <f>IF(B376="", "",'Lighting Inventory (Ref only)'!R387/1000)</f>
        <v/>
      </c>
      <c r="AB376" s="372" t="str">
        <f>IF(B376="", "", Inventory!M384)</f>
        <v/>
      </c>
      <c r="AC376" s="374" t="str">
        <f>IF(B376="", "", 'Lighting Inventory (Ref only)'!T387)</f>
        <v/>
      </c>
      <c r="AD376" s="374" t="str">
        <f>IF(C376="", "", 'Lighting Inventory (Ref only)'!AA387)</f>
        <v/>
      </c>
      <c r="AE376" s="375" t="str">
        <f>IF(B376="", "", 'Lighting Inventory (Ref only)'!U387)</f>
        <v/>
      </c>
      <c r="AF376" s="375" t="str">
        <f>IF(B376="", "",'Lighting Inventory (Ref only)'!W387)</f>
        <v/>
      </c>
      <c r="AG376" s="375"/>
      <c r="AH376" s="375" t="str">
        <f>IF(B376="", "",'Lighting Inventory (Ref only)'!Z387)</f>
        <v/>
      </c>
      <c r="AI376" s="375" t="str">
        <f>IF(B376="", "", 'Lighting Inventory (Ref only)'!Y387)</f>
        <v/>
      </c>
      <c r="AJ376" s="375" t="str">
        <f>IF(C376="", "",'Lighting Inventory (Ref only)'!AB387)</f>
        <v/>
      </c>
      <c r="AK376" s="375" t="str">
        <f>IF(B376="", "", 'Lighting Inventory (Ref only)'!AG387)</f>
        <v/>
      </c>
      <c r="AL376" s="375" t="str">
        <f>IF(B376="", "", 'Lighting Inventory (Ref only)'!AD387)</f>
        <v/>
      </c>
      <c r="AM376" s="375" t="str">
        <f>IF(B376="", "", 'Lighting Inventory (Ref only)'!AE387)</f>
        <v/>
      </c>
      <c r="AN376" s="375" t="str">
        <f>IF(B376="", "", 'Lighting Inventory (Ref only)'!AF387)</f>
        <v/>
      </c>
      <c r="AO376" s="375" t="str">
        <f>IF(B376="", "", 'Lighting Inventory (Ref only)'!AG387)</f>
        <v/>
      </c>
    </row>
    <row r="377" spans="1:41">
      <c r="A377" s="298" t="str">
        <f>IF(G377="", "", Lookups!BF379)</f>
        <v/>
      </c>
      <c r="B377" s="298" t="str">
        <f>IF('Lighting Inventory (Ref only)'!Q388="", "", 'Lighting Inventory (Ref only)'!Q388)</f>
        <v/>
      </c>
      <c r="C377" s="298" t="str">
        <f>IF(A377="", "", 'Lighting Inventory (Ref only)'!AO388)</f>
        <v/>
      </c>
      <c r="D377" s="370" t="str">
        <f>IF(B377= "","", Inventory!S385)</f>
        <v/>
      </c>
      <c r="E377" s="371"/>
      <c r="F377" s="298" t="str">
        <f>IF(B377="", "", 'Version Log'!$B$34)</f>
        <v/>
      </c>
      <c r="G377" s="298" t="str">
        <f t="shared" si="20"/>
        <v/>
      </c>
      <c r="H377" s="298" t="str">
        <f t="shared" si="21"/>
        <v/>
      </c>
      <c r="I377" s="298" t="str">
        <f>IF(B377="", "",Inventory!D385)</f>
        <v/>
      </c>
      <c r="J377" s="298" t="str">
        <f>IF(B377="","",IF(Inventory!C385="N","Interior","Exterior"))</f>
        <v/>
      </c>
      <c r="K377" s="298" t="str">
        <f t="shared" si="22"/>
        <v/>
      </c>
      <c r="L377" s="298" t="str">
        <f>IF(B377="", "", Inventory!E385)</f>
        <v/>
      </c>
      <c r="M377" s="298" t="str">
        <f>IF(B377="","",IF(Cool_Type=Lookups!$L$9,Cool_Type,IF(Cool_Type=Lookups!$L$10,Cool_Type,IF(Cool_Type=Lookups!$L$11,Cool_Type,IF(Cool_Type=Lookups!L387,Cool_Type,IF('Project Info and Summary'!$C$20="Electric",CONCATENATE(Cool_Type," ",Heating_Type," Heat"),IF('Project Info and Summary'!$C$20="Non-Electric",CONCATENATE(Cool_Type," ",Heating_Type," Heat"),CONCATENATE(Cool_Type," ",Heating_Type))))))))</f>
        <v/>
      </c>
      <c r="N377" s="298" t="str">
        <f t="shared" si="23"/>
        <v/>
      </c>
      <c r="O377" s="298" t="str">
        <f>IF(B377="", "", 'Lighting Inventory (Ref only)'!G388)</f>
        <v/>
      </c>
      <c r="P377" s="298" t="str">
        <f>IF(B377="", "", 'Lighting Inventory (Ref only)'!E388)</f>
        <v/>
      </c>
      <c r="Q377" s="298" t="str">
        <f>IF(B377="", "", 'Lighting Inventory (Ref only)'!J388)</f>
        <v/>
      </c>
      <c r="R377" s="298" t="str">
        <f>IF(B377="", "",'Lighting Inventory (Ref only)'!K388)</f>
        <v/>
      </c>
      <c r="S377" s="372" t="str">
        <f>IF(B377="", "", 'Lighting Inventory (Ref only)'!G388*'Lighting Inventory (Ref only)'!K388/1000)</f>
        <v/>
      </c>
      <c r="T377" s="298" t="str">
        <f>IF(B377="", "", IF('Lighting Inventory (Ref only)'!I388="", "Light Switch",Inventory!H385))</f>
        <v/>
      </c>
      <c r="W377" s="373"/>
      <c r="X377" s="298" t="str">
        <f>IF(B377="", "", 'Lighting Inventory (Ref only)'!Q388)</f>
        <v/>
      </c>
      <c r="Z377" s="374"/>
      <c r="AA377" s="372" t="str">
        <f>IF(B377="", "",'Lighting Inventory (Ref only)'!R388/1000)</f>
        <v/>
      </c>
      <c r="AB377" s="372" t="str">
        <f>IF(B377="", "", Inventory!M385)</f>
        <v/>
      </c>
      <c r="AC377" s="374" t="str">
        <f>IF(B377="", "", 'Lighting Inventory (Ref only)'!T388)</f>
        <v/>
      </c>
      <c r="AD377" s="374" t="str">
        <f>IF(C377="", "", 'Lighting Inventory (Ref only)'!AA388)</f>
        <v/>
      </c>
      <c r="AE377" s="375" t="str">
        <f>IF(B377="", "", 'Lighting Inventory (Ref only)'!U388)</f>
        <v/>
      </c>
      <c r="AF377" s="375" t="str">
        <f>IF(B377="", "",'Lighting Inventory (Ref only)'!W388)</f>
        <v/>
      </c>
      <c r="AG377" s="375"/>
      <c r="AH377" s="375" t="str">
        <f>IF(B377="", "",'Lighting Inventory (Ref only)'!Z388)</f>
        <v/>
      </c>
      <c r="AI377" s="375" t="str">
        <f>IF(B377="", "", 'Lighting Inventory (Ref only)'!Y388)</f>
        <v/>
      </c>
      <c r="AJ377" s="375" t="str">
        <f>IF(C377="", "",'Lighting Inventory (Ref only)'!AB388)</f>
        <v/>
      </c>
      <c r="AK377" s="375" t="str">
        <f>IF(B377="", "", 'Lighting Inventory (Ref only)'!AG388)</f>
        <v/>
      </c>
      <c r="AL377" s="375" t="str">
        <f>IF(B377="", "", 'Lighting Inventory (Ref only)'!AD388)</f>
        <v/>
      </c>
      <c r="AM377" s="375" t="str">
        <f>IF(B377="", "", 'Lighting Inventory (Ref only)'!AE388)</f>
        <v/>
      </c>
      <c r="AN377" s="375" t="str">
        <f>IF(B377="", "", 'Lighting Inventory (Ref only)'!AF388)</f>
        <v/>
      </c>
      <c r="AO377" s="375" t="str">
        <f>IF(B377="", "", 'Lighting Inventory (Ref only)'!AG388)</f>
        <v/>
      </c>
    </row>
    <row r="378" spans="1:41">
      <c r="A378" s="298" t="str">
        <f>IF(G378="", "", Lookups!BF380)</f>
        <v/>
      </c>
      <c r="B378" s="298" t="str">
        <f>IF('Lighting Inventory (Ref only)'!Q389="", "", 'Lighting Inventory (Ref only)'!Q389)</f>
        <v/>
      </c>
      <c r="C378" s="298" t="str">
        <f>IF(A378="", "", 'Lighting Inventory (Ref only)'!AO389)</f>
        <v/>
      </c>
      <c r="D378" s="370" t="str">
        <f>IF(B378= "","", Inventory!S386)</f>
        <v/>
      </c>
      <c r="E378" s="371"/>
      <c r="F378" s="298" t="str">
        <f>IF(B378="", "", 'Version Log'!$B$34)</f>
        <v/>
      </c>
      <c r="G378" s="298" t="str">
        <f t="shared" si="20"/>
        <v/>
      </c>
      <c r="H378" s="298" t="str">
        <f t="shared" si="21"/>
        <v/>
      </c>
      <c r="I378" s="298" t="str">
        <f>IF(B378="", "",Inventory!D386)</f>
        <v/>
      </c>
      <c r="J378" s="298" t="str">
        <f>IF(B378="","",IF(Inventory!C386="N","Interior","Exterior"))</f>
        <v/>
      </c>
      <c r="K378" s="298" t="str">
        <f t="shared" si="22"/>
        <v/>
      </c>
      <c r="L378" s="298" t="str">
        <f>IF(B378="", "", Inventory!E386)</f>
        <v/>
      </c>
      <c r="M378" s="298" t="str">
        <f>IF(B378="","",IF(Cool_Type=Lookups!$L$9,Cool_Type,IF(Cool_Type=Lookups!$L$10,Cool_Type,IF(Cool_Type=Lookups!$L$11,Cool_Type,IF(Cool_Type=Lookups!L388,Cool_Type,IF('Project Info and Summary'!$C$20="Electric",CONCATENATE(Cool_Type," ",Heating_Type," Heat"),IF('Project Info and Summary'!$C$20="Non-Electric",CONCATENATE(Cool_Type," ",Heating_Type," Heat"),CONCATENATE(Cool_Type," ",Heating_Type))))))))</f>
        <v/>
      </c>
      <c r="N378" s="298" t="str">
        <f t="shared" si="23"/>
        <v/>
      </c>
      <c r="O378" s="298" t="str">
        <f>IF(B378="", "", 'Lighting Inventory (Ref only)'!G389)</f>
        <v/>
      </c>
      <c r="P378" s="298" t="str">
        <f>IF(B378="", "", 'Lighting Inventory (Ref only)'!E389)</f>
        <v/>
      </c>
      <c r="Q378" s="298" t="str">
        <f>IF(B378="", "", 'Lighting Inventory (Ref only)'!J389)</f>
        <v/>
      </c>
      <c r="R378" s="298" t="str">
        <f>IF(B378="", "",'Lighting Inventory (Ref only)'!K389)</f>
        <v/>
      </c>
      <c r="S378" s="372" t="str">
        <f>IF(B378="", "", 'Lighting Inventory (Ref only)'!G389*'Lighting Inventory (Ref only)'!K389/1000)</f>
        <v/>
      </c>
      <c r="T378" s="298" t="str">
        <f>IF(B378="", "", IF('Lighting Inventory (Ref only)'!I389="", "Light Switch",Inventory!H386))</f>
        <v/>
      </c>
      <c r="W378" s="373"/>
      <c r="X378" s="298" t="str">
        <f>IF(B378="", "", 'Lighting Inventory (Ref only)'!Q389)</f>
        <v/>
      </c>
      <c r="Z378" s="374"/>
      <c r="AA378" s="372" t="str">
        <f>IF(B378="", "",'Lighting Inventory (Ref only)'!R389/1000)</f>
        <v/>
      </c>
      <c r="AB378" s="372" t="str">
        <f>IF(B378="", "", Inventory!M386)</f>
        <v/>
      </c>
      <c r="AC378" s="374" t="str">
        <f>IF(B378="", "", 'Lighting Inventory (Ref only)'!T389)</f>
        <v/>
      </c>
      <c r="AD378" s="374" t="str">
        <f>IF(C378="", "", 'Lighting Inventory (Ref only)'!AA389)</f>
        <v/>
      </c>
      <c r="AE378" s="375" t="str">
        <f>IF(B378="", "", 'Lighting Inventory (Ref only)'!U389)</f>
        <v/>
      </c>
      <c r="AF378" s="375" t="str">
        <f>IF(B378="", "",'Lighting Inventory (Ref only)'!W389)</f>
        <v/>
      </c>
      <c r="AG378" s="375"/>
      <c r="AH378" s="375" t="str">
        <f>IF(B378="", "",'Lighting Inventory (Ref only)'!Z389)</f>
        <v/>
      </c>
      <c r="AI378" s="375" t="str">
        <f>IF(B378="", "", 'Lighting Inventory (Ref only)'!Y389)</f>
        <v/>
      </c>
      <c r="AJ378" s="375" t="str">
        <f>IF(C378="", "",'Lighting Inventory (Ref only)'!AB389)</f>
        <v/>
      </c>
      <c r="AK378" s="375" t="str">
        <f>IF(B378="", "", 'Lighting Inventory (Ref only)'!AG389)</f>
        <v/>
      </c>
      <c r="AL378" s="375" t="str">
        <f>IF(B378="", "", 'Lighting Inventory (Ref only)'!AD389)</f>
        <v/>
      </c>
      <c r="AM378" s="375" t="str">
        <f>IF(B378="", "", 'Lighting Inventory (Ref only)'!AE389)</f>
        <v/>
      </c>
      <c r="AN378" s="375" t="str">
        <f>IF(B378="", "", 'Lighting Inventory (Ref only)'!AF389)</f>
        <v/>
      </c>
      <c r="AO378" s="375" t="str">
        <f>IF(B378="", "", 'Lighting Inventory (Ref only)'!AG389)</f>
        <v/>
      </c>
    </row>
    <row r="379" spans="1:41">
      <c r="A379" s="298" t="str">
        <f>IF(G379="", "", Lookups!BF381)</f>
        <v/>
      </c>
      <c r="B379" s="298" t="str">
        <f>IF('Lighting Inventory (Ref only)'!Q390="", "", 'Lighting Inventory (Ref only)'!Q390)</f>
        <v/>
      </c>
      <c r="C379" s="298" t="str">
        <f>IF(A379="", "", 'Lighting Inventory (Ref only)'!AO390)</f>
        <v/>
      </c>
      <c r="D379" s="370" t="str">
        <f>IF(B379= "","", Inventory!S387)</f>
        <v/>
      </c>
      <c r="E379" s="371"/>
      <c r="F379" s="298" t="str">
        <f>IF(B379="", "", 'Version Log'!$B$34)</f>
        <v/>
      </c>
      <c r="G379" s="298" t="str">
        <f t="shared" si="20"/>
        <v/>
      </c>
      <c r="H379" s="298" t="str">
        <f t="shared" si="21"/>
        <v/>
      </c>
      <c r="I379" s="298" t="str">
        <f>IF(B379="", "",Inventory!D387)</f>
        <v/>
      </c>
      <c r="J379" s="298" t="str">
        <f>IF(B379="","",IF(Inventory!C387="N","Interior","Exterior"))</f>
        <v/>
      </c>
      <c r="K379" s="298" t="str">
        <f t="shared" si="22"/>
        <v/>
      </c>
      <c r="L379" s="298" t="str">
        <f>IF(B379="", "", Inventory!E387)</f>
        <v/>
      </c>
      <c r="M379" s="298" t="str">
        <f>IF(B379="","",IF(Cool_Type=Lookups!$L$9,Cool_Type,IF(Cool_Type=Lookups!$L$10,Cool_Type,IF(Cool_Type=Lookups!$L$11,Cool_Type,IF(Cool_Type=Lookups!L389,Cool_Type,IF('Project Info and Summary'!$C$20="Electric",CONCATENATE(Cool_Type," ",Heating_Type," Heat"),IF('Project Info and Summary'!$C$20="Non-Electric",CONCATENATE(Cool_Type," ",Heating_Type," Heat"),CONCATENATE(Cool_Type," ",Heating_Type))))))))</f>
        <v/>
      </c>
      <c r="N379" s="298" t="str">
        <f t="shared" si="23"/>
        <v/>
      </c>
      <c r="O379" s="298" t="str">
        <f>IF(B379="", "", 'Lighting Inventory (Ref only)'!G390)</f>
        <v/>
      </c>
      <c r="P379" s="298" t="str">
        <f>IF(B379="", "", 'Lighting Inventory (Ref only)'!E390)</f>
        <v/>
      </c>
      <c r="Q379" s="298" t="str">
        <f>IF(B379="", "", 'Lighting Inventory (Ref only)'!J390)</f>
        <v/>
      </c>
      <c r="R379" s="298" t="str">
        <f>IF(B379="", "",'Lighting Inventory (Ref only)'!K390)</f>
        <v/>
      </c>
      <c r="S379" s="372" t="str">
        <f>IF(B379="", "", 'Lighting Inventory (Ref only)'!G390*'Lighting Inventory (Ref only)'!K390/1000)</f>
        <v/>
      </c>
      <c r="T379" s="298" t="str">
        <f>IF(B379="", "", IF('Lighting Inventory (Ref only)'!I390="", "Light Switch",Inventory!H387))</f>
        <v/>
      </c>
      <c r="W379" s="373"/>
      <c r="X379" s="298" t="str">
        <f>IF(B379="", "", 'Lighting Inventory (Ref only)'!Q390)</f>
        <v/>
      </c>
      <c r="Z379" s="374"/>
      <c r="AA379" s="372" t="str">
        <f>IF(B379="", "",'Lighting Inventory (Ref only)'!R390/1000)</f>
        <v/>
      </c>
      <c r="AB379" s="372" t="str">
        <f>IF(B379="", "", Inventory!M387)</f>
        <v/>
      </c>
      <c r="AC379" s="374" t="str">
        <f>IF(B379="", "", 'Lighting Inventory (Ref only)'!T390)</f>
        <v/>
      </c>
      <c r="AD379" s="374" t="str">
        <f>IF(C379="", "", 'Lighting Inventory (Ref only)'!AA390)</f>
        <v/>
      </c>
      <c r="AE379" s="375" t="str">
        <f>IF(B379="", "", 'Lighting Inventory (Ref only)'!U390)</f>
        <v/>
      </c>
      <c r="AF379" s="375" t="str">
        <f>IF(B379="", "",'Lighting Inventory (Ref only)'!W390)</f>
        <v/>
      </c>
      <c r="AG379" s="375"/>
      <c r="AH379" s="375" t="str">
        <f>IF(B379="", "",'Lighting Inventory (Ref only)'!Z390)</f>
        <v/>
      </c>
      <c r="AI379" s="375" t="str">
        <f>IF(B379="", "", 'Lighting Inventory (Ref only)'!Y390)</f>
        <v/>
      </c>
      <c r="AJ379" s="375" t="str">
        <f>IF(C379="", "",'Lighting Inventory (Ref only)'!AB390)</f>
        <v/>
      </c>
      <c r="AK379" s="375" t="str">
        <f>IF(B379="", "", 'Lighting Inventory (Ref only)'!AG390)</f>
        <v/>
      </c>
      <c r="AL379" s="375" t="str">
        <f>IF(B379="", "", 'Lighting Inventory (Ref only)'!AD390)</f>
        <v/>
      </c>
      <c r="AM379" s="375" t="str">
        <f>IF(B379="", "", 'Lighting Inventory (Ref only)'!AE390)</f>
        <v/>
      </c>
      <c r="AN379" s="375" t="str">
        <f>IF(B379="", "", 'Lighting Inventory (Ref only)'!AF390)</f>
        <v/>
      </c>
      <c r="AO379" s="375" t="str">
        <f>IF(B379="", "", 'Lighting Inventory (Ref only)'!AG390)</f>
        <v/>
      </c>
    </row>
    <row r="380" spans="1:41">
      <c r="A380" s="298" t="str">
        <f>IF(G380="", "", Lookups!BF382)</f>
        <v/>
      </c>
      <c r="B380" s="298" t="str">
        <f>IF('Lighting Inventory (Ref only)'!Q391="", "", 'Lighting Inventory (Ref only)'!Q391)</f>
        <v/>
      </c>
      <c r="C380" s="298" t="str">
        <f>IF(A380="", "", 'Lighting Inventory (Ref only)'!AO391)</f>
        <v/>
      </c>
      <c r="D380" s="370" t="str">
        <f>IF(B380= "","", Inventory!S388)</f>
        <v/>
      </c>
      <c r="E380" s="371"/>
      <c r="F380" s="298" t="str">
        <f>IF(B380="", "", 'Version Log'!$B$34)</f>
        <v/>
      </c>
      <c r="G380" s="298" t="str">
        <f t="shared" si="20"/>
        <v/>
      </c>
      <c r="H380" s="298" t="str">
        <f t="shared" si="21"/>
        <v/>
      </c>
      <c r="I380" s="298" t="str">
        <f>IF(B380="", "",Inventory!D388)</f>
        <v/>
      </c>
      <c r="J380" s="298" t="str">
        <f>IF(B380="","",IF(Inventory!C388="N","Interior","Exterior"))</f>
        <v/>
      </c>
      <c r="K380" s="298" t="str">
        <f t="shared" si="22"/>
        <v/>
      </c>
      <c r="L380" s="298" t="str">
        <f>IF(B380="", "", Inventory!E388)</f>
        <v/>
      </c>
      <c r="M380" s="298" t="str">
        <f>IF(B380="","",IF(Cool_Type=Lookups!$L$9,Cool_Type,IF(Cool_Type=Lookups!$L$10,Cool_Type,IF(Cool_Type=Lookups!$L$11,Cool_Type,IF(Cool_Type=Lookups!L390,Cool_Type,IF('Project Info and Summary'!$C$20="Electric",CONCATENATE(Cool_Type," ",Heating_Type," Heat"),IF('Project Info and Summary'!$C$20="Non-Electric",CONCATENATE(Cool_Type," ",Heating_Type," Heat"),CONCATENATE(Cool_Type," ",Heating_Type))))))))</f>
        <v/>
      </c>
      <c r="N380" s="298" t="str">
        <f t="shared" si="23"/>
        <v/>
      </c>
      <c r="O380" s="298" t="str">
        <f>IF(B380="", "", 'Lighting Inventory (Ref only)'!G391)</f>
        <v/>
      </c>
      <c r="P380" s="298" t="str">
        <f>IF(B380="", "", 'Lighting Inventory (Ref only)'!E391)</f>
        <v/>
      </c>
      <c r="Q380" s="298" t="str">
        <f>IF(B380="", "", 'Lighting Inventory (Ref only)'!J391)</f>
        <v/>
      </c>
      <c r="R380" s="298" t="str">
        <f>IF(B380="", "",'Lighting Inventory (Ref only)'!K391)</f>
        <v/>
      </c>
      <c r="S380" s="372" t="str">
        <f>IF(B380="", "", 'Lighting Inventory (Ref only)'!G391*'Lighting Inventory (Ref only)'!K391/1000)</f>
        <v/>
      </c>
      <c r="T380" s="298" t="str">
        <f>IF(B380="", "", IF('Lighting Inventory (Ref only)'!I391="", "Light Switch",Inventory!H388))</f>
        <v/>
      </c>
      <c r="W380" s="373"/>
      <c r="X380" s="298" t="str">
        <f>IF(B380="", "", 'Lighting Inventory (Ref only)'!Q391)</f>
        <v/>
      </c>
      <c r="Z380" s="374"/>
      <c r="AA380" s="372" t="str">
        <f>IF(B380="", "",'Lighting Inventory (Ref only)'!R391/1000)</f>
        <v/>
      </c>
      <c r="AB380" s="372" t="str">
        <f>IF(B380="", "", Inventory!M388)</f>
        <v/>
      </c>
      <c r="AC380" s="374" t="str">
        <f>IF(B380="", "", 'Lighting Inventory (Ref only)'!T391)</f>
        <v/>
      </c>
      <c r="AD380" s="374" t="str">
        <f>IF(C380="", "", 'Lighting Inventory (Ref only)'!AA391)</f>
        <v/>
      </c>
      <c r="AE380" s="375" t="str">
        <f>IF(B380="", "", 'Lighting Inventory (Ref only)'!U391)</f>
        <v/>
      </c>
      <c r="AF380" s="375" t="str">
        <f>IF(B380="", "",'Lighting Inventory (Ref only)'!W391)</f>
        <v/>
      </c>
      <c r="AG380" s="375"/>
      <c r="AH380" s="375" t="str">
        <f>IF(B380="", "",'Lighting Inventory (Ref only)'!Z391)</f>
        <v/>
      </c>
      <c r="AI380" s="375" t="str">
        <f>IF(B380="", "", 'Lighting Inventory (Ref only)'!Y391)</f>
        <v/>
      </c>
      <c r="AJ380" s="375" t="str">
        <f>IF(C380="", "",'Lighting Inventory (Ref only)'!AB391)</f>
        <v/>
      </c>
      <c r="AK380" s="375" t="str">
        <f>IF(B380="", "", 'Lighting Inventory (Ref only)'!AG391)</f>
        <v/>
      </c>
      <c r="AL380" s="375" t="str">
        <f>IF(B380="", "", 'Lighting Inventory (Ref only)'!AD391)</f>
        <v/>
      </c>
      <c r="AM380" s="375" t="str">
        <f>IF(B380="", "", 'Lighting Inventory (Ref only)'!AE391)</f>
        <v/>
      </c>
      <c r="AN380" s="375" t="str">
        <f>IF(B380="", "", 'Lighting Inventory (Ref only)'!AF391)</f>
        <v/>
      </c>
      <c r="AO380" s="375" t="str">
        <f>IF(B380="", "", 'Lighting Inventory (Ref only)'!AG391)</f>
        <v/>
      </c>
    </row>
    <row r="381" spans="1:41">
      <c r="A381" s="298" t="str">
        <f>IF(G381="", "", Lookups!BF383)</f>
        <v/>
      </c>
      <c r="B381" s="298" t="str">
        <f>IF('Lighting Inventory (Ref only)'!Q392="", "", 'Lighting Inventory (Ref only)'!Q392)</f>
        <v/>
      </c>
      <c r="C381" s="298" t="str">
        <f>IF(A381="", "", 'Lighting Inventory (Ref only)'!AO392)</f>
        <v/>
      </c>
      <c r="D381" s="370" t="str">
        <f>IF(B381= "","", Inventory!S389)</f>
        <v/>
      </c>
      <c r="E381" s="371"/>
      <c r="F381" s="298" t="str">
        <f>IF(B381="", "", 'Version Log'!$B$34)</f>
        <v/>
      </c>
      <c r="G381" s="298" t="str">
        <f t="shared" si="20"/>
        <v/>
      </c>
      <c r="H381" s="298" t="str">
        <f t="shared" si="21"/>
        <v/>
      </c>
      <c r="I381" s="298" t="str">
        <f>IF(B381="", "",Inventory!D389)</f>
        <v/>
      </c>
      <c r="J381" s="298" t="str">
        <f>IF(B381="","",IF(Inventory!C389="N","Interior","Exterior"))</f>
        <v/>
      </c>
      <c r="K381" s="298" t="str">
        <f t="shared" si="22"/>
        <v/>
      </c>
      <c r="L381" s="298" t="str">
        <f>IF(B381="", "", Inventory!E389)</f>
        <v/>
      </c>
      <c r="M381" s="298" t="str">
        <f>IF(B381="","",IF(Cool_Type=Lookups!$L$9,Cool_Type,IF(Cool_Type=Lookups!$L$10,Cool_Type,IF(Cool_Type=Lookups!$L$11,Cool_Type,IF(Cool_Type=Lookups!L391,Cool_Type,IF('Project Info and Summary'!$C$20="Electric",CONCATENATE(Cool_Type," ",Heating_Type," Heat"),IF('Project Info and Summary'!$C$20="Non-Electric",CONCATENATE(Cool_Type," ",Heating_Type," Heat"),CONCATENATE(Cool_Type," ",Heating_Type))))))))</f>
        <v/>
      </c>
      <c r="N381" s="298" t="str">
        <f t="shared" si="23"/>
        <v/>
      </c>
      <c r="O381" s="298" t="str">
        <f>IF(B381="", "", 'Lighting Inventory (Ref only)'!G392)</f>
        <v/>
      </c>
      <c r="P381" s="298" t="str">
        <f>IF(B381="", "", 'Lighting Inventory (Ref only)'!E392)</f>
        <v/>
      </c>
      <c r="Q381" s="298" t="str">
        <f>IF(B381="", "", 'Lighting Inventory (Ref only)'!J392)</f>
        <v/>
      </c>
      <c r="R381" s="298" t="str">
        <f>IF(B381="", "",'Lighting Inventory (Ref only)'!K392)</f>
        <v/>
      </c>
      <c r="S381" s="372" t="str">
        <f>IF(B381="", "", 'Lighting Inventory (Ref only)'!G392*'Lighting Inventory (Ref only)'!K392/1000)</f>
        <v/>
      </c>
      <c r="T381" s="298" t="str">
        <f>IF(B381="", "", IF('Lighting Inventory (Ref only)'!I392="", "Light Switch",Inventory!H389))</f>
        <v/>
      </c>
      <c r="W381" s="373"/>
      <c r="X381" s="298" t="str">
        <f>IF(B381="", "", 'Lighting Inventory (Ref only)'!Q392)</f>
        <v/>
      </c>
      <c r="Z381" s="374"/>
      <c r="AA381" s="372" t="str">
        <f>IF(B381="", "",'Lighting Inventory (Ref only)'!R392/1000)</f>
        <v/>
      </c>
      <c r="AB381" s="372" t="str">
        <f>IF(B381="", "", Inventory!M389)</f>
        <v/>
      </c>
      <c r="AC381" s="374" t="str">
        <f>IF(B381="", "", 'Lighting Inventory (Ref only)'!T392)</f>
        <v/>
      </c>
      <c r="AD381" s="374" t="str">
        <f>IF(C381="", "", 'Lighting Inventory (Ref only)'!AA392)</f>
        <v/>
      </c>
      <c r="AE381" s="375" t="str">
        <f>IF(B381="", "", 'Lighting Inventory (Ref only)'!U392)</f>
        <v/>
      </c>
      <c r="AF381" s="375" t="str">
        <f>IF(B381="", "",'Lighting Inventory (Ref only)'!W392)</f>
        <v/>
      </c>
      <c r="AG381" s="375"/>
      <c r="AH381" s="375" t="str">
        <f>IF(B381="", "",'Lighting Inventory (Ref only)'!Z392)</f>
        <v/>
      </c>
      <c r="AI381" s="375" t="str">
        <f>IF(B381="", "", 'Lighting Inventory (Ref only)'!Y392)</f>
        <v/>
      </c>
      <c r="AJ381" s="375" t="str">
        <f>IF(C381="", "",'Lighting Inventory (Ref only)'!AB392)</f>
        <v/>
      </c>
      <c r="AK381" s="375" t="str">
        <f>IF(B381="", "", 'Lighting Inventory (Ref only)'!AG392)</f>
        <v/>
      </c>
      <c r="AL381" s="375" t="str">
        <f>IF(B381="", "", 'Lighting Inventory (Ref only)'!AD392)</f>
        <v/>
      </c>
      <c r="AM381" s="375" t="str">
        <f>IF(B381="", "", 'Lighting Inventory (Ref only)'!AE392)</f>
        <v/>
      </c>
      <c r="AN381" s="375" t="str">
        <f>IF(B381="", "", 'Lighting Inventory (Ref only)'!AF392)</f>
        <v/>
      </c>
      <c r="AO381" s="375" t="str">
        <f>IF(B381="", "", 'Lighting Inventory (Ref only)'!AG392)</f>
        <v/>
      </c>
    </row>
    <row r="382" spans="1:41">
      <c r="A382" s="298" t="str">
        <f>IF(G382="", "", Lookups!BF384)</f>
        <v/>
      </c>
      <c r="B382" s="298" t="str">
        <f>IF('Lighting Inventory (Ref only)'!Q393="", "", 'Lighting Inventory (Ref only)'!Q393)</f>
        <v/>
      </c>
      <c r="C382" s="298" t="str">
        <f>IF(A382="", "", 'Lighting Inventory (Ref only)'!AO393)</f>
        <v/>
      </c>
      <c r="D382" s="370" t="str">
        <f>IF(B382= "","", Inventory!S390)</f>
        <v/>
      </c>
      <c r="E382" s="371"/>
      <c r="F382" s="298" t="str">
        <f>IF(B382="", "", 'Version Log'!$B$34)</f>
        <v/>
      </c>
      <c r="G382" s="298" t="str">
        <f t="shared" si="20"/>
        <v/>
      </c>
      <c r="H382" s="298" t="str">
        <f t="shared" si="21"/>
        <v/>
      </c>
      <c r="I382" s="298" t="str">
        <f>IF(B382="", "",Inventory!D390)</f>
        <v/>
      </c>
      <c r="J382" s="298" t="str">
        <f>IF(B382="","",IF(Inventory!C390="N","Interior","Exterior"))</f>
        <v/>
      </c>
      <c r="K382" s="298" t="str">
        <f t="shared" si="22"/>
        <v/>
      </c>
      <c r="L382" s="298" t="str">
        <f>IF(B382="", "", Inventory!E390)</f>
        <v/>
      </c>
      <c r="M382" s="298" t="str">
        <f>IF(B382="","",IF(Cool_Type=Lookups!$L$9,Cool_Type,IF(Cool_Type=Lookups!$L$10,Cool_Type,IF(Cool_Type=Lookups!$L$11,Cool_Type,IF(Cool_Type=Lookups!L392,Cool_Type,IF('Project Info and Summary'!$C$20="Electric",CONCATENATE(Cool_Type," ",Heating_Type," Heat"),IF('Project Info and Summary'!$C$20="Non-Electric",CONCATENATE(Cool_Type," ",Heating_Type," Heat"),CONCATENATE(Cool_Type," ",Heating_Type))))))))</f>
        <v/>
      </c>
      <c r="N382" s="298" t="str">
        <f t="shared" si="23"/>
        <v/>
      </c>
      <c r="O382" s="298" t="str">
        <f>IF(B382="", "", 'Lighting Inventory (Ref only)'!G393)</f>
        <v/>
      </c>
      <c r="P382" s="298" t="str">
        <f>IF(B382="", "", 'Lighting Inventory (Ref only)'!E393)</f>
        <v/>
      </c>
      <c r="Q382" s="298" t="str">
        <f>IF(B382="", "", 'Lighting Inventory (Ref only)'!J393)</f>
        <v/>
      </c>
      <c r="R382" s="298" t="str">
        <f>IF(B382="", "",'Lighting Inventory (Ref only)'!K393)</f>
        <v/>
      </c>
      <c r="S382" s="372" t="str">
        <f>IF(B382="", "", 'Lighting Inventory (Ref only)'!G393*'Lighting Inventory (Ref only)'!K393/1000)</f>
        <v/>
      </c>
      <c r="T382" s="298" t="str">
        <f>IF(B382="", "", IF('Lighting Inventory (Ref only)'!I393="", "Light Switch",Inventory!H390))</f>
        <v/>
      </c>
      <c r="W382" s="373"/>
      <c r="X382" s="298" t="str">
        <f>IF(B382="", "", 'Lighting Inventory (Ref only)'!Q393)</f>
        <v/>
      </c>
      <c r="Z382" s="374"/>
      <c r="AA382" s="372" t="str">
        <f>IF(B382="", "",'Lighting Inventory (Ref only)'!R393/1000)</f>
        <v/>
      </c>
      <c r="AB382" s="372" t="str">
        <f>IF(B382="", "", Inventory!M390)</f>
        <v/>
      </c>
      <c r="AC382" s="374" t="str">
        <f>IF(B382="", "", 'Lighting Inventory (Ref only)'!T393)</f>
        <v/>
      </c>
      <c r="AD382" s="374" t="str">
        <f>IF(C382="", "", 'Lighting Inventory (Ref only)'!AA393)</f>
        <v/>
      </c>
      <c r="AE382" s="375" t="str">
        <f>IF(B382="", "", 'Lighting Inventory (Ref only)'!U393)</f>
        <v/>
      </c>
      <c r="AF382" s="375" t="str">
        <f>IF(B382="", "",'Lighting Inventory (Ref only)'!W393)</f>
        <v/>
      </c>
      <c r="AG382" s="375"/>
      <c r="AH382" s="375" t="str">
        <f>IF(B382="", "",'Lighting Inventory (Ref only)'!Z393)</f>
        <v/>
      </c>
      <c r="AI382" s="375" t="str">
        <f>IF(B382="", "", 'Lighting Inventory (Ref only)'!Y393)</f>
        <v/>
      </c>
      <c r="AJ382" s="375" t="str">
        <f>IF(C382="", "",'Lighting Inventory (Ref only)'!AB393)</f>
        <v/>
      </c>
      <c r="AK382" s="375" t="str">
        <f>IF(B382="", "", 'Lighting Inventory (Ref only)'!AG393)</f>
        <v/>
      </c>
      <c r="AL382" s="375" t="str">
        <f>IF(B382="", "", 'Lighting Inventory (Ref only)'!AD393)</f>
        <v/>
      </c>
      <c r="AM382" s="375" t="str">
        <f>IF(B382="", "", 'Lighting Inventory (Ref only)'!AE393)</f>
        <v/>
      </c>
      <c r="AN382" s="375" t="str">
        <f>IF(B382="", "", 'Lighting Inventory (Ref only)'!AF393)</f>
        <v/>
      </c>
      <c r="AO382" s="375" t="str">
        <f>IF(B382="", "", 'Lighting Inventory (Ref only)'!AG393)</f>
        <v/>
      </c>
    </row>
    <row r="383" spans="1:41">
      <c r="A383" s="298" t="str">
        <f>IF(G383="", "", Lookups!BF385)</f>
        <v/>
      </c>
      <c r="B383" s="298" t="str">
        <f>IF('Lighting Inventory (Ref only)'!Q394="", "", 'Lighting Inventory (Ref only)'!Q394)</f>
        <v/>
      </c>
      <c r="C383" s="298" t="str">
        <f>IF(A383="", "", 'Lighting Inventory (Ref only)'!AO394)</f>
        <v/>
      </c>
      <c r="D383" s="370" t="str">
        <f>IF(B383= "","", Inventory!S391)</f>
        <v/>
      </c>
      <c r="E383" s="371"/>
      <c r="F383" s="298" t="str">
        <f>IF(B383="", "", 'Version Log'!$B$34)</f>
        <v/>
      </c>
      <c r="G383" s="298" t="str">
        <f t="shared" si="20"/>
        <v/>
      </c>
      <c r="H383" s="298" t="str">
        <f t="shared" si="21"/>
        <v/>
      </c>
      <c r="I383" s="298" t="str">
        <f>IF(B383="", "",Inventory!D391)</f>
        <v/>
      </c>
      <c r="J383" s="298" t="str">
        <f>IF(B383="","",IF(Inventory!C391="N","Interior","Exterior"))</f>
        <v/>
      </c>
      <c r="K383" s="298" t="str">
        <f t="shared" si="22"/>
        <v/>
      </c>
      <c r="L383" s="298" t="str">
        <f>IF(B383="", "", Inventory!E391)</f>
        <v/>
      </c>
      <c r="M383" s="298" t="str">
        <f>IF(B383="","",IF(Cool_Type=Lookups!$L$9,Cool_Type,IF(Cool_Type=Lookups!$L$10,Cool_Type,IF(Cool_Type=Lookups!$L$11,Cool_Type,IF(Cool_Type=Lookups!L393,Cool_Type,IF('Project Info and Summary'!$C$20="Electric",CONCATENATE(Cool_Type," ",Heating_Type," Heat"),IF('Project Info and Summary'!$C$20="Non-Electric",CONCATENATE(Cool_Type," ",Heating_Type," Heat"),CONCATENATE(Cool_Type," ",Heating_Type))))))))</f>
        <v/>
      </c>
      <c r="N383" s="298" t="str">
        <f t="shared" si="23"/>
        <v/>
      </c>
      <c r="O383" s="298" t="str">
        <f>IF(B383="", "", 'Lighting Inventory (Ref only)'!G394)</f>
        <v/>
      </c>
      <c r="P383" s="298" t="str">
        <f>IF(B383="", "", 'Lighting Inventory (Ref only)'!E394)</f>
        <v/>
      </c>
      <c r="Q383" s="298" t="str">
        <f>IF(B383="", "", 'Lighting Inventory (Ref only)'!J394)</f>
        <v/>
      </c>
      <c r="R383" s="298" t="str">
        <f>IF(B383="", "",'Lighting Inventory (Ref only)'!K394)</f>
        <v/>
      </c>
      <c r="S383" s="372" t="str">
        <f>IF(B383="", "", 'Lighting Inventory (Ref only)'!G394*'Lighting Inventory (Ref only)'!K394/1000)</f>
        <v/>
      </c>
      <c r="T383" s="298" t="str">
        <f>IF(B383="", "", IF('Lighting Inventory (Ref only)'!I394="", "Light Switch",Inventory!H391))</f>
        <v/>
      </c>
      <c r="W383" s="373"/>
      <c r="X383" s="298" t="str">
        <f>IF(B383="", "", 'Lighting Inventory (Ref only)'!Q394)</f>
        <v/>
      </c>
      <c r="Z383" s="374"/>
      <c r="AA383" s="372" t="str">
        <f>IF(B383="", "",'Lighting Inventory (Ref only)'!R394/1000)</f>
        <v/>
      </c>
      <c r="AB383" s="372" t="str">
        <f>IF(B383="", "", Inventory!M391)</f>
        <v/>
      </c>
      <c r="AC383" s="374" t="str">
        <f>IF(B383="", "", 'Lighting Inventory (Ref only)'!T394)</f>
        <v/>
      </c>
      <c r="AD383" s="374" t="str">
        <f>IF(C383="", "", 'Lighting Inventory (Ref only)'!AA394)</f>
        <v/>
      </c>
      <c r="AE383" s="375" t="str">
        <f>IF(B383="", "", 'Lighting Inventory (Ref only)'!U394)</f>
        <v/>
      </c>
      <c r="AF383" s="375" t="str">
        <f>IF(B383="", "",'Lighting Inventory (Ref only)'!W394)</f>
        <v/>
      </c>
      <c r="AG383" s="375"/>
      <c r="AH383" s="375" t="str">
        <f>IF(B383="", "",'Lighting Inventory (Ref only)'!Z394)</f>
        <v/>
      </c>
      <c r="AI383" s="375" t="str">
        <f>IF(B383="", "", 'Lighting Inventory (Ref only)'!Y394)</f>
        <v/>
      </c>
      <c r="AJ383" s="375" t="str">
        <f>IF(C383="", "",'Lighting Inventory (Ref only)'!AB394)</f>
        <v/>
      </c>
      <c r="AK383" s="375" t="str">
        <f>IF(B383="", "", 'Lighting Inventory (Ref only)'!AG394)</f>
        <v/>
      </c>
      <c r="AL383" s="375" t="str">
        <f>IF(B383="", "", 'Lighting Inventory (Ref only)'!AD394)</f>
        <v/>
      </c>
      <c r="AM383" s="375" t="str">
        <f>IF(B383="", "", 'Lighting Inventory (Ref only)'!AE394)</f>
        <v/>
      </c>
      <c r="AN383" s="375" t="str">
        <f>IF(B383="", "", 'Lighting Inventory (Ref only)'!AF394)</f>
        <v/>
      </c>
      <c r="AO383" s="375" t="str">
        <f>IF(B383="", "", 'Lighting Inventory (Ref only)'!AG394)</f>
        <v/>
      </c>
    </row>
    <row r="384" spans="1:41">
      <c r="A384" s="298" t="str">
        <f>IF(G384="", "", Lookups!BF386)</f>
        <v/>
      </c>
      <c r="B384" s="298" t="str">
        <f>IF('Lighting Inventory (Ref only)'!Q395="", "", 'Lighting Inventory (Ref only)'!Q395)</f>
        <v/>
      </c>
      <c r="C384" s="298" t="str">
        <f>IF(A384="", "", 'Lighting Inventory (Ref only)'!AO395)</f>
        <v/>
      </c>
      <c r="D384" s="370" t="str">
        <f>IF(B384= "","", Inventory!S392)</f>
        <v/>
      </c>
      <c r="E384" s="371"/>
      <c r="F384" s="298" t="str">
        <f>IF(B384="", "", 'Version Log'!$B$34)</f>
        <v/>
      </c>
      <c r="G384" s="298" t="str">
        <f t="shared" si="20"/>
        <v/>
      </c>
      <c r="H384" s="298" t="str">
        <f t="shared" si="21"/>
        <v/>
      </c>
      <c r="I384" s="298" t="str">
        <f>IF(B384="", "",Inventory!D392)</f>
        <v/>
      </c>
      <c r="J384" s="298" t="str">
        <f>IF(B384="","",IF(Inventory!C392="N","Interior","Exterior"))</f>
        <v/>
      </c>
      <c r="K384" s="298" t="str">
        <f t="shared" si="22"/>
        <v/>
      </c>
      <c r="L384" s="298" t="str">
        <f>IF(B384="", "", Inventory!E392)</f>
        <v/>
      </c>
      <c r="M384" s="298" t="str">
        <f>IF(B384="","",IF(Cool_Type=Lookups!$L$9,Cool_Type,IF(Cool_Type=Lookups!$L$10,Cool_Type,IF(Cool_Type=Lookups!$L$11,Cool_Type,IF(Cool_Type=Lookups!L394,Cool_Type,IF('Project Info and Summary'!$C$20="Electric",CONCATENATE(Cool_Type," ",Heating_Type," Heat"),IF('Project Info and Summary'!$C$20="Non-Electric",CONCATENATE(Cool_Type," ",Heating_Type," Heat"),CONCATENATE(Cool_Type," ",Heating_Type))))))))</f>
        <v/>
      </c>
      <c r="N384" s="298" t="str">
        <f t="shared" si="23"/>
        <v/>
      </c>
      <c r="O384" s="298" t="str">
        <f>IF(B384="", "", 'Lighting Inventory (Ref only)'!G395)</f>
        <v/>
      </c>
      <c r="P384" s="298" t="str">
        <f>IF(B384="", "", 'Lighting Inventory (Ref only)'!E395)</f>
        <v/>
      </c>
      <c r="Q384" s="298" t="str">
        <f>IF(B384="", "", 'Lighting Inventory (Ref only)'!J395)</f>
        <v/>
      </c>
      <c r="R384" s="298" t="str">
        <f>IF(B384="", "",'Lighting Inventory (Ref only)'!K395)</f>
        <v/>
      </c>
      <c r="S384" s="372" t="str">
        <f>IF(B384="", "", 'Lighting Inventory (Ref only)'!G395*'Lighting Inventory (Ref only)'!K395/1000)</f>
        <v/>
      </c>
      <c r="T384" s="298" t="str">
        <f>IF(B384="", "", IF('Lighting Inventory (Ref only)'!I395="", "Light Switch",Inventory!H392))</f>
        <v/>
      </c>
      <c r="W384" s="373"/>
      <c r="X384" s="298" t="str">
        <f>IF(B384="", "", 'Lighting Inventory (Ref only)'!Q395)</f>
        <v/>
      </c>
      <c r="Z384" s="374"/>
      <c r="AA384" s="372" t="str">
        <f>IF(B384="", "",'Lighting Inventory (Ref only)'!R395/1000)</f>
        <v/>
      </c>
      <c r="AB384" s="372" t="str">
        <f>IF(B384="", "", Inventory!M392)</f>
        <v/>
      </c>
      <c r="AC384" s="374" t="str">
        <f>IF(B384="", "", 'Lighting Inventory (Ref only)'!T395)</f>
        <v/>
      </c>
      <c r="AD384" s="374" t="str">
        <f>IF(C384="", "", 'Lighting Inventory (Ref only)'!AA395)</f>
        <v/>
      </c>
      <c r="AE384" s="375" t="str">
        <f>IF(B384="", "", 'Lighting Inventory (Ref only)'!U395)</f>
        <v/>
      </c>
      <c r="AF384" s="375" t="str">
        <f>IF(B384="", "",'Lighting Inventory (Ref only)'!W395)</f>
        <v/>
      </c>
      <c r="AG384" s="375"/>
      <c r="AH384" s="375" t="str">
        <f>IF(B384="", "",'Lighting Inventory (Ref only)'!Z395)</f>
        <v/>
      </c>
      <c r="AI384" s="375" t="str">
        <f>IF(B384="", "", 'Lighting Inventory (Ref only)'!Y395)</f>
        <v/>
      </c>
      <c r="AJ384" s="375" t="str">
        <f>IF(C384="", "",'Lighting Inventory (Ref only)'!AB395)</f>
        <v/>
      </c>
      <c r="AK384" s="375" t="str">
        <f>IF(B384="", "", 'Lighting Inventory (Ref only)'!AG395)</f>
        <v/>
      </c>
      <c r="AL384" s="375" t="str">
        <f>IF(B384="", "", 'Lighting Inventory (Ref only)'!AD395)</f>
        <v/>
      </c>
      <c r="AM384" s="375" t="str">
        <f>IF(B384="", "", 'Lighting Inventory (Ref only)'!AE395)</f>
        <v/>
      </c>
      <c r="AN384" s="375" t="str">
        <f>IF(B384="", "", 'Lighting Inventory (Ref only)'!AF395)</f>
        <v/>
      </c>
      <c r="AO384" s="375" t="str">
        <f>IF(B384="", "", 'Lighting Inventory (Ref only)'!AG395)</f>
        <v/>
      </c>
    </row>
    <row r="385" spans="1:41">
      <c r="A385" s="298" t="str">
        <f>IF(G385="", "", Lookups!BF387)</f>
        <v/>
      </c>
      <c r="B385" s="298" t="str">
        <f>IF('Lighting Inventory (Ref only)'!Q396="", "", 'Lighting Inventory (Ref only)'!Q396)</f>
        <v/>
      </c>
      <c r="C385" s="298" t="str">
        <f>IF(A385="", "", 'Lighting Inventory (Ref only)'!AO396)</f>
        <v/>
      </c>
      <c r="D385" s="370" t="str">
        <f>IF(B385= "","", Inventory!S393)</f>
        <v/>
      </c>
      <c r="E385" s="371"/>
      <c r="F385" s="298" t="str">
        <f>IF(B385="", "", 'Version Log'!$B$34)</f>
        <v/>
      </c>
      <c r="G385" s="298" t="str">
        <f t="shared" si="20"/>
        <v/>
      </c>
      <c r="H385" s="298" t="str">
        <f t="shared" si="21"/>
        <v/>
      </c>
      <c r="I385" s="298" t="str">
        <f>IF(B385="", "",Inventory!D393)</f>
        <v/>
      </c>
      <c r="J385" s="298" t="str">
        <f>IF(B385="","",IF(Inventory!C393="N","Interior","Exterior"))</f>
        <v/>
      </c>
      <c r="K385" s="298" t="str">
        <f t="shared" si="22"/>
        <v/>
      </c>
      <c r="L385" s="298" t="str">
        <f>IF(B385="", "", Inventory!E393)</f>
        <v/>
      </c>
      <c r="M385" s="298" t="str">
        <f>IF(B385="","",IF(Cool_Type=Lookups!$L$9,Cool_Type,IF(Cool_Type=Lookups!$L$10,Cool_Type,IF(Cool_Type=Lookups!$L$11,Cool_Type,IF(Cool_Type=Lookups!L395,Cool_Type,IF('Project Info and Summary'!$C$20="Electric",CONCATENATE(Cool_Type," ",Heating_Type," Heat"),IF('Project Info and Summary'!$C$20="Non-Electric",CONCATENATE(Cool_Type," ",Heating_Type," Heat"),CONCATENATE(Cool_Type," ",Heating_Type))))))))</f>
        <v/>
      </c>
      <c r="N385" s="298" t="str">
        <f t="shared" si="23"/>
        <v/>
      </c>
      <c r="O385" s="298" t="str">
        <f>IF(B385="", "", 'Lighting Inventory (Ref only)'!G396)</f>
        <v/>
      </c>
      <c r="P385" s="298" t="str">
        <f>IF(B385="", "", 'Lighting Inventory (Ref only)'!E396)</f>
        <v/>
      </c>
      <c r="Q385" s="298" t="str">
        <f>IF(B385="", "", 'Lighting Inventory (Ref only)'!J396)</f>
        <v/>
      </c>
      <c r="R385" s="298" t="str">
        <f>IF(B385="", "",'Lighting Inventory (Ref only)'!K396)</f>
        <v/>
      </c>
      <c r="S385" s="372" t="str">
        <f>IF(B385="", "", 'Lighting Inventory (Ref only)'!G396*'Lighting Inventory (Ref only)'!K396/1000)</f>
        <v/>
      </c>
      <c r="T385" s="298" t="str">
        <f>IF(B385="", "", IF('Lighting Inventory (Ref only)'!I396="", "Light Switch",Inventory!H393))</f>
        <v/>
      </c>
      <c r="W385" s="373"/>
      <c r="X385" s="298" t="str">
        <f>IF(B385="", "", 'Lighting Inventory (Ref only)'!Q396)</f>
        <v/>
      </c>
      <c r="Z385" s="374"/>
      <c r="AA385" s="372" t="str">
        <f>IF(B385="", "",'Lighting Inventory (Ref only)'!R396/1000)</f>
        <v/>
      </c>
      <c r="AB385" s="372" t="str">
        <f>IF(B385="", "", Inventory!M393)</f>
        <v/>
      </c>
      <c r="AC385" s="374" t="str">
        <f>IF(B385="", "", 'Lighting Inventory (Ref only)'!T396)</f>
        <v/>
      </c>
      <c r="AD385" s="374" t="str">
        <f>IF(C385="", "", 'Lighting Inventory (Ref only)'!AA396)</f>
        <v/>
      </c>
      <c r="AE385" s="375" t="str">
        <f>IF(B385="", "", 'Lighting Inventory (Ref only)'!U396)</f>
        <v/>
      </c>
      <c r="AF385" s="375" t="str">
        <f>IF(B385="", "",'Lighting Inventory (Ref only)'!W396)</f>
        <v/>
      </c>
      <c r="AG385" s="375"/>
      <c r="AH385" s="375" t="str">
        <f>IF(B385="", "",'Lighting Inventory (Ref only)'!Z396)</f>
        <v/>
      </c>
      <c r="AI385" s="375" t="str">
        <f>IF(B385="", "", 'Lighting Inventory (Ref only)'!Y396)</f>
        <v/>
      </c>
      <c r="AJ385" s="375" t="str">
        <f>IF(C385="", "",'Lighting Inventory (Ref only)'!AB396)</f>
        <v/>
      </c>
      <c r="AK385" s="375" t="str">
        <f>IF(B385="", "", 'Lighting Inventory (Ref only)'!AG396)</f>
        <v/>
      </c>
      <c r="AL385" s="375" t="str">
        <f>IF(B385="", "", 'Lighting Inventory (Ref only)'!AD396)</f>
        <v/>
      </c>
      <c r="AM385" s="375" t="str">
        <f>IF(B385="", "", 'Lighting Inventory (Ref only)'!AE396)</f>
        <v/>
      </c>
      <c r="AN385" s="375" t="str">
        <f>IF(B385="", "", 'Lighting Inventory (Ref only)'!AF396)</f>
        <v/>
      </c>
      <c r="AO385" s="375" t="str">
        <f>IF(B385="", "", 'Lighting Inventory (Ref only)'!AG396)</f>
        <v/>
      </c>
    </row>
    <row r="386" spans="1:41">
      <c r="A386" s="298" t="str">
        <f>IF(G386="", "", Lookups!BF388)</f>
        <v/>
      </c>
      <c r="B386" s="298" t="str">
        <f>IF('Lighting Inventory (Ref only)'!Q397="", "", 'Lighting Inventory (Ref only)'!Q397)</f>
        <v/>
      </c>
      <c r="C386" s="298" t="str">
        <f>IF(A386="", "", 'Lighting Inventory (Ref only)'!AO397)</f>
        <v/>
      </c>
      <c r="D386" s="370" t="str">
        <f>IF(B386= "","", Inventory!S394)</f>
        <v/>
      </c>
      <c r="E386" s="371"/>
      <c r="F386" s="298" t="str">
        <f>IF(B386="", "", 'Version Log'!$B$34)</f>
        <v/>
      </c>
      <c r="G386" s="298" t="str">
        <f t="shared" ref="G386:G449" si="24">IF(B386="", "", PRJ_Type)</f>
        <v/>
      </c>
      <c r="H386" s="298" t="str">
        <f t="shared" ref="H386:H449" si="25">IF(B386="", "", SqFt)</f>
        <v/>
      </c>
      <c r="I386" s="298" t="str">
        <f>IF(B386="", "",Inventory!D394)</f>
        <v/>
      </c>
      <c r="J386" s="298" t="str">
        <f>IF(B386="","",IF(Inventory!C394="N","Interior","Exterior"))</f>
        <v/>
      </c>
      <c r="K386" s="298" t="str">
        <f t="shared" ref="K386:K449" si="26">IF(B386="", "", Building_Type)</f>
        <v/>
      </c>
      <c r="L386" s="298" t="str">
        <f>IF(B386="", "", Inventory!E394)</f>
        <v/>
      </c>
      <c r="M386" s="298" t="str">
        <f>IF(B386="","",IF(Cool_Type=Lookups!$L$9,Cool_Type,IF(Cool_Type=Lookups!$L$10,Cool_Type,IF(Cool_Type=Lookups!$L$11,Cool_Type,IF(Cool_Type=Lookups!L396,Cool_Type,IF('Project Info and Summary'!$C$20="Electric",CONCATENATE(Cool_Type," ",Heating_Type," Heat"),IF('Project Info and Summary'!$C$20="Non-Electric",CONCATENATE(Cool_Type," ",Heating_Type," Heat"),CONCATENATE(Cool_Type," ",Heating_Type))))))))</f>
        <v/>
      </c>
      <c r="N386" s="298" t="str">
        <f t="shared" ref="N386:N449" si="27">IF(B386="", "",Heating_Type)</f>
        <v/>
      </c>
      <c r="O386" s="298" t="str">
        <f>IF(B386="", "", 'Lighting Inventory (Ref only)'!G397)</f>
        <v/>
      </c>
      <c r="P386" s="298" t="str">
        <f>IF(B386="", "", 'Lighting Inventory (Ref only)'!E397)</f>
        <v/>
      </c>
      <c r="Q386" s="298" t="str">
        <f>IF(B386="", "", 'Lighting Inventory (Ref only)'!J397)</f>
        <v/>
      </c>
      <c r="R386" s="298" t="str">
        <f>IF(B386="", "",'Lighting Inventory (Ref only)'!K397)</f>
        <v/>
      </c>
      <c r="S386" s="372" t="str">
        <f>IF(B386="", "", 'Lighting Inventory (Ref only)'!G397*'Lighting Inventory (Ref only)'!K397/1000)</f>
        <v/>
      </c>
      <c r="T386" s="298" t="str">
        <f>IF(B386="", "", IF('Lighting Inventory (Ref only)'!I397="", "Light Switch",Inventory!H394))</f>
        <v/>
      </c>
      <c r="W386" s="373"/>
      <c r="X386" s="298" t="str">
        <f>IF(B386="", "", 'Lighting Inventory (Ref only)'!Q397)</f>
        <v/>
      </c>
      <c r="Z386" s="374"/>
      <c r="AA386" s="372" t="str">
        <f>IF(B386="", "",'Lighting Inventory (Ref only)'!R397/1000)</f>
        <v/>
      </c>
      <c r="AB386" s="372" t="str">
        <f>IF(B386="", "", Inventory!M394)</f>
        <v/>
      </c>
      <c r="AC386" s="374" t="str">
        <f>IF(B386="", "", 'Lighting Inventory (Ref only)'!T397)</f>
        <v/>
      </c>
      <c r="AD386" s="374" t="str">
        <f>IF(C386="", "", 'Lighting Inventory (Ref only)'!AA397)</f>
        <v/>
      </c>
      <c r="AE386" s="375" t="str">
        <f>IF(B386="", "", 'Lighting Inventory (Ref only)'!U397)</f>
        <v/>
      </c>
      <c r="AF386" s="375" t="str">
        <f>IF(B386="", "",'Lighting Inventory (Ref only)'!W397)</f>
        <v/>
      </c>
      <c r="AG386" s="375"/>
      <c r="AH386" s="375" t="str">
        <f>IF(B386="", "",'Lighting Inventory (Ref only)'!Z397)</f>
        <v/>
      </c>
      <c r="AI386" s="375" t="str">
        <f>IF(B386="", "", 'Lighting Inventory (Ref only)'!Y397)</f>
        <v/>
      </c>
      <c r="AJ386" s="375" t="str">
        <f>IF(C386="", "",'Lighting Inventory (Ref only)'!AB397)</f>
        <v/>
      </c>
      <c r="AK386" s="375" t="str">
        <f>IF(B386="", "", 'Lighting Inventory (Ref only)'!AG397)</f>
        <v/>
      </c>
      <c r="AL386" s="375" t="str">
        <f>IF(B386="", "", 'Lighting Inventory (Ref only)'!AD397)</f>
        <v/>
      </c>
      <c r="AM386" s="375" t="str">
        <f>IF(B386="", "", 'Lighting Inventory (Ref only)'!AE397)</f>
        <v/>
      </c>
      <c r="AN386" s="375" t="str">
        <f>IF(B386="", "", 'Lighting Inventory (Ref only)'!AF397)</f>
        <v/>
      </c>
      <c r="AO386" s="375" t="str">
        <f>IF(B386="", "", 'Lighting Inventory (Ref only)'!AG397)</f>
        <v/>
      </c>
    </row>
    <row r="387" spans="1:41">
      <c r="A387" s="298" t="str">
        <f>IF(G387="", "", Lookups!BF389)</f>
        <v/>
      </c>
      <c r="B387" s="298" t="str">
        <f>IF('Lighting Inventory (Ref only)'!Q398="", "", 'Lighting Inventory (Ref only)'!Q398)</f>
        <v/>
      </c>
      <c r="C387" s="298" t="str">
        <f>IF(A387="", "", 'Lighting Inventory (Ref only)'!AO398)</f>
        <v/>
      </c>
      <c r="D387" s="370" t="str">
        <f>IF(B387= "","", Inventory!S395)</f>
        <v/>
      </c>
      <c r="E387" s="371"/>
      <c r="F387" s="298" t="str">
        <f>IF(B387="", "", 'Version Log'!$B$34)</f>
        <v/>
      </c>
      <c r="G387" s="298" t="str">
        <f t="shared" si="24"/>
        <v/>
      </c>
      <c r="H387" s="298" t="str">
        <f t="shared" si="25"/>
        <v/>
      </c>
      <c r="I387" s="298" t="str">
        <f>IF(B387="", "",Inventory!D395)</f>
        <v/>
      </c>
      <c r="J387" s="298" t="str">
        <f>IF(B387="","",IF(Inventory!C395="N","Interior","Exterior"))</f>
        <v/>
      </c>
      <c r="K387" s="298" t="str">
        <f t="shared" si="26"/>
        <v/>
      </c>
      <c r="L387" s="298" t="str">
        <f>IF(B387="", "", Inventory!E395)</f>
        <v/>
      </c>
      <c r="M387" s="298" t="str">
        <f>IF(B387="","",IF(Cool_Type=Lookups!$L$9,Cool_Type,IF(Cool_Type=Lookups!$L$10,Cool_Type,IF(Cool_Type=Lookups!$L$11,Cool_Type,IF(Cool_Type=Lookups!L397,Cool_Type,IF('Project Info and Summary'!$C$20="Electric",CONCATENATE(Cool_Type," ",Heating_Type," Heat"),IF('Project Info and Summary'!$C$20="Non-Electric",CONCATENATE(Cool_Type," ",Heating_Type," Heat"),CONCATENATE(Cool_Type," ",Heating_Type))))))))</f>
        <v/>
      </c>
      <c r="N387" s="298" t="str">
        <f t="shared" si="27"/>
        <v/>
      </c>
      <c r="O387" s="298" t="str">
        <f>IF(B387="", "", 'Lighting Inventory (Ref only)'!G398)</f>
        <v/>
      </c>
      <c r="P387" s="298" t="str">
        <f>IF(B387="", "", 'Lighting Inventory (Ref only)'!E398)</f>
        <v/>
      </c>
      <c r="Q387" s="298" t="str">
        <f>IF(B387="", "", 'Lighting Inventory (Ref only)'!J398)</f>
        <v/>
      </c>
      <c r="R387" s="298" t="str">
        <f>IF(B387="", "",'Lighting Inventory (Ref only)'!K398)</f>
        <v/>
      </c>
      <c r="S387" s="372" t="str">
        <f>IF(B387="", "", 'Lighting Inventory (Ref only)'!G398*'Lighting Inventory (Ref only)'!K398/1000)</f>
        <v/>
      </c>
      <c r="T387" s="298" t="str">
        <f>IF(B387="", "", IF('Lighting Inventory (Ref only)'!I398="", "Light Switch",Inventory!H395))</f>
        <v/>
      </c>
      <c r="W387" s="373"/>
      <c r="X387" s="298" t="str">
        <f>IF(B387="", "", 'Lighting Inventory (Ref only)'!Q398)</f>
        <v/>
      </c>
      <c r="Z387" s="374"/>
      <c r="AA387" s="372" t="str">
        <f>IF(B387="", "",'Lighting Inventory (Ref only)'!R398/1000)</f>
        <v/>
      </c>
      <c r="AB387" s="372" t="str">
        <f>IF(B387="", "", Inventory!M395)</f>
        <v/>
      </c>
      <c r="AC387" s="374" t="str">
        <f>IF(B387="", "", 'Lighting Inventory (Ref only)'!T398)</f>
        <v/>
      </c>
      <c r="AD387" s="374" t="str">
        <f>IF(C387="", "", 'Lighting Inventory (Ref only)'!AA398)</f>
        <v/>
      </c>
      <c r="AE387" s="375" t="str">
        <f>IF(B387="", "", 'Lighting Inventory (Ref only)'!U398)</f>
        <v/>
      </c>
      <c r="AF387" s="375" t="str">
        <f>IF(B387="", "",'Lighting Inventory (Ref only)'!W398)</f>
        <v/>
      </c>
      <c r="AG387" s="375"/>
      <c r="AH387" s="375" t="str">
        <f>IF(B387="", "",'Lighting Inventory (Ref only)'!Z398)</f>
        <v/>
      </c>
      <c r="AI387" s="375" t="str">
        <f>IF(B387="", "", 'Lighting Inventory (Ref only)'!Y398)</f>
        <v/>
      </c>
      <c r="AJ387" s="375" t="str">
        <f>IF(C387="", "",'Lighting Inventory (Ref only)'!AB398)</f>
        <v/>
      </c>
      <c r="AK387" s="375" t="str">
        <f>IF(B387="", "", 'Lighting Inventory (Ref only)'!AG398)</f>
        <v/>
      </c>
      <c r="AL387" s="375" t="str">
        <f>IF(B387="", "", 'Lighting Inventory (Ref only)'!AD398)</f>
        <v/>
      </c>
      <c r="AM387" s="375" t="str">
        <f>IF(B387="", "", 'Lighting Inventory (Ref only)'!AE398)</f>
        <v/>
      </c>
      <c r="AN387" s="375" t="str">
        <f>IF(B387="", "", 'Lighting Inventory (Ref only)'!AF398)</f>
        <v/>
      </c>
      <c r="AO387" s="375" t="str">
        <f>IF(B387="", "", 'Lighting Inventory (Ref only)'!AG398)</f>
        <v/>
      </c>
    </row>
    <row r="388" spans="1:41">
      <c r="A388" s="298" t="str">
        <f>IF(G388="", "", Lookups!BF390)</f>
        <v/>
      </c>
      <c r="B388" s="298" t="str">
        <f>IF('Lighting Inventory (Ref only)'!Q399="", "", 'Lighting Inventory (Ref only)'!Q399)</f>
        <v/>
      </c>
      <c r="C388" s="298" t="str">
        <f>IF(A388="", "", 'Lighting Inventory (Ref only)'!AO399)</f>
        <v/>
      </c>
      <c r="D388" s="370" t="str">
        <f>IF(B388= "","", Inventory!S396)</f>
        <v/>
      </c>
      <c r="E388" s="371"/>
      <c r="F388" s="298" t="str">
        <f>IF(B388="", "", 'Version Log'!$B$34)</f>
        <v/>
      </c>
      <c r="G388" s="298" t="str">
        <f t="shared" si="24"/>
        <v/>
      </c>
      <c r="H388" s="298" t="str">
        <f t="shared" si="25"/>
        <v/>
      </c>
      <c r="I388" s="298" t="str">
        <f>IF(B388="", "",Inventory!D396)</f>
        <v/>
      </c>
      <c r="J388" s="298" t="str">
        <f>IF(B388="","",IF(Inventory!C396="N","Interior","Exterior"))</f>
        <v/>
      </c>
      <c r="K388" s="298" t="str">
        <f t="shared" si="26"/>
        <v/>
      </c>
      <c r="L388" s="298" t="str">
        <f>IF(B388="", "", Inventory!E396)</f>
        <v/>
      </c>
      <c r="M388" s="298" t="str">
        <f>IF(B388="","",IF(Cool_Type=Lookups!$L$9,Cool_Type,IF(Cool_Type=Lookups!$L$10,Cool_Type,IF(Cool_Type=Lookups!$L$11,Cool_Type,IF(Cool_Type=Lookups!L398,Cool_Type,IF('Project Info and Summary'!$C$20="Electric",CONCATENATE(Cool_Type," ",Heating_Type," Heat"),IF('Project Info and Summary'!$C$20="Non-Electric",CONCATENATE(Cool_Type," ",Heating_Type," Heat"),CONCATENATE(Cool_Type," ",Heating_Type))))))))</f>
        <v/>
      </c>
      <c r="N388" s="298" t="str">
        <f t="shared" si="27"/>
        <v/>
      </c>
      <c r="O388" s="298" t="str">
        <f>IF(B388="", "", 'Lighting Inventory (Ref only)'!G399)</f>
        <v/>
      </c>
      <c r="P388" s="298" t="str">
        <f>IF(B388="", "", 'Lighting Inventory (Ref only)'!E399)</f>
        <v/>
      </c>
      <c r="Q388" s="298" t="str">
        <f>IF(B388="", "", 'Lighting Inventory (Ref only)'!J399)</f>
        <v/>
      </c>
      <c r="R388" s="298" t="str">
        <f>IF(B388="", "",'Lighting Inventory (Ref only)'!K399)</f>
        <v/>
      </c>
      <c r="S388" s="372" t="str">
        <f>IF(B388="", "", 'Lighting Inventory (Ref only)'!G399*'Lighting Inventory (Ref only)'!K399/1000)</f>
        <v/>
      </c>
      <c r="T388" s="298" t="str">
        <f>IF(B388="", "", IF('Lighting Inventory (Ref only)'!I399="", "Light Switch",Inventory!H396))</f>
        <v/>
      </c>
      <c r="W388" s="373"/>
      <c r="X388" s="298" t="str">
        <f>IF(B388="", "", 'Lighting Inventory (Ref only)'!Q399)</f>
        <v/>
      </c>
      <c r="Z388" s="374"/>
      <c r="AA388" s="372" t="str">
        <f>IF(B388="", "",'Lighting Inventory (Ref only)'!R399/1000)</f>
        <v/>
      </c>
      <c r="AB388" s="372" t="str">
        <f>IF(B388="", "", Inventory!M396)</f>
        <v/>
      </c>
      <c r="AC388" s="374" t="str">
        <f>IF(B388="", "", 'Lighting Inventory (Ref only)'!T399)</f>
        <v/>
      </c>
      <c r="AD388" s="374" t="str">
        <f>IF(C388="", "", 'Lighting Inventory (Ref only)'!AA399)</f>
        <v/>
      </c>
      <c r="AE388" s="375" t="str">
        <f>IF(B388="", "", 'Lighting Inventory (Ref only)'!U399)</f>
        <v/>
      </c>
      <c r="AF388" s="375" t="str">
        <f>IF(B388="", "",'Lighting Inventory (Ref only)'!W399)</f>
        <v/>
      </c>
      <c r="AG388" s="375"/>
      <c r="AH388" s="375" t="str">
        <f>IF(B388="", "",'Lighting Inventory (Ref only)'!Z399)</f>
        <v/>
      </c>
      <c r="AI388" s="375" t="str">
        <f>IF(B388="", "", 'Lighting Inventory (Ref only)'!Y399)</f>
        <v/>
      </c>
      <c r="AJ388" s="375" t="str">
        <f>IF(C388="", "",'Lighting Inventory (Ref only)'!AB399)</f>
        <v/>
      </c>
      <c r="AK388" s="375" t="str">
        <f>IF(B388="", "", 'Lighting Inventory (Ref only)'!AG399)</f>
        <v/>
      </c>
      <c r="AL388" s="375" t="str">
        <f>IF(B388="", "", 'Lighting Inventory (Ref only)'!AD399)</f>
        <v/>
      </c>
      <c r="AM388" s="375" t="str">
        <f>IF(B388="", "", 'Lighting Inventory (Ref only)'!AE399)</f>
        <v/>
      </c>
      <c r="AN388" s="375" t="str">
        <f>IF(B388="", "", 'Lighting Inventory (Ref only)'!AF399)</f>
        <v/>
      </c>
      <c r="AO388" s="375" t="str">
        <f>IF(B388="", "", 'Lighting Inventory (Ref only)'!AG399)</f>
        <v/>
      </c>
    </row>
    <row r="389" spans="1:41">
      <c r="A389" s="298" t="str">
        <f>IF(G389="", "", Lookups!BF391)</f>
        <v/>
      </c>
      <c r="B389" s="298" t="str">
        <f>IF('Lighting Inventory (Ref only)'!Q400="", "", 'Lighting Inventory (Ref only)'!Q400)</f>
        <v/>
      </c>
      <c r="C389" s="298" t="str">
        <f>IF(A389="", "", 'Lighting Inventory (Ref only)'!AO400)</f>
        <v/>
      </c>
      <c r="D389" s="370" t="str">
        <f>IF(B389= "","", Inventory!S397)</f>
        <v/>
      </c>
      <c r="E389" s="371"/>
      <c r="F389" s="298" t="str">
        <f>IF(B389="", "", 'Version Log'!$B$34)</f>
        <v/>
      </c>
      <c r="G389" s="298" t="str">
        <f t="shared" si="24"/>
        <v/>
      </c>
      <c r="H389" s="298" t="str">
        <f t="shared" si="25"/>
        <v/>
      </c>
      <c r="I389" s="298" t="str">
        <f>IF(B389="", "",Inventory!D397)</f>
        <v/>
      </c>
      <c r="J389" s="298" t="str">
        <f>IF(B389="","",IF(Inventory!C397="N","Interior","Exterior"))</f>
        <v/>
      </c>
      <c r="K389" s="298" t="str">
        <f t="shared" si="26"/>
        <v/>
      </c>
      <c r="L389" s="298" t="str">
        <f>IF(B389="", "", Inventory!E397)</f>
        <v/>
      </c>
      <c r="M389" s="298" t="str">
        <f>IF(B389="","",IF(Cool_Type=Lookups!$L$9,Cool_Type,IF(Cool_Type=Lookups!$L$10,Cool_Type,IF(Cool_Type=Lookups!$L$11,Cool_Type,IF(Cool_Type=Lookups!L399,Cool_Type,IF('Project Info and Summary'!$C$20="Electric",CONCATENATE(Cool_Type," ",Heating_Type," Heat"),IF('Project Info and Summary'!$C$20="Non-Electric",CONCATENATE(Cool_Type," ",Heating_Type," Heat"),CONCATENATE(Cool_Type," ",Heating_Type))))))))</f>
        <v/>
      </c>
      <c r="N389" s="298" t="str">
        <f t="shared" si="27"/>
        <v/>
      </c>
      <c r="O389" s="298" t="str">
        <f>IF(B389="", "", 'Lighting Inventory (Ref only)'!G400)</f>
        <v/>
      </c>
      <c r="P389" s="298" t="str">
        <f>IF(B389="", "", 'Lighting Inventory (Ref only)'!E400)</f>
        <v/>
      </c>
      <c r="Q389" s="298" t="str">
        <f>IF(B389="", "", 'Lighting Inventory (Ref only)'!J400)</f>
        <v/>
      </c>
      <c r="R389" s="298" t="str">
        <f>IF(B389="", "",'Lighting Inventory (Ref only)'!K400)</f>
        <v/>
      </c>
      <c r="S389" s="372" t="str">
        <f>IF(B389="", "", 'Lighting Inventory (Ref only)'!G400*'Lighting Inventory (Ref only)'!K400/1000)</f>
        <v/>
      </c>
      <c r="T389" s="298" t="str">
        <f>IF(B389="", "", IF('Lighting Inventory (Ref only)'!I400="", "Light Switch",Inventory!H397))</f>
        <v/>
      </c>
      <c r="W389" s="373"/>
      <c r="X389" s="298" t="str">
        <f>IF(B389="", "", 'Lighting Inventory (Ref only)'!Q400)</f>
        <v/>
      </c>
      <c r="Z389" s="374"/>
      <c r="AA389" s="372" t="str">
        <f>IF(B389="", "",'Lighting Inventory (Ref only)'!R400/1000)</f>
        <v/>
      </c>
      <c r="AB389" s="372" t="str">
        <f>IF(B389="", "", Inventory!M397)</f>
        <v/>
      </c>
      <c r="AC389" s="374" t="str">
        <f>IF(B389="", "", 'Lighting Inventory (Ref only)'!T400)</f>
        <v/>
      </c>
      <c r="AD389" s="374" t="str">
        <f>IF(C389="", "", 'Lighting Inventory (Ref only)'!AA400)</f>
        <v/>
      </c>
      <c r="AE389" s="375" t="str">
        <f>IF(B389="", "", 'Lighting Inventory (Ref only)'!U400)</f>
        <v/>
      </c>
      <c r="AF389" s="375" t="str">
        <f>IF(B389="", "",'Lighting Inventory (Ref only)'!W400)</f>
        <v/>
      </c>
      <c r="AG389" s="375"/>
      <c r="AH389" s="375" t="str">
        <f>IF(B389="", "",'Lighting Inventory (Ref only)'!Z400)</f>
        <v/>
      </c>
      <c r="AI389" s="375" t="str">
        <f>IF(B389="", "", 'Lighting Inventory (Ref only)'!Y400)</f>
        <v/>
      </c>
      <c r="AJ389" s="375" t="str">
        <f>IF(C389="", "",'Lighting Inventory (Ref only)'!AB400)</f>
        <v/>
      </c>
      <c r="AK389" s="375" t="str">
        <f>IF(B389="", "", 'Lighting Inventory (Ref only)'!AG400)</f>
        <v/>
      </c>
      <c r="AL389" s="375" t="str">
        <f>IF(B389="", "", 'Lighting Inventory (Ref only)'!AD400)</f>
        <v/>
      </c>
      <c r="AM389" s="375" t="str">
        <f>IF(B389="", "", 'Lighting Inventory (Ref only)'!AE400)</f>
        <v/>
      </c>
      <c r="AN389" s="375" t="str">
        <f>IF(B389="", "", 'Lighting Inventory (Ref only)'!AF400)</f>
        <v/>
      </c>
      <c r="AO389" s="375" t="str">
        <f>IF(B389="", "", 'Lighting Inventory (Ref only)'!AG400)</f>
        <v/>
      </c>
    </row>
    <row r="390" spans="1:41">
      <c r="A390" s="298" t="str">
        <f>IF(G390="", "", Lookups!BF392)</f>
        <v/>
      </c>
      <c r="B390" s="298" t="str">
        <f>IF('Lighting Inventory (Ref only)'!Q401="", "", 'Lighting Inventory (Ref only)'!Q401)</f>
        <v/>
      </c>
      <c r="C390" s="298" t="str">
        <f>IF(A390="", "", 'Lighting Inventory (Ref only)'!AO401)</f>
        <v/>
      </c>
      <c r="D390" s="370" t="str">
        <f>IF(B390= "","", Inventory!S398)</f>
        <v/>
      </c>
      <c r="E390" s="371"/>
      <c r="F390" s="298" t="str">
        <f>IF(B390="", "", 'Version Log'!$B$34)</f>
        <v/>
      </c>
      <c r="G390" s="298" t="str">
        <f t="shared" si="24"/>
        <v/>
      </c>
      <c r="H390" s="298" t="str">
        <f t="shared" si="25"/>
        <v/>
      </c>
      <c r="I390" s="298" t="str">
        <f>IF(B390="", "",Inventory!D398)</f>
        <v/>
      </c>
      <c r="J390" s="298" t="str">
        <f>IF(B390="","",IF(Inventory!C398="N","Interior","Exterior"))</f>
        <v/>
      </c>
      <c r="K390" s="298" t="str">
        <f t="shared" si="26"/>
        <v/>
      </c>
      <c r="L390" s="298" t="str">
        <f>IF(B390="", "", Inventory!E398)</f>
        <v/>
      </c>
      <c r="M390" s="298" t="str">
        <f>IF(B390="","",IF(Cool_Type=Lookups!$L$9,Cool_Type,IF(Cool_Type=Lookups!$L$10,Cool_Type,IF(Cool_Type=Lookups!$L$11,Cool_Type,IF(Cool_Type=Lookups!L400,Cool_Type,IF('Project Info and Summary'!$C$20="Electric",CONCATENATE(Cool_Type," ",Heating_Type," Heat"),IF('Project Info and Summary'!$C$20="Non-Electric",CONCATENATE(Cool_Type," ",Heating_Type," Heat"),CONCATENATE(Cool_Type," ",Heating_Type))))))))</f>
        <v/>
      </c>
      <c r="N390" s="298" t="str">
        <f t="shared" si="27"/>
        <v/>
      </c>
      <c r="O390" s="298" t="str">
        <f>IF(B390="", "", 'Lighting Inventory (Ref only)'!G401)</f>
        <v/>
      </c>
      <c r="P390" s="298" t="str">
        <f>IF(B390="", "", 'Lighting Inventory (Ref only)'!E401)</f>
        <v/>
      </c>
      <c r="Q390" s="298" t="str">
        <f>IF(B390="", "", 'Lighting Inventory (Ref only)'!J401)</f>
        <v/>
      </c>
      <c r="R390" s="298" t="str">
        <f>IF(B390="", "",'Lighting Inventory (Ref only)'!K401)</f>
        <v/>
      </c>
      <c r="S390" s="372" t="str">
        <f>IF(B390="", "", 'Lighting Inventory (Ref only)'!G401*'Lighting Inventory (Ref only)'!K401/1000)</f>
        <v/>
      </c>
      <c r="T390" s="298" t="str">
        <f>IF(B390="", "", IF('Lighting Inventory (Ref only)'!I401="", "Light Switch",Inventory!H398))</f>
        <v/>
      </c>
      <c r="W390" s="373"/>
      <c r="X390" s="298" t="str">
        <f>IF(B390="", "", 'Lighting Inventory (Ref only)'!Q401)</f>
        <v/>
      </c>
      <c r="Z390" s="374"/>
      <c r="AA390" s="372" t="str">
        <f>IF(B390="", "",'Lighting Inventory (Ref only)'!R401/1000)</f>
        <v/>
      </c>
      <c r="AB390" s="372" t="str">
        <f>IF(B390="", "", Inventory!M398)</f>
        <v/>
      </c>
      <c r="AC390" s="374" t="str">
        <f>IF(B390="", "", 'Lighting Inventory (Ref only)'!T401)</f>
        <v/>
      </c>
      <c r="AD390" s="374" t="str">
        <f>IF(C390="", "", 'Lighting Inventory (Ref only)'!AA401)</f>
        <v/>
      </c>
      <c r="AE390" s="375" t="str">
        <f>IF(B390="", "", 'Lighting Inventory (Ref only)'!U401)</f>
        <v/>
      </c>
      <c r="AF390" s="375" t="str">
        <f>IF(B390="", "",'Lighting Inventory (Ref only)'!W401)</f>
        <v/>
      </c>
      <c r="AG390" s="375"/>
      <c r="AH390" s="375" t="str">
        <f>IF(B390="", "",'Lighting Inventory (Ref only)'!Z401)</f>
        <v/>
      </c>
      <c r="AI390" s="375" t="str">
        <f>IF(B390="", "", 'Lighting Inventory (Ref only)'!Y401)</f>
        <v/>
      </c>
      <c r="AJ390" s="375" t="str">
        <f>IF(C390="", "",'Lighting Inventory (Ref only)'!AB401)</f>
        <v/>
      </c>
      <c r="AK390" s="375" t="str">
        <f>IF(B390="", "", 'Lighting Inventory (Ref only)'!AG401)</f>
        <v/>
      </c>
      <c r="AL390" s="375" t="str">
        <f>IF(B390="", "", 'Lighting Inventory (Ref only)'!AD401)</f>
        <v/>
      </c>
      <c r="AM390" s="375" t="str">
        <f>IF(B390="", "", 'Lighting Inventory (Ref only)'!AE401)</f>
        <v/>
      </c>
      <c r="AN390" s="375" t="str">
        <f>IF(B390="", "", 'Lighting Inventory (Ref only)'!AF401)</f>
        <v/>
      </c>
      <c r="AO390" s="375" t="str">
        <f>IF(B390="", "", 'Lighting Inventory (Ref only)'!AG401)</f>
        <v/>
      </c>
    </row>
    <row r="391" spans="1:41">
      <c r="A391" s="298" t="str">
        <f>IF(G391="", "", Lookups!BF393)</f>
        <v/>
      </c>
      <c r="B391" s="298" t="str">
        <f>IF('Lighting Inventory (Ref only)'!Q402="", "", 'Lighting Inventory (Ref only)'!Q402)</f>
        <v/>
      </c>
      <c r="C391" s="298" t="str">
        <f>IF(A391="", "", 'Lighting Inventory (Ref only)'!AO402)</f>
        <v/>
      </c>
      <c r="D391" s="370" t="str">
        <f>IF(B391= "","", Inventory!S399)</f>
        <v/>
      </c>
      <c r="E391" s="371"/>
      <c r="F391" s="298" t="str">
        <f>IF(B391="", "", 'Version Log'!$B$34)</f>
        <v/>
      </c>
      <c r="G391" s="298" t="str">
        <f t="shared" si="24"/>
        <v/>
      </c>
      <c r="H391" s="298" t="str">
        <f t="shared" si="25"/>
        <v/>
      </c>
      <c r="I391" s="298" t="str">
        <f>IF(B391="", "",Inventory!D399)</f>
        <v/>
      </c>
      <c r="J391" s="298" t="str">
        <f>IF(B391="","",IF(Inventory!C399="N","Interior","Exterior"))</f>
        <v/>
      </c>
      <c r="K391" s="298" t="str">
        <f t="shared" si="26"/>
        <v/>
      </c>
      <c r="L391" s="298" t="str">
        <f>IF(B391="", "", Inventory!E399)</f>
        <v/>
      </c>
      <c r="M391" s="298" t="str">
        <f>IF(B391="","",IF(Cool_Type=Lookups!$L$9,Cool_Type,IF(Cool_Type=Lookups!$L$10,Cool_Type,IF(Cool_Type=Lookups!$L$11,Cool_Type,IF(Cool_Type=Lookups!L401,Cool_Type,IF('Project Info and Summary'!$C$20="Electric",CONCATENATE(Cool_Type," ",Heating_Type," Heat"),IF('Project Info and Summary'!$C$20="Non-Electric",CONCATENATE(Cool_Type," ",Heating_Type," Heat"),CONCATENATE(Cool_Type," ",Heating_Type))))))))</f>
        <v/>
      </c>
      <c r="N391" s="298" t="str">
        <f t="shared" si="27"/>
        <v/>
      </c>
      <c r="O391" s="298" t="str">
        <f>IF(B391="", "", 'Lighting Inventory (Ref only)'!G402)</f>
        <v/>
      </c>
      <c r="P391" s="298" t="str">
        <f>IF(B391="", "", 'Lighting Inventory (Ref only)'!E402)</f>
        <v/>
      </c>
      <c r="Q391" s="298" t="str">
        <f>IF(B391="", "", 'Lighting Inventory (Ref only)'!J402)</f>
        <v/>
      </c>
      <c r="R391" s="298" t="str">
        <f>IF(B391="", "",'Lighting Inventory (Ref only)'!K402)</f>
        <v/>
      </c>
      <c r="S391" s="372" t="str">
        <f>IF(B391="", "", 'Lighting Inventory (Ref only)'!G402*'Lighting Inventory (Ref only)'!K402/1000)</f>
        <v/>
      </c>
      <c r="T391" s="298" t="str">
        <f>IF(B391="", "", IF('Lighting Inventory (Ref only)'!I402="", "Light Switch",Inventory!H399))</f>
        <v/>
      </c>
      <c r="W391" s="373"/>
      <c r="X391" s="298" t="str">
        <f>IF(B391="", "", 'Lighting Inventory (Ref only)'!Q402)</f>
        <v/>
      </c>
      <c r="Z391" s="374"/>
      <c r="AA391" s="372" t="str">
        <f>IF(B391="", "",'Lighting Inventory (Ref only)'!R402/1000)</f>
        <v/>
      </c>
      <c r="AB391" s="372" t="str">
        <f>IF(B391="", "", Inventory!M399)</f>
        <v/>
      </c>
      <c r="AC391" s="374" t="str">
        <f>IF(B391="", "", 'Lighting Inventory (Ref only)'!T402)</f>
        <v/>
      </c>
      <c r="AD391" s="374" t="str">
        <f>IF(C391="", "", 'Lighting Inventory (Ref only)'!AA402)</f>
        <v/>
      </c>
      <c r="AE391" s="375" t="str">
        <f>IF(B391="", "", 'Lighting Inventory (Ref only)'!U402)</f>
        <v/>
      </c>
      <c r="AF391" s="375" t="str">
        <f>IF(B391="", "",'Lighting Inventory (Ref only)'!W402)</f>
        <v/>
      </c>
      <c r="AG391" s="375"/>
      <c r="AH391" s="375" t="str">
        <f>IF(B391="", "",'Lighting Inventory (Ref only)'!Z402)</f>
        <v/>
      </c>
      <c r="AI391" s="375" t="str">
        <f>IF(B391="", "", 'Lighting Inventory (Ref only)'!Y402)</f>
        <v/>
      </c>
      <c r="AJ391" s="375" t="str">
        <f>IF(C391="", "",'Lighting Inventory (Ref only)'!AB402)</f>
        <v/>
      </c>
      <c r="AK391" s="375" t="str">
        <f>IF(B391="", "", 'Lighting Inventory (Ref only)'!AG402)</f>
        <v/>
      </c>
      <c r="AL391" s="375" t="str">
        <f>IF(B391="", "", 'Lighting Inventory (Ref only)'!AD402)</f>
        <v/>
      </c>
      <c r="AM391" s="375" t="str">
        <f>IF(B391="", "", 'Lighting Inventory (Ref only)'!AE402)</f>
        <v/>
      </c>
      <c r="AN391" s="375" t="str">
        <f>IF(B391="", "", 'Lighting Inventory (Ref only)'!AF402)</f>
        <v/>
      </c>
      <c r="AO391" s="375" t="str">
        <f>IF(B391="", "", 'Lighting Inventory (Ref only)'!AG402)</f>
        <v/>
      </c>
    </row>
    <row r="392" spans="1:41">
      <c r="A392" s="298" t="str">
        <f>IF(G392="", "", Lookups!BF394)</f>
        <v/>
      </c>
      <c r="B392" s="298" t="str">
        <f>IF('Lighting Inventory (Ref only)'!Q403="", "", 'Lighting Inventory (Ref only)'!Q403)</f>
        <v/>
      </c>
      <c r="C392" s="298" t="str">
        <f>IF(A392="", "", 'Lighting Inventory (Ref only)'!AO403)</f>
        <v/>
      </c>
      <c r="D392" s="370" t="str">
        <f>IF(B392= "","", Inventory!S400)</f>
        <v/>
      </c>
      <c r="E392" s="371"/>
      <c r="F392" s="298" t="str">
        <f>IF(B392="", "", 'Version Log'!$B$34)</f>
        <v/>
      </c>
      <c r="G392" s="298" t="str">
        <f t="shared" si="24"/>
        <v/>
      </c>
      <c r="H392" s="298" t="str">
        <f t="shared" si="25"/>
        <v/>
      </c>
      <c r="I392" s="298" t="str">
        <f>IF(B392="", "",Inventory!D400)</f>
        <v/>
      </c>
      <c r="J392" s="298" t="str">
        <f>IF(B392="","",IF(Inventory!C400="N","Interior","Exterior"))</f>
        <v/>
      </c>
      <c r="K392" s="298" t="str">
        <f t="shared" si="26"/>
        <v/>
      </c>
      <c r="L392" s="298" t="str">
        <f>IF(B392="", "", Inventory!E400)</f>
        <v/>
      </c>
      <c r="M392" s="298" t="str">
        <f>IF(B392="","",IF(Cool_Type=Lookups!$L$9,Cool_Type,IF(Cool_Type=Lookups!$L$10,Cool_Type,IF(Cool_Type=Lookups!$L$11,Cool_Type,IF(Cool_Type=Lookups!L402,Cool_Type,IF('Project Info and Summary'!$C$20="Electric",CONCATENATE(Cool_Type," ",Heating_Type," Heat"),IF('Project Info and Summary'!$C$20="Non-Electric",CONCATENATE(Cool_Type," ",Heating_Type," Heat"),CONCATENATE(Cool_Type," ",Heating_Type))))))))</f>
        <v/>
      </c>
      <c r="N392" s="298" t="str">
        <f t="shared" si="27"/>
        <v/>
      </c>
      <c r="O392" s="298" t="str">
        <f>IF(B392="", "", 'Lighting Inventory (Ref only)'!G403)</f>
        <v/>
      </c>
      <c r="P392" s="298" t="str">
        <f>IF(B392="", "", 'Lighting Inventory (Ref only)'!E403)</f>
        <v/>
      </c>
      <c r="Q392" s="298" t="str">
        <f>IF(B392="", "", 'Lighting Inventory (Ref only)'!J403)</f>
        <v/>
      </c>
      <c r="R392" s="298" t="str">
        <f>IF(B392="", "",'Lighting Inventory (Ref only)'!K403)</f>
        <v/>
      </c>
      <c r="S392" s="372" t="str">
        <f>IF(B392="", "", 'Lighting Inventory (Ref only)'!G403*'Lighting Inventory (Ref only)'!K403/1000)</f>
        <v/>
      </c>
      <c r="T392" s="298" t="str">
        <f>IF(B392="", "", IF('Lighting Inventory (Ref only)'!I403="", "Light Switch",Inventory!H400))</f>
        <v/>
      </c>
      <c r="W392" s="373"/>
      <c r="X392" s="298" t="str">
        <f>IF(B392="", "", 'Lighting Inventory (Ref only)'!Q403)</f>
        <v/>
      </c>
      <c r="Z392" s="374"/>
      <c r="AA392" s="372" t="str">
        <f>IF(B392="", "",'Lighting Inventory (Ref only)'!R403/1000)</f>
        <v/>
      </c>
      <c r="AB392" s="372" t="str">
        <f>IF(B392="", "", Inventory!M400)</f>
        <v/>
      </c>
      <c r="AC392" s="374" t="str">
        <f>IF(B392="", "", 'Lighting Inventory (Ref only)'!T403)</f>
        <v/>
      </c>
      <c r="AD392" s="374" t="str">
        <f>IF(C392="", "", 'Lighting Inventory (Ref only)'!AA403)</f>
        <v/>
      </c>
      <c r="AE392" s="375" t="str">
        <f>IF(B392="", "", 'Lighting Inventory (Ref only)'!U403)</f>
        <v/>
      </c>
      <c r="AF392" s="375" t="str">
        <f>IF(B392="", "",'Lighting Inventory (Ref only)'!W403)</f>
        <v/>
      </c>
      <c r="AG392" s="375"/>
      <c r="AH392" s="375" t="str">
        <f>IF(B392="", "",'Lighting Inventory (Ref only)'!Z403)</f>
        <v/>
      </c>
      <c r="AI392" s="375" t="str">
        <f>IF(B392="", "", 'Lighting Inventory (Ref only)'!Y403)</f>
        <v/>
      </c>
      <c r="AJ392" s="375" t="str">
        <f>IF(C392="", "",'Lighting Inventory (Ref only)'!AB403)</f>
        <v/>
      </c>
      <c r="AK392" s="375" t="str">
        <f>IF(B392="", "", 'Lighting Inventory (Ref only)'!AG403)</f>
        <v/>
      </c>
      <c r="AL392" s="375" t="str">
        <f>IF(B392="", "", 'Lighting Inventory (Ref only)'!AD403)</f>
        <v/>
      </c>
      <c r="AM392" s="375" t="str">
        <f>IF(B392="", "", 'Lighting Inventory (Ref only)'!AE403)</f>
        <v/>
      </c>
      <c r="AN392" s="375" t="str">
        <f>IF(B392="", "", 'Lighting Inventory (Ref only)'!AF403)</f>
        <v/>
      </c>
      <c r="AO392" s="375" t="str">
        <f>IF(B392="", "", 'Lighting Inventory (Ref only)'!AG403)</f>
        <v/>
      </c>
    </row>
    <row r="393" spans="1:41">
      <c r="A393" s="298" t="str">
        <f>IF(G393="", "", Lookups!BF395)</f>
        <v/>
      </c>
      <c r="B393" s="298" t="str">
        <f>IF('Lighting Inventory (Ref only)'!Q404="", "", 'Lighting Inventory (Ref only)'!Q404)</f>
        <v/>
      </c>
      <c r="C393" s="298" t="str">
        <f>IF(A393="", "", 'Lighting Inventory (Ref only)'!AO404)</f>
        <v/>
      </c>
      <c r="D393" s="370" t="str">
        <f>IF(B393= "","", Inventory!S401)</f>
        <v/>
      </c>
      <c r="E393" s="371"/>
      <c r="F393" s="298" t="str">
        <f>IF(B393="", "", 'Version Log'!$B$34)</f>
        <v/>
      </c>
      <c r="G393" s="298" t="str">
        <f t="shared" si="24"/>
        <v/>
      </c>
      <c r="H393" s="298" t="str">
        <f t="shared" si="25"/>
        <v/>
      </c>
      <c r="I393" s="298" t="str">
        <f>IF(B393="", "",Inventory!D401)</f>
        <v/>
      </c>
      <c r="J393" s="298" t="str">
        <f>IF(B393="","",IF(Inventory!C401="N","Interior","Exterior"))</f>
        <v/>
      </c>
      <c r="K393" s="298" t="str">
        <f t="shared" si="26"/>
        <v/>
      </c>
      <c r="L393" s="298" t="str">
        <f>IF(B393="", "", Inventory!E401)</f>
        <v/>
      </c>
      <c r="M393" s="298" t="str">
        <f>IF(B393="","",IF(Cool_Type=Lookups!$L$9,Cool_Type,IF(Cool_Type=Lookups!$L$10,Cool_Type,IF(Cool_Type=Lookups!$L$11,Cool_Type,IF(Cool_Type=Lookups!L403,Cool_Type,IF('Project Info and Summary'!$C$20="Electric",CONCATENATE(Cool_Type," ",Heating_Type," Heat"),IF('Project Info and Summary'!$C$20="Non-Electric",CONCATENATE(Cool_Type," ",Heating_Type," Heat"),CONCATENATE(Cool_Type," ",Heating_Type))))))))</f>
        <v/>
      </c>
      <c r="N393" s="298" t="str">
        <f t="shared" si="27"/>
        <v/>
      </c>
      <c r="O393" s="298" t="str">
        <f>IF(B393="", "", 'Lighting Inventory (Ref only)'!G404)</f>
        <v/>
      </c>
      <c r="P393" s="298" t="str">
        <f>IF(B393="", "", 'Lighting Inventory (Ref only)'!E404)</f>
        <v/>
      </c>
      <c r="Q393" s="298" t="str">
        <f>IF(B393="", "", 'Lighting Inventory (Ref only)'!J404)</f>
        <v/>
      </c>
      <c r="R393" s="298" t="str">
        <f>IF(B393="", "",'Lighting Inventory (Ref only)'!K404)</f>
        <v/>
      </c>
      <c r="S393" s="372" t="str">
        <f>IF(B393="", "", 'Lighting Inventory (Ref only)'!G404*'Lighting Inventory (Ref only)'!K404/1000)</f>
        <v/>
      </c>
      <c r="T393" s="298" t="str">
        <f>IF(B393="", "", IF('Lighting Inventory (Ref only)'!I404="", "Light Switch",Inventory!H401))</f>
        <v/>
      </c>
      <c r="W393" s="373"/>
      <c r="X393" s="298" t="str">
        <f>IF(B393="", "", 'Lighting Inventory (Ref only)'!Q404)</f>
        <v/>
      </c>
      <c r="Z393" s="374"/>
      <c r="AA393" s="372" t="str">
        <f>IF(B393="", "",'Lighting Inventory (Ref only)'!R404/1000)</f>
        <v/>
      </c>
      <c r="AB393" s="372" t="str">
        <f>IF(B393="", "", Inventory!M401)</f>
        <v/>
      </c>
      <c r="AC393" s="374" t="str">
        <f>IF(B393="", "", 'Lighting Inventory (Ref only)'!T404)</f>
        <v/>
      </c>
      <c r="AD393" s="374" t="str">
        <f>IF(C393="", "", 'Lighting Inventory (Ref only)'!AA404)</f>
        <v/>
      </c>
      <c r="AE393" s="375" t="str">
        <f>IF(B393="", "", 'Lighting Inventory (Ref only)'!U404)</f>
        <v/>
      </c>
      <c r="AF393" s="375" t="str">
        <f>IF(B393="", "",'Lighting Inventory (Ref only)'!W404)</f>
        <v/>
      </c>
      <c r="AG393" s="375"/>
      <c r="AH393" s="375" t="str">
        <f>IF(B393="", "",'Lighting Inventory (Ref only)'!Z404)</f>
        <v/>
      </c>
      <c r="AI393" s="375" t="str">
        <f>IF(B393="", "", 'Lighting Inventory (Ref only)'!Y404)</f>
        <v/>
      </c>
      <c r="AJ393" s="375" t="str">
        <f>IF(C393="", "",'Lighting Inventory (Ref only)'!AB404)</f>
        <v/>
      </c>
      <c r="AK393" s="375" t="str">
        <f>IF(B393="", "", 'Lighting Inventory (Ref only)'!AG404)</f>
        <v/>
      </c>
      <c r="AL393" s="375" t="str">
        <f>IF(B393="", "", 'Lighting Inventory (Ref only)'!AD404)</f>
        <v/>
      </c>
      <c r="AM393" s="375" t="str">
        <f>IF(B393="", "", 'Lighting Inventory (Ref only)'!AE404)</f>
        <v/>
      </c>
      <c r="AN393" s="375" t="str">
        <f>IF(B393="", "", 'Lighting Inventory (Ref only)'!AF404)</f>
        <v/>
      </c>
      <c r="AO393" s="375" t="str">
        <f>IF(B393="", "", 'Lighting Inventory (Ref only)'!AG404)</f>
        <v/>
      </c>
    </row>
    <row r="394" spans="1:41">
      <c r="A394" s="298" t="str">
        <f>IF(G394="", "", Lookups!BF396)</f>
        <v/>
      </c>
      <c r="B394" s="298" t="str">
        <f>IF('Lighting Inventory (Ref only)'!Q405="", "", 'Lighting Inventory (Ref only)'!Q405)</f>
        <v/>
      </c>
      <c r="C394" s="298" t="str">
        <f>IF(A394="", "", 'Lighting Inventory (Ref only)'!AO405)</f>
        <v/>
      </c>
      <c r="D394" s="370" t="str">
        <f>IF(B394= "","", Inventory!S402)</f>
        <v/>
      </c>
      <c r="E394" s="371"/>
      <c r="F394" s="298" t="str">
        <f>IF(B394="", "", 'Version Log'!$B$34)</f>
        <v/>
      </c>
      <c r="G394" s="298" t="str">
        <f t="shared" si="24"/>
        <v/>
      </c>
      <c r="H394" s="298" t="str">
        <f t="shared" si="25"/>
        <v/>
      </c>
      <c r="I394" s="298" t="str">
        <f>IF(B394="", "",Inventory!D402)</f>
        <v/>
      </c>
      <c r="J394" s="298" t="str">
        <f>IF(B394="","",IF(Inventory!C402="N","Interior","Exterior"))</f>
        <v/>
      </c>
      <c r="K394" s="298" t="str">
        <f t="shared" si="26"/>
        <v/>
      </c>
      <c r="L394" s="298" t="str">
        <f>IF(B394="", "", Inventory!E402)</f>
        <v/>
      </c>
      <c r="M394" s="298" t="str">
        <f>IF(B394="","",IF(Cool_Type=Lookups!$L$9,Cool_Type,IF(Cool_Type=Lookups!$L$10,Cool_Type,IF(Cool_Type=Lookups!$L$11,Cool_Type,IF(Cool_Type=Lookups!L404,Cool_Type,IF('Project Info and Summary'!$C$20="Electric",CONCATENATE(Cool_Type," ",Heating_Type," Heat"),IF('Project Info and Summary'!$C$20="Non-Electric",CONCATENATE(Cool_Type," ",Heating_Type," Heat"),CONCATENATE(Cool_Type," ",Heating_Type))))))))</f>
        <v/>
      </c>
      <c r="N394" s="298" t="str">
        <f t="shared" si="27"/>
        <v/>
      </c>
      <c r="O394" s="298" t="str">
        <f>IF(B394="", "", 'Lighting Inventory (Ref only)'!G405)</f>
        <v/>
      </c>
      <c r="P394" s="298" t="str">
        <f>IF(B394="", "", 'Lighting Inventory (Ref only)'!E405)</f>
        <v/>
      </c>
      <c r="Q394" s="298" t="str">
        <f>IF(B394="", "", 'Lighting Inventory (Ref only)'!J405)</f>
        <v/>
      </c>
      <c r="R394" s="298" t="str">
        <f>IF(B394="", "",'Lighting Inventory (Ref only)'!K405)</f>
        <v/>
      </c>
      <c r="S394" s="372" t="str">
        <f>IF(B394="", "", 'Lighting Inventory (Ref only)'!G405*'Lighting Inventory (Ref only)'!K405/1000)</f>
        <v/>
      </c>
      <c r="T394" s="298" t="str">
        <f>IF(B394="", "", IF('Lighting Inventory (Ref only)'!I405="", "Light Switch",Inventory!H402))</f>
        <v/>
      </c>
      <c r="W394" s="373"/>
      <c r="X394" s="298" t="str">
        <f>IF(B394="", "", 'Lighting Inventory (Ref only)'!Q405)</f>
        <v/>
      </c>
      <c r="Z394" s="374"/>
      <c r="AA394" s="372" t="str">
        <f>IF(B394="", "",'Lighting Inventory (Ref only)'!R405/1000)</f>
        <v/>
      </c>
      <c r="AB394" s="372" t="str">
        <f>IF(B394="", "", Inventory!M402)</f>
        <v/>
      </c>
      <c r="AC394" s="374" t="str">
        <f>IF(B394="", "", 'Lighting Inventory (Ref only)'!T405)</f>
        <v/>
      </c>
      <c r="AD394" s="374" t="str">
        <f>IF(C394="", "", 'Lighting Inventory (Ref only)'!AA405)</f>
        <v/>
      </c>
      <c r="AE394" s="375" t="str">
        <f>IF(B394="", "", 'Lighting Inventory (Ref only)'!U405)</f>
        <v/>
      </c>
      <c r="AF394" s="375" t="str">
        <f>IF(B394="", "",'Lighting Inventory (Ref only)'!W405)</f>
        <v/>
      </c>
      <c r="AG394" s="375"/>
      <c r="AH394" s="375" t="str">
        <f>IF(B394="", "",'Lighting Inventory (Ref only)'!Z405)</f>
        <v/>
      </c>
      <c r="AI394" s="375" t="str">
        <f>IF(B394="", "", 'Lighting Inventory (Ref only)'!Y405)</f>
        <v/>
      </c>
      <c r="AJ394" s="375" t="str">
        <f>IF(C394="", "",'Lighting Inventory (Ref only)'!AB405)</f>
        <v/>
      </c>
      <c r="AK394" s="375" t="str">
        <f>IF(B394="", "", 'Lighting Inventory (Ref only)'!AG405)</f>
        <v/>
      </c>
      <c r="AL394" s="375" t="str">
        <f>IF(B394="", "", 'Lighting Inventory (Ref only)'!AD405)</f>
        <v/>
      </c>
      <c r="AM394" s="375" t="str">
        <f>IF(B394="", "", 'Lighting Inventory (Ref only)'!AE405)</f>
        <v/>
      </c>
      <c r="AN394" s="375" t="str">
        <f>IF(B394="", "", 'Lighting Inventory (Ref only)'!AF405)</f>
        <v/>
      </c>
      <c r="AO394" s="375" t="str">
        <f>IF(B394="", "", 'Lighting Inventory (Ref only)'!AG405)</f>
        <v/>
      </c>
    </row>
    <row r="395" spans="1:41">
      <c r="A395" s="298" t="str">
        <f>IF(G395="", "", Lookups!BF397)</f>
        <v/>
      </c>
      <c r="B395" s="298" t="str">
        <f>IF('Lighting Inventory (Ref only)'!Q406="", "", 'Lighting Inventory (Ref only)'!Q406)</f>
        <v/>
      </c>
      <c r="C395" s="298" t="str">
        <f>IF(A395="", "", 'Lighting Inventory (Ref only)'!AO406)</f>
        <v/>
      </c>
      <c r="D395" s="370" t="str">
        <f>IF(B395= "","", Inventory!S403)</f>
        <v/>
      </c>
      <c r="E395" s="371"/>
      <c r="F395" s="298" t="str">
        <f>IF(B395="", "", 'Version Log'!$B$34)</f>
        <v/>
      </c>
      <c r="G395" s="298" t="str">
        <f t="shared" si="24"/>
        <v/>
      </c>
      <c r="H395" s="298" t="str">
        <f t="shared" si="25"/>
        <v/>
      </c>
      <c r="I395" s="298" t="str">
        <f>IF(B395="", "",Inventory!D403)</f>
        <v/>
      </c>
      <c r="J395" s="298" t="str">
        <f>IF(B395="","",IF(Inventory!C403="N","Interior","Exterior"))</f>
        <v/>
      </c>
      <c r="K395" s="298" t="str">
        <f t="shared" si="26"/>
        <v/>
      </c>
      <c r="L395" s="298" t="str">
        <f>IF(B395="", "", Inventory!E403)</f>
        <v/>
      </c>
      <c r="M395" s="298" t="str">
        <f>IF(B395="","",IF(Cool_Type=Lookups!$L$9,Cool_Type,IF(Cool_Type=Lookups!$L$10,Cool_Type,IF(Cool_Type=Lookups!$L$11,Cool_Type,IF(Cool_Type=Lookups!L405,Cool_Type,IF('Project Info and Summary'!$C$20="Electric",CONCATENATE(Cool_Type," ",Heating_Type," Heat"),IF('Project Info and Summary'!$C$20="Non-Electric",CONCATENATE(Cool_Type," ",Heating_Type," Heat"),CONCATENATE(Cool_Type," ",Heating_Type))))))))</f>
        <v/>
      </c>
      <c r="N395" s="298" t="str">
        <f t="shared" si="27"/>
        <v/>
      </c>
      <c r="O395" s="298" t="str">
        <f>IF(B395="", "", 'Lighting Inventory (Ref only)'!G406)</f>
        <v/>
      </c>
      <c r="P395" s="298" t="str">
        <f>IF(B395="", "", 'Lighting Inventory (Ref only)'!E406)</f>
        <v/>
      </c>
      <c r="Q395" s="298" t="str">
        <f>IF(B395="", "", 'Lighting Inventory (Ref only)'!J406)</f>
        <v/>
      </c>
      <c r="R395" s="298" t="str">
        <f>IF(B395="", "",'Lighting Inventory (Ref only)'!K406)</f>
        <v/>
      </c>
      <c r="S395" s="372" t="str">
        <f>IF(B395="", "", 'Lighting Inventory (Ref only)'!G406*'Lighting Inventory (Ref only)'!K406/1000)</f>
        <v/>
      </c>
      <c r="T395" s="298" t="str">
        <f>IF(B395="", "", IF('Lighting Inventory (Ref only)'!I406="", "Light Switch",Inventory!H403))</f>
        <v/>
      </c>
      <c r="W395" s="373"/>
      <c r="X395" s="298" t="str">
        <f>IF(B395="", "", 'Lighting Inventory (Ref only)'!Q406)</f>
        <v/>
      </c>
      <c r="Z395" s="374"/>
      <c r="AA395" s="372" t="str">
        <f>IF(B395="", "",'Lighting Inventory (Ref only)'!R406/1000)</f>
        <v/>
      </c>
      <c r="AB395" s="372" t="str">
        <f>IF(B395="", "", Inventory!M403)</f>
        <v/>
      </c>
      <c r="AC395" s="374" t="str">
        <f>IF(B395="", "", 'Lighting Inventory (Ref only)'!T406)</f>
        <v/>
      </c>
      <c r="AD395" s="374" t="str">
        <f>IF(C395="", "", 'Lighting Inventory (Ref only)'!AA406)</f>
        <v/>
      </c>
      <c r="AE395" s="375" t="str">
        <f>IF(B395="", "", 'Lighting Inventory (Ref only)'!U406)</f>
        <v/>
      </c>
      <c r="AF395" s="375" t="str">
        <f>IF(B395="", "",'Lighting Inventory (Ref only)'!W406)</f>
        <v/>
      </c>
      <c r="AG395" s="375"/>
      <c r="AH395" s="375" t="str">
        <f>IF(B395="", "",'Lighting Inventory (Ref only)'!Z406)</f>
        <v/>
      </c>
      <c r="AI395" s="375" t="str">
        <f>IF(B395="", "", 'Lighting Inventory (Ref only)'!Y406)</f>
        <v/>
      </c>
      <c r="AJ395" s="375" t="str">
        <f>IF(C395="", "",'Lighting Inventory (Ref only)'!AB406)</f>
        <v/>
      </c>
      <c r="AK395" s="375" t="str">
        <f>IF(B395="", "", 'Lighting Inventory (Ref only)'!AG406)</f>
        <v/>
      </c>
      <c r="AL395" s="375" t="str">
        <f>IF(B395="", "", 'Lighting Inventory (Ref only)'!AD406)</f>
        <v/>
      </c>
      <c r="AM395" s="375" t="str">
        <f>IF(B395="", "", 'Lighting Inventory (Ref only)'!AE406)</f>
        <v/>
      </c>
      <c r="AN395" s="375" t="str">
        <f>IF(B395="", "", 'Lighting Inventory (Ref only)'!AF406)</f>
        <v/>
      </c>
      <c r="AO395" s="375" t="str">
        <f>IF(B395="", "", 'Lighting Inventory (Ref only)'!AG406)</f>
        <v/>
      </c>
    </row>
    <row r="396" spans="1:41">
      <c r="A396" s="298" t="str">
        <f>IF(G396="", "", Lookups!BF398)</f>
        <v/>
      </c>
      <c r="B396" s="298" t="str">
        <f>IF('Lighting Inventory (Ref only)'!Q407="", "", 'Lighting Inventory (Ref only)'!Q407)</f>
        <v/>
      </c>
      <c r="C396" s="298" t="str">
        <f>IF(A396="", "", 'Lighting Inventory (Ref only)'!AO407)</f>
        <v/>
      </c>
      <c r="D396" s="370" t="str">
        <f>IF(B396= "","", Inventory!S404)</f>
        <v/>
      </c>
      <c r="E396" s="371"/>
      <c r="F396" s="298" t="str">
        <f>IF(B396="", "", 'Version Log'!$B$34)</f>
        <v/>
      </c>
      <c r="G396" s="298" t="str">
        <f t="shared" si="24"/>
        <v/>
      </c>
      <c r="H396" s="298" t="str">
        <f t="shared" si="25"/>
        <v/>
      </c>
      <c r="I396" s="298" t="str">
        <f>IF(B396="", "",Inventory!D404)</f>
        <v/>
      </c>
      <c r="J396" s="298" t="str">
        <f>IF(B396="","",IF(Inventory!C404="N","Interior","Exterior"))</f>
        <v/>
      </c>
      <c r="K396" s="298" t="str">
        <f t="shared" si="26"/>
        <v/>
      </c>
      <c r="L396" s="298" t="str">
        <f>IF(B396="", "", Inventory!E404)</f>
        <v/>
      </c>
      <c r="M396" s="298" t="str">
        <f>IF(B396="","",IF(Cool_Type=Lookups!$L$9,Cool_Type,IF(Cool_Type=Lookups!$L$10,Cool_Type,IF(Cool_Type=Lookups!$L$11,Cool_Type,IF(Cool_Type=Lookups!L406,Cool_Type,IF('Project Info and Summary'!$C$20="Electric",CONCATENATE(Cool_Type," ",Heating_Type," Heat"),IF('Project Info and Summary'!$C$20="Non-Electric",CONCATENATE(Cool_Type," ",Heating_Type," Heat"),CONCATENATE(Cool_Type," ",Heating_Type))))))))</f>
        <v/>
      </c>
      <c r="N396" s="298" t="str">
        <f t="shared" si="27"/>
        <v/>
      </c>
      <c r="O396" s="298" t="str">
        <f>IF(B396="", "", 'Lighting Inventory (Ref only)'!G407)</f>
        <v/>
      </c>
      <c r="P396" s="298" t="str">
        <f>IF(B396="", "", 'Lighting Inventory (Ref only)'!E407)</f>
        <v/>
      </c>
      <c r="Q396" s="298" t="str">
        <f>IF(B396="", "", 'Lighting Inventory (Ref only)'!J407)</f>
        <v/>
      </c>
      <c r="R396" s="298" t="str">
        <f>IF(B396="", "",'Lighting Inventory (Ref only)'!K407)</f>
        <v/>
      </c>
      <c r="S396" s="372" t="str">
        <f>IF(B396="", "", 'Lighting Inventory (Ref only)'!G407*'Lighting Inventory (Ref only)'!K407/1000)</f>
        <v/>
      </c>
      <c r="T396" s="298" t="str">
        <f>IF(B396="", "", IF('Lighting Inventory (Ref only)'!I407="", "Light Switch",Inventory!H404))</f>
        <v/>
      </c>
      <c r="W396" s="373"/>
      <c r="X396" s="298" t="str">
        <f>IF(B396="", "", 'Lighting Inventory (Ref only)'!Q407)</f>
        <v/>
      </c>
      <c r="Z396" s="374"/>
      <c r="AA396" s="372" t="str">
        <f>IF(B396="", "",'Lighting Inventory (Ref only)'!R407/1000)</f>
        <v/>
      </c>
      <c r="AB396" s="372" t="str">
        <f>IF(B396="", "", Inventory!M404)</f>
        <v/>
      </c>
      <c r="AC396" s="374" t="str">
        <f>IF(B396="", "", 'Lighting Inventory (Ref only)'!T407)</f>
        <v/>
      </c>
      <c r="AD396" s="374" t="str">
        <f>IF(C396="", "", 'Lighting Inventory (Ref only)'!AA407)</f>
        <v/>
      </c>
      <c r="AE396" s="375" t="str">
        <f>IF(B396="", "", 'Lighting Inventory (Ref only)'!U407)</f>
        <v/>
      </c>
      <c r="AF396" s="375" t="str">
        <f>IF(B396="", "",'Lighting Inventory (Ref only)'!W407)</f>
        <v/>
      </c>
      <c r="AG396" s="375"/>
      <c r="AH396" s="375" t="str">
        <f>IF(B396="", "",'Lighting Inventory (Ref only)'!Z407)</f>
        <v/>
      </c>
      <c r="AI396" s="375" t="str">
        <f>IF(B396="", "", 'Lighting Inventory (Ref only)'!Y407)</f>
        <v/>
      </c>
      <c r="AJ396" s="375" t="str">
        <f>IF(C396="", "",'Lighting Inventory (Ref only)'!AB407)</f>
        <v/>
      </c>
      <c r="AK396" s="375" t="str">
        <f>IF(B396="", "", 'Lighting Inventory (Ref only)'!AG407)</f>
        <v/>
      </c>
      <c r="AL396" s="375" t="str">
        <f>IF(B396="", "", 'Lighting Inventory (Ref only)'!AD407)</f>
        <v/>
      </c>
      <c r="AM396" s="375" t="str">
        <f>IF(B396="", "", 'Lighting Inventory (Ref only)'!AE407)</f>
        <v/>
      </c>
      <c r="AN396" s="375" t="str">
        <f>IF(B396="", "", 'Lighting Inventory (Ref only)'!AF407)</f>
        <v/>
      </c>
      <c r="AO396" s="375" t="str">
        <f>IF(B396="", "", 'Lighting Inventory (Ref only)'!AG407)</f>
        <v/>
      </c>
    </row>
    <row r="397" spans="1:41">
      <c r="A397" s="298" t="str">
        <f>IF(G397="", "", Lookups!BF399)</f>
        <v/>
      </c>
      <c r="B397" s="298" t="str">
        <f>IF('Lighting Inventory (Ref only)'!Q408="", "", 'Lighting Inventory (Ref only)'!Q408)</f>
        <v/>
      </c>
      <c r="C397" s="298" t="str">
        <f>IF(A397="", "", 'Lighting Inventory (Ref only)'!AO408)</f>
        <v/>
      </c>
      <c r="D397" s="370" t="str">
        <f>IF(B397= "","", Inventory!S405)</f>
        <v/>
      </c>
      <c r="E397" s="371"/>
      <c r="F397" s="298" t="str">
        <f>IF(B397="", "", 'Version Log'!$B$34)</f>
        <v/>
      </c>
      <c r="G397" s="298" t="str">
        <f t="shared" si="24"/>
        <v/>
      </c>
      <c r="H397" s="298" t="str">
        <f t="shared" si="25"/>
        <v/>
      </c>
      <c r="I397" s="298" t="str">
        <f>IF(B397="", "",Inventory!D405)</f>
        <v/>
      </c>
      <c r="J397" s="298" t="str">
        <f>IF(B397="","",IF(Inventory!C405="N","Interior","Exterior"))</f>
        <v/>
      </c>
      <c r="K397" s="298" t="str">
        <f t="shared" si="26"/>
        <v/>
      </c>
      <c r="L397" s="298" t="str">
        <f>IF(B397="", "", Inventory!E405)</f>
        <v/>
      </c>
      <c r="M397" s="298" t="str">
        <f>IF(B397="","",IF(Cool_Type=Lookups!$L$9,Cool_Type,IF(Cool_Type=Lookups!$L$10,Cool_Type,IF(Cool_Type=Lookups!$L$11,Cool_Type,IF(Cool_Type=Lookups!L407,Cool_Type,IF('Project Info and Summary'!$C$20="Electric",CONCATENATE(Cool_Type," ",Heating_Type," Heat"),IF('Project Info and Summary'!$C$20="Non-Electric",CONCATENATE(Cool_Type," ",Heating_Type," Heat"),CONCATENATE(Cool_Type," ",Heating_Type))))))))</f>
        <v/>
      </c>
      <c r="N397" s="298" t="str">
        <f t="shared" si="27"/>
        <v/>
      </c>
      <c r="O397" s="298" t="str">
        <f>IF(B397="", "", 'Lighting Inventory (Ref only)'!G408)</f>
        <v/>
      </c>
      <c r="P397" s="298" t="str">
        <f>IF(B397="", "", 'Lighting Inventory (Ref only)'!E408)</f>
        <v/>
      </c>
      <c r="Q397" s="298" t="str">
        <f>IF(B397="", "", 'Lighting Inventory (Ref only)'!J408)</f>
        <v/>
      </c>
      <c r="R397" s="298" t="str">
        <f>IF(B397="", "",'Lighting Inventory (Ref only)'!K408)</f>
        <v/>
      </c>
      <c r="S397" s="372" t="str">
        <f>IF(B397="", "", 'Lighting Inventory (Ref only)'!G408*'Lighting Inventory (Ref only)'!K408/1000)</f>
        <v/>
      </c>
      <c r="T397" s="298" t="str">
        <f>IF(B397="", "", IF('Lighting Inventory (Ref only)'!I408="", "Light Switch",Inventory!H405))</f>
        <v/>
      </c>
      <c r="W397" s="373"/>
      <c r="X397" s="298" t="str">
        <f>IF(B397="", "", 'Lighting Inventory (Ref only)'!Q408)</f>
        <v/>
      </c>
      <c r="Z397" s="374"/>
      <c r="AA397" s="372" t="str">
        <f>IF(B397="", "",'Lighting Inventory (Ref only)'!R408/1000)</f>
        <v/>
      </c>
      <c r="AB397" s="372" t="str">
        <f>IF(B397="", "", Inventory!M405)</f>
        <v/>
      </c>
      <c r="AC397" s="374" t="str">
        <f>IF(B397="", "", 'Lighting Inventory (Ref only)'!T408)</f>
        <v/>
      </c>
      <c r="AD397" s="374" t="str">
        <f>IF(C397="", "", 'Lighting Inventory (Ref only)'!AA408)</f>
        <v/>
      </c>
      <c r="AE397" s="375" t="str">
        <f>IF(B397="", "", 'Lighting Inventory (Ref only)'!U408)</f>
        <v/>
      </c>
      <c r="AF397" s="375" t="str">
        <f>IF(B397="", "",'Lighting Inventory (Ref only)'!W408)</f>
        <v/>
      </c>
      <c r="AG397" s="375"/>
      <c r="AH397" s="375" t="str">
        <f>IF(B397="", "",'Lighting Inventory (Ref only)'!Z408)</f>
        <v/>
      </c>
      <c r="AI397" s="375" t="str">
        <f>IF(B397="", "", 'Lighting Inventory (Ref only)'!Y408)</f>
        <v/>
      </c>
      <c r="AJ397" s="375" t="str">
        <f>IF(C397="", "",'Lighting Inventory (Ref only)'!AB408)</f>
        <v/>
      </c>
      <c r="AK397" s="375" t="str">
        <f>IF(B397="", "", 'Lighting Inventory (Ref only)'!AG408)</f>
        <v/>
      </c>
      <c r="AL397" s="375" t="str">
        <f>IF(B397="", "", 'Lighting Inventory (Ref only)'!AD408)</f>
        <v/>
      </c>
      <c r="AM397" s="375" t="str">
        <f>IF(B397="", "", 'Lighting Inventory (Ref only)'!AE408)</f>
        <v/>
      </c>
      <c r="AN397" s="375" t="str">
        <f>IF(B397="", "", 'Lighting Inventory (Ref only)'!AF408)</f>
        <v/>
      </c>
      <c r="AO397" s="375" t="str">
        <f>IF(B397="", "", 'Lighting Inventory (Ref only)'!AG408)</f>
        <v/>
      </c>
    </row>
    <row r="398" spans="1:41">
      <c r="A398" s="298" t="str">
        <f>IF(G398="", "", Lookups!BF400)</f>
        <v/>
      </c>
      <c r="B398" s="298" t="str">
        <f>IF('Lighting Inventory (Ref only)'!Q409="", "", 'Lighting Inventory (Ref only)'!Q409)</f>
        <v/>
      </c>
      <c r="C398" s="298" t="str">
        <f>IF(A398="", "", 'Lighting Inventory (Ref only)'!AO409)</f>
        <v/>
      </c>
      <c r="D398" s="370" t="str">
        <f>IF(B398= "","", Inventory!S406)</f>
        <v/>
      </c>
      <c r="E398" s="371"/>
      <c r="F398" s="298" t="str">
        <f>IF(B398="", "", 'Version Log'!$B$34)</f>
        <v/>
      </c>
      <c r="G398" s="298" t="str">
        <f t="shared" si="24"/>
        <v/>
      </c>
      <c r="H398" s="298" t="str">
        <f t="shared" si="25"/>
        <v/>
      </c>
      <c r="I398" s="298" t="str">
        <f>IF(B398="", "",Inventory!D406)</f>
        <v/>
      </c>
      <c r="J398" s="298" t="str">
        <f>IF(B398="","",IF(Inventory!C406="N","Interior","Exterior"))</f>
        <v/>
      </c>
      <c r="K398" s="298" t="str">
        <f t="shared" si="26"/>
        <v/>
      </c>
      <c r="L398" s="298" t="str">
        <f>IF(B398="", "", Inventory!E406)</f>
        <v/>
      </c>
      <c r="M398" s="298" t="str">
        <f>IF(B398="","",IF(Cool_Type=Lookups!$L$9,Cool_Type,IF(Cool_Type=Lookups!$L$10,Cool_Type,IF(Cool_Type=Lookups!$L$11,Cool_Type,IF(Cool_Type=Lookups!L408,Cool_Type,IF('Project Info and Summary'!$C$20="Electric",CONCATENATE(Cool_Type," ",Heating_Type," Heat"),IF('Project Info and Summary'!$C$20="Non-Electric",CONCATENATE(Cool_Type," ",Heating_Type," Heat"),CONCATENATE(Cool_Type," ",Heating_Type))))))))</f>
        <v/>
      </c>
      <c r="N398" s="298" t="str">
        <f t="shared" si="27"/>
        <v/>
      </c>
      <c r="O398" s="298" t="str">
        <f>IF(B398="", "", 'Lighting Inventory (Ref only)'!G409)</f>
        <v/>
      </c>
      <c r="P398" s="298" t="str">
        <f>IF(B398="", "", 'Lighting Inventory (Ref only)'!E409)</f>
        <v/>
      </c>
      <c r="Q398" s="298" t="str">
        <f>IF(B398="", "", 'Lighting Inventory (Ref only)'!J409)</f>
        <v/>
      </c>
      <c r="R398" s="298" t="str">
        <f>IF(B398="", "",'Lighting Inventory (Ref only)'!K409)</f>
        <v/>
      </c>
      <c r="S398" s="372" t="str">
        <f>IF(B398="", "", 'Lighting Inventory (Ref only)'!G409*'Lighting Inventory (Ref only)'!K409/1000)</f>
        <v/>
      </c>
      <c r="T398" s="298" t="str">
        <f>IF(B398="", "", IF('Lighting Inventory (Ref only)'!I409="", "Light Switch",Inventory!H406))</f>
        <v/>
      </c>
      <c r="W398" s="373"/>
      <c r="X398" s="298" t="str">
        <f>IF(B398="", "", 'Lighting Inventory (Ref only)'!Q409)</f>
        <v/>
      </c>
      <c r="Z398" s="374"/>
      <c r="AA398" s="372" t="str">
        <f>IF(B398="", "",'Lighting Inventory (Ref only)'!R409/1000)</f>
        <v/>
      </c>
      <c r="AB398" s="372" t="str">
        <f>IF(B398="", "", Inventory!M406)</f>
        <v/>
      </c>
      <c r="AC398" s="374" t="str">
        <f>IF(B398="", "", 'Lighting Inventory (Ref only)'!T409)</f>
        <v/>
      </c>
      <c r="AD398" s="374" t="str">
        <f>IF(C398="", "", 'Lighting Inventory (Ref only)'!AA409)</f>
        <v/>
      </c>
      <c r="AE398" s="375" t="str">
        <f>IF(B398="", "", 'Lighting Inventory (Ref only)'!U409)</f>
        <v/>
      </c>
      <c r="AF398" s="375" t="str">
        <f>IF(B398="", "",'Lighting Inventory (Ref only)'!W409)</f>
        <v/>
      </c>
      <c r="AG398" s="375"/>
      <c r="AH398" s="375" t="str">
        <f>IF(B398="", "",'Lighting Inventory (Ref only)'!Z409)</f>
        <v/>
      </c>
      <c r="AI398" s="375" t="str">
        <f>IF(B398="", "", 'Lighting Inventory (Ref only)'!Y409)</f>
        <v/>
      </c>
      <c r="AJ398" s="375" t="str">
        <f>IF(C398="", "",'Lighting Inventory (Ref only)'!AB409)</f>
        <v/>
      </c>
      <c r="AK398" s="375" t="str">
        <f>IF(B398="", "", 'Lighting Inventory (Ref only)'!AG409)</f>
        <v/>
      </c>
      <c r="AL398" s="375" t="str">
        <f>IF(B398="", "", 'Lighting Inventory (Ref only)'!AD409)</f>
        <v/>
      </c>
      <c r="AM398" s="375" t="str">
        <f>IF(B398="", "", 'Lighting Inventory (Ref only)'!AE409)</f>
        <v/>
      </c>
      <c r="AN398" s="375" t="str">
        <f>IF(B398="", "", 'Lighting Inventory (Ref only)'!AF409)</f>
        <v/>
      </c>
      <c r="AO398" s="375" t="str">
        <f>IF(B398="", "", 'Lighting Inventory (Ref only)'!AG409)</f>
        <v/>
      </c>
    </row>
    <row r="399" spans="1:41">
      <c r="A399" s="298" t="str">
        <f>IF(G399="", "", Lookups!BF401)</f>
        <v/>
      </c>
      <c r="B399" s="298" t="str">
        <f>IF('Lighting Inventory (Ref only)'!Q410="", "", 'Lighting Inventory (Ref only)'!Q410)</f>
        <v/>
      </c>
      <c r="C399" s="298" t="str">
        <f>IF(A399="", "", 'Lighting Inventory (Ref only)'!AO410)</f>
        <v/>
      </c>
      <c r="D399" s="370" t="str">
        <f>IF(B399= "","", Inventory!S407)</f>
        <v/>
      </c>
      <c r="E399" s="371"/>
      <c r="F399" s="298" t="str">
        <f>IF(B399="", "", 'Version Log'!$B$34)</f>
        <v/>
      </c>
      <c r="G399" s="298" t="str">
        <f t="shared" si="24"/>
        <v/>
      </c>
      <c r="H399" s="298" t="str">
        <f t="shared" si="25"/>
        <v/>
      </c>
      <c r="I399" s="298" t="str">
        <f>IF(B399="", "",Inventory!D407)</f>
        <v/>
      </c>
      <c r="J399" s="298" t="str">
        <f>IF(B399="","",IF(Inventory!C407="N","Interior","Exterior"))</f>
        <v/>
      </c>
      <c r="K399" s="298" t="str">
        <f t="shared" si="26"/>
        <v/>
      </c>
      <c r="L399" s="298" t="str">
        <f>IF(B399="", "", Inventory!E407)</f>
        <v/>
      </c>
      <c r="M399" s="298" t="str">
        <f>IF(B399="","",IF(Cool_Type=Lookups!$L$9,Cool_Type,IF(Cool_Type=Lookups!$L$10,Cool_Type,IF(Cool_Type=Lookups!$L$11,Cool_Type,IF(Cool_Type=Lookups!L409,Cool_Type,IF('Project Info and Summary'!$C$20="Electric",CONCATENATE(Cool_Type," ",Heating_Type," Heat"),IF('Project Info and Summary'!$C$20="Non-Electric",CONCATENATE(Cool_Type," ",Heating_Type," Heat"),CONCATENATE(Cool_Type," ",Heating_Type))))))))</f>
        <v/>
      </c>
      <c r="N399" s="298" t="str">
        <f t="shared" si="27"/>
        <v/>
      </c>
      <c r="O399" s="298" t="str">
        <f>IF(B399="", "", 'Lighting Inventory (Ref only)'!G410)</f>
        <v/>
      </c>
      <c r="P399" s="298" t="str">
        <f>IF(B399="", "", 'Lighting Inventory (Ref only)'!E410)</f>
        <v/>
      </c>
      <c r="Q399" s="298" t="str">
        <f>IF(B399="", "", 'Lighting Inventory (Ref only)'!J410)</f>
        <v/>
      </c>
      <c r="R399" s="298" t="str">
        <f>IF(B399="", "",'Lighting Inventory (Ref only)'!K410)</f>
        <v/>
      </c>
      <c r="S399" s="372" t="str">
        <f>IF(B399="", "", 'Lighting Inventory (Ref only)'!G410*'Lighting Inventory (Ref only)'!K410/1000)</f>
        <v/>
      </c>
      <c r="T399" s="298" t="str">
        <f>IF(B399="", "", IF('Lighting Inventory (Ref only)'!I410="", "Light Switch",Inventory!H407))</f>
        <v/>
      </c>
      <c r="W399" s="373"/>
      <c r="X399" s="298" t="str">
        <f>IF(B399="", "", 'Lighting Inventory (Ref only)'!Q410)</f>
        <v/>
      </c>
      <c r="Z399" s="374"/>
      <c r="AA399" s="372" t="str">
        <f>IF(B399="", "",'Lighting Inventory (Ref only)'!R410/1000)</f>
        <v/>
      </c>
      <c r="AB399" s="372" t="str">
        <f>IF(B399="", "", Inventory!M407)</f>
        <v/>
      </c>
      <c r="AC399" s="374" t="str">
        <f>IF(B399="", "", 'Lighting Inventory (Ref only)'!T410)</f>
        <v/>
      </c>
      <c r="AD399" s="374" t="str">
        <f>IF(C399="", "", 'Lighting Inventory (Ref only)'!AA410)</f>
        <v/>
      </c>
      <c r="AE399" s="375" t="str">
        <f>IF(B399="", "", 'Lighting Inventory (Ref only)'!U410)</f>
        <v/>
      </c>
      <c r="AF399" s="375" t="str">
        <f>IF(B399="", "",'Lighting Inventory (Ref only)'!W410)</f>
        <v/>
      </c>
      <c r="AG399" s="375"/>
      <c r="AH399" s="375" t="str">
        <f>IF(B399="", "",'Lighting Inventory (Ref only)'!Z410)</f>
        <v/>
      </c>
      <c r="AI399" s="375" t="str">
        <f>IF(B399="", "", 'Lighting Inventory (Ref only)'!Y410)</f>
        <v/>
      </c>
      <c r="AJ399" s="375" t="str">
        <f>IF(C399="", "",'Lighting Inventory (Ref only)'!AB410)</f>
        <v/>
      </c>
      <c r="AK399" s="375" t="str">
        <f>IF(B399="", "", 'Lighting Inventory (Ref only)'!AG410)</f>
        <v/>
      </c>
      <c r="AL399" s="375" t="str">
        <f>IF(B399="", "", 'Lighting Inventory (Ref only)'!AD410)</f>
        <v/>
      </c>
      <c r="AM399" s="375" t="str">
        <f>IF(B399="", "", 'Lighting Inventory (Ref only)'!AE410)</f>
        <v/>
      </c>
      <c r="AN399" s="375" t="str">
        <f>IF(B399="", "", 'Lighting Inventory (Ref only)'!AF410)</f>
        <v/>
      </c>
      <c r="AO399" s="375" t="str">
        <f>IF(B399="", "", 'Lighting Inventory (Ref only)'!AG410)</f>
        <v/>
      </c>
    </row>
    <row r="400" spans="1:41">
      <c r="A400" s="298" t="str">
        <f>IF(G400="", "", Lookups!BF402)</f>
        <v/>
      </c>
      <c r="B400" s="298" t="str">
        <f>IF('Lighting Inventory (Ref only)'!Q411="", "", 'Lighting Inventory (Ref only)'!Q411)</f>
        <v/>
      </c>
      <c r="C400" s="298" t="str">
        <f>IF(A400="", "", 'Lighting Inventory (Ref only)'!AO411)</f>
        <v/>
      </c>
      <c r="D400" s="370" t="str">
        <f>IF(B400= "","", Inventory!S408)</f>
        <v/>
      </c>
      <c r="E400" s="371"/>
      <c r="F400" s="298" t="str">
        <f>IF(B400="", "", 'Version Log'!$B$34)</f>
        <v/>
      </c>
      <c r="G400" s="298" t="str">
        <f t="shared" si="24"/>
        <v/>
      </c>
      <c r="H400" s="298" t="str">
        <f t="shared" si="25"/>
        <v/>
      </c>
      <c r="I400" s="298" t="str">
        <f>IF(B400="", "",Inventory!D408)</f>
        <v/>
      </c>
      <c r="J400" s="298" t="str">
        <f>IF(B400="","",IF(Inventory!C408="N","Interior","Exterior"))</f>
        <v/>
      </c>
      <c r="K400" s="298" t="str">
        <f t="shared" si="26"/>
        <v/>
      </c>
      <c r="L400" s="298" t="str">
        <f>IF(B400="", "", Inventory!E408)</f>
        <v/>
      </c>
      <c r="M400" s="298" t="str">
        <f>IF(B400="","",IF(Cool_Type=Lookups!$L$9,Cool_Type,IF(Cool_Type=Lookups!$L$10,Cool_Type,IF(Cool_Type=Lookups!$L$11,Cool_Type,IF(Cool_Type=Lookups!L410,Cool_Type,IF('Project Info and Summary'!$C$20="Electric",CONCATENATE(Cool_Type," ",Heating_Type," Heat"),IF('Project Info and Summary'!$C$20="Non-Electric",CONCATENATE(Cool_Type," ",Heating_Type," Heat"),CONCATENATE(Cool_Type," ",Heating_Type))))))))</f>
        <v/>
      </c>
      <c r="N400" s="298" t="str">
        <f t="shared" si="27"/>
        <v/>
      </c>
      <c r="O400" s="298" t="str">
        <f>IF(B400="", "", 'Lighting Inventory (Ref only)'!G411)</f>
        <v/>
      </c>
      <c r="P400" s="298" t="str">
        <f>IF(B400="", "", 'Lighting Inventory (Ref only)'!E411)</f>
        <v/>
      </c>
      <c r="Q400" s="298" t="str">
        <f>IF(B400="", "", 'Lighting Inventory (Ref only)'!J411)</f>
        <v/>
      </c>
      <c r="R400" s="298" t="str">
        <f>IF(B400="", "",'Lighting Inventory (Ref only)'!K411)</f>
        <v/>
      </c>
      <c r="S400" s="372" t="str">
        <f>IF(B400="", "", 'Lighting Inventory (Ref only)'!G411*'Lighting Inventory (Ref only)'!K411/1000)</f>
        <v/>
      </c>
      <c r="T400" s="298" t="str">
        <f>IF(B400="", "", IF('Lighting Inventory (Ref only)'!I411="", "Light Switch",Inventory!H408))</f>
        <v/>
      </c>
      <c r="W400" s="373"/>
      <c r="X400" s="298" t="str">
        <f>IF(B400="", "", 'Lighting Inventory (Ref only)'!Q411)</f>
        <v/>
      </c>
      <c r="Z400" s="374"/>
      <c r="AA400" s="372" t="str">
        <f>IF(B400="", "",'Lighting Inventory (Ref only)'!R411/1000)</f>
        <v/>
      </c>
      <c r="AB400" s="372" t="str">
        <f>IF(B400="", "", Inventory!M408)</f>
        <v/>
      </c>
      <c r="AC400" s="374" t="str">
        <f>IF(B400="", "", 'Lighting Inventory (Ref only)'!T411)</f>
        <v/>
      </c>
      <c r="AD400" s="374" t="str">
        <f>IF(C400="", "", 'Lighting Inventory (Ref only)'!AA411)</f>
        <v/>
      </c>
      <c r="AE400" s="375" t="str">
        <f>IF(B400="", "", 'Lighting Inventory (Ref only)'!U411)</f>
        <v/>
      </c>
      <c r="AF400" s="375" t="str">
        <f>IF(B400="", "",'Lighting Inventory (Ref only)'!W411)</f>
        <v/>
      </c>
      <c r="AG400" s="375"/>
      <c r="AH400" s="375" t="str">
        <f>IF(B400="", "",'Lighting Inventory (Ref only)'!Z411)</f>
        <v/>
      </c>
      <c r="AI400" s="375" t="str">
        <f>IF(B400="", "", 'Lighting Inventory (Ref only)'!Y411)</f>
        <v/>
      </c>
      <c r="AJ400" s="375" t="str">
        <f>IF(C400="", "",'Lighting Inventory (Ref only)'!AB411)</f>
        <v/>
      </c>
      <c r="AK400" s="375" t="str">
        <f>IF(B400="", "", 'Lighting Inventory (Ref only)'!AG411)</f>
        <v/>
      </c>
      <c r="AL400" s="375" t="str">
        <f>IF(B400="", "", 'Lighting Inventory (Ref only)'!AD411)</f>
        <v/>
      </c>
      <c r="AM400" s="375" t="str">
        <f>IF(B400="", "", 'Lighting Inventory (Ref only)'!AE411)</f>
        <v/>
      </c>
      <c r="AN400" s="375" t="str">
        <f>IF(B400="", "", 'Lighting Inventory (Ref only)'!AF411)</f>
        <v/>
      </c>
      <c r="AO400" s="375" t="str">
        <f>IF(B400="", "", 'Lighting Inventory (Ref only)'!AG411)</f>
        <v/>
      </c>
    </row>
    <row r="401" spans="1:41">
      <c r="A401" s="298" t="str">
        <f>IF(G401="", "", Lookups!BF403)</f>
        <v/>
      </c>
      <c r="B401" s="298" t="str">
        <f>IF('Lighting Inventory (Ref only)'!Q412="", "", 'Lighting Inventory (Ref only)'!Q412)</f>
        <v/>
      </c>
      <c r="C401" s="298" t="str">
        <f>IF(A401="", "", 'Lighting Inventory (Ref only)'!AO412)</f>
        <v/>
      </c>
      <c r="D401" s="370" t="str">
        <f>IF(B401= "","", Inventory!S409)</f>
        <v/>
      </c>
      <c r="E401" s="371"/>
      <c r="F401" s="298" t="str">
        <f>IF(B401="", "", 'Version Log'!$B$34)</f>
        <v/>
      </c>
      <c r="G401" s="298" t="str">
        <f t="shared" si="24"/>
        <v/>
      </c>
      <c r="H401" s="298" t="str">
        <f t="shared" si="25"/>
        <v/>
      </c>
      <c r="I401" s="298" t="str">
        <f>IF(B401="", "",Inventory!D409)</f>
        <v/>
      </c>
      <c r="J401" s="298" t="str">
        <f>IF(B401="","",IF(Inventory!C409="N","Interior","Exterior"))</f>
        <v/>
      </c>
      <c r="K401" s="298" t="str">
        <f t="shared" si="26"/>
        <v/>
      </c>
      <c r="L401" s="298" t="str">
        <f>IF(B401="", "", Inventory!E409)</f>
        <v/>
      </c>
      <c r="M401" s="298" t="str">
        <f>IF(B401="","",IF(Cool_Type=Lookups!$L$9,Cool_Type,IF(Cool_Type=Lookups!$L$10,Cool_Type,IF(Cool_Type=Lookups!$L$11,Cool_Type,IF(Cool_Type=Lookups!L411,Cool_Type,IF('Project Info and Summary'!$C$20="Electric",CONCATENATE(Cool_Type," ",Heating_Type," Heat"),IF('Project Info and Summary'!$C$20="Non-Electric",CONCATENATE(Cool_Type," ",Heating_Type," Heat"),CONCATENATE(Cool_Type," ",Heating_Type))))))))</f>
        <v/>
      </c>
      <c r="N401" s="298" t="str">
        <f t="shared" si="27"/>
        <v/>
      </c>
      <c r="O401" s="298" t="str">
        <f>IF(B401="", "", 'Lighting Inventory (Ref only)'!G412)</f>
        <v/>
      </c>
      <c r="P401" s="298" t="str">
        <f>IF(B401="", "", 'Lighting Inventory (Ref only)'!E412)</f>
        <v/>
      </c>
      <c r="Q401" s="298" t="str">
        <f>IF(B401="", "", 'Lighting Inventory (Ref only)'!J412)</f>
        <v/>
      </c>
      <c r="R401" s="298" t="str">
        <f>IF(B401="", "",'Lighting Inventory (Ref only)'!K412)</f>
        <v/>
      </c>
      <c r="S401" s="372" t="str">
        <f>IF(B401="", "", 'Lighting Inventory (Ref only)'!G412*'Lighting Inventory (Ref only)'!K412/1000)</f>
        <v/>
      </c>
      <c r="T401" s="298" t="str">
        <f>IF(B401="", "", IF('Lighting Inventory (Ref only)'!I412="", "Light Switch",Inventory!H409))</f>
        <v/>
      </c>
      <c r="W401" s="373"/>
      <c r="X401" s="298" t="str">
        <f>IF(B401="", "", 'Lighting Inventory (Ref only)'!Q412)</f>
        <v/>
      </c>
      <c r="Z401" s="374"/>
      <c r="AA401" s="372" t="str">
        <f>IF(B401="", "",'Lighting Inventory (Ref only)'!R412/1000)</f>
        <v/>
      </c>
      <c r="AB401" s="372" t="str">
        <f>IF(B401="", "", Inventory!M409)</f>
        <v/>
      </c>
      <c r="AC401" s="374" t="str">
        <f>IF(B401="", "", 'Lighting Inventory (Ref only)'!T412)</f>
        <v/>
      </c>
      <c r="AD401" s="374" t="str">
        <f>IF(C401="", "", 'Lighting Inventory (Ref only)'!AA412)</f>
        <v/>
      </c>
      <c r="AE401" s="375" t="str">
        <f>IF(B401="", "", 'Lighting Inventory (Ref only)'!U412)</f>
        <v/>
      </c>
      <c r="AF401" s="375" t="str">
        <f>IF(B401="", "",'Lighting Inventory (Ref only)'!W412)</f>
        <v/>
      </c>
      <c r="AG401" s="375"/>
      <c r="AH401" s="375" t="str">
        <f>IF(B401="", "",'Lighting Inventory (Ref only)'!Z412)</f>
        <v/>
      </c>
      <c r="AI401" s="375" t="str">
        <f>IF(B401="", "", 'Lighting Inventory (Ref only)'!Y412)</f>
        <v/>
      </c>
      <c r="AJ401" s="375" t="str">
        <f>IF(C401="", "",'Lighting Inventory (Ref only)'!AB412)</f>
        <v/>
      </c>
      <c r="AK401" s="375" t="str">
        <f>IF(B401="", "", 'Lighting Inventory (Ref only)'!AG412)</f>
        <v/>
      </c>
      <c r="AL401" s="375" t="str">
        <f>IF(B401="", "", 'Lighting Inventory (Ref only)'!AD412)</f>
        <v/>
      </c>
      <c r="AM401" s="375" t="str">
        <f>IF(B401="", "", 'Lighting Inventory (Ref only)'!AE412)</f>
        <v/>
      </c>
      <c r="AN401" s="375" t="str">
        <f>IF(B401="", "", 'Lighting Inventory (Ref only)'!AF412)</f>
        <v/>
      </c>
      <c r="AO401" s="375" t="str">
        <f>IF(B401="", "", 'Lighting Inventory (Ref only)'!AG412)</f>
        <v/>
      </c>
    </row>
    <row r="402" spans="1:41">
      <c r="A402" s="298" t="str">
        <f>IF(G402="", "", Lookups!BF404)</f>
        <v/>
      </c>
      <c r="B402" s="298" t="str">
        <f>IF('Lighting Inventory (Ref only)'!Q413="", "", 'Lighting Inventory (Ref only)'!Q413)</f>
        <v/>
      </c>
      <c r="C402" s="298" t="str">
        <f>IF(A402="", "", 'Lighting Inventory (Ref only)'!AO413)</f>
        <v/>
      </c>
      <c r="D402" s="370" t="str">
        <f>IF(B402= "","", Inventory!S410)</f>
        <v/>
      </c>
      <c r="E402" s="371"/>
      <c r="F402" s="298" t="str">
        <f>IF(B402="", "", 'Version Log'!$B$34)</f>
        <v/>
      </c>
      <c r="G402" s="298" t="str">
        <f t="shared" si="24"/>
        <v/>
      </c>
      <c r="H402" s="298" t="str">
        <f t="shared" si="25"/>
        <v/>
      </c>
      <c r="I402" s="298" t="str">
        <f>IF(B402="", "",Inventory!D410)</f>
        <v/>
      </c>
      <c r="J402" s="298" t="str">
        <f>IF(B402="","",IF(Inventory!C410="N","Interior","Exterior"))</f>
        <v/>
      </c>
      <c r="K402" s="298" t="str">
        <f t="shared" si="26"/>
        <v/>
      </c>
      <c r="L402" s="298" t="str">
        <f>IF(B402="", "", Inventory!E410)</f>
        <v/>
      </c>
      <c r="M402" s="298" t="str">
        <f>IF(B402="","",IF(Cool_Type=Lookups!$L$9,Cool_Type,IF(Cool_Type=Lookups!$L$10,Cool_Type,IF(Cool_Type=Lookups!$L$11,Cool_Type,IF(Cool_Type=Lookups!L412,Cool_Type,IF('Project Info and Summary'!$C$20="Electric",CONCATENATE(Cool_Type," ",Heating_Type," Heat"),IF('Project Info and Summary'!$C$20="Non-Electric",CONCATENATE(Cool_Type," ",Heating_Type," Heat"),CONCATENATE(Cool_Type," ",Heating_Type))))))))</f>
        <v/>
      </c>
      <c r="N402" s="298" t="str">
        <f t="shared" si="27"/>
        <v/>
      </c>
      <c r="O402" s="298" t="str">
        <f>IF(B402="", "", 'Lighting Inventory (Ref only)'!G413)</f>
        <v/>
      </c>
      <c r="P402" s="298" t="str">
        <f>IF(B402="", "", 'Lighting Inventory (Ref only)'!E413)</f>
        <v/>
      </c>
      <c r="Q402" s="298" t="str">
        <f>IF(B402="", "", 'Lighting Inventory (Ref only)'!J413)</f>
        <v/>
      </c>
      <c r="R402" s="298" t="str">
        <f>IF(B402="", "",'Lighting Inventory (Ref only)'!K413)</f>
        <v/>
      </c>
      <c r="S402" s="372" t="str">
        <f>IF(B402="", "", 'Lighting Inventory (Ref only)'!G413*'Lighting Inventory (Ref only)'!K413/1000)</f>
        <v/>
      </c>
      <c r="T402" s="298" t="str">
        <f>IF(B402="", "", IF('Lighting Inventory (Ref only)'!I413="", "Light Switch",Inventory!H410))</f>
        <v/>
      </c>
      <c r="W402" s="373"/>
      <c r="X402" s="298" t="str">
        <f>IF(B402="", "", 'Lighting Inventory (Ref only)'!Q413)</f>
        <v/>
      </c>
      <c r="Z402" s="374"/>
      <c r="AA402" s="372" t="str">
        <f>IF(B402="", "",'Lighting Inventory (Ref only)'!R413/1000)</f>
        <v/>
      </c>
      <c r="AB402" s="372" t="str">
        <f>IF(B402="", "", Inventory!M410)</f>
        <v/>
      </c>
      <c r="AC402" s="374" t="str">
        <f>IF(B402="", "", 'Lighting Inventory (Ref only)'!T413)</f>
        <v/>
      </c>
      <c r="AD402" s="374" t="str">
        <f>IF(C402="", "", 'Lighting Inventory (Ref only)'!AA413)</f>
        <v/>
      </c>
      <c r="AE402" s="375" t="str">
        <f>IF(B402="", "", 'Lighting Inventory (Ref only)'!U413)</f>
        <v/>
      </c>
      <c r="AF402" s="375" t="str">
        <f>IF(B402="", "",'Lighting Inventory (Ref only)'!W413)</f>
        <v/>
      </c>
      <c r="AG402" s="375"/>
      <c r="AH402" s="375" t="str">
        <f>IF(B402="", "",'Lighting Inventory (Ref only)'!Z413)</f>
        <v/>
      </c>
      <c r="AI402" s="375" t="str">
        <f>IF(B402="", "", 'Lighting Inventory (Ref only)'!Y413)</f>
        <v/>
      </c>
      <c r="AJ402" s="375" t="str">
        <f>IF(C402="", "",'Lighting Inventory (Ref only)'!AB413)</f>
        <v/>
      </c>
      <c r="AK402" s="375" t="str">
        <f>IF(B402="", "", 'Lighting Inventory (Ref only)'!AG413)</f>
        <v/>
      </c>
      <c r="AL402" s="375" t="str">
        <f>IF(B402="", "", 'Lighting Inventory (Ref only)'!AD413)</f>
        <v/>
      </c>
      <c r="AM402" s="375" t="str">
        <f>IF(B402="", "", 'Lighting Inventory (Ref only)'!AE413)</f>
        <v/>
      </c>
      <c r="AN402" s="375" t="str">
        <f>IF(B402="", "", 'Lighting Inventory (Ref only)'!AF413)</f>
        <v/>
      </c>
      <c r="AO402" s="375" t="str">
        <f>IF(B402="", "", 'Lighting Inventory (Ref only)'!AG413)</f>
        <v/>
      </c>
    </row>
    <row r="403" spans="1:41">
      <c r="A403" s="298" t="str">
        <f>IF(G403="", "", Lookups!BF405)</f>
        <v/>
      </c>
      <c r="B403" s="298" t="str">
        <f>IF('Lighting Inventory (Ref only)'!Q414="", "", 'Lighting Inventory (Ref only)'!Q414)</f>
        <v/>
      </c>
      <c r="C403" s="298" t="str">
        <f>IF(A403="", "", 'Lighting Inventory (Ref only)'!AO414)</f>
        <v/>
      </c>
      <c r="D403" s="370" t="str">
        <f>IF(B403= "","", Inventory!S411)</f>
        <v/>
      </c>
      <c r="E403" s="371"/>
      <c r="F403" s="298" t="str">
        <f>IF(B403="", "", 'Version Log'!$B$34)</f>
        <v/>
      </c>
      <c r="G403" s="298" t="str">
        <f t="shared" si="24"/>
        <v/>
      </c>
      <c r="H403" s="298" t="str">
        <f t="shared" si="25"/>
        <v/>
      </c>
      <c r="I403" s="298" t="str">
        <f>IF(B403="", "",Inventory!D411)</f>
        <v/>
      </c>
      <c r="J403" s="298" t="str">
        <f>IF(B403="","",IF(Inventory!C411="N","Interior","Exterior"))</f>
        <v/>
      </c>
      <c r="K403" s="298" t="str">
        <f t="shared" si="26"/>
        <v/>
      </c>
      <c r="L403" s="298" t="str">
        <f>IF(B403="", "", Inventory!E411)</f>
        <v/>
      </c>
      <c r="M403" s="298" t="str">
        <f>IF(B403="","",IF(Cool_Type=Lookups!$L$9,Cool_Type,IF(Cool_Type=Lookups!$L$10,Cool_Type,IF(Cool_Type=Lookups!$L$11,Cool_Type,IF(Cool_Type=Lookups!L413,Cool_Type,IF('Project Info and Summary'!$C$20="Electric",CONCATENATE(Cool_Type," ",Heating_Type," Heat"),IF('Project Info and Summary'!$C$20="Non-Electric",CONCATENATE(Cool_Type," ",Heating_Type," Heat"),CONCATENATE(Cool_Type," ",Heating_Type))))))))</f>
        <v/>
      </c>
      <c r="N403" s="298" t="str">
        <f t="shared" si="27"/>
        <v/>
      </c>
      <c r="O403" s="298" t="str">
        <f>IF(B403="", "", 'Lighting Inventory (Ref only)'!G414)</f>
        <v/>
      </c>
      <c r="P403" s="298" t="str">
        <f>IF(B403="", "", 'Lighting Inventory (Ref only)'!E414)</f>
        <v/>
      </c>
      <c r="Q403" s="298" t="str">
        <f>IF(B403="", "", 'Lighting Inventory (Ref only)'!J414)</f>
        <v/>
      </c>
      <c r="R403" s="298" t="str">
        <f>IF(B403="", "",'Lighting Inventory (Ref only)'!K414)</f>
        <v/>
      </c>
      <c r="S403" s="372" t="str">
        <f>IF(B403="", "", 'Lighting Inventory (Ref only)'!G414*'Lighting Inventory (Ref only)'!K414/1000)</f>
        <v/>
      </c>
      <c r="T403" s="298" t="str">
        <f>IF(B403="", "", IF('Lighting Inventory (Ref only)'!I414="", "Light Switch",Inventory!H411))</f>
        <v/>
      </c>
      <c r="W403" s="373"/>
      <c r="X403" s="298" t="str">
        <f>IF(B403="", "", 'Lighting Inventory (Ref only)'!Q414)</f>
        <v/>
      </c>
      <c r="Z403" s="374"/>
      <c r="AA403" s="372" t="str">
        <f>IF(B403="", "",'Lighting Inventory (Ref only)'!R414/1000)</f>
        <v/>
      </c>
      <c r="AB403" s="372" t="str">
        <f>IF(B403="", "", Inventory!M411)</f>
        <v/>
      </c>
      <c r="AC403" s="374" t="str">
        <f>IF(B403="", "", 'Lighting Inventory (Ref only)'!T414)</f>
        <v/>
      </c>
      <c r="AD403" s="374" t="str">
        <f>IF(C403="", "", 'Lighting Inventory (Ref only)'!AA414)</f>
        <v/>
      </c>
      <c r="AE403" s="375" t="str">
        <f>IF(B403="", "", 'Lighting Inventory (Ref only)'!U414)</f>
        <v/>
      </c>
      <c r="AF403" s="375" t="str">
        <f>IF(B403="", "",'Lighting Inventory (Ref only)'!W414)</f>
        <v/>
      </c>
      <c r="AG403" s="375"/>
      <c r="AH403" s="375" t="str">
        <f>IF(B403="", "",'Lighting Inventory (Ref only)'!Z414)</f>
        <v/>
      </c>
      <c r="AI403" s="375" t="str">
        <f>IF(B403="", "", 'Lighting Inventory (Ref only)'!Y414)</f>
        <v/>
      </c>
      <c r="AJ403" s="375" t="str">
        <f>IF(C403="", "",'Lighting Inventory (Ref only)'!AB414)</f>
        <v/>
      </c>
      <c r="AK403" s="375" t="str">
        <f>IF(B403="", "", 'Lighting Inventory (Ref only)'!AG414)</f>
        <v/>
      </c>
      <c r="AL403" s="375" t="str">
        <f>IF(B403="", "", 'Lighting Inventory (Ref only)'!AD414)</f>
        <v/>
      </c>
      <c r="AM403" s="375" t="str">
        <f>IF(B403="", "", 'Lighting Inventory (Ref only)'!AE414)</f>
        <v/>
      </c>
      <c r="AN403" s="375" t="str">
        <f>IF(B403="", "", 'Lighting Inventory (Ref only)'!AF414)</f>
        <v/>
      </c>
      <c r="AO403" s="375" t="str">
        <f>IF(B403="", "", 'Lighting Inventory (Ref only)'!AG414)</f>
        <v/>
      </c>
    </row>
    <row r="404" spans="1:41">
      <c r="A404" s="298" t="str">
        <f>IF(G404="", "", Lookups!BF406)</f>
        <v/>
      </c>
      <c r="B404" s="298" t="str">
        <f>IF('Lighting Inventory (Ref only)'!Q415="", "", 'Lighting Inventory (Ref only)'!Q415)</f>
        <v/>
      </c>
      <c r="C404" s="298" t="str">
        <f>IF(A404="", "", 'Lighting Inventory (Ref only)'!AO415)</f>
        <v/>
      </c>
      <c r="D404" s="370" t="str">
        <f>IF(B404= "","", Inventory!S412)</f>
        <v/>
      </c>
      <c r="E404" s="371"/>
      <c r="F404" s="298" t="str">
        <f>IF(B404="", "", 'Version Log'!$B$34)</f>
        <v/>
      </c>
      <c r="G404" s="298" t="str">
        <f t="shared" si="24"/>
        <v/>
      </c>
      <c r="H404" s="298" t="str">
        <f t="shared" si="25"/>
        <v/>
      </c>
      <c r="I404" s="298" t="str">
        <f>IF(B404="", "",Inventory!D412)</f>
        <v/>
      </c>
      <c r="J404" s="298" t="str">
        <f>IF(B404="","",IF(Inventory!C412="N","Interior","Exterior"))</f>
        <v/>
      </c>
      <c r="K404" s="298" t="str">
        <f t="shared" si="26"/>
        <v/>
      </c>
      <c r="L404" s="298" t="str">
        <f>IF(B404="", "", Inventory!E412)</f>
        <v/>
      </c>
      <c r="M404" s="298" t="str">
        <f>IF(B404="","",IF(Cool_Type=Lookups!$L$9,Cool_Type,IF(Cool_Type=Lookups!$L$10,Cool_Type,IF(Cool_Type=Lookups!$L$11,Cool_Type,IF(Cool_Type=Lookups!L414,Cool_Type,IF('Project Info and Summary'!$C$20="Electric",CONCATENATE(Cool_Type," ",Heating_Type," Heat"),IF('Project Info and Summary'!$C$20="Non-Electric",CONCATENATE(Cool_Type," ",Heating_Type," Heat"),CONCATENATE(Cool_Type," ",Heating_Type))))))))</f>
        <v/>
      </c>
      <c r="N404" s="298" t="str">
        <f t="shared" si="27"/>
        <v/>
      </c>
      <c r="O404" s="298" t="str">
        <f>IF(B404="", "", 'Lighting Inventory (Ref only)'!G415)</f>
        <v/>
      </c>
      <c r="P404" s="298" t="str">
        <f>IF(B404="", "", 'Lighting Inventory (Ref only)'!E415)</f>
        <v/>
      </c>
      <c r="Q404" s="298" t="str">
        <f>IF(B404="", "", 'Lighting Inventory (Ref only)'!J415)</f>
        <v/>
      </c>
      <c r="R404" s="298" t="str">
        <f>IF(B404="", "",'Lighting Inventory (Ref only)'!K415)</f>
        <v/>
      </c>
      <c r="S404" s="372" t="str">
        <f>IF(B404="", "", 'Lighting Inventory (Ref only)'!G415*'Lighting Inventory (Ref only)'!K415/1000)</f>
        <v/>
      </c>
      <c r="T404" s="298" t="str">
        <f>IF(B404="", "", IF('Lighting Inventory (Ref only)'!I415="", "Light Switch",Inventory!H412))</f>
        <v/>
      </c>
      <c r="W404" s="373"/>
      <c r="X404" s="298" t="str">
        <f>IF(B404="", "", 'Lighting Inventory (Ref only)'!Q415)</f>
        <v/>
      </c>
      <c r="Z404" s="374"/>
      <c r="AA404" s="372" t="str">
        <f>IF(B404="", "",'Lighting Inventory (Ref only)'!R415/1000)</f>
        <v/>
      </c>
      <c r="AB404" s="372" t="str">
        <f>IF(B404="", "", Inventory!M412)</f>
        <v/>
      </c>
      <c r="AC404" s="374" t="str">
        <f>IF(B404="", "", 'Lighting Inventory (Ref only)'!T415)</f>
        <v/>
      </c>
      <c r="AD404" s="374" t="str">
        <f>IF(C404="", "", 'Lighting Inventory (Ref only)'!AA415)</f>
        <v/>
      </c>
      <c r="AE404" s="375" t="str">
        <f>IF(B404="", "", 'Lighting Inventory (Ref only)'!U415)</f>
        <v/>
      </c>
      <c r="AF404" s="375" t="str">
        <f>IF(B404="", "",'Lighting Inventory (Ref only)'!W415)</f>
        <v/>
      </c>
      <c r="AG404" s="375"/>
      <c r="AH404" s="375" t="str">
        <f>IF(B404="", "",'Lighting Inventory (Ref only)'!Z415)</f>
        <v/>
      </c>
      <c r="AI404" s="375" t="str">
        <f>IF(B404="", "", 'Lighting Inventory (Ref only)'!Y415)</f>
        <v/>
      </c>
      <c r="AJ404" s="375" t="str">
        <f>IF(C404="", "",'Lighting Inventory (Ref only)'!AB415)</f>
        <v/>
      </c>
      <c r="AK404" s="375" t="str">
        <f>IF(B404="", "", 'Lighting Inventory (Ref only)'!AG415)</f>
        <v/>
      </c>
      <c r="AL404" s="375" t="str">
        <f>IF(B404="", "", 'Lighting Inventory (Ref only)'!AD415)</f>
        <v/>
      </c>
      <c r="AM404" s="375" t="str">
        <f>IF(B404="", "", 'Lighting Inventory (Ref only)'!AE415)</f>
        <v/>
      </c>
      <c r="AN404" s="375" t="str">
        <f>IF(B404="", "", 'Lighting Inventory (Ref only)'!AF415)</f>
        <v/>
      </c>
      <c r="AO404" s="375" t="str">
        <f>IF(B404="", "", 'Lighting Inventory (Ref only)'!AG415)</f>
        <v/>
      </c>
    </row>
    <row r="405" spans="1:41">
      <c r="A405" s="298" t="str">
        <f>IF(G405="", "", Lookups!BF407)</f>
        <v/>
      </c>
      <c r="B405" s="298" t="str">
        <f>IF('Lighting Inventory (Ref only)'!Q416="", "", 'Lighting Inventory (Ref only)'!Q416)</f>
        <v/>
      </c>
      <c r="C405" s="298" t="str">
        <f>IF(A405="", "", 'Lighting Inventory (Ref only)'!AO416)</f>
        <v/>
      </c>
      <c r="D405" s="370" t="str">
        <f>IF(B405= "","", Inventory!S413)</f>
        <v/>
      </c>
      <c r="E405" s="371"/>
      <c r="F405" s="298" t="str">
        <f>IF(B405="", "", 'Version Log'!$B$34)</f>
        <v/>
      </c>
      <c r="G405" s="298" t="str">
        <f t="shared" si="24"/>
        <v/>
      </c>
      <c r="H405" s="298" t="str">
        <f t="shared" si="25"/>
        <v/>
      </c>
      <c r="I405" s="298" t="str">
        <f>IF(B405="", "",Inventory!D413)</f>
        <v/>
      </c>
      <c r="J405" s="298" t="str">
        <f>IF(B405="","",IF(Inventory!C413="N","Interior","Exterior"))</f>
        <v/>
      </c>
      <c r="K405" s="298" t="str">
        <f t="shared" si="26"/>
        <v/>
      </c>
      <c r="L405" s="298" t="str">
        <f>IF(B405="", "", Inventory!E413)</f>
        <v/>
      </c>
      <c r="M405" s="298" t="str">
        <f>IF(B405="","",IF(Cool_Type=Lookups!$L$9,Cool_Type,IF(Cool_Type=Lookups!$L$10,Cool_Type,IF(Cool_Type=Lookups!$L$11,Cool_Type,IF(Cool_Type=Lookups!L415,Cool_Type,IF('Project Info and Summary'!$C$20="Electric",CONCATENATE(Cool_Type," ",Heating_Type," Heat"),IF('Project Info and Summary'!$C$20="Non-Electric",CONCATENATE(Cool_Type," ",Heating_Type," Heat"),CONCATENATE(Cool_Type," ",Heating_Type))))))))</f>
        <v/>
      </c>
      <c r="N405" s="298" t="str">
        <f t="shared" si="27"/>
        <v/>
      </c>
      <c r="O405" s="298" t="str">
        <f>IF(B405="", "", 'Lighting Inventory (Ref only)'!G416)</f>
        <v/>
      </c>
      <c r="P405" s="298" t="str">
        <f>IF(B405="", "", 'Lighting Inventory (Ref only)'!E416)</f>
        <v/>
      </c>
      <c r="Q405" s="298" t="str">
        <f>IF(B405="", "", 'Lighting Inventory (Ref only)'!J416)</f>
        <v/>
      </c>
      <c r="R405" s="298" t="str">
        <f>IF(B405="", "",'Lighting Inventory (Ref only)'!K416)</f>
        <v/>
      </c>
      <c r="S405" s="372" t="str">
        <f>IF(B405="", "", 'Lighting Inventory (Ref only)'!G416*'Lighting Inventory (Ref only)'!K416/1000)</f>
        <v/>
      </c>
      <c r="T405" s="298" t="str">
        <f>IF(B405="", "", IF('Lighting Inventory (Ref only)'!I416="", "Light Switch",Inventory!H413))</f>
        <v/>
      </c>
      <c r="W405" s="373"/>
      <c r="X405" s="298" t="str">
        <f>IF(B405="", "", 'Lighting Inventory (Ref only)'!Q416)</f>
        <v/>
      </c>
      <c r="Z405" s="374"/>
      <c r="AA405" s="372" t="str">
        <f>IF(B405="", "",'Lighting Inventory (Ref only)'!R416/1000)</f>
        <v/>
      </c>
      <c r="AB405" s="372" t="str">
        <f>IF(B405="", "", Inventory!M413)</f>
        <v/>
      </c>
      <c r="AC405" s="374" t="str">
        <f>IF(B405="", "", 'Lighting Inventory (Ref only)'!T416)</f>
        <v/>
      </c>
      <c r="AD405" s="374" t="str">
        <f>IF(C405="", "", 'Lighting Inventory (Ref only)'!AA416)</f>
        <v/>
      </c>
      <c r="AE405" s="375" t="str">
        <f>IF(B405="", "", 'Lighting Inventory (Ref only)'!U416)</f>
        <v/>
      </c>
      <c r="AF405" s="375" t="str">
        <f>IF(B405="", "",'Lighting Inventory (Ref only)'!W416)</f>
        <v/>
      </c>
      <c r="AG405" s="375"/>
      <c r="AH405" s="375" t="str">
        <f>IF(B405="", "",'Lighting Inventory (Ref only)'!Z416)</f>
        <v/>
      </c>
      <c r="AI405" s="375" t="str">
        <f>IF(B405="", "", 'Lighting Inventory (Ref only)'!Y416)</f>
        <v/>
      </c>
      <c r="AJ405" s="375" t="str">
        <f>IF(C405="", "",'Lighting Inventory (Ref only)'!AB416)</f>
        <v/>
      </c>
      <c r="AK405" s="375" t="str">
        <f>IF(B405="", "", 'Lighting Inventory (Ref only)'!AG416)</f>
        <v/>
      </c>
      <c r="AL405" s="375" t="str">
        <f>IF(B405="", "", 'Lighting Inventory (Ref only)'!AD416)</f>
        <v/>
      </c>
      <c r="AM405" s="375" t="str">
        <f>IF(B405="", "", 'Lighting Inventory (Ref only)'!AE416)</f>
        <v/>
      </c>
      <c r="AN405" s="375" t="str">
        <f>IF(B405="", "", 'Lighting Inventory (Ref only)'!AF416)</f>
        <v/>
      </c>
      <c r="AO405" s="375" t="str">
        <f>IF(B405="", "", 'Lighting Inventory (Ref only)'!AG416)</f>
        <v/>
      </c>
    </row>
    <row r="406" spans="1:41">
      <c r="A406" s="298" t="str">
        <f>IF(G406="", "", Lookups!BF408)</f>
        <v/>
      </c>
      <c r="B406" s="298" t="str">
        <f>IF('Lighting Inventory (Ref only)'!Q417="", "", 'Lighting Inventory (Ref only)'!Q417)</f>
        <v/>
      </c>
      <c r="C406" s="298" t="str">
        <f>IF(A406="", "", 'Lighting Inventory (Ref only)'!AO417)</f>
        <v/>
      </c>
      <c r="D406" s="370" t="str">
        <f>IF(B406= "","", Inventory!S414)</f>
        <v/>
      </c>
      <c r="E406" s="371"/>
      <c r="F406" s="298" t="str">
        <f>IF(B406="", "", 'Version Log'!$B$34)</f>
        <v/>
      </c>
      <c r="G406" s="298" t="str">
        <f t="shared" si="24"/>
        <v/>
      </c>
      <c r="H406" s="298" t="str">
        <f t="shared" si="25"/>
        <v/>
      </c>
      <c r="I406" s="298" t="str">
        <f>IF(B406="", "",Inventory!D414)</f>
        <v/>
      </c>
      <c r="J406" s="298" t="str">
        <f>IF(B406="","",IF(Inventory!C414="N","Interior","Exterior"))</f>
        <v/>
      </c>
      <c r="K406" s="298" t="str">
        <f t="shared" si="26"/>
        <v/>
      </c>
      <c r="L406" s="298" t="str">
        <f>IF(B406="", "", Inventory!E414)</f>
        <v/>
      </c>
      <c r="M406" s="298" t="str">
        <f>IF(B406="","",IF(Cool_Type=Lookups!$L$9,Cool_Type,IF(Cool_Type=Lookups!$L$10,Cool_Type,IF(Cool_Type=Lookups!$L$11,Cool_Type,IF(Cool_Type=Lookups!L416,Cool_Type,IF('Project Info and Summary'!$C$20="Electric",CONCATENATE(Cool_Type," ",Heating_Type," Heat"),IF('Project Info and Summary'!$C$20="Non-Electric",CONCATENATE(Cool_Type," ",Heating_Type," Heat"),CONCATENATE(Cool_Type," ",Heating_Type))))))))</f>
        <v/>
      </c>
      <c r="N406" s="298" t="str">
        <f t="shared" si="27"/>
        <v/>
      </c>
      <c r="O406" s="298" t="str">
        <f>IF(B406="", "", 'Lighting Inventory (Ref only)'!G417)</f>
        <v/>
      </c>
      <c r="P406" s="298" t="str">
        <f>IF(B406="", "", 'Lighting Inventory (Ref only)'!E417)</f>
        <v/>
      </c>
      <c r="Q406" s="298" t="str">
        <f>IF(B406="", "", 'Lighting Inventory (Ref only)'!J417)</f>
        <v/>
      </c>
      <c r="R406" s="298" t="str">
        <f>IF(B406="", "",'Lighting Inventory (Ref only)'!K417)</f>
        <v/>
      </c>
      <c r="S406" s="372" t="str">
        <f>IF(B406="", "", 'Lighting Inventory (Ref only)'!G417*'Lighting Inventory (Ref only)'!K417/1000)</f>
        <v/>
      </c>
      <c r="T406" s="298" t="str">
        <f>IF(B406="", "", IF('Lighting Inventory (Ref only)'!I417="", "Light Switch",Inventory!H414))</f>
        <v/>
      </c>
      <c r="W406" s="373"/>
      <c r="X406" s="298" t="str">
        <f>IF(B406="", "", 'Lighting Inventory (Ref only)'!Q417)</f>
        <v/>
      </c>
      <c r="Z406" s="374"/>
      <c r="AA406" s="372" t="str">
        <f>IF(B406="", "",'Lighting Inventory (Ref only)'!R417/1000)</f>
        <v/>
      </c>
      <c r="AB406" s="372" t="str">
        <f>IF(B406="", "", Inventory!M414)</f>
        <v/>
      </c>
      <c r="AC406" s="374" t="str">
        <f>IF(B406="", "", 'Lighting Inventory (Ref only)'!T417)</f>
        <v/>
      </c>
      <c r="AD406" s="374" t="str">
        <f>IF(C406="", "", 'Lighting Inventory (Ref only)'!AA417)</f>
        <v/>
      </c>
      <c r="AE406" s="375" t="str">
        <f>IF(B406="", "", 'Lighting Inventory (Ref only)'!U417)</f>
        <v/>
      </c>
      <c r="AF406" s="375" t="str">
        <f>IF(B406="", "",'Lighting Inventory (Ref only)'!W417)</f>
        <v/>
      </c>
      <c r="AG406" s="375"/>
      <c r="AH406" s="375" t="str">
        <f>IF(B406="", "",'Lighting Inventory (Ref only)'!Z417)</f>
        <v/>
      </c>
      <c r="AI406" s="375" t="str">
        <f>IF(B406="", "", 'Lighting Inventory (Ref only)'!Y417)</f>
        <v/>
      </c>
      <c r="AJ406" s="375" t="str">
        <f>IF(C406="", "",'Lighting Inventory (Ref only)'!AB417)</f>
        <v/>
      </c>
      <c r="AK406" s="375" t="str">
        <f>IF(B406="", "", 'Lighting Inventory (Ref only)'!AG417)</f>
        <v/>
      </c>
      <c r="AL406" s="375" t="str">
        <f>IF(B406="", "", 'Lighting Inventory (Ref only)'!AD417)</f>
        <v/>
      </c>
      <c r="AM406" s="375" t="str">
        <f>IF(B406="", "", 'Lighting Inventory (Ref only)'!AE417)</f>
        <v/>
      </c>
      <c r="AN406" s="375" t="str">
        <f>IF(B406="", "", 'Lighting Inventory (Ref only)'!AF417)</f>
        <v/>
      </c>
      <c r="AO406" s="375" t="str">
        <f>IF(B406="", "", 'Lighting Inventory (Ref only)'!AG417)</f>
        <v/>
      </c>
    </row>
    <row r="407" spans="1:41">
      <c r="A407" s="298" t="str">
        <f>IF(G407="", "", Lookups!BF409)</f>
        <v/>
      </c>
      <c r="B407" s="298" t="str">
        <f>IF('Lighting Inventory (Ref only)'!Q418="", "", 'Lighting Inventory (Ref only)'!Q418)</f>
        <v/>
      </c>
      <c r="C407" s="298" t="str">
        <f>IF(A407="", "", 'Lighting Inventory (Ref only)'!AO418)</f>
        <v/>
      </c>
      <c r="D407" s="370" t="str">
        <f>IF(B407= "","", Inventory!S415)</f>
        <v/>
      </c>
      <c r="E407" s="371"/>
      <c r="F407" s="298" t="str">
        <f>IF(B407="", "", 'Version Log'!$B$34)</f>
        <v/>
      </c>
      <c r="G407" s="298" t="str">
        <f t="shared" si="24"/>
        <v/>
      </c>
      <c r="H407" s="298" t="str">
        <f t="shared" si="25"/>
        <v/>
      </c>
      <c r="I407" s="298" t="str">
        <f>IF(B407="", "",Inventory!D415)</f>
        <v/>
      </c>
      <c r="J407" s="298" t="str">
        <f>IF(B407="","",IF(Inventory!C415="N","Interior","Exterior"))</f>
        <v/>
      </c>
      <c r="K407" s="298" t="str">
        <f t="shared" si="26"/>
        <v/>
      </c>
      <c r="L407" s="298" t="str">
        <f>IF(B407="", "", Inventory!E415)</f>
        <v/>
      </c>
      <c r="M407" s="298" t="str">
        <f>IF(B407="","",IF(Cool_Type=Lookups!$L$9,Cool_Type,IF(Cool_Type=Lookups!$L$10,Cool_Type,IF(Cool_Type=Lookups!$L$11,Cool_Type,IF(Cool_Type=Lookups!L417,Cool_Type,IF('Project Info and Summary'!$C$20="Electric",CONCATENATE(Cool_Type," ",Heating_Type," Heat"),IF('Project Info and Summary'!$C$20="Non-Electric",CONCATENATE(Cool_Type," ",Heating_Type," Heat"),CONCATENATE(Cool_Type," ",Heating_Type))))))))</f>
        <v/>
      </c>
      <c r="N407" s="298" t="str">
        <f t="shared" si="27"/>
        <v/>
      </c>
      <c r="O407" s="298" t="str">
        <f>IF(B407="", "", 'Lighting Inventory (Ref only)'!G418)</f>
        <v/>
      </c>
      <c r="P407" s="298" t="str">
        <f>IF(B407="", "", 'Lighting Inventory (Ref only)'!E418)</f>
        <v/>
      </c>
      <c r="Q407" s="298" t="str">
        <f>IF(B407="", "", 'Lighting Inventory (Ref only)'!J418)</f>
        <v/>
      </c>
      <c r="R407" s="298" t="str">
        <f>IF(B407="", "",'Lighting Inventory (Ref only)'!K418)</f>
        <v/>
      </c>
      <c r="S407" s="372" t="str">
        <f>IF(B407="", "", 'Lighting Inventory (Ref only)'!G418*'Lighting Inventory (Ref only)'!K418/1000)</f>
        <v/>
      </c>
      <c r="T407" s="298" t="str">
        <f>IF(B407="", "", IF('Lighting Inventory (Ref only)'!I418="", "Light Switch",Inventory!H415))</f>
        <v/>
      </c>
      <c r="W407" s="373"/>
      <c r="X407" s="298" t="str">
        <f>IF(B407="", "", 'Lighting Inventory (Ref only)'!Q418)</f>
        <v/>
      </c>
      <c r="Z407" s="374"/>
      <c r="AA407" s="372" t="str">
        <f>IF(B407="", "",'Lighting Inventory (Ref only)'!R418/1000)</f>
        <v/>
      </c>
      <c r="AB407" s="372" t="str">
        <f>IF(B407="", "", Inventory!M415)</f>
        <v/>
      </c>
      <c r="AC407" s="374" t="str">
        <f>IF(B407="", "", 'Lighting Inventory (Ref only)'!T418)</f>
        <v/>
      </c>
      <c r="AD407" s="374" t="str">
        <f>IF(C407="", "", 'Lighting Inventory (Ref only)'!AA418)</f>
        <v/>
      </c>
      <c r="AE407" s="375" t="str">
        <f>IF(B407="", "", 'Lighting Inventory (Ref only)'!U418)</f>
        <v/>
      </c>
      <c r="AF407" s="375" t="str">
        <f>IF(B407="", "",'Lighting Inventory (Ref only)'!W418)</f>
        <v/>
      </c>
      <c r="AG407" s="375"/>
      <c r="AH407" s="375" t="str">
        <f>IF(B407="", "",'Lighting Inventory (Ref only)'!Z418)</f>
        <v/>
      </c>
      <c r="AI407" s="375" t="str">
        <f>IF(B407="", "", 'Lighting Inventory (Ref only)'!Y418)</f>
        <v/>
      </c>
      <c r="AJ407" s="375" t="str">
        <f>IF(C407="", "",'Lighting Inventory (Ref only)'!AB418)</f>
        <v/>
      </c>
      <c r="AK407" s="375" t="str">
        <f>IF(B407="", "", 'Lighting Inventory (Ref only)'!AG418)</f>
        <v/>
      </c>
      <c r="AL407" s="375" t="str">
        <f>IF(B407="", "", 'Lighting Inventory (Ref only)'!AD418)</f>
        <v/>
      </c>
      <c r="AM407" s="375" t="str">
        <f>IF(B407="", "", 'Lighting Inventory (Ref only)'!AE418)</f>
        <v/>
      </c>
      <c r="AN407" s="375" t="str">
        <f>IF(B407="", "", 'Lighting Inventory (Ref only)'!AF418)</f>
        <v/>
      </c>
      <c r="AO407" s="375" t="str">
        <f>IF(B407="", "", 'Lighting Inventory (Ref only)'!AG418)</f>
        <v/>
      </c>
    </row>
    <row r="408" spans="1:41">
      <c r="A408" s="298" t="str">
        <f>IF(G408="", "", Lookups!BF410)</f>
        <v/>
      </c>
      <c r="B408" s="298" t="str">
        <f>IF('Lighting Inventory (Ref only)'!Q419="", "", 'Lighting Inventory (Ref only)'!Q419)</f>
        <v/>
      </c>
      <c r="C408" s="298" t="str">
        <f>IF(A408="", "", 'Lighting Inventory (Ref only)'!AO419)</f>
        <v/>
      </c>
      <c r="D408" s="370" t="str">
        <f>IF(B408= "","", Inventory!S416)</f>
        <v/>
      </c>
      <c r="E408" s="371"/>
      <c r="F408" s="298" t="str">
        <f>IF(B408="", "", 'Version Log'!$B$34)</f>
        <v/>
      </c>
      <c r="G408" s="298" t="str">
        <f t="shared" si="24"/>
        <v/>
      </c>
      <c r="H408" s="298" t="str">
        <f t="shared" si="25"/>
        <v/>
      </c>
      <c r="I408" s="298" t="str">
        <f>IF(B408="", "",Inventory!D416)</f>
        <v/>
      </c>
      <c r="J408" s="298" t="str">
        <f>IF(B408="","",IF(Inventory!C416="N","Interior","Exterior"))</f>
        <v/>
      </c>
      <c r="K408" s="298" t="str">
        <f t="shared" si="26"/>
        <v/>
      </c>
      <c r="L408" s="298" t="str">
        <f>IF(B408="", "", Inventory!E416)</f>
        <v/>
      </c>
      <c r="M408" s="298" t="str">
        <f>IF(B408="","",IF(Cool_Type=Lookups!$L$9,Cool_Type,IF(Cool_Type=Lookups!$L$10,Cool_Type,IF(Cool_Type=Lookups!$L$11,Cool_Type,IF(Cool_Type=Lookups!L418,Cool_Type,IF('Project Info and Summary'!$C$20="Electric",CONCATENATE(Cool_Type," ",Heating_Type," Heat"),IF('Project Info and Summary'!$C$20="Non-Electric",CONCATENATE(Cool_Type," ",Heating_Type," Heat"),CONCATENATE(Cool_Type," ",Heating_Type))))))))</f>
        <v/>
      </c>
      <c r="N408" s="298" t="str">
        <f t="shared" si="27"/>
        <v/>
      </c>
      <c r="O408" s="298" t="str">
        <f>IF(B408="", "", 'Lighting Inventory (Ref only)'!G419)</f>
        <v/>
      </c>
      <c r="P408" s="298" t="str">
        <f>IF(B408="", "", 'Lighting Inventory (Ref only)'!E419)</f>
        <v/>
      </c>
      <c r="Q408" s="298" t="str">
        <f>IF(B408="", "", 'Lighting Inventory (Ref only)'!J419)</f>
        <v/>
      </c>
      <c r="R408" s="298" t="str">
        <f>IF(B408="", "",'Lighting Inventory (Ref only)'!K419)</f>
        <v/>
      </c>
      <c r="S408" s="372" t="str">
        <f>IF(B408="", "", 'Lighting Inventory (Ref only)'!G419*'Lighting Inventory (Ref only)'!K419/1000)</f>
        <v/>
      </c>
      <c r="T408" s="298" t="str">
        <f>IF(B408="", "", IF('Lighting Inventory (Ref only)'!I419="", "Light Switch",Inventory!H416))</f>
        <v/>
      </c>
      <c r="W408" s="373"/>
      <c r="X408" s="298" t="str">
        <f>IF(B408="", "", 'Lighting Inventory (Ref only)'!Q419)</f>
        <v/>
      </c>
      <c r="Z408" s="374"/>
      <c r="AA408" s="372" t="str">
        <f>IF(B408="", "",'Lighting Inventory (Ref only)'!R419/1000)</f>
        <v/>
      </c>
      <c r="AB408" s="372" t="str">
        <f>IF(B408="", "", Inventory!M416)</f>
        <v/>
      </c>
      <c r="AC408" s="374" t="str">
        <f>IF(B408="", "", 'Lighting Inventory (Ref only)'!T419)</f>
        <v/>
      </c>
      <c r="AD408" s="374" t="str">
        <f>IF(C408="", "", 'Lighting Inventory (Ref only)'!AA419)</f>
        <v/>
      </c>
      <c r="AE408" s="375" t="str">
        <f>IF(B408="", "", 'Lighting Inventory (Ref only)'!U419)</f>
        <v/>
      </c>
      <c r="AF408" s="375" t="str">
        <f>IF(B408="", "",'Lighting Inventory (Ref only)'!W419)</f>
        <v/>
      </c>
      <c r="AG408" s="375"/>
      <c r="AH408" s="375" t="str">
        <f>IF(B408="", "",'Lighting Inventory (Ref only)'!Z419)</f>
        <v/>
      </c>
      <c r="AI408" s="375" t="str">
        <f>IF(B408="", "", 'Lighting Inventory (Ref only)'!Y419)</f>
        <v/>
      </c>
      <c r="AJ408" s="375" t="str">
        <f>IF(C408="", "",'Lighting Inventory (Ref only)'!AB419)</f>
        <v/>
      </c>
      <c r="AK408" s="375" t="str">
        <f>IF(B408="", "", 'Lighting Inventory (Ref only)'!AG419)</f>
        <v/>
      </c>
      <c r="AL408" s="375" t="str">
        <f>IF(B408="", "", 'Lighting Inventory (Ref only)'!AD419)</f>
        <v/>
      </c>
      <c r="AM408" s="375" t="str">
        <f>IF(B408="", "", 'Lighting Inventory (Ref only)'!AE419)</f>
        <v/>
      </c>
      <c r="AN408" s="375" t="str">
        <f>IF(B408="", "", 'Lighting Inventory (Ref only)'!AF419)</f>
        <v/>
      </c>
      <c r="AO408" s="375" t="str">
        <f>IF(B408="", "", 'Lighting Inventory (Ref only)'!AG419)</f>
        <v/>
      </c>
    </row>
    <row r="409" spans="1:41">
      <c r="A409" s="298" t="str">
        <f>IF(G409="", "", Lookups!BF411)</f>
        <v/>
      </c>
      <c r="B409" s="298" t="str">
        <f>IF('Lighting Inventory (Ref only)'!Q420="", "", 'Lighting Inventory (Ref only)'!Q420)</f>
        <v/>
      </c>
      <c r="C409" s="298" t="str">
        <f>IF(A409="", "", 'Lighting Inventory (Ref only)'!AO420)</f>
        <v/>
      </c>
      <c r="D409" s="370" t="str">
        <f>IF(B409= "","", Inventory!S417)</f>
        <v/>
      </c>
      <c r="E409" s="371"/>
      <c r="F409" s="298" t="str">
        <f>IF(B409="", "", 'Version Log'!$B$34)</f>
        <v/>
      </c>
      <c r="G409" s="298" t="str">
        <f t="shared" si="24"/>
        <v/>
      </c>
      <c r="H409" s="298" t="str">
        <f t="shared" si="25"/>
        <v/>
      </c>
      <c r="I409" s="298" t="str">
        <f>IF(B409="", "",Inventory!D417)</f>
        <v/>
      </c>
      <c r="J409" s="298" t="str">
        <f>IF(B409="","",IF(Inventory!C417="N","Interior","Exterior"))</f>
        <v/>
      </c>
      <c r="K409" s="298" t="str">
        <f t="shared" si="26"/>
        <v/>
      </c>
      <c r="L409" s="298" t="str">
        <f>IF(B409="", "", Inventory!E417)</f>
        <v/>
      </c>
      <c r="M409" s="298" t="str">
        <f>IF(B409="","",IF(Cool_Type=Lookups!$L$9,Cool_Type,IF(Cool_Type=Lookups!$L$10,Cool_Type,IF(Cool_Type=Lookups!$L$11,Cool_Type,IF(Cool_Type=Lookups!L419,Cool_Type,IF('Project Info and Summary'!$C$20="Electric",CONCATENATE(Cool_Type," ",Heating_Type," Heat"),IF('Project Info and Summary'!$C$20="Non-Electric",CONCATENATE(Cool_Type," ",Heating_Type," Heat"),CONCATENATE(Cool_Type," ",Heating_Type))))))))</f>
        <v/>
      </c>
      <c r="N409" s="298" t="str">
        <f t="shared" si="27"/>
        <v/>
      </c>
      <c r="O409" s="298" t="str">
        <f>IF(B409="", "", 'Lighting Inventory (Ref only)'!G420)</f>
        <v/>
      </c>
      <c r="P409" s="298" t="str">
        <f>IF(B409="", "", 'Lighting Inventory (Ref only)'!E420)</f>
        <v/>
      </c>
      <c r="Q409" s="298" t="str">
        <f>IF(B409="", "", 'Lighting Inventory (Ref only)'!J420)</f>
        <v/>
      </c>
      <c r="R409" s="298" t="str">
        <f>IF(B409="", "",'Lighting Inventory (Ref only)'!K420)</f>
        <v/>
      </c>
      <c r="S409" s="372" t="str">
        <f>IF(B409="", "", 'Lighting Inventory (Ref only)'!G420*'Lighting Inventory (Ref only)'!K420/1000)</f>
        <v/>
      </c>
      <c r="T409" s="298" t="str">
        <f>IF(B409="", "", IF('Lighting Inventory (Ref only)'!I420="", "Light Switch",Inventory!H417))</f>
        <v/>
      </c>
      <c r="W409" s="373"/>
      <c r="X409" s="298" t="str">
        <f>IF(B409="", "", 'Lighting Inventory (Ref only)'!Q420)</f>
        <v/>
      </c>
      <c r="Z409" s="374"/>
      <c r="AA409" s="372" t="str">
        <f>IF(B409="", "",'Lighting Inventory (Ref only)'!R420/1000)</f>
        <v/>
      </c>
      <c r="AB409" s="372" t="str">
        <f>IF(B409="", "", Inventory!M417)</f>
        <v/>
      </c>
      <c r="AC409" s="374" t="str">
        <f>IF(B409="", "", 'Lighting Inventory (Ref only)'!T420)</f>
        <v/>
      </c>
      <c r="AD409" s="374" t="str">
        <f>IF(C409="", "", 'Lighting Inventory (Ref only)'!AA420)</f>
        <v/>
      </c>
      <c r="AE409" s="375" t="str">
        <f>IF(B409="", "", 'Lighting Inventory (Ref only)'!U420)</f>
        <v/>
      </c>
      <c r="AF409" s="375" t="str">
        <f>IF(B409="", "",'Lighting Inventory (Ref only)'!W420)</f>
        <v/>
      </c>
      <c r="AG409" s="375"/>
      <c r="AH409" s="375" t="str">
        <f>IF(B409="", "",'Lighting Inventory (Ref only)'!Z420)</f>
        <v/>
      </c>
      <c r="AI409" s="375" t="str">
        <f>IF(B409="", "", 'Lighting Inventory (Ref only)'!Y420)</f>
        <v/>
      </c>
      <c r="AJ409" s="375" t="str">
        <f>IF(C409="", "",'Lighting Inventory (Ref only)'!AB420)</f>
        <v/>
      </c>
      <c r="AK409" s="375" t="str">
        <f>IF(B409="", "", 'Lighting Inventory (Ref only)'!AG420)</f>
        <v/>
      </c>
      <c r="AL409" s="375" t="str">
        <f>IF(B409="", "", 'Lighting Inventory (Ref only)'!AD420)</f>
        <v/>
      </c>
      <c r="AM409" s="375" t="str">
        <f>IF(B409="", "", 'Lighting Inventory (Ref only)'!AE420)</f>
        <v/>
      </c>
      <c r="AN409" s="375" t="str">
        <f>IF(B409="", "", 'Lighting Inventory (Ref only)'!AF420)</f>
        <v/>
      </c>
      <c r="AO409" s="375" t="str">
        <f>IF(B409="", "", 'Lighting Inventory (Ref only)'!AG420)</f>
        <v/>
      </c>
    </row>
    <row r="410" spans="1:41">
      <c r="A410" s="298" t="str">
        <f>IF(G410="", "", Lookups!BF412)</f>
        <v/>
      </c>
      <c r="B410" s="298" t="str">
        <f>IF('Lighting Inventory (Ref only)'!Q421="", "", 'Lighting Inventory (Ref only)'!Q421)</f>
        <v/>
      </c>
      <c r="C410" s="298" t="str">
        <f>IF(A410="", "", 'Lighting Inventory (Ref only)'!AO421)</f>
        <v/>
      </c>
      <c r="D410" s="370" t="str">
        <f>IF(B410= "","", Inventory!S418)</f>
        <v/>
      </c>
      <c r="E410" s="371"/>
      <c r="F410" s="298" t="str">
        <f>IF(B410="", "", 'Version Log'!$B$34)</f>
        <v/>
      </c>
      <c r="G410" s="298" t="str">
        <f t="shared" si="24"/>
        <v/>
      </c>
      <c r="H410" s="298" t="str">
        <f t="shared" si="25"/>
        <v/>
      </c>
      <c r="I410" s="298" t="str">
        <f>IF(B410="", "",Inventory!D418)</f>
        <v/>
      </c>
      <c r="J410" s="298" t="str">
        <f>IF(B410="","",IF(Inventory!C418="N","Interior","Exterior"))</f>
        <v/>
      </c>
      <c r="K410" s="298" t="str">
        <f t="shared" si="26"/>
        <v/>
      </c>
      <c r="L410" s="298" t="str">
        <f>IF(B410="", "", Inventory!E418)</f>
        <v/>
      </c>
      <c r="M410" s="298" t="str">
        <f>IF(B410="","",IF(Cool_Type=Lookups!$L$9,Cool_Type,IF(Cool_Type=Lookups!$L$10,Cool_Type,IF(Cool_Type=Lookups!$L$11,Cool_Type,IF(Cool_Type=Lookups!L420,Cool_Type,IF('Project Info and Summary'!$C$20="Electric",CONCATENATE(Cool_Type," ",Heating_Type," Heat"),IF('Project Info and Summary'!$C$20="Non-Electric",CONCATENATE(Cool_Type," ",Heating_Type," Heat"),CONCATENATE(Cool_Type," ",Heating_Type))))))))</f>
        <v/>
      </c>
      <c r="N410" s="298" t="str">
        <f t="shared" si="27"/>
        <v/>
      </c>
      <c r="O410" s="298" t="str">
        <f>IF(B410="", "", 'Lighting Inventory (Ref only)'!G421)</f>
        <v/>
      </c>
      <c r="P410" s="298" t="str">
        <f>IF(B410="", "", 'Lighting Inventory (Ref only)'!E421)</f>
        <v/>
      </c>
      <c r="Q410" s="298" t="str">
        <f>IF(B410="", "", 'Lighting Inventory (Ref only)'!J421)</f>
        <v/>
      </c>
      <c r="R410" s="298" t="str">
        <f>IF(B410="", "",'Lighting Inventory (Ref only)'!K421)</f>
        <v/>
      </c>
      <c r="S410" s="372" t="str">
        <f>IF(B410="", "", 'Lighting Inventory (Ref only)'!G421*'Lighting Inventory (Ref only)'!K421/1000)</f>
        <v/>
      </c>
      <c r="T410" s="298" t="str">
        <f>IF(B410="", "", IF('Lighting Inventory (Ref only)'!I421="", "Light Switch",Inventory!H418))</f>
        <v/>
      </c>
      <c r="W410" s="373"/>
      <c r="X410" s="298" t="str">
        <f>IF(B410="", "", 'Lighting Inventory (Ref only)'!Q421)</f>
        <v/>
      </c>
      <c r="Z410" s="374"/>
      <c r="AA410" s="372" t="str">
        <f>IF(B410="", "",'Lighting Inventory (Ref only)'!R421/1000)</f>
        <v/>
      </c>
      <c r="AB410" s="372" t="str">
        <f>IF(B410="", "", Inventory!M418)</f>
        <v/>
      </c>
      <c r="AC410" s="374" t="str">
        <f>IF(B410="", "", 'Lighting Inventory (Ref only)'!T421)</f>
        <v/>
      </c>
      <c r="AD410" s="374" t="str">
        <f>IF(C410="", "", 'Lighting Inventory (Ref only)'!AA421)</f>
        <v/>
      </c>
      <c r="AE410" s="375" t="str">
        <f>IF(B410="", "", 'Lighting Inventory (Ref only)'!U421)</f>
        <v/>
      </c>
      <c r="AF410" s="375" t="str">
        <f>IF(B410="", "",'Lighting Inventory (Ref only)'!W421)</f>
        <v/>
      </c>
      <c r="AG410" s="375"/>
      <c r="AH410" s="375" t="str">
        <f>IF(B410="", "",'Lighting Inventory (Ref only)'!Z421)</f>
        <v/>
      </c>
      <c r="AI410" s="375" t="str">
        <f>IF(B410="", "", 'Lighting Inventory (Ref only)'!Y421)</f>
        <v/>
      </c>
      <c r="AJ410" s="375" t="str">
        <f>IF(C410="", "",'Lighting Inventory (Ref only)'!AB421)</f>
        <v/>
      </c>
      <c r="AK410" s="375" t="str">
        <f>IF(B410="", "", 'Lighting Inventory (Ref only)'!AG421)</f>
        <v/>
      </c>
      <c r="AL410" s="375" t="str">
        <f>IF(B410="", "", 'Lighting Inventory (Ref only)'!AD421)</f>
        <v/>
      </c>
      <c r="AM410" s="375" t="str">
        <f>IF(B410="", "", 'Lighting Inventory (Ref only)'!AE421)</f>
        <v/>
      </c>
      <c r="AN410" s="375" t="str">
        <f>IF(B410="", "", 'Lighting Inventory (Ref only)'!AF421)</f>
        <v/>
      </c>
      <c r="AO410" s="375" t="str">
        <f>IF(B410="", "", 'Lighting Inventory (Ref only)'!AG421)</f>
        <v/>
      </c>
    </row>
    <row r="411" spans="1:41">
      <c r="A411" s="298" t="str">
        <f>IF(G411="", "", Lookups!BF413)</f>
        <v/>
      </c>
      <c r="B411" s="298" t="str">
        <f>IF('Lighting Inventory (Ref only)'!Q422="", "", 'Lighting Inventory (Ref only)'!Q422)</f>
        <v/>
      </c>
      <c r="C411" s="298" t="str">
        <f>IF(A411="", "", 'Lighting Inventory (Ref only)'!AO422)</f>
        <v/>
      </c>
      <c r="D411" s="370" t="str">
        <f>IF(B411= "","", Inventory!S419)</f>
        <v/>
      </c>
      <c r="E411" s="371"/>
      <c r="F411" s="298" t="str">
        <f>IF(B411="", "", 'Version Log'!$B$34)</f>
        <v/>
      </c>
      <c r="G411" s="298" t="str">
        <f t="shared" si="24"/>
        <v/>
      </c>
      <c r="H411" s="298" t="str">
        <f t="shared" si="25"/>
        <v/>
      </c>
      <c r="I411" s="298" t="str">
        <f>IF(B411="", "",Inventory!D419)</f>
        <v/>
      </c>
      <c r="J411" s="298" t="str">
        <f>IF(B411="","",IF(Inventory!C419="N","Interior","Exterior"))</f>
        <v/>
      </c>
      <c r="K411" s="298" t="str">
        <f t="shared" si="26"/>
        <v/>
      </c>
      <c r="L411" s="298" t="str">
        <f>IF(B411="", "", Inventory!E419)</f>
        <v/>
      </c>
      <c r="M411" s="298" t="str">
        <f>IF(B411="","",IF(Cool_Type=Lookups!$L$9,Cool_Type,IF(Cool_Type=Lookups!$L$10,Cool_Type,IF(Cool_Type=Lookups!$L$11,Cool_Type,IF(Cool_Type=Lookups!L421,Cool_Type,IF('Project Info and Summary'!$C$20="Electric",CONCATENATE(Cool_Type," ",Heating_Type," Heat"),IF('Project Info and Summary'!$C$20="Non-Electric",CONCATENATE(Cool_Type," ",Heating_Type," Heat"),CONCATENATE(Cool_Type," ",Heating_Type))))))))</f>
        <v/>
      </c>
      <c r="N411" s="298" t="str">
        <f t="shared" si="27"/>
        <v/>
      </c>
      <c r="O411" s="298" t="str">
        <f>IF(B411="", "", 'Lighting Inventory (Ref only)'!G422)</f>
        <v/>
      </c>
      <c r="P411" s="298" t="str">
        <f>IF(B411="", "", 'Lighting Inventory (Ref only)'!E422)</f>
        <v/>
      </c>
      <c r="Q411" s="298" t="str">
        <f>IF(B411="", "", 'Lighting Inventory (Ref only)'!J422)</f>
        <v/>
      </c>
      <c r="R411" s="298" t="str">
        <f>IF(B411="", "",'Lighting Inventory (Ref only)'!K422)</f>
        <v/>
      </c>
      <c r="S411" s="372" t="str">
        <f>IF(B411="", "", 'Lighting Inventory (Ref only)'!G422*'Lighting Inventory (Ref only)'!K422/1000)</f>
        <v/>
      </c>
      <c r="T411" s="298" t="str">
        <f>IF(B411="", "", IF('Lighting Inventory (Ref only)'!I422="", "Light Switch",Inventory!H419))</f>
        <v/>
      </c>
      <c r="W411" s="373"/>
      <c r="X411" s="298" t="str">
        <f>IF(B411="", "", 'Lighting Inventory (Ref only)'!Q422)</f>
        <v/>
      </c>
      <c r="Z411" s="374"/>
      <c r="AA411" s="372" t="str">
        <f>IF(B411="", "",'Lighting Inventory (Ref only)'!R422/1000)</f>
        <v/>
      </c>
      <c r="AB411" s="372" t="str">
        <f>IF(B411="", "", Inventory!M419)</f>
        <v/>
      </c>
      <c r="AC411" s="374" t="str">
        <f>IF(B411="", "", 'Lighting Inventory (Ref only)'!T422)</f>
        <v/>
      </c>
      <c r="AD411" s="374" t="str">
        <f>IF(C411="", "", 'Lighting Inventory (Ref only)'!AA422)</f>
        <v/>
      </c>
      <c r="AE411" s="375" t="str">
        <f>IF(B411="", "", 'Lighting Inventory (Ref only)'!U422)</f>
        <v/>
      </c>
      <c r="AF411" s="375" t="str">
        <f>IF(B411="", "",'Lighting Inventory (Ref only)'!W422)</f>
        <v/>
      </c>
      <c r="AG411" s="375"/>
      <c r="AH411" s="375" t="str">
        <f>IF(B411="", "",'Lighting Inventory (Ref only)'!Z422)</f>
        <v/>
      </c>
      <c r="AI411" s="375" t="str">
        <f>IF(B411="", "", 'Lighting Inventory (Ref only)'!Y422)</f>
        <v/>
      </c>
      <c r="AJ411" s="375" t="str">
        <f>IF(C411="", "",'Lighting Inventory (Ref only)'!AB422)</f>
        <v/>
      </c>
      <c r="AK411" s="375" t="str">
        <f>IF(B411="", "", 'Lighting Inventory (Ref only)'!AG422)</f>
        <v/>
      </c>
      <c r="AL411" s="375" t="str">
        <f>IF(B411="", "", 'Lighting Inventory (Ref only)'!AD422)</f>
        <v/>
      </c>
      <c r="AM411" s="375" t="str">
        <f>IF(B411="", "", 'Lighting Inventory (Ref only)'!AE422)</f>
        <v/>
      </c>
      <c r="AN411" s="375" t="str">
        <f>IF(B411="", "", 'Lighting Inventory (Ref only)'!AF422)</f>
        <v/>
      </c>
      <c r="AO411" s="375" t="str">
        <f>IF(B411="", "", 'Lighting Inventory (Ref only)'!AG422)</f>
        <v/>
      </c>
    </row>
    <row r="412" spans="1:41">
      <c r="A412" s="298" t="str">
        <f>IF(G412="", "", Lookups!BF414)</f>
        <v/>
      </c>
      <c r="B412" s="298" t="str">
        <f>IF('Lighting Inventory (Ref only)'!Q423="", "", 'Lighting Inventory (Ref only)'!Q423)</f>
        <v/>
      </c>
      <c r="C412" s="298" t="str">
        <f>IF(A412="", "", 'Lighting Inventory (Ref only)'!AO423)</f>
        <v/>
      </c>
      <c r="D412" s="370" t="str">
        <f>IF(B412= "","", Inventory!S420)</f>
        <v/>
      </c>
      <c r="E412" s="371"/>
      <c r="F412" s="298" t="str">
        <f>IF(B412="", "", 'Version Log'!$B$34)</f>
        <v/>
      </c>
      <c r="G412" s="298" t="str">
        <f t="shared" si="24"/>
        <v/>
      </c>
      <c r="H412" s="298" t="str">
        <f t="shared" si="25"/>
        <v/>
      </c>
      <c r="I412" s="298" t="str">
        <f>IF(B412="", "",Inventory!D420)</f>
        <v/>
      </c>
      <c r="J412" s="298" t="str">
        <f>IF(B412="","",IF(Inventory!C420="N","Interior","Exterior"))</f>
        <v/>
      </c>
      <c r="K412" s="298" t="str">
        <f t="shared" si="26"/>
        <v/>
      </c>
      <c r="L412" s="298" t="str">
        <f>IF(B412="", "", Inventory!E420)</f>
        <v/>
      </c>
      <c r="M412" s="298" t="str">
        <f>IF(B412="","",IF(Cool_Type=Lookups!$L$9,Cool_Type,IF(Cool_Type=Lookups!$L$10,Cool_Type,IF(Cool_Type=Lookups!$L$11,Cool_Type,IF(Cool_Type=Lookups!L422,Cool_Type,IF('Project Info and Summary'!$C$20="Electric",CONCATENATE(Cool_Type," ",Heating_Type," Heat"),IF('Project Info and Summary'!$C$20="Non-Electric",CONCATENATE(Cool_Type," ",Heating_Type," Heat"),CONCATENATE(Cool_Type," ",Heating_Type))))))))</f>
        <v/>
      </c>
      <c r="N412" s="298" t="str">
        <f t="shared" si="27"/>
        <v/>
      </c>
      <c r="O412" s="298" t="str">
        <f>IF(B412="", "", 'Lighting Inventory (Ref only)'!G423)</f>
        <v/>
      </c>
      <c r="P412" s="298" t="str">
        <f>IF(B412="", "", 'Lighting Inventory (Ref only)'!E423)</f>
        <v/>
      </c>
      <c r="Q412" s="298" t="str">
        <f>IF(B412="", "", 'Lighting Inventory (Ref only)'!J423)</f>
        <v/>
      </c>
      <c r="R412" s="298" t="str">
        <f>IF(B412="", "",'Lighting Inventory (Ref only)'!K423)</f>
        <v/>
      </c>
      <c r="S412" s="372" t="str">
        <f>IF(B412="", "", 'Lighting Inventory (Ref only)'!G423*'Lighting Inventory (Ref only)'!K423/1000)</f>
        <v/>
      </c>
      <c r="T412" s="298" t="str">
        <f>IF(B412="", "", IF('Lighting Inventory (Ref only)'!I423="", "Light Switch",Inventory!H420))</f>
        <v/>
      </c>
      <c r="W412" s="373"/>
      <c r="X412" s="298" t="str">
        <f>IF(B412="", "", 'Lighting Inventory (Ref only)'!Q423)</f>
        <v/>
      </c>
      <c r="Z412" s="374"/>
      <c r="AA412" s="372" t="str">
        <f>IF(B412="", "",'Lighting Inventory (Ref only)'!R423/1000)</f>
        <v/>
      </c>
      <c r="AB412" s="372" t="str">
        <f>IF(B412="", "", Inventory!M420)</f>
        <v/>
      </c>
      <c r="AC412" s="374" t="str">
        <f>IF(B412="", "", 'Lighting Inventory (Ref only)'!T423)</f>
        <v/>
      </c>
      <c r="AD412" s="374" t="str">
        <f>IF(C412="", "", 'Lighting Inventory (Ref only)'!AA423)</f>
        <v/>
      </c>
      <c r="AE412" s="375" t="str">
        <f>IF(B412="", "", 'Lighting Inventory (Ref only)'!U423)</f>
        <v/>
      </c>
      <c r="AF412" s="375" t="str">
        <f>IF(B412="", "",'Lighting Inventory (Ref only)'!W423)</f>
        <v/>
      </c>
      <c r="AG412" s="375"/>
      <c r="AH412" s="375" t="str">
        <f>IF(B412="", "",'Lighting Inventory (Ref only)'!Z423)</f>
        <v/>
      </c>
      <c r="AI412" s="375" t="str">
        <f>IF(B412="", "", 'Lighting Inventory (Ref only)'!Y423)</f>
        <v/>
      </c>
      <c r="AJ412" s="375" t="str">
        <f>IF(C412="", "",'Lighting Inventory (Ref only)'!AB423)</f>
        <v/>
      </c>
      <c r="AK412" s="375" t="str">
        <f>IF(B412="", "", 'Lighting Inventory (Ref only)'!AG423)</f>
        <v/>
      </c>
      <c r="AL412" s="375" t="str">
        <f>IF(B412="", "", 'Lighting Inventory (Ref only)'!AD423)</f>
        <v/>
      </c>
      <c r="AM412" s="375" t="str">
        <f>IF(B412="", "", 'Lighting Inventory (Ref only)'!AE423)</f>
        <v/>
      </c>
      <c r="AN412" s="375" t="str">
        <f>IF(B412="", "", 'Lighting Inventory (Ref only)'!AF423)</f>
        <v/>
      </c>
      <c r="AO412" s="375" t="str">
        <f>IF(B412="", "", 'Lighting Inventory (Ref only)'!AG423)</f>
        <v/>
      </c>
    </row>
    <row r="413" spans="1:41">
      <c r="A413" s="298" t="str">
        <f>IF(G413="", "", Lookups!BF415)</f>
        <v/>
      </c>
      <c r="B413" s="298" t="str">
        <f>IF('Lighting Inventory (Ref only)'!Q424="", "", 'Lighting Inventory (Ref only)'!Q424)</f>
        <v/>
      </c>
      <c r="C413" s="298" t="str">
        <f>IF(A413="", "", 'Lighting Inventory (Ref only)'!AO424)</f>
        <v/>
      </c>
      <c r="D413" s="370" t="str">
        <f>IF(B413= "","", Inventory!S421)</f>
        <v/>
      </c>
      <c r="E413" s="371"/>
      <c r="F413" s="298" t="str">
        <f>IF(B413="", "", 'Version Log'!$B$34)</f>
        <v/>
      </c>
      <c r="G413" s="298" t="str">
        <f t="shared" si="24"/>
        <v/>
      </c>
      <c r="H413" s="298" t="str">
        <f t="shared" si="25"/>
        <v/>
      </c>
      <c r="I413" s="298" t="str">
        <f>IF(B413="", "",Inventory!D421)</f>
        <v/>
      </c>
      <c r="J413" s="298" t="str">
        <f>IF(B413="","",IF(Inventory!C421="N","Interior","Exterior"))</f>
        <v/>
      </c>
      <c r="K413" s="298" t="str">
        <f t="shared" si="26"/>
        <v/>
      </c>
      <c r="L413" s="298" t="str">
        <f>IF(B413="", "", Inventory!E421)</f>
        <v/>
      </c>
      <c r="M413" s="298" t="str">
        <f>IF(B413="","",IF(Cool_Type=Lookups!$L$9,Cool_Type,IF(Cool_Type=Lookups!$L$10,Cool_Type,IF(Cool_Type=Lookups!$L$11,Cool_Type,IF(Cool_Type=Lookups!L423,Cool_Type,IF('Project Info and Summary'!$C$20="Electric",CONCATENATE(Cool_Type," ",Heating_Type," Heat"),IF('Project Info and Summary'!$C$20="Non-Electric",CONCATENATE(Cool_Type," ",Heating_Type," Heat"),CONCATENATE(Cool_Type," ",Heating_Type))))))))</f>
        <v/>
      </c>
      <c r="N413" s="298" t="str">
        <f t="shared" si="27"/>
        <v/>
      </c>
      <c r="O413" s="298" t="str">
        <f>IF(B413="", "", 'Lighting Inventory (Ref only)'!G424)</f>
        <v/>
      </c>
      <c r="P413" s="298" t="str">
        <f>IF(B413="", "", 'Lighting Inventory (Ref only)'!E424)</f>
        <v/>
      </c>
      <c r="Q413" s="298" t="str">
        <f>IF(B413="", "", 'Lighting Inventory (Ref only)'!J424)</f>
        <v/>
      </c>
      <c r="R413" s="298" t="str">
        <f>IF(B413="", "",'Lighting Inventory (Ref only)'!K424)</f>
        <v/>
      </c>
      <c r="S413" s="372" t="str">
        <f>IF(B413="", "", 'Lighting Inventory (Ref only)'!G424*'Lighting Inventory (Ref only)'!K424/1000)</f>
        <v/>
      </c>
      <c r="T413" s="298" t="str">
        <f>IF(B413="", "", IF('Lighting Inventory (Ref only)'!I424="", "Light Switch",Inventory!H421))</f>
        <v/>
      </c>
      <c r="W413" s="373"/>
      <c r="X413" s="298" t="str">
        <f>IF(B413="", "", 'Lighting Inventory (Ref only)'!Q424)</f>
        <v/>
      </c>
      <c r="Z413" s="374"/>
      <c r="AA413" s="372" t="str">
        <f>IF(B413="", "",'Lighting Inventory (Ref only)'!R424/1000)</f>
        <v/>
      </c>
      <c r="AB413" s="372" t="str">
        <f>IF(B413="", "", Inventory!M421)</f>
        <v/>
      </c>
      <c r="AC413" s="374" t="str">
        <f>IF(B413="", "", 'Lighting Inventory (Ref only)'!T424)</f>
        <v/>
      </c>
      <c r="AD413" s="374" t="str">
        <f>IF(C413="", "", 'Lighting Inventory (Ref only)'!AA424)</f>
        <v/>
      </c>
      <c r="AE413" s="375" t="str">
        <f>IF(B413="", "", 'Lighting Inventory (Ref only)'!U424)</f>
        <v/>
      </c>
      <c r="AF413" s="375" t="str">
        <f>IF(B413="", "",'Lighting Inventory (Ref only)'!W424)</f>
        <v/>
      </c>
      <c r="AG413" s="375"/>
      <c r="AH413" s="375" t="str">
        <f>IF(B413="", "",'Lighting Inventory (Ref only)'!Z424)</f>
        <v/>
      </c>
      <c r="AI413" s="375" t="str">
        <f>IF(B413="", "", 'Lighting Inventory (Ref only)'!Y424)</f>
        <v/>
      </c>
      <c r="AJ413" s="375" t="str">
        <f>IF(C413="", "",'Lighting Inventory (Ref only)'!AB424)</f>
        <v/>
      </c>
      <c r="AK413" s="375" t="str">
        <f>IF(B413="", "", 'Lighting Inventory (Ref only)'!AG424)</f>
        <v/>
      </c>
      <c r="AL413" s="375" t="str">
        <f>IF(B413="", "", 'Lighting Inventory (Ref only)'!AD424)</f>
        <v/>
      </c>
      <c r="AM413" s="375" t="str">
        <f>IF(B413="", "", 'Lighting Inventory (Ref only)'!AE424)</f>
        <v/>
      </c>
      <c r="AN413" s="375" t="str">
        <f>IF(B413="", "", 'Lighting Inventory (Ref only)'!AF424)</f>
        <v/>
      </c>
      <c r="AO413" s="375" t="str">
        <f>IF(B413="", "", 'Lighting Inventory (Ref only)'!AG424)</f>
        <v/>
      </c>
    </row>
    <row r="414" spans="1:41">
      <c r="A414" s="298" t="str">
        <f>IF(G414="", "", Lookups!BF416)</f>
        <v/>
      </c>
      <c r="B414" s="298" t="str">
        <f>IF('Lighting Inventory (Ref only)'!Q425="", "", 'Lighting Inventory (Ref only)'!Q425)</f>
        <v/>
      </c>
      <c r="C414" s="298" t="str">
        <f>IF(A414="", "", 'Lighting Inventory (Ref only)'!AO425)</f>
        <v/>
      </c>
      <c r="D414" s="370" t="str">
        <f>IF(B414= "","", Inventory!S422)</f>
        <v/>
      </c>
      <c r="E414" s="371"/>
      <c r="F414" s="298" t="str">
        <f>IF(B414="", "", 'Version Log'!$B$34)</f>
        <v/>
      </c>
      <c r="G414" s="298" t="str">
        <f t="shared" si="24"/>
        <v/>
      </c>
      <c r="H414" s="298" t="str">
        <f t="shared" si="25"/>
        <v/>
      </c>
      <c r="I414" s="298" t="str">
        <f>IF(B414="", "",Inventory!D422)</f>
        <v/>
      </c>
      <c r="J414" s="298" t="str">
        <f>IF(B414="","",IF(Inventory!C422="N","Interior","Exterior"))</f>
        <v/>
      </c>
      <c r="K414" s="298" t="str">
        <f t="shared" si="26"/>
        <v/>
      </c>
      <c r="L414" s="298" t="str">
        <f>IF(B414="", "", Inventory!E422)</f>
        <v/>
      </c>
      <c r="M414" s="298" t="str">
        <f>IF(B414="","",IF(Cool_Type=Lookups!$L$9,Cool_Type,IF(Cool_Type=Lookups!$L$10,Cool_Type,IF(Cool_Type=Lookups!$L$11,Cool_Type,IF(Cool_Type=Lookups!L424,Cool_Type,IF('Project Info and Summary'!$C$20="Electric",CONCATENATE(Cool_Type," ",Heating_Type," Heat"),IF('Project Info and Summary'!$C$20="Non-Electric",CONCATENATE(Cool_Type," ",Heating_Type," Heat"),CONCATENATE(Cool_Type," ",Heating_Type))))))))</f>
        <v/>
      </c>
      <c r="N414" s="298" t="str">
        <f t="shared" si="27"/>
        <v/>
      </c>
      <c r="O414" s="298" t="str">
        <f>IF(B414="", "", 'Lighting Inventory (Ref only)'!G425)</f>
        <v/>
      </c>
      <c r="P414" s="298" t="str">
        <f>IF(B414="", "", 'Lighting Inventory (Ref only)'!E425)</f>
        <v/>
      </c>
      <c r="Q414" s="298" t="str">
        <f>IF(B414="", "", 'Lighting Inventory (Ref only)'!J425)</f>
        <v/>
      </c>
      <c r="R414" s="298" t="str">
        <f>IF(B414="", "",'Lighting Inventory (Ref only)'!K425)</f>
        <v/>
      </c>
      <c r="S414" s="372" t="str">
        <f>IF(B414="", "", 'Lighting Inventory (Ref only)'!G425*'Lighting Inventory (Ref only)'!K425/1000)</f>
        <v/>
      </c>
      <c r="T414" s="298" t="str">
        <f>IF(B414="", "", IF('Lighting Inventory (Ref only)'!I425="", "Light Switch",Inventory!H422))</f>
        <v/>
      </c>
      <c r="W414" s="373"/>
      <c r="X414" s="298" t="str">
        <f>IF(B414="", "", 'Lighting Inventory (Ref only)'!Q425)</f>
        <v/>
      </c>
      <c r="Z414" s="374"/>
      <c r="AA414" s="372" t="str">
        <f>IF(B414="", "",'Lighting Inventory (Ref only)'!R425/1000)</f>
        <v/>
      </c>
      <c r="AB414" s="372" t="str">
        <f>IF(B414="", "", Inventory!M422)</f>
        <v/>
      </c>
      <c r="AC414" s="374" t="str">
        <f>IF(B414="", "", 'Lighting Inventory (Ref only)'!T425)</f>
        <v/>
      </c>
      <c r="AD414" s="374" t="str">
        <f>IF(C414="", "", 'Lighting Inventory (Ref only)'!AA425)</f>
        <v/>
      </c>
      <c r="AE414" s="375" t="str">
        <f>IF(B414="", "", 'Lighting Inventory (Ref only)'!U425)</f>
        <v/>
      </c>
      <c r="AF414" s="375" t="str">
        <f>IF(B414="", "",'Lighting Inventory (Ref only)'!W425)</f>
        <v/>
      </c>
      <c r="AG414" s="375"/>
      <c r="AH414" s="375" t="str">
        <f>IF(B414="", "",'Lighting Inventory (Ref only)'!Z425)</f>
        <v/>
      </c>
      <c r="AI414" s="375" t="str">
        <f>IF(B414="", "", 'Lighting Inventory (Ref only)'!Y425)</f>
        <v/>
      </c>
      <c r="AJ414" s="375" t="str">
        <f>IF(C414="", "",'Lighting Inventory (Ref only)'!AB425)</f>
        <v/>
      </c>
      <c r="AK414" s="375" t="str">
        <f>IF(B414="", "", 'Lighting Inventory (Ref only)'!AG425)</f>
        <v/>
      </c>
      <c r="AL414" s="375" t="str">
        <f>IF(B414="", "", 'Lighting Inventory (Ref only)'!AD425)</f>
        <v/>
      </c>
      <c r="AM414" s="375" t="str">
        <f>IF(B414="", "", 'Lighting Inventory (Ref only)'!AE425)</f>
        <v/>
      </c>
      <c r="AN414" s="375" t="str">
        <f>IF(B414="", "", 'Lighting Inventory (Ref only)'!AF425)</f>
        <v/>
      </c>
      <c r="AO414" s="375" t="str">
        <f>IF(B414="", "", 'Lighting Inventory (Ref only)'!AG425)</f>
        <v/>
      </c>
    </row>
    <row r="415" spans="1:41">
      <c r="A415" s="298" t="str">
        <f>IF(G415="", "", Lookups!BF417)</f>
        <v/>
      </c>
      <c r="B415" s="298" t="str">
        <f>IF('Lighting Inventory (Ref only)'!Q426="", "", 'Lighting Inventory (Ref only)'!Q426)</f>
        <v/>
      </c>
      <c r="C415" s="298" t="str">
        <f>IF(A415="", "", 'Lighting Inventory (Ref only)'!AO426)</f>
        <v/>
      </c>
      <c r="D415" s="370" t="str">
        <f>IF(B415= "","", Inventory!S423)</f>
        <v/>
      </c>
      <c r="E415" s="371"/>
      <c r="F415" s="298" t="str">
        <f>IF(B415="", "", 'Version Log'!$B$34)</f>
        <v/>
      </c>
      <c r="G415" s="298" t="str">
        <f t="shared" si="24"/>
        <v/>
      </c>
      <c r="H415" s="298" t="str">
        <f t="shared" si="25"/>
        <v/>
      </c>
      <c r="I415" s="298" t="str">
        <f>IF(B415="", "",Inventory!D423)</f>
        <v/>
      </c>
      <c r="J415" s="298" t="str">
        <f>IF(B415="","",IF(Inventory!C423="N","Interior","Exterior"))</f>
        <v/>
      </c>
      <c r="K415" s="298" t="str">
        <f t="shared" si="26"/>
        <v/>
      </c>
      <c r="L415" s="298" t="str">
        <f>IF(B415="", "", Inventory!E423)</f>
        <v/>
      </c>
      <c r="M415" s="298" t="str">
        <f>IF(B415="","",IF(Cool_Type=Lookups!$L$9,Cool_Type,IF(Cool_Type=Lookups!$L$10,Cool_Type,IF(Cool_Type=Lookups!$L$11,Cool_Type,IF(Cool_Type=Lookups!L425,Cool_Type,IF('Project Info and Summary'!$C$20="Electric",CONCATENATE(Cool_Type," ",Heating_Type," Heat"),IF('Project Info and Summary'!$C$20="Non-Electric",CONCATENATE(Cool_Type," ",Heating_Type," Heat"),CONCATENATE(Cool_Type," ",Heating_Type))))))))</f>
        <v/>
      </c>
      <c r="N415" s="298" t="str">
        <f t="shared" si="27"/>
        <v/>
      </c>
      <c r="O415" s="298" t="str">
        <f>IF(B415="", "", 'Lighting Inventory (Ref only)'!G426)</f>
        <v/>
      </c>
      <c r="P415" s="298" t="str">
        <f>IF(B415="", "", 'Lighting Inventory (Ref only)'!E426)</f>
        <v/>
      </c>
      <c r="Q415" s="298" t="str">
        <f>IF(B415="", "", 'Lighting Inventory (Ref only)'!J426)</f>
        <v/>
      </c>
      <c r="R415" s="298" t="str">
        <f>IF(B415="", "",'Lighting Inventory (Ref only)'!K426)</f>
        <v/>
      </c>
      <c r="S415" s="372" t="str">
        <f>IF(B415="", "", 'Lighting Inventory (Ref only)'!G426*'Lighting Inventory (Ref only)'!K426/1000)</f>
        <v/>
      </c>
      <c r="T415" s="298" t="str">
        <f>IF(B415="", "", IF('Lighting Inventory (Ref only)'!I426="", "Light Switch",Inventory!H423))</f>
        <v/>
      </c>
      <c r="W415" s="373"/>
      <c r="X415" s="298" t="str">
        <f>IF(B415="", "", 'Lighting Inventory (Ref only)'!Q426)</f>
        <v/>
      </c>
      <c r="Z415" s="374"/>
      <c r="AA415" s="372" t="str">
        <f>IF(B415="", "",'Lighting Inventory (Ref only)'!R426/1000)</f>
        <v/>
      </c>
      <c r="AB415" s="372" t="str">
        <f>IF(B415="", "", Inventory!M423)</f>
        <v/>
      </c>
      <c r="AC415" s="374" t="str">
        <f>IF(B415="", "", 'Lighting Inventory (Ref only)'!T426)</f>
        <v/>
      </c>
      <c r="AD415" s="374" t="str">
        <f>IF(C415="", "", 'Lighting Inventory (Ref only)'!AA426)</f>
        <v/>
      </c>
      <c r="AE415" s="375" t="str">
        <f>IF(B415="", "", 'Lighting Inventory (Ref only)'!U426)</f>
        <v/>
      </c>
      <c r="AF415" s="375" t="str">
        <f>IF(B415="", "",'Lighting Inventory (Ref only)'!W426)</f>
        <v/>
      </c>
      <c r="AG415" s="375"/>
      <c r="AH415" s="375" t="str">
        <f>IF(B415="", "",'Lighting Inventory (Ref only)'!Z426)</f>
        <v/>
      </c>
      <c r="AI415" s="375" t="str">
        <f>IF(B415="", "", 'Lighting Inventory (Ref only)'!Y426)</f>
        <v/>
      </c>
      <c r="AJ415" s="375" t="str">
        <f>IF(C415="", "",'Lighting Inventory (Ref only)'!AB426)</f>
        <v/>
      </c>
      <c r="AK415" s="375" t="str">
        <f>IF(B415="", "", 'Lighting Inventory (Ref only)'!AG426)</f>
        <v/>
      </c>
      <c r="AL415" s="375" t="str">
        <f>IF(B415="", "", 'Lighting Inventory (Ref only)'!AD426)</f>
        <v/>
      </c>
      <c r="AM415" s="375" t="str">
        <f>IF(B415="", "", 'Lighting Inventory (Ref only)'!AE426)</f>
        <v/>
      </c>
      <c r="AN415" s="375" t="str">
        <f>IF(B415="", "", 'Lighting Inventory (Ref only)'!AF426)</f>
        <v/>
      </c>
      <c r="AO415" s="375" t="str">
        <f>IF(B415="", "", 'Lighting Inventory (Ref only)'!AG426)</f>
        <v/>
      </c>
    </row>
    <row r="416" spans="1:41">
      <c r="A416" s="298" t="str">
        <f>IF(G416="", "", Lookups!BF418)</f>
        <v/>
      </c>
      <c r="B416" s="298" t="str">
        <f>IF('Lighting Inventory (Ref only)'!Q427="", "", 'Lighting Inventory (Ref only)'!Q427)</f>
        <v/>
      </c>
      <c r="C416" s="298" t="str">
        <f>IF(A416="", "", 'Lighting Inventory (Ref only)'!AO427)</f>
        <v/>
      </c>
      <c r="D416" s="370" t="str">
        <f>IF(B416= "","", Inventory!S424)</f>
        <v/>
      </c>
      <c r="E416" s="371"/>
      <c r="F416" s="298" t="str">
        <f>IF(B416="", "", 'Version Log'!$B$34)</f>
        <v/>
      </c>
      <c r="G416" s="298" t="str">
        <f t="shared" si="24"/>
        <v/>
      </c>
      <c r="H416" s="298" t="str">
        <f t="shared" si="25"/>
        <v/>
      </c>
      <c r="I416" s="298" t="str">
        <f>IF(B416="", "",Inventory!D424)</f>
        <v/>
      </c>
      <c r="J416" s="298" t="str">
        <f>IF(B416="","",IF(Inventory!C424="N","Interior","Exterior"))</f>
        <v/>
      </c>
      <c r="K416" s="298" t="str">
        <f t="shared" si="26"/>
        <v/>
      </c>
      <c r="L416" s="298" t="str">
        <f>IF(B416="", "", Inventory!E424)</f>
        <v/>
      </c>
      <c r="M416" s="298" t="str">
        <f>IF(B416="","",IF(Cool_Type=Lookups!$L$9,Cool_Type,IF(Cool_Type=Lookups!$L$10,Cool_Type,IF(Cool_Type=Lookups!$L$11,Cool_Type,IF(Cool_Type=Lookups!L426,Cool_Type,IF('Project Info and Summary'!$C$20="Electric",CONCATENATE(Cool_Type," ",Heating_Type," Heat"),IF('Project Info and Summary'!$C$20="Non-Electric",CONCATENATE(Cool_Type," ",Heating_Type," Heat"),CONCATENATE(Cool_Type," ",Heating_Type))))))))</f>
        <v/>
      </c>
      <c r="N416" s="298" t="str">
        <f t="shared" si="27"/>
        <v/>
      </c>
      <c r="O416" s="298" t="str">
        <f>IF(B416="", "", 'Lighting Inventory (Ref only)'!G427)</f>
        <v/>
      </c>
      <c r="P416" s="298" t="str">
        <f>IF(B416="", "", 'Lighting Inventory (Ref only)'!E427)</f>
        <v/>
      </c>
      <c r="Q416" s="298" t="str">
        <f>IF(B416="", "", 'Lighting Inventory (Ref only)'!J427)</f>
        <v/>
      </c>
      <c r="R416" s="298" t="str">
        <f>IF(B416="", "",'Lighting Inventory (Ref only)'!K427)</f>
        <v/>
      </c>
      <c r="S416" s="372" t="str">
        <f>IF(B416="", "", 'Lighting Inventory (Ref only)'!G427*'Lighting Inventory (Ref only)'!K427/1000)</f>
        <v/>
      </c>
      <c r="T416" s="298" t="str">
        <f>IF(B416="", "", IF('Lighting Inventory (Ref only)'!I427="", "Light Switch",Inventory!H424))</f>
        <v/>
      </c>
      <c r="W416" s="373"/>
      <c r="X416" s="298" t="str">
        <f>IF(B416="", "", 'Lighting Inventory (Ref only)'!Q427)</f>
        <v/>
      </c>
      <c r="Z416" s="374"/>
      <c r="AA416" s="372" t="str">
        <f>IF(B416="", "",'Lighting Inventory (Ref only)'!R427/1000)</f>
        <v/>
      </c>
      <c r="AB416" s="372" t="str">
        <f>IF(B416="", "", Inventory!M424)</f>
        <v/>
      </c>
      <c r="AC416" s="374" t="str">
        <f>IF(B416="", "", 'Lighting Inventory (Ref only)'!T427)</f>
        <v/>
      </c>
      <c r="AD416" s="374" t="str">
        <f>IF(C416="", "", 'Lighting Inventory (Ref only)'!AA427)</f>
        <v/>
      </c>
      <c r="AE416" s="375" t="str">
        <f>IF(B416="", "", 'Lighting Inventory (Ref only)'!U427)</f>
        <v/>
      </c>
      <c r="AF416" s="375" t="str">
        <f>IF(B416="", "",'Lighting Inventory (Ref only)'!W427)</f>
        <v/>
      </c>
      <c r="AG416" s="375"/>
      <c r="AH416" s="375" t="str">
        <f>IF(B416="", "",'Lighting Inventory (Ref only)'!Z427)</f>
        <v/>
      </c>
      <c r="AI416" s="375" t="str">
        <f>IF(B416="", "", 'Lighting Inventory (Ref only)'!Y427)</f>
        <v/>
      </c>
      <c r="AJ416" s="375" t="str">
        <f>IF(C416="", "",'Lighting Inventory (Ref only)'!AB427)</f>
        <v/>
      </c>
      <c r="AK416" s="375" t="str">
        <f>IF(B416="", "", 'Lighting Inventory (Ref only)'!AG427)</f>
        <v/>
      </c>
      <c r="AL416" s="375" t="str">
        <f>IF(B416="", "", 'Lighting Inventory (Ref only)'!AD427)</f>
        <v/>
      </c>
      <c r="AM416" s="375" t="str">
        <f>IF(B416="", "", 'Lighting Inventory (Ref only)'!AE427)</f>
        <v/>
      </c>
      <c r="AN416" s="375" t="str">
        <f>IF(B416="", "", 'Lighting Inventory (Ref only)'!AF427)</f>
        <v/>
      </c>
      <c r="AO416" s="375" t="str">
        <f>IF(B416="", "", 'Lighting Inventory (Ref only)'!AG427)</f>
        <v/>
      </c>
    </row>
    <row r="417" spans="1:41">
      <c r="A417" s="298" t="str">
        <f>IF(G417="", "", Lookups!BF419)</f>
        <v/>
      </c>
      <c r="B417" s="298" t="str">
        <f>IF('Lighting Inventory (Ref only)'!Q428="", "", 'Lighting Inventory (Ref only)'!Q428)</f>
        <v/>
      </c>
      <c r="C417" s="298" t="str">
        <f>IF(A417="", "", 'Lighting Inventory (Ref only)'!AO428)</f>
        <v/>
      </c>
      <c r="D417" s="370" t="str">
        <f>IF(B417= "","", Inventory!S425)</f>
        <v/>
      </c>
      <c r="E417" s="371"/>
      <c r="F417" s="298" t="str">
        <f>IF(B417="", "", 'Version Log'!$B$34)</f>
        <v/>
      </c>
      <c r="G417" s="298" t="str">
        <f t="shared" si="24"/>
        <v/>
      </c>
      <c r="H417" s="298" t="str">
        <f t="shared" si="25"/>
        <v/>
      </c>
      <c r="I417" s="298" t="str">
        <f>IF(B417="", "",Inventory!D425)</f>
        <v/>
      </c>
      <c r="J417" s="298" t="str">
        <f>IF(B417="","",IF(Inventory!C425="N","Interior","Exterior"))</f>
        <v/>
      </c>
      <c r="K417" s="298" t="str">
        <f t="shared" si="26"/>
        <v/>
      </c>
      <c r="L417" s="298" t="str">
        <f>IF(B417="", "", Inventory!E425)</f>
        <v/>
      </c>
      <c r="M417" s="298" t="str">
        <f>IF(B417="","",IF(Cool_Type=Lookups!$L$9,Cool_Type,IF(Cool_Type=Lookups!$L$10,Cool_Type,IF(Cool_Type=Lookups!$L$11,Cool_Type,IF(Cool_Type=Lookups!L427,Cool_Type,IF('Project Info and Summary'!$C$20="Electric",CONCATENATE(Cool_Type," ",Heating_Type," Heat"),IF('Project Info and Summary'!$C$20="Non-Electric",CONCATENATE(Cool_Type," ",Heating_Type," Heat"),CONCATENATE(Cool_Type," ",Heating_Type))))))))</f>
        <v/>
      </c>
      <c r="N417" s="298" t="str">
        <f t="shared" si="27"/>
        <v/>
      </c>
      <c r="O417" s="298" t="str">
        <f>IF(B417="", "", 'Lighting Inventory (Ref only)'!G428)</f>
        <v/>
      </c>
      <c r="P417" s="298" t="str">
        <f>IF(B417="", "", 'Lighting Inventory (Ref only)'!E428)</f>
        <v/>
      </c>
      <c r="Q417" s="298" t="str">
        <f>IF(B417="", "", 'Lighting Inventory (Ref only)'!J428)</f>
        <v/>
      </c>
      <c r="R417" s="298" t="str">
        <f>IF(B417="", "",'Lighting Inventory (Ref only)'!K428)</f>
        <v/>
      </c>
      <c r="S417" s="372" t="str">
        <f>IF(B417="", "", 'Lighting Inventory (Ref only)'!G428*'Lighting Inventory (Ref only)'!K428/1000)</f>
        <v/>
      </c>
      <c r="T417" s="298" t="str">
        <f>IF(B417="", "", IF('Lighting Inventory (Ref only)'!I428="", "Light Switch",Inventory!H425))</f>
        <v/>
      </c>
      <c r="W417" s="373"/>
      <c r="X417" s="298" t="str">
        <f>IF(B417="", "", 'Lighting Inventory (Ref only)'!Q428)</f>
        <v/>
      </c>
      <c r="Z417" s="374"/>
      <c r="AA417" s="372" t="str">
        <f>IF(B417="", "",'Lighting Inventory (Ref only)'!R428/1000)</f>
        <v/>
      </c>
      <c r="AB417" s="372" t="str">
        <f>IF(B417="", "", Inventory!M425)</f>
        <v/>
      </c>
      <c r="AC417" s="374" t="str">
        <f>IF(B417="", "", 'Lighting Inventory (Ref only)'!T428)</f>
        <v/>
      </c>
      <c r="AD417" s="374" t="str">
        <f>IF(C417="", "", 'Lighting Inventory (Ref only)'!AA428)</f>
        <v/>
      </c>
      <c r="AE417" s="375" t="str">
        <f>IF(B417="", "", 'Lighting Inventory (Ref only)'!U428)</f>
        <v/>
      </c>
      <c r="AF417" s="375" t="str">
        <f>IF(B417="", "",'Lighting Inventory (Ref only)'!W428)</f>
        <v/>
      </c>
      <c r="AG417" s="375"/>
      <c r="AH417" s="375" t="str">
        <f>IF(B417="", "",'Lighting Inventory (Ref only)'!Z428)</f>
        <v/>
      </c>
      <c r="AI417" s="375" t="str">
        <f>IF(B417="", "", 'Lighting Inventory (Ref only)'!Y428)</f>
        <v/>
      </c>
      <c r="AJ417" s="375" t="str">
        <f>IF(C417="", "",'Lighting Inventory (Ref only)'!AB428)</f>
        <v/>
      </c>
      <c r="AK417" s="375" t="str">
        <f>IF(B417="", "", 'Lighting Inventory (Ref only)'!AG428)</f>
        <v/>
      </c>
      <c r="AL417" s="375" t="str">
        <f>IF(B417="", "", 'Lighting Inventory (Ref only)'!AD428)</f>
        <v/>
      </c>
      <c r="AM417" s="375" t="str">
        <f>IF(B417="", "", 'Lighting Inventory (Ref only)'!AE428)</f>
        <v/>
      </c>
      <c r="AN417" s="375" t="str">
        <f>IF(B417="", "", 'Lighting Inventory (Ref only)'!AF428)</f>
        <v/>
      </c>
      <c r="AO417" s="375" t="str">
        <f>IF(B417="", "", 'Lighting Inventory (Ref only)'!AG428)</f>
        <v/>
      </c>
    </row>
    <row r="418" spans="1:41">
      <c r="A418" s="298" t="str">
        <f>IF(G418="", "", Lookups!BF420)</f>
        <v/>
      </c>
      <c r="B418" s="298" t="str">
        <f>IF('Lighting Inventory (Ref only)'!Q429="", "", 'Lighting Inventory (Ref only)'!Q429)</f>
        <v/>
      </c>
      <c r="C418" s="298" t="str">
        <f>IF(A418="", "", 'Lighting Inventory (Ref only)'!AO429)</f>
        <v/>
      </c>
      <c r="D418" s="370" t="str">
        <f>IF(B418= "","", Inventory!S426)</f>
        <v/>
      </c>
      <c r="E418" s="371"/>
      <c r="F418" s="298" t="str">
        <f>IF(B418="", "", 'Version Log'!$B$34)</f>
        <v/>
      </c>
      <c r="G418" s="298" t="str">
        <f t="shared" si="24"/>
        <v/>
      </c>
      <c r="H418" s="298" t="str">
        <f t="shared" si="25"/>
        <v/>
      </c>
      <c r="I418" s="298" t="str">
        <f>IF(B418="", "",Inventory!D426)</f>
        <v/>
      </c>
      <c r="J418" s="298" t="str">
        <f>IF(B418="","",IF(Inventory!C426="N","Interior","Exterior"))</f>
        <v/>
      </c>
      <c r="K418" s="298" t="str">
        <f t="shared" si="26"/>
        <v/>
      </c>
      <c r="L418" s="298" t="str">
        <f>IF(B418="", "", Inventory!E426)</f>
        <v/>
      </c>
      <c r="M418" s="298" t="str">
        <f>IF(B418="","",IF(Cool_Type=Lookups!$L$9,Cool_Type,IF(Cool_Type=Lookups!$L$10,Cool_Type,IF(Cool_Type=Lookups!$L$11,Cool_Type,IF(Cool_Type=Lookups!L428,Cool_Type,IF('Project Info and Summary'!$C$20="Electric",CONCATENATE(Cool_Type," ",Heating_Type," Heat"),IF('Project Info and Summary'!$C$20="Non-Electric",CONCATENATE(Cool_Type," ",Heating_Type," Heat"),CONCATENATE(Cool_Type," ",Heating_Type))))))))</f>
        <v/>
      </c>
      <c r="N418" s="298" t="str">
        <f t="shared" si="27"/>
        <v/>
      </c>
      <c r="O418" s="298" t="str">
        <f>IF(B418="", "", 'Lighting Inventory (Ref only)'!G429)</f>
        <v/>
      </c>
      <c r="P418" s="298" t="str">
        <f>IF(B418="", "", 'Lighting Inventory (Ref only)'!E429)</f>
        <v/>
      </c>
      <c r="Q418" s="298" t="str">
        <f>IF(B418="", "", 'Lighting Inventory (Ref only)'!J429)</f>
        <v/>
      </c>
      <c r="R418" s="298" t="str">
        <f>IF(B418="", "",'Lighting Inventory (Ref only)'!K429)</f>
        <v/>
      </c>
      <c r="S418" s="372" t="str">
        <f>IF(B418="", "", 'Lighting Inventory (Ref only)'!G429*'Lighting Inventory (Ref only)'!K429/1000)</f>
        <v/>
      </c>
      <c r="T418" s="298" t="str">
        <f>IF(B418="", "", IF('Lighting Inventory (Ref only)'!I429="", "Light Switch",Inventory!H426))</f>
        <v/>
      </c>
      <c r="W418" s="373"/>
      <c r="X418" s="298" t="str">
        <f>IF(B418="", "", 'Lighting Inventory (Ref only)'!Q429)</f>
        <v/>
      </c>
      <c r="Z418" s="374"/>
      <c r="AA418" s="372" t="str">
        <f>IF(B418="", "",'Lighting Inventory (Ref only)'!R429/1000)</f>
        <v/>
      </c>
      <c r="AB418" s="372" t="str">
        <f>IF(B418="", "", Inventory!M426)</f>
        <v/>
      </c>
      <c r="AC418" s="374" t="str">
        <f>IF(B418="", "", 'Lighting Inventory (Ref only)'!T429)</f>
        <v/>
      </c>
      <c r="AD418" s="374" t="str">
        <f>IF(C418="", "", 'Lighting Inventory (Ref only)'!AA429)</f>
        <v/>
      </c>
      <c r="AE418" s="375" t="str">
        <f>IF(B418="", "", 'Lighting Inventory (Ref only)'!U429)</f>
        <v/>
      </c>
      <c r="AF418" s="375" t="str">
        <f>IF(B418="", "",'Lighting Inventory (Ref only)'!W429)</f>
        <v/>
      </c>
      <c r="AG418" s="375"/>
      <c r="AH418" s="375" t="str">
        <f>IF(B418="", "",'Lighting Inventory (Ref only)'!Z429)</f>
        <v/>
      </c>
      <c r="AI418" s="375" t="str">
        <f>IF(B418="", "", 'Lighting Inventory (Ref only)'!Y429)</f>
        <v/>
      </c>
      <c r="AJ418" s="375" t="str">
        <f>IF(C418="", "",'Lighting Inventory (Ref only)'!AB429)</f>
        <v/>
      </c>
      <c r="AK418" s="375" t="str">
        <f>IF(B418="", "", 'Lighting Inventory (Ref only)'!AG429)</f>
        <v/>
      </c>
      <c r="AL418" s="375" t="str">
        <f>IF(B418="", "", 'Lighting Inventory (Ref only)'!AD429)</f>
        <v/>
      </c>
      <c r="AM418" s="375" t="str">
        <f>IF(B418="", "", 'Lighting Inventory (Ref only)'!AE429)</f>
        <v/>
      </c>
      <c r="AN418" s="375" t="str">
        <f>IF(B418="", "", 'Lighting Inventory (Ref only)'!AF429)</f>
        <v/>
      </c>
      <c r="AO418" s="375" t="str">
        <f>IF(B418="", "", 'Lighting Inventory (Ref only)'!AG429)</f>
        <v/>
      </c>
    </row>
    <row r="419" spans="1:41">
      <c r="A419" s="298" t="str">
        <f>IF(G419="", "", Lookups!BF421)</f>
        <v/>
      </c>
      <c r="B419" s="298" t="str">
        <f>IF('Lighting Inventory (Ref only)'!Q430="", "", 'Lighting Inventory (Ref only)'!Q430)</f>
        <v/>
      </c>
      <c r="C419" s="298" t="str">
        <f>IF(A419="", "", 'Lighting Inventory (Ref only)'!AO430)</f>
        <v/>
      </c>
      <c r="D419" s="370" t="str">
        <f>IF(B419= "","", Inventory!S427)</f>
        <v/>
      </c>
      <c r="E419" s="371"/>
      <c r="F419" s="298" t="str">
        <f>IF(B419="", "", 'Version Log'!$B$34)</f>
        <v/>
      </c>
      <c r="G419" s="298" t="str">
        <f t="shared" si="24"/>
        <v/>
      </c>
      <c r="H419" s="298" t="str">
        <f t="shared" si="25"/>
        <v/>
      </c>
      <c r="I419" s="298" t="str">
        <f>IF(B419="", "",Inventory!D427)</f>
        <v/>
      </c>
      <c r="J419" s="298" t="str">
        <f>IF(B419="","",IF(Inventory!C427="N","Interior","Exterior"))</f>
        <v/>
      </c>
      <c r="K419" s="298" t="str">
        <f t="shared" si="26"/>
        <v/>
      </c>
      <c r="L419" s="298" t="str">
        <f>IF(B419="", "", Inventory!E427)</f>
        <v/>
      </c>
      <c r="M419" s="298" t="str">
        <f>IF(B419="","",IF(Cool_Type=Lookups!$L$9,Cool_Type,IF(Cool_Type=Lookups!$L$10,Cool_Type,IF(Cool_Type=Lookups!$L$11,Cool_Type,IF(Cool_Type=Lookups!L429,Cool_Type,IF('Project Info and Summary'!$C$20="Electric",CONCATENATE(Cool_Type," ",Heating_Type," Heat"),IF('Project Info and Summary'!$C$20="Non-Electric",CONCATENATE(Cool_Type," ",Heating_Type," Heat"),CONCATENATE(Cool_Type," ",Heating_Type))))))))</f>
        <v/>
      </c>
      <c r="N419" s="298" t="str">
        <f t="shared" si="27"/>
        <v/>
      </c>
      <c r="O419" s="298" t="str">
        <f>IF(B419="", "", 'Lighting Inventory (Ref only)'!G430)</f>
        <v/>
      </c>
      <c r="P419" s="298" t="str">
        <f>IF(B419="", "", 'Lighting Inventory (Ref only)'!E430)</f>
        <v/>
      </c>
      <c r="Q419" s="298" t="str">
        <f>IF(B419="", "", 'Lighting Inventory (Ref only)'!J430)</f>
        <v/>
      </c>
      <c r="R419" s="298" t="str">
        <f>IF(B419="", "",'Lighting Inventory (Ref only)'!K430)</f>
        <v/>
      </c>
      <c r="S419" s="372" t="str">
        <f>IF(B419="", "", 'Lighting Inventory (Ref only)'!G430*'Lighting Inventory (Ref only)'!K430/1000)</f>
        <v/>
      </c>
      <c r="T419" s="298" t="str">
        <f>IF(B419="", "", IF('Lighting Inventory (Ref only)'!I430="", "Light Switch",Inventory!H427))</f>
        <v/>
      </c>
      <c r="W419" s="373"/>
      <c r="X419" s="298" t="str">
        <f>IF(B419="", "", 'Lighting Inventory (Ref only)'!Q430)</f>
        <v/>
      </c>
      <c r="Z419" s="374"/>
      <c r="AA419" s="372" t="str">
        <f>IF(B419="", "",'Lighting Inventory (Ref only)'!R430/1000)</f>
        <v/>
      </c>
      <c r="AB419" s="372" t="str">
        <f>IF(B419="", "", Inventory!M427)</f>
        <v/>
      </c>
      <c r="AC419" s="374" t="str">
        <f>IF(B419="", "", 'Lighting Inventory (Ref only)'!T430)</f>
        <v/>
      </c>
      <c r="AD419" s="374" t="str">
        <f>IF(C419="", "", 'Lighting Inventory (Ref only)'!AA430)</f>
        <v/>
      </c>
      <c r="AE419" s="375" t="str">
        <f>IF(B419="", "", 'Lighting Inventory (Ref only)'!U430)</f>
        <v/>
      </c>
      <c r="AF419" s="375" t="str">
        <f>IF(B419="", "",'Lighting Inventory (Ref only)'!W430)</f>
        <v/>
      </c>
      <c r="AG419" s="375"/>
      <c r="AH419" s="375" t="str">
        <f>IF(B419="", "",'Lighting Inventory (Ref only)'!Z430)</f>
        <v/>
      </c>
      <c r="AI419" s="375" t="str">
        <f>IF(B419="", "", 'Lighting Inventory (Ref only)'!Y430)</f>
        <v/>
      </c>
      <c r="AJ419" s="375" t="str">
        <f>IF(C419="", "",'Lighting Inventory (Ref only)'!AB430)</f>
        <v/>
      </c>
      <c r="AK419" s="375" t="str">
        <f>IF(B419="", "", 'Lighting Inventory (Ref only)'!AG430)</f>
        <v/>
      </c>
      <c r="AL419" s="375" t="str">
        <f>IF(B419="", "", 'Lighting Inventory (Ref only)'!AD430)</f>
        <v/>
      </c>
      <c r="AM419" s="375" t="str">
        <f>IF(B419="", "", 'Lighting Inventory (Ref only)'!AE430)</f>
        <v/>
      </c>
      <c r="AN419" s="375" t="str">
        <f>IF(B419="", "", 'Lighting Inventory (Ref only)'!AF430)</f>
        <v/>
      </c>
      <c r="AO419" s="375" t="str">
        <f>IF(B419="", "", 'Lighting Inventory (Ref only)'!AG430)</f>
        <v/>
      </c>
    </row>
    <row r="420" spans="1:41">
      <c r="A420" s="298" t="str">
        <f>IF(G420="", "", Lookups!BF422)</f>
        <v/>
      </c>
      <c r="B420" s="298" t="str">
        <f>IF('Lighting Inventory (Ref only)'!Q431="", "", 'Lighting Inventory (Ref only)'!Q431)</f>
        <v/>
      </c>
      <c r="C420" s="298" t="str">
        <f>IF(A420="", "", 'Lighting Inventory (Ref only)'!AO431)</f>
        <v/>
      </c>
      <c r="D420" s="370" t="str">
        <f>IF(B420= "","", Inventory!S428)</f>
        <v/>
      </c>
      <c r="E420" s="371"/>
      <c r="F420" s="298" t="str">
        <f>IF(B420="", "", 'Version Log'!$B$34)</f>
        <v/>
      </c>
      <c r="G420" s="298" t="str">
        <f t="shared" si="24"/>
        <v/>
      </c>
      <c r="H420" s="298" t="str">
        <f t="shared" si="25"/>
        <v/>
      </c>
      <c r="I420" s="298" t="str">
        <f>IF(B420="", "",Inventory!D428)</f>
        <v/>
      </c>
      <c r="J420" s="298" t="str">
        <f>IF(B420="","",IF(Inventory!C428="N","Interior","Exterior"))</f>
        <v/>
      </c>
      <c r="K420" s="298" t="str">
        <f t="shared" si="26"/>
        <v/>
      </c>
      <c r="L420" s="298" t="str">
        <f>IF(B420="", "", Inventory!E428)</f>
        <v/>
      </c>
      <c r="M420" s="298" t="str">
        <f>IF(B420="","",IF(Cool_Type=Lookups!$L$9,Cool_Type,IF(Cool_Type=Lookups!$L$10,Cool_Type,IF(Cool_Type=Lookups!$L$11,Cool_Type,IF(Cool_Type=Lookups!L430,Cool_Type,IF('Project Info and Summary'!$C$20="Electric",CONCATENATE(Cool_Type," ",Heating_Type," Heat"),IF('Project Info and Summary'!$C$20="Non-Electric",CONCATENATE(Cool_Type," ",Heating_Type," Heat"),CONCATENATE(Cool_Type," ",Heating_Type))))))))</f>
        <v/>
      </c>
      <c r="N420" s="298" t="str">
        <f t="shared" si="27"/>
        <v/>
      </c>
      <c r="O420" s="298" t="str">
        <f>IF(B420="", "", 'Lighting Inventory (Ref only)'!G431)</f>
        <v/>
      </c>
      <c r="P420" s="298" t="str">
        <f>IF(B420="", "", 'Lighting Inventory (Ref only)'!E431)</f>
        <v/>
      </c>
      <c r="Q420" s="298" t="str">
        <f>IF(B420="", "", 'Lighting Inventory (Ref only)'!J431)</f>
        <v/>
      </c>
      <c r="R420" s="298" t="str">
        <f>IF(B420="", "",'Lighting Inventory (Ref only)'!K431)</f>
        <v/>
      </c>
      <c r="S420" s="372" t="str">
        <f>IF(B420="", "", 'Lighting Inventory (Ref only)'!G431*'Lighting Inventory (Ref only)'!K431/1000)</f>
        <v/>
      </c>
      <c r="T420" s="298" t="str">
        <f>IF(B420="", "", IF('Lighting Inventory (Ref only)'!I431="", "Light Switch",Inventory!H428))</f>
        <v/>
      </c>
      <c r="W420" s="373"/>
      <c r="X420" s="298" t="str">
        <f>IF(B420="", "", 'Lighting Inventory (Ref only)'!Q431)</f>
        <v/>
      </c>
      <c r="Z420" s="374"/>
      <c r="AA420" s="372" t="str">
        <f>IF(B420="", "",'Lighting Inventory (Ref only)'!R431/1000)</f>
        <v/>
      </c>
      <c r="AB420" s="372" t="str">
        <f>IF(B420="", "", Inventory!M428)</f>
        <v/>
      </c>
      <c r="AC420" s="374" t="str">
        <f>IF(B420="", "", 'Lighting Inventory (Ref only)'!T431)</f>
        <v/>
      </c>
      <c r="AD420" s="374" t="str">
        <f>IF(C420="", "", 'Lighting Inventory (Ref only)'!AA431)</f>
        <v/>
      </c>
      <c r="AE420" s="375" t="str">
        <f>IF(B420="", "", 'Lighting Inventory (Ref only)'!U431)</f>
        <v/>
      </c>
      <c r="AF420" s="375" t="str">
        <f>IF(B420="", "",'Lighting Inventory (Ref only)'!W431)</f>
        <v/>
      </c>
      <c r="AG420" s="375"/>
      <c r="AH420" s="375" t="str">
        <f>IF(B420="", "",'Lighting Inventory (Ref only)'!Z431)</f>
        <v/>
      </c>
      <c r="AI420" s="375" t="str">
        <f>IF(B420="", "", 'Lighting Inventory (Ref only)'!Y431)</f>
        <v/>
      </c>
      <c r="AJ420" s="375" t="str">
        <f>IF(C420="", "",'Lighting Inventory (Ref only)'!AB431)</f>
        <v/>
      </c>
      <c r="AK420" s="375" t="str">
        <f>IF(B420="", "", 'Lighting Inventory (Ref only)'!AG431)</f>
        <v/>
      </c>
      <c r="AL420" s="375" t="str">
        <f>IF(B420="", "", 'Lighting Inventory (Ref only)'!AD431)</f>
        <v/>
      </c>
      <c r="AM420" s="375" t="str">
        <f>IF(B420="", "", 'Lighting Inventory (Ref only)'!AE431)</f>
        <v/>
      </c>
      <c r="AN420" s="375" t="str">
        <f>IF(B420="", "", 'Lighting Inventory (Ref only)'!AF431)</f>
        <v/>
      </c>
      <c r="AO420" s="375" t="str">
        <f>IF(B420="", "", 'Lighting Inventory (Ref only)'!AG431)</f>
        <v/>
      </c>
    </row>
    <row r="421" spans="1:41">
      <c r="A421" s="298" t="str">
        <f>IF(G421="", "", Lookups!BF423)</f>
        <v/>
      </c>
      <c r="B421" s="298" t="str">
        <f>IF('Lighting Inventory (Ref only)'!Q432="", "", 'Lighting Inventory (Ref only)'!Q432)</f>
        <v/>
      </c>
      <c r="C421" s="298" t="str">
        <f>IF(A421="", "", 'Lighting Inventory (Ref only)'!AO432)</f>
        <v/>
      </c>
      <c r="D421" s="370" t="str">
        <f>IF(B421= "","", Inventory!S429)</f>
        <v/>
      </c>
      <c r="E421" s="371"/>
      <c r="F421" s="298" t="str">
        <f>IF(B421="", "", 'Version Log'!$B$34)</f>
        <v/>
      </c>
      <c r="G421" s="298" t="str">
        <f t="shared" si="24"/>
        <v/>
      </c>
      <c r="H421" s="298" t="str">
        <f t="shared" si="25"/>
        <v/>
      </c>
      <c r="I421" s="298" t="str">
        <f>IF(B421="", "",Inventory!D429)</f>
        <v/>
      </c>
      <c r="J421" s="298" t="str">
        <f>IF(B421="","",IF(Inventory!C429="N","Interior","Exterior"))</f>
        <v/>
      </c>
      <c r="K421" s="298" t="str">
        <f t="shared" si="26"/>
        <v/>
      </c>
      <c r="L421" s="298" t="str">
        <f>IF(B421="", "", Inventory!E429)</f>
        <v/>
      </c>
      <c r="M421" s="298" t="str">
        <f>IF(B421="","",IF(Cool_Type=Lookups!$L$9,Cool_Type,IF(Cool_Type=Lookups!$L$10,Cool_Type,IF(Cool_Type=Lookups!$L$11,Cool_Type,IF(Cool_Type=Lookups!L431,Cool_Type,IF('Project Info and Summary'!$C$20="Electric",CONCATENATE(Cool_Type," ",Heating_Type," Heat"),IF('Project Info and Summary'!$C$20="Non-Electric",CONCATENATE(Cool_Type," ",Heating_Type," Heat"),CONCATENATE(Cool_Type," ",Heating_Type))))))))</f>
        <v/>
      </c>
      <c r="N421" s="298" t="str">
        <f t="shared" si="27"/>
        <v/>
      </c>
      <c r="O421" s="298" t="str">
        <f>IF(B421="", "", 'Lighting Inventory (Ref only)'!G432)</f>
        <v/>
      </c>
      <c r="P421" s="298" t="str">
        <f>IF(B421="", "", 'Lighting Inventory (Ref only)'!E432)</f>
        <v/>
      </c>
      <c r="Q421" s="298" t="str">
        <f>IF(B421="", "", 'Lighting Inventory (Ref only)'!J432)</f>
        <v/>
      </c>
      <c r="R421" s="298" t="str">
        <f>IF(B421="", "",'Lighting Inventory (Ref only)'!K432)</f>
        <v/>
      </c>
      <c r="S421" s="372" t="str">
        <f>IF(B421="", "", 'Lighting Inventory (Ref only)'!G432*'Lighting Inventory (Ref only)'!K432/1000)</f>
        <v/>
      </c>
      <c r="T421" s="298" t="str">
        <f>IF(B421="", "", IF('Lighting Inventory (Ref only)'!I432="", "Light Switch",Inventory!H429))</f>
        <v/>
      </c>
      <c r="W421" s="373"/>
      <c r="X421" s="298" t="str">
        <f>IF(B421="", "", 'Lighting Inventory (Ref only)'!Q432)</f>
        <v/>
      </c>
      <c r="Z421" s="374"/>
      <c r="AA421" s="372" t="str">
        <f>IF(B421="", "",'Lighting Inventory (Ref only)'!R432/1000)</f>
        <v/>
      </c>
      <c r="AB421" s="372" t="str">
        <f>IF(B421="", "", Inventory!M429)</f>
        <v/>
      </c>
      <c r="AC421" s="374" t="str">
        <f>IF(B421="", "", 'Lighting Inventory (Ref only)'!T432)</f>
        <v/>
      </c>
      <c r="AD421" s="374" t="str">
        <f>IF(C421="", "", 'Lighting Inventory (Ref only)'!AA432)</f>
        <v/>
      </c>
      <c r="AE421" s="375" t="str">
        <f>IF(B421="", "", 'Lighting Inventory (Ref only)'!U432)</f>
        <v/>
      </c>
      <c r="AF421" s="375" t="str">
        <f>IF(B421="", "",'Lighting Inventory (Ref only)'!W432)</f>
        <v/>
      </c>
      <c r="AG421" s="375"/>
      <c r="AH421" s="375" t="str">
        <f>IF(B421="", "",'Lighting Inventory (Ref only)'!Z432)</f>
        <v/>
      </c>
      <c r="AI421" s="375" t="str">
        <f>IF(B421="", "", 'Lighting Inventory (Ref only)'!Y432)</f>
        <v/>
      </c>
      <c r="AJ421" s="375" t="str">
        <f>IF(C421="", "",'Lighting Inventory (Ref only)'!AB432)</f>
        <v/>
      </c>
      <c r="AK421" s="375" t="str">
        <f>IF(B421="", "", 'Lighting Inventory (Ref only)'!AG432)</f>
        <v/>
      </c>
      <c r="AL421" s="375" t="str">
        <f>IF(B421="", "", 'Lighting Inventory (Ref only)'!AD432)</f>
        <v/>
      </c>
      <c r="AM421" s="375" t="str">
        <f>IF(B421="", "", 'Lighting Inventory (Ref only)'!AE432)</f>
        <v/>
      </c>
      <c r="AN421" s="375" t="str">
        <f>IF(B421="", "", 'Lighting Inventory (Ref only)'!AF432)</f>
        <v/>
      </c>
      <c r="AO421" s="375" t="str">
        <f>IF(B421="", "", 'Lighting Inventory (Ref only)'!AG432)</f>
        <v/>
      </c>
    </row>
    <row r="422" spans="1:41">
      <c r="A422" s="298" t="str">
        <f>IF(G422="", "", Lookups!BF424)</f>
        <v/>
      </c>
      <c r="B422" s="298" t="str">
        <f>IF('Lighting Inventory (Ref only)'!Q433="", "", 'Lighting Inventory (Ref only)'!Q433)</f>
        <v/>
      </c>
      <c r="C422" s="298" t="str">
        <f>IF(A422="", "", 'Lighting Inventory (Ref only)'!AO433)</f>
        <v/>
      </c>
      <c r="D422" s="370" t="str">
        <f>IF(B422= "","", Inventory!S430)</f>
        <v/>
      </c>
      <c r="E422" s="371"/>
      <c r="F422" s="298" t="str">
        <f>IF(B422="", "", 'Version Log'!$B$34)</f>
        <v/>
      </c>
      <c r="G422" s="298" t="str">
        <f t="shared" si="24"/>
        <v/>
      </c>
      <c r="H422" s="298" t="str">
        <f t="shared" si="25"/>
        <v/>
      </c>
      <c r="I422" s="298" t="str">
        <f>IF(B422="", "",Inventory!D430)</f>
        <v/>
      </c>
      <c r="J422" s="298" t="str">
        <f>IF(B422="","",IF(Inventory!C430="N","Interior","Exterior"))</f>
        <v/>
      </c>
      <c r="K422" s="298" t="str">
        <f t="shared" si="26"/>
        <v/>
      </c>
      <c r="L422" s="298" t="str">
        <f>IF(B422="", "", Inventory!E430)</f>
        <v/>
      </c>
      <c r="M422" s="298" t="str">
        <f>IF(B422="","",IF(Cool_Type=Lookups!$L$9,Cool_Type,IF(Cool_Type=Lookups!$L$10,Cool_Type,IF(Cool_Type=Lookups!$L$11,Cool_Type,IF(Cool_Type=Lookups!L432,Cool_Type,IF('Project Info and Summary'!$C$20="Electric",CONCATENATE(Cool_Type," ",Heating_Type," Heat"),IF('Project Info and Summary'!$C$20="Non-Electric",CONCATENATE(Cool_Type," ",Heating_Type," Heat"),CONCATENATE(Cool_Type," ",Heating_Type))))))))</f>
        <v/>
      </c>
      <c r="N422" s="298" t="str">
        <f t="shared" si="27"/>
        <v/>
      </c>
      <c r="O422" s="298" t="str">
        <f>IF(B422="", "", 'Lighting Inventory (Ref only)'!G433)</f>
        <v/>
      </c>
      <c r="P422" s="298" t="str">
        <f>IF(B422="", "", 'Lighting Inventory (Ref only)'!E433)</f>
        <v/>
      </c>
      <c r="Q422" s="298" t="str">
        <f>IF(B422="", "", 'Lighting Inventory (Ref only)'!J433)</f>
        <v/>
      </c>
      <c r="R422" s="298" t="str">
        <f>IF(B422="", "",'Lighting Inventory (Ref only)'!K433)</f>
        <v/>
      </c>
      <c r="S422" s="372" t="str">
        <f>IF(B422="", "", 'Lighting Inventory (Ref only)'!G433*'Lighting Inventory (Ref only)'!K433/1000)</f>
        <v/>
      </c>
      <c r="T422" s="298" t="str">
        <f>IF(B422="", "", IF('Lighting Inventory (Ref only)'!I433="", "Light Switch",Inventory!H430))</f>
        <v/>
      </c>
      <c r="W422" s="373"/>
      <c r="X422" s="298" t="str">
        <f>IF(B422="", "", 'Lighting Inventory (Ref only)'!Q433)</f>
        <v/>
      </c>
      <c r="Z422" s="374"/>
      <c r="AA422" s="372" t="str">
        <f>IF(B422="", "",'Lighting Inventory (Ref only)'!R433/1000)</f>
        <v/>
      </c>
      <c r="AB422" s="372" t="str">
        <f>IF(B422="", "", Inventory!M430)</f>
        <v/>
      </c>
      <c r="AC422" s="374" t="str">
        <f>IF(B422="", "", 'Lighting Inventory (Ref only)'!T433)</f>
        <v/>
      </c>
      <c r="AD422" s="374" t="str">
        <f>IF(C422="", "", 'Lighting Inventory (Ref only)'!AA433)</f>
        <v/>
      </c>
      <c r="AE422" s="375" t="str">
        <f>IF(B422="", "", 'Lighting Inventory (Ref only)'!U433)</f>
        <v/>
      </c>
      <c r="AF422" s="375" t="str">
        <f>IF(B422="", "",'Lighting Inventory (Ref only)'!W433)</f>
        <v/>
      </c>
      <c r="AG422" s="375"/>
      <c r="AH422" s="375" t="str">
        <f>IF(B422="", "",'Lighting Inventory (Ref only)'!Z433)</f>
        <v/>
      </c>
      <c r="AI422" s="375" t="str">
        <f>IF(B422="", "", 'Lighting Inventory (Ref only)'!Y433)</f>
        <v/>
      </c>
      <c r="AJ422" s="375" t="str">
        <f>IF(C422="", "",'Lighting Inventory (Ref only)'!AB433)</f>
        <v/>
      </c>
      <c r="AK422" s="375" t="str">
        <f>IF(B422="", "", 'Lighting Inventory (Ref only)'!AG433)</f>
        <v/>
      </c>
      <c r="AL422" s="375" t="str">
        <f>IF(B422="", "", 'Lighting Inventory (Ref only)'!AD433)</f>
        <v/>
      </c>
      <c r="AM422" s="375" t="str">
        <f>IF(B422="", "", 'Lighting Inventory (Ref only)'!AE433)</f>
        <v/>
      </c>
      <c r="AN422" s="375" t="str">
        <f>IF(B422="", "", 'Lighting Inventory (Ref only)'!AF433)</f>
        <v/>
      </c>
      <c r="AO422" s="375" t="str">
        <f>IF(B422="", "", 'Lighting Inventory (Ref only)'!AG433)</f>
        <v/>
      </c>
    </row>
    <row r="423" spans="1:41">
      <c r="A423" s="298" t="str">
        <f>IF(G423="", "", Lookups!BF425)</f>
        <v/>
      </c>
      <c r="B423" s="298" t="str">
        <f>IF('Lighting Inventory (Ref only)'!Q434="", "", 'Lighting Inventory (Ref only)'!Q434)</f>
        <v/>
      </c>
      <c r="C423" s="298" t="str">
        <f>IF(A423="", "", 'Lighting Inventory (Ref only)'!AO434)</f>
        <v/>
      </c>
      <c r="D423" s="370" t="str">
        <f>IF(B423= "","", Inventory!S431)</f>
        <v/>
      </c>
      <c r="E423" s="371"/>
      <c r="F423" s="298" t="str">
        <f>IF(B423="", "", 'Version Log'!$B$34)</f>
        <v/>
      </c>
      <c r="G423" s="298" t="str">
        <f t="shared" si="24"/>
        <v/>
      </c>
      <c r="H423" s="298" t="str">
        <f t="shared" si="25"/>
        <v/>
      </c>
      <c r="I423" s="298" t="str">
        <f>IF(B423="", "",Inventory!D431)</f>
        <v/>
      </c>
      <c r="J423" s="298" t="str">
        <f>IF(B423="","",IF(Inventory!C431="N","Interior","Exterior"))</f>
        <v/>
      </c>
      <c r="K423" s="298" t="str">
        <f t="shared" si="26"/>
        <v/>
      </c>
      <c r="L423" s="298" t="str">
        <f>IF(B423="", "", Inventory!E431)</f>
        <v/>
      </c>
      <c r="M423" s="298" t="str">
        <f>IF(B423="","",IF(Cool_Type=Lookups!$L$9,Cool_Type,IF(Cool_Type=Lookups!$L$10,Cool_Type,IF(Cool_Type=Lookups!$L$11,Cool_Type,IF(Cool_Type=Lookups!L433,Cool_Type,IF('Project Info and Summary'!$C$20="Electric",CONCATENATE(Cool_Type," ",Heating_Type," Heat"),IF('Project Info and Summary'!$C$20="Non-Electric",CONCATENATE(Cool_Type," ",Heating_Type," Heat"),CONCATENATE(Cool_Type," ",Heating_Type))))))))</f>
        <v/>
      </c>
      <c r="N423" s="298" t="str">
        <f t="shared" si="27"/>
        <v/>
      </c>
      <c r="O423" s="298" t="str">
        <f>IF(B423="", "", 'Lighting Inventory (Ref only)'!G434)</f>
        <v/>
      </c>
      <c r="P423" s="298" t="str">
        <f>IF(B423="", "", 'Lighting Inventory (Ref only)'!E434)</f>
        <v/>
      </c>
      <c r="Q423" s="298" t="str">
        <f>IF(B423="", "", 'Lighting Inventory (Ref only)'!J434)</f>
        <v/>
      </c>
      <c r="R423" s="298" t="str">
        <f>IF(B423="", "",'Lighting Inventory (Ref only)'!K434)</f>
        <v/>
      </c>
      <c r="S423" s="372" t="str">
        <f>IF(B423="", "", 'Lighting Inventory (Ref only)'!G434*'Lighting Inventory (Ref only)'!K434/1000)</f>
        <v/>
      </c>
      <c r="T423" s="298" t="str">
        <f>IF(B423="", "", IF('Lighting Inventory (Ref only)'!I434="", "Light Switch",Inventory!H431))</f>
        <v/>
      </c>
      <c r="W423" s="373"/>
      <c r="X423" s="298" t="str">
        <f>IF(B423="", "", 'Lighting Inventory (Ref only)'!Q434)</f>
        <v/>
      </c>
      <c r="Z423" s="374"/>
      <c r="AA423" s="372" t="str">
        <f>IF(B423="", "",'Lighting Inventory (Ref only)'!R434/1000)</f>
        <v/>
      </c>
      <c r="AB423" s="372" t="str">
        <f>IF(B423="", "", Inventory!M431)</f>
        <v/>
      </c>
      <c r="AC423" s="374" t="str">
        <f>IF(B423="", "", 'Lighting Inventory (Ref only)'!T434)</f>
        <v/>
      </c>
      <c r="AD423" s="374" t="str">
        <f>IF(C423="", "", 'Lighting Inventory (Ref only)'!AA434)</f>
        <v/>
      </c>
      <c r="AE423" s="375" t="str">
        <f>IF(B423="", "", 'Lighting Inventory (Ref only)'!U434)</f>
        <v/>
      </c>
      <c r="AF423" s="375" t="str">
        <f>IF(B423="", "",'Lighting Inventory (Ref only)'!W434)</f>
        <v/>
      </c>
      <c r="AG423" s="375"/>
      <c r="AH423" s="375" t="str">
        <f>IF(B423="", "",'Lighting Inventory (Ref only)'!Z434)</f>
        <v/>
      </c>
      <c r="AI423" s="375" t="str">
        <f>IF(B423="", "", 'Lighting Inventory (Ref only)'!Y434)</f>
        <v/>
      </c>
      <c r="AJ423" s="375" t="str">
        <f>IF(C423="", "",'Lighting Inventory (Ref only)'!AB434)</f>
        <v/>
      </c>
      <c r="AK423" s="375" t="str">
        <f>IF(B423="", "", 'Lighting Inventory (Ref only)'!AG434)</f>
        <v/>
      </c>
      <c r="AL423" s="375" t="str">
        <f>IF(B423="", "", 'Lighting Inventory (Ref only)'!AD434)</f>
        <v/>
      </c>
      <c r="AM423" s="375" t="str">
        <f>IF(B423="", "", 'Lighting Inventory (Ref only)'!AE434)</f>
        <v/>
      </c>
      <c r="AN423" s="375" t="str">
        <f>IF(B423="", "", 'Lighting Inventory (Ref only)'!AF434)</f>
        <v/>
      </c>
      <c r="AO423" s="375" t="str">
        <f>IF(B423="", "", 'Lighting Inventory (Ref only)'!AG434)</f>
        <v/>
      </c>
    </row>
    <row r="424" spans="1:41">
      <c r="A424" s="298" t="str">
        <f>IF(G424="", "", Lookups!BF426)</f>
        <v/>
      </c>
      <c r="B424" s="298" t="str">
        <f>IF('Lighting Inventory (Ref only)'!Q435="", "", 'Lighting Inventory (Ref only)'!Q435)</f>
        <v/>
      </c>
      <c r="C424" s="298" t="str">
        <f>IF(A424="", "", 'Lighting Inventory (Ref only)'!AO435)</f>
        <v/>
      </c>
      <c r="D424" s="370" t="str">
        <f>IF(B424= "","", Inventory!S432)</f>
        <v/>
      </c>
      <c r="E424" s="371"/>
      <c r="F424" s="298" t="str">
        <f>IF(B424="", "", 'Version Log'!$B$34)</f>
        <v/>
      </c>
      <c r="G424" s="298" t="str">
        <f t="shared" si="24"/>
        <v/>
      </c>
      <c r="H424" s="298" t="str">
        <f t="shared" si="25"/>
        <v/>
      </c>
      <c r="I424" s="298" t="str">
        <f>IF(B424="", "",Inventory!D432)</f>
        <v/>
      </c>
      <c r="J424" s="298" t="str">
        <f>IF(B424="","",IF(Inventory!C432="N","Interior","Exterior"))</f>
        <v/>
      </c>
      <c r="K424" s="298" t="str">
        <f t="shared" si="26"/>
        <v/>
      </c>
      <c r="L424" s="298" t="str">
        <f>IF(B424="", "", Inventory!E432)</f>
        <v/>
      </c>
      <c r="M424" s="298" t="str">
        <f>IF(B424="","",IF(Cool_Type=Lookups!$L$9,Cool_Type,IF(Cool_Type=Lookups!$L$10,Cool_Type,IF(Cool_Type=Lookups!$L$11,Cool_Type,IF(Cool_Type=Lookups!L434,Cool_Type,IF('Project Info and Summary'!$C$20="Electric",CONCATENATE(Cool_Type," ",Heating_Type," Heat"),IF('Project Info and Summary'!$C$20="Non-Electric",CONCATENATE(Cool_Type," ",Heating_Type," Heat"),CONCATENATE(Cool_Type," ",Heating_Type))))))))</f>
        <v/>
      </c>
      <c r="N424" s="298" t="str">
        <f t="shared" si="27"/>
        <v/>
      </c>
      <c r="O424" s="298" t="str">
        <f>IF(B424="", "", 'Lighting Inventory (Ref only)'!G435)</f>
        <v/>
      </c>
      <c r="P424" s="298" t="str">
        <f>IF(B424="", "", 'Lighting Inventory (Ref only)'!E435)</f>
        <v/>
      </c>
      <c r="Q424" s="298" t="str">
        <f>IF(B424="", "", 'Lighting Inventory (Ref only)'!J435)</f>
        <v/>
      </c>
      <c r="R424" s="298" t="str">
        <f>IF(B424="", "",'Lighting Inventory (Ref only)'!K435)</f>
        <v/>
      </c>
      <c r="S424" s="372" t="str">
        <f>IF(B424="", "", 'Lighting Inventory (Ref only)'!G435*'Lighting Inventory (Ref only)'!K435/1000)</f>
        <v/>
      </c>
      <c r="T424" s="298" t="str">
        <f>IF(B424="", "", IF('Lighting Inventory (Ref only)'!I435="", "Light Switch",Inventory!H432))</f>
        <v/>
      </c>
      <c r="W424" s="373"/>
      <c r="X424" s="298" t="str">
        <f>IF(B424="", "", 'Lighting Inventory (Ref only)'!Q435)</f>
        <v/>
      </c>
      <c r="Z424" s="374"/>
      <c r="AA424" s="372" t="str">
        <f>IF(B424="", "",'Lighting Inventory (Ref only)'!R435/1000)</f>
        <v/>
      </c>
      <c r="AB424" s="372" t="str">
        <f>IF(B424="", "", Inventory!M432)</f>
        <v/>
      </c>
      <c r="AC424" s="374" t="str">
        <f>IF(B424="", "", 'Lighting Inventory (Ref only)'!T435)</f>
        <v/>
      </c>
      <c r="AD424" s="374" t="str">
        <f>IF(C424="", "", 'Lighting Inventory (Ref only)'!AA435)</f>
        <v/>
      </c>
      <c r="AE424" s="375" t="str">
        <f>IF(B424="", "", 'Lighting Inventory (Ref only)'!U435)</f>
        <v/>
      </c>
      <c r="AF424" s="375" t="str">
        <f>IF(B424="", "",'Lighting Inventory (Ref only)'!W435)</f>
        <v/>
      </c>
      <c r="AG424" s="375"/>
      <c r="AH424" s="375" t="str">
        <f>IF(B424="", "",'Lighting Inventory (Ref only)'!Z435)</f>
        <v/>
      </c>
      <c r="AI424" s="375" t="str">
        <f>IF(B424="", "", 'Lighting Inventory (Ref only)'!Y435)</f>
        <v/>
      </c>
      <c r="AJ424" s="375" t="str">
        <f>IF(C424="", "",'Lighting Inventory (Ref only)'!AB435)</f>
        <v/>
      </c>
      <c r="AK424" s="375" t="str">
        <f>IF(B424="", "", 'Lighting Inventory (Ref only)'!AG435)</f>
        <v/>
      </c>
      <c r="AL424" s="375" t="str">
        <f>IF(B424="", "", 'Lighting Inventory (Ref only)'!AD435)</f>
        <v/>
      </c>
      <c r="AM424" s="375" t="str">
        <f>IF(B424="", "", 'Lighting Inventory (Ref only)'!AE435)</f>
        <v/>
      </c>
      <c r="AN424" s="375" t="str">
        <f>IF(B424="", "", 'Lighting Inventory (Ref only)'!AF435)</f>
        <v/>
      </c>
      <c r="AO424" s="375" t="str">
        <f>IF(B424="", "", 'Lighting Inventory (Ref only)'!AG435)</f>
        <v/>
      </c>
    </row>
    <row r="425" spans="1:41">
      <c r="A425" s="298" t="str">
        <f>IF(G425="", "", Lookups!BF427)</f>
        <v/>
      </c>
      <c r="B425" s="298" t="str">
        <f>IF('Lighting Inventory (Ref only)'!Q436="", "", 'Lighting Inventory (Ref only)'!Q436)</f>
        <v/>
      </c>
      <c r="C425" s="298" t="str">
        <f>IF(A425="", "", 'Lighting Inventory (Ref only)'!AO436)</f>
        <v/>
      </c>
      <c r="D425" s="370" t="str">
        <f>IF(B425= "","", Inventory!S433)</f>
        <v/>
      </c>
      <c r="E425" s="371"/>
      <c r="F425" s="298" t="str">
        <f>IF(B425="", "", 'Version Log'!$B$34)</f>
        <v/>
      </c>
      <c r="G425" s="298" t="str">
        <f t="shared" si="24"/>
        <v/>
      </c>
      <c r="H425" s="298" t="str">
        <f t="shared" si="25"/>
        <v/>
      </c>
      <c r="I425" s="298" t="str">
        <f>IF(B425="", "",Inventory!D433)</f>
        <v/>
      </c>
      <c r="J425" s="298" t="str">
        <f>IF(B425="","",IF(Inventory!C433="N","Interior","Exterior"))</f>
        <v/>
      </c>
      <c r="K425" s="298" t="str">
        <f t="shared" si="26"/>
        <v/>
      </c>
      <c r="L425" s="298" t="str">
        <f>IF(B425="", "", Inventory!E433)</f>
        <v/>
      </c>
      <c r="M425" s="298" t="str">
        <f>IF(B425="","",IF(Cool_Type=Lookups!$L$9,Cool_Type,IF(Cool_Type=Lookups!$L$10,Cool_Type,IF(Cool_Type=Lookups!$L$11,Cool_Type,IF(Cool_Type=Lookups!L435,Cool_Type,IF('Project Info and Summary'!$C$20="Electric",CONCATENATE(Cool_Type," ",Heating_Type," Heat"),IF('Project Info and Summary'!$C$20="Non-Electric",CONCATENATE(Cool_Type," ",Heating_Type," Heat"),CONCATENATE(Cool_Type," ",Heating_Type))))))))</f>
        <v/>
      </c>
      <c r="N425" s="298" t="str">
        <f t="shared" si="27"/>
        <v/>
      </c>
      <c r="O425" s="298" t="str">
        <f>IF(B425="", "", 'Lighting Inventory (Ref only)'!G436)</f>
        <v/>
      </c>
      <c r="P425" s="298" t="str">
        <f>IF(B425="", "", 'Lighting Inventory (Ref only)'!E436)</f>
        <v/>
      </c>
      <c r="Q425" s="298" t="str">
        <f>IF(B425="", "", 'Lighting Inventory (Ref only)'!J436)</f>
        <v/>
      </c>
      <c r="R425" s="298" t="str">
        <f>IF(B425="", "",'Lighting Inventory (Ref only)'!K436)</f>
        <v/>
      </c>
      <c r="S425" s="372" t="str">
        <f>IF(B425="", "", 'Lighting Inventory (Ref only)'!G436*'Lighting Inventory (Ref only)'!K436/1000)</f>
        <v/>
      </c>
      <c r="T425" s="298" t="str">
        <f>IF(B425="", "", IF('Lighting Inventory (Ref only)'!I436="", "Light Switch",Inventory!H433))</f>
        <v/>
      </c>
      <c r="W425" s="373"/>
      <c r="X425" s="298" t="str">
        <f>IF(B425="", "", 'Lighting Inventory (Ref only)'!Q436)</f>
        <v/>
      </c>
      <c r="Z425" s="374"/>
      <c r="AA425" s="372" t="str">
        <f>IF(B425="", "",'Lighting Inventory (Ref only)'!R436/1000)</f>
        <v/>
      </c>
      <c r="AB425" s="372" t="str">
        <f>IF(B425="", "", Inventory!M433)</f>
        <v/>
      </c>
      <c r="AC425" s="374" t="str">
        <f>IF(B425="", "", 'Lighting Inventory (Ref only)'!T436)</f>
        <v/>
      </c>
      <c r="AD425" s="374" t="str">
        <f>IF(C425="", "", 'Lighting Inventory (Ref only)'!AA436)</f>
        <v/>
      </c>
      <c r="AE425" s="375" t="str">
        <f>IF(B425="", "", 'Lighting Inventory (Ref only)'!U436)</f>
        <v/>
      </c>
      <c r="AF425" s="375" t="str">
        <f>IF(B425="", "",'Lighting Inventory (Ref only)'!W436)</f>
        <v/>
      </c>
      <c r="AG425" s="375"/>
      <c r="AH425" s="375" t="str">
        <f>IF(B425="", "",'Lighting Inventory (Ref only)'!Z436)</f>
        <v/>
      </c>
      <c r="AI425" s="375" t="str">
        <f>IF(B425="", "", 'Lighting Inventory (Ref only)'!Y436)</f>
        <v/>
      </c>
      <c r="AJ425" s="375" t="str">
        <f>IF(C425="", "",'Lighting Inventory (Ref only)'!AB436)</f>
        <v/>
      </c>
      <c r="AK425" s="375" t="str">
        <f>IF(B425="", "", 'Lighting Inventory (Ref only)'!AG436)</f>
        <v/>
      </c>
      <c r="AL425" s="375" t="str">
        <f>IF(B425="", "", 'Lighting Inventory (Ref only)'!AD436)</f>
        <v/>
      </c>
      <c r="AM425" s="375" t="str">
        <f>IF(B425="", "", 'Lighting Inventory (Ref only)'!AE436)</f>
        <v/>
      </c>
      <c r="AN425" s="375" t="str">
        <f>IF(B425="", "", 'Lighting Inventory (Ref only)'!AF436)</f>
        <v/>
      </c>
      <c r="AO425" s="375" t="str">
        <f>IF(B425="", "", 'Lighting Inventory (Ref only)'!AG436)</f>
        <v/>
      </c>
    </row>
    <row r="426" spans="1:41">
      <c r="A426" s="298" t="str">
        <f>IF(G426="", "", Lookups!BF428)</f>
        <v/>
      </c>
      <c r="B426" s="298" t="str">
        <f>IF('Lighting Inventory (Ref only)'!Q437="", "", 'Lighting Inventory (Ref only)'!Q437)</f>
        <v/>
      </c>
      <c r="C426" s="298" t="str">
        <f>IF(A426="", "", 'Lighting Inventory (Ref only)'!AO437)</f>
        <v/>
      </c>
      <c r="D426" s="370" t="str">
        <f>IF(B426= "","", Inventory!S434)</f>
        <v/>
      </c>
      <c r="E426" s="371"/>
      <c r="F426" s="298" t="str">
        <f>IF(B426="", "", 'Version Log'!$B$34)</f>
        <v/>
      </c>
      <c r="G426" s="298" t="str">
        <f t="shared" si="24"/>
        <v/>
      </c>
      <c r="H426" s="298" t="str">
        <f t="shared" si="25"/>
        <v/>
      </c>
      <c r="I426" s="298" t="str">
        <f>IF(B426="", "",Inventory!D434)</f>
        <v/>
      </c>
      <c r="J426" s="298" t="str">
        <f>IF(B426="","",IF(Inventory!C434="N","Interior","Exterior"))</f>
        <v/>
      </c>
      <c r="K426" s="298" t="str">
        <f t="shared" si="26"/>
        <v/>
      </c>
      <c r="L426" s="298" t="str">
        <f>IF(B426="", "", Inventory!E434)</f>
        <v/>
      </c>
      <c r="M426" s="298" t="str">
        <f>IF(B426="","",IF(Cool_Type=Lookups!$L$9,Cool_Type,IF(Cool_Type=Lookups!$L$10,Cool_Type,IF(Cool_Type=Lookups!$L$11,Cool_Type,IF(Cool_Type=Lookups!L436,Cool_Type,IF('Project Info and Summary'!$C$20="Electric",CONCATENATE(Cool_Type," ",Heating_Type," Heat"),IF('Project Info and Summary'!$C$20="Non-Electric",CONCATENATE(Cool_Type," ",Heating_Type," Heat"),CONCATENATE(Cool_Type," ",Heating_Type))))))))</f>
        <v/>
      </c>
      <c r="N426" s="298" t="str">
        <f t="shared" si="27"/>
        <v/>
      </c>
      <c r="O426" s="298" t="str">
        <f>IF(B426="", "", 'Lighting Inventory (Ref only)'!G437)</f>
        <v/>
      </c>
      <c r="P426" s="298" t="str">
        <f>IF(B426="", "", 'Lighting Inventory (Ref only)'!E437)</f>
        <v/>
      </c>
      <c r="Q426" s="298" t="str">
        <f>IF(B426="", "", 'Lighting Inventory (Ref only)'!J437)</f>
        <v/>
      </c>
      <c r="R426" s="298" t="str">
        <f>IF(B426="", "",'Lighting Inventory (Ref only)'!K437)</f>
        <v/>
      </c>
      <c r="S426" s="372" t="str">
        <f>IF(B426="", "", 'Lighting Inventory (Ref only)'!G437*'Lighting Inventory (Ref only)'!K437/1000)</f>
        <v/>
      </c>
      <c r="T426" s="298" t="str">
        <f>IF(B426="", "", IF('Lighting Inventory (Ref only)'!I437="", "Light Switch",Inventory!H434))</f>
        <v/>
      </c>
      <c r="W426" s="373"/>
      <c r="X426" s="298" t="str">
        <f>IF(B426="", "", 'Lighting Inventory (Ref only)'!Q437)</f>
        <v/>
      </c>
      <c r="Z426" s="374"/>
      <c r="AA426" s="372" t="str">
        <f>IF(B426="", "",'Lighting Inventory (Ref only)'!R437/1000)</f>
        <v/>
      </c>
      <c r="AB426" s="372" t="str">
        <f>IF(B426="", "", Inventory!M434)</f>
        <v/>
      </c>
      <c r="AC426" s="374" t="str">
        <f>IF(B426="", "", 'Lighting Inventory (Ref only)'!T437)</f>
        <v/>
      </c>
      <c r="AD426" s="374" t="str">
        <f>IF(C426="", "", 'Lighting Inventory (Ref only)'!AA437)</f>
        <v/>
      </c>
      <c r="AE426" s="375" t="str">
        <f>IF(B426="", "", 'Lighting Inventory (Ref only)'!U437)</f>
        <v/>
      </c>
      <c r="AF426" s="375" t="str">
        <f>IF(B426="", "",'Lighting Inventory (Ref only)'!W437)</f>
        <v/>
      </c>
      <c r="AG426" s="375"/>
      <c r="AH426" s="375" t="str">
        <f>IF(B426="", "",'Lighting Inventory (Ref only)'!Z437)</f>
        <v/>
      </c>
      <c r="AI426" s="375" t="str">
        <f>IF(B426="", "", 'Lighting Inventory (Ref only)'!Y437)</f>
        <v/>
      </c>
      <c r="AJ426" s="375" t="str">
        <f>IF(C426="", "",'Lighting Inventory (Ref only)'!AB437)</f>
        <v/>
      </c>
      <c r="AK426" s="375" t="str">
        <f>IF(B426="", "", 'Lighting Inventory (Ref only)'!AG437)</f>
        <v/>
      </c>
      <c r="AL426" s="375" t="str">
        <f>IF(B426="", "", 'Lighting Inventory (Ref only)'!AD437)</f>
        <v/>
      </c>
      <c r="AM426" s="375" t="str">
        <f>IF(B426="", "", 'Lighting Inventory (Ref only)'!AE437)</f>
        <v/>
      </c>
      <c r="AN426" s="375" t="str">
        <f>IF(B426="", "", 'Lighting Inventory (Ref only)'!AF437)</f>
        <v/>
      </c>
      <c r="AO426" s="375" t="str">
        <f>IF(B426="", "", 'Lighting Inventory (Ref only)'!AG437)</f>
        <v/>
      </c>
    </row>
    <row r="427" spans="1:41">
      <c r="A427" s="298" t="str">
        <f>IF(G427="", "", Lookups!BF429)</f>
        <v/>
      </c>
      <c r="B427" s="298" t="str">
        <f>IF('Lighting Inventory (Ref only)'!Q438="", "", 'Lighting Inventory (Ref only)'!Q438)</f>
        <v/>
      </c>
      <c r="C427" s="298" t="str">
        <f>IF(A427="", "", 'Lighting Inventory (Ref only)'!AO438)</f>
        <v/>
      </c>
      <c r="D427" s="370" t="str">
        <f>IF(B427= "","", Inventory!S435)</f>
        <v/>
      </c>
      <c r="E427" s="371"/>
      <c r="F427" s="298" t="str">
        <f>IF(B427="", "", 'Version Log'!$B$34)</f>
        <v/>
      </c>
      <c r="G427" s="298" t="str">
        <f t="shared" si="24"/>
        <v/>
      </c>
      <c r="H427" s="298" t="str">
        <f t="shared" si="25"/>
        <v/>
      </c>
      <c r="I427" s="298" t="str">
        <f>IF(B427="", "",Inventory!D435)</f>
        <v/>
      </c>
      <c r="J427" s="298" t="str">
        <f>IF(B427="","",IF(Inventory!C435="N","Interior","Exterior"))</f>
        <v/>
      </c>
      <c r="K427" s="298" t="str">
        <f t="shared" si="26"/>
        <v/>
      </c>
      <c r="L427" s="298" t="str">
        <f>IF(B427="", "", Inventory!E435)</f>
        <v/>
      </c>
      <c r="M427" s="298" t="str">
        <f>IF(B427="","",IF(Cool_Type=Lookups!$L$9,Cool_Type,IF(Cool_Type=Lookups!$L$10,Cool_Type,IF(Cool_Type=Lookups!$L$11,Cool_Type,IF(Cool_Type=Lookups!L437,Cool_Type,IF('Project Info and Summary'!$C$20="Electric",CONCATENATE(Cool_Type," ",Heating_Type," Heat"),IF('Project Info and Summary'!$C$20="Non-Electric",CONCATENATE(Cool_Type," ",Heating_Type," Heat"),CONCATENATE(Cool_Type," ",Heating_Type))))))))</f>
        <v/>
      </c>
      <c r="N427" s="298" t="str">
        <f t="shared" si="27"/>
        <v/>
      </c>
      <c r="O427" s="298" t="str">
        <f>IF(B427="", "", 'Lighting Inventory (Ref only)'!G438)</f>
        <v/>
      </c>
      <c r="P427" s="298" t="str">
        <f>IF(B427="", "", 'Lighting Inventory (Ref only)'!E438)</f>
        <v/>
      </c>
      <c r="Q427" s="298" t="str">
        <f>IF(B427="", "", 'Lighting Inventory (Ref only)'!J438)</f>
        <v/>
      </c>
      <c r="R427" s="298" t="str">
        <f>IF(B427="", "",'Lighting Inventory (Ref only)'!K438)</f>
        <v/>
      </c>
      <c r="S427" s="372" t="str">
        <f>IF(B427="", "", 'Lighting Inventory (Ref only)'!G438*'Lighting Inventory (Ref only)'!K438/1000)</f>
        <v/>
      </c>
      <c r="T427" s="298" t="str">
        <f>IF(B427="", "", IF('Lighting Inventory (Ref only)'!I438="", "Light Switch",Inventory!H435))</f>
        <v/>
      </c>
      <c r="W427" s="373"/>
      <c r="X427" s="298" t="str">
        <f>IF(B427="", "", 'Lighting Inventory (Ref only)'!Q438)</f>
        <v/>
      </c>
      <c r="Z427" s="374"/>
      <c r="AA427" s="372" t="str">
        <f>IF(B427="", "",'Lighting Inventory (Ref only)'!R438/1000)</f>
        <v/>
      </c>
      <c r="AB427" s="372" t="str">
        <f>IF(B427="", "", Inventory!M435)</f>
        <v/>
      </c>
      <c r="AC427" s="374" t="str">
        <f>IF(B427="", "", 'Lighting Inventory (Ref only)'!T438)</f>
        <v/>
      </c>
      <c r="AD427" s="374" t="str">
        <f>IF(C427="", "", 'Lighting Inventory (Ref only)'!AA438)</f>
        <v/>
      </c>
      <c r="AE427" s="375" t="str">
        <f>IF(B427="", "", 'Lighting Inventory (Ref only)'!U438)</f>
        <v/>
      </c>
      <c r="AF427" s="375" t="str">
        <f>IF(B427="", "",'Lighting Inventory (Ref only)'!W438)</f>
        <v/>
      </c>
      <c r="AG427" s="375"/>
      <c r="AH427" s="375" t="str">
        <f>IF(B427="", "",'Lighting Inventory (Ref only)'!Z438)</f>
        <v/>
      </c>
      <c r="AI427" s="375" t="str">
        <f>IF(B427="", "", 'Lighting Inventory (Ref only)'!Y438)</f>
        <v/>
      </c>
      <c r="AJ427" s="375" t="str">
        <f>IF(C427="", "",'Lighting Inventory (Ref only)'!AB438)</f>
        <v/>
      </c>
      <c r="AK427" s="375" t="str">
        <f>IF(B427="", "", 'Lighting Inventory (Ref only)'!AG438)</f>
        <v/>
      </c>
      <c r="AL427" s="375" t="str">
        <f>IF(B427="", "", 'Lighting Inventory (Ref only)'!AD438)</f>
        <v/>
      </c>
      <c r="AM427" s="375" t="str">
        <f>IF(B427="", "", 'Lighting Inventory (Ref only)'!AE438)</f>
        <v/>
      </c>
      <c r="AN427" s="375" t="str">
        <f>IF(B427="", "", 'Lighting Inventory (Ref only)'!AF438)</f>
        <v/>
      </c>
      <c r="AO427" s="375" t="str">
        <f>IF(B427="", "", 'Lighting Inventory (Ref only)'!AG438)</f>
        <v/>
      </c>
    </row>
    <row r="428" spans="1:41">
      <c r="A428" s="298" t="str">
        <f>IF(G428="", "", Lookups!BF430)</f>
        <v/>
      </c>
      <c r="B428" s="298" t="str">
        <f>IF('Lighting Inventory (Ref only)'!Q439="", "", 'Lighting Inventory (Ref only)'!Q439)</f>
        <v/>
      </c>
      <c r="C428" s="298" t="str">
        <f>IF(A428="", "", 'Lighting Inventory (Ref only)'!AO439)</f>
        <v/>
      </c>
      <c r="D428" s="370" t="str">
        <f>IF(B428= "","", Inventory!S436)</f>
        <v/>
      </c>
      <c r="E428" s="371"/>
      <c r="F428" s="298" t="str">
        <f>IF(B428="", "", 'Version Log'!$B$34)</f>
        <v/>
      </c>
      <c r="G428" s="298" t="str">
        <f t="shared" si="24"/>
        <v/>
      </c>
      <c r="H428" s="298" t="str">
        <f t="shared" si="25"/>
        <v/>
      </c>
      <c r="I428" s="298" t="str">
        <f>IF(B428="", "",Inventory!D436)</f>
        <v/>
      </c>
      <c r="J428" s="298" t="str">
        <f>IF(B428="","",IF(Inventory!C436="N","Interior","Exterior"))</f>
        <v/>
      </c>
      <c r="K428" s="298" t="str">
        <f t="shared" si="26"/>
        <v/>
      </c>
      <c r="L428" s="298" t="str">
        <f>IF(B428="", "", Inventory!E436)</f>
        <v/>
      </c>
      <c r="M428" s="298" t="str">
        <f>IF(B428="","",IF(Cool_Type=Lookups!$L$9,Cool_Type,IF(Cool_Type=Lookups!$L$10,Cool_Type,IF(Cool_Type=Lookups!$L$11,Cool_Type,IF(Cool_Type=Lookups!L438,Cool_Type,IF('Project Info and Summary'!$C$20="Electric",CONCATENATE(Cool_Type," ",Heating_Type," Heat"),IF('Project Info and Summary'!$C$20="Non-Electric",CONCATENATE(Cool_Type," ",Heating_Type," Heat"),CONCATENATE(Cool_Type," ",Heating_Type))))))))</f>
        <v/>
      </c>
      <c r="N428" s="298" t="str">
        <f t="shared" si="27"/>
        <v/>
      </c>
      <c r="O428" s="298" t="str">
        <f>IF(B428="", "", 'Lighting Inventory (Ref only)'!G439)</f>
        <v/>
      </c>
      <c r="P428" s="298" t="str">
        <f>IF(B428="", "", 'Lighting Inventory (Ref only)'!E439)</f>
        <v/>
      </c>
      <c r="Q428" s="298" t="str">
        <f>IF(B428="", "", 'Lighting Inventory (Ref only)'!J439)</f>
        <v/>
      </c>
      <c r="R428" s="298" t="str">
        <f>IF(B428="", "",'Lighting Inventory (Ref only)'!K439)</f>
        <v/>
      </c>
      <c r="S428" s="372" t="str">
        <f>IF(B428="", "", 'Lighting Inventory (Ref only)'!G439*'Lighting Inventory (Ref only)'!K439/1000)</f>
        <v/>
      </c>
      <c r="T428" s="298" t="str">
        <f>IF(B428="", "", IF('Lighting Inventory (Ref only)'!I439="", "Light Switch",Inventory!H436))</f>
        <v/>
      </c>
      <c r="W428" s="373"/>
      <c r="X428" s="298" t="str">
        <f>IF(B428="", "", 'Lighting Inventory (Ref only)'!Q439)</f>
        <v/>
      </c>
      <c r="Z428" s="374"/>
      <c r="AA428" s="372" t="str">
        <f>IF(B428="", "",'Lighting Inventory (Ref only)'!R439/1000)</f>
        <v/>
      </c>
      <c r="AB428" s="372" t="str">
        <f>IF(B428="", "", Inventory!M436)</f>
        <v/>
      </c>
      <c r="AC428" s="374" t="str">
        <f>IF(B428="", "", 'Lighting Inventory (Ref only)'!T439)</f>
        <v/>
      </c>
      <c r="AD428" s="374" t="str">
        <f>IF(C428="", "", 'Lighting Inventory (Ref only)'!AA439)</f>
        <v/>
      </c>
      <c r="AE428" s="375" t="str">
        <f>IF(B428="", "", 'Lighting Inventory (Ref only)'!U439)</f>
        <v/>
      </c>
      <c r="AF428" s="375" t="str">
        <f>IF(B428="", "",'Lighting Inventory (Ref only)'!W439)</f>
        <v/>
      </c>
      <c r="AG428" s="375"/>
      <c r="AH428" s="375" t="str">
        <f>IF(B428="", "",'Lighting Inventory (Ref only)'!Z439)</f>
        <v/>
      </c>
      <c r="AI428" s="375" t="str">
        <f>IF(B428="", "", 'Lighting Inventory (Ref only)'!Y439)</f>
        <v/>
      </c>
      <c r="AJ428" s="375" t="str">
        <f>IF(C428="", "",'Lighting Inventory (Ref only)'!AB439)</f>
        <v/>
      </c>
      <c r="AK428" s="375" t="str">
        <f>IF(B428="", "", 'Lighting Inventory (Ref only)'!AG439)</f>
        <v/>
      </c>
      <c r="AL428" s="375" t="str">
        <f>IF(B428="", "", 'Lighting Inventory (Ref only)'!AD439)</f>
        <v/>
      </c>
      <c r="AM428" s="375" t="str">
        <f>IF(B428="", "", 'Lighting Inventory (Ref only)'!AE439)</f>
        <v/>
      </c>
      <c r="AN428" s="375" t="str">
        <f>IF(B428="", "", 'Lighting Inventory (Ref only)'!AF439)</f>
        <v/>
      </c>
      <c r="AO428" s="375" t="str">
        <f>IF(B428="", "", 'Lighting Inventory (Ref only)'!AG439)</f>
        <v/>
      </c>
    </row>
    <row r="429" spans="1:41">
      <c r="A429" s="298" t="str">
        <f>IF(G429="", "", Lookups!BF431)</f>
        <v/>
      </c>
      <c r="B429" s="298" t="str">
        <f>IF('Lighting Inventory (Ref only)'!Q440="", "", 'Lighting Inventory (Ref only)'!Q440)</f>
        <v/>
      </c>
      <c r="C429" s="298" t="str">
        <f>IF(A429="", "", 'Lighting Inventory (Ref only)'!AO440)</f>
        <v/>
      </c>
      <c r="D429" s="370" t="str">
        <f>IF(B429= "","", Inventory!S437)</f>
        <v/>
      </c>
      <c r="E429" s="371"/>
      <c r="F429" s="298" t="str">
        <f>IF(B429="", "", 'Version Log'!$B$34)</f>
        <v/>
      </c>
      <c r="G429" s="298" t="str">
        <f t="shared" si="24"/>
        <v/>
      </c>
      <c r="H429" s="298" t="str">
        <f t="shared" si="25"/>
        <v/>
      </c>
      <c r="I429" s="298" t="str">
        <f>IF(B429="", "",Inventory!D437)</f>
        <v/>
      </c>
      <c r="J429" s="298" t="str">
        <f>IF(B429="","",IF(Inventory!C437="N","Interior","Exterior"))</f>
        <v/>
      </c>
      <c r="K429" s="298" t="str">
        <f t="shared" si="26"/>
        <v/>
      </c>
      <c r="L429" s="298" t="str">
        <f>IF(B429="", "", Inventory!E437)</f>
        <v/>
      </c>
      <c r="M429" s="298" t="str">
        <f>IF(B429="","",IF(Cool_Type=Lookups!$L$9,Cool_Type,IF(Cool_Type=Lookups!$L$10,Cool_Type,IF(Cool_Type=Lookups!$L$11,Cool_Type,IF(Cool_Type=Lookups!L439,Cool_Type,IF('Project Info and Summary'!$C$20="Electric",CONCATENATE(Cool_Type," ",Heating_Type," Heat"),IF('Project Info and Summary'!$C$20="Non-Electric",CONCATENATE(Cool_Type," ",Heating_Type," Heat"),CONCATENATE(Cool_Type," ",Heating_Type))))))))</f>
        <v/>
      </c>
      <c r="N429" s="298" t="str">
        <f t="shared" si="27"/>
        <v/>
      </c>
      <c r="O429" s="298" t="str">
        <f>IF(B429="", "", 'Lighting Inventory (Ref only)'!G440)</f>
        <v/>
      </c>
      <c r="P429" s="298" t="str">
        <f>IF(B429="", "", 'Lighting Inventory (Ref only)'!E440)</f>
        <v/>
      </c>
      <c r="Q429" s="298" t="str">
        <f>IF(B429="", "", 'Lighting Inventory (Ref only)'!J440)</f>
        <v/>
      </c>
      <c r="R429" s="298" t="str">
        <f>IF(B429="", "",'Lighting Inventory (Ref only)'!K440)</f>
        <v/>
      </c>
      <c r="S429" s="372" t="str">
        <f>IF(B429="", "", 'Lighting Inventory (Ref only)'!G440*'Lighting Inventory (Ref only)'!K440/1000)</f>
        <v/>
      </c>
      <c r="T429" s="298" t="str">
        <f>IF(B429="", "", IF('Lighting Inventory (Ref only)'!I440="", "Light Switch",Inventory!H437))</f>
        <v/>
      </c>
      <c r="W429" s="373"/>
      <c r="X429" s="298" t="str">
        <f>IF(B429="", "", 'Lighting Inventory (Ref only)'!Q440)</f>
        <v/>
      </c>
      <c r="Z429" s="374"/>
      <c r="AA429" s="372" t="str">
        <f>IF(B429="", "",'Lighting Inventory (Ref only)'!R440/1000)</f>
        <v/>
      </c>
      <c r="AB429" s="372" t="str">
        <f>IF(B429="", "", Inventory!M437)</f>
        <v/>
      </c>
      <c r="AC429" s="374" t="str">
        <f>IF(B429="", "", 'Lighting Inventory (Ref only)'!T440)</f>
        <v/>
      </c>
      <c r="AD429" s="374" t="str">
        <f>IF(C429="", "", 'Lighting Inventory (Ref only)'!AA440)</f>
        <v/>
      </c>
      <c r="AE429" s="375" t="str">
        <f>IF(B429="", "", 'Lighting Inventory (Ref only)'!U440)</f>
        <v/>
      </c>
      <c r="AF429" s="375" t="str">
        <f>IF(B429="", "",'Lighting Inventory (Ref only)'!W440)</f>
        <v/>
      </c>
      <c r="AG429" s="375"/>
      <c r="AH429" s="375" t="str">
        <f>IF(B429="", "",'Lighting Inventory (Ref only)'!Z440)</f>
        <v/>
      </c>
      <c r="AI429" s="375" t="str">
        <f>IF(B429="", "", 'Lighting Inventory (Ref only)'!Y440)</f>
        <v/>
      </c>
      <c r="AJ429" s="375" t="str">
        <f>IF(C429="", "",'Lighting Inventory (Ref only)'!AB440)</f>
        <v/>
      </c>
      <c r="AK429" s="375" t="str">
        <f>IF(B429="", "", 'Lighting Inventory (Ref only)'!AG440)</f>
        <v/>
      </c>
      <c r="AL429" s="375" t="str">
        <f>IF(B429="", "", 'Lighting Inventory (Ref only)'!AD440)</f>
        <v/>
      </c>
      <c r="AM429" s="375" t="str">
        <f>IF(B429="", "", 'Lighting Inventory (Ref only)'!AE440)</f>
        <v/>
      </c>
      <c r="AN429" s="375" t="str">
        <f>IF(B429="", "", 'Lighting Inventory (Ref only)'!AF440)</f>
        <v/>
      </c>
      <c r="AO429" s="375" t="str">
        <f>IF(B429="", "", 'Lighting Inventory (Ref only)'!AG440)</f>
        <v/>
      </c>
    </row>
    <row r="430" spans="1:41">
      <c r="A430" s="298" t="str">
        <f>IF(G430="", "", Lookups!BF432)</f>
        <v/>
      </c>
      <c r="B430" s="298" t="str">
        <f>IF('Lighting Inventory (Ref only)'!Q441="", "", 'Lighting Inventory (Ref only)'!Q441)</f>
        <v/>
      </c>
      <c r="C430" s="298" t="str">
        <f>IF(A430="", "", 'Lighting Inventory (Ref only)'!AO441)</f>
        <v/>
      </c>
      <c r="D430" s="370" t="str">
        <f>IF(B430= "","", Inventory!S438)</f>
        <v/>
      </c>
      <c r="E430" s="371"/>
      <c r="F430" s="298" t="str">
        <f>IF(B430="", "", 'Version Log'!$B$34)</f>
        <v/>
      </c>
      <c r="G430" s="298" t="str">
        <f t="shared" si="24"/>
        <v/>
      </c>
      <c r="H430" s="298" t="str">
        <f t="shared" si="25"/>
        <v/>
      </c>
      <c r="I430" s="298" t="str">
        <f>IF(B430="", "",Inventory!D438)</f>
        <v/>
      </c>
      <c r="J430" s="298" t="str">
        <f>IF(B430="","",IF(Inventory!C438="N","Interior","Exterior"))</f>
        <v/>
      </c>
      <c r="K430" s="298" t="str">
        <f t="shared" si="26"/>
        <v/>
      </c>
      <c r="L430" s="298" t="str">
        <f>IF(B430="", "", Inventory!E438)</f>
        <v/>
      </c>
      <c r="M430" s="298" t="str">
        <f>IF(B430="","",IF(Cool_Type=Lookups!$L$9,Cool_Type,IF(Cool_Type=Lookups!$L$10,Cool_Type,IF(Cool_Type=Lookups!$L$11,Cool_Type,IF(Cool_Type=Lookups!L440,Cool_Type,IF('Project Info and Summary'!$C$20="Electric",CONCATENATE(Cool_Type," ",Heating_Type," Heat"),IF('Project Info and Summary'!$C$20="Non-Electric",CONCATENATE(Cool_Type," ",Heating_Type," Heat"),CONCATENATE(Cool_Type," ",Heating_Type))))))))</f>
        <v/>
      </c>
      <c r="N430" s="298" t="str">
        <f t="shared" si="27"/>
        <v/>
      </c>
      <c r="O430" s="298" t="str">
        <f>IF(B430="", "", 'Lighting Inventory (Ref only)'!G441)</f>
        <v/>
      </c>
      <c r="P430" s="298" t="str">
        <f>IF(B430="", "", 'Lighting Inventory (Ref only)'!E441)</f>
        <v/>
      </c>
      <c r="Q430" s="298" t="str">
        <f>IF(B430="", "", 'Lighting Inventory (Ref only)'!J441)</f>
        <v/>
      </c>
      <c r="R430" s="298" t="str">
        <f>IF(B430="", "",'Lighting Inventory (Ref only)'!K441)</f>
        <v/>
      </c>
      <c r="S430" s="372" t="str">
        <f>IF(B430="", "", 'Lighting Inventory (Ref only)'!G441*'Lighting Inventory (Ref only)'!K441/1000)</f>
        <v/>
      </c>
      <c r="T430" s="298" t="str">
        <f>IF(B430="", "", IF('Lighting Inventory (Ref only)'!I441="", "Light Switch",Inventory!H438))</f>
        <v/>
      </c>
      <c r="W430" s="373"/>
      <c r="X430" s="298" t="str">
        <f>IF(B430="", "", 'Lighting Inventory (Ref only)'!Q441)</f>
        <v/>
      </c>
      <c r="Z430" s="374"/>
      <c r="AA430" s="372" t="str">
        <f>IF(B430="", "",'Lighting Inventory (Ref only)'!R441/1000)</f>
        <v/>
      </c>
      <c r="AB430" s="372" t="str">
        <f>IF(B430="", "", Inventory!M438)</f>
        <v/>
      </c>
      <c r="AC430" s="374" t="str">
        <f>IF(B430="", "", 'Lighting Inventory (Ref only)'!T441)</f>
        <v/>
      </c>
      <c r="AD430" s="374" t="str">
        <f>IF(C430="", "", 'Lighting Inventory (Ref only)'!AA441)</f>
        <v/>
      </c>
      <c r="AE430" s="375" t="str">
        <f>IF(B430="", "", 'Lighting Inventory (Ref only)'!U441)</f>
        <v/>
      </c>
      <c r="AF430" s="375" t="str">
        <f>IF(B430="", "",'Lighting Inventory (Ref only)'!W441)</f>
        <v/>
      </c>
      <c r="AG430" s="375"/>
      <c r="AH430" s="375" t="str">
        <f>IF(B430="", "",'Lighting Inventory (Ref only)'!Z441)</f>
        <v/>
      </c>
      <c r="AI430" s="375" t="str">
        <f>IF(B430="", "", 'Lighting Inventory (Ref only)'!Y441)</f>
        <v/>
      </c>
      <c r="AJ430" s="375" t="str">
        <f>IF(C430="", "",'Lighting Inventory (Ref only)'!AB441)</f>
        <v/>
      </c>
      <c r="AK430" s="375" t="str">
        <f>IF(B430="", "", 'Lighting Inventory (Ref only)'!AG441)</f>
        <v/>
      </c>
      <c r="AL430" s="375" t="str">
        <f>IF(B430="", "", 'Lighting Inventory (Ref only)'!AD441)</f>
        <v/>
      </c>
      <c r="AM430" s="375" t="str">
        <f>IF(B430="", "", 'Lighting Inventory (Ref only)'!AE441)</f>
        <v/>
      </c>
      <c r="AN430" s="375" t="str">
        <f>IF(B430="", "", 'Lighting Inventory (Ref only)'!AF441)</f>
        <v/>
      </c>
      <c r="AO430" s="375" t="str">
        <f>IF(B430="", "", 'Lighting Inventory (Ref only)'!AG441)</f>
        <v/>
      </c>
    </row>
    <row r="431" spans="1:41">
      <c r="A431" s="298" t="str">
        <f>IF(G431="", "", Lookups!BF433)</f>
        <v/>
      </c>
      <c r="B431" s="298" t="str">
        <f>IF('Lighting Inventory (Ref only)'!Q442="", "", 'Lighting Inventory (Ref only)'!Q442)</f>
        <v/>
      </c>
      <c r="C431" s="298" t="str">
        <f>IF(A431="", "", 'Lighting Inventory (Ref only)'!AO442)</f>
        <v/>
      </c>
      <c r="D431" s="370" t="str">
        <f>IF(B431= "","", Inventory!S439)</f>
        <v/>
      </c>
      <c r="E431" s="371"/>
      <c r="F431" s="298" t="str">
        <f>IF(B431="", "", 'Version Log'!$B$34)</f>
        <v/>
      </c>
      <c r="G431" s="298" t="str">
        <f t="shared" si="24"/>
        <v/>
      </c>
      <c r="H431" s="298" t="str">
        <f t="shared" si="25"/>
        <v/>
      </c>
      <c r="I431" s="298" t="str">
        <f>IF(B431="", "",Inventory!D439)</f>
        <v/>
      </c>
      <c r="J431" s="298" t="str">
        <f>IF(B431="","",IF(Inventory!C439="N","Interior","Exterior"))</f>
        <v/>
      </c>
      <c r="K431" s="298" t="str">
        <f t="shared" si="26"/>
        <v/>
      </c>
      <c r="L431" s="298" t="str">
        <f>IF(B431="", "", Inventory!E439)</f>
        <v/>
      </c>
      <c r="M431" s="298" t="str">
        <f>IF(B431="","",IF(Cool_Type=Lookups!$L$9,Cool_Type,IF(Cool_Type=Lookups!$L$10,Cool_Type,IF(Cool_Type=Lookups!$L$11,Cool_Type,IF(Cool_Type=Lookups!L441,Cool_Type,IF('Project Info and Summary'!$C$20="Electric",CONCATENATE(Cool_Type," ",Heating_Type," Heat"),IF('Project Info and Summary'!$C$20="Non-Electric",CONCATENATE(Cool_Type," ",Heating_Type," Heat"),CONCATENATE(Cool_Type," ",Heating_Type))))))))</f>
        <v/>
      </c>
      <c r="N431" s="298" t="str">
        <f t="shared" si="27"/>
        <v/>
      </c>
      <c r="O431" s="298" t="str">
        <f>IF(B431="", "", 'Lighting Inventory (Ref only)'!G442)</f>
        <v/>
      </c>
      <c r="P431" s="298" t="str">
        <f>IF(B431="", "", 'Lighting Inventory (Ref only)'!E442)</f>
        <v/>
      </c>
      <c r="Q431" s="298" t="str">
        <f>IF(B431="", "", 'Lighting Inventory (Ref only)'!J442)</f>
        <v/>
      </c>
      <c r="R431" s="298" t="str">
        <f>IF(B431="", "",'Lighting Inventory (Ref only)'!K442)</f>
        <v/>
      </c>
      <c r="S431" s="372" t="str">
        <f>IF(B431="", "", 'Lighting Inventory (Ref only)'!G442*'Lighting Inventory (Ref only)'!K442/1000)</f>
        <v/>
      </c>
      <c r="T431" s="298" t="str">
        <f>IF(B431="", "", IF('Lighting Inventory (Ref only)'!I442="", "Light Switch",Inventory!H439))</f>
        <v/>
      </c>
      <c r="W431" s="373"/>
      <c r="X431" s="298" t="str">
        <f>IF(B431="", "", 'Lighting Inventory (Ref only)'!Q442)</f>
        <v/>
      </c>
      <c r="Z431" s="374"/>
      <c r="AA431" s="372" t="str">
        <f>IF(B431="", "",'Lighting Inventory (Ref only)'!R442/1000)</f>
        <v/>
      </c>
      <c r="AB431" s="372" t="str">
        <f>IF(B431="", "", Inventory!M439)</f>
        <v/>
      </c>
      <c r="AC431" s="374" t="str">
        <f>IF(B431="", "", 'Lighting Inventory (Ref only)'!T442)</f>
        <v/>
      </c>
      <c r="AD431" s="374" t="str">
        <f>IF(C431="", "", 'Lighting Inventory (Ref only)'!AA442)</f>
        <v/>
      </c>
      <c r="AE431" s="375" t="str">
        <f>IF(B431="", "", 'Lighting Inventory (Ref only)'!U442)</f>
        <v/>
      </c>
      <c r="AF431" s="375" t="str">
        <f>IF(B431="", "",'Lighting Inventory (Ref only)'!W442)</f>
        <v/>
      </c>
      <c r="AG431" s="375"/>
      <c r="AH431" s="375" t="str">
        <f>IF(B431="", "",'Lighting Inventory (Ref only)'!Z442)</f>
        <v/>
      </c>
      <c r="AI431" s="375" t="str">
        <f>IF(B431="", "", 'Lighting Inventory (Ref only)'!Y442)</f>
        <v/>
      </c>
      <c r="AJ431" s="375" t="str">
        <f>IF(C431="", "",'Lighting Inventory (Ref only)'!AB442)</f>
        <v/>
      </c>
      <c r="AK431" s="375" t="str">
        <f>IF(B431="", "", 'Lighting Inventory (Ref only)'!AG442)</f>
        <v/>
      </c>
      <c r="AL431" s="375" t="str">
        <f>IF(B431="", "", 'Lighting Inventory (Ref only)'!AD442)</f>
        <v/>
      </c>
      <c r="AM431" s="375" t="str">
        <f>IF(B431="", "", 'Lighting Inventory (Ref only)'!AE442)</f>
        <v/>
      </c>
      <c r="AN431" s="375" t="str">
        <f>IF(B431="", "", 'Lighting Inventory (Ref only)'!AF442)</f>
        <v/>
      </c>
      <c r="AO431" s="375" t="str">
        <f>IF(B431="", "", 'Lighting Inventory (Ref only)'!AG442)</f>
        <v/>
      </c>
    </row>
    <row r="432" spans="1:41">
      <c r="A432" s="298" t="str">
        <f>IF(G432="", "", Lookups!BF434)</f>
        <v/>
      </c>
      <c r="B432" s="298" t="str">
        <f>IF('Lighting Inventory (Ref only)'!Q443="", "", 'Lighting Inventory (Ref only)'!Q443)</f>
        <v/>
      </c>
      <c r="C432" s="298" t="str">
        <f>IF(A432="", "", 'Lighting Inventory (Ref only)'!AO443)</f>
        <v/>
      </c>
      <c r="D432" s="370" t="str">
        <f>IF(B432= "","", Inventory!S440)</f>
        <v/>
      </c>
      <c r="E432" s="371"/>
      <c r="F432" s="298" t="str">
        <f>IF(B432="", "", 'Version Log'!$B$34)</f>
        <v/>
      </c>
      <c r="G432" s="298" t="str">
        <f t="shared" si="24"/>
        <v/>
      </c>
      <c r="H432" s="298" t="str">
        <f t="shared" si="25"/>
        <v/>
      </c>
      <c r="I432" s="298" t="str">
        <f>IF(B432="", "",Inventory!D440)</f>
        <v/>
      </c>
      <c r="J432" s="298" t="str">
        <f>IF(B432="","",IF(Inventory!C440="N","Interior","Exterior"))</f>
        <v/>
      </c>
      <c r="K432" s="298" t="str">
        <f t="shared" si="26"/>
        <v/>
      </c>
      <c r="L432" s="298" t="str">
        <f>IF(B432="", "", Inventory!E440)</f>
        <v/>
      </c>
      <c r="M432" s="298" t="str">
        <f>IF(B432="","",IF(Cool_Type=Lookups!$L$9,Cool_Type,IF(Cool_Type=Lookups!$L$10,Cool_Type,IF(Cool_Type=Lookups!$L$11,Cool_Type,IF(Cool_Type=Lookups!L442,Cool_Type,IF('Project Info and Summary'!$C$20="Electric",CONCATENATE(Cool_Type," ",Heating_Type," Heat"),IF('Project Info and Summary'!$C$20="Non-Electric",CONCATENATE(Cool_Type," ",Heating_Type," Heat"),CONCATENATE(Cool_Type," ",Heating_Type))))))))</f>
        <v/>
      </c>
      <c r="N432" s="298" t="str">
        <f t="shared" si="27"/>
        <v/>
      </c>
      <c r="O432" s="298" t="str">
        <f>IF(B432="", "", 'Lighting Inventory (Ref only)'!G443)</f>
        <v/>
      </c>
      <c r="P432" s="298" t="str">
        <f>IF(B432="", "", 'Lighting Inventory (Ref only)'!E443)</f>
        <v/>
      </c>
      <c r="Q432" s="298" t="str">
        <f>IF(B432="", "", 'Lighting Inventory (Ref only)'!J443)</f>
        <v/>
      </c>
      <c r="R432" s="298" t="str">
        <f>IF(B432="", "",'Lighting Inventory (Ref only)'!K443)</f>
        <v/>
      </c>
      <c r="S432" s="372" t="str">
        <f>IF(B432="", "", 'Lighting Inventory (Ref only)'!G443*'Lighting Inventory (Ref only)'!K443/1000)</f>
        <v/>
      </c>
      <c r="T432" s="298" t="str">
        <f>IF(B432="", "", IF('Lighting Inventory (Ref only)'!I443="", "Light Switch",Inventory!H440))</f>
        <v/>
      </c>
      <c r="W432" s="373"/>
      <c r="X432" s="298" t="str">
        <f>IF(B432="", "", 'Lighting Inventory (Ref only)'!Q443)</f>
        <v/>
      </c>
      <c r="Z432" s="374"/>
      <c r="AA432" s="372" t="str">
        <f>IF(B432="", "",'Lighting Inventory (Ref only)'!R443/1000)</f>
        <v/>
      </c>
      <c r="AB432" s="372" t="str">
        <f>IF(B432="", "", Inventory!M440)</f>
        <v/>
      </c>
      <c r="AC432" s="374" t="str">
        <f>IF(B432="", "", 'Lighting Inventory (Ref only)'!T443)</f>
        <v/>
      </c>
      <c r="AD432" s="374" t="str">
        <f>IF(C432="", "", 'Lighting Inventory (Ref only)'!AA443)</f>
        <v/>
      </c>
      <c r="AE432" s="375" t="str">
        <f>IF(B432="", "", 'Lighting Inventory (Ref only)'!U443)</f>
        <v/>
      </c>
      <c r="AF432" s="375" t="str">
        <f>IF(B432="", "",'Lighting Inventory (Ref only)'!W443)</f>
        <v/>
      </c>
      <c r="AG432" s="375"/>
      <c r="AH432" s="375" t="str">
        <f>IF(B432="", "",'Lighting Inventory (Ref only)'!Z443)</f>
        <v/>
      </c>
      <c r="AI432" s="375" t="str">
        <f>IF(B432="", "", 'Lighting Inventory (Ref only)'!Y443)</f>
        <v/>
      </c>
      <c r="AJ432" s="375" t="str">
        <f>IF(C432="", "",'Lighting Inventory (Ref only)'!AB443)</f>
        <v/>
      </c>
      <c r="AK432" s="375" t="str">
        <f>IF(B432="", "", 'Lighting Inventory (Ref only)'!AG443)</f>
        <v/>
      </c>
      <c r="AL432" s="375" t="str">
        <f>IF(B432="", "", 'Lighting Inventory (Ref only)'!AD443)</f>
        <v/>
      </c>
      <c r="AM432" s="375" t="str">
        <f>IF(B432="", "", 'Lighting Inventory (Ref only)'!AE443)</f>
        <v/>
      </c>
      <c r="AN432" s="375" t="str">
        <f>IF(B432="", "", 'Lighting Inventory (Ref only)'!AF443)</f>
        <v/>
      </c>
      <c r="AO432" s="375" t="str">
        <f>IF(B432="", "", 'Lighting Inventory (Ref only)'!AG443)</f>
        <v/>
      </c>
    </row>
    <row r="433" spans="1:41">
      <c r="A433" s="298" t="str">
        <f>IF(G433="", "", Lookups!BF435)</f>
        <v/>
      </c>
      <c r="B433" s="298" t="str">
        <f>IF('Lighting Inventory (Ref only)'!Q444="", "", 'Lighting Inventory (Ref only)'!Q444)</f>
        <v/>
      </c>
      <c r="C433" s="298" t="str">
        <f>IF(A433="", "", 'Lighting Inventory (Ref only)'!AO444)</f>
        <v/>
      </c>
      <c r="D433" s="370" t="str">
        <f>IF(B433= "","", Inventory!S441)</f>
        <v/>
      </c>
      <c r="E433" s="371"/>
      <c r="F433" s="298" t="str">
        <f>IF(B433="", "", 'Version Log'!$B$34)</f>
        <v/>
      </c>
      <c r="G433" s="298" t="str">
        <f t="shared" si="24"/>
        <v/>
      </c>
      <c r="H433" s="298" t="str">
        <f t="shared" si="25"/>
        <v/>
      </c>
      <c r="I433" s="298" t="str">
        <f>IF(B433="", "",Inventory!D441)</f>
        <v/>
      </c>
      <c r="J433" s="298" t="str">
        <f>IF(B433="","",IF(Inventory!C441="N","Interior","Exterior"))</f>
        <v/>
      </c>
      <c r="K433" s="298" t="str">
        <f t="shared" si="26"/>
        <v/>
      </c>
      <c r="L433" s="298" t="str">
        <f>IF(B433="", "", Inventory!E441)</f>
        <v/>
      </c>
      <c r="M433" s="298" t="str">
        <f>IF(B433="","",IF(Cool_Type=Lookups!$L$9,Cool_Type,IF(Cool_Type=Lookups!$L$10,Cool_Type,IF(Cool_Type=Lookups!$L$11,Cool_Type,IF(Cool_Type=Lookups!L443,Cool_Type,IF('Project Info and Summary'!$C$20="Electric",CONCATENATE(Cool_Type," ",Heating_Type," Heat"),IF('Project Info and Summary'!$C$20="Non-Electric",CONCATENATE(Cool_Type," ",Heating_Type," Heat"),CONCATENATE(Cool_Type," ",Heating_Type))))))))</f>
        <v/>
      </c>
      <c r="N433" s="298" t="str">
        <f t="shared" si="27"/>
        <v/>
      </c>
      <c r="O433" s="298" t="str">
        <f>IF(B433="", "", 'Lighting Inventory (Ref only)'!G444)</f>
        <v/>
      </c>
      <c r="P433" s="298" t="str">
        <f>IF(B433="", "", 'Lighting Inventory (Ref only)'!E444)</f>
        <v/>
      </c>
      <c r="Q433" s="298" t="str">
        <f>IF(B433="", "", 'Lighting Inventory (Ref only)'!J444)</f>
        <v/>
      </c>
      <c r="R433" s="298" t="str">
        <f>IF(B433="", "",'Lighting Inventory (Ref only)'!K444)</f>
        <v/>
      </c>
      <c r="S433" s="372" t="str">
        <f>IF(B433="", "", 'Lighting Inventory (Ref only)'!G444*'Lighting Inventory (Ref only)'!K444/1000)</f>
        <v/>
      </c>
      <c r="T433" s="298" t="str">
        <f>IF(B433="", "", IF('Lighting Inventory (Ref only)'!I444="", "Light Switch",Inventory!H441))</f>
        <v/>
      </c>
      <c r="W433" s="373"/>
      <c r="X433" s="298" t="str">
        <f>IF(B433="", "", 'Lighting Inventory (Ref only)'!Q444)</f>
        <v/>
      </c>
      <c r="Z433" s="374"/>
      <c r="AA433" s="372" t="str">
        <f>IF(B433="", "",'Lighting Inventory (Ref only)'!R444/1000)</f>
        <v/>
      </c>
      <c r="AB433" s="372" t="str">
        <f>IF(B433="", "", Inventory!M441)</f>
        <v/>
      </c>
      <c r="AC433" s="374" t="str">
        <f>IF(B433="", "", 'Lighting Inventory (Ref only)'!T444)</f>
        <v/>
      </c>
      <c r="AD433" s="374" t="str">
        <f>IF(C433="", "", 'Lighting Inventory (Ref only)'!AA444)</f>
        <v/>
      </c>
      <c r="AE433" s="375" t="str">
        <f>IF(B433="", "", 'Lighting Inventory (Ref only)'!U444)</f>
        <v/>
      </c>
      <c r="AF433" s="375" t="str">
        <f>IF(B433="", "",'Lighting Inventory (Ref only)'!W444)</f>
        <v/>
      </c>
      <c r="AG433" s="375"/>
      <c r="AH433" s="375" t="str">
        <f>IF(B433="", "",'Lighting Inventory (Ref only)'!Z444)</f>
        <v/>
      </c>
      <c r="AI433" s="375" t="str">
        <f>IF(B433="", "", 'Lighting Inventory (Ref only)'!Y444)</f>
        <v/>
      </c>
      <c r="AJ433" s="375" t="str">
        <f>IF(C433="", "",'Lighting Inventory (Ref only)'!AB444)</f>
        <v/>
      </c>
      <c r="AK433" s="375" t="str">
        <f>IF(B433="", "", 'Lighting Inventory (Ref only)'!AG444)</f>
        <v/>
      </c>
      <c r="AL433" s="375" t="str">
        <f>IF(B433="", "", 'Lighting Inventory (Ref only)'!AD444)</f>
        <v/>
      </c>
      <c r="AM433" s="375" t="str">
        <f>IF(B433="", "", 'Lighting Inventory (Ref only)'!AE444)</f>
        <v/>
      </c>
      <c r="AN433" s="375" t="str">
        <f>IF(B433="", "", 'Lighting Inventory (Ref only)'!AF444)</f>
        <v/>
      </c>
      <c r="AO433" s="375" t="str">
        <f>IF(B433="", "", 'Lighting Inventory (Ref only)'!AG444)</f>
        <v/>
      </c>
    </row>
    <row r="434" spans="1:41">
      <c r="A434" s="298" t="str">
        <f>IF(G434="", "", Lookups!BF436)</f>
        <v/>
      </c>
      <c r="B434" s="298" t="str">
        <f>IF('Lighting Inventory (Ref only)'!Q445="", "", 'Lighting Inventory (Ref only)'!Q445)</f>
        <v/>
      </c>
      <c r="C434" s="298" t="str">
        <f>IF(A434="", "", 'Lighting Inventory (Ref only)'!AO445)</f>
        <v/>
      </c>
      <c r="D434" s="370" t="str">
        <f>IF(B434= "","", Inventory!S442)</f>
        <v/>
      </c>
      <c r="E434" s="371"/>
      <c r="F434" s="298" t="str">
        <f>IF(B434="", "", 'Version Log'!$B$34)</f>
        <v/>
      </c>
      <c r="G434" s="298" t="str">
        <f t="shared" si="24"/>
        <v/>
      </c>
      <c r="H434" s="298" t="str">
        <f t="shared" si="25"/>
        <v/>
      </c>
      <c r="I434" s="298" t="str">
        <f>IF(B434="", "",Inventory!D442)</f>
        <v/>
      </c>
      <c r="J434" s="298" t="str">
        <f>IF(B434="","",IF(Inventory!C442="N","Interior","Exterior"))</f>
        <v/>
      </c>
      <c r="K434" s="298" t="str">
        <f t="shared" si="26"/>
        <v/>
      </c>
      <c r="L434" s="298" t="str">
        <f>IF(B434="", "", Inventory!E442)</f>
        <v/>
      </c>
      <c r="M434" s="298" t="str">
        <f>IF(B434="","",IF(Cool_Type=Lookups!$L$9,Cool_Type,IF(Cool_Type=Lookups!$L$10,Cool_Type,IF(Cool_Type=Lookups!$L$11,Cool_Type,IF(Cool_Type=Lookups!L444,Cool_Type,IF('Project Info and Summary'!$C$20="Electric",CONCATENATE(Cool_Type," ",Heating_Type," Heat"),IF('Project Info and Summary'!$C$20="Non-Electric",CONCATENATE(Cool_Type," ",Heating_Type," Heat"),CONCATENATE(Cool_Type," ",Heating_Type))))))))</f>
        <v/>
      </c>
      <c r="N434" s="298" t="str">
        <f t="shared" si="27"/>
        <v/>
      </c>
      <c r="O434" s="298" t="str">
        <f>IF(B434="", "", 'Lighting Inventory (Ref only)'!G445)</f>
        <v/>
      </c>
      <c r="P434" s="298" t="str">
        <f>IF(B434="", "", 'Lighting Inventory (Ref only)'!E445)</f>
        <v/>
      </c>
      <c r="Q434" s="298" t="str">
        <f>IF(B434="", "", 'Lighting Inventory (Ref only)'!J445)</f>
        <v/>
      </c>
      <c r="R434" s="298" t="str">
        <f>IF(B434="", "",'Lighting Inventory (Ref only)'!K445)</f>
        <v/>
      </c>
      <c r="S434" s="372" t="str">
        <f>IF(B434="", "", 'Lighting Inventory (Ref only)'!G445*'Lighting Inventory (Ref only)'!K445/1000)</f>
        <v/>
      </c>
      <c r="T434" s="298" t="str">
        <f>IF(B434="", "", IF('Lighting Inventory (Ref only)'!I445="", "Light Switch",Inventory!H442))</f>
        <v/>
      </c>
      <c r="W434" s="373"/>
      <c r="X434" s="298" t="str">
        <f>IF(B434="", "", 'Lighting Inventory (Ref only)'!Q445)</f>
        <v/>
      </c>
      <c r="Z434" s="374"/>
      <c r="AA434" s="372" t="str">
        <f>IF(B434="", "",'Lighting Inventory (Ref only)'!R445/1000)</f>
        <v/>
      </c>
      <c r="AB434" s="372" t="str">
        <f>IF(B434="", "", Inventory!M442)</f>
        <v/>
      </c>
      <c r="AC434" s="374" t="str">
        <f>IF(B434="", "", 'Lighting Inventory (Ref only)'!T445)</f>
        <v/>
      </c>
      <c r="AD434" s="374" t="str">
        <f>IF(C434="", "", 'Lighting Inventory (Ref only)'!AA445)</f>
        <v/>
      </c>
      <c r="AE434" s="375" t="str">
        <f>IF(B434="", "", 'Lighting Inventory (Ref only)'!U445)</f>
        <v/>
      </c>
      <c r="AF434" s="375" t="str">
        <f>IF(B434="", "",'Lighting Inventory (Ref only)'!W445)</f>
        <v/>
      </c>
      <c r="AG434" s="375"/>
      <c r="AH434" s="375" t="str">
        <f>IF(B434="", "",'Lighting Inventory (Ref only)'!Z445)</f>
        <v/>
      </c>
      <c r="AI434" s="375" t="str">
        <f>IF(B434="", "", 'Lighting Inventory (Ref only)'!Y445)</f>
        <v/>
      </c>
      <c r="AJ434" s="375" t="str">
        <f>IF(C434="", "",'Lighting Inventory (Ref only)'!AB445)</f>
        <v/>
      </c>
      <c r="AK434" s="375" t="str">
        <f>IF(B434="", "", 'Lighting Inventory (Ref only)'!AG445)</f>
        <v/>
      </c>
      <c r="AL434" s="375" t="str">
        <f>IF(B434="", "", 'Lighting Inventory (Ref only)'!AD445)</f>
        <v/>
      </c>
      <c r="AM434" s="375" t="str">
        <f>IF(B434="", "", 'Lighting Inventory (Ref only)'!AE445)</f>
        <v/>
      </c>
      <c r="AN434" s="375" t="str">
        <f>IF(B434="", "", 'Lighting Inventory (Ref only)'!AF445)</f>
        <v/>
      </c>
      <c r="AO434" s="375" t="str">
        <f>IF(B434="", "", 'Lighting Inventory (Ref only)'!AG445)</f>
        <v/>
      </c>
    </row>
    <row r="435" spans="1:41">
      <c r="A435" s="298" t="str">
        <f>IF(G435="", "", Lookups!BF437)</f>
        <v/>
      </c>
      <c r="B435" s="298" t="str">
        <f>IF('Lighting Inventory (Ref only)'!Q446="", "", 'Lighting Inventory (Ref only)'!Q446)</f>
        <v/>
      </c>
      <c r="C435" s="298" t="str">
        <f>IF(A435="", "", 'Lighting Inventory (Ref only)'!AO446)</f>
        <v/>
      </c>
      <c r="D435" s="370" t="str">
        <f>IF(B435= "","", Inventory!S443)</f>
        <v/>
      </c>
      <c r="E435" s="371"/>
      <c r="F435" s="298" t="str">
        <f>IF(B435="", "", 'Version Log'!$B$34)</f>
        <v/>
      </c>
      <c r="G435" s="298" t="str">
        <f t="shared" si="24"/>
        <v/>
      </c>
      <c r="H435" s="298" t="str">
        <f t="shared" si="25"/>
        <v/>
      </c>
      <c r="I435" s="298" t="str">
        <f>IF(B435="", "",Inventory!D443)</f>
        <v/>
      </c>
      <c r="J435" s="298" t="str">
        <f>IF(B435="","",IF(Inventory!C443="N","Interior","Exterior"))</f>
        <v/>
      </c>
      <c r="K435" s="298" t="str">
        <f t="shared" si="26"/>
        <v/>
      </c>
      <c r="L435" s="298" t="str">
        <f>IF(B435="", "", Inventory!E443)</f>
        <v/>
      </c>
      <c r="M435" s="298" t="str">
        <f>IF(B435="","",IF(Cool_Type=Lookups!$L$9,Cool_Type,IF(Cool_Type=Lookups!$L$10,Cool_Type,IF(Cool_Type=Lookups!$L$11,Cool_Type,IF(Cool_Type=Lookups!L445,Cool_Type,IF('Project Info and Summary'!$C$20="Electric",CONCATENATE(Cool_Type," ",Heating_Type," Heat"),IF('Project Info and Summary'!$C$20="Non-Electric",CONCATENATE(Cool_Type," ",Heating_Type," Heat"),CONCATENATE(Cool_Type," ",Heating_Type))))))))</f>
        <v/>
      </c>
      <c r="N435" s="298" t="str">
        <f t="shared" si="27"/>
        <v/>
      </c>
      <c r="O435" s="298" t="str">
        <f>IF(B435="", "", 'Lighting Inventory (Ref only)'!G446)</f>
        <v/>
      </c>
      <c r="P435" s="298" t="str">
        <f>IF(B435="", "", 'Lighting Inventory (Ref only)'!E446)</f>
        <v/>
      </c>
      <c r="Q435" s="298" t="str">
        <f>IF(B435="", "", 'Lighting Inventory (Ref only)'!J446)</f>
        <v/>
      </c>
      <c r="R435" s="298" t="str">
        <f>IF(B435="", "",'Lighting Inventory (Ref only)'!K446)</f>
        <v/>
      </c>
      <c r="S435" s="372" t="str">
        <f>IF(B435="", "", 'Lighting Inventory (Ref only)'!G446*'Lighting Inventory (Ref only)'!K446/1000)</f>
        <v/>
      </c>
      <c r="T435" s="298" t="str">
        <f>IF(B435="", "", IF('Lighting Inventory (Ref only)'!I446="", "Light Switch",Inventory!H443))</f>
        <v/>
      </c>
      <c r="W435" s="373"/>
      <c r="X435" s="298" t="str">
        <f>IF(B435="", "", 'Lighting Inventory (Ref only)'!Q446)</f>
        <v/>
      </c>
      <c r="Z435" s="374"/>
      <c r="AA435" s="372" t="str">
        <f>IF(B435="", "",'Lighting Inventory (Ref only)'!R446/1000)</f>
        <v/>
      </c>
      <c r="AB435" s="372" t="str">
        <f>IF(B435="", "", Inventory!M443)</f>
        <v/>
      </c>
      <c r="AC435" s="374" t="str">
        <f>IF(B435="", "", 'Lighting Inventory (Ref only)'!T446)</f>
        <v/>
      </c>
      <c r="AD435" s="374" t="str">
        <f>IF(C435="", "", 'Lighting Inventory (Ref only)'!AA446)</f>
        <v/>
      </c>
      <c r="AE435" s="375" t="str">
        <f>IF(B435="", "", 'Lighting Inventory (Ref only)'!U446)</f>
        <v/>
      </c>
      <c r="AF435" s="375" t="str">
        <f>IF(B435="", "",'Lighting Inventory (Ref only)'!W446)</f>
        <v/>
      </c>
      <c r="AG435" s="375"/>
      <c r="AH435" s="375" t="str">
        <f>IF(B435="", "",'Lighting Inventory (Ref only)'!Z446)</f>
        <v/>
      </c>
      <c r="AI435" s="375" t="str">
        <f>IF(B435="", "", 'Lighting Inventory (Ref only)'!Y446)</f>
        <v/>
      </c>
      <c r="AJ435" s="375" t="str">
        <f>IF(C435="", "",'Lighting Inventory (Ref only)'!AB446)</f>
        <v/>
      </c>
      <c r="AK435" s="375" t="str">
        <f>IF(B435="", "", 'Lighting Inventory (Ref only)'!AG446)</f>
        <v/>
      </c>
      <c r="AL435" s="375" t="str">
        <f>IF(B435="", "", 'Lighting Inventory (Ref only)'!AD446)</f>
        <v/>
      </c>
      <c r="AM435" s="375" t="str">
        <f>IF(B435="", "", 'Lighting Inventory (Ref only)'!AE446)</f>
        <v/>
      </c>
      <c r="AN435" s="375" t="str">
        <f>IF(B435="", "", 'Lighting Inventory (Ref only)'!AF446)</f>
        <v/>
      </c>
      <c r="AO435" s="375" t="str">
        <f>IF(B435="", "", 'Lighting Inventory (Ref only)'!AG446)</f>
        <v/>
      </c>
    </row>
    <row r="436" spans="1:41">
      <c r="A436" s="298" t="str">
        <f>IF(G436="", "", Lookups!BF438)</f>
        <v/>
      </c>
      <c r="B436" s="298" t="str">
        <f>IF('Lighting Inventory (Ref only)'!Q447="", "", 'Lighting Inventory (Ref only)'!Q447)</f>
        <v/>
      </c>
      <c r="C436" s="298" t="str">
        <f>IF(A436="", "", 'Lighting Inventory (Ref only)'!AO447)</f>
        <v/>
      </c>
      <c r="D436" s="370" t="str">
        <f>IF(B436= "","", Inventory!S444)</f>
        <v/>
      </c>
      <c r="E436" s="371"/>
      <c r="F436" s="298" t="str">
        <f>IF(B436="", "", 'Version Log'!$B$34)</f>
        <v/>
      </c>
      <c r="G436" s="298" t="str">
        <f t="shared" si="24"/>
        <v/>
      </c>
      <c r="H436" s="298" t="str">
        <f t="shared" si="25"/>
        <v/>
      </c>
      <c r="I436" s="298" t="str">
        <f>IF(B436="", "",Inventory!D444)</f>
        <v/>
      </c>
      <c r="J436" s="298" t="str">
        <f>IF(B436="","",IF(Inventory!C444="N","Interior","Exterior"))</f>
        <v/>
      </c>
      <c r="K436" s="298" t="str">
        <f t="shared" si="26"/>
        <v/>
      </c>
      <c r="L436" s="298" t="str">
        <f>IF(B436="", "", Inventory!E444)</f>
        <v/>
      </c>
      <c r="M436" s="298" t="str">
        <f>IF(B436="","",IF(Cool_Type=Lookups!$L$9,Cool_Type,IF(Cool_Type=Lookups!$L$10,Cool_Type,IF(Cool_Type=Lookups!$L$11,Cool_Type,IF(Cool_Type=Lookups!L446,Cool_Type,IF('Project Info and Summary'!$C$20="Electric",CONCATENATE(Cool_Type," ",Heating_Type," Heat"),IF('Project Info and Summary'!$C$20="Non-Electric",CONCATENATE(Cool_Type," ",Heating_Type," Heat"),CONCATENATE(Cool_Type," ",Heating_Type))))))))</f>
        <v/>
      </c>
      <c r="N436" s="298" t="str">
        <f t="shared" si="27"/>
        <v/>
      </c>
      <c r="O436" s="298" t="str">
        <f>IF(B436="", "", 'Lighting Inventory (Ref only)'!G447)</f>
        <v/>
      </c>
      <c r="P436" s="298" t="str">
        <f>IF(B436="", "", 'Lighting Inventory (Ref only)'!E447)</f>
        <v/>
      </c>
      <c r="Q436" s="298" t="str">
        <f>IF(B436="", "", 'Lighting Inventory (Ref only)'!J447)</f>
        <v/>
      </c>
      <c r="R436" s="298" t="str">
        <f>IF(B436="", "",'Lighting Inventory (Ref only)'!K447)</f>
        <v/>
      </c>
      <c r="S436" s="372" t="str">
        <f>IF(B436="", "", 'Lighting Inventory (Ref only)'!G447*'Lighting Inventory (Ref only)'!K447/1000)</f>
        <v/>
      </c>
      <c r="T436" s="298" t="str">
        <f>IF(B436="", "", IF('Lighting Inventory (Ref only)'!I447="", "Light Switch",Inventory!H444))</f>
        <v/>
      </c>
      <c r="W436" s="373"/>
      <c r="X436" s="298" t="str">
        <f>IF(B436="", "", 'Lighting Inventory (Ref only)'!Q447)</f>
        <v/>
      </c>
      <c r="Z436" s="374"/>
      <c r="AA436" s="372" t="str">
        <f>IF(B436="", "",'Lighting Inventory (Ref only)'!R447/1000)</f>
        <v/>
      </c>
      <c r="AB436" s="372" t="str">
        <f>IF(B436="", "", Inventory!M444)</f>
        <v/>
      </c>
      <c r="AC436" s="374" t="str">
        <f>IF(B436="", "", 'Lighting Inventory (Ref only)'!T447)</f>
        <v/>
      </c>
      <c r="AD436" s="374" t="str">
        <f>IF(C436="", "", 'Lighting Inventory (Ref only)'!AA447)</f>
        <v/>
      </c>
      <c r="AE436" s="375" t="str">
        <f>IF(B436="", "", 'Lighting Inventory (Ref only)'!U447)</f>
        <v/>
      </c>
      <c r="AF436" s="375" t="str">
        <f>IF(B436="", "",'Lighting Inventory (Ref only)'!W447)</f>
        <v/>
      </c>
      <c r="AG436" s="375"/>
      <c r="AH436" s="375" t="str">
        <f>IF(B436="", "",'Lighting Inventory (Ref only)'!Z447)</f>
        <v/>
      </c>
      <c r="AI436" s="375" t="str">
        <f>IF(B436="", "", 'Lighting Inventory (Ref only)'!Y447)</f>
        <v/>
      </c>
      <c r="AJ436" s="375" t="str">
        <f>IF(C436="", "",'Lighting Inventory (Ref only)'!AB447)</f>
        <v/>
      </c>
      <c r="AK436" s="375" t="str">
        <f>IF(B436="", "", 'Lighting Inventory (Ref only)'!AG447)</f>
        <v/>
      </c>
      <c r="AL436" s="375" t="str">
        <f>IF(B436="", "", 'Lighting Inventory (Ref only)'!AD447)</f>
        <v/>
      </c>
      <c r="AM436" s="375" t="str">
        <f>IF(B436="", "", 'Lighting Inventory (Ref only)'!AE447)</f>
        <v/>
      </c>
      <c r="AN436" s="375" t="str">
        <f>IF(B436="", "", 'Lighting Inventory (Ref only)'!AF447)</f>
        <v/>
      </c>
      <c r="AO436" s="375" t="str">
        <f>IF(B436="", "", 'Lighting Inventory (Ref only)'!AG447)</f>
        <v/>
      </c>
    </row>
    <row r="437" spans="1:41">
      <c r="A437" s="298" t="str">
        <f>IF(G437="", "", Lookups!BF439)</f>
        <v/>
      </c>
      <c r="B437" s="298" t="str">
        <f>IF('Lighting Inventory (Ref only)'!Q448="", "", 'Lighting Inventory (Ref only)'!Q448)</f>
        <v/>
      </c>
      <c r="C437" s="298" t="str">
        <f>IF(A437="", "", 'Lighting Inventory (Ref only)'!AO448)</f>
        <v/>
      </c>
      <c r="D437" s="370" t="str">
        <f>IF(B437= "","", Inventory!S445)</f>
        <v/>
      </c>
      <c r="E437" s="371"/>
      <c r="F437" s="298" t="str">
        <f>IF(B437="", "", 'Version Log'!$B$34)</f>
        <v/>
      </c>
      <c r="G437" s="298" t="str">
        <f t="shared" si="24"/>
        <v/>
      </c>
      <c r="H437" s="298" t="str">
        <f t="shared" si="25"/>
        <v/>
      </c>
      <c r="I437" s="298" t="str">
        <f>IF(B437="", "",Inventory!D445)</f>
        <v/>
      </c>
      <c r="J437" s="298" t="str">
        <f>IF(B437="","",IF(Inventory!C445="N","Interior","Exterior"))</f>
        <v/>
      </c>
      <c r="K437" s="298" t="str">
        <f t="shared" si="26"/>
        <v/>
      </c>
      <c r="L437" s="298" t="str">
        <f>IF(B437="", "", Inventory!E445)</f>
        <v/>
      </c>
      <c r="M437" s="298" t="str">
        <f>IF(B437="","",IF(Cool_Type=Lookups!$L$9,Cool_Type,IF(Cool_Type=Lookups!$L$10,Cool_Type,IF(Cool_Type=Lookups!$L$11,Cool_Type,IF(Cool_Type=Lookups!L447,Cool_Type,IF('Project Info and Summary'!$C$20="Electric",CONCATENATE(Cool_Type," ",Heating_Type," Heat"),IF('Project Info and Summary'!$C$20="Non-Electric",CONCATENATE(Cool_Type," ",Heating_Type," Heat"),CONCATENATE(Cool_Type," ",Heating_Type))))))))</f>
        <v/>
      </c>
      <c r="N437" s="298" t="str">
        <f t="shared" si="27"/>
        <v/>
      </c>
      <c r="O437" s="298" t="str">
        <f>IF(B437="", "", 'Lighting Inventory (Ref only)'!G448)</f>
        <v/>
      </c>
      <c r="P437" s="298" t="str">
        <f>IF(B437="", "", 'Lighting Inventory (Ref only)'!E448)</f>
        <v/>
      </c>
      <c r="Q437" s="298" t="str">
        <f>IF(B437="", "", 'Lighting Inventory (Ref only)'!J448)</f>
        <v/>
      </c>
      <c r="R437" s="298" t="str">
        <f>IF(B437="", "",'Lighting Inventory (Ref only)'!K448)</f>
        <v/>
      </c>
      <c r="S437" s="372" t="str">
        <f>IF(B437="", "", 'Lighting Inventory (Ref only)'!G448*'Lighting Inventory (Ref only)'!K448/1000)</f>
        <v/>
      </c>
      <c r="T437" s="298" t="str">
        <f>IF(B437="", "", IF('Lighting Inventory (Ref only)'!I448="", "Light Switch",Inventory!H445))</f>
        <v/>
      </c>
      <c r="W437" s="373"/>
      <c r="X437" s="298" t="str">
        <f>IF(B437="", "", 'Lighting Inventory (Ref only)'!Q448)</f>
        <v/>
      </c>
      <c r="Z437" s="374"/>
      <c r="AA437" s="372" t="str">
        <f>IF(B437="", "",'Lighting Inventory (Ref only)'!R448/1000)</f>
        <v/>
      </c>
      <c r="AB437" s="372" t="str">
        <f>IF(B437="", "", Inventory!M445)</f>
        <v/>
      </c>
      <c r="AC437" s="374" t="str">
        <f>IF(B437="", "", 'Lighting Inventory (Ref only)'!T448)</f>
        <v/>
      </c>
      <c r="AD437" s="374" t="str">
        <f>IF(C437="", "", 'Lighting Inventory (Ref only)'!AA448)</f>
        <v/>
      </c>
      <c r="AE437" s="375" t="str">
        <f>IF(B437="", "", 'Lighting Inventory (Ref only)'!U448)</f>
        <v/>
      </c>
      <c r="AF437" s="375" t="str">
        <f>IF(B437="", "",'Lighting Inventory (Ref only)'!W448)</f>
        <v/>
      </c>
      <c r="AG437" s="375"/>
      <c r="AH437" s="375" t="str">
        <f>IF(B437="", "",'Lighting Inventory (Ref only)'!Z448)</f>
        <v/>
      </c>
      <c r="AI437" s="375" t="str">
        <f>IF(B437="", "", 'Lighting Inventory (Ref only)'!Y448)</f>
        <v/>
      </c>
      <c r="AJ437" s="375" t="str">
        <f>IF(C437="", "",'Lighting Inventory (Ref only)'!AB448)</f>
        <v/>
      </c>
      <c r="AK437" s="375" t="str">
        <f>IF(B437="", "", 'Lighting Inventory (Ref only)'!AG448)</f>
        <v/>
      </c>
      <c r="AL437" s="375" t="str">
        <f>IF(B437="", "", 'Lighting Inventory (Ref only)'!AD448)</f>
        <v/>
      </c>
      <c r="AM437" s="375" t="str">
        <f>IF(B437="", "", 'Lighting Inventory (Ref only)'!AE448)</f>
        <v/>
      </c>
      <c r="AN437" s="375" t="str">
        <f>IF(B437="", "", 'Lighting Inventory (Ref only)'!AF448)</f>
        <v/>
      </c>
      <c r="AO437" s="375" t="str">
        <f>IF(B437="", "", 'Lighting Inventory (Ref only)'!AG448)</f>
        <v/>
      </c>
    </row>
    <row r="438" spans="1:41">
      <c r="A438" s="298" t="str">
        <f>IF(G438="", "", Lookups!BF440)</f>
        <v/>
      </c>
      <c r="B438" s="298" t="str">
        <f>IF('Lighting Inventory (Ref only)'!Q449="", "", 'Lighting Inventory (Ref only)'!Q449)</f>
        <v/>
      </c>
      <c r="C438" s="298" t="str">
        <f>IF(A438="", "", 'Lighting Inventory (Ref only)'!AO449)</f>
        <v/>
      </c>
      <c r="D438" s="370" t="str">
        <f>IF(B438= "","", Inventory!S446)</f>
        <v/>
      </c>
      <c r="E438" s="371"/>
      <c r="F438" s="298" t="str">
        <f>IF(B438="", "", 'Version Log'!$B$34)</f>
        <v/>
      </c>
      <c r="G438" s="298" t="str">
        <f t="shared" si="24"/>
        <v/>
      </c>
      <c r="H438" s="298" t="str">
        <f t="shared" si="25"/>
        <v/>
      </c>
      <c r="I438" s="298" t="str">
        <f>IF(B438="", "",Inventory!D446)</f>
        <v/>
      </c>
      <c r="J438" s="298" t="str">
        <f>IF(B438="","",IF(Inventory!C446="N","Interior","Exterior"))</f>
        <v/>
      </c>
      <c r="K438" s="298" t="str">
        <f t="shared" si="26"/>
        <v/>
      </c>
      <c r="L438" s="298" t="str">
        <f>IF(B438="", "", Inventory!E446)</f>
        <v/>
      </c>
      <c r="M438" s="298" t="str">
        <f>IF(B438="","",IF(Cool_Type=Lookups!$L$9,Cool_Type,IF(Cool_Type=Lookups!$L$10,Cool_Type,IF(Cool_Type=Lookups!$L$11,Cool_Type,IF(Cool_Type=Lookups!L448,Cool_Type,IF('Project Info and Summary'!$C$20="Electric",CONCATENATE(Cool_Type," ",Heating_Type," Heat"),IF('Project Info and Summary'!$C$20="Non-Electric",CONCATENATE(Cool_Type," ",Heating_Type," Heat"),CONCATENATE(Cool_Type," ",Heating_Type))))))))</f>
        <v/>
      </c>
      <c r="N438" s="298" t="str">
        <f t="shared" si="27"/>
        <v/>
      </c>
      <c r="O438" s="298" t="str">
        <f>IF(B438="", "", 'Lighting Inventory (Ref only)'!G449)</f>
        <v/>
      </c>
      <c r="P438" s="298" t="str">
        <f>IF(B438="", "", 'Lighting Inventory (Ref only)'!E449)</f>
        <v/>
      </c>
      <c r="Q438" s="298" t="str">
        <f>IF(B438="", "", 'Lighting Inventory (Ref only)'!J449)</f>
        <v/>
      </c>
      <c r="R438" s="298" t="str">
        <f>IF(B438="", "",'Lighting Inventory (Ref only)'!K449)</f>
        <v/>
      </c>
      <c r="S438" s="372" t="str">
        <f>IF(B438="", "", 'Lighting Inventory (Ref only)'!G449*'Lighting Inventory (Ref only)'!K449/1000)</f>
        <v/>
      </c>
      <c r="T438" s="298" t="str">
        <f>IF(B438="", "", IF('Lighting Inventory (Ref only)'!I449="", "Light Switch",Inventory!H446))</f>
        <v/>
      </c>
      <c r="W438" s="373"/>
      <c r="X438" s="298" t="str">
        <f>IF(B438="", "", 'Lighting Inventory (Ref only)'!Q449)</f>
        <v/>
      </c>
      <c r="Z438" s="374"/>
      <c r="AA438" s="372" t="str">
        <f>IF(B438="", "",'Lighting Inventory (Ref only)'!R449/1000)</f>
        <v/>
      </c>
      <c r="AB438" s="372" t="str">
        <f>IF(B438="", "", Inventory!M446)</f>
        <v/>
      </c>
      <c r="AC438" s="374" t="str">
        <f>IF(B438="", "", 'Lighting Inventory (Ref only)'!T449)</f>
        <v/>
      </c>
      <c r="AD438" s="374" t="str">
        <f>IF(C438="", "", 'Lighting Inventory (Ref only)'!AA449)</f>
        <v/>
      </c>
      <c r="AE438" s="375" t="str">
        <f>IF(B438="", "", 'Lighting Inventory (Ref only)'!U449)</f>
        <v/>
      </c>
      <c r="AF438" s="375" t="str">
        <f>IF(B438="", "",'Lighting Inventory (Ref only)'!W449)</f>
        <v/>
      </c>
      <c r="AG438" s="375"/>
      <c r="AH438" s="375" t="str">
        <f>IF(B438="", "",'Lighting Inventory (Ref only)'!Z449)</f>
        <v/>
      </c>
      <c r="AI438" s="375" t="str">
        <f>IF(B438="", "", 'Lighting Inventory (Ref only)'!Y449)</f>
        <v/>
      </c>
      <c r="AJ438" s="375" t="str">
        <f>IF(C438="", "",'Lighting Inventory (Ref only)'!AB449)</f>
        <v/>
      </c>
      <c r="AK438" s="375" t="str">
        <f>IF(B438="", "", 'Lighting Inventory (Ref only)'!AG449)</f>
        <v/>
      </c>
      <c r="AL438" s="375" t="str">
        <f>IF(B438="", "", 'Lighting Inventory (Ref only)'!AD449)</f>
        <v/>
      </c>
      <c r="AM438" s="375" t="str">
        <f>IF(B438="", "", 'Lighting Inventory (Ref only)'!AE449)</f>
        <v/>
      </c>
      <c r="AN438" s="375" t="str">
        <f>IF(B438="", "", 'Lighting Inventory (Ref only)'!AF449)</f>
        <v/>
      </c>
      <c r="AO438" s="375" t="str">
        <f>IF(B438="", "", 'Lighting Inventory (Ref only)'!AG449)</f>
        <v/>
      </c>
    </row>
    <row r="439" spans="1:41">
      <c r="A439" s="298" t="str">
        <f>IF(G439="", "", Lookups!BF441)</f>
        <v/>
      </c>
      <c r="B439" s="298" t="str">
        <f>IF('Lighting Inventory (Ref only)'!Q450="", "", 'Lighting Inventory (Ref only)'!Q450)</f>
        <v/>
      </c>
      <c r="C439" s="298" t="str">
        <f>IF(A439="", "", 'Lighting Inventory (Ref only)'!AO450)</f>
        <v/>
      </c>
      <c r="D439" s="370" t="str">
        <f>IF(B439= "","", Inventory!S447)</f>
        <v/>
      </c>
      <c r="E439" s="371"/>
      <c r="F439" s="298" t="str">
        <f>IF(B439="", "", 'Version Log'!$B$34)</f>
        <v/>
      </c>
      <c r="G439" s="298" t="str">
        <f t="shared" si="24"/>
        <v/>
      </c>
      <c r="H439" s="298" t="str">
        <f t="shared" si="25"/>
        <v/>
      </c>
      <c r="I439" s="298" t="str">
        <f>IF(B439="", "",Inventory!D447)</f>
        <v/>
      </c>
      <c r="J439" s="298" t="str">
        <f>IF(B439="","",IF(Inventory!C447="N","Interior","Exterior"))</f>
        <v/>
      </c>
      <c r="K439" s="298" t="str">
        <f t="shared" si="26"/>
        <v/>
      </c>
      <c r="L439" s="298" t="str">
        <f>IF(B439="", "", Inventory!E447)</f>
        <v/>
      </c>
      <c r="M439" s="298" t="str">
        <f>IF(B439="","",IF(Cool_Type=Lookups!$L$9,Cool_Type,IF(Cool_Type=Lookups!$L$10,Cool_Type,IF(Cool_Type=Lookups!$L$11,Cool_Type,IF(Cool_Type=Lookups!L449,Cool_Type,IF('Project Info and Summary'!$C$20="Electric",CONCATENATE(Cool_Type," ",Heating_Type," Heat"),IF('Project Info and Summary'!$C$20="Non-Electric",CONCATENATE(Cool_Type," ",Heating_Type," Heat"),CONCATENATE(Cool_Type," ",Heating_Type))))))))</f>
        <v/>
      </c>
      <c r="N439" s="298" t="str">
        <f t="shared" si="27"/>
        <v/>
      </c>
      <c r="O439" s="298" t="str">
        <f>IF(B439="", "", 'Lighting Inventory (Ref only)'!G450)</f>
        <v/>
      </c>
      <c r="P439" s="298" t="str">
        <f>IF(B439="", "", 'Lighting Inventory (Ref only)'!E450)</f>
        <v/>
      </c>
      <c r="Q439" s="298" t="str">
        <f>IF(B439="", "", 'Lighting Inventory (Ref only)'!J450)</f>
        <v/>
      </c>
      <c r="R439" s="298" t="str">
        <f>IF(B439="", "",'Lighting Inventory (Ref only)'!K450)</f>
        <v/>
      </c>
      <c r="S439" s="372" t="str">
        <f>IF(B439="", "", 'Lighting Inventory (Ref only)'!G450*'Lighting Inventory (Ref only)'!K450/1000)</f>
        <v/>
      </c>
      <c r="T439" s="298" t="str">
        <f>IF(B439="", "", IF('Lighting Inventory (Ref only)'!I450="", "Light Switch",Inventory!H447))</f>
        <v/>
      </c>
      <c r="W439" s="373"/>
      <c r="X439" s="298" t="str">
        <f>IF(B439="", "", 'Lighting Inventory (Ref only)'!Q450)</f>
        <v/>
      </c>
      <c r="Z439" s="374"/>
      <c r="AA439" s="372" t="str">
        <f>IF(B439="", "",'Lighting Inventory (Ref only)'!R450/1000)</f>
        <v/>
      </c>
      <c r="AB439" s="372" t="str">
        <f>IF(B439="", "", Inventory!M447)</f>
        <v/>
      </c>
      <c r="AC439" s="374" t="str">
        <f>IF(B439="", "", 'Lighting Inventory (Ref only)'!T450)</f>
        <v/>
      </c>
      <c r="AD439" s="374" t="str">
        <f>IF(C439="", "", 'Lighting Inventory (Ref only)'!AA450)</f>
        <v/>
      </c>
      <c r="AE439" s="375" t="str">
        <f>IF(B439="", "", 'Lighting Inventory (Ref only)'!U450)</f>
        <v/>
      </c>
      <c r="AF439" s="375" t="str">
        <f>IF(B439="", "",'Lighting Inventory (Ref only)'!W450)</f>
        <v/>
      </c>
      <c r="AG439" s="375"/>
      <c r="AH439" s="375" t="str">
        <f>IF(B439="", "",'Lighting Inventory (Ref only)'!Z450)</f>
        <v/>
      </c>
      <c r="AI439" s="375" t="str">
        <f>IF(B439="", "", 'Lighting Inventory (Ref only)'!Y450)</f>
        <v/>
      </c>
      <c r="AJ439" s="375" t="str">
        <f>IF(C439="", "",'Lighting Inventory (Ref only)'!AB450)</f>
        <v/>
      </c>
      <c r="AK439" s="375" t="str">
        <f>IF(B439="", "", 'Lighting Inventory (Ref only)'!AG450)</f>
        <v/>
      </c>
      <c r="AL439" s="375" t="str">
        <f>IF(B439="", "", 'Lighting Inventory (Ref only)'!AD450)</f>
        <v/>
      </c>
      <c r="AM439" s="375" t="str">
        <f>IF(B439="", "", 'Lighting Inventory (Ref only)'!AE450)</f>
        <v/>
      </c>
      <c r="AN439" s="375" t="str">
        <f>IF(B439="", "", 'Lighting Inventory (Ref only)'!AF450)</f>
        <v/>
      </c>
      <c r="AO439" s="375" t="str">
        <f>IF(B439="", "", 'Lighting Inventory (Ref only)'!AG450)</f>
        <v/>
      </c>
    </row>
    <row r="440" spans="1:41">
      <c r="A440" s="298" t="str">
        <f>IF(G440="", "", Lookups!BF442)</f>
        <v/>
      </c>
      <c r="B440" s="298" t="str">
        <f>IF('Lighting Inventory (Ref only)'!Q451="", "", 'Lighting Inventory (Ref only)'!Q451)</f>
        <v/>
      </c>
      <c r="C440" s="298" t="str">
        <f>IF(A440="", "", 'Lighting Inventory (Ref only)'!AO451)</f>
        <v/>
      </c>
      <c r="D440" s="370" t="str">
        <f>IF(B440= "","", Inventory!S448)</f>
        <v/>
      </c>
      <c r="E440" s="371"/>
      <c r="F440" s="298" t="str">
        <f>IF(B440="", "", 'Version Log'!$B$34)</f>
        <v/>
      </c>
      <c r="G440" s="298" t="str">
        <f t="shared" si="24"/>
        <v/>
      </c>
      <c r="H440" s="298" t="str">
        <f t="shared" si="25"/>
        <v/>
      </c>
      <c r="I440" s="298" t="str">
        <f>IF(B440="", "",Inventory!D448)</f>
        <v/>
      </c>
      <c r="J440" s="298" t="str">
        <f>IF(B440="","",IF(Inventory!C448="N","Interior","Exterior"))</f>
        <v/>
      </c>
      <c r="K440" s="298" t="str">
        <f t="shared" si="26"/>
        <v/>
      </c>
      <c r="L440" s="298" t="str">
        <f>IF(B440="", "", Inventory!E448)</f>
        <v/>
      </c>
      <c r="M440" s="298" t="str">
        <f>IF(B440="","",IF(Cool_Type=Lookups!$L$9,Cool_Type,IF(Cool_Type=Lookups!$L$10,Cool_Type,IF(Cool_Type=Lookups!$L$11,Cool_Type,IF(Cool_Type=Lookups!L450,Cool_Type,IF('Project Info and Summary'!$C$20="Electric",CONCATENATE(Cool_Type," ",Heating_Type," Heat"),IF('Project Info and Summary'!$C$20="Non-Electric",CONCATENATE(Cool_Type," ",Heating_Type," Heat"),CONCATENATE(Cool_Type," ",Heating_Type))))))))</f>
        <v/>
      </c>
      <c r="N440" s="298" t="str">
        <f t="shared" si="27"/>
        <v/>
      </c>
      <c r="O440" s="298" t="str">
        <f>IF(B440="", "", 'Lighting Inventory (Ref only)'!G451)</f>
        <v/>
      </c>
      <c r="P440" s="298" t="str">
        <f>IF(B440="", "", 'Lighting Inventory (Ref only)'!E451)</f>
        <v/>
      </c>
      <c r="Q440" s="298" t="str">
        <f>IF(B440="", "", 'Lighting Inventory (Ref only)'!J451)</f>
        <v/>
      </c>
      <c r="R440" s="298" t="str">
        <f>IF(B440="", "",'Lighting Inventory (Ref only)'!K451)</f>
        <v/>
      </c>
      <c r="S440" s="372" t="str">
        <f>IF(B440="", "", 'Lighting Inventory (Ref only)'!G451*'Lighting Inventory (Ref only)'!K451/1000)</f>
        <v/>
      </c>
      <c r="T440" s="298" t="str">
        <f>IF(B440="", "", IF('Lighting Inventory (Ref only)'!I451="", "Light Switch",Inventory!H448))</f>
        <v/>
      </c>
      <c r="W440" s="373"/>
      <c r="X440" s="298" t="str">
        <f>IF(B440="", "", 'Lighting Inventory (Ref only)'!Q451)</f>
        <v/>
      </c>
      <c r="Z440" s="374"/>
      <c r="AA440" s="372" t="str">
        <f>IF(B440="", "",'Lighting Inventory (Ref only)'!R451/1000)</f>
        <v/>
      </c>
      <c r="AB440" s="372" t="str">
        <f>IF(B440="", "", Inventory!M448)</f>
        <v/>
      </c>
      <c r="AC440" s="374" t="str">
        <f>IF(B440="", "", 'Lighting Inventory (Ref only)'!T451)</f>
        <v/>
      </c>
      <c r="AD440" s="374" t="str">
        <f>IF(C440="", "", 'Lighting Inventory (Ref only)'!AA451)</f>
        <v/>
      </c>
      <c r="AE440" s="375" t="str">
        <f>IF(B440="", "", 'Lighting Inventory (Ref only)'!U451)</f>
        <v/>
      </c>
      <c r="AF440" s="375" t="str">
        <f>IF(B440="", "",'Lighting Inventory (Ref only)'!W451)</f>
        <v/>
      </c>
      <c r="AG440" s="375"/>
      <c r="AH440" s="375" t="str">
        <f>IF(B440="", "",'Lighting Inventory (Ref only)'!Z451)</f>
        <v/>
      </c>
      <c r="AI440" s="375" t="str">
        <f>IF(B440="", "", 'Lighting Inventory (Ref only)'!Y451)</f>
        <v/>
      </c>
      <c r="AJ440" s="375" t="str">
        <f>IF(C440="", "",'Lighting Inventory (Ref only)'!AB451)</f>
        <v/>
      </c>
      <c r="AK440" s="375" t="str">
        <f>IF(B440="", "", 'Lighting Inventory (Ref only)'!AG451)</f>
        <v/>
      </c>
      <c r="AL440" s="375" t="str">
        <f>IF(B440="", "", 'Lighting Inventory (Ref only)'!AD451)</f>
        <v/>
      </c>
      <c r="AM440" s="375" t="str">
        <f>IF(B440="", "", 'Lighting Inventory (Ref only)'!AE451)</f>
        <v/>
      </c>
      <c r="AN440" s="375" t="str">
        <f>IF(B440="", "", 'Lighting Inventory (Ref only)'!AF451)</f>
        <v/>
      </c>
      <c r="AO440" s="375" t="str">
        <f>IF(B440="", "", 'Lighting Inventory (Ref only)'!AG451)</f>
        <v/>
      </c>
    </row>
    <row r="441" spans="1:41">
      <c r="A441" s="298" t="str">
        <f>IF(G441="", "", Lookups!BF443)</f>
        <v/>
      </c>
      <c r="B441" s="298" t="str">
        <f>IF('Lighting Inventory (Ref only)'!Q452="", "", 'Lighting Inventory (Ref only)'!Q452)</f>
        <v/>
      </c>
      <c r="C441" s="298" t="str">
        <f>IF(A441="", "", 'Lighting Inventory (Ref only)'!AO452)</f>
        <v/>
      </c>
      <c r="D441" s="370" t="str">
        <f>IF(B441= "","", Inventory!S449)</f>
        <v/>
      </c>
      <c r="E441" s="371"/>
      <c r="F441" s="298" t="str">
        <f>IF(B441="", "", 'Version Log'!$B$34)</f>
        <v/>
      </c>
      <c r="G441" s="298" t="str">
        <f t="shared" si="24"/>
        <v/>
      </c>
      <c r="H441" s="298" t="str">
        <f t="shared" si="25"/>
        <v/>
      </c>
      <c r="I441" s="298" t="str">
        <f>IF(B441="", "",Inventory!D449)</f>
        <v/>
      </c>
      <c r="J441" s="298" t="str">
        <f>IF(B441="","",IF(Inventory!C449="N","Interior","Exterior"))</f>
        <v/>
      </c>
      <c r="K441" s="298" t="str">
        <f t="shared" si="26"/>
        <v/>
      </c>
      <c r="L441" s="298" t="str">
        <f>IF(B441="", "", Inventory!E449)</f>
        <v/>
      </c>
      <c r="M441" s="298" t="str">
        <f>IF(B441="","",IF(Cool_Type=Lookups!$L$9,Cool_Type,IF(Cool_Type=Lookups!$L$10,Cool_Type,IF(Cool_Type=Lookups!$L$11,Cool_Type,IF(Cool_Type=Lookups!L451,Cool_Type,IF('Project Info and Summary'!$C$20="Electric",CONCATENATE(Cool_Type," ",Heating_Type," Heat"),IF('Project Info and Summary'!$C$20="Non-Electric",CONCATENATE(Cool_Type," ",Heating_Type," Heat"),CONCATENATE(Cool_Type," ",Heating_Type))))))))</f>
        <v/>
      </c>
      <c r="N441" s="298" t="str">
        <f t="shared" si="27"/>
        <v/>
      </c>
      <c r="O441" s="298" t="str">
        <f>IF(B441="", "", 'Lighting Inventory (Ref only)'!G452)</f>
        <v/>
      </c>
      <c r="P441" s="298" t="str">
        <f>IF(B441="", "", 'Lighting Inventory (Ref only)'!E452)</f>
        <v/>
      </c>
      <c r="Q441" s="298" t="str">
        <f>IF(B441="", "", 'Lighting Inventory (Ref only)'!J452)</f>
        <v/>
      </c>
      <c r="R441" s="298" t="str">
        <f>IF(B441="", "",'Lighting Inventory (Ref only)'!K452)</f>
        <v/>
      </c>
      <c r="S441" s="372" t="str">
        <f>IF(B441="", "", 'Lighting Inventory (Ref only)'!G452*'Lighting Inventory (Ref only)'!K452/1000)</f>
        <v/>
      </c>
      <c r="T441" s="298" t="str">
        <f>IF(B441="", "", IF('Lighting Inventory (Ref only)'!I452="", "Light Switch",Inventory!H449))</f>
        <v/>
      </c>
      <c r="W441" s="373"/>
      <c r="X441" s="298" t="str">
        <f>IF(B441="", "", 'Lighting Inventory (Ref only)'!Q452)</f>
        <v/>
      </c>
      <c r="Z441" s="374"/>
      <c r="AA441" s="372" t="str">
        <f>IF(B441="", "",'Lighting Inventory (Ref only)'!R452/1000)</f>
        <v/>
      </c>
      <c r="AB441" s="372" t="str">
        <f>IF(B441="", "", Inventory!M449)</f>
        <v/>
      </c>
      <c r="AC441" s="374" t="str">
        <f>IF(B441="", "", 'Lighting Inventory (Ref only)'!T452)</f>
        <v/>
      </c>
      <c r="AD441" s="374" t="str">
        <f>IF(C441="", "", 'Lighting Inventory (Ref only)'!AA452)</f>
        <v/>
      </c>
      <c r="AE441" s="375" t="str">
        <f>IF(B441="", "", 'Lighting Inventory (Ref only)'!U452)</f>
        <v/>
      </c>
      <c r="AF441" s="375" t="str">
        <f>IF(B441="", "",'Lighting Inventory (Ref only)'!W452)</f>
        <v/>
      </c>
      <c r="AG441" s="375"/>
      <c r="AH441" s="375" t="str">
        <f>IF(B441="", "",'Lighting Inventory (Ref only)'!Z452)</f>
        <v/>
      </c>
      <c r="AI441" s="375" t="str">
        <f>IF(B441="", "", 'Lighting Inventory (Ref only)'!Y452)</f>
        <v/>
      </c>
      <c r="AJ441" s="375" t="str">
        <f>IF(C441="", "",'Lighting Inventory (Ref only)'!AB452)</f>
        <v/>
      </c>
      <c r="AK441" s="375" t="str">
        <f>IF(B441="", "", 'Lighting Inventory (Ref only)'!AG452)</f>
        <v/>
      </c>
      <c r="AL441" s="375" t="str">
        <f>IF(B441="", "", 'Lighting Inventory (Ref only)'!AD452)</f>
        <v/>
      </c>
      <c r="AM441" s="375" t="str">
        <f>IF(B441="", "", 'Lighting Inventory (Ref only)'!AE452)</f>
        <v/>
      </c>
      <c r="AN441" s="375" t="str">
        <f>IF(B441="", "", 'Lighting Inventory (Ref only)'!AF452)</f>
        <v/>
      </c>
      <c r="AO441" s="375" t="str">
        <f>IF(B441="", "", 'Lighting Inventory (Ref only)'!AG452)</f>
        <v/>
      </c>
    </row>
    <row r="442" spans="1:41">
      <c r="A442" s="298" t="str">
        <f>IF(G442="", "", Lookups!BF444)</f>
        <v/>
      </c>
      <c r="B442" s="298" t="str">
        <f>IF('Lighting Inventory (Ref only)'!Q453="", "", 'Lighting Inventory (Ref only)'!Q453)</f>
        <v/>
      </c>
      <c r="C442" s="298" t="str">
        <f>IF(A442="", "", 'Lighting Inventory (Ref only)'!AO453)</f>
        <v/>
      </c>
      <c r="D442" s="370" t="str">
        <f>IF(B442= "","", Inventory!S450)</f>
        <v/>
      </c>
      <c r="E442" s="371"/>
      <c r="F442" s="298" t="str">
        <f>IF(B442="", "", 'Version Log'!$B$34)</f>
        <v/>
      </c>
      <c r="G442" s="298" t="str">
        <f t="shared" si="24"/>
        <v/>
      </c>
      <c r="H442" s="298" t="str">
        <f t="shared" si="25"/>
        <v/>
      </c>
      <c r="I442" s="298" t="str">
        <f>IF(B442="", "",Inventory!D450)</f>
        <v/>
      </c>
      <c r="J442" s="298" t="str">
        <f>IF(B442="","",IF(Inventory!C450="N","Interior","Exterior"))</f>
        <v/>
      </c>
      <c r="K442" s="298" t="str">
        <f t="shared" si="26"/>
        <v/>
      </c>
      <c r="L442" s="298" t="str">
        <f>IF(B442="", "", Inventory!E450)</f>
        <v/>
      </c>
      <c r="M442" s="298" t="str">
        <f>IF(B442="","",IF(Cool_Type=Lookups!$L$9,Cool_Type,IF(Cool_Type=Lookups!$L$10,Cool_Type,IF(Cool_Type=Lookups!$L$11,Cool_Type,IF(Cool_Type=Lookups!L452,Cool_Type,IF('Project Info and Summary'!$C$20="Electric",CONCATENATE(Cool_Type," ",Heating_Type," Heat"),IF('Project Info and Summary'!$C$20="Non-Electric",CONCATENATE(Cool_Type," ",Heating_Type," Heat"),CONCATENATE(Cool_Type," ",Heating_Type))))))))</f>
        <v/>
      </c>
      <c r="N442" s="298" t="str">
        <f t="shared" si="27"/>
        <v/>
      </c>
      <c r="O442" s="298" t="str">
        <f>IF(B442="", "", 'Lighting Inventory (Ref only)'!G453)</f>
        <v/>
      </c>
      <c r="P442" s="298" t="str">
        <f>IF(B442="", "", 'Lighting Inventory (Ref only)'!E453)</f>
        <v/>
      </c>
      <c r="Q442" s="298" t="str">
        <f>IF(B442="", "", 'Lighting Inventory (Ref only)'!J453)</f>
        <v/>
      </c>
      <c r="R442" s="298" t="str">
        <f>IF(B442="", "",'Lighting Inventory (Ref only)'!K453)</f>
        <v/>
      </c>
      <c r="S442" s="372" t="str">
        <f>IF(B442="", "", 'Lighting Inventory (Ref only)'!G453*'Lighting Inventory (Ref only)'!K453/1000)</f>
        <v/>
      </c>
      <c r="T442" s="298" t="str">
        <f>IF(B442="", "", IF('Lighting Inventory (Ref only)'!I453="", "Light Switch",Inventory!H450))</f>
        <v/>
      </c>
      <c r="W442" s="373"/>
      <c r="X442" s="298" t="str">
        <f>IF(B442="", "", 'Lighting Inventory (Ref only)'!Q453)</f>
        <v/>
      </c>
      <c r="Z442" s="374"/>
      <c r="AA442" s="372" t="str">
        <f>IF(B442="", "",'Lighting Inventory (Ref only)'!R453/1000)</f>
        <v/>
      </c>
      <c r="AB442" s="372" t="str">
        <f>IF(B442="", "", Inventory!M450)</f>
        <v/>
      </c>
      <c r="AC442" s="374" t="str">
        <f>IF(B442="", "", 'Lighting Inventory (Ref only)'!T453)</f>
        <v/>
      </c>
      <c r="AD442" s="374" t="str">
        <f>IF(C442="", "", 'Lighting Inventory (Ref only)'!AA453)</f>
        <v/>
      </c>
      <c r="AE442" s="375" t="str">
        <f>IF(B442="", "", 'Lighting Inventory (Ref only)'!U453)</f>
        <v/>
      </c>
      <c r="AF442" s="375" t="str">
        <f>IF(B442="", "",'Lighting Inventory (Ref only)'!W453)</f>
        <v/>
      </c>
      <c r="AG442" s="375"/>
      <c r="AH442" s="375" t="str">
        <f>IF(B442="", "",'Lighting Inventory (Ref only)'!Z453)</f>
        <v/>
      </c>
      <c r="AI442" s="375" t="str">
        <f>IF(B442="", "", 'Lighting Inventory (Ref only)'!Y453)</f>
        <v/>
      </c>
      <c r="AJ442" s="375" t="str">
        <f>IF(C442="", "",'Lighting Inventory (Ref only)'!AB453)</f>
        <v/>
      </c>
      <c r="AK442" s="375" t="str">
        <f>IF(B442="", "", 'Lighting Inventory (Ref only)'!AG453)</f>
        <v/>
      </c>
      <c r="AL442" s="375" t="str">
        <f>IF(B442="", "", 'Lighting Inventory (Ref only)'!AD453)</f>
        <v/>
      </c>
      <c r="AM442" s="375" t="str">
        <f>IF(B442="", "", 'Lighting Inventory (Ref only)'!AE453)</f>
        <v/>
      </c>
      <c r="AN442" s="375" t="str">
        <f>IF(B442="", "", 'Lighting Inventory (Ref only)'!AF453)</f>
        <v/>
      </c>
      <c r="AO442" s="375" t="str">
        <f>IF(B442="", "", 'Lighting Inventory (Ref only)'!AG453)</f>
        <v/>
      </c>
    </row>
    <row r="443" spans="1:41">
      <c r="A443" s="298" t="str">
        <f>IF(G443="", "", Lookups!BF445)</f>
        <v/>
      </c>
      <c r="B443" s="298" t="str">
        <f>IF('Lighting Inventory (Ref only)'!Q454="", "", 'Lighting Inventory (Ref only)'!Q454)</f>
        <v/>
      </c>
      <c r="C443" s="298" t="str">
        <f>IF(A443="", "", 'Lighting Inventory (Ref only)'!AO454)</f>
        <v/>
      </c>
      <c r="D443" s="370" t="str">
        <f>IF(B443= "","", Inventory!S451)</f>
        <v/>
      </c>
      <c r="E443" s="371"/>
      <c r="F443" s="298" t="str">
        <f>IF(B443="", "", 'Version Log'!$B$34)</f>
        <v/>
      </c>
      <c r="G443" s="298" t="str">
        <f t="shared" si="24"/>
        <v/>
      </c>
      <c r="H443" s="298" t="str">
        <f t="shared" si="25"/>
        <v/>
      </c>
      <c r="I443" s="298" t="str">
        <f>IF(B443="", "",Inventory!D451)</f>
        <v/>
      </c>
      <c r="J443" s="298" t="str">
        <f>IF(B443="","",IF(Inventory!C451="N","Interior","Exterior"))</f>
        <v/>
      </c>
      <c r="K443" s="298" t="str">
        <f t="shared" si="26"/>
        <v/>
      </c>
      <c r="L443" s="298" t="str">
        <f>IF(B443="", "", Inventory!E451)</f>
        <v/>
      </c>
      <c r="M443" s="298" t="str">
        <f>IF(B443="","",IF(Cool_Type=Lookups!$L$9,Cool_Type,IF(Cool_Type=Lookups!$L$10,Cool_Type,IF(Cool_Type=Lookups!$L$11,Cool_Type,IF(Cool_Type=Lookups!L453,Cool_Type,IF('Project Info and Summary'!$C$20="Electric",CONCATENATE(Cool_Type," ",Heating_Type," Heat"),IF('Project Info and Summary'!$C$20="Non-Electric",CONCATENATE(Cool_Type," ",Heating_Type," Heat"),CONCATENATE(Cool_Type," ",Heating_Type))))))))</f>
        <v/>
      </c>
      <c r="N443" s="298" t="str">
        <f t="shared" si="27"/>
        <v/>
      </c>
      <c r="O443" s="298" t="str">
        <f>IF(B443="", "", 'Lighting Inventory (Ref only)'!G454)</f>
        <v/>
      </c>
      <c r="P443" s="298" t="str">
        <f>IF(B443="", "", 'Lighting Inventory (Ref only)'!E454)</f>
        <v/>
      </c>
      <c r="Q443" s="298" t="str">
        <f>IF(B443="", "", 'Lighting Inventory (Ref only)'!J454)</f>
        <v/>
      </c>
      <c r="R443" s="298" t="str">
        <f>IF(B443="", "",'Lighting Inventory (Ref only)'!K454)</f>
        <v/>
      </c>
      <c r="S443" s="372" t="str">
        <f>IF(B443="", "", 'Lighting Inventory (Ref only)'!G454*'Lighting Inventory (Ref only)'!K454/1000)</f>
        <v/>
      </c>
      <c r="T443" s="298" t="str">
        <f>IF(B443="", "", IF('Lighting Inventory (Ref only)'!I454="", "Light Switch",Inventory!H451))</f>
        <v/>
      </c>
      <c r="W443" s="373"/>
      <c r="X443" s="298" t="str">
        <f>IF(B443="", "", 'Lighting Inventory (Ref only)'!Q454)</f>
        <v/>
      </c>
      <c r="Z443" s="374"/>
      <c r="AA443" s="372" t="str">
        <f>IF(B443="", "",'Lighting Inventory (Ref only)'!R454/1000)</f>
        <v/>
      </c>
      <c r="AB443" s="372" t="str">
        <f>IF(B443="", "", Inventory!M451)</f>
        <v/>
      </c>
      <c r="AC443" s="374" t="str">
        <f>IF(B443="", "", 'Lighting Inventory (Ref only)'!T454)</f>
        <v/>
      </c>
      <c r="AD443" s="374" t="str">
        <f>IF(C443="", "", 'Lighting Inventory (Ref only)'!AA454)</f>
        <v/>
      </c>
      <c r="AE443" s="375" t="str">
        <f>IF(B443="", "", 'Lighting Inventory (Ref only)'!U454)</f>
        <v/>
      </c>
      <c r="AF443" s="375" t="str">
        <f>IF(B443="", "",'Lighting Inventory (Ref only)'!W454)</f>
        <v/>
      </c>
      <c r="AG443" s="375"/>
      <c r="AH443" s="375" t="str">
        <f>IF(B443="", "",'Lighting Inventory (Ref only)'!Z454)</f>
        <v/>
      </c>
      <c r="AI443" s="375" t="str">
        <f>IF(B443="", "", 'Lighting Inventory (Ref only)'!Y454)</f>
        <v/>
      </c>
      <c r="AJ443" s="375" t="str">
        <f>IF(C443="", "",'Lighting Inventory (Ref only)'!AB454)</f>
        <v/>
      </c>
      <c r="AK443" s="375" t="str">
        <f>IF(B443="", "", 'Lighting Inventory (Ref only)'!AG454)</f>
        <v/>
      </c>
      <c r="AL443" s="375" t="str">
        <f>IF(B443="", "", 'Lighting Inventory (Ref only)'!AD454)</f>
        <v/>
      </c>
      <c r="AM443" s="375" t="str">
        <f>IF(B443="", "", 'Lighting Inventory (Ref only)'!AE454)</f>
        <v/>
      </c>
      <c r="AN443" s="375" t="str">
        <f>IF(B443="", "", 'Lighting Inventory (Ref only)'!AF454)</f>
        <v/>
      </c>
      <c r="AO443" s="375" t="str">
        <f>IF(B443="", "", 'Lighting Inventory (Ref only)'!AG454)</f>
        <v/>
      </c>
    </row>
    <row r="444" spans="1:41">
      <c r="A444" s="298" t="str">
        <f>IF(G444="", "", Lookups!BF446)</f>
        <v/>
      </c>
      <c r="B444" s="298" t="str">
        <f>IF('Lighting Inventory (Ref only)'!Q455="", "", 'Lighting Inventory (Ref only)'!Q455)</f>
        <v/>
      </c>
      <c r="C444" s="298" t="str">
        <f>IF(A444="", "", 'Lighting Inventory (Ref only)'!AO455)</f>
        <v/>
      </c>
      <c r="D444" s="370" t="str">
        <f>IF(B444= "","", Inventory!S452)</f>
        <v/>
      </c>
      <c r="E444" s="371"/>
      <c r="F444" s="298" t="str">
        <f>IF(B444="", "", 'Version Log'!$B$34)</f>
        <v/>
      </c>
      <c r="G444" s="298" t="str">
        <f t="shared" si="24"/>
        <v/>
      </c>
      <c r="H444" s="298" t="str">
        <f t="shared" si="25"/>
        <v/>
      </c>
      <c r="I444" s="298" t="str">
        <f>IF(B444="", "",Inventory!D452)</f>
        <v/>
      </c>
      <c r="J444" s="298" t="str">
        <f>IF(B444="","",IF(Inventory!C452="N","Interior","Exterior"))</f>
        <v/>
      </c>
      <c r="K444" s="298" t="str">
        <f t="shared" si="26"/>
        <v/>
      </c>
      <c r="L444" s="298" t="str">
        <f>IF(B444="", "", Inventory!E452)</f>
        <v/>
      </c>
      <c r="M444" s="298" t="str">
        <f>IF(B444="","",IF(Cool_Type=Lookups!$L$9,Cool_Type,IF(Cool_Type=Lookups!$L$10,Cool_Type,IF(Cool_Type=Lookups!$L$11,Cool_Type,IF(Cool_Type=Lookups!L454,Cool_Type,IF('Project Info and Summary'!$C$20="Electric",CONCATENATE(Cool_Type," ",Heating_Type," Heat"),IF('Project Info and Summary'!$C$20="Non-Electric",CONCATENATE(Cool_Type," ",Heating_Type," Heat"),CONCATENATE(Cool_Type," ",Heating_Type))))))))</f>
        <v/>
      </c>
      <c r="N444" s="298" t="str">
        <f t="shared" si="27"/>
        <v/>
      </c>
      <c r="O444" s="298" t="str">
        <f>IF(B444="", "", 'Lighting Inventory (Ref only)'!G455)</f>
        <v/>
      </c>
      <c r="P444" s="298" t="str">
        <f>IF(B444="", "", 'Lighting Inventory (Ref only)'!E455)</f>
        <v/>
      </c>
      <c r="Q444" s="298" t="str">
        <f>IF(B444="", "", 'Lighting Inventory (Ref only)'!J455)</f>
        <v/>
      </c>
      <c r="R444" s="298" t="str">
        <f>IF(B444="", "",'Lighting Inventory (Ref only)'!K455)</f>
        <v/>
      </c>
      <c r="S444" s="372" t="str">
        <f>IF(B444="", "", 'Lighting Inventory (Ref only)'!G455*'Lighting Inventory (Ref only)'!K455/1000)</f>
        <v/>
      </c>
      <c r="T444" s="298" t="str">
        <f>IF(B444="", "", IF('Lighting Inventory (Ref only)'!I455="", "Light Switch",Inventory!H452))</f>
        <v/>
      </c>
      <c r="W444" s="373"/>
      <c r="X444" s="298" t="str">
        <f>IF(B444="", "", 'Lighting Inventory (Ref only)'!Q455)</f>
        <v/>
      </c>
      <c r="Z444" s="374"/>
      <c r="AA444" s="372" t="str">
        <f>IF(B444="", "",'Lighting Inventory (Ref only)'!R455/1000)</f>
        <v/>
      </c>
      <c r="AB444" s="372" t="str">
        <f>IF(B444="", "", Inventory!M452)</f>
        <v/>
      </c>
      <c r="AC444" s="374" t="str">
        <f>IF(B444="", "", 'Lighting Inventory (Ref only)'!T455)</f>
        <v/>
      </c>
      <c r="AD444" s="374" t="str">
        <f>IF(C444="", "", 'Lighting Inventory (Ref only)'!AA455)</f>
        <v/>
      </c>
      <c r="AE444" s="375" t="str">
        <f>IF(B444="", "", 'Lighting Inventory (Ref only)'!U455)</f>
        <v/>
      </c>
      <c r="AF444" s="375" t="str">
        <f>IF(B444="", "",'Lighting Inventory (Ref only)'!W455)</f>
        <v/>
      </c>
      <c r="AG444" s="375"/>
      <c r="AH444" s="375" t="str">
        <f>IF(B444="", "",'Lighting Inventory (Ref only)'!Z455)</f>
        <v/>
      </c>
      <c r="AI444" s="375" t="str">
        <f>IF(B444="", "", 'Lighting Inventory (Ref only)'!Y455)</f>
        <v/>
      </c>
      <c r="AJ444" s="375" t="str">
        <f>IF(C444="", "",'Lighting Inventory (Ref only)'!AB455)</f>
        <v/>
      </c>
      <c r="AK444" s="375" t="str">
        <f>IF(B444="", "", 'Lighting Inventory (Ref only)'!AG455)</f>
        <v/>
      </c>
      <c r="AL444" s="375" t="str">
        <f>IF(B444="", "", 'Lighting Inventory (Ref only)'!AD455)</f>
        <v/>
      </c>
      <c r="AM444" s="375" t="str">
        <f>IF(B444="", "", 'Lighting Inventory (Ref only)'!AE455)</f>
        <v/>
      </c>
      <c r="AN444" s="375" t="str">
        <f>IF(B444="", "", 'Lighting Inventory (Ref only)'!AF455)</f>
        <v/>
      </c>
      <c r="AO444" s="375" t="str">
        <f>IF(B444="", "", 'Lighting Inventory (Ref only)'!AG455)</f>
        <v/>
      </c>
    </row>
    <row r="445" spans="1:41">
      <c r="A445" s="298" t="str">
        <f>IF(G445="", "", Lookups!BF447)</f>
        <v/>
      </c>
      <c r="B445" s="298" t="str">
        <f>IF('Lighting Inventory (Ref only)'!Q456="", "", 'Lighting Inventory (Ref only)'!Q456)</f>
        <v/>
      </c>
      <c r="C445" s="298" t="str">
        <f>IF(A445="", "", 'Lighting Inventory (Ref only)'!AO456)</f>
        <v/>
      </c>
      <c r="D445" s="370" t="str">
        <f>IF(B445= "","", Inventory!S453)</f>
        <v/>
      </c>
      <c r="E445" s="371"/>
      <c r="F445" s="298" t="str">
        <f>IF(B445="", "", 'Version Log'!$B$34)</f>
        <v/>
      </c>
      <c r="G445" s="298" t="str">
        <f t="shared" si="24"/>
        <v/>
      </c>
      <c r="H445" s="298" t="str">
        <f t="shared" si="25"/>
        <v/>
      </c>
      <c r="I445" s="298" t="str">
        <f>IF(B445="", "",Inventory!D453)</f>
        <v/>
      </c>
      <c r="J445" s="298" t="str">
        <f>IF(B445="","",IF(Inventory!C453="N","Interior","Exterior"))</f>
        <v/>
      </c>
      <c r="K445" s="298" t="str">
        <f t="shared" si="26"/>
        <v/>
      </c>
      <c r="L445" s="298" t="str">
        <f>IF(B445="", "", Inventory!E453)</f>
        <v/>
      </c>
      <c r="M445" s="298" t="str">
        <f>IF(B445="","",IF(Cool_Type=Lookups!$L$9,Cool_Type,IF(Cool_Type=Lookups!$L$10,Cool_Type,IF(Cool_Type=Lookups!$L$11,Cool_Type,IF(Cool_Type=Lookups!L455,Cool_Type,IF('Project Info and Summary'!$C$20="Electric",CONCATENATE(Cool_Type," ",Heating_Type," Heat"),IF('Project Info and Summary'!$C$20="Non-Electric",CONCATENATE(Cool_Type," ",Heating_Type," Heat"),CONCATENATE(Cool_Type," ",Heating_Type))))))))</f>
        <v/>
      </c>
      <c r="N445" s="298" t="str">
        <f t="shared" si="27"/>
        <v/>
      </c>
      <c r="O445" s="298" t="str">
        <f>IF(B445="", "", 'Lighting Inventory (Ref only)'!G456)</f>
        <v/>
      </c>
      <c r="P445" s="298" t="str">
        <f>IF(B445="", "", 'Lighting Inventory (Ref only)'!E456)</f>
        <v/>
      </c>
      <c r="Q445" s="298" t="str">
        <f>IF(B445="", "", 'Lighting Inventory (Ref only)'!J456)</f>
        <v/>
      </c>
      <c r="R445" s="298" t="str">
        <f>IF(B445="", "",'Lighting Inventory (Ref only)'!K456)</f>
        <v/>
      </c>
      <c r="S445" s="372" t="str">
        <f>IF(B445="", "", 'Lighting Inventory (Ref only)'!G456*'Lighting Inventory (Ref only)'!K456/1000)</f>
        <v/>
      </c>
      <c r="T445" s="298" t="str">
        <f>IF(B445="", "", IF('Lighting Inventory (Ref only)'!I456="", "Light Switch",Inventory!H453))</f>
        <v/>
      </c>
      <c r="W445" s="373"/>
      <c r="X445" s="298" t="str">
        <f>IF(B445="", "", 'Lighting Inventory (Ref only)'!Q456)</f>
        <v/>
      </c>
      <c r="Z445" s="374"/>
      <c r="AA445" s="372" t="str">
        <f>IF(B445="", "",'Lighting Inventory (Ref only)'!R456/1000)</f>
        <v/>
      </c>
      <c r="AB445" s="372" t="str">
        <f>IF(B445="", "", Inventory!M453)</f>
        <v/>
      </c>
      <c r="AC445" s="374" t="str">
        <f>IF(B445="", "", 'Lighting Inventory (Ref only)'!T456)</f>
        <v/>
      </c>
      <c r="AD445" s="374" t="str">
        <f>IF(C445="", "", 'Lighting Inventory (Ref only)'!AA456)</f>
        <v/>
      </c>
      <c r="AE445" s="375" t="str">
        <f>IF(B445="", "", 'Lighting Inventory (Ref only)'!U456)</f>
        <v/>
      </c>
      <c r="AF445" s="375" t="str">
        <f>IF(B445="", "",'Lighting Inventory (Ref only)'!W456)</f>
        <v/>
      </c>
      <c r="AG445" s="375"/>
      <c r="AH445" s="375" t="str">
        <f>IF(B445="", "",'Lighting Inventory (Ref only)'!Z456)</f>
        <v/>
      </c>
      <c r="AI445" s="375" t="str">
        <f>IF(B445="", "", 'Lighting Inventory (Ref only)'!Y456)</f>
        <v/>
      </c>
      <c r="AJ445" s="375" t="str">
        <f>IF(C445="", "",'Lighting Inventory (Ref only)'!AB456)</f>
        <v/>
      </c>
      <c r="AK445" s="375" t="str">
        <f>IF(B445="", "", 'Lighting Inventory (Ref only)'!AG456)</f>
        <v/>
      </c>
      <c r="AL445" s="375" t="str">
        <f>IF(B445="", "", 'Lighting Inventory (Ref only)'!AD456)</f>
        <v/>
      </c>
      <c r="AM445" s="375" t="str">
        <f>IF(B445="", "", 'Lighting Inventory (Ref only)'!AE456)</f>
        <v/>
      </c>
      <c r="AN445" s="375" t="str">
        <f>IF(B445="", "", 'Lighting Inventory (Ref only)'!AF456)</f>
        <v/>
      </c>
      <c r="AO445" s="375" t="str">
        <f>IF(B445="", "", 'Lighting Inventory (Ref only)'!AG456)</f>
        <v/>
      </c>
    </row>
    <row r="446" spans="1:41">
      <c r="A446" s="298" t="str">
        <f>IF(G446="", "", Lookups!BF448)</f>
        <v/>
      </c>
      <c r="B446" s="298" t="str">
        <f>IF('Lighting Inventory (Ref only)'!Q457="", "", 'Lighting Inventory (Ref only)'!Q457)</f>
        <v/>
      </c>
      <c r="C446" s="298" t="str">
        <f>IF(A446="", "", 'Lighting Inventory (Ref only)'!AO457)</f>
        <v/>
      </c>
      <c r="D446" s="370" t="str">
        <f>IF(B446= "","", Inventory!S454)</f>
        <v/>
      </c>
      <c r="E446" s="371"/>
      <c r="F446" s="298" t="str">
        <f>IF(B446="", "", 'Version Log'!$B$34)</f>
        <v/>
      </c>
      <c r="G446" s="298" t="str">
        <f t="shared" si="24"/>
        <v/>
      </c>
      <c r="H446" s="298" t="str">
        <f t="shared" si="25"/>
        <v/>
      </c>
      <c r="I446" s="298" t="str">
        <f>IF(B446="", "",Inventory!D454)</f>
        <v/>
      </c>
      <c r="J446" s="298" t="str">
        <f>IF(B446="","",IF(Inventory!C454="N","Interior","Exterior"))</f>
        <v/>
      </c>
      <c r="K446" s="298" t="str">
        <f t="shared" si="26"/>
        <v/>
      </c>
      <c r="L446" s="298" t="str">
        <f>IF(B446="", "", Inventory!E454)</f>
        <v/>
      </c>
      <c r="M446" s="298" t="str">
        <f>IF(B446="","",IF(Cool_Type=Lookups!$L$9,Cool_Type,IF(Cool_Type=Lookups!$L$10,Cool_Type,IF(Cool_Type=Lookups!$L$11,Cool_Type,IF(Cool_Type=Lookups!L456,Cool_Type,IF('Project Info and Summary'!$C$20="Electric",CONCATENATE(Cool_Type," ",Heating_Type," Heat"),IF('Project Info and Summary'!$C$20="Non-Electric",CONCATENATE(Cool_Type," ",Heating_Type," Heat"),CONCATENATE(Cool_Type," ",Heating_Type))))))))</f>
        <v/>
      </c>
      <c r="N446" s="298" t="str">
        <f t="shared" si="27"/>
        <v/>
      </c>
      <c r="O446" s="298" t="str">
        <f>IF(B446="", "", 'Lighting Inventory (Ref only)'!G457)</f>
        <v/>
      </c>
      <c r="P446" s="298" t="str">
        <f>IF(B446="", "", 'Lighting Inventory (Ref only)'!E457)</f>
        <v/>
      </c>
      <c r="Q446" s="298" t="str">
        <f>IF(B446="", "", 'Lighting Inventory (Ref only)'!J457)</f>
        <v/>
      </c>
      <c r="R446" s="298" t="str">
        <f>IF(B446="", "",'Lighting Inventory (Ref only)'!K457)</f>
        <v/>
      </c>
      <c r="S446" s="372" t="str">
        <f>IF(B446="", "", 'Lighting Inventory (Ref only)'!G457*'Lighting Inventory (Ref only)'!K457/1000)</f>
        <v/>
      </c>
      <c r="T446" s="298" t="str">
        <f>IF(B446="", "", IF('Lighting Inventory (Ref only)'!I457="", "Light Switch",Inventory!H454))</f>
        <v/>
      </c>
      <c r="W446" s="373"/>
      <c r="X446" s="298" t="str">
        <f>IF(B446="", "", 'Lighting Inventory (Ref only)'!Q457)</f>
        <v/>
      </c>
      <c r="Z446" s="374"/>
      <c r="AA446" s="372" t="str">
        <f>IF(B446="", "",'Lighting Inventory (Ref only)'!R457/1000)</f>
        <v/>
      </c>
      <c r="AB446" s="372" t="str">
        <f>IF(B446="", "", Inventory!M454)</f>
        <v/>
      </c>
      <c r="AC446" s="374" t="str">
        <f>IF(B446="", "", 'Lighting Inventory (Ref only)'!T457)</f>
        <v/>
      </c>
      <c r="AD446" s="374" t="str">
        <f>IF(C446="", "", 'Lighting Inventory (Ref only)'!AA457)</f>
        <v/>
      </c>
      <c r="AE446" s="375" t="str">
        <f>IF(B446="", "", 'Lighting Inventory (Ref only)'!U457)</f>
        <v/>
      </c>
      <c r="AF446" s="375" t="str">
        <f>IF(B446="", "",'Lighting Inventory (Ref only)'!W457)</f>
        <v/>
      </c>
      <c r="AG446" s="375"/>
      <c r="AH446" s="375" t="str">
        <f>IF(B446="", "",'Lighting Inventory (Ref only)'!Z457)</f>
        <v/>
      </c>
      <c r="AI446" s="375" t="str">
        <f>IF(B446="", "", 'Lighting Inventory (Ref only)'!Y457)</f>
        <v/>
      </c>
      <c r="AJ446" s="375" t="str">
        <f>IF(C446="", "",'Lighting Inventory (Ref only)'!AB457)</f>
        <v/>
      </c>
      <c r="AK446" s="375" t="str">
        <f>IF(B446="", "", 'Lighting Inventory (Ref only)'!AG457)</f>
        <v/>
      </c>
      <c r="AL446" s="375" t="str">
        <f>IF(B446="", "", 'Lighting Inventory (Ref only)'!AD457)</f>
        <v/>
      </c>
      <c r="AM446" s="375" t="str">
        <f>IF(B446="", "", 'Lighting Inventory (Ref only)'!AE457)</f>
        <v/>
      </c>
      <c r="AN446" s="375" t="str">
        <f>IF(B446="", "", 'Lighting Inventory (Ref only)'!AF457)</f>
        <v/>
      </c>
      <c r="AO446" s="375" t="str">
        <f>IF(B446="", "", 'Lighting Inventory (Ref only)'!AG457)</f>
        <v/>
      </c>
    </row>
    <row r="447" spans="1:41">
      <c r="A447" s="298" t="str">
        <f>IF(G447="", "", Lookups!BF449)</f>
        <v/>
      </c>
      <c r="B447" s="298" t="str">
        <f>IF('Lighting Inventory (Ref only)'!Q458="", "", 'Lighting Inventory (Ref only)'!Q458)</f>
        <v/>
      </c>
      <c r="C447" s="298" t="str">
        <f>IF(A447="", "", 'Lighting Inventory (Ref only)'!AO458)</f>
        <v/>
      </c>
      <c r="D447" s="370" t="str">
        <f>IF(B447= "","", Inventory!S455)</f>
        <v/>
      </c>
      <c r="E447" s="371"/>
      <c r="F447" s="298" t="str">
        <f>IF(B447="", "", 'Version Log'!$B$34)</f>
        <v/>
      </c>
      <c r="G447" s="298" t="str">
        <f t="shared" si="24"/>
        <v/>
      </c>
      <c r="H447" s="298" t="str">
        <f t="shared" si="25"/>
        <v/>
      </c>
      <c r="I447" s="298" t="str">
        <f>IF(B447="", "",Inventory!D455)</f>
        <v/>
      </c>
      <c r="J447" s="298" t="str">
        <f>IF(B447="","",IF(Inventory!C455="N","Interior","Exterior"))</f>
        <v/>
      </c>
      <c r="K447" s="298" t="str">
        <f t="shared" si="26"/>
        <v/>
      </c>
      <c r="L447" s="298" t="str">
        <f>IF(B447="", "", Inventory!E455)</f>
        <v/>
      </c>
      <c r="M447" s="298" t="str">
        <f>IF(B447="","",IF(Cool_Type=Lookups!$L$9,Cool_Type,IF(Cool_Type=Lookups!$L$10,Cool_Type,IF(Cool_Type=Lookups!$L$11,Cool_Type,IF(Cool_Type=Lookups!L457,Cool_Type,IF('Project Info and Summary'!$C$20="Electric",CONCATENATE(Cool_Type," ",Heating_Type," Heat"),IF('Project Info and Summary'!$C$20="Non-Electric",CONCATENATE(Cool_Type," ",Heating_Type," Heat"),CONCATENATE(Cool_Type," ",Heating_Type))))))))</f>
        <v/>
      </c>
      <c r="N447" s="298" t="str">
        <f t="shared" si="27"/>
        <v/>
      </c>
      <c r="O447" s="298" t="str">
        <f>IF(B447="", "", 'Lighting Inventory (Ref only)'!G458)</f>
        <v/>
      </c>
      <c r="P447" s="298" t="str">
        <f>IF(B447="", "", 'Lighting Inventory (Ref only)'!E458)</f>
        <v/>
      </c>
      <c r="Q447" s="298" t="str">
        <f>IF(B447="", "", 'Lighting Inventory (Ref only)'!J458)</f>
        <v/>
      </c>
      <c r="R447" s="298" t="str">
        <f>IF(B447="", "",'Lighting Inventory (Ref only)'!K458)</f>
        <v/>
      </c>
      <c r="S447" s="372" t="str">
        <f>IF(B447="", "", 'Lighting Inventory (Ref only)'!G458*'Lighting Inventory (Ref only)'!K458/1000)</f>
        <v/>
      </c>
      <c r="T447" s="298" t="str">
        <f>IF(B447="", "", IF('Lighting Inventory (Ref only)'!I458="", "Light Switch",Inventory!H455))</f>
        <v/>
      </c>
      <c r="W447" s="373"/>
      <c r="X447" s="298" t="str">
        <f>IF(B447="", "", 'Lighting Inventory (Ref only)'!Q458)</f>
        <v/>
      </c>
      <c r="Z447" s="374"/>
      <c r="AA447" s="372" t="str">
        <f>IF(B447="", "",'Lighting Inventory (Ref only)'!R458/1000)</f>
        <v/>
      </c>
      <c r="AB447" s="372" t="str">
        <f>IF(B447="", "", Inventory!M455)</f>
        <v/>
      </c>
      <c r="AC447" s="374" t="str">
        <f>IF(B447="", "", 'Lighting Inventory (Ref only)'!T458)</f>
        <v/>
      </c>
      <c r="AD447" s="374" t="str">
        <f>IF(C447="", "", 'Lighting Inventory (Ref only)'!AA458)</f>
        <v/>
      </c>
      <c r="AE447" s="375" t="str">
        <f>IF(B447="", "", 'Lighting Inventory (Ref only)'!U458)</f>
        <v/>
      </c>
      <c r="AF447" s="375" t="str">
        <f>IF(B447="", "",'Lighting Inventory (Ref only)'!W458)</f>
        <v/>
      </c>
      <c r="AG447" s="375"/>
      <c r="AH447" s="375" t="str">
        <f>IF(B447="", "",'Lighting Inventory (Ref only)'!Z458)</f>
        <v/>
      </c>
      <c r="AI447" s="375" t="str">
        <f>IF(B447="", "", 'Lighting Inventory (Ref only)'!Y458)</f>
        <v/>
      </c>
      <c r="AJ447" s="375" t="str">
        <f>IF(C447="", "",'Lighting Inventory (Ref only)'!AB458)</f>
        <v/>
      </c>
      <c r="AK447" s="375" t="str">
        <f>IF(B447="", "", 'Lighting Inventory (Ref only)'!AG458)</f>
        <v/>
      </c>
      <c r="AL447" s="375" t="str">
        <f>IF(B447="", "", 'Lighting Inventory (Ref only)'!AD458)</f>
        <v/>
      </c>
      <c r="AM447" s="375" t="str">
        <f>IF(B447="", "", 'Lighting Inventory (Ref only)'!AE458)</f>
        <v/>
      </c>
      <c r="AN447" s="375" t="str">
        <f>IF(B447="", "", 'Lighting Inventory (Ref only)'!AF458)</f>
        <v/>
      </c>
      <c r="AO447" s="375" t="str">
        <f>IF(B447="", "", 'Lighting Inventory (Ref only)'!AG458)</f>
        <v/>
      </c>
    </row>
    <row r="448" spans="1:41">
      <c r="A448" s="298" t="str">
        <f>IF(G448="", "", Lookups!BF450)</f>
        <v/>
      </c>
      <c r="B448" s="298" t="str">
        <f>IF('Lighting Inventory (Ref only)'!Q459="", "", 'Lighting Inventory (Ref only)'!Q459)</f>
        <v/>
      </c>
      <c r="C448" s="298" t="str">
        <f>IF(A448="", "", 'Lighting Inventory (Ref only)'!AO459)</f>
        <v/>
      </c>
      <c r="D448" s="370" t="str">
        <f>IF(B448= "","", Inventory!S456)</f>
        <v/>
      </c>
      <c r="E448" s="371"/>
      <c r="F448" s="298" t="str">
        <f>IF(B448="", "", 'Version Log'!$B$34)</f>
        <v/>
      </c>
      <c r="G448" s="298" t="str">
        <f t="shared" si="24"/>
        <v/>
      </c>
      <c r="H448" s="298" t="str">
        <f t="shared" si="25"/>
        <v/>
      </c>
      <c r="I448" s="298" t="str">
        <f>IF(B448="", "",Inventory!D456)</f>
        <v/>
      </c>
      <c r="J448" s="298" t="str">
        <f>IF(B448="","",IF(Inventory!C456="N","Interior","Exterior"))</f>
        <v/>
      </c>
      <c r="K448" s="298" t="str">
        <f t="shared" si="26"/>
        <v/>
      </c>
      <c r="L448" s="298" t="str">
        <f>IF(B448="", "", Inventory!E456)</f>
        <v/>
      </c>
      <c r="M448" s="298" t="str">
        <f>IF(B448="","",IF(Cool_Type=Lookups!$L$9,Cool_Type,IF(Cool_Type=Lookups!$L$10,Cool_Type,IF(Cool_Type=Lookups!$L$11,Cool_Type,IF(Cool_Type=Lookups!L458,Cool_Type,IF('Project Info and Summary'!$C$20="Electric",CONCATENATE(Cool_Type," ",Heating_Type," Heat"),IF('Project Info and Summary'!$C$20="Non-Electric",CONCATENATE(Cool_Type," ",Heating_Type," Heat"),CONCATENATE(Cool_Type," ",Heating_Type))))))))</f>
        <v/>
      </c>
      <c r="N448" s="298" t="str">
        <f t="shared" si="27"/>
        <v/>
      </c>
      <c r="O448" s="298" t="str">
        <f>IF(B448="", "", 'Lighting Inventory (Ref only)'!G459)</f>
        <v/>
      </c>
      <c r="P448" s="298" t="str">
        <f>IF(B448="", "", 'Lighting Inventory (Ref only)'!E459)</f>
        <v/>
      </c>
      <c r="Q448" s="298" t="str">
        <f>IF(B448="", "", 'Lighting Inventory (Ref only)'!J459)</f>
        <v/>
      </c>
      <c r="R448" s="298" t="str">
        <f>IF(B448="", "",'Lighting Inventory (Ref only)'!K459)</f>
        <v/>
      </c>
      <c r="S448" s="372" t="str">
        <f>IF(B448="", "", 'Lighting Inventory (Ref only)'!G459*'Lighting Inventory (Ref only)'!K459/1000)</f>
        <v/>
      </c>
      <c r="T448" s="298" t="str">
        <f>IF(B448="", "", IF('Lighting Inventory (Ref only)'!I459="", "Light Switch",Inventory!H456))</f>
        <v/>
      </c>
      <c r="W448" s="373"/>
      <c r="X448" s="298" t="str">
        <f>IF(B448="", "", 'Lighting Inventory (Ref only)'!Q459)</f>
        <v/>
      </c>
      <c r="Z448" s="374"/>
      <c r="AA448" s="372" t="str">
        <f>IF(B448="", "",'Lighting Inventory (Ref only)'!R459/1000)</f>
        <v/>
      </c>
      <c r="AB448" s="372" t="str">
        <f>IF(B448="", "", Inventory!M456)</f>
        <v/>
      </c>
      <c r="AC448" s="374" t="str">
        <f>IF(B448="", "", 'Lighting Inventory (Ref only)'!T459)</f>
        <v/>
      </c>
      <c r="AD448" s="374" t="str">
        <f>IF(C448="", "", 'Lighting Inventory (Ref only)'!AA459)</f>
        <v/>
      </c>
      <c r="AE448" s="375" t="str">
        <f>IF(B448="", "", 'Lighting Inventory (Ref only)'!U459)</f>
        <v/>
      </c>
      <c r="AF448" s="375" t="str">
        <f>IF(B448="", "",'Lighting Inventory (Ref only)'!W459)</f>
        <v/>
      </c>
      <c r="AG448" s="375"/>
      <c r="AH448" s="375" t="str">
        <f>IF(B448="", "",'Lighting Inventory (Ref only)'!Z459)</f>
        <v/>
      </c>
      <c r="AI448" s="375" t="str">
        <f>IF(B448="", "", 'Lighting Inventory (Ref only)'!Y459)</f>
        <v/>
      </c>
      <c r="AJ448" s="375" t="str">
        <f>IF(C448="", "",'Lighting Inventory (Ref only)'!AB459)</f>
        <v/>
      </c>
      <c r="AK448" s="375" t="str">
        <f>IF(B448="", "", 'Lighting Inventory (Ref only)'!AG459)</f>
        <v/>
      </c>
      <c r="AL448" s="375" t="str">
        <f>IF(B448="", "", 'Lighting Inventory (Ref only)'!AD459)</f>
        <v/>
      </c>
      <c r="AM448" s="375" t="str">
        <f>IF(B448="", "", 'Lighting Inventory (Ref only)'!AE459)</f>
        <v/>
      </c>
      <c r="AN448" s="375" t="str">
        <f>IF(B448="", "", 'Lighting Inventory (Ref only)'!AF459)</f>
        <v/>
      </c>
      <c r="AO448" s="375" t="str">
        <f>IF(B448="", "", 'Lighting Inventory (Ref only)'!AG459)</f>
        <v/>
      </c>
    </row>
    <row r="449" spans="1:41">
      <c r="A449" s="298" t="str">
        <f>IF(G449="", "", Lookups!BF451)</f>
        <v/>
      </c>
      <c r="B449" s="298" t="str">
        <f>IF('Lighting Inventory (Ref only)'!Q460="", "", 'Lighting Inventory (Ref only)'!Q460)</f>
        <v/>
      </c>
      <c r="C449" s="298" t="str">
        <f>IF(A449="", "", 'Lighting Inventory (Ref only)'!AO460)</f>
        <v/>
      </c>
      <c r="D449" s="370" t="str">
        <f>IF(B449= "","", Inventory!S457)</f>
        <v/>
      </c>
      <c r="E449" s="371"/>
      <c r="F449" s="298" t="str">
        <f>IF(B449="", "", 'Version Log'!$B$34)</f>
        <v/>
      </c>
      <c r="G449" s="298" t="str">
        <f t="shared" si="24"/>
        <v/>
      </c>
      <c r="H449" s="298" t="str">
        <f t="shared" si="25"/>
        <v/>
      </c>
      <c r="I449" s="298" t="str">
        <f>IF(B449="", "",Inventory!D457)</f>
        <v/>
      </c>
      <c r="J449" s="298" t="str">
        <f>IF(B449="","",IF(Inventory!C457="N","Interior","Exterior"))</f>
        <v/>
      </c>
      <c r="K449" s="298" t="str">
        <f t="shared" si="26"/>
        <v/>
      </c>
      <c r="L449" s="298" t="str">
        <f>IF(B449="", "", Inventory!E457)</f>
        <v/>
      </c>
      <c r="M449" s="298" t="str">
        <f>IF(B449="","",IF(Cool_Type=Lookups!$L$9,Cool_Type,IF(Cool_Type=Lookups!$L$10,Cool_Type,IF(Cool_Type=Lookups!$L$11,Cool_Type,IF(Cool_Type=Lookups!L459,Cool_Type,IF('Project Info and Summary'!$C$20="Electric",CONCATENATE(Cool_Type," ",Heating_Type," Heat"),IF('Project Info and Summary'!$C$20="Non-Electric",CONCATENATE(Cool_Type," ",Heating_Type," Heat"),CONCATENATE(Cool_Type," ",Heating_Type))))))))</f>
        <v/>
      </c>
      <c r="N449" s="298" t="str">
        <f t="shared" si="27"/>
        <v/>
      </c>
      <c r="O449" s="298" t="str">
        <f>IF(B449="", "", 'Lighting Inventory (Ref only)'!G460)</f>
        <v/>
      </c>
      <c r="P449" s="298" t="str">
        <f>IF(B449="", "", 'Lighting Inventory (Ref only)'!E460)</f>
        <v/>
      </c>
      <c r="Q449" s="298" t="str">
        <f>IF(B449="", "", 'Lighting Inventory (Ref only)'!J460)</f>
        <v/>
      </c>
      <c r="R449" s="298" t="str">
        <f>IF(B449="", "",'Lighting Inventory (Ref only)'!K460)</f>
        <v/>
      </c>
      <c r="S449" s="372" t="str">
        <f>IF(B449="", "", 'Lighting Inventory (Ref only)'!G460*'Lighting Inventory (Ref only)'!K460/1000)</f>
        <v/>
      </c>
      <c r="T449" s="298" t="str">
        <f>IF(B449="", "", IF('Lighting Inventory (Ref only)'!I460="", "Light Switch",Inventory!H457))</f>
        <v/>
      </c>
      <c r="W449" s="373"/>
      <c r="X449" s="298" t="str">
        <f>IF(B449="", "", 'Lighting Inventory (Ref only)'!Q460)</f>
        <v/>
      </c>
      <c r="Z449" s="374"/>
      <c r="AA449" s="372" t="str">
        <f>IF(B449="", "",'Lighting Inventory (Ref only)'!R460/1000)</f>
        <v/>
      </c>
      <c r="AB449" s="372" t="str">
        <f>IF(B449="", "", Inventory!M457)</f>
        <v/>
      </c>
      <c r="AC449" s="374" t="str">
        <f>IF(B449="", "", 'Lighting Inventory (Ref only)'!T460)</f>
        <v/>
      </c>
      <c r="AD449" s="374" t="str">
        <f>IF(C449="", "", 'Lighting Inventory (Ref only)'!AA460)</f>
        <v/>
      </c>
      <c r="AE449" s="375" t="str">
        <f>IF(B449="", "", 'Lighting Inventory (Ref only)'!U460)</f>
        <v/>
      </c>
      <c r="AF449" s="375" t="str">
        <f>IF(B449="", "",'Lighting Inventory (Ref only)'!W460)</f>
        <v/>
      </c>
      <c r="AG449" s="375"/>
      <c r="AH449" s="375" t="str">
        <f>IF(B449="", "",'Lighting Inventory (Ref only)'!Z460)</f>
        <v/>
      </c>
      <c r="AI449" s="375" t="str">
        <f>IF(B449="", "", 'Lighting Inventory (Ref only)'!Y460)</f>
        <v/>
      </c>
      <c r="AJ449" s="375" t="str">
        <f>IF(C449="", "",'Lighting Inventory (Ref only)'!AB460)</f>
        <v/>
      </c>
      <c r="AK449" s="375" t="str">
        <f>IF(B449="", "", 'Lighting Inventory (Ref only)'!AG460)</f>
        <v/>
      </c>
      <c r="AL449" s="375" t="str">
        <f>IF(B449="", "", 'Lighting Inventory (Ref only)'!AD460)</f>
        <v/>
      </c>
      <c r="AM449" s="375" t="str">
        <f>IF(B449="", "", 'Lighting Inventory (Ref only)'!AE460)</f>
        <v/>
      </c>
      <c r="AN449" s="375" t="str">
        <f>IF(B449="", "", 'Lighting Inventory (Ref only)'!AF460)</f>
        <v/>
      </c>
      <c r="AO449" s="375" t="str">
        <f>IF(B449="", "", 'Lighting Inventory (Ref only)'!AG460)</f>
        <v/>
      </c>
    </row>
    <row r="450" spans="1:41">
      <c r="A450" s="298" t="str">
        <f>IF(G450="", "", Lookups!BF452)</f>
        <v/>
      </c>
      <c r="B450" s="298" t="str">
        <f>IF('Lighting Inventory (Ref only)'!Q461="", "", 'Lighting Inventory (Ref only)'!Q461)</f>
        <v/>
      </c>
      <c r="C450" s="298" t="str">
        <f>IF(A450="", "", 'Lighting Inventory (Ref only)'!AO461)</f>
        <v/>
      </c>
      <c r="D450" s="370" t="str">
        <f>IF(B450= "","", Inventory!S458)</f>
        <v/>
      </c>
      <c r="E450" s="371"/>
      <c r="F450" s="298" t="str">
        <f>IF(B450="", "", 'Version Log'!$B$34)</f>
        <v/>
      </c>
      <c r="G450" s="298" t="str">
        <f t="shared" ref="G450:G501" si="28">IF(B450="", "", PRJ_Type)</f>
        <v/>
      </c>
      <c r="H450" s="298" t="str">
        <f t="shared" ref="H450:H501" si="29">IF(B450="", "", SqFt)</f>
        <v/>
      </c>
      <c r="I450" s="298" t="str">
        <f>IF(B450="", "",Inventory!D458)</f>
        <v/>
      </c>
      <c r="J450" s="298" t="str">
        <f>IF(B450="","",IF(Inventory!C458="N","Interior","Exterior"))</f>
        <v/>
      </c>
      <c r="K450" s="298" t="str">
        <f t="shared" ref="K450:K501" si="30">IF(B450="", "", Building_Type)</f>
        <v/>
      </c>
      <c r="L450" s="298" t="str">
        <f>IF(B450="", "", Inventory!E458)</f>
        <v/>
      </c>
      <c r="M450" s="298" t="str">
        <f>IF(B450="","",IF(Cool_Type=Lookups!$L$9,Cool_Type,IF(Cool_Type=Lookups!$L$10,Cool_Type,IF(Cool_Type=Lookups!$L$11,Cool_Type,IF(Cool_Type=Lookups!L460,Cool_Type,IF('Project Info and Summary'!$C$20="Electric",CONCATENATE(Cool_Type," ",Heating_Type," Heat"),IF('Project Info and Summary'!$C$20="Non-Electric",CONCATENATE(Cool_Type," ",Heating_Type," Heat"),CONCATENATE(Cool_Type," ",Heating_Type))))))))</f>
        <v/>
      </c>
      <c r="N450" s="298" t="str">
        <f t="shared" ref="N450:N501" si="31">IF(B450="", "",Heating_Type)</f>
        <v/>
      </c>
      <c r="O450" s="298" t="str">
        <f>IF(B450="", "", 'Lighting Inventory (Ref only)'!G461)</f>
        <v/>
      </c>
      <c r="P450" s="298" t="str">
        <f>IF(B450="", "", 'Lighting Inventory (Ref only)'!E461)</f>
        <v/>
      </c>
      <c r="Q450" s="298" t="str">
        <f>IF(B450="", "", 'Lighting Inventory (Ref only)'!J461)</f>
        <v/>
      </c>
      <c r="R450" s="298" t="str">
        <f>IF(B450="", "",'Lighting Inventory (Ref only)'!K461)</f>
        <v/>
      </c>
      <c r="S450" s="372" t="str">
        <f>IF(B450="", "", 'Lighting Inventory (Ref only)'!G461*'Lighting Inventory (Ref only)'!K461/1000)</f>
        <v/>
      </c>
      <c r="T450" s="298" t="str">
        <f>IF(B450="", "", IF('Lighting Inventory (Ref only)'!I461="", "Light Switch",Inventory!H458))</f>
        <v/>
      </c>
      <c r="W450" s="373"/>
      <c r="X450" s="298" t="str">
        <f>IF(B450="", "", 'Lighting Inventory (Ref only)'!Q461)</f>
        <v/>
      </c>
      <c r="Z450" s="374"/>
      <c r="AA450" s="372" t="str">
        <f>IF(B450="", "",'Lighting Inventory (Ref only)'!R461/1000)</f>
        <v/>
      </c>
      <c r="AB450" s="372" t="str">
        <f>IF(B450="", "", Inventory!M458)</f>
        <v/>
      </c>
      <c r="AC450" s="374" t="str">
        <f>IF(B450="", "", 'Lighting Inventory (Ref only)'!T461)</f>
        <v/>
      </c>
      <c r="AD450" s="374" t="str">
        <f>IF(C450="", "", 'Lighting Inventory (Ref only)'!AA461)</f>
        <v/>
      </c>
      <c r="AE450" s="375" t="str">
        <f>IF(B450="", "", 'Lighting Inventory (Ref only)'!U461)</f>
        <v/>
      </c>
      <c r="AF450" s="375" t="str">
        <f>IF(B450="", "",'Lighting Inventory (Ref only)'!W461)</f>
        <v/>
      </c>
      <c r="AG450" s="375"/>
      <c r="AH450" s="375" t="str">
        <f>IF(B450="", "",'Lighting Inventory (Ref only)'!Z461)</f>
        <v/>
      </c>
      <c r="AI450" s="375" t="str">
        <f>IF(B450="", "", 'Lighting Inventory (Ref only)'!Y461)</f>
        <v/>
      </c>
      <c r="AJ450" s="375" t="str">
        <f>IF(C450="", "",'Lighting Inventory (Ref only)'!AB461)</f>
        <v/>
      </c>
      <c r="AK450" s="375" t="str">
        <f>IF(B450="", "", 'Lighting Inventory (Ref only)'!AG461)</f>
        <v/>
      </c>
      <c r="AL450" s="375" t="str">
        <f>IF(B450="", "", 'Lighting Inventory (Ref only)'!AD461)</f>
        <v/>
      </c>
      <c r="AM450" s="375" t="str">
        <f>IF(B450="", "", 'Lighting Inventory (Ref only)'!AE461)</f>
        <v/>
      </c>
      <c r="AN450" s="375" t="str">
        <f>IF(B450="", "", 'Lighting Inventory (Ref only)'!AF461)</f>
        <v/>
      </c>
      <c r="AO450" s="375" t="str">
        <f>IF(B450="", "", 'Lighting Inventory (Ref only)'!AG461)</f>
        <v/>
      </c>
    </row>
    <row r="451" spans="1:41">
      <c r="A451" s="298" t="str">
        <f>IF(G451="", "", Lookups!BF453)</f>
        <v/>
      </c>
      <c r="B451" s="298" t="str">
        <f>IF('Lighting Inventory (Ref only)'!Q462="", "", 'Lighting Inventory (Ref only)'!Q462)</f>
        <v/>
      </c>
      <c r="C451" s="298" t="str">
        <f>IF(A451="", "", 'Lighting Inventory (Ref only)'!AO462)</f>
        <v/>
      </c>
      <c r="D451" s="370" t="str">
        <f>IF(B451= "","", Inventory!S459)</f>
        <v/>
      </c>
      <c r="E451" s="371"/>
      <c r="F451" s="298" t="str">
        <f>IF(B451="", "", 'Version Log'!$B$34)</f>
        <v/>
      </c>
      <c r="G451" s="298" t="str">
        <f t="shared" si="28"/>
        <v/>
      </c>
      <c r="H451" s="298" t="str">
        <f t="shared" si="29"/>
        <v/>
      </c>
      <c r="I451" s="298" t="str">
        <f>IF(B451="", "",Inventory!D459)</f>
        <v/>
      </c>
      <c r="J451" s="298" t="str">
        <f>IF(B451="","",IF(Inventory!C459="N","Interior","Exterior"))</f>
        <v/>
      </c>
      <c r="K451" s="298" t="str">
        <f t="shared" si="30"/>
        <v/>
      </c>
      <c r="L451" s="298" t="str">
        <f>IF(B451="", "", Inventory!E459)</f>
        <v/>
      </c>
      <c r="M451" s="298" t="str">
        <f>IF(B451="","",IF(Cool_Type=Lookups!$L$9,Cool_Type,IF(Cool_Type=Lookups!$L$10,Cool_Type,IF(Cool_Type=Lookups!$L$11,Cool_Type,IF(Cool_Type=Lookups!L461,Cool_Type,IF('Project Info and Summary'!$C$20="Electric",CONCATENATE(Cool_Type," ",Heating_Type," Heat"),IF('Project Info and Summary'!$C$20="Non-Electric",CONCATENATE(Cool_Type," ",Heating_Type," Heat"),CONCATENATE(Cool_Type," ",Heating_Type))))))))</f>
        <v/>
      </c>
      <c r="N451" s="298" t="str">
        <f t="shared" si="31"/>
        <v/>
      </c>
      <c r="O451" s="298" t="str">
        <f>IF(B451="", "", 'Lighting Inventory (Ref only)'!G462)</f>
        <v/>
      </c>
      <c r="P451" s="298" t="str">
        <f>IF(B451="", "", 'Lighting Inventory (Ref only)'!E462)</f>
        <v/>
      </c>
      <c r="Q451" s="298" t="str">
        <f>IF(B451="", "", 'Lighting Inventory (Ref only)'!J462)</f>
        <v/>
      </c>
      <c r="R451" s="298" t="str">
        <f>IF(B451="", "",'Lighting Inventory (Ref only)'!K462)</f>
        <v/>
      </c>
      <c r="S451" s="372" t="str">
        <f>IF(B451="", "", 'Lighting Inventory (Ref only)'!G462*'Lighting Inventory (Ref only)'!K462/1000)</f>
        <v/>
      </c>
      <c r="T451" s="298" t="str">
        <f>IF(B451="", "", IF('Lighting Inventory (Ref only)'!I462="", "Light Switch",Inventory!H459))</f>
        <v/>
      </c>
      <c r="W451" s="373"/>
      <c r="X451" s="298" t="str">
        <f>IF(B451="", "", 'Lighting Inventory (Ref only)'!Q462)</f>
        <v/>
      </c>
      <c r="Z451" s="374"/>
      <c r="AA451" s="372" t="str">
        <f>IF(B451="", "",'Lighting Inventory (Ref only)'!R462/1000)</f>
        <v/>
      </c>
      <c r="AB451" s="372" t="str">
        <f>IF(B451="", "", Inventory!M459)</f>
        <v/>
      </c>
      <c r="AC451" s="374" t="str">
        <f>IF(B451="", "", 'Lighting Inventory (Ref only)'!T462)</f>
        <v/>
      </c>
      <c r="AD451" s="374" t="str">
        <f>IF(C451="", "", 'Lighting Inventory (Ref only)'!AA462)</f>
        <v/>
      </c>
      <c r="AE451" s="375" t="str">
        <f>IF(B451="", "", 'Lighting Inventory (Ref only)'!U462)</f>
        <v/>
      </c>
      <c r="AF451" s="375" t="str">
        <f>IF(B451="", "",'Lighting Inventory (Ref only)'!W462)</f>
        <v/>
      </c>
      <c r="AG451" s="375"/>
      <c r="AH451" s="375" t="str">
        <f>IF(B451="", "",'Lighting Inventory (Ref only)'!Z462)</f>
        <v/>
      </c>
      <c r="AI451" s="375" t="str">
        <f>IF(B451="", "", 'Lighting Inventory (Ref only)'!Y462)</f>
        <v/>
      </c>
      <c r="AJ451" s="375" t="str">
        <f>IF(C451="", "",'Lighting Inventory (Ref only)'!AB462)</f>
        <v/>
      </c>
      <c r="AK451" s="375" t="str">
        <f>IF(B451="", "", 'Lighting Inventory (Ref only)'!AG462)</f>
        <v/>
      </c>
      <c r="AL451" s="375" t="str">
        <f>IF(B451="", "", 'Lighting Inventory (Ref only)'!AD462)</f>
        <v/>
      </c>
      <c r="AM451" s="375" t="str">
        <f>IF(B451="", "", 'Lighting Inventory (Ref only)'!AE462)</f>
        <v/>
      </c>
      <c r="AN451" s="375" t="str">
        <f>IF(B451="", "", 'Lighting Inventory (Ref only)'!AF462)</f>
        <v/>
      </c>
      <c r="AO451" s="375" t="str">
        <f>IF(B451="", "", 'Lighting Inventory (Ref only)'!AG462)</f>
        <v/>
      </c>
    </row>
    <row r="452" spans="1:41">
      <c r="A452" s="298" t="str">
        <f>IF(G452="", "", Lookups!BF454)</f>
        <v/>
      </c>
      <c r="B452" s="298" t="str">
        <f>IF('Lighting Inventory (Ref only)'!Q463="", "", 'Lighting Inventory (Ref only)'!Q463)</f>
        <v/>
      </c>
      <c r="C452" s="298" t="str">
        <f>IF(A452="", "", 'Lighting Inventory (Ref only)'!AO463)</f>
        <v/>
      </c>
      <c r="D452" s="370" t="str">
        <f>IF(B452= "","", Inventory!S460)</f>
        <v/>
      </c>
      <c r="E452" s="371"/>
      <c r="F452" s="298" t="str">
        <f>IF(B452="", "", 'Version Log'!$B$34)</f>
        <v/>
      </c>
      <c r="G452" s="298" t="str">
        <f t="shared" si="28"/>
        <v/>
      </c>
      <c r="H452" s="298" t="str">
        <f t="shared" si="29"/>
        <v/>
      </c>
      <c r="I452" s="298" t="str">
        <f>IF(B452="", "",Inventory!D460)</f>
        <v/>
      </c>
      <c r="J452" s="298" t="str">
        <f>IF(B452="","",IF(Inventory!C460="N","Interior","Exterior"))</f>
        <v/>
      </c>
      <c r="K452" s="298" t="str">
        <f t="shared" si="30"/>
        <v/>
      </c>
      <c r="L452" s="298" t="str">
        <f>IF(B452="", "", Inventory!E460)</f>
        <v/>
      </c>
      <c r="M452" s="298" t="str">
        <f>IF(B452="","",IF(Cool_Type=Lookups!$L$9,Cool_Type,IF(Cool_Type=Lookups!$L$10,Cool_Type,IF(Cool_Type=Lookups!$L$11,Cool_Type,IF(Cool_Type=Lookups!L462,Cool_Type,IF('Project Info and Summary'!$C$20="Electric",CONCATENATE(Cool_Type," ",Heating_Type," Heat"),IF('Project Info and Summary'!$C$20="Non-Electric",CONCATENATE(Cool_Type," ",Heating_Type," Heat"),CONCATENATE(Cool_Type," ",Heating_Type))))))))</f>
        <v/>
      </c>
      <c r="N452" s="298" t="str">
        <f t="shared" si="31"/>
        <v/>
      </c>
      <c r="O452" s="298" t="str">
        <f>IF(B452="", "", 'Lighting Inventory (Ref only)'!G463)</f>
        <v/>
      </c>
      <c r="P452" s="298" t="str">
        <f>IF(B452="", "", 'Lighting Inventory (Ref only)'!E463)</f>
        <v/>
      </c>
      <c r="Q452" s="298" t="str">
        <f>IF(B452="", "", 'Lighting Inventory (Ref only)'!J463)</f>
        <v/>
      </c>
      <c r="R452" s="298" t="str">
        <f>IF(B452="", "",'Lighting Inventory (Ref only)'!K463)</f>
        <v/>
      </c>
      <c r="S452" s="372" t="str">
        <f>IF(B452="", "", 'Lighting Inventory (Ref only)'!G463*'Lighting Inventory (Ref only)'!K463/1000)</f>
        <v/>
      </c>
      <c r="T452" s="298" t="str">
        <f>IF(B452="", "", IF('Lighting Inventory (Ref only)'!I463="", "Light Switch",Inventory!H460))</f>
        <v/>
      </c>
      <c r="W452" s="373"/>
      <c r="X452" s="298" t="str">
        <f>IF(B452="", "", 'Lighting Inventory (Ref only)'!Q463)</f>
        <v/>
      </c>
      <c r="Z452" s="374"/>
      <c r="AA452" s="372" t="str">
        <f>IF(B452="", "",'Lighting Inventory (Ref only)'!R463/1000)</f>
        <v/>
      </c>
      <c r="AB452" s="372" t="str">
        <f>IF(B452="", "", Inventory!M460)</f>
        <v/>
      </c>
      <c r="AC452" s="374" t="str">
        <f>IF(B452="", "", 'Lighting Inventory (Ref only)'!T463)</f>
        <v/>
      </c>
      <c r="AD452" s="374" t="str">
        <f>IF(C452="", "", 'Lighting Inventory (Ref only)'!AA463)</f>
        <v/>
      </c>
      <c r="AE452" s="375" t="str">
        <f>IF(B452="", "", 'Lighting Inventory (Ref only)'!U463)</f>
        <v/>
      </c>
      <c r="AF452" s="375" t="str">
        <f>IF(B452="", "",'Lighting Inventory (Ref only)'!W463)</f>
        <v/>
      </c>
      <c r="AG452" s="375"/>
      <c r="AH452" s="375" t="str">
        <f>IF(B452="", "",'Lighting Inventory (Ref only)'!Z463)</f>
        <v/>
      </c>
      <c r="AI452" s="375" t="str">
        <f>IF(B452="", "", 'Lighting Inventory (Ref only)'!Y463)</f>
        <v/>
      </c>
      <c r="AJ452" s="375" t="str">
        <f>IF(C452="", "",'Lighting Inventory (Ref only)'!AB463)</f>
        <v/>
      </c>
      <c r="AK452" s="375" t="str">
        <f>IF(B452="", "", 'Lighting Inventory (Ref only)'!AG463)</f>
        <v/>
      </c>
      <c r="AL452" s="375" t="str">
        <f>IF(B452="", "", 'Lighting Inventory (Ref only)'!AD463)</f>
        <v/>
      </c>
      <c r="AM452" s="375" t="str">
        <f>IF(B452="", "", 'Lighting Inventory (Ref only)'!AE463)</f>
        <v/>
      </c>
      <c r="AN452" s="375" t="str">
        <f>IF(B452="", "", 'Lighting Inventory (Ref only)'!AF463)</f>
        <v/>
      </c>
      <c r="AO452" s="375" t="str">
        <f>IF(B452="", "", 'Lighting Inventory (Ref only)'!AG463)</f>
        <v/>
      </c>
    </row>
    <row r="453" spans="1:41">
      <c r="A453" s="298" t="str">
        <f>IF(G453="", "", Lookups!BF455)</f>
        <v/>
      </c>
      <c r="B453" s="298" t="str">
        <f>IF('Lighting Inventory (Ref only)'!Q464="", "", 'Lighting Inventory (Ref only)'!Q464)</f>
        <v/>
      </c>
      <c r="C453" s="298" t="str">
        <f>IF(A453="", "", 'Lighting Inventory (Ref only)'!AO464)</f>
        <v/>
      </c>
      <c r="D453" s="370" t="str">
        <f>IF(B453= "","", Inventory!S461)</f>
        <v/>
      </c>
      <c r="E453" s="371"/>
      <c r="F453" s="298" t="str">
        <f>IF(B453="", "", 'Version Log'!$B$34)</f>
        <v/>
      </c>
      <c r="G453" s="298" t="str">
        <f t="shared" si="28"/>
        <v/>
      </c>
      <c r="H453" s="298" t="str">
        <f t="shared" si="29"/>
        <v/>
      </c>
      <c r="I453" s="298" t="str">
        <f>IF(B453="", "",Inventory!D461)</f>
        <v/>
      </c>
      <c r="J453" s="298" t="str">
        <f>IF(B453="","",IF(Inventory!C461="N","Interior","Exterior"))</f>
        <v/>
      </c>
      <c r="K453" s="298" t="str">
        <f t="shared" si="30"/>
        <v/>
      </c>
      <c r="L453" s="298" t="str">
        <f>IF(B453="", "", Inventory!E461)</f>
        <v/>
      </c>
      <c r="M453" s="298" t="str">
        <f>IF(B453="","",IF(Cool_Type=Lookups!$L$9,Cool_Type,IF(Cool_Type=Lookups!$L$10,Cool_Type,IF(Cool_Type=Lookups!$L$11,Cool_Type,IF(Cool_Type=Lookups!L463,Cool_Type,IF('Project Info and Summary'!$C$20="Electric",CONCATENATE(Cool_Type," ",Heating_Type," Heat"),IF('Project Info and Summary'!$C$20="Non-Electric",CONCATENATE(Cool_Type," ",Heating_Type," Heat"),CONCATENATE(Cool_Type," ",Heating_Type))))))))</f>
        <v/>
      </c>
      <c r="N453" s="298" t="str">
        <f t="shared" si="31"/>
        <v/>
      </c>
      <c r="O453" s="298" t="str">
        <f>IF(B453="", "", 'Lighting Inventory (Ref only)'!G464)</f>
        <v/>
      </c>
      <c r="P453" s="298" t="str">
        <f>IF(B453="", "", 'Lighting Inventory (Ref only)'!E464)</f>
        <v/>
      </c>
      <c r="Q453" s="298" t="str">
        <f>IF(B453="", "", 'Lighting Inventory (Ref only)'!J464)</f>
        <v/>
      </c>
      <c r="R453" s="298" t="str">
        <f>IF(B453="", "",'Lighting Inventory (Ref only)'!K464)</f>
        <v/>
      </c>
      <c r="S453" s="372" t="str">
        <f>IF(B453="", "", 'Lighting Inventory (Ref only)'!G464*'Lighting Inventory (Ref only)'!K464/1000)</f>
        <v/>
      </c>
      <c r="T453" s="298" t="str">
        <f>IF(B453="", "", IF('Lighting Inventory (Ref only)'!I464="", "Light Switch",Inventory!H461))</f>
        <v/>
      </c>
      <c r="W453" s="373"/>
      <c r="X453" s="298" t="str">
        <f>IF(B453="", "", 'Lighting Inventory (Ref only)'!Q464)</f>
        <v/>
      </c>
      <c r="Z453" s="374"/>
      <c r="AA453" s="372" t="str">
        <f>IF(B453="", "",'Lighting Inventory (Ref only)'!R464/1000)</f>
        <v/>
      </c>
      <c r="AB453" s="372" t="str">
        <f>IF(B453="", "", Inventory!M461)</f>
        <v/>
      </c>
      <c r="AC453" s="374" t="str">
        <f>IF(B453="", "", 'Lighting Inventory (Ref only)'!T464)</f>
        <v/>
      </c>
      <c r="AD453" s="374" t="str">
        <f>IF(C453="", "", 'Lighting Inventory (Ref only)'!AA464)</f>
        <v/>
      </c>
      <c r="AE453" s="375" t="str">
        <f>IF(B453="", "", 'Lighting Inventory (Ref only)'!U464)</f>
        <v/>
      </c>
      <c r="AF453" s="375" t="str">
        <f>IF(B453="", "",'Lighting Inventory (Ref only)'!W464)</f>
        <v/>
      </c>
      <c r="AG453" s="375"/>
      <c r="AH453" s="375" t="str">
        <f>IF(B453="", "",'Lighting Inventory (Ref only)'!Z464)</f>
        <v/>
      </c>
      <c r="AI453" s="375" t="str">
        <f>IF(B453="", "", 'Lighting Inventory (Ref only)'!Y464)</f>
        <v/>
      </c>
      <c r="AJ453" s="375" t="str">
        <f>IF(C453="", "",'Lighting Inventory (Ref only)'!AB464)</f>
        <v/>
      </c>
      <c r="AK453" s="375" t="str">
        <f>IF(B453="", "", 'Lighting Inventory (Ref only)'!AG464)</f>
        <v/>
      </c>
      <c r="AL453" s="375" t="str">
        <f>IF(B453="", "", 'Lighting Inventory (Ref only)'!AD464)</f>
        <v/>
      </c>
      <c r="AM453" s="375" t="str">
        <f>IF(B453="", "", 'Lighting Inventory (Ref only)'!AE464)</f>
        <v/>
      </c>
      <c r="AN453" s="375" t="str">
        <f>IF(B453="", "", 'Lighting Inventory (Ref only)'!AF464)</f>
        <v/>
      </c>
      <c r="AO453" s="375" t="str">
        <f>IF(B453="", "", 'Lighting Inventory (Ref only)'!AG464)</f>
        <v/>
      </c>
    </row>
    <row r="454" spans="1:41">
      <c r="A454" s="298" t="str">
        <f>IF(G454="", "", Lookups!BF456)</f>
        <v/>
      </c>
      <c r="B454" s="298" t="str">
        <f>IF('Lighting Inventory (Ref only)'!Q465="", "", 'Lighting Inventory (Ref only)'!Q465)</f>
        <v/>
      </c>
      <c r="C454" s="298" t="str">
        <f>IF(A454="", "", 'Lighting Inventory (Ref only)'!AO465)</f>
        <v/>
      </c>
      <c r="D454" s="370" t="str">
        <f>IF(B454= "","", Inventory!S462)</f>
        <v/>
      </c>
      <c r="E454" s="371"/>
      <c r="F454" s="298" t="str">
        <f>IF(B454="", "", 'Version Log'!$B$34)</f>
        <v/>
      </c>
      <c r="G454" s="298" t="str">
        <f t="shared" si="28"/>
        <v/>
      </c>
      <c r="H454" s="298" t="str">
        <f t="shared" si="29"/>
        <v/>
      </c>
      <c r="I454" s="298" t="str">
        <f>IF(B454="", "",Inventory!D462)</f>
        <v/>
      </c>
      <c r="J454" s="298" t="str">
        <f>IF(B454="","",IF(Inventory!C462="N","Interior","Exterior"))</f>
        <v/>
      </c>
      <c r="K454" s="298" t="str">
        <f t="shared" si="30"/>
        <v/>
      </c>
      <c r="L454" s="298" t="str">
        <f>IF(B454="", "", Inventory!E462)</f>
        <v/>
      </c>
      <c r="M454" s="298" t="str">
        <f>IF(B454="","",IF(Cool_Type=Lookups!$L$9,Cool_Type,IF(Cool_Type=Lookups!$L$10,Cool_Type,IF(Cool_Type=Lookups!$L$11,Cool_Type,IF(Cool_Type=Lookups!L464,Cool_Type,IF('Project Info and Summary'!$C$20="Electric",CONCATENATE(Cool_Type," ",Heating_Type," Heat"),IF('Project Info and Summary'!$C$20="Non-Electric",CONCATENATE(Cool_Type," ",Heating_Type," Heat"),CONCATENATE(Cool_Type," ",Heating_Type))))))))</f>
        <v/>
      </c>
      <c r="N454" s="298" t="str">
        <f t="shared" si="31"/>
        <v/>
      </c>
      <c r="O454" s="298" t="str">
        <f>IF(B454="", "", 'Lighting Inventory (Ref only)'!G465)</f>
        <v/>
      </c>
      <c r="P454" s="298" t="str">
        <f>IF(B454="", "", 'Lighting Inventory (Ref only)'!E465)</f>
        <v/>
      </c>
      <c r="Q454" s="298" t="str">
        <f>IF(B454="", "", 'Lighting Inventory (Ref only)'!J465)</f>
        <v/>
      </c>
      <c r="R454" s="298" t="str">
        <f>IF(B454="", "",'Lighting Inventory (Ref only)'!K465)</f>
        <v/>
      </c>
      <c r="S454" s="372" t="str">
        <f>IF(B454="", "", 'Lighting Inventory (Ref only)'!G465*'Lighting Inventory (Ref only)'!K465/1000)</f>
        <v/>
      </c>
      <c r="T454" s="298" t="str">
        <f>IF(B454="", "", IF('Lighting Inventory (Ref only)'!I465="", "Light Switch",Inventory!H462))</f>
        <v/>
      </c>
      <c r="W454" s="373"/>
      <c r="X454" s="298" t="str">
        <f>IF(B454="", "", 'Lighting Inventory (Ref only)'!Q465)</f>
        <v/>
      </c>
      <c r="Z454" s="374"/>
      <c r="AA454" s="372" t="str">
        <f>IF(B454="", "",'Lighting Inventory (Ref only)'!R465/1000)</f>
        <v/>
      </c>
      <c r="AB454" s="372" t="str">
        <f>IF(B454="", "", Inventory!M462)</f>
        <v/>
      </c>
      <c r="AC454" s="374" t="str">
        <f>IF(B454="", "", 'Lighting Inventory (Ref only)'!T465)</f>
        <v/>
      </c>
      <c r="AD454" s="374" t="str">
        <f>IF(C454="", "", 'Lighting Inventory (Ref only)'!AA465)</f>
        <v/>
      </c>
      <c r="AE454" s="375" t="str">
        <f>IF(B454="", "", 'Lighting Inventory (Ref only)'!U465)</f>
        <v/>
      </c>
      <c r="AF454" s="375" t="str">
        <f>IF(B454="", "",'Lighting Inventory (Ref only)'!W465)</f>
        <v/>
      </c>
      <c r="AG454" s="375"/>
      <c r="AH454" s="375" t="str">
        <f>IF(B454="", "",'Lighting Inventory (Ref only)'!Z465)</f>
        <v/>
      </c>
      <c r="AI454" s="375" t="str">
        <f>IF(B454="", "", 'Lighting Inventory (Ref only)'!Y465)</f>
        <v/>
      </c>
      <c r="AJ454" s="375" t="str">
        <f>IF(C454="", "",'Lighting Inventory (Ref only)'!AB465)</f>
        <v/>
      </c>
      <c r="AK454" s="375" t="str">
        <f>IF(B454="", "", 'Lighting Inventory (Ref only)'!AG465)</f>
        <v/>
      </c>
      <c r="AL454" s="375" t="str">
        <f>IF(B454="", "", 'Lighting Inventory (Ref only)'!AD465)</f>
        <v/>
      </c>
      <c r="AM454" s="375" t="str">
        <f>IF(B454="", "", 'Lighting Inventory (Ref only)'!AE465)</f>
        <v/>
      </c>
      <c r="AN454" s="375" t="str">
        <f>IF(B454="", "", 'Lighting Inventory (Ref only)'!AF465)</f>
        <v/>
      </c>
      <c r="AO454" s="375" t="str">
        <f>IF(B454="", "", 'Lighting Inventory (Ref only)'!AG465)</f>
        <v/>
      </c>
    </row>
    <row r="455" spans="1:41">
      <c r="A455" s="298" t="str">
        <f>IF(G455="", "", Lookups!BF457)</f>
        <v/>
      </c>
      <c r="B455" s="298" t="str">
        <f>IF('Lighting Inventory (Ref only)'!Q466="", "", 'Lighting Inventory (Ref only)'!Q466)</f>
        <v/>
      </c>
      <c r="C455" s="298" t="str">
        <f>IF(A455="", "", 'Lighting Inventory (Ref only)'!AO466)</f>
        <v/>
      </c>
      <c r="D455" s="370" t="str">
        <f>IF(B455= "","", Inventory!S463)</f>
        <v/>
      </c>
      <c r="E455" s="371"/>
      <c r="F455" s="298" t="str">
        <f>IF(B455="", "", 'Version Log'!$B$34)</f>
        <v/>
      </c>
      <c r="G455" s="298" t="str">
        <f t="shared" si="28"/>
        <v/>
      </c>
      <c r="H455" s="298" t="str">
        <f t="shared" si="29"/>
        <v/>
      </c>
      <c r="I455" s="298" t="str">
        <f>IF(B455="", "",Inventory!D463)</f>
        <v/>
      </c>
      <c r="J455" s="298" t="str">
        <f>IF(B455="","",IF(Inventory!C463="N","Interior","Exterior"))</f>
        <v/>
      </c>
      <c r="K455" s="298" t="str">
        <f t="shared" si="30"/>
        <v/>
      </c>
      <c r="L455" s="298" t="str">
        <f>IF(B455="", "", Inventory!E463)</f>
        <v/>
      </c>
      <c r="M455" s="298" t="str">
        <f>IF(B455="","",IF(Cool_Type=Lookups!$L$9,Cool_Type,IF(Cool_Type=Lookups!$L$10,Cool_Type,IF(Cool_Type=Lookups!$L$11,Cool_Type,IF(Cool_Type=Lookups!L465,Cool_Type,IF('Project Info and Summary'!$C$20="Electric",CONCATENATE(Cool_Type," ",Heating_Type," Heat"),IF('Project Info and Summary'!$C$20="Non-Electric",CONCATENATE(Cool_Type," ",Heating_Type," Heat"),CONCATENATE(Cool_Type," ",Heating_Type))))))))</f>
        <v/>
      </c>
      <c r="N455" s="298" t="str">
        <f t="shared" si="31"/>
        <v/>
      </c>
      <c r="O455" s="298" t="str">
        <f>IF(B455="", "", 'Lighting Inventory (Ref only)'!G466)</f>
        <v/>
      </c>
      <c r="P455" s="298" t="str">
        <f>IF(B455="", "", 'Lighting Inventory (Ref only)'!E466)</f>
        <v/>
      </c>
      <c r="Q455" s="298" t="str">
        <f>IF(B455="", "", 'Lighting Inventory (Ref only)'!J466)</f>
        <v/>
      </c>
      <c r="R455" s="298" t="str">
        <f>IF(B455="", "",'Lighting Inventory (Ref only)'!K466)</f>
        <v/>
      </c>
      <c r="S455" s="372" t="str">
        <f>IF(B455="", "", 'Lighting Inventory (Ref only)'!G466*'Lighting Inventory (Ref only)'!K466/1000)</f>
        <v/>
      </c>
      <c r="T455" s="298" t="str">
        <f>IF(B455="", "", IF('Lighting Inventory (Ref only)'!I466="", "Light Switch",Inventory!H463))</f>
        <v/>
      </c>
      <c r="W455" s="373"/>
      <c r="X455" s="298" t="str">
        <f>IF(B455="", "", 'Lighting Inventory (Ref only)'!Q466)</f>
        <v/>
      </c>
      <c r="Z455" s="374"/>
      <c r="AA455" s="372" t="str">
        <f>IF(B455="", "",'Lighting Inventory (Ref only)'!R466/1000)</f>
        <v/>
      </c>
      <c r="AB455" s="372" t="str">
        <f>IF(B455="", "", Inventory!M463)</f>
        <v/>
      </c>
      <c r="AC455" s="374" t="str">
        <f>IF(B455="", "", 'Lighting Inventory (Ref only)'!T466)</f>
        <v/>
      </c>
      <c r="AD455" s="374" t="str">
        <f>IF(C455="", "", 'Lighting Inventory (Ref only)'!AA466)</f>
        <v/>
      </c>
      <c r="AE455" s="375" t="str">
        <f>IF(B455="", "", 'Lighting Inventory (Ref only)'!U466)</f>
        <v/>
      </c>
      <c r="AF455" s="375" t="str">
        <f>IF(B455="", "",'Lighting Inventory (Ref only)'!W466)</f>
        <v/>
      </c>
      <c r="AG455" s="375"/>
      <c r="AH455" s="375" t="str">
        <f>IF(B455="", "",'Lighting Inventory (Ref only)'!Z466)</f>
        <v/>
      </c>
      <c r="AI455" s="375" t="str">
        <f>IF(B455="", "", 'Lighting Inventory (Ref only)'!Y466)</f>
        <v/>
      </c>
      <c r="AJ455" s="375" t="str">
        <f>IF(C455="", "",'Lighting Inventory (Ref only)'!AB466)</f>
        <v/>
      </c>
      <c r="AK455" s="375" t="str">
        <f>IF(B455="", "", 'Lighting Inventory (Ref only)'!AG466)</f>
        <v/>
      </c>
      <c r="AL455" s="375" t="str">
        <f>IF(B455="", "", 'Lighting Inventory (Ref only)'!AD466)</f>
        <v/>
      </c>
      <c r="AM455" s="375" t="str">
        <f>IF(B455="", "", 'Lighting Inventory (Ref only)'!AE466)</f>
        <v/>
      </c>
      <c r="AN455" s="375" t="str">
        <f>IF(B455="", "", 'Lighting Inventory (Ref only)'!AF466)</f>
        <v/>
      </c>
      <c r="AO455" s="375" t="str">
        <f>IF(B455="", "", 'Lighting Inventory (Ref only)'!AG466)</f>
        <v/>
      </c>
    </row>
    <row r="456" spans="1:41">
      <c r="A456" s="298" t="str">
        <f>IF(G456="", "", Lookups!BF458)</f>
        <v/>
      </c>
      <c r="B456" s="298" t="str">
        <f>IF('Lighting Inventory (Ref only)'!Q467="", "", 'Lighting Inventory (Ref only)'!Q467)</f>
        <v/>
      </c>
      <c r="C456" s="298" t="str">
        <f>IF(A456="", "", 'Lighting Inventory (Ref only)'!AO467)</f>
        <v/>
      </c>
      <c r="D456" s="370" t="str">
        <f>IF(B456= "","", Inventory!S464)</f>
        <v/>
      </c>
      <c r="E456" s="371"/>
      <c r="F456" s="298" t="str">
        <f>IF(B456="", "", 'Version Log'!$B$34)</f>
        <v/>
      </c>
      <c r="G456" s="298" t="str">
        <f t="shared" si="28"/>
        <v/>
      </c>
      <c r="H456" s="298" t="str">
        <f t="shared" si="29"/>
        <v/>
      </c>
      <c r="I456" s="298" t="str">
        <f>IF(B456="", "",Inventory!D464)</f>
        <v/>
      </c>
      <c r="J456" s="298" t="str">
        <f>IF(B456="","",IF(Inventory!C464="N","Interior","Exterior"))</f>
        <v/>
      </c>
      <c r="K456" s="298" t="str">
        <f t="shared" si="30"/>
        <v/>
      </c>
      <c r="L456" s="298" t="str">
        <f>IF(B456="", "", Inventory!E464)</f>
        <v/>
      </c>
      <c r="M456" s="298" t="str">
        <f>IF(B456="","",IF(Cool_Type=Lookups!$L$9,Cool_Type,IF(Cool_Type=Lookups!$L$10,Cool_Type,IF(Cool_Type=Lookups!$L$11,Cool_Type,IF(Cool_Type=Lookups!L466,Cool_Type,IF('Project Info and Summary'!$C$20="Electric",CONCATENATE(Cool_Type," ",Heating_Type," Heat"),IF('Project Info and Summary'!$C$20="Non-Electric",CONCATENATE(Cool_Type," ",Heating_Type," Heat"),CONCATENATE(Cool_Type," ",Heating_Type))))))))</f>
        <v/>
      </c>
      <c r="N456" s="298" t="str">
        <f t="shared" si="31"/>
        <v/>
      </c>
      <c r="O456" s="298" t="str">
        <f>IF(B456="", "", 'Lighting Inventory (Ref only)'!G467)</f>
        <v/>
      </c>
      <c r="P456" s="298" t="str">
        <f>IF(B456="", "", 'Lighting Inventory (Ref only)'!E467)</f>
        <v/>
      </c>
      <c r="Q456" s="298" t="str">
        <f>IF(B456="", "", 'Lighting Inventory (Ref only)'!J467)</f>
        <v/>
      </c>
      <c r="R456" s="298" t="str">
        <f>IF(B456="", "",'Lighting Inventory (Ref only)'!K467)</f>
        <v/>
      </c>
      <c r="S456" s="372" t="str">
        <f>IF(B456="", "", 'Lighting Inventory (Ref only)'!G467*'Lighting Inventory (Ref only)'!K467/1000)</f>
        <v/>
      </c>
      <c r="T456" s="298" t="str">
        <f>IF(B456="", "", IF('Lighting Inventory (Ref only)'!I467="", "Light Switch",Inventory!H464))</f>
        <v/>
      </c>
      <c r="W456" s="373"/>
      <c r="X456" s="298" t="str">
        <f>IF(B456="", "", 'Lighting Inventory (Ref only)'!Q467)</f>
        <v/>
      </c>
      <c r="Z456" s="374"/>
      <c r="AA456" s="372" t="str">
        <f>IF(B456="", "",'Lighting Inventory (Ref only)'!R467/1000)</f>
        <v/>
      </c>
      <c r="AB456" s="372" t="str">
        <f>IF(B456="", "", Inventory!M464)</f>
        <v/>
      </c>
      <c r="AC456" s="374" t="str">
        <f>IF(B456="", "", 'Lighting Inventory (Ref only)'!T467)</f>
        <v/>
      </c>
      <c r="AD456" s="374" t="str">
        <f>IF(C456="", "", 'Lighting Inventory (Ref only)'!AA467)</f>
        <v/>
      </c>
      <c r="AE456" s="375" t="str">
        <f>IF(B456="", "", 'Lighting Inventory (Ref only)'!U467)</f>
        <v/>
      </c>
      <c r="AF456" s="375" t="str">
        <f>IF(B456="", "",'Lighting Inventory (Ref only)'!W467)</f>
        <v/>
      </c>
      <c r="AG456" s="375"/>
      <c r="AH456" s="375" t="str">
        <f>IF(B456="", "",'Lighting Inventory (Ref only)'!Z467)</f>
        <v/>
      </c>
      <c r="AI456" s="375" t="str">
        <f>IF(B456="", "", 'Lighting Inventory (Ref only)'!Y467)</f>
        <v/>
      </c>
      <c r="AJ456" s="375" t="str">
        <f>IF(C456="", "",'Lighting Inventory (Ref only)'!AB467)</f>
        <v/>
      </c>
      <c r="AK456" s="375" t="str">
        <f>IF(B456="", "", 'Lighting Inventory (Ref only)'!AG467)</f>
        <v/>
      </c>
      <c r="AL456" s="375" t="str">
        <f>IF(B456="", "", 'Lighting Inventory (Ref only)'!AD467)</f>
        <v/>
      </c>
      <c r="AM456" s="375" t="str">
        <f>IF(B456="", "", 'Lighting Inventory (Ref only)'!AE467)</f>
        <v/>
      </c>
      <c r="AN456" s="375" t="str">
        <f>IF(B456="", "", 'Lighting Inventory (Ref only)'!AF467)</f>
        <v/>
      </c>
      <c r="AO456" s="375" t="str">
        <f>IF(B456="", "", 'Lighting Inventory (Ref only)'!AG467)</f>
        <v/>
      </c>
    </row>
    <row r="457" spans="1:41">
      <c r="A457" s="298" t="str">
        <f>IF(G457="", "", Lookups!BF459)</f>
        <v/>
      </c>
      <c r="B457" s="298" t="str">
        <f>IF('Lighting Inventory (Ref only)'!Q468="", "", 'Lighting Inventory (Ref only)'!Q468)</f>
        <v/>
      </c>
      <c r="C457" s="298" t="str">
        <f>IF(A457="", "", 'Lighting Inventory (Ref only)'!AO468)</f>
        <v/>
      </c>
      <c r="D457" s="370" t="str">
        <f>IF(B457= "","", Inventory!S465)</f>
        <v/>
      </c>
      <c r="E457" s="371"/>
      <c r="F457" s="298" t="str">
        <f>IF(B457="", "", 'Version Log'!$B$34)</f>
        <v/>
      </c>
      <c r="G457" s="298" t="str">
        <f t="shared" si="28"/>
        <v/>
      </c>
      <c r="H457" s="298" t="str">
        <f t="shared" si="29"/>
        <v/>
      </c>
      <c r="I457" s="298" t="str">
        <f>IF(B457="", "",Inventory!D465)</f>
        <v/>
      </c>
      <c r="J457" s="298" t="str">
        <f>IF(B457="","",IF(Inventory!C465="N","Interior","Exterior"))</f>
        <v/>
      </c>
      <c r="K457" s="298" t="str">
        <f t="shared" si="30"/>
        <v/>
      </c>
      <c r="L457" s="298" t="str">
        <f>IF(B457="", "", Inventory!E465)</f>
        <v/>
      </c>
      <c r="M457" s="298" t="str">
        <f>IF(B457="","",IF(Cool_Type=Lookups!$L$9,Cool_Type,IF(Cool_Type=Lookups!$L$10,Cool_Type,IF(Cool_Type=Lookups!$L$11,Cool_Type,IF(Cool_Type=Lookups!L467,Cool_Type,IF('Project Info and Summary'!$C$20="Electric",CONCATENATE(Cool_Type," ",Heating_Type," Heat"),IF('Project Info and Summary'!$C$20="Non-Electric",CONCATENATE(Cool_Type," ",Heating_Type," Heat"),CONCATENATE(Cool_Type," ",Heating_Type))))))))</f>
        <v/>
      </c>
      <c r="N457" s="298" t="str">
        <f t="shared" si="31"/>
        <v/>
      </c>
      <c r="O457" s="298" t="str">
        <f>IF(B457="", "", 'Lighting Inventory (Ref only)'!G468)</f>
        <v/>
      </c>
      <c r="P457" s="298" t="str">
        <f>IF(B457="", "", 'Lighting Inventory (Ref only)'!E468)</f>
        <v/>
      </c>
      <c r="Q457" s="298" t="str">
        <f>IF(B457="", "", 'Lighting Inventory (Ref only)'!J468)</f>
        <v/>
      </c>
      <c r="R457" s="298" t="str">
        <f>IF(B457="", "",'Lighting Inventory (Ref only)'!K468)</f>
        <v/>
      </c>
      <c r="S457" s="372" t="str">
        <f>IF(B457="", "", 'Lighting Inventory (Ref only)'!G468*'Lighting Inventory (Ref only)'!K468/1000)</f>
        <v/>
      </c>
      <c r="T457" s="298" t="str">
        <f>IF(B457="", "", IF('Lighting Inventory (Ref only)'!I468="", "Light Switch",Inventory!H465))</f>
        <v/>
      </c>
      <c r="W457" s="373"/>
      <c r="X457" s="298" t="str">
        <f>IF(B457="", "", 'Lighting Inventory (Ref only)'!Q468)</f>
        <v/>
      </c>
      <c r="Z457" s="374"/>
      <c r="AA457" s="372" t="str">
        <f>IF(B457="", "",'Lighting Inventory (Ref only)'!R468/1000)</f>
        <v/>
      </c>
      <c r="AB457" s="372" t="str">
        <f>IF(B457="", "", Inventory!M465)</f>
        <v/>
      </c>
      <c r="AC457" s="374" t="str">
        <f>IF(B457="", "", 'Lighting Inventory (Ref only)'!T468)</f>
        <v/>
      </c>
      <c r="AD457" s="374" t="str">
        <f>IF(C457="", "", 'Lighting Inventory (Ref only)'!AA468)</f>
        <v/>
      </c>
      <c r="AE457" s="375" t="str">
        <f>IF(B457="", "", 'Lighting Inventory (Ref only)'!U468)</f>
        <v/>
      </c>
      <c r="AF457" s="375" t="str">
        <f>IF(B457="", "",'Lighting Inventory (Ref only)'!W468)</f>
        <v/>
      </c>
      <c r="AG457" s="375"/>
      <c r="AH457" s="375" t="str">
        <f>IF(B457="", "",'Lighting Inventory (Ref only)'!Z468)</f>
        <v/>
      </c>
      <c r="AI457" s="375" t="str">
        <f>IF(B457="", "", 'Lighting Inventory (Ref only)'!Y468)</f>
        <v/>
      </c>
      <c r="AJ457" s="375" t="str">
        <f>IF(C457="", "",'Lighting Inventory (Ref only)'!AB468)</f>
        <v/>
      </c>
      <c r="AK457" s="375" t="str">
        <f>IF(B457="", "", 'Lighting Inventory (Ref only)'!AG468)</f>
        <v/>
      </c>
      <c r="AL457" s="375" t="str">
        <f>IF(B457="", "", 'Lighting Inventory (Ref only)'!AD468)</f>
        <v/>
      </c>
      <c r="AM457" s="375" t="str">
        <f>IF(B457="", "", 'Lighting Inventory (Ref only)'!AE468)</f>
        <v/>
      </c>
      <c r="AN457" s="375" t="str">
        <f>IF(B457="", "", 'Lighting Inventory (Ref only)'!AF468)</f>
        <v/>
      </c>
      <c r="AO457" s="375" t="str">
        <f>IF(B457="", "", 'Lighting Inventory (Ref only)'!AG468)</f>
        <v/>
      </c>
    </row>
    <row r="458" spans="1:41">
      <c r="A458" s="298" t="str">
        <f>IF(G458="", "", Lookups!BF460)</f>
        <v/>
      </c>
      <c r="B458" s="298" t="str">
        <f>IF('Lighting Inventory (Ref only)'!Q469="", "", 'Lighting Inventory (Ref only)'!Q469)</f>
        <v/>
      </c>
      <c r="C458" s="298" t="str">
        <f>IF(A458="", "", 'Lighting Inventory (Ref only)'!AO469)</f>
        <v/>
      </c>
      <c r="D458" s="370" t="str">
        <f>IF(B458= "","", Inventory!S466)</f>
        <v/>
      </c>
      <c r="E458" s="371"/>
      <c r="F458" s="298" t="str">
        <f>IF(B458="", "", 'Version Log'!$B$34)</f>
        <v/>
      </c>
      <c r="G458" s="298" t="str">
        <f t="shared" si="28"/>
        <v/>
      </c>
      <c r="H458" s="298" t="str">
        <f t="shared" si="29"/>
        <v/>
      </c>
      <c r="I458" s="298" t="str">
        <f>IF(B458="", "",Inventory!D466)</f>
        <v/>
      </c>
      <c r="J458" s="298" t="str">
        <f>IF(B458="","",IF(Inventory!C466="N","Interior","Exterior"))</f>
        <v/>
      </c>
      <c r="K458" s="298" t="str">
        <f t="shared" si="30"/>
        <v/>
      </c>
      <c r="L458" s="298" t="str">
        <f>IF(B458="", "", Inventory!E466)</f>
        <v/>
      </c>
      <c r="M458" s="298" t="str">
        <f>IF(B458="","",IF(Cool_Type=Lookups!$L$9,Cool_Type,IF(Cool_Type=Lookups!$L$10,Cool_Type,IF(Cool_Type=Lookups!$L$11,Cool_Type,IF(Cool_Type=Lookups!L468,Cool_Type,IF('Project Info and Summary'!$C$20="Electric",CONCATENATE(Cool_Type," ",Heating_Type," Heat"),IF('Project Info and Summary'!$C$20="Non-Electric",CONCATENATE(Cool_Type," ",Heating_Type," Heat"),CONCATENATE(Cool_Type," ",Heating_Type))))))))</f>
        <v/>
      </c>
      <c r="N458" s="298" t="str">
        <f t="shared" si="31"/>
        <v/>
      </c>
      <c r="O458" s="298" t="str">
        <f>IF(B458="", "", 'Lighting Inventory (Ref only)'!G469)</f>
        <v/>
      </c>
      <c r="P458" s="298" t="str">
        <f>IF(B458="", "", 'Lighting Inventory (Ref only)'!E469)</f>
        <v/>
      </c>
      <c r="Q458" s="298" t="str">
        <f>IF(B458="", "", 'Lighting Inventory (Ref only)'!J469)</f>
        <v/>
      </c>
      <c r="R458" s="298" t="str">
        <f>IF(B458="", "",'Lighting Inventory (Ref only)'!K469)</f>
        <v/>
      </c>
      <c r="S458" s="372" t="str">
        <f>IF(B458="", "", 'Lighting Inventory (Ref only)'!G469*'Lighting Inventory (Ref only)'!K469/1000)</f>
        <v/>
      </c>
      <c r="T458" s="298" t="str">
        <f>IF(B458="", "", IF('Lighting Inventory (Ref only)'!I469="", "Light Switch",Inventory!H466))</f>
        <v/>
      </c>
      <c r="W458" s="373"/>
      <c r="X458" s="298" t="str">
        <f>IF(B458="", "", 'Lighting Inventory (Ref only)'!Q469)</f>
        <v/>
      </c>
      <c r="Z458" s="374"/>
      <c r="AA458" s="372" t="str">
        <f>IF(B458="", "",'Lighting Inventory (Ref only)'!R469/1000)</f>
        <v/>
      </c>
      <c r="AB458" s="372" t="str">
        <f>IF(B458="", "", Inventory!M466)</f>
        <v/>
      </c>
      <c r="AC458" s="374" t="str">
        <f>IF(B458="", "", 'Lighting Inventory (Ref only)'!T469)</f>
        <v/>
      </c>
      <c r="AD458" s="374" t="str">
        <f>IF(C458="", "", 'Lighting Inventory (Ref only)'!AA469)</f>
        <v/>
      </c>
      <c r="AE458" s="375" t="str">
        <f>IF(B458="", "", 'Lighting Inventory (Ref only)'!U469)</f>
        <v/>
      </c>
      <c r="AF458" s="375" t="str">
        <f>IF(B458="", "",'Lighting Inventory (Ref only)'!W469)</f>
        <v/>
      </c>
      <c r="AG458" s="375"/>
      <c r="AH458" s="375" t="str">
        <f>IF(B458="", "",'Lighting Inventory (Ref only)'!Z469)</f>
        <v/>
      </c>
      <c r="AI458" s="375" t="str">
        <f>IF(B458="", "", 'Lighting Inventory (Ref only)'!Y469)</f>
        <v/>
      </c>
      <c r="AJ458" s="375" t="str">
        <f>IF(C458="", "",'Lighting Inventory (Ref only)'!AB469)</f>
        <v/>
      </c>
      <c r="AK458" s="375" t="str">
        <f>IF(B458="", "", 'Lighting Inventory (Ref only)'!AG469)</f>
        <v/>
      </c>
      <c r="AL458" s="375" t="str">
        <f>IF(B458="", "", 'Lighting Inventory (Ref only)'!AD469)</f>
        <v/>
      </c>
      <c r="AM458" s="375" t="str">
        <f>IF(B458="", "", 'Lighting Inventory (Ref only)'!AE469)</f>
        <v/>
      </c>
      <c r="AN458" s="375" t="str">
        <f>IF(B458="", "", 'Lighting Inventory (Ref only)'!AF469)</f>
        <v/>
      </c>
      <c r="AO458" s="375" t="str">
        <f>IF(B458="", "", 'Lighting Inventory (Ref only)'!AG469)</f>
        <v/>
      </c>
    </row>
    <row r="459" spans="1:41">
      <c r="A459" s="298" t="str">
        <f>IF(G459="", "", Lookups!BF461)</f>
        <v/>
      </c>
      <c r="B459" s="298" t="str">
        <f>IF('Lighting Inventory (Ref only)'!Q470="", "", 'Lighting Inventory (Ref only)'!Q470)</f>
        <v/>
      </c>
      <c r="C459" s="298" t="str">
        <f>IF(A459="", "", 'Lighting Inventory (Ref only)'!AO470)</f>
        <v/>
      </c>
      <c r="D459" s="370" t="str">
        <f>IF(B459= "","", Inventory!S467)</f>
        <v/>
      </c>
      <c r="E459" s="371"/>
      <c r="F459" s="298" t="str">
        <f>IF(B459="", "", 'Version Log'!$B$34)</f>
        <v/>
      </c>
      <c r="G459" s="298" t="str">
        <f t="shared" si="28"/>
        <v/>
      </c>
      <c r="H459" s="298" t="str">
        <f t="shared" si="29"/>
        <v/>
      </c>
      <c r="I459" s="298" t="str">
        <f>IF(B459="", "",Inventory!D467)</f>
        <v/>
      </c>
      <c r="J459" s="298" t="str">
        <f>IF(B459="","",IF(Inventory!C467="N","Interior","Exterior"))</f>
        <v/>
      </c>
      <c r="K459" s="298" t="str">
        <f t="shared" si="30"/>
        <v/>
      </c>
      <c r="L459" s="298" t="str">
        <f>IF(B459="", "", Inventory!E467)</f>
        <v/>
      </c>
      <c r="M459" s="298" t="str">
        <f>IF(B459="","",IF(Cool_Type=Lookups!$L$9,Cool_Type,IF(Cool_Type=Lookups!$L$10,Cool_Type,IF(Cool_Type=Lookups!$L$11,Cool_Type,IF(Cool_Type=Lookups!L469,Cool_Type,IF('Project Info and Summary'!$C$20="Electric",CONCATENATE(Cool_Type," ",Heating_Type," Heat"),IF('Project Info and Summary'!$C$20="Non-Electric",CONCATENATE(Cool_Type," ",Heating_Type," Heat"),CONCATENATE(Cool_Type," ",Heating_Type))))))))</f>
        <v/>
      </c>
      <c r="N459" s="298" t="str">
        <f t="shared" si="31"/>
        <v/>
      </c>
      <c r="O459" s="298" t="str">
        <f>IF(B459="", "", 'Lighting Inventory (Ref only)'!G470)</f>
        <v/>
      </c>
      <c r="P459" s="298" t="str">
        <f>IF(B459="", "", 'Lighting Inventory (Ref only)'!E470)</f>
        <v/>
      </c>
      <c r="Q459" s="298" t="str">
        <f>IF(B459="", "", 'Lighting Inventory (Ref only)'!J470)</f>
        <v/>
      </c>
      <c r="R459" s="298" t="str">
        <f>IF(B459="", "",'Lighting Inventory (Ref only)'!K470)</f>
        <v/>
      </c>
      <c r="S459" s="372" t="str">
        <f>IF(B459="", "", 'Lighting Inventory (Ref only)'!G470*'Lighting Inventory (Ref only)'!K470/1000)</f>
        <v/>
      </c>
      <c r="T459" s="298" t="str">
        <f>IF(B459="", "", IF('Lighting Inventory (Ref only)'!I470="", "Light Switch",Inventory!H467))</f>
        <v/>
      </c>
      <c r="W459" s="373"/>
      <c r="X459" s="298" t="str">
        <f>IF(B459="", "", 'Lighting Inventory (Ref only)'!Q470)</f>
        <v/>
      </c>
      <c r="Z459" s="374"/>
      <c r="AA459" s="372" t="str">
        <f>IF(B459="", "",'Lighting Inventory (Ref only)'!R470/1000)</f>
        <v/>
      </c>
      <c r="AB459" s="372" t="str">
        <f>IF(B459="", "", Inventory!M467)</f>
        <v/>
      </c>
      <c r="AC459" s="374" t="str">
        <f>IF(B459="", "", 'Lighting Inventory (Ref only)'!T470)</f>
        <v/>
      </c>
      <c r="AD459" s="374" t="str">
        <f>IF(C459="", "", 'Lighting Inventory (Ref only)'!AA470)</f>
        <v/>
      </c>
      <c r="AE459" s="375" t="str">
        <f>IF(B459="", "", 'Lighting Inventory (Ref only)'!U470)</f>
        <v/>
      </c>
      <c r="AF459" s="375" t="str">
        <f>IF(B459="", "",'Lighting Inventory (Ref only)'!W470)</f>
        <v/>
      </c>
      <c r="AG459" s="375"/>
      <c r="AH459" s="375" t="str">
        <f>IF(B459="", "",'Lighting Inventory (Ref only)'!Z470)</f>
        <v/>
      </c>
      <c r="AI459" s="375" t="str">
        <f>IF(B459="", "", 'Lighting Inventory (Ref only)'!Y470)</f>
        <v/>
      </c>
      <c r="AJ459" s="375" t="str">
        <f>IF(C459="", "",'Lighting Inventory (Ref only)'!AB470)</f>
        <v/>
      </c>
      <c r="AK459" s="375" t="str">
        <f>IF(B459="", "", 'Lighting Inventory (Ref only)'!AG470)</f>
        <v/>
      </c>
      <c r="AL459" s="375" t="str">
        <f>IF(B459="", "", 'Lighting Inventory (Ref only)'!AD470)</f>
        <v/>
      </c>
      <c r="AM459" s="375" t="str">
        <f>IF(B459="", "", 'Lighting Inventory (Ref only)'!AE470)</f>
        <v/>
      </c>
      <c r="AN459" s="375" t="str">
        <f>IF(B459="", "", 'Lighting Inventory (Ref only)'!AF470)</f>
        <v/>
      </c>
      <c r="AO459" s="375" t="str">
        <f>IF(B459="", "", 'Lighting Inventory (Ref only)'!AG470)</f>
        <v/>
      </c>
    </row>
    <row r="460" spans="1:41">
      <c r="A460" s="298" t="str">
        <f>IF(G460="", "", Lookups!BF462)</f>
        <v/>
      </c>
      <c r="B460" s="298" t="str">
        <f>IF('Lighting Inventory (Ref only)'!Q471="", "", 'Lighting Inventory (Ref only)'!Q471)</f>
        <v/>
      </c>
      <c r="C460" s="298" t="str">
        <f>IF(A460="", "", 'Lighting Inventory (Ref only)'!AO471)</f>
        <v/>
      </c>
      <c r="D460" s="370" t="str">
        <f>IF(B460= "","", Inventory!S468)</f>
        <v/>
      </c>
      <c r="E460" s="371"/>
      <c r="F460" s="298" t="str">
        <f>IF(B460="", "", 'Version Log'!$B$34)</f>
        <v/>
      </c>
      <c r="G460" s="298" t="str">
        <f t="shared" si="28"/>
        <v/>
      </c>
      <c r="H460" s="298" t="str">
        <f t="shared" si="29"/>
        <v/>
      </c>
      <c r="I460" s="298" t="str">
        <f>IF(B460="", "",Inventory!D468)</f>
        <v/>
      </c>
      <c r="J460" s="298" t="str">
        <f>IF(B460="","",IF(Inventory!C468="N","Interior","Exterior"))</f>
        <v/>
      </c>
      <c r="K460" s="298" t="str">
        <f t="shared" si="30"/>
        <v/>
      </c>
      <c r="L460" s="298" t="str">
        <f>IF(B460="", "", Inventory!E468)</f>
        <v/>
      </c>
      <c r="M460" s="298" t="str">
        <f>IF(B460="","",IF(Cool_Type=Lookups!$L$9,Cool_Type,IF(Cool_Type=Lookups!$L$10,Cool_Type,IF(Cool_Type=Lookups!$L$11,Cool_Type,IF(Cool_Type=Lookups!L470,Cool_Type,IF('Project Info and Summary'!$C$20="Electric",CONCATENATE(Cool_Type," ",Heating_Type," Heat"),IF('Project Info and Summary'!$C$20="Non-Electric",CONCATENATE(Cool_Type," ",Heating_Type," Heat"),CONCATENATE(Cool_Type," ",Heating_Type))))))))</f>
        <v/>
      </c>
      <c r="N460" s="298" t="str">
        <f t="shared" si="31"/>
        <v/>
      </c>
      <c r="O460" s="298" t="str">
        <f>IF(B460="", "", 'Lighting Inventory (Ref only)'!G471)</f>
        <v/>
      </c>
      <c r="P460" s="298" t="str">
        <f>IF(B460="", "", 'Lighting Inventory (Ref only)'!E471)</f>
        <v/>
      </c>
      <c r="Q460" s="298" t="str">
        <f>IF(B460="", "", 'Lighting Inventory (Ref only)'!J471)</f>
        <v/>
      </c>
      <c r="R460" s="298" t="str">
        <f>IF(B460="", "",'Lighting Inventory (Ref only)'!K471)</f>
        <v/>
      </c>
      <c r="S460" s="372" t="str">
        <f>IF(B460="", "", 'Lighting Inventory (Ref only)'!G471*'Lighting Inventory (Ref only)'!K471/1000)</f>
        <v/>
      </c>
      <c r="T460" s="298" t="str">
        <f>IF(B460="", "", IF('Lighting Inventory (Ref only)'!I471="", "Light Switch",Inventory!H468))</f>
        <v/>
      </c>
      <c r="W460" s="373"/>
      <c r="X460" s="298" t="str">
        <f>IF(B460="", "", 'Lighting Inventory (Ref only)'!Q471)</f>
        <v/>
      </c>
      <c r="Z460" s="374"/>
      <c r="AA460" s="372" t="str">
        <f>IF(B460="", "",'Lighting Inventory (Ref only)'!R471/1000)</f>
        <v/>
      </c>
      <c r="AB460" s="372" t="str">
        <f>IF(B460="", "", Inventory!M468)</f>
        <v/>
      </c>
      <c r="AC460" s="374" t="str">
        <f>IF(B460="", "", 'Lighting Inventory (Ref only)'!T471)</f>
        <v/>
      </c>
      <c r="AD460" s="374" t="str">
        <f>IF(C460="", "", 'Lighting Inventory (Ref only)'!AA471)</f>
        <v/>
      </c>
      <c r="AE460" s="375" t="str">
        <f>IF(B460="", "", 'Lighting Inventory (Ref only)'!U471)</f>
        <v/>
      </c>
      <c r="AF460" s="375" t="str">
        <f>IF(B460="", "",'Lighting Inventory (Ref only)'!W471)</f>
        <v/>
      </c>
      <c r="AG460" s="375"/>
      <c r="AH460" s="375" t="str">
        <f>IF(B460="", "",'Lighting Inventory (Ref only)'!Z471)</f>
        <v/>
      </c>
      <c r="AI460" s="375" t="str">
        <f>IF(B460="", "", 'Lighting Inventory (Ref only)'!Y471)</f>
        <v/>
      </c>
      <c r="AJ460" s="375" t="str">
        <f>IF(C460="", "",'Lighting Inventory (Ref only)'!AB471)</f>
        <v/>
      </c>
      <c r="AK460" s="375" t="str">
        <f>IF(B460="", "", 'Lighting Inventory (Ref only)'!AG471)</f>
        <v/>
      </c>
      <c r="AL460" s="375" t="str">
        <f>IF(B460="", "", 'Lighting Inventory (Ref only)'!AD471)</f>
        <v/>
      </c>
      <c r="AM460" s="375" t="str">
        <f>IF(B460="", "", 'Lighting Inventory (Ref only)'!AE471)</f>
        <v/>
      </c>
      <c r="AN460" s="375" t="str">
        <f>IF(B460="", "", 'Lighting Inventory (Ref only)'!AF471)</f>
        <v/>
      </c>
      <c r="AO460" s="375" t="str">
        <f>IF(B460="", "", 'Lighting Inventory (Ref only)'!AG471)</f>
        <v/>
      </c>
    </row>
    <row r="461" spans="1:41">
      <c r="A461" s="298" t="str">
        <f>IF(G461="", "", Lookups!BF463)</f>
        <v/>
      </c>
      <c r="B461" s="298" t="str">
        <f>IF('Lighting Inventory (Ref only)'!Q472="", "", 'Lighting Inventory (Ref only)'!Q472)</f>
        <v/>
      </c>
      <c r="C461" s="298" t="str">
        <f>IF(A461="", "", 'Lighting Inventory (Ref only)'!AO472)</f>
        <v/>
      </c>
      <c r="D461" s="370" t="str">
        <f>IF(B461= "","", Inventory!S469)</f>
        <v/>
      </c>
      <c r="E461" s="371"/>
      <c r="F461" s="298" t="str">
        <f>IF(B461="", "", 'Version Log'!$B$34)</f>
        <v/>
      </c>
      <c r="G461" s="298" t="str">
        <f t="shared" si="28"/>
        <v/>
      </c>
      <c r="H461" s="298" t="str">
        <f t="shared" si="29"/>
        <v/>
      </c>
      <c r="I461" s="298" t="str">
        <f>IF(B461="", "",Inventory!D469)</f>
        <v/>
      </c>
      <c r="J461" s="298" t="str">
        <f>IF(B461="","",IF(Inventory!C469="N","Interior","Exterior"))</f>
        <v/>
      </c>
      <c r="K461" s="298" t="str">
        <f t="shared" si="30"/>
        <v/>
      </c>
      <c r="L461" s="298" t="str">
        <f>IF(B461="", "", Inventory!E469)</f>
        <v/>
      </c>
      <c r="M461" s="298" t="str">
        <f>IF(B461="","",IF(Cool_Type=Lookups!$L$9,Cool_Type,IF(Cool_Type=Lookups!$L$10,Cool_Type,IF(Cool_Type=Lookups!$L$11,Cool_Type,IF(Cool_Type=Lookups!L471,Cool_Type,IF('Project Info and Summary'!$C$20="Electric",CONCATENATE(Cool_Type," ",Heating_Type," Heat"),IF('Project Info and Summary'!$C$20="Non-Electric",CONCATENATE(Cool_Type," ",Heating_Type," Heat"),CONCATENATE(Cool_Type," ",Heating_Type))))))))</f>
        <v/>
      </c>
      <c r="N461" s="298" t="str">
        <f t="shared" si="31"/>
        <v/>
      </c>
      <c r="O461" s="298" t="str">
        <f>IF(B461="", "", 'Lighting Inventory (Ref only)'!G472)</f>
        <v/>
      </c>
      <c r="P461" s="298" t="str">
        <f>IF(B461="", "", 'Lighting Inventory (Ref only)'!E472)</f>
        <v/>
      </c>
      <c r="Q461" s="298" t="str">
        <f>IF(B461="", "", 'Lighting Inventory (Ref only)'!J472)</f>
        <v/>
      </c>
      <c r="R461" s="298" t="str">
        <f>IF(B461="", "",'Lighting Inventory (Ref only)'!K472)</f>
        <v/>
      </c>
      <c r="S461" s="372" t="str">
        <f>IF(B461="", "", 'Lighting Inventory (Ref only)'!G472*'Lighting Inventory (Ref only)'!K472/1000)</f>
        <v/>
      </c>
      <c r="T461" s="298" t="str">
        <f>IF(B461="", "", IF('Lighting Inventory (Ref only)'!I472="", "Light Switch",Inventory!H469))</f>
        <v/>
      </c>
      <c r="W461" s="373"/>
      <c r="X461" s="298" t="str">
        <f>IF(B461="", "", 'Lighting Inventory (Ref only)'!Q472)</f>
        <v/>
      </c>
      <c r="Z461" s="374"/>
      <c r="AA461" s="372" t="str">
        <f>IF(B461="", "",'Lighting Inventory (Ref only)'!R472/1000)</f>
        <v/>
      </c>
      <c r="AB461" s="372" t="str">
        <f>IF(B461="", "", Inventory!M469)</f>
        <v/>
      </c>
      <c r="AC461" s="374" t="str">
        <f>IF(B461="", "", 'Lighting Inventory (Ref only)'!T472)</f>
        <v/>
      </c>
      <c r="AD461" s="374" t="str">
        <f>IF(C461="", "", 'Lighting Inventory (Ref only)'!AA472)</f>
        <v/>
      </c>
      <c r="AE461" s="375" t="str">
        <f>IF(B461="", "", 'Lighting Inventory (Ref only)'!U472)</f>
        <v/>
      </c>
      <c r="AF461" s="375" t="str">
        <f>IF(B461="", "",'Lighting Inventory (Ref only)'!W472)</f>
        <v/>
      </c>
      <c r="AG461" s="375"/>
      <c r="AH461" s="375" t="str">
        <f>IF(B461="", "",'Lighting Inventory (Ref only)'!Z472)</f>
        <v/>
      </c>
      <c r="AI461" s="375" t="str">
        <f>IF(B461="", "", 'Lighting Inventory (Ref only)'!Y472)</f>
        <v/>
      </c>
      <c r="AJ461" s="375" t="str">
        <f>IF(C461="", "",'Lighting Inventory (Ref only)'!AB472)</f>
        <v/>
      </c>
      <c r="AK461" s="375" t="str">
        <f>IF(B461="", "", 'Lighting Inventory (Ref only)'!AG472)</f>
        <v/>
      </c>
      <c r="AL461" s="375" t="str">
        <f>IF(B461="", "", 'Lighting Inventory (Ref only)'!AD472)</f>
        <v/>
      </c>
      <c r="AM461" s="375" t="str">
        <f>IF(B461="", "", 'Lighting Inventory (Ref only)'!AE472)</f>
        <v/>
      </c>
      <c r="AN461" s="375" t="str">
        <f>IF(B461="", "", 'Lighting Inventory (Ref only)'!AF472)</f>
        <v/>
      </c>
      <c r="AO461" s="375" t="str">
        <f>IF(B461="", "", 'Lighting Inventory (Ref only)'!AG472)</f>
        <v/>
      </c>
    </row>
    <row r="462" spans="1:41">
      <c r="A462" s="298" t="str">
        <f>IF(G462="", "", Lookups!BF464)</f>
        <v/>
      </c>
      <c r="B462" s="298" t="str">
        <f>IF('Lighting Inventory (Ref only)'!Q473="", "", 'Lighting Inventory (Ref only)'!Q473)</f>
        <v/>
      </c>
      <c r="C462" s="298" t="str">
        <f>IF(A462="", "", 'Lighting Inventory (Ref only)'!AO473)</f>
        <v/>
      </c>
      <c r="D462" s="370" t="str">
        <f>IF(B462= "","", Inventory!S470)</f>
        <v/>
      </c>
      <c r="E462" s="371"/>
      <c r="F462" s="298" t="str">
        <f>IF(B462="", "", 'Version Log'!$B$34)</f>
        <v/>
      </c>
      <c r="G462" s="298" t="str">
        <f t="shared" si="28"/>
        <v/>
      </c>
      <c r="H462" s="298" t="str">
        <f t="shared" si="29"/>
        <v/>
      </c>
      <c r="I462" s="298" t="str">
        <f>IF(B462="", "",Inventory!D470)</f>
        <v/>
      </c>
      <c r="J462" s="298" t="str">
        <f>IF(B462="","",IF(Inventory!C470="N","Interior","Exterior"))</f>
        <v/>
      </c>
      <c r="K462" s="298" t="str">
        <f t="shared" si="30"/>
        <v/>
      </c>
      <c r="L462" s="298" t="str">
        <f>IF(B462="", "", Inventory!E470)</f>
        <v/>
      </c>
      <c r="M462" s="298" t="str">
        <f>IF(B462="","",IF(Cool_Type=Lookups!$L$9,Cool_Type,IF(Cool_Type=Lookups!$L$10,Cool_Type,IF(Cool_Type=Lookups!$L$11,Cool_Type,IF(Cool_Type=Lookups!L472,Cool_Type,IF('Project Info and Summary'!$C$20="Electric",CONCATENATE(Cool_Type," ",Heating_Type," Heat"),IF('Project Info and Summary'!$C$20="Non-Electric",CONCATENATE(Cool_Type," ",Heating_Type," Heat"),CONCATENATE(Cool_Type," ",Heating_Type))))))))</f>
        <v/>
      </c>
      <c r="N462" s="298" t="str">
        <f t="shared" si="31"/>
        <v/>
      </c>
      <c r="O462" s="298" t="str">
        <f>IF(B462="", "", 'Lighting Inventory (Ref only)'!G473)</f>
        <v/>
      </c>
      <c r="P462" s="298" t="str">
        <f>IF(B462="", "", 'Lighting Inventory (Ref only)'!E473)</f>
        <v/>
      </c>
      <c r="Q462" s="298" t="str">
        <f>IF(B462="", "", 'Lighting Inventory (Ref only)'!J473)</f>
        <v/>
      </c>
      <c r="R462" s="298" t="str">
        <f>IF(B462="", "",'Lighting Inventory (Ref only)'!K473)</f>
        <v/>
      </c>
      <c r="S462" s="372" t="str">
        <f>IF(B462="", "", 'Lighting Inventory (Ref only)'!G473*'Lighting Inventory (Ref only)'!K473/1000)</f>
        <v/>
      </c>
      <c r="T462" s="298" t="str">
        <f>IF(B462="", "", IF('Lighting Inventory (Ref only)'!I473="", "Light Switch",Inventory!H470))</f>
        <v/>
      </c>
      <c r="W462" s="373"/>
      <c r="X462" s="298" t="str">
        <f>IF(B462="", "", 'Lighting Inventory (Ref only)'!Q473)</f>
        <v/>
      </c>
      <c r="Z462" s="374"/>
      <c r="AA462" s="372" t="str">
        <f>IF(B462="", "",'Lighting Inventory (Ref only)'!R473/1000)</f>
        <v/>
      </c>
      <c r="AB462" s="372" t="str">
        <f>IF(B462="", "", Inventory!M470)</f>
        <v/>
      </c>
      <c r="AC462" s="374" t="str">
        <f>IF(B462="", "", 'Lighting Inventory (Ref only)'!T473)</f>
        <v/>
      </c>
      <c r="AD462" s="374" t="str">
        <f>IF(C462="", "", 'Lighting Inventory (Ref only)'!AA473)</f>
        <v/>
      </c>
      <c r="AE462" s="375" t="str">
        <f>IF(B462="", "", 'Lighting Inventory (Ref only)'!U473)</f>
        <v/>
      </c>
      <c r="AF462" s="375" t="str">
        <f>IF(B462="", "",'Lighting Inventory (Ref only)'!W473)</f>
        <v/>
      </c>
      <c r="AG462" s="375"/>
      <c r="AH462" s="375" t="str">
        <f>IF(B462="", "",'Lighting Inventory (Ref only)'!Z473)</f>
        <v/>
      </c>
      <c r="AI462" s="375" t="str">
        <f>IF(B462="", "", 'Lighting Inventory (Ref only)'!Y473)</f>
        <v/>
      </c>
      <c r="AJ462" s="375" t="str">
        <f>IF(C462="", "",'Lighting Inventory (Ref only)'!AB473)</f>
        <v/>
      </c>
      <c r="AK462" s="375" t="str">
        <f>IF(B462="", "", 'Lighting Inventory (Ref only)'!AG473)</f>
        <v/>
      </c>
      <c r="AL462" s="375" t="str">
        <f>IF(B462="", "", 'Lighting Inventory (Ref only)'!AD473)</f>
        <v/>
      </c>
      <c r="AM462" s="375" t="str">
        <f>IF(B462="", "", 'Lighting Inventory (Ref only)'!AE473)</f>
        <v/>
      </c>
      <c r="AN462" s="375" t="str">
        <f>IF(B462="", "", 'Lighting Inventory (Ref only)'!AF473)</f>
        <v/>
      </c>
      <c r="AO462" s="375" t="str">
        <f>IF(B462="", "", 'Lighting Inventory (Ref only)'!AG473)</f>
        <v/>
      </c>
    </row>
    <row r="463" spans="1:41">
      <c r="A463" s="298" t="str">
        <f>IF(G463="", "", Lookups!BF465)</f>
        <v/>
      </c>
      <c r="B463" s="298" t="str">
        <f>IF('Lighting Inventory (Ref only)'!Q474="", "", 'Lighting Inventory (Ref only)'!Q474)</f>
        <v/>
      </c>
      <c r="C463" s="298" t="str">
        <f>IF(A463="", "", 'Lighting Inventory (Ref only)'!AO474)</f>
        <v/>
      </c>
      <c r="D463" s="370" t="str">
        <f>IF(B463= "","", Inventory!S471)</f>
        <v/>
      </c>
      <c r="E463" s="371"/>
      <c r="F463" s="298" t="str">
        <f>IF(B463="", "", 'Version Log'!$B$34)</f>
        <v/>
      </c>
      <c r="G463" s="298" t="str">
        <f t="shared" si="28"/>
        <v/>
      </c>
      <c r="H463" s="298" t="str">
        <f t="shared" si="29"/>
        <v/>
      </c>
      <c r="I463" s="298" t="str">
        <f>IF(B463="", "",Inventory!D471)</f>
        <v/>
      </c>
      <c r="J463" s="298" t="str">
        <f>IF(B463="","",IF(Inventory!C471="N","Interior","Exterior"))</f>
        <v/>
      </c>
      <c r="K463" s="298" t="str">
        <f t="shared" si="30"/>
        <v/>
      </c>
      <c r="L463" s="298" t="str">
        <f>IF(B463="", "", Inventory!E471)</f>
        <v/>
      </c>
      <c r="M463" s="298" t="str">
        <f>IF(B463="","",IF(Cool_Type=Lookups!$L$9,Cool_Type,IF(Cool_Type=Lookups!$L$10,Cool_Type,IF(Cool_Type=Lookups!$L$11,Cool_Type,IF(Cool_Type=Lookups!L473,Cool_Type,IF('Project Info and Summary'!$C$20="Electric",CONCATENATE(Cool_Type," ",Heating_Type," Heat"),IF('Project Info and Summary'!$C$20="Non-Electric",CONCATENATE(Cool_Type," ",Heating_Type," Heat"),CONCATENATE(Cool_Type," ",Heating_Type))))))))</f>
        <v/>
      </c>
      <c r="N463" s="298" t="str">
        <f t="shared" si="31"/>
        <v/>
      </c>
      <c r="O463" s="298" t="str">
        <f>IF(B463="", "", 'Lighting Inventory (Ref only)'!G474)</f>
        <v/>
      </c>
      <c r="P463" s="298" t="str">
        <f>IF(B463="", "", 'Lighting Inventory (Ref only)'!E474)</f>
        <v/>
      </c>
      <c r="Q463" s="298" t="str">
        <f>IF(B463="", "", 'Lighting Inventory (Ref only)'!J474)</f>
        <v/>
      </c>
      <c r="R463" s="298" t="str">
        <f>IF(B463="", "",'Lighting Inventory (Ref only)'!K474)</f>
        <v/>
      </c>
      <c r="S463" s="372" t="str">
        <f>IF(B463="", "", 'Lighting Inventory (Ref only)'!G474*'Lighting Inventory (Ref only)'!K474/1000)</f>
        <v/>
      </c>
      <c r="T463" s="298" t="str">
        <f>IF(B463="", "", IF('Lighting Inventory (Ref only)'!I474="", "Light Switch",Inventory!H471))</f>
        <v/>
      </c>
      <c r="W463" s="373"/>
      <c r="X463" s="298" t="str">
        <f>IF(B463="", "", 'Lighting Inventory (Ref only)'!Q474)</f>
        <v/>
      </c>
      <c r="Z463" s="374"/>
      <c r="AA463" s="372" t="str">
        <f>IF(B463="", "",'Lighting Inventory (Ref only)'!R474/1000)</f>
        <v/>
      </c>
      <c r="AB463" s="372" t="str">
        <f>IF(B463="", "", Inventory!M471)</f>
        <v/>
      </c>
      <c r="AC463" s="374" t="str">
        <f>IF(B463="", "", 'Lighting Inventory (Ref only)'!T474)</f>
        <v/>
      </c>
      <c r="AD463" s="374" t="str">
        <f>IF(C463="", "", 'Lighting Inventory (Ref only)'!AA474)</f>
        <v/>
      </c>
      <c r="AE463" s="375" t="str">
        <f>IF(B463="", "", 'Lighting Inventory (Ref only)'!U474)</f>
        <v/>
      </c>
      <c r="AF463" s="375" t="str">
        <f>IF(B463="", "",'Lighting Inventory (Ref only)'!W474)</f>
        <v/>
      </c>
      <c r="AG463" s="375"/>
      <c r="AH463" s="375" t="str">
        <f>IF(B463="", "",'Lighting Inventory (Ref only)'!Z474)</f>
        <v/>
      </c>
      <c r="AI463" s="375" t="str">
        <f>IF(B463="", "", 'Lighting Inventory (Ref only)'!Y474)</f>
        <v/>
      </c>
      <c r="AJ463" s="375" t="str">
        <f>IF(C463="", "",'Lighting Inventory (Ref only)'!AB474)</f>
        <v/>
      </c>
      <c r="AK463" s="375" t="str">
        <f>IF(B463="", "", 'Lighting Inventory (Ref only)'!AG474)</f>
        <v/>
      </c>
      <c r="AL463" s="375" t="str">
        <f>IF(B463="", "", 'Lighting Inventory (Ref only)'!AD474)</f>
        <v/>
      </c>
      <c r="AM463" s="375" t="str">
        <f>IF(B463="", "", 'Lighting Inventory (Ref only)'!AE474)</f>
        <v/>
      </c>
      <c r="AN463" s="375" t="str">
        <f>IF(B463="", "", 'Lighting Inventory (Ref only)'!AF474)</f>
        <v/>
      </c>
      <c r="AO463" s="375" t="str">
        <f>IF(B463="", "", 'Lighting Inventory (Ref only)'!AG474)</f>
        <v/>
      </c>
    </row>
    <row r="464" spans="1:41">
      <c r="A464" s="298" t="str">
        <f>IF(G464="", "", Lookups!BF466)</f>
        <v/>
      </c>
      <c r="B464" s="298" t="str">
        <f>IF('Lighting Inventory (Ref only)'!Q475="", "", 'Lighting Inventory (Ref only)'!Q475)</f>
        <v/>
      </c>
      <c r="C464" s="298" t="str">
        <f>IF(A464="", "", 'Lighting Inventory (Ref only)'!AO475)</f>
        <v/>
      </c>
      <c r="D464" s="370" t="str">
        <f>IF(B464= "","", Inventory!S472)</f>
        <v/>
      </c>
      <c r="E464" s="371"/>
      <c r="F464" s="298" t="str">
        <f>IF(B464="", "", 'Version Log'!$B$34)</f>
        <v/>
      </c>
      <c r="G464" s="298" t="str">
        <f t="shared" si="28"/>
        <v/>
      </c>
      <c r="H464" s="298" t="str">
        <f t="shared" si="29"/>
        <v/>
      </c>
      <c r="I464" s="298" t="str">
        <f>IF(B464="", "",Inventory!D472)</f>
        <v/>
      </c>
      <c r="J464" s="298" t="str">
        <f>IF(B464="","",IF(Inventory!C472="N","Interior","Exterior"))</f>
        <v/>
      </c>
      <c r="K464" s="298" t="str">
        <f t="shared" si="30"/>
        <v/>
      </c>
      <c r="L464" s="298" t="str">
        <f>IF(B464="", "", Inventory!E472)</f>
        <v/>
      </c>
      <c r="M464" s="298" t="str">
        <f>IF(B464="","",IF(Cool_Type=Lookups!$L$9,Cool_Type,IF(Cool_Type=Lookups!$L$10,Cool_Type,IF(Cool_Type=Lookups!$L$11,Cool_Type,IF(Cool_Type=Lookups!L474,Cool_Type,IF('Project Info and Summary'!$C$20="Electric",CONCATENATE(Cool_Type," ",Heating_Type," Heat"),IF('Project Info and Summary'!$C$20="Non-Electric",CONCATENATE(Cool_Type," ",Heating_Type," Heat"),CONCATENATE(Cool_Type," ",Heating_Type))))))))</f>
        <v/>
      </c>
      <c r="N464" s="298" t="str">
        <f t="shared" si="31"/>
        <v/>
      </c>
      <c r="O464" s="298" t="str">
        <f>IF(B464="", "", 'Lighting Inventory (Ref only)'!G475)</f>
        <v/>
      </c>
      <c r="P464" s="298" t="str">
        <f>IF(B464="", "", 'Lighting Inventory (Ref only)'!E475)</f>
        <v/>
      </c>
      <c r="Q464" s="298" t="str">
        <f>IF(B464="", "", 'Lighting Inventory (Ref only)'!J475)</f>
        <v/>
      </c>
      <c r="R464" s="298" t="str">
        <f>IF(B464="", "",'Lighting Inventory (Ref only)'!K475)</f>
        <v/>
      </c>
      <c r="S464" s="372" t="str">
        <f>IF(B464="", "", 'Lighting Inventory (Ref only)'!G475*'Lighting Inventory (Ref only)'!K475/1000)</f>
        <v/>
      </c>
      <c r="T464" s="298" t="str">
        <f>IF(B464="", "", IF('Lighting Inventory (Ref only)'!I475="", "Light Switch",Inventory!H472))</f>
        <v/>
      </c>
      <c r="W464" s="373"/>
      <c r="X464" s="298" t="str">
        <f>IF(B464="", "", 'Lighting Inventory (Ref only)'!Q475)</f>
        <v/>
      </c>
      <c r="Z464" s="374"/>
      <c r="AA464" s="372" t="str">
        <f>IF(B464="", "",'Lighting Inventory (Ref only)'!R475/1000)</f>
        <v/>
      </c>
      <c r="AB464" s="372" t="str">
        <f>IF(B464="", "", Inventory!M472)</f>
        <v/>
      </c>
      <c r="AC464" s="374" t="str">
        <f>IF(B464="", "", 'Lighting Inventory (Ref only)'!T475)</f>
        <v/>
      </c>
      <c r="AD464" s="374" t="str">
        <f>IF(C464="", "", 'Lighting Inventory (Ref only)'!AA475)</f>
        <v/>
      </c>
      <c r="AE464" s="375" t="str">
        <f>IF(B464="", "", 'Lighting Inventory (Ref only)'!U475)</f>
        <v/>
      </c>
      <c r="AF464" s="375" t="str">
        <f>IF(B464="", "",'Lighting Inventory (Ref only)'!W475)</f>
        <v/>
      </c>
      <c r="AG464" s="375"/>
      <c r="AH464" s="375" t="str">
        <f>IF(B464="", "",'Lighting Inventory (Ref only)'!Z475)</f>
        <v/>
      </c>
      <c r="AI464" s="375" t="str">
        <f>IF(B464="", "", 'Lighting Inventory (Ref only)'!Y475)</f>
        <v/>
      </c>
      <c r="AJ464" s="375" t="str">
        <f>IF(C464="", "",'Lighting Inventory (Ref only)'!AB475)</f>
        <v/>
      </c>
      <c r="AK464" s="375" t="str">
        <f>IF(B464="", "", 'Lighting Inventory (Ref only)'!AG475)</f>
        <v/>
      </c>
      <c r="AL464" s="375" t="str">
        <f>IF(B464="", "", 'Lighting Inventory (Ref only)'!AD475)</f>
        <v/>
      </c>
      <c r="AM464" s="375" t="str">
        <f>IF(B464="", "", 'Lighting Inventory (Ref only)'!AE475)</f>
        <v/>
      </c>
      <c r="AN464" s="375" t="str">
        <f>IF(B464="", "", 'Lighting Inventory (Ref only)'!AF475)</f>
        <v/>
      </c>
      <c r="AO464" s="375" t="str">
        <f>IF(B464="", "", 'Lighting Inventory (Ref only)'!AG475)</f>
        <v/>
      </c>
    </row>
    <row r="465" spans="1:41">
      <c r="A465" s="298" t="str">
        <f>IF(G465="", "", Lookups!BF467)</f>
        <v/>
      </c>
      <c r="B465" s="298" t="str">
        <f>IF('Lighting Inventory (Ref only)'!Q476="", "", 'Lighting Inventory (Ref only)'!Q476)</f>
        <v/>
      </c>
      <c r="C465" s="298" t="str">
        <f>IF(A465="", "", 'Lighting Inventory (Ref only)'!AO476)</f>
        <v/>
      </c>
      <c r="D465" s="370" t="str">
        <f>IF(B465= "","", Inventory!S473)</f>
        <v/>
      </c>
      <c r="E465" s="371"/>
      <c r="F465" s="298" t="str">
        <f>IF(B465="", "", 'Version Log'!$B$34)</f>
        <v/>
      </c>
      <c r="G465" s="298" t="str">
        <f t="shared" si="28"/>
        <v/>
      </c>
      <c r="H465" s="298" t="str">
        <f t="shared" si="29"/>
        <v/>
      </c>
      <c r="I465" s="298" t="str">
        <f>IF(B465="", "",Inventory!D473)</f>
        <v/>
      </c>
      <c r="J465" s="298" t="str">
        <f>IF(B465="","",IF(Inventory!C473="N","Interior","Exterior"))</f>
        <v/>
      </c>
      <c r="K465" s="298" t="str">
        <f t="shared" si="30"/>
        <v/>
      </c>
      <c r="L465" s="298" t="str">
        <f>IF(B465="", "", Inventory!E473)</f>
        <v/>
      </c>
      <c r="M465" s="298" t="str">
        <f>IF(B465="","",IF(Cool_Type=Lookups!$L$9,Cool_Type,IF(Cool_Type=Lookups!$L$10,Cool_Type,IF(Cool_Type=Lookups!$L$11,Cool_Type,IF(Cool_Type=Lookups!L475,Cool_Type,IF('Project Info and Summary'!$C$20="Electric",CONCATENATE(Cool_Type," ",Heating_Type," Heat"),IF('Project Info and Summary'!$C$20="Non-Electric",CONCATENATE(Cool_Type," ",Heating_Type," Heat"),CONCATENATE(Cool_Type," ",Heating_Type))))))))</f>
        <v/>
      </c>
      <c r="N465" s="298" t="str">
        <f t="shared" si="31"/>
        <v/>
      </c>
      <c r="O465" s="298" t="str">
        <f>IF(B465="", "", 'Lighting Inventory (Ref only)'!G476)</f>
        <v/>
      </c>
      <c r="P465" s="298" t="str">
        <f>IF(B465="", "", 'Lighting Inventory (Ref only)'!E476)</f>
        <v/>
      </c>
      <c r="Q465" s="298" t="str">
        <f>IF(B465="", "", 'Lighting Inventory (Ref only)'!J476)</f>
        <v/>
      </c>
      <c r="R465" s="298" t="str">
        <f>IF(B465="", "",'Lighting Inventory (Ref only)'!K476)</f>
        <v/>
      </c>
      <c r="S465" s="372" t="str">
        <f>IF(B465="", "", 'Lighting Inventory (Ref only)'!G476*'Lighting Inventory (Ref only)'!K476/1000)</f>
        <v/>
      </c>
      <c r="T465" s="298" t="str">
        <f>IF(B465="", "", IF('Lighting Inventory (Ref only)'!I476="", "Light Switch",Inventory!H473))</f>
        <v/>
      </c>
      <c r="W465" s="373"/>
      <c r="X465" s="298" t="str">
        <f>IF(B465="", "", 'Lighting Inventory (Ref only)'!Q476)</f>
        <v/>
      </c>
      <c r="Z465" s="374"/>
      <c r="AA465" s="372" t="str">
        <f>IF(B465="", "",'Lighting Inventory (Ref only)'!R476/1000)</f>
        <v/>
      </c>
      <c r="AB465" s="372" t="str">
        <f>IF(B465="", "", Inventory!M473)</f>
        <v/>
      </c>
      <c r="AC465" s="374" t="str">
        <f>IF(B465="", "", 'Lighting Inventory (Ref only)'!T476)</f>
        <v/>
      </c>
      <c r="AD465" s="374" t="str">
        <f>IF(C465="", "", 'Lighting Inventory (Ref only)'!AA476)</f>
        <v/>
      </c>
      <c r="AE465" s="375" t="str">
        <f>IF(B465="", "", 'Lighting Inventory (Ref only)'!U476)</f>
        <v/>
      </c>
      <c r="AF465" s="375" t="str">
        <f>IF(B465="", "",'Lighting Inventory (Ref only)'!W476)</f>
        <v/>
      </c>
      <c r="AG465" s="375"/>
      <c r="AH465" s="375" t="str">
        <f>IF(B465="", "",'Lighting Inventory (Ref only)'!Z476)</f>
        <v/>
      </c>
      <c r="AI465" s="375" t="str">
        <f>IF(B465="", "", 'Lighting Inventory (Ref only)'!Y476)</f>
        <v/>
      </c>
      <c r="AJ465" s="375" t="str">
        <f>IF(C465="", "",'Lighting Inventory (Ref only)'!AB476)</f>
        <v/>
      </c>
      <c r="AK465" s="375" t="str">
        <f>IF(B465="", "", 'Lighting Inventory (Ref only)'!AG476)</f>
        <v/>
      </c>
      <c r="AL465" s="375" t="str">
        <f>IF(B465="", "", 'Lighting Inventory (Ref only)'!AD476)</f>
        <v/>
      </c>
      <c r="AM465" s="375" t="str">
        <f>IF(B465="", "", 'Lighting Inventory (Ref only)'!AE476)</f>
        <v/>
      </c>
      <c r="AN465" s="375" t="str">
        <f>IF(B465="", "", 'Lighting Inventory (Ref only)'!AF476)</f>
        <v/>
      </c>
      <c r="AO465" s="375" t="str">
        <f>IF(B465="", "", 'Lighting Inventory (Ref only)'!AG476)</f>
        <v/>
      </c>
    </row>
    <row r="466" spans="1:41">
      <c r="A466" s="298" t="str">
        <f>IF(G466="", "", Lookups!BF468)</f>
        <v/>
      </c>
      <c r="B466" s="298" t="str">
        <f>IF('Lighting Inventory (Ref only)'!Q477="", "", 'Lighting Inventory (Ref only)'!Q477)</f>
        <v/>
      </c>
      <c r="C466" s="298" t="str">
        <f>IF(A466="", "", 'Lighting Inventory (Ref only)'!AO477)</f>
        <v/>
      </c>
      <c r="D466" s="370" t="str">
        <f>IF(B466= "","", Inventory!S474)</f>
        <v/>
      </c>
      <c r="E466" s="371"/>
      <c r="F466" s="298" t="str">
        <f>IF(B466="", "", 'Version Log'!$B$34)</f>
        <v/>
      </c>
      <c r="G466" s="298" t="str">
        <f t="shared" si="28"/>
        <v/>
      </c>
      <c r="H466" s="298" t="str">
        <f t="shared" si="29"/>
        <v/>
      </c>
      <c r="I466" s="298" t="str">
        <f>IF(B466="", "",Inventory!D474)</f>
        <v/>
      </c>
      <c r="J466" s="298" t="str">
        <f>IF(B466="","",IF(Inventory!C474="N","Interior","Exterior"))</f>
        <v/>
      </c>
      <c r="K466" s="298" t="str">
        <f t="shared" si="30"/>
        <v/>
      </c>
      <c r="L466" s="298" t="str">
        <f>IF(B466="", "", Inventory!E474)</f>
        <v/>
      </c>
      <c r="M466" s="298" t="str">
        <f>IF(B466="","",IF(Cool_Type=Lookups!$L$9,Cool_Type,IF(Cool_Type=Lookups!$L$10,Cool_Type,IF(Cool_Type=Lookups!$L$11,Cool_Type,IF(Cool_Type=Lookups!L476,Cool_Type,IF('Project Info and Summary'!$C$20="Electric",CONCATENATE(Cool_Type," ",Heating_Type," Heat"),IF('Project Info and Summary'!$C$20="Non-Electric",CONCATENATE(Cool_Type," ",Heating_Type," Heat"),CONCATENATE(Cool_Type," ",Heating_Type))))))))</f>
        <v/>
      </c>
      <c r="N466" s="298" t="str">
        <f t="shared" si="31"/>
        <v/>
      </c>
      <c r="O466" s="298" t="str">
        <f>IF(B466="", "", 'Lighting Inventory (Ref only)'!G477)</f>
        <v/>
      </c>
      <c r="P466" s="298" t="str">
        <f>IF(B466="", "", 'Lighting Inventory (Ref only)'!E477)</f>
        <v/>
      </c>
      <c r="Q466" s="298" t="str">
        <f>IF(B466="", "", 'Lighting Inventory (Ref only)'!J477)</f>
        <v/>
      </c>
      <c r="R466" s="298" t="str">
        <f>IF(B466="", "",'Lighting Inventory (Ref only)'!K477)</f>
        <v/>
      </c>
      <c r="S466" s="372" t="str">
        <f>IF(B466="", "", 'Lighting Inventory (Ref only)'!G477*'Lighting Inventory (Ref only)'!K477/1000)</f>
        <v/>
      </c>
      <c r="T466" s="298" t="str">
        <f>IF(B466="", "", IF('Lighting Inventory (Ref only)'!I477="", "Light Switch",Inventory!H474))</f>
        <v/>
      </c>
      <c r="W466" s="373"/>
      <c r="X466" s="298" t="str">
        <f>IF(B466="", "", 'Lighting Inventory (Ref only)'!Q477)</f>
        <v/>
      </c>
      <c r="Z466" s="374"/>
      <c r="AA466" s="372" t="str">
        <f>IF(B466="", "",'Lighting Inventory (Ref only)'!R477/1000)</f>
        <v/>
      </c>
      <c r="AB466" s="372" t="str">
        <f>IF(B466="", "", Inventory!M474)</f>
        <v/>
      </c>
      <c r="AC466" s="374" t="str">
        <f>IF(B466="", "", 'Lighting Inventory (Ref only)'!T477)</f>
        <v/>
      </c>
      <c r="AD466" s="374" t="str">
        <f>IF(C466="", "", 'Lighting Inventory (Ref only)'!AA477)</f>
        <v/>
      </c>
      <c r="AE466" s="375" t="str">
        <f>IF(B466="", "", 'Lighting Inventory (Ref only)'!U477)</f>
        <v/>
      </c>
      <c r="AF466" s="375" t="str">
        <f>IF(B466="", "",'Lighting Inventory (Ref only)'!W477)</f>
        <v/>
      </c>
      <c r="AG466" s="375"/>
      <c r="AH466" s="375" t="str">
        <f>IF(B466="", "",'Lighting Inventory (Ref only)'!Z477)</f>
        <v/>
      </c>
      <c r="AI466" s="375" t="str">
        <f>IF(B466="", "", 'Lighting Inventory (Ref only)'!Y477)</f>
        <v/>
      </c>
      <c r="AJ466" s="375" t="str">
        <f>IF(C466="", "",'Lighting Inventory (Ref only)'!AB477)</f>
        <v/>
      </c>
      <c r="AK466" s="375" t="str">
        <f>IF(B466="", "", 'Lighting Inventory (Ref only)'!AG477)</f>
        <v/>
      </c>
      <c r="AL466" s="375" t="str">
        <f>IF(B466="", "", 'Lighting Inventory (Ref only)'!AD477)</f>
        <v/>
      </c>
      <c r="AM466" s="375" t="str">
        <f>IF(B466="", "", 'Lighting Inventory (Ref only)'!AE477)</f>
        <v/>
      </c>
      <c r="AN466" s="375" t="str">
        <f>IF(B466="", "", 'Lighting Inventory (Ref only)'!AF477)</f>
        <v/>
      </c>
      <c r="AO466" s="375" t="str">
        <f>IF(B466="", "", 'Lighting Inventory (Ref only)'!AG477)</f>
        <v/>
      </c>
    </row>
    <row r="467" spans="1:41">
      <c r="A467" s="298" t="str">
        <f>IF(G467="", "", Lookups!BF469)</f>
        <v/>
      </c>
      <c r="B467" s="298" t="str">
        <f>IF('Lighting Inventory (Ref only)'!Q478="", "", 'Lighting Inventory (Ref only)'!Q478)</f>
        <v/>
      </c>
      <c r="C467" s="298" t="str">
        <f>IF(A467="", "", 'Lighting Inventory (Ref only)'!AO478)</f>
        <v/>
      </c>
      <c r="D467" s="370" t="str">
        <f>IF(B467= "","", Inventory!S475)</f>
        <v/>
      </c>
      <c r="E467" s="371"/>
      <c r="F467" s="298" t="str">
        <f>IF(B467="", "", 'Version Log'!$B$34)</f>
        <v/>
      </c>
      <c r="G467" s="298" t="str">
        <f t="shared" si="28"/>
        <v/>
      </c>
      <c r="H467" s="298" t="str">
        <f t="shared" si="29"/>
        <v/>
      </c>
      <c r="I467" s="298" t="str">
        <f>IF(B467="", "",Inventory!D475)</f>
        <v/>
      </c>
      <c r="J467" s="298" t="str">
        <f>IF(B467="","",IF(Inventory!C475="N","Interior","Exterior"))</f>
        <v/>
      </c>
      <c r="K467" s="298" t="str">
        <f t="shared" si="30"/>
        <v/>
      </c>
      <c r="L467" s="298" t="str">
        <f>IF(B467="", "", Inventory!E475)</f>
        <v/>
      </c>
      <c r="M467" s="298" t="str">
        <f>IF(B467="","",IF(Cool_Type=Lookups!$L$9,Cool_Type,IF(Cool_Type=Lookups!$L$10,Cool_Type,IF(Cool_Type=Lookups!$L$11,Cool_Type,IF(Cool_Type=Lookups!L477,Cool_Type,IF('Project Info and Summary'!$C$20="Electric",CONCATENATE(Cool_Type," ",Heating_Type," Heat"),IF('Project Info and Summary'!$C$20="Non-Electric",CONCATENATE(Cool_Type," ",Heating_Type," Heat"),CONCATENATE(Cool_Type," ",Heating_Type))))))))</f>
        <v/>
      </c>
      <c r="N467" s="298" t="str">
        <f t="shared" si="31"/>
        <v/>
      </c>
      <c r="O467" s="298" t="str">
        <f>IF(B467="", "", 'Lighting Inventory (Ref only)'!G478)</f>
        <v/>
      </c>
      <c r="P467" s="298" t="str">
        <f>IF(B467="", "", 'Lighting Inventory (Ref only)'!E478)</f>
        <v/>
      </c>
      <c r="Q467" s="298" t="str">
        <f>IF(B467="", "", 'Lighting Inventory (Ref only)'!J478)</f>
        <v/>
      </c>
      <c r="R467" s="298" t="str">
        <f>IF(B467="", "",'Lighting Inventory (Ref only)'!K478)</f>
        <v/>
      </c>
      <c r="S467" s="372" t="str">
        <f>IF(B467="", "", 'Lighting Inventory (Ref only)'!G478*'Lighting Inventory (Ref only)'!K478/1000)</f>
        <v/>
      </c>
      <c r="T467" s="298" t="str">
        <f>IF(B467="", "", IF('Lighting Inventory (Ref only)'!I478="", "Light Switch",Inventory!H475))</f>
        <v/>
      </c>
      <c r="W467" s="373"/>
      <c r="X467" s="298" t="str">
        <f>IF(B467="", "", 'Lighting Inventory (Ref only)'!Q478)</f>
        <v/>
      </c>
      <c r="Z467" s="374"/>
      <c r="AA467" s="372" t="str">
        <f>IF(B467="", "",'Lighting Inventory (Ref only)'!R478/1000)</f>
        <v/>
      </c>
      <c r="AB467" s="372" t="str">
        <f>IF(B467="", "", Inventory!M475)</f>
        <v/>
      </c>
      <c r="AC467" s="374" t="str">
        <f>IF(B467="", "", 'Lighting Inventory (Ref only)'!T478)</f>
        <v/>
      </c>
      <c r="AD467" s="374" t="str">
        <f>IF(C467="", "", 'Lighting Inventory (Ref only)'!AA478)</f>
        <v/>
      </c>
      <c r="AE467" s="375" t="str">
        <f>IF(B467="", "", 'Lighting Inventory (Ref only)'!U478)</f>
        <v/>
      </c>
      <c r="AF467" s="375" t="str">
        <f>IF(B467="", "",'Lighting Inventory (Ref only)'!W478)</f>
        <v/>
      </c>
      <c r="AG467" s="375"/>
      <c r="AH467" s="375" t="str">
        <f>IF(B467="", "",'Lighting Inventory (Ref only)'!Z478)</f>
        <v/>
      </c>
      <c r="AI467" s="375" t="str">
        <f>IF(B467="", "", 'Lighting Inventory (Ref only)'!Y478)</f>
        <v/>
      </c>
      <c r="AJ467" s="375" t="str">
        <f>IF(C467="", "",'Lighting Inventory (Ref only)'!AB478)</f>
        <v/>
      </c>
      <c r="AK467" s="375" t="str">
        <f>IF(B467="", "", 'Lighting Inventory (Ref only)'!AG478)</f>
        <v/>
      </c>
      <c r="AL467" s="375" t="str">
        <f>IF(B467="", "", 'Lighting Inventory (Ref only)'!AD478)</f>
        <v/>
      </c>
      <c r="AM467" s="375" t="str">
        <f>IF(B467="", "", 'Lighting Inventory (Ref only)'!AE478)</f>
        <v/>
      </c>
      <c r="AN467" s="375" t="str">
        <f>IF(B467="", "", 'Lighting Inventory (Ref only)'!AF478)</f>
        <v/>
      </c>
      <c r="AO467" s="375" t="str">
        <f>IF(B467="", "", 'Lighting Inventory (Ref only)'!AG478)</f>
        <v/>
      </c>
    </row>
    <row r="468" spans="1:41">
      <c r="A468" s="298" t="str">
        <f>IF(G468="", "", Lookups!BF470)</f>
        <v/>
      </c>
      <c r="B468" s="298" t="str">
        <f>IF('Lighting Inventory (Ref only)'!Q479="", "", 'Lighting Inventory (Ref only)'!Q479)</f>
        <v/>
      </c>
      <c r="C468" s="298" t="str">
        <f>IF(A468="", "", 'Lighting Inventory (Ref only)'!AO479)</f>
        <v/>
      </c>
      <c r="D468" s="370" t="str">
        <f>IF(B468= "","", Inventory!S476)</f>
        <v/>
      </c>
      <c r="E468" s="371"/>
      <c r="F468" s="298" t="str">
        <f>IF(B468="", "", 'Version Log'!$B$34)</f>
        <v/>
      </c>
      <c r="G468" s="298" t="str">
        <f t="shared" si="28"/>
        <v/>
      </c>
      <c r="H468" s="298" t="str">
        <f t="shared" si="29"/>
        <v/>
      </c>
      <c r="I468" s="298" t="str">
        <f>IF(B468="", "",Inventory!D476)</f>
        <v/>
      </c>
      <c r="J468" s="298" t="str">
        <f>IF(B468="","",IF(Inventory!C476="N","Interior","Exterior"))</f>
        <v/>
      </c>
      <c r="K468" s="298" t="str">
        <f t="shared" si="30"/>
        <v/>
      </c>
      <c r="L468" s="298" t="str">
        <f>IF(B468="", "", Inventory!E476)</f>
        <v/>
      </c>
      <c r="M468" s="298" t="str">
        <f>IF(B468="","",IF(Cool_Type=Lookups!$L$9,Cool_Type,IF(Cool_Type=Lookups!$L$10,Cool_Type,IF(Cool_Type=Lookups!$L$11,Cool_Type,IF(Cool_Type=Lookups!L478,Cool_Type,IF('Project Info and Summary'!$C$20="Electric",CONCATENATE(Cool_Type," ",Heating_Type," Heat"),IF('Project Info and Summary'!$C$20="Non-Electric",CONCATENATE(Cool_Type," ",Heating_Type," Heat"),CONCATENATE(Cool_Type," ",Heating_Type))))))))</f>
        <v/>
      </c>
      <c r="N468" s="298" t="str">
        <f t="shared" si="31"/>
        <v/>
      </c>
      <c r="O468" s="298" t="str">
        <f>IF(B468="", "", 'Lighting Inventory (Ref only)'!G479)</f>
        <v/>
      </c>
      <c r="P468" s="298" t="str">
        <f>IF(B468="", "", 'Lighting Inventory (Ref only)'!E479)</f>
        <v/>
      </c>
      <c r="Q468" s="298" t="str">
        <f>IF(B468="", "", 'Lighting Inventory (Ref only)'!J479)</f>
        <v/>
      </c>
      <c r="R468" s="298" t="str">
        <f>IF(B468="", "",'Lighting Inventory (Ref only)'!K479)</f>
        <v/>
      </c>
      <c r="S468" s="372" t="str">
        <f>IF(B468="", "", 'Lighting Inventory (Ref only)'!G479*'Lighting Inventory (Ref only)'!K479/1000)</f>
        <v/>
      </c>
      <c r="T468" s="298" t="str">
        <f>IF(B468="", "", IF('Lighting Inventory (Ref only)'!I479="", "Light Switch",Inventory!H476))</f>
        <v/>
      </c>
      <c r="W468" s="373"/>
      <c r="X468" s="298" t="str">
        <f>IF(B468="", "", 'Lighting Inventory (Ref only)'!Q479)</f>
        <v/>
      </c>
      <c r="Z468" s="374"/>
      <c r="AA468" s="372" t="str">
        <f>IF(B468="", "",'Lighting Inventory (Ref only)'!R479/1000)</f>
        <v/>
      </c>
      <c r="AB468" s="372" t="str">
        <f>IF(B468="", "", Inventory!M476)</f>
        <v/>
      </c>
      <c r="AC468" s="374" t="str">
        <f>IF(B468="", "", 'Lighting Inventory (Ref only)'!T479)</f>
        <v/>
      </c>
      <c r="AD468" s="374" t="str">
        <f>IF(C468="", "", 'Lighting Inventory (Ref only)'!AA479)</f>
        <v/>
      </c>
      <c r="AE468" s="375" t="str">
        <f>IF(B468="", "", 'Lighting Inventory (Ref only)'!U479)</f>
        <v/>
      </c>
      <c r="AF468" s="375" t="str">
        <f>IF(B468="", "",'Lighting Inventory (Ref only)'!W479)</f>
        <v/>
      </c>
      <c r="AG468" s="375"/>
      <c r="AH468" s="375" t="str">
        <f>IF(B468="", "",'Lighting Inventory (Ref only)'!Z479)</f>
        <v/>
      </c>
      <c r="AI468" s="375" t="str">
        <f>IF(B468="", "", 'Lighting Inventory (Ref only)'!Y479)</f>
        <v/>
      </c>
      <c r="AJ468" s="375" t="str">
        <f>IF(C468="", "",'Lighting Inventory (Ref only)'!AB479)</f>
        <v/>
      </c>
      <c r="AK468" s="375" t="str">
        <f>IF(B468="", "", 'Lighting Inventory (Ref only)'!AG479)</f>
        <v/>
      </c>
      <c r="AL468" s="375" t="str">
        <f>IF(B468="", "", 'Lighting Inventory (Ref only)'!AD479)</f>
        <v/>
      </c>
      <c r="AM468" s="375" t="str">
        <f>IF(B468="", "", 'Lighting Inventory (Ref only)'!AE479)</f>
        <v/>
      </c>
      <c r="AN468" s="375" t="str">
        <f>IF(B468="", "", 'Lighting Inventory (Ref only)'!AF479)</f>
        <v/>
      </c>
      <c r="AO468" s="375" t="str">
        <f>IF(B468="", "", 'Lighting Inventory (Ref only)'!AG479)</f>
        <v/>
      </c>
    </row>
    <row r="469" spans="1:41">
      <c r="A469" s="298" t="str">
        <f>IF(G469="", "", Lookups!BF471)</f>
        <v/>
      </c>
      <c r="B469" s="298" t="str">
        <f>IF('Lighting Inventory (Ref only)'!Q480="", "", 'Lighting Inventory (Ref only)'!Q480)</f>
        <v/>
      </c>
      <c r="C469" s="298" t="str">
        <f>IF(A469="", "", 'Lighting Inventory (Ref only)'!AO480)</f>
        <v/>
      </c>
      <c r="D469" s="370" t="str">
        <f>IF(B469= "","", Inventory!S477)</f>
        <v/>
      </c>
      <c r="E469" s="371"/>
      <c r="F469" s="298" t="str">
        <f>IF(B469="", "", 'Version Log'!$B$34)</f>
        <v/>
      </c>
      <c r="G469" s="298" t="str">
        <f t="shared" si="28"/>
        <v/>
      </c>
      <c r="H469" s="298" t="str">
        <f t="shared" si="29"/>
        <v/>
      </c>
      <c r="I469" s="298" t="str">
        <f>IF(B469="", "",Inventory!D477)</f>
        <v/>
      </c>
      <c r="J469" s="298" t="str">
        <f>IF(B469="","",IF(Inventory!C477="N","Interior","Exterior"))</f>
        <v/>
      </c>
      <c r="K469" s="298" t="str">
        <f t="shared" si="30"/>
        <v/>
      </c>
      <c r="L469" s="298" t="str">
        <f>IF(B469="", "", Inventory!E477)</f>
        <v/>
      </c>
      <c r="M469" s="298" t="str">
        <f>IF(B469="","",IF(Cool_Type=Lookups!$L$9,Cool_Type,IF(Cool_Type=Lookups!$L$10,Cool_Type,IF(Cool_Type=Lookups!$L$11,Cool_Type,IF(Cool_Type=Lookups!L479,Cool_Type,IF('Project Info and Summary'!$C$20="Electric",CONCATENATE(Cool_Type," ",Heating_Type," Heat"),IF('Project Info and Summary'!$C$20="Non-Electric",CONCATENATE(Cool_Type," ",Heating_Type," Heat"),CONCATENATE(Cool_Type," ",Heating_Type))))))))</f>
        <v/>
      </c>
      <c r="N469" s="298" t="str">
        <f t="shared" si="31"/>
        <v/>
      </c>
      <c r="O469" s="298" t="str">
        <f>IF(B469="", "", 'Lighting Inventory (Ref only)'!G480)</f>
        <v/>
      </c>
      <c r="P469" s="298" t="str">
        <f>IF(B469="", "", 'Lighting Inventory (Ref only)'!E480)</f>
        <v/>
      </c>
      <c r="Q469" s="298" t="str">
        <f>IF(B469="", "", 'Lighting Inventory (Ref only)'!J480)</f>
        <v/>
      </c>
      <c r="R469" s="298" t="str">
        <f>IF(B469="", "",'Lighting Inventory (Ref only)'!K480)</f>
        <v/>
      </c>
      <c r="S469" s="372" t="str">
        <f>IF(B469="", "", 'Lighting Inventory (Ref only)'!G480*'Lighting Inventory (Ref only)'!K480/1000)</f>
        <v/>
      </c>
      <c r="T469" s="298" t="str">
        <f>IF(B469="", "", IF('Lighting Inventory (Ref only)'!I480="", "Light Switch",Inventory!H477))</f>
        <v/>
      </c>
      <c r="W469" s="373"/>
      <c r="X469" s="298" t="str">
        <f>IF(B469="", "", 'Lighting Inventory (Ref only)'!Q480)</f>
        <v/>
      </c>
      <c r="Z469" s="374"/>
      <c r="AA469" s="372" t="str">
        <f>IF(B469="", "",'Lighting Inventory (Ref only)'!R480/1000)</f>
        <v/>
      </c>
      <c r="AB469" s="372" t="str">
        <f>IF(B469="", "", Inventory!M477)</f>
        <v/>
      </c>
      <c r="AC469" s="374" t="str">
        <f>IF(B469="", "", 'Lighting Inventory (Ref only)'!T480)</f>
        <v/>
      </c>
      <c r="AD469" s="374" t="str">
        <f>IF(C469="", "", 'Lighting Inventory (Ref only)'!AA480)</f>
        <v/>
      </c>
      <c r="AE469" s="375" t="str">
        <f>IF(B469="", "", 'Lighting Inventory (Ref only)'!U480)</f>
        <v/>
      </c>
      <c r="AF469" s="375" t="str">
        <f>IF(B469="", "",'Lighting Inventory (Ref only)'!W480)</f>
        <v/>
      </c>
      <c r="AG469" s="375"/>
      <c r="AH469" s="375" t="str">
        <f>IF(B469="", "",'Lighting Inventory (Ref only)'!Z480)</f>
        <v/>
      </c>
      <c r="AI469" s="375" t="str">
        <f>IF(B469="", "", 'Lighting Inventory (Ref only)'!Y480)</f>
        <v/>
      </c>
      <c r="AJ469" s="375" t="str">
        <f>IF(C469="", "",'Lighting Inventory (Ref only)'!AB480)</f>
        <v/>
      </c>
      <c r="AK469" s="375" t="str">
        <f>IF(B469="", "", 'Lighting Inventory (Ref only)'!AG480)</f>
        <v/>
      </c>
      <c r="AL469" s="375" t="str">
        <f>IF(B469="", "", 'Lighting Inventory (Ref only)'!AD480)</f>
        <v/>
      </c>
      <c r="AM469" s="375" t="str">
        <f>IF(B469="", "", 'Lighting Inventory (Ref only)'!AE480)</f>
        <v/>
      </c>
      <c r="AN469" s="375" t="str">
        <f>IF(B469="", "", 'Lighting Inventory (Ref only)'!AF480)</f>
        <v/>
      </c>
      <c r="AO469" s="375" t="str">
        <f>IF(B469="", "", 'Lighting Inventory (Ref only)'!AG480)</f>
        <v/>
      </c>
    </row>
    <row r="470" spans="1:41">
      <c r="A470" s="298" t="str">
        <f>IF(G470="", "", Lookups!BF472)</f>
        <v/>
      </c>
      <c r="B470" s="298" t="str">
        <f>IF('Lighting Inventory (Ref only)'!Q481="", "", 'Lighting Inventory (Ref only)'!Q481)</f>
        <v/>
      </c>
      <c r="C470" s="298" t="str">
        <f>IF(A470="", "", 'Lighting Inventory (Ref only)'!AO481)</f>
        <v/>
      </c>
      <c r="D470" s="370" t="str">
        <f>IF(B470= "","", Inventory!S478)</f>
        <v/>
      </c>
      <c r="E470" s="371"/>
      <c r="F470" s="298" t="str">
        <f>IF(B470="", "", 'Version Log'!$B$34)</f>
        <v/>
      </c>
      <c r="G470" s="298" t="str">
        <f t="shared" si="28"/>
        <v/>
      </c>
      <c r="H470" s="298" t="str">
        <f t="shared" si="29"/>
        <v/>
      </c>
      <c r="I470" s="298" t="str">
        <f>IF(B470="", "",Inventory!D478)</f>
        <v/>
      </c>
      <c r="J470" s="298" t="str">
        <f>IF(B470="","",IF(Inventory!C478="N","Interior","Exterior"))</f>
        <v/>
      </c>
      <c r="K470" s="298" t="str">
        <f t="shared" si="30"/>
        <v/>
      </c>
      <c r="L470" s="298" t="str">
        <f>IF(B470="", "", Inventory!E478)</f>
        <v/>
      </c>
      <c r="M470" s="298" t="str">
        <f>IF(B470="","",IF(Cool_Type=Lookups!$L$9,Cool_Type,IF(Cool_Type=Lookups!$L$10,Cool_Type,IF(Cool_Type=Lookups!$L$11,Cool_Type,IF(Cool_Type=Lookups!L480,Cool_Type,IF('Project Info and Summary'!$C$20="Electric",CONCATENATE(Cool_Type," ",Heating_Type," Heat"),IF('Project Info and Summary'!$C$20="Non-Electric",CONCATENATE(Cool_Type," ",Heating_Type," Heat"),CONCATENATE(Cool_Type," ",Heating_Type))))))))</f>
        <v/>
      </c>
      <c r="N470" s="298" t="str">
        <f t="shared" si="31"/>
        <v/>
      </c>
      <c r="O470" s="298" t="str">
        <f>IF(B470="", "", 'Lighting Inventory (Ref only)'!G481)</f>
        <v/>
      </c>
      <c r="P470" s="298" t="str">
        <f>IF(B470="", "", 'Lighting Inventory (Ref only)'!E481)</f>
        <v/>
      </c>
      <c r="Q470" s="298" t="str">
        <f>IF(B470="", "", 'Lighting Inventory (Ref only)'!J481)</f>
        <v/>
      </c>
      <c r="R470" s="298" t="str">
        <f>IF(B470="", "",'Lighting Inventory (Ref only)'!K481)</f>
        <v/>
      </c>
      <c r="S470" s="372" t="str">
        <f>IF(B470="", "", 'Lighting Inventory (Ref only)'!G481*'Lighting Inventory (Ref only)'!K481/1000)</f>
        <v/>
      </c>
      <c r="T470" s="298" t="str">
        <f>IF(B470="", "", IF('Lighting Inventory (Ref only)'!I481="", "Light Switch",Inventory!H478))</f>
        <v/>
      </c>
      <c r="W470" s="373"/>
      <c r="X470" s="298" t="str">
        <f>IF(B470="", "", 'Lighting Inventory (Ref only)'!Q481)</f>
        <v/>
      </c>
      <c r="Z470" s="374"/>
      <c r="AA470" s="372" t="str">
        <f>IF(B470="", "",'Lighting Inventory (Ref only)'!R481/1000)</f>
        <v/>
      </c>
      <c r="AB470" s="372" t="str">
        <f>IF(B470="", "", Inventory!M478)</f>
        <v/>
      </c>
      <c r="AC470" s="374" t="str">
        <f>IF(B470="", "", 'Lighting Inventory (Ref only)'!T481)</f>
        <v/>
      </c>
      <c r="AD470" s="374" t="str">
        <f>IF(C470="", "", 'Lighting Inventory (Ref only)'!AA481)</f>
        <v/>
      </c>
      <c r="AE470" s="375" t="str">
        <f>IF(B470="", "", 'Lighting Inventory (Ref only)'!U481)</f>
        <v/>
      </c>
      <c r="AF470" s="375" t="str">
        <f>IF(B470="", "",'Lighting Inventory (Ref only)'!W481)</f>
        <v/>
      </c>
      <c r="AG470" s="375"/>
      <c r="AH470" s="375" t="str">
        <f>IF(B470="", "",'Lighting Inventory (Ref only)'!Z481)</f>
        <v/>
      </c>
      <c r="AI470" s="375" t="str">
        <f>IF(B470="", "", 'Lighting Inventory (Ref only)'!Y481)</f>
        <v/>
      </c>
      <c r="AJ470" s="375" t="str">
        <f>IF(C470="", "",'Lighting Inventory (Ref only)'!AB481)</f>
        <v/>
      </c>
      <c r="AK470" s="375" t="str">
        <f>IF(B470="", "", 'Lighting Inventory (Ref only)'!AG481)</f>
        <v/>
      </c>
      <c r="AL470" s="375" t="str">
        <f>IF(B470="", "", 'Lighting Inventory (Ref only)'!AD481)</f>
        <v/>
      </c>
      <c r="AM470" s="375" t="str">
        <f>IF(B470="", "", 'Lighting Inventory (Ref only)'!AE481)</f>
        <v/>
      </c>
      <c r="AN470" s="375" t="str">
        <f>IF(B470="", "", 'Lighting Inventory (Ref only)'!AF481)</f>
        <v/>
      </c>
      <c r="AO470" s="375" t="str">
        <f>IF(B470="", "", 'Lighting Inventory (Ref only)'!AG481)</f>
        <v/>
      </c>
    </row>
    <row r="471" spans="1:41">
      <c r="A471" s="298" t="str">
        <f>IF(G471="", "", Lookups!BF473)</f>
        <v/>
      </c>
      <c r="B471" s="298" t="str">
        <f>IF('Lighting Inventory (Ref only)'!Q482="", "", 'Lighting Inventory (Ref only)'!Q482)</f>
        <v/>
      </c>
      <c r="C471" s="298" t="str">
        <f>IF(A471="", "", 'Lighting Inventory (Ref only)'!AO482)</f>
        <v/>
      </c>
      <c r="D471" s="370" t="str">
        <f>IF(B471= "","", Inventory!S479)</f>
        <v/>
      </c>
      <c r="E471" s="371"/>
      <c r="F471" s="298" t="str">
        <f>IF(B471="", "", 'Version Log'!$B$34)</f>
        <v/>
      </c>
      <c r="G471" s="298" t="str">
        <f t="shared" si="28"/>
        <v/>
      </c>
      <c r="H471" s="298" t="str">
        <f t="shared" si="29"/>
        <v/>
      </c>
      <c r="I471" s="298" t="str">
        <f>IF(B471="", "",Inventory!D479)</f>
        <v/>
      </c>
      <c r="J471" s="298" t="str">
        <f>IF(B471="","",IF(Inventory!C479="N","Interior","Exterior"))</f>
        <v/>
      </c>
      <c r="K471" s="298" t="str">
        <f t="shared" si="30"/>
        <v/>
      </c>
      <c r="L471" s="298" t="str">
        <f>IF(B471="", "", Inventory!E479)</f>
        <v/>
      </c>
      <c r="M471" s="298" t="str">
        <f>IF(B471="","",IF(Cool_Type=Lookups!$L$9,Cool_Type,IF(Cool_Type=Lookups!$L$10,Cool_Type,IF(Cool_Type=Lookups!$L$11,Cool_Type,IF(Cool_Type=Lookups!L481,Cool_Type,IF('Project Info and Summary'!$C$20="Electric",CONCATENATE(Cool_Type," ",Heating_Type," Heat"),IF('Project Info and Summary'!$C$20="Non-Electric",CONCATENATE(Cool_Type," ",Heating_Type," Heat"),CONCATENATE(Cool_Type," ",Heating_Type))))))))</f>
        <v/>
      </c>
      <c r="N471" s="298" t="str">
        <f t="shared" si="31"/>
        <v/>
      </c>
      <c r="O471" s="298" t="str">
        <f>IF(B471="", "", 'Lighting Inventory (Ref only)'!G482)</f>
        <v/>
      </c>
      <c r="P471" s="298" t="str">
        <f>IF(B471="", "", 'Lighting Inventory (Ref only)'!E482)</f>
        <v/>
      </c>
      <c r="Q471" s="298" t="str">
        <f>IF(B471="", "", 'Lighting Inventory (Ref only)'!J482)</f>
        <v/>
      </c>
      <c r="R471" s="298" t="str">
        <f>IF(B471="", "",'Lighting Inventory (Ref only)'!K482)</f>
        <v/>
      </c>
      <c r="S471" s="372" t="str">
        <f>IF(B471="", "", 'Lighting Inventory (Ref only)'!G482*'Lighting Inventory (Ref only)'!K482/1000)</f>
        <v/>
      </c>
      <c r="T471" s="298" t="str">
        <f>IF(B471="", "", IF('Lighting Inventory (Ref only)'!I482="", "Light Switch",Inventory!H479))</f>
        <v/>
      </c>
      <c r="W471" s="373"/>
      <c r="X471" s="298" t="str">
        <f>IF(B471="", "", 'Lighting Inventory (Ref only)'!Q482)</f>
        <v/>
      </c>
      <c r="Z471" s="374"/>
      <c r="AA471" s="372" t="str">
        <f>IF(B471="", "",'Lighting Inventory (Ref only)'!R482/1000)</f>
        <v/>
      </c>
      <c r="AB471" s="372" t="str">
        <f>IF(B471="", "", Inventory!M479)</f>
        <v/>
      </c>
      <c r="AC471" s="374" t="str">
        <f>IF(B471="", "", 'Lighting Inventory (Ref only)'!T482)</f>
        <v/>
      </c>
      <c r="AD471" s="374" t="str">
        <f>IF(C471="", "", 'Lighting Inventory (Ref only)'!AA482)</f>
        <v/>
      </c>
      <c r="AE471" s="375" t="str">
        <f>IF(B471="", "", 'Lighting Inventory (Ref only)'!U482)</f>
        <v/>
      </c>
      <c r="AF471" s="375" t="str">
        <f>IF(B471="", "",'Lighting Inventory (Ref only)'!W482)</f>
        <v/>
      </c>
      <c r="AG471" s="375"/>
      <c r="AH471" s="375" t="str">
        <f>IF(B471="", "",'Lighting Inventory (Ref only)'!Z482)</f>
        <v/>
      </c>
      <c r="AI471" s="375" t="str">
        <f>IF(B471="", "", 'Lighting Inventory (Ref only)'!Y482)</f>
        <v/>
      </c>
      <c r="AJ471" s="375" t="str">
        <f>IF(C471="", "",'Lighting Inventory (Ref only)'!AB482)</f>
        <v/>
      </c>
      <c r="AK471" s="375" t="str">
        <f>IF(B471="", "", 'Lighting Inventory (Ref only)'!AG482)</f>
        <v/>
      </c>
      <c r="AL471" s="375" t="str">
        <f>IF(B471="", "", 'Lighting Inventory (Ref only)'!AD482)</f>
        <v/>
      </c>
      <c r="AM471" s="375" t="str">
        <f>IF(B471="", "", 'Lighting Inventory (Ref only)'!AE482)</f>
        <v/>
      </c>
      <c r="AN471" s="375" t="str">
        <f>IF(B471="", "", 'Lighting Inventory (Ref only)'!AF482)</f>
        <v/>
      </c>
      <c r="AO471" s="375" t="str">
        <f>IF(B471="", "", 'Lighting Inventory (Ref only)'!AG482)</f>
        <v/>
      </c>
    </row>
    <row r="472" spans="1:41">
      <c r="A472" s="298" t="str">
        <f>IF(G472="", "", Lookups!BF474)</f>
        <v/>
      </c>
      <c r="B472" s="298" t="str">
        <f>IF('Lighting Inventory (Ref only)'!Q483="", "", 'Lighting Inventory (Ref only)'!Q483)</f>
        <v/>
      </c>
      <c r="C472" s="298" t="str">
        <f>IF(A472="", "", 'Lighting Inventory (Ref only)'!AO483)</f>
        <v/>
      </c>
      <c r="D472" s="370" t="str">
        <f>IF(B472= "","", Inventory!S480)</f>
        <v/>
      </c>
      <c r="E472" s="371"/>
      <c r="F472" s="298" t="str">
        <f>IF(B472="", "", 'Version Log'!$B$34)</f>
        <v/>
      </c>
      <c r="G472" s="298" t="str">
        <f t="shared" si="28"/>
        <v/>
      </c>
      <c r="H472" s="298" t="str">
        <f t="shared" si="29"/>
        <v/>
      </c>
      <c r="I472" s="298" t="str">
        <f>IF(B472="", "",Inventory!D480)</f>
        <v/>
      </c>
      <c r="J472" s="298" t="str">
        <f>IF(B472="","",IF(Inventory!C480="N","Interior","Exterior"))</f>
        <v/>
      </c>
      <c r="K472" s="298" t="str">
        <f t="shared" si="30"/>
        <v/>
      </c>
      <c r="L472" s="298" t="str">
        <f>IF(B472="", "", Inventory!E480)</f>
        <v/>
      </c>
      <c r="M472" s="298" t="str">
        <f>IF(B472="","",IF(Cool_Type=Lookups!$L$9,Cool_Type,IF(Cool_Type=Lookups!$L$10,Cool_Type,IF(Cool_Type=Lookups!$L$11,Cool_Type,IF(Cool_Type=Lookups!L482,Cool_Type,IF('Project Info and Summary'!$C$20="Electric",CONCATENATE(Cool_Type," ",Heating_Type," Heat"),IF('Project Info and Summary'!$C$20="Non-Electric",CONCATENATE(Cool_Type," ",Heating_Type," Heat"),CONCATENATE(Cool_Type," ",Heating_Type))))))))</f>
        <v/>
      </c>
      <c r="N472" s="298" t="str">
        <f t="shared" si="31"/>
        <v/>
      </c>
      <c r="O472" s="298" t="str">
        <f>IF(B472="", "", 'Lighting Inventory (Ref only)'!G483)</f>
        <v/>
      </c>
      <c r="P472" s="298" t="str">
        <f>IF(B472="", "", 'Lighting Inventory (Ref only)'!E483)</f>
        <v/>
      </c>
      <c r="Q472" s="298" t="str">
        <f>IF(B472="", "", 'Lighting Inventory (Ref only)'!J483)</f>
        <v/>
      </c>
      <c r="R472" s="298" t="str">
        <f>IF(B472="", "",'Lighting Inventory (Ref only)'!K483)</f>
        <v/>
      </c>
      <c r="S472" s="372" t="str">
        <f>IF(B472="", "", 'Lighting Inventory (Ref only)'!G483*'Lighting Inventory (Ref only)'!K483/1000)</f>
        <v/>
      </c>
      <c r="T472" s="298" t="str">
        <f>IF(B472="", "", IF('Lighting Inventory (Ref only)'!I483="", "Light Switch",Inventory!H480))</f>
        <v/>
      </c>
      <c r="W472" s="373"/>
      <c r="X472" s="298" t="str">
        <f>IF(B472="", "", 'Lighting Inventory (Ref only)'!Q483)</f>
        <v/>
      </c>
      <c r="Z472" s="374"/>
      <c r="AA472" s="372" t="str">
        <f>IF(B472="", "",'Lighting Inventory (Ref only)'!R483/1000)</f>
        <v/>
      </c>
      <c r="AB472" s="372" t="str">
        <f>IF(B472="", "", Inventory!M480)</f>
        <v/>
      </c>
      <c r="AC472" s="374" t="str">
        <f>IF(B472="", "", 'Lighting Inventory (Ref only)'!T483)</f>
        <v/>
      </c>
      <c r="AD472" s="374" t="str">
        <f>IF(C472="", "", 'Lighting Inventory (Ref only)'!AA483)</f>
        <v/>
      </c>
      <c r="AE472" s="375" t="str">
        <f>IF(B472="", "", 'Lighting Inventory (Ref only)'!U483)</f>
        <v/>
      </c>
      <c r="AF472" s="375" t="str">
        <f>IF(B472="", "",'Lighting Inventory (Ref only)'!W483)</f>
        <v/>
      </c>
      <c r="AG472" s="375"/>
      <c r="AH472" s="375" t="str">
        <f>IF(B472="", "",'Lighting Inventory (Ref only)'!Z483)</f>
        <v/>
      </c>
      <c r="AI472" s="375" t="str">
        <f>IF(B472="", "", 'Lighting Inventory (Ref only)'!Y483)</f>
        <v/>
      </c>
      <c r="AJ472" s="375" t="str">
        <f>IF(C472="", "",'Lighting Inventory (Ref only)'!AB483)</f>
        <v/>
      </c>
      <c r="AK472" s="375" t="str">
        <f>IF(B472="", "", 'Lighting Inventory (Ref only)'!AG483)</f>
        <v/>
      </c>
      <c r="AL472" s="375" t="str">
        <f>IF(B472="", "", 'Lighting Inventory (Ref only)'!AD483)</f>
        <v/>
      </c>
      <c r="AM472" s="375" t="str">
        <f>IF(B472="", "", 'Lighting Inventory (Ref only)'!AE483)</f>
        <v/>
      </c>
      <c r="AN472" s="375" t="str">
        <f>IF(B472="", "", 'Lighting Inventory (Ref only)'!AF483)</f>
        <v/>
      </c>
      <c r="AO472" s="375" t="str">
        <f>IF(B472="", "", 'Lighting Inventory (Ref only)'!AG483)</f>
        <v/>
      </c>
    </row>
    <row r="473" spans="1:41">
      <c r="A473" s="298" t="str">
        <f>IF(G473="", "", Lookups!BF475)</f>
        <v/>
      </c>
      <c r="B473" s="298" t="str">
        <f>IF('Lighting Inventory (Ref only)'!Q484="", "", 'Lighting Inventory (Ref only)'!Q484)</f>
        <v/>
      </c>
      <c r="C473" s="298" t="str">
        <f>IF(A473="", "", 'Lighting Inventory (Ref only)'!AO484)</f>
        <v/>
      </c>
      <c r="D473" s="370" t="str">
        <f>IF(B473= "","", Inventory!S481)</f>
        <v/>
      </c>
      <c r="E473" s="371"/>
      <c r="F473" s="298" t="str">
        <f>IF(B473="", "", 'Version Log'!$B$34)</f>
        <v/>
      </c>
      <c r="G473" s="298" t="str">
        <f t="shared" si="28"/>
        <v/>
      </c>
      <c r="H473" s="298" t="str">
        <f t="shared" si="29"/>
        <v/>
      </c>
      <c r="I473" s="298" t="str">
        <f>IF(B473="", "",Inventory!D481)</f>
        <v/>
      </c>
      <c r="J473" s="298" t="str">
        <f>IF(B473="","",IF(Inventory!C481="N","Interior","Exterior"))</f>
        <v/>
      </c>
      <c r="K473" s="298" t="str">
        <f t="shared" si="30"/>
        <v/>
      </c>
      <c r="L473" s="298" t="str">
        <f>IF(B473="", "", Inventory!E481)</f>
        <v/>
      </c>
      <c r="M473" s="298" t="str">
        <f>IF(B473="","",IF(Cool_Type=Lookups!$L$9,Cool_Type,IF(Cool_Type=Lookups!$L$10,Cool_Type,IF(Cool_Type=Lookups!$L$11,Cool_Type,IF(Cool_Type=Lookups!L483,Cool_Type,IF('Project Info and Summary'!$C$20="Electric",CONCATENATE(Cool_Type," ",Heating_Type," Heat"),IF('Project Info and Summary'!$C$20="Non-Electric",CONCATENATE(Cool_Type," ",Heating_Type," Heat"),CONCATENATE(Cool_Type," ",Heating_Type))))))))</f>
        <v/>
      </c>
      <c r="N473" s="298" t="str">
        <f t="shared" si="31"/>
        <v/>
      </c>
      <c r="O473" s="298" t="str">
        <f>IF(B473="", "", 'Lighting Inventory (Ref only)'!G484)</f>
        <v/>
      </c>
      <c r="P473" s="298" t="str">
        <f>IF(B473="", "", 'Lighting Inventory (Ref only)'!E484)</f>
        <v/>
      </c>
      <c r="Q473" s="298" t="str">
        <f>IF(B473="", "", 'Lighting Inventory (Ref only)'!J484)</f>
        <v/>
      </c>
      <c r="R473" s="298" t="str">
        <f>IF(B473="", "",'Lighting Inventory (Ref only)'!K484)</f>
        <v/>
      </c>
      <c r="S473" s="372" t="str">
        <f>IF(B473="", "", 'Lighting Inventory (Ref only)'!G484*'Lighting Inventory (Ref only)'!K484/1000)</f>
        <v/>
      </c>
      <c r="T473" s="298" t="str">
        <f>IF(B473="", "", IF('Lighting Inventory (Ref only)'!I484="", "Light Switch",Inventory!H481))</f>
        <v/>
      </c>
      <c r="W473" s="373"/>
      <c r="X473" s="298" t="str">
        <f>IF(B473="", "", 'Lighting Inventory (Ref only)'!Q484)</f>
        <v/>
      </c>
      <c r="Z473" s="374"/>
      <c r="AA473" s="372" t="str">
        <f>IF(B473="", "",'Lighting Inventory (Ref only)'!R484/1000)</f>
        <v/>
      </c>
      <c r="AB473" s="372" t="str">
        <f>IF(B473="", "", Inventory!M481)</f>
        <v/>
      </c>
      <c r="AC473" s="374" t="str">
        <f>IF(B473="", "", 'Lighting Inventory (Ref only)'!T484)</f>
        <v/>
      </c>
      <c r="AD473" s="374" t="str">
        <f>IF(C473="", "", 'Lighting Inventory (Ref only)'!AA484)</f>
        <v/>
      </c>
      <c r="AE473" s="375" t="str">
        <f>IF(B473="", "", 'Lighting Inventory (Ref only)'!U484)</f>
        <v/>
      </c>
      <c r="AF473" s="375" t="str">
        <f>IF(B473="", "",'Lighting Inventory (Ref only)'!W484)</f>
        <v/>
      </c>
      <c r="AG473" s="375"/>
      <c r="AH473" s="375" t="str">
        <f>IF(B473="", "",'Lighting Inventory (Ref only)'!Z484)</f>
        <v/>
      </c>
      <c r="AI473" s="375" t="str">
        <f>IF(B473="", "", 'Lighting Inventory (Ref only)'!Y484)</f>
        <v/>
      </c>
      <c r="AJ473" s="375" t="str">
        <f>IF(C473="", "",'Lighting Inventory (Ref only)'!AB484)</f>
        <v/>
      </c>
      <c r="AK473" s="375" t="str">
        <f>IF(B473="", "", 'Lighting Inventory (Ref only)'!AG484)</f>
        <v/>
      </c>
      <c r="AL473" s="375" t="str">
        <f>IF(B473="", "", 'Lighting Inventory (Ref only)'!AD484)</f>
        <v/>
      </c>
      <c r="AM473" s="375" t="str">
        <f>IF(B473="", "", 'Lighting Inventory (Ref only)'!AE484)</f>
        <v/>
      </c>
      <c r="AN473" s="375" t="str">
        <f>IF(B473="", "", 'Lighting Inventory (Ref only)'!AF484)</f>
        <v/>
      </c>
      <c r="AO473" s="375" t="str">
        <f>IF(B473="", "", 'Lighting Inventory (Ref only)'!AG484)</f>
        <v/>
      </c>
    </row>
    <row r="474" spans="1:41">
      <c r="A474" s="298" t="str">
        <f>IF(G474="", "", Lookups!BF476)</f>
        <v/>
      </c>
      <c r="B474" s="298" t="str">
        <f>IF('Lighting Inventory (Ref only)'!Q485="", "", 'Lighting Inventory (Ref only)'!Q485)</f>
        <v/>
      </c>
      <c r="C474" s="298" t="str">
        <f>IF(A474="", "", 'Lighting Inventory (Ref only)'!AO485)</f>
        <v/>
      </c>
      <c r="D474" s="370" t="str">
        <f>IF(B474= "","", Inventory!S482)</f>
        <v/>
      </c>
      <c r="E474" s="371"/>
      <c r="F474" s="298" t="str">
        <f>IF(B474="", "", 'Version Log'!$B$34)</f>
        <v/>
      </c>
      <c r="G474" s="298" t="str">
        <f t="shared" si="28"/>
        <v/>
      </c>
      <c r="H474" s="298" t="str">
        <f t="shared" si="29"/>
        <v/>
      </c>
      <c r="I474" s="298" t="str">
        <f>IF(B474="", "",Inventory!D482)</f>
        <v/>
      </c>
      <c r="J474" s="298" t="str">
        <f>IF(B474="","",IF(Inventory!C482="N","Interior","Exterior"))</f>
        <v/>
      </c>
      <c r="K474" s="298" t="str">
        <f t="shared" si="30"/>
        <v/>
      </c>
      <c r="L474" s="298" t="str">
        <f>IF(B474="", "", Inventory!E482)</f>
        <v/>
      </c>
      <c r="M474" s="298" t="str">
        <f>IF(B474="","",IF(Cool_Type=Lookups!$L$9,Cool_Type,IF(Cool_Type=Lookups!$L$10,Cool_Type,IF(Cool_Type=Lookups!$L$11,Cool_Type,IF(Cool_Type=Lookups!L484,Cool_Type,IF('Project Info and Summary'!$C$20="Electric",CONCATENATE(Cool_Type," ",Heating_Type," Heat"),IF('Project Info and Summary'!$C$20="Non-Electric",CONCATENATE(Cool_Type," ",Heating_Type," Heat"),CONCATENATE(Cool_Type," ",Heating_Type))))))))</f>
        <v/>
      </c>
      <c r="N474" s="298" t="str">
        <f t="shared" si="31"/>
        <v/>
      </c>
      <c r="O474" s="298" t="str">
        <f>IF(B474="", "", 'Lighting Inventory (Ref only)'!G485)</f>
        <v/>
      </c>
      <c r="P474" s="298" t="str">
        <f>IF(B474="", "", 'Lighting Inventory (Ref only)'!E485)</f>
        <v/>
      </c>
      <c r="Q474" s="298" t="str">
        <f>IF(B474="", "", 'Lighting Inventory (Ref only)'!J485)</f>
        <v/>
      </c>
      <c r="R474" s="298" t="str">
        <f>IF(B474="", "",'Lighting Inventory (Ref only)'!K485)</f>
        <v/>
      </c>
      <c r="S474" s="372" t="str">
        <f>IF(B474="", "", 'Lighting Inventory (Ref only)'!G485*'Lighting Inventory (Ref only)'!K485/1000)</f>
        <v/>
      </c>
      <c r="T474" s="298" t="str">
        <f>IF(B474="", "", IF('Lighting Inventory (Ref only)'!I485="", "Light Switch",Inventory!H482))</f>
        <v/>
      </c>
      <c r="W474" s="373"/>
      <c r="X474" s="298" t="str">
        <f>IF(B474="", "", 'Lighting Inventory (Ref only)'!Q485)</f>
        <v/>
      </c>
      <c r="Z474" s="374"/>
      <c r="AA474" s="372" t="str">
        <f>IF(B474="", "",'Lighting Inventory (Ref only)'!R485/1000)</f>
        <v/>
      </c>
      <c r="AB474" s="372" t="str">
        <f>IF(B474="", "", Inventory!M482)</f>
        <v/>
      </c>
      <c r="AC474" s="374" t="str">
        <f>IF(B474="", "", 'Lighting Inventory (Ref only)'!T485)</f>
        <v/>
      </c>
      <c r="AD474" s="374" t="str">
        <f>IF(C474="", "", 'Lighting Inventory (Ref only)'!AA485)</f>
        <v/>
      </c>
      <c r="AE474" s="375" t="str">
        <f>IF(B474="", "", 'Lighting Inventory (Ref only)'!U485)</f>
        <v/>
      </c>
      <c r="AF474" s="375" t="str">
        <f>IF(B474="", "",'Lighting Inventory (Ref only)'!W485)</f>
        <v/>
      </c>
      <c r="AG474" s="375"/>
      <c r="AH474" s="375" t="str">
        <f>IF(B474="", "",'Lighting Inventory (Ref only)'!Z485)</f>
        <v/>
      </c>
      <c r="AI474" s="375" t="str">
        <f>IF(B474="", "", 'Lighting Inventory (Ref only)'!Y485)</f>
        <v/>
      </c>
      <c r="AJ474" s="375" t="str">
        <f>IF(C474="", "",'Lighting Inventory (Ref only)'!AB485)</f>
        <v/>
      </c>
      <c r="AK474" s="375" t="str">
        <f>IF(B474="", "", 'Lighting Inventory (Ref only)'!AG485)</f>
        <v/>
      </c>
      <c r="AL474" s="375" t="str">
        <f>IF(B474="", "", 'Lighting Inventory (Ref only)'!AD485)</f>
        <v/>
      </c>
      <c r="AM474" s="375" t="str">
        <f>IF(B474="", "", 'Lighting Inventory (Ref only)'!AE485)</f>
        <v/>
      </c>
      <c r="AN474" s="375" t="str">
        <f>IF(B474="", "", 'Lighting Inventory (Ref only)'!AF485)</f>
        <v/>
      </c>
      <c r="AO474" s="375" t="str">
        <f>IF(B474="", "", 'Lighting Inventory (Ref only)'!AG485)</f>
        <v/>
      </c>
    </row>
    <row r="475" spans="1:41">
      <c r="A475" s="298" t="str">
        <f>IF(G475="", "", Lookups!BF477)</f>
        <v/>
      </c>
      <c r="B475" s="298" t="str">
        <f>IF('Lighting Inventory (Ref only)'!Q486="", "", 'Lighting Inventory (Ref only)'!Q486)</f>
        <v/>
      </c>
      <c r="C475" s="298" t="str">
        <f>IF(A475="", "", 'Lighting Inventory (Ref only)'!AO486)</f>
        <v/>
      </c>
      <c r="D475" s="370" t="str">
        <f>IF(B475= "","", Inventory!S483)</f>
        <v/>
      </c>
      <c r="E475" s="371"/>
      <c r="F475" s="298" t="str">
        <f>IF(B475="", "", 'Version Log'!$B$34)</f>
        <v/>
      </c>
      <c r="G475" s="298" t="str">
        <f t="shared" si="28"/>
        <v/>
      </c>
      <c r="H475" s="298" t="str">
        <f t="shared" si="29"/>
        <v/>
      </c>
      <c r="I475" s="298" t="str">
        <f>IF(B475="", "",Inventory!D483)</f>
        <v/>
      </c>
      <c r="J475" s="298" t="str">
        <f>IF(B475="","",IF(Inventory!C483="N","Interior","Exterior"))</f>
        <v/>
      </c>
      <c r="K475" s="298" t="str">
        <f t="shared" si="30"/>
        <v/>
      </c>
      <c r="L475" s="298" t="str">
        <f>IF(B475="", "", Inventory!E483)</f>
        <v/>
      </c>
      <c r="M475" s="298" t="str">
        <f>IF(B475="","",IF(Cool_Type=Lookups!$L$9,Cool_Type,IF(Cool_Type=Lookups!$L$10,Cool_Type,IF(Cool_Type=Lookups!$L$11,Cool_Type,IF(Cool_Type=Lookups!L485,Cool_Type,IF('Project Info and Summary'!$C$20="Electric",CONCATENATE(Cool_Type," ",Heating_Type," Heat"),IF('Project Info and Summary'!$C$20="Non-Electric",CONCATENATE(Cool_Type," ",Heating_Type," Heat"),CONCATENATE(Cool_Type," ",Heating_Type))))))))</f>
        <v/>
      </c>
      <c r="N475" s="298" t="str">
        <f t="shared" si="31"/>
        <v/>
      </c>
      <c r="O475" s="298" t="str">
        <f>IF(B475="", "", 'Lighting Inventory (Ref only)'!G486)</f>
        <v/>
      </c>
      <c r="P475" s="298" t="str">
        <f>IF(B475="", "", 'Lighting Inventory (Ref only)'!E486)</f>
        <v/>
      </c>
      <c r="Q475" s="298" t="str">
        <f>IF(B475="", "", 'Lighting Inventory (Ref only)'!J486)</f>
        <v/>
      </c>
      <c r="R475" s="298" t="str">
        <f>IF(B475="", "",'Lighting Inventory (Ref only)'!K486)</f>
        <v/>
      </c>
      <c r="S475" s="372" t="str">
        <f>IF(B475="", "", 'Lighting Inventory (Ref only)'!G486*'Lighting Inventory (Ref only)'!K486/1000)</f>
        <v/>
      </c>
      <c r="T475" s="298" t="str">
        <f>IF(B475="", "", IF('Lighting Inventory (Ref only)'!I486="", "Light Switch",Inventory!H483))</f>
        <v/>
      </c>
      <c r="W475" s="373"/>
      <c r="X475" s="298" t="str">
        <f>IF(B475="", "", 'Lighting Inventory (Ref only)'!Q486)</f>
        <v/>
      </c>
      <c r="Z475" s="374"/>
      <c r="AA475" s="372" t="str">
        <f>IF(B475="", "",'Lighting Inventory (Ref only)'!R486/1000)</f>
        <v/>
      </c>
      <c r="AB475" s="372" t="str">
        <f>IF(B475="", "", Inventory!M483)</f>
        <v/>
      </c>
      <c r="AC475" s="374" t="str">
        <f>IF(B475="", "", 'Lighting Inventory (Ref only)'!T486)</f>
        <v/>
      </c>
      <c r="AD475" s="374" t="str">
        <f>IF(C475="", "", 'Lighting Inventory (Ref only)'!AA486)</f>
        <v/>
      </c>
      <c r="AE475" s="375" t="str">
        <f>IF(B475="", "", 'Lighting Inventory (Ref only)'!U486)</f>
        <v/>
      </c>
      <c r="AF475" s="375" t="str">
        <f>IF(B475="", "",'Lighting Inventory (Ref only)'!W486)</f>
        <v/>
      </c>
      <c r="AG475" s="375"/>
      <c r="AH475" s="375" t="str">
        <f>IF(B475="", "",'Lighting Inventory (Ref only)'!Z486)</f>
        <v/>
      </c>
      <c r="AI475" s="375" t="str">
        <f>IF(B475="", "", 'Lighting Inventory (Ref only)'!Y486)</f>
        <v/>
      </c>
      <c r="AJ475" s="375" t="str">
        <f>IF(C475="", "",'Lighting Inventory (Ref only)'!AB486)</f>
        <v/>
      </c>
      <c r="AK475" s="375" t="str">
        <f>IF(B475="", "", 'Lighting Inventory (Ref only)'!AG486)</f>
        <v/>
      </c>
      <c r="AL475" s="375" t="str">
        <f>IF(B475="", "", 'Lighting Inventory (Ref only)'!AD486)</f>
        <v/>
      </c>
      <c r="AM475" s="375" t="str">
        <f>IF(B475="", "", 'Lighting Inventory (Ref only)'!AE486)</f>
        <v/>
      </c>
      <c r="AN475" s="375" t="str">
        <f>IF(B475="", "", 'Lighting Inventory (Ref only)'!AF486)</f>
        <v/>
      </c>
      <c r="AO475" s="375" t="str">
        <f>IF(B475="", "", 'Lighting Inventory (Ref only)'!AG486)</f>
        <v/>
      </c>
    </row>
    <row r="476" spans="1:41">
      <c r="A476" s="298" t="str">
        <f>IF(G476="", "", Lookups!BF478)</f>
        <v/>
      </c>
      <c r="B476" s="298" t="str">
        <f>IF('Lighting Inventory (Ref only)'!Q487="", "", 'Lighting Inventory (Ref only)'!Q487)</f>
        <v/>
      </c>
      <c r="C476" s="298" t="str">
        <f>IF(A476="", "", 'Lighting Inventory (Ref only)'!AO487)</f>
        <v/>
      </c>
      <c r="D476" s="370" t="str">
        <f>IF(B476= "","", Inventory!S484)</f>
        <v/>
      </c>
      <c r="E476" s="371"/>
      <c r="F476" s="298" t="str">
        <f>IF(B476="", "", 'Version Log'!$B$34)</f>
        <v/>
      </c>
      <c r="G476" s="298" t="str">
        <f t="shared" si="28"/>
        <v/>
      </c>
      <c r="H476" s="298" t="str">
        <f t="shared" si="29"/>
        <v/>
      </c>
      <c r="I476" s="298" t="str">
        <f>IF(B476="", "",Inventory!D484)</f>
        <v/>
      </c>
      <c r="J476" s="298" t="str">
        <f>IF(B476="","",IF(Inventory!C484="N","Interior","Exterior"))</f>
        <v/>
      </c>
      <c r="K476" s="298" t="str">
        <f t="shared" si="30"/>
        <v/>
      </c>
      <c r="L476" s="298" t="str">
        <f>IF(B476="", "", Inventory!E484)</f>
        <v/>
      </c>
      <c r="M476" s="298" t="str">
        <f>IF(B476="","",IF(Cool_Type=Lookups!$L$9,Cool_Type,IF(Cool_Type=Lookups!$L$10,Cool_Type,IF(Cool_Type=Lookups!$L$11,Cool_Type,IF(Cool_Type=Lookups!L486,Cool_Type,IF('Project Info and Summary'!$C$20="Electric",CONCATENATE(Cool_Type," ",Heating_Type," Heat"),IF('Project Info and Summary'!$C$20="Non-Electric",CONCATENATE(Cool_Type," ",Heating_Type," Heat"),CONCATENATE(Cool_Type," ",Heating_Type))))))))</f>
        <v/>
      </c>
      <c r="N476" s="298" t="str">
        <f t="shared" si="31"/>
        <v/>
      </c>
      <c r="O476" s="298" t="str">
        <f>IF(B476="", "", 'Lighting Inventory (Ref only)'!G487)</f>
        <v/>
      </c>
      <c r="P476" s="298" t="str">
        <f>IF(B476="", "", 'Lighting Inventory (Ref only)'!E487)</f>
        <v/>
      </c>
      <c r="Q476" s="298" t="str">
        <f>IF(B476="", "", 'Lighting Inventory (Ref only)'!J487)</f>
        <v/>
      </c>
      <c r="R476" s="298" t="str">
        <f>IF(B476="", "",'Lighting Inventory (Ref only)'!K487)</f>
        <v/>
      </c>
      <c r="S476" s="372" t="str">
        <f>IF(B476="", "", 'Lighting Inventory (Ref only)'!G487*'Lighting Inventory (Ref only)'!K487/1000)</f>
        <v/>
      </c>
      <c r="T476" s="298" t="str">
        <f>IF(B476="", "", IF('Lighting Inventory (Ref only)'!I487="", "Light Switch",Inventory!H484))</f>
        <v/>
      </c>
      <c r="W476" s="373"/>
      <c r="X476" s="298" t="str">
        <f>IF(B476="", "", 'Lighting Inventory (Ref only)'!Q487)</f>
        <v/>
      </c>
      <c r="Z476" s="374"/>
      <c r="AA476" s="372" t="str">
        <f>IF(B476="", "",'Lighting Inventory (Ref only)'!R487/1000)</f>
        <v/>
      </c>
      <c r="AB476" s="372" t="str">
        <f>IF(B476="", "", Inventory!M484)</f>
        <v/>
      </c>
      <c r="AC476" s="374" t="str">
        <f>IF(B476="", "", 'Lighting Inventory (Ref only)'!T487)</f>
        <v/>
      </c>
      <c r="AD476" s="374" t="str">
        <f>IF(C476="", "", 'Lighting Inventory (Ref only)'!AA487)</f>
        <v/>
      </c>
      <c r="AE476" s="375" t="str">
        <f>IF(B476="", "", 'Lighting Inventory (Ref only)'!U487)</f>
        <v/>
      </c>
      <c r="AF476" s="375" t="str">
        <f>IF(B476="", "",'Lighting Inventory (Ref only)'!W487)</f>
        <v/>
      </c>
      <c r="AG476" s="375"/>
      <c r="AH476" s="375" t="str">
        <f>IF(B476="", "",'Lighting Inventory (Ref only)'!Z487)</f>
        <v/>
      </c>
      <c r="AI476" s="375" t="str">
        <f>IF(B476="", "", 'Lighting Inventory (Ref only)'!Y487)</f>
        <v/>
      </c>
      <c r="AJ476" s="375" t="str">
        <f>IF(C476="", "",'Lighting Inventory (Ref only)'!AB487)</f>
        <v/>
      </c>
      <c r="AK476" s="375" t="str">
        <f>IF(B476="", "", 'Lighting Inventory (Ref only)'!AG487)</f>
        <v/>
      </c>
      <c r="AL476" s="375" t="str">
        <f>IF(B476="", "", 'Lighting Inventory (Ref only)'!AD487)</f>
        <v/>
      </c>
      <c r="AM476" s="375" t="str">
        <f>IF(B476="", "", 'Lighting Inventory (Ref only)'!AE487)</f>
        <v/>
      </c>
      <c r="AN476" s="375" t="str">
        <f>IF(B476="", "", 'Lighting Inventory (Ref only)'!AF487)</f>
        <v/>
      </c>
      <c r="AO476" s="375" t="str">
        <f>IF(B476="", "", 'Lighting Inventory (Ref only)'!AG487)</f>
        <v/>
      </c>
    </row>
    <row r="477" spans="1:41">
      <c r="A477" s="298" t="str">
        <f>IF(G477="", "", Lookups!BF479)</f>
        <v/>
      </c>
      <c r="B477" s="298" t="str">
        <f>IF('Lighting Inventory (Ref only)'!Q488="", "", 'Lighting Inventory (Ref only)'!Q488)</f>
        <v/>
      </c>
      <c r="C477" s="298" t="str">
        <f>IF(A477="", "", 'Lighting Inventory (Ref only)'!AO488)</f>
        <v/>
      </c>
      <c r="D477" s="370" t="str">
        <f>IF(B477= "","", Inventory!S485)</f>
        <v/>
      </c>
      <c r="E477" s="371"/>
      <c r="F477" s="298" t="str">
        <f>IF(B477="", "", 'Version Log'!$B$34)</f>
        <v/>
      </c>
      <c r="G477" s="298" t="str">
        <f t="shared" si="28"/>
        <v/>
      </c>
      <c r="H477" s="298" t="str">
        <f t="shared" si="29"/>
        <v/>
      </c>
      <c r="I477" s="298" t="str">
        <f>IF(B477="", "",Inventory!D485)</f>
        <v/>
      </c>
      <c r="J477" s="298" t="str">
        <f>IF(B477="","",IF(Inventory!C485="N","Interior","Exterior"))</f>
        <v/>
      </c>
      <c r="K477" s="298" t="str">
        <f t="shared" si="30"/>
        <v/>
      </c>
      <c r="L477" s="298" t="str">
        <f>IF(B477="", "", Inventory!E485)</f>
        <v/>
      </c>
      <c r="M477" s="298" t="str">
        <f>IF(B477="","",IF(Cool_Type=Lookups!$L$9,Cool_Type,IF(Cool_Type=Lookups!$L$10,Cool_Type,IF(Cool_Type=Lookups!$L$11,Cool_Type,IF(Cool_Type=Lookups!L487,Cool_Type,IF('Project Info and Summary'!$C$20="Electric",CONCATENATE(Cool_Type," ",Heating_Type," Heat"),IF('Project Info and Summary'!$C$20="Non-Electric",CONCATENATE(Cool_Type," ",Heating_Type," Heat"),CONCATENATE(Cool_Type," ",Heating_Type))))))))</f>
        <v/>
      </c>
      <c r="N477" s="298" t="str">
        <f t="shared" si="31"/>
        <v/>
      </c>
      <c r="O477" s="298" t="str">
        <f>IF(B477="", "", 'Lighting Inventory (Ref only)'!G488)</f>
        <v/>
      </c>
      <c r="P477" s="298" t="str">
        <f>IF(B477="", "", 'Lighting Inventory (Ref only)'!E488)</f>
        <v/>
      </c>
      <c r="Q477" s="298" t="str">
        <f>IF(B477="", "", 'Lighting Inventory (Ref only)'!J488)</f>
        <v/>
      </c>
      <c r="R477" s="298" t="str">
        <f>IF(B477="", "",'Lighting Inventory (Ref only)'!K488)</f>
        <v/>
      </c>
      <c r="S477" s="372" t="str">
        <f>IF(B477="", "", 'Lighting Inventory (Ref only)'!G488*'Lighting Inventory (Ref only)'!K488/1000)</f>
        <v/>
      </c>
      <c r="T477" s="298" t="str">
        <f>IF(B477="", "", IF('Lighting Inventory (Ref only)'!I488="", "Light Switch",Inventory!H485))</f>
        <v/>
      </c>
      <c r="W477" s="373"/>
      <c r="X477" s="298" t="str">
        <f>IF(B477="", "", 'Lighting Inventory (Ref only)'!Q488)</f>
        <v/>
      </c>
      <c r="Z477" s="374"/>
      <c r="AA477" s="372" t="str">
        <f>IF(B477="", "",'Lighting Inventory (Ref only)'!R488/1000)</f>
        <v/>
      </c>
      <c r="AB477" s="372" t="str">
        <f>IF(B477="", "", Inventory!M485)</f>
        <v/>
      </c>
      <c r="AC477" s="374" t="str">
        <f>IF(B477="", "", 'Lighting Inventory (Ref only)'!T488)</f>
        <v/>
      </c>
      <c r="AD477" s="374" t="str">
        <f>IF(C477="", "", 'Lighting Inventory (Ref only)'!AA488)</f>
        <v/>
      </c>
      <c r="AE477" s="375" t="str">
        <f>IF(B477="", "", 'Lighting Inventory (Ref only)'!U488)</f>
        <v/>
      </c>
      <c r="AF477" s="375" t="str">
        <f>IF(B477="", "",'Lighting Inventory (Ref only)'!W488)</f>
        <v/>
      </c>
      <c r="AG477" s="375"/>
      <c r="AH477" s="375" t="str">
        <f>IF(B477="", "",'Lighting Inventory (Ref only)'!Z488)</f>
        <v/>
      </c>
      <c r="AI477" s="375" t="str">
        <f>IF(B477="", "", 'Lighting Inventory (Ref only)'!Y488)</f>
        <v/>
      </c>
      <c r="AJ477" s="375" t="str">
        <f>IF(C477="", "",'Lighting Inventory (Ref only)'!AB488)</f>
        <v/>
      </c>
      <c r="AK477" s="375" t="str">
        <f>IF(B477="", "", 'Lighting Inventory (Ref only)'!AG488)</f>
        <v/>
      </c>
      <c r="AL477" s="375" t="str">
        <f>IF(B477="", "", 'Lighting Inventory (Ref only)'!AD488)</f>
        <v/>
      </c>
      <c r="AM477" s="375" t="str">
        <f>IF(B477="", "", 'Lighting Inventory (Ref only)'!AE488)</f>
        <v/>
      </c>
      <c r="AN477" s="375" t="str">
        <f>IF(B477="", "", 'Lighting Inventory (Ref only)'!AF488)</f>
        <v/>
      </c>
      <c r="AO477" s="375" t="str">
        <f>IF(B477="", "", 'Lighting Inventory (Ref only)'!AG488)</f>
        <v/>
      </c>
    </row>
    <row r="478" spans="1:41">
      <c r="A478" s="298" t="str">
        <f>IF(G478="", "", Lookups!BF480)</f>
        <v/>
      </c>
      <c r="B478" s="298" t="str">
        <f>IF('Lighting Inventory (Ref only)'!Q489="", "", 'Lighting Inventory (Ref only)'!Q489)</f>
        <v/>
      </c>
      <c r="C478" s="298" t="str">
        <f>IF(A478="", "", 'Lighting Inventory (Ref only)'!AO489)</f>
        <v/>
      </c>
      <c r="D478" s="370" t="str">
        <f>IF(B478= "","", Inventory!S486)</f>
        <v/>
      </c>
      <c r="E478" s="371"/>
      <c r="F478" s="298" t="str">
        <f>IF(B478="", "", 'Version Log'!$B$34)</f>
        <v/>
      </c>
      <c r="G478" s="298" t="str">
        <f t="shared" si="28"/>
        <v/>
      </c>
      <c r="H478" s="298" t="str">
        <f t="shared" si="29"/>
        <v/>
      </c>
      <c r="I478" s="298" t="str">
        <f>IF(B478="", "",Inventory!D486)</f>
        <v/>
      </c>
      <c r="J478" s="298" t="str">
        <f>IF(B478="","",IF(Inventory!C486="N","Interior","Exterior"))</f>
        <v/>
      </c>
      <c r="K478" s="298" t="str">
        <f t="shared" si="30"/>
        <v/>
      </c>
      <c r="L478" s="298" t="str">
        <f>IF(B478="", "", Inventory!E486)</f>
        <v/>
      </c>
      <c r="M478" s="298" t="str">
        <f>IF(B478="","",IF(Cool_Type=Lookups!$L$9,Cool_Type,IF(Cool_Type=Lookups!$L$10,Cool_Type,IF(Cool_Type=Lookups!$L$11,Cool_Type,IF(Cool_Type=Lookups!L488,Cool_Type,IF('Project Info and Summary'!$C$20="Electric",CONCATENATE(Cool_Type," ",Heating_Type," Heat"),IF('Project Info and Summary'!$C$20="Non-Electric",CONCATENATE(Cool_Type," ",Heating_Type," Heat"),CONCATENATE(Cool_Type," ",Heating_Type))))))))</f>
        <v/>
      </c>
      <c r="N478" s="298" t="str">
        <f t="shared" si="31"/>
        <v/>
      </c>
      <c r="O478" s="298" t="str">
        <f>IF(B478="", "", 'Lighting Inventory (Ref only)'!G489)</f>
        <v/>
      </c>
      <c r="P478" s="298" t="str">
        <f>IF(B478="", "", 'Lighting Inventory (Ref only)'!E489)</f>
        <v/>
      </c>
      <c r="Q478" s="298" t="str">
        <f>IF(B478="", "", 'Lighting Inventory (Ref only)'!J489)</f>
        <v/>
      </c>
      <c r="R478" s="298" t="str">
        <f>IF(B478="", "",'Lighting Inventory (Ref only)'!K489)</f>
        <v/>
      </c>
      <c r="S478" s="372" t="str">
        <f>IF(B478="", "", 'Lighting Inventory (Ref only)'!G489*'Lighting Inventory (Ref only)'!K489/1000)</f>
        <v/>
      </c>
      <c r="T478" s="298" t="str">
        <f>IF(B478="", "", IF('Lighting Inventory (Ref only)'!I489="", "Light Switch",Inventory!H486))</f>
        <v/>
      </c>
      <c r="W478" s="373"/>
      <c r="X478" s="298" t="str">
        <f>IF(B478="", "", 'Lighting Inventory (Ref only)'!Q489)</f>
        <v/>
      </c>
      <c r="Z478" s="374"/>
      <c r="AA478" s="372" t="str">
        <f>IF(B478="", "",'Lighting Inventory (Ref only)'!R489/1000)</f>
        <v/>
      </c>
      <c r="AB478" s="372" t="str">
        <f>IF(B478="", "", Inventory!M486)</f>
        <v/>
      </c>
      <c r="AC478" s="374" t="str">
        <f>IF(B478="", "", 'Lighting Inventory (Ref only)'!T489)</f>
        <v/>
      </c>
      <c r="AD478" s="374" t="str">
        <f>IF(C478="", "", 'Lighting Inventory (Ref only)'!AA489)</f>
        <v/>
      </c>
      <c r="AE478" s="375" t="str">
        <f>IF(B478="", "", 'Lighting Inventory (Ref only)'!U489)</f>
        <v/>
      </c>
      <c r="AF478" s="375" t="str">
        <f>IF(B478="", "",'Lighting Inventory (Ref only)'!W489)</f>
        <v/>
      </c>
      <c r="AG478" s="375"/>
      <c r="AH478" s="375" t="str">
        <f>IF(B478="", "",'Lighting Inventory (Ref only)'!Z489)</f>
        <v/>
      </c>
      <c r="AI478" s="375" t="str">
        <f>IF(B478="", "", 'Lighting Inventory (Ref only)'!Y489)</f>
        <v/>
      </c>
      <c r="AJ478" s="375" t="str">
        <f>IF(C478="", "",'Lighting Inventory (Ref only)'!AB489)</f>
        <v/>
      </c>
      <c r="AK478" s="375" t="str">
        <f>IF(B478="", "", 'Lighting Inventory (Ref only)'!AG489)</f>
        <v/>
      </c>
      <c r="AL478" s="375" t="str">
        <f>IF(B478="", "", 'Lighting Inventory (Ref only)'!AD489)</f>
        <v/>
      </c>
      <c r="AM478" s="375" t="str">
        <f>IF(B478="", "", 'Lighting Inventory (Ref only)'!AE489)</f>
        <v/>
      </c>
      <c r="AN478" s="375" t="str">
        <f>IF(B478="", "", 'Lighting Inventory (Ref only)'!AF489)</f>
        <v/>
      </c>
      <c r="AO478" s="375" t="str">
        <f>IF(B478="", "", 'Lighting Inventory (Ref only)'!AG489)</f>
        <v/>
      </c>
    </row>
    <row r="479" spans="1:41">
      <c r="A479" s="298" t="str">
        <f>IF(G479="", "", Lookups!BF481)</f>
        <v/>
      </c>
      <c r="B479" s="298" t="str">
        <f>IF('Lighting Inventory (Ref only)'!Q490="", "", 'Lighting Inventory (Ref only)'!Q490)</f>
        <v/>
      </c>
      <c r="C479" s="298" t="str">
        <f>IF(A479="", "", 'Lighting Inventory (Ref only)'!AO490)</f>
        <v/>
      </c>
      <c r="D479" s="370" t="str">
        <f>IF(B479= "","", Inventory!S487)</f>
        <v/>
      </c>
      <c r="E479" s="371"/>
      <c r="F479" s="298" t="str">
        <f>IF(B479="", "", 'Version Log'!$B$34)</f>
        <v/>
      </c>
      <c r="G479" s="298" t="str">
        <f t="shared" si="28"/>
        <v/>
      </c>
      <c r="H479" s="298" t="str">
        <f t="shared" si="29"/>
        <v/>
      </c>
      <c r="I479" s="298" t="str">
        <f>IF(B479="", "",Inventory!D487)</f>
        <v/>
      </c>
      <c r="J479" s="298" t="str">
        <f>IF(B479="","",IF(Inventory!C487="N","Interior","Exterior"))</f>
        <v/>
      </c>
      <c r="K479" s="298" t="str">
        <f t="shared" si="30"/>
        <v/>
      </c>
      <c r="L479" s="298" t="str">
        <f>IF(B479="", "", Inventory!E487)</f>
        <v/>
      </c>
      <c r="M479" s="298" t="str">
        <f>IF(B479="","",IF(Cool_Type=Lookups!$L$9,Cool_Type,IF(Cool_Type=Lookups!$L$10,Cool_Type,IF(Cool_Type=Lookups!$L$11,Cool_Type,IF(Cool_Type=Lookups!L489,Cool_Type,IF('Project Info and Summary'!$C$20="Electric",CONCATENATE(Cool_Type," ",Heating_Type," Heat"),IF('Project Info and Summary'!$C$20="Non-Electric",CONCATENATE(Cool_Type," ",Heating_Type," Heat"),CONCATENATE(Cool_Type," ",Heating_Type))))))))</f>
        <v/>
      </c>
      <c r="N479" s="298" t="str">
        <f t="shared" si="31"/>
        <v/>
      </c>
      <c r="O479" s="298" t="str">
        <f>IF(B479="", "", 'Lighting Inventory (Ref only)'!G490)</f>
        <v/>
      </c>
      <c r="P479" s="298" t="str">
        <f>IF(B479="", "", 'Lighting Inventory (Ref only)'!E490)</f>
        <v/>
      </c>
      <c r="Q479" s="298" t="str">
        <f>IF(B479="", "", 'Lighting Inventory (Ref only)'!J490)</f>
        <v/>
      </c>
      <c r="R479" s="298" t="str">
        <f>IF(B479="", "",'Lighting Inventory (Ref only)'!K490)</f>
        <v/>
      </c>
      <c r="S479" s="372" t="str">
        <f>IF(B479="", "", 'Lighting Inventory (Ref only)'!G490*'Lighting Inventory (Ref only)'!K490/1000)</f>
        <v/>
      </c>
      <c r="T479" s="298" t="str">
        <f>IF(B479="", "", IF('Lighting Inventory (Ref only)'!I490="", "Light Switch",Inventory!H487))</f>
        <v/>
      </c>
      <c r="W479" s="373"/>
      <c r="X479" s="298" t="str">
        <f>IF(B479="", "", 'Lighting Inventory (Ref only)'!Q490)</f>
        <v/>
      </c>
      <c r="Z479" s="374"/>
      <c r="AA479" s="372" t="str">
        <f>IF(B479="", "",'Lighting Inventory (Ref only)'!R490/1000)</f>
        <v/>
      </c>
      <c r="AB479" s="372" t="str">
        <f>IF(B479="", "", Inventory!M487)</f>
        <v/>
      </c>
      <c r="AC479" s="374" t="str">
        <f>IF(B479="", "", 'Lighting Inventory (Ref only)'!T490)</f>
        <v/>
      </c>
      <c r="AD479" s="374" t="str">
        <f>IF(C479="", "", 'Lighting Inventory (Ref only)'!AA490)</f>
        <v/>
      </c>
      <c r="AE479" s="375" t="str">
        <f>IF(B479="", "", 'Lighting Inventory (Ref only)'!U490)</f>
        <v/>
      </c>
      <c r="AF479" s="375" t="str">
        <f>IF(B479="", "",'Lighting Inventory (Ref only)'!W490)</f>
        <v/>
      </c>
      <c r="AG479" s="375"/>
      <c r="AH479" s="375" t="str">
        <f>IF(B479="", "",'Lighting Inventory (Ref only)'!Z490)</f>
        <v/>
      </c>
      <c r="AI479" s="375" t="str">
        <f>IF(B479="", "", 'Lighting Inventory (Ref only)'!Y490)</f>
        <v/>
      </c>
      <c r="AJ479" s="375" t="str">
        <f>IF(C479="", "",'Lighting Inventory (Ref only)'!AB490)</f>
        <v/>
      </c>
      <c r="AK479" s="375" t="str">
        <f>IF(B479="", "", 'Lighting Inventory (Ref only)'!AG490)</f>
        <v/>
      </c>
      <c r="AL479" s="375" t="str">
        <f>IF(B479="", "", 'Lighting Inventory (Ref only)'!AD490)</f>
        <v/>
      </c>
      <c r="AM479" s="375" t="str">
        <f>IF(B479="", "", 'Lighting Inventory (Ref only)'!AE490)</f>
        <v/>
      </c>
      <c r="AN479" s="375" t="str">
        <f>IF(B479="", "", 'Lighting Inventory (Ref only)'!AF490)</f>
        <v/>
      </c>
      <c r="AO479" s="375" t="str">
        <f>IF(B479="", "", 'Lighting Inventory (Ref only)'!AG490)</f>
        <v/>
      </c>
    </row>
    <row r="480" spans="1:41">
      <c r="A480" s="298" t="str">
        <f>IF(G480="", "", Lookups!BF482)</f>
        <v/>
      </c>
      <c r="B480" s="298" t="str">
        <f>IF('Lighting Inventory (Ref only)'!Q491="", "", 'Lighting Inventory (Ref only)'!Q491)</f>
        <v/>
      </c>
      <c r="C480" s="298" t="str">
        <f>IF(A480="", "", 'Lighting Inventory (Ref only)'!AO491)</f>
        <v/>
      </c>
      <c r="D480" s="370" t="str">
        <f>IF(B480= "","", Inventory!S488)</f>
        <v/>
      </c>
      <c r="E480" s="371"/>
      <c r="F480" s="298" t="str">
        <f>IF(B480="", "", 'Version Log'!$B$34)</f>
        <v/>
      </c>
      <c r="G480" s="298" t="str">
        <f t="shared" si="28"/>
        <v/>
      </c>
      <c r="H480" s="298" t="str">
        <f t="shared" si="29"/>
        <v/>
      </c>
      <c r="I480" s="298" t="str">
        <f>IF(B480="", "",Inventory!D488)</f>
        <v/>
      </c>
      <c r="J480" s="298" t="str">
        <f>IF(B480="","",IF(Inventory!C488="N","Interior","Exterior"))</f>
        <v/>
      </c>
      <c r="K480" s="298" t="str">
        <f t="shared" si="30"/>
        <v/>
      </c>
      <c r="L480" s="298" t="str">
        <f>IF(B480="", "", Inventory!E488)</f>
        <v/>
      </c>
      <c r="M480" s="298" t="str">
        <f>IF(B480="","",IF(Cool_Type=Lookups!$L$9,Cool_Type,IF(Cool_Type=Lookups!$L$10,Cool_Type,IF(Cool_Type=Lookups!$L$11,Cool_Type,IF(Cool_Type=Lookups!L490,Cool_Type,IF('Project Info and Summary'!$C$20="Electric",CONCATENATE(Cool_Type," ",Heating_Type," Heat"),IF('Project Info and Summary'!$C$20="Non-Electric",CONCATENATE(Cool_Type," ",Heating_Type," Heat"),CONCATENATE(Cool_Type," ",Heating_Type))))))))</f>
        <v/>
      </c>
      <c r="N480" s="298" t="str">
        <f t="shared" si="31"/>
        <v/>
      </c>
      <c r="O480" s="298" t="str">
        <f>IF(B480="", "", 'Lighting Inventory (Ref only)'!G491)</f>
        <v/>
      </c>
      <c r="P480" s="298" t="str">
        <f>IF(B480="", "", 'Lighting Inventory (Ref only)'!E491)</f>
        <v/>
      </c>
      <c r="Q480" s="298" t="str">
        <f>IF(B480="", "", 'Lighting Inventory (Ref only)'!J491)</f>
        <v/>
      </c>
      <c r="R480" s="298" t="str">
        <f>IF(B480="", "",'Lighting Inventory (Ref only)'!K491)</f>
        <v/>
      </c>
      <c r="S480" s="372" t="str">
        <f>IF(B480="", "", 'Lighting Inventory (Ref only)'!G491*'Lighting Inventory (Ref only)'!K491/1000)</f>
        <v/>
      </c>
      <c r="T480" s="298" t="str">
        <f>IF(B480="", "", IF('Lighting Inventory (Ref only)'!I491="", "Light Switch",Inventory!H488))</f>
        <v/>
      </c>
      <c r="W480" s="373"/>
      <c r="X480" s="298" t="str">
        <f>IF(B480="", "", 'Lighting Inventory (Ref only)'!Q491)</f>
        <v/>
      </c>
      <c r="Z480" s="374"/>
      <c r="AA480" s="372" t="str">
        <f>IF(B480="", "",'Lighting Inventory (Ref only)'!R491/1000)</f>
        <v/>
      </c>
      <c r="AB480" s="372" t="str">
        <f>IF(B480="", "", Inventory!M488)</f>
        <v/>
      </c>
      <c r="AC480" s="374" t="str">
        <f>IF(B480="", "", 'Lighting Inventory (Ref only)'!T491)</f>
        <v/>
      </c>
      <c r="AD480" s="374" t="str">
        <f>IF(C480="", "", 'Lighting Inventory (Ref only)'!AA491)</f>
        <v/>
      </c>
      <c r="AE480" s="375" t="str">
        <f>IF(B480="", "", 'Lighting Inventory (Ref only)'!U491)</f>
        <v/>
      </c>
      <c r="AF480" s="375" t="str">
        <f>IF(B480="", "",'Lighting Inventory (Ref only)'!W491)</f>
        <v/>
      </c>
      <c r="AG480" s="375"/>
      <c r="AH480" s="375" t="str">
        <f>IF(B480="", "",'Lighting Inventory (Ref only)'!Z491)</f>
        <v/>
      </c>
      <c r="AI480" s="375" t="str">
        <f>IF(B480="", "", 'Lighting Inventory (Ref only)'!Y491)</f>
        <v/>
      </c>
      <c r="AJ480" s="375" t="str">
        <f>IF(C480="", "",'Lighting Inventory (Ref only)'!AB491)</f>
        <v/>
      </c>
      <c r="AK480" s="375" t="str">
        <f>IF(B480="", "", 'Lighting Inventory (Ref only)'!AG491)</f>
        <v/>
      </c>
      <c r="AL480" s="375" t="str">
        <f>IF(B480="", "", 'Lighting Inventory (Ref only)'!AD491)</f>
        <v/>
      </c>
      <c r="AM480" s="375" t="str">
        <f>IF(B480="", "", 'Lighting Inventory (Ref only)'!AE491)</f>
        <v/>
      </c>
      <c r="AN480" s="375" t="str">
        <f>IF(B480="", "", 'Lighting Inventory (Ref only)'!AF491)</f>
        <v/>
      </c>
      <c r="AO480" s="375" t="str">
        <f>IF(B480="", "", 'Lighting Inventory (Ref only)'!AG491)</f>
        <v/>
      </c>
    </row>
    <row r="481" spans="1:41">
      <c r="A481" s="298" t="str">
        <f>IF(G481="", "", Lookups!BF483)</f>
        <v/>
      </c>
      <c r="B481" s="298" t="str">
        <f>IF('Lighting Inventory (Ref only)'!Q492="", "", 'Lighting Inventory (Ref only)'!Q492)</f>
        <v/>
      </c>
      <c r="C481" s="298" t="str">
        <f>IF(A481="", "", 'Lighting Inventory (Ref only)'!AO492)</f>
        <v/>
      </c>
      <c r="D481" s="370" t="str">
        <f>IF(B481= "","", Inventory!S489)</f>
        <v/>
      </c>
      <c r="E481" s="371"/>
      <c r="F481" s="298" t="str">
        <f>IF(B481="", "", 'Version Log'!$B$34)</f>
        <v/>
      </c>
      <c r="G481" s="298" t="str">
        <f t="shared" si="28"/>
        <v/>
      </c>
      <c r="H481" s="298" t="str">
        <f t="shared" si="29"/>
        <v/>
      </c>
      <c r="I481" s="298" t="str">
        <f>IF(B481="", "",Inventory!D489)</f>
        <v/>
      </c>
      <c r="J481" s="298" t="str">
        <f>IF(B481="","",IF(Inventory!C489="N","Interior","Exterior"))</f>
        <v/>
      </c>
      <c r="K481" s="298" t="str">
        <f t="shared" si="30"/>
        <v/>
      </c>
      <c r="L481" s="298" t="str">
        <f>IF(B481="", "", Inventory!E489)</f>
        <v/>
      </c>
      <c r="M481" s="298" t="str">
        <f>IF(B481="","",IF(Cool_Type=Lookups!$L$9,Cool_Type,IF(Cool_Type=Lookups!$L$10,Cool_Type,IF(Cool_Type=Lookups!$L$11,Cool_Type,IF(Cool_Type=Lookups!L491,Cool_Type,IF('Project Info and Summary'!$C$20="Electric",CONCATENATE(Cool_Type," ",Heating_Type," Heat"),IF('Project Info and Summary'!$C$20="Non-Electric",CONCATENATE(Cool_Type," ",Heating_Type," Heat"),CONCATENATE(Cool_Type," ",Heating_Type))))))))</f>
        <v/>
      </c>
      <c r="N481" s="298" t="str">
        <f t="shared" si="31"/>
        <v/>
      </c>
      <c r="O481" s="298" t="str">
        <f>IF(B481="", "", 'Lighting Inventory (Ref only)'!G492)</f>
        <v/>
      </c>
      <c r="P481" s="298" t="str">
        <f>IF(B481="", "", 'Lighting Inventory (Ref only)'!E492)</f>
        <v/>
      </c>
      <c r="Q481" s="298" t="str">
        <f>IF(B481="", "", 'Lighting Inventory (Ref only)'!J492)</f>
        <v/>
      </c>
      <c r="R481" s="298" t="str">
        <f>IF(B481="", "",'Lighting Inventory (Ref only)'!K492)</f>
        <v/>
      </c>
      <c r="S481" s="372" t="str">
        <f>IF(B481="", "", 'Lighting Inventory (Ref only)'!G492*'Lighting Inventory (Ref only)'!K492/1000)</f>
        <v/>
      </c>
      <c r="T481" s="298" t="str">
        <f>IF(B481="", "", IF('Lighting Inventory (Ref only)'!I492="", "Light Switch",Inventory!H489))</f>
        <v/>
      </c>
      <c r="W481" s="373"/>
      <c r="X481" s="298" t="str">
        <f>IF(B481="", "", 'Lighting Inventory (Ref only)'!Q492)</f>
        <v/>
      </c>
      <c r="Z481" s="374"/>
      <c r="AA481" s="372" t="str">
        <f>IF(B481="", "",'Lighting Inventory (Ref only)'!R492/1000)</f>
        <v/>
      </c>
      <c r="AB481" s="372" t="str">
        <f>IF(B481="", "", Inventory!M489)</f>
        <v/>
      </c>
      <c r="AC481" s="374" t="str">
        <f>IF(B481="", "", 'Lighting Inventory (Ref only)'!T492)</f>
        <v/>
      </c>
      <c r="AD481" s="374" t="str">
        <f>IF(C481="", "", 'Lighting Inventory (Ref only)'!AA492)</f>
        <v/>
      </c>
      <c r="AE481" s="375" t="str">
        <f>IF(B481="", "", 'Lighting Inventory (Ref only)'!U492)</f>
        <v/>
      </c>
      <c r="AF481" s="375" t="str">
        <f>IF(B481="", "",'Lighting Inventory (Ref only)'!W492)</f>
        <v/>
      </c>
      <c r="AG481" s="375"/>
      <c r="AH481" s="375" t="str">
        <f>IF(B481="", "",'Lighting Inventory (Ref only)'!Z492)</f>
        <v/>
      </c>
      <c r="AI481" s="375" t="str">
        <f>IF(B481="", "", 'Lighting Inventory (Ref only)'!Y492)</f>
        <v/>
      </c>
      <c r="AJ481" s="375" t="str">
        <f>IF(C481="", "",'Lighting Inventory (Ref only)'!AB492)</f>
        <v/>
      </c>
      <c r="AK481" s="375" t="str">
        <f>IF(B481="", "", 'Lighting Inventory (Ref only)'!AG492)</f>
        <v/>
      </c>
      <c r="AL481" s="375" t="str">
        <f>IF(B481="", "", 'Lighting Inventory (Ref only)'!AD492)</f>
        <v/>
      </c>
      <c r="AM481" s="375" t="str">
        <f>IF(B481="", "", 'Lighting Inventory (Ref only)'!AE492)</f>
        <v/>
      </c>
      <c r="AN481" s="375" t="str">
        <f>IF(B481="", "", 'Lighting Inventory (Ref only)'!AF492)</f>
        <v/>
      </c>
      <c r="AO481" s="375" t="str">
        <f>IF(B481="", "", 'Lighting Inventory (Ref only)'!AG492)</f>
        <v/>
      </c>
    </row>
    <row r="482" spans="1:41">
      <c r="A482" s="298" t="str">
        <f>IF(G482="", "", Lookups!BF484)</f>
        <v/>
      </c>
      <c r="B482" s="298" t="str">
        <f>IF('Lighting Inventory (Ref only)'!Q493="", "", 'Lighting Inventory (Ref only)'!Q493)</f>
        <v/>
      </c>
      <c r="C482" s="298" t="str">
        <f>IF(A482="", "", 'Lighting Inventory (Ref only)'!AO493)</f>
        <v/>
      </c>
      <c r="D482" s="370" t="str">
        <f>IF(B482= "","", Inventory!S490)</f>
        <v/>
      </c>
      <c r="E482" s="371"/>
      <c r="F482" s="298" t="str">
        <f>IF(B482="", "", 'Version Log'!$B$34)</f>
        <v/>
      </c>
      <c r="G482" s="298" t="str">
        <f t="shared" si="28"/>
        <v/>
      </c>
      <c r="H482" s="298" t="str">
        <f t="shared" si="29"/>
        <v/>
      </c>
      <c r="I482" s="298" t="str">
        <f>IF(B482="", "",Inventory!D490)</f>
        <v/>
      </c>
      <c r="J482" s="298" t="str">
        <f>IF(B482="","",IF(Inventory!C490="N","Interior","Exterior"))</f>
        <v/>
      </c>
      <c r="K482" s="298" t="str">
        <f t="shared" si="30"/>
        <v/>
      </c>
      <c r="L482" s="298" t="str">
        <f>IF(B482="", "", Inventory!E490)</f>
        <v/>
      </c>
      <c r="M482" s="298" t="str">
        <f>IF(B482="","",IF(Cool_Type=Lookups!$L$9,Cool_Type,IF(Cool_Type=Lookups!$L$10,Cool_Type,IF(Cool_Type=Lookups!$L$11,Cool_Type,IF(Cool_Type=Lookups!L492,Cool_Type,IF('Project Info and Summary'!$C$20="Electric",CONCATENATE(Cool_Type," ",Heating_Type," Heat"),IF('Project Info and Summary'!$C$20="Non-Electric",CONCATENATE(Cool_Type," ",Heating_Type," Heat"),CONCATENATE(Cool_Type," ",Heating_Type))))))))</f>
        <v/>
      </c>
      <c r="N482" s="298" t="str">
        <f t="shared" si="31"/>
        <v/>
      </c>
      <c r="O482" s="298" t="str">
        <f>IF(B482="", "", 'Lighting Inventory (Ref only)'!G493)</f>
        <v/>
      </c>
      <c r="P482" s="298" t="str">
        <f>IF(B482="", "", 'Lighting Inventory (Ref only)'!E493)</f>
        <v/>
      </c>
      <c r="Q482" s="298" t="str">
        <f>IF(B482="", "", 'Lighting Inventory (Ref only)'!J493)</f>
        <v/>
      </c>
      <c r="R482" s="298" t="str">
        <f>IF(B482="", "",'Lighting Inventory (Ref only)'!K493)</f>
        <v/>
      </c>
      <c r="S482" s="372" t="str">
        <f>IF(B482="", "", 'Lighting Inventory (Ref only)'!G493*'Lighting Inventory (Ref only)'!K493/1000)</f>
        <v/>
      </c>
      <c r="T482" s="298" t="str">
        <f>IF(B482="", "", IF('Lighting Inventory (Ref only)'!I493="", "Light Switch",Inventory!H490))</f>
        <v/>
      </c>
      <c r="W482" s="373"/>
      <c r="X482" s="298" t="str">
        <f>IF(B482="", "", 'Lighting Inventory (Ref only)'!Q493)</f>
        <v/>
      </c>
      <c r="Z482" s="374"/>
      <c r="AA482" s="372" t="str">
        <f>IF(B482="", "",'Lighting Inventory (Ref only)'!R493/1000)</f>
        <v/>
      </c>
      <c r="AB482" s="372" t="str">
        <f>IF(B482="", "", Inventory!M490)</f>
        <v/>
      </c>
      <c r="AC482" s="374" t="str">
        <f>IF(B482="", "", 'Lighting Inventory (Ref only)'!T493)</f>
        <v/>
      </c>
      <c r="AD482" s="374" t="str">
        <f>IF(C482="", "", 'Lighting Inventory (Ref only)'!AA493)</f>
        <v/>
      </c>
      <c r="AE482" s="375" t="str">
        <f>IF(B482="", "", 'Lighting Inventory (Ref only)'!U493)</f>
        <v/>
      </c>
      <c r="AF482" s="375" t="str">
        <f>IF(B482="", "",'Lighting Inventory (Ref only)'!W493)</f>
        <v/>
      </c>
      <c r="AG482" s="375"/>
      <c r="AH482" s="375" t="str">
        <f>IF(B482="", "",'Lighting Inventory (Ref only)'!Z493)</f>
        <v/>
      </c>
      <c r="AI482" s="375" t="str">
        <f>IF(B482="", "", 'Lighting Inventory (Ref only)'!Y493)</f>
        <v/>
      </c>
      <c r="AJ482" s="375" t="str">
        <f>IF(C482="", "",'Lighting Inventory (Ref only)'!AB493)</f>
        <v/>
      </c>
      <c r="AK482" s="375" t="str">
        <f>IF(B482="", "", 'Lighting Inventory (Ref only)'!AG493)</f>
        <v/>
      </c>
      <c r="AL482" s="375" t="str">
        <f>IF(B482="", "", 'Lighting Inventory (Ref only)'!AD493)</f>
        <v/>
      </c>
      <c r="AM482" s="375" t="str">
        <f>IF(B482="", "", 'Lighting Inventory (Ref only)'!AE493)</f>
        <v/>
      </c>
      <c r="AN482" s="375" t="str">
        <f>IF(B482="", "", 'Lighting Inventory (Ref only)'!AF493)</f>
        <v/>
      </c>
      <c r="AO482" s="375" t="str">
        <f>IF(B482="", "", 'Lighting Inventory (Ref only)'!AG493)</f>
        <v/>
      </c>
    </row>
    <row r="483" spans="1:41">
      <c r="A483" s="298" t="str">
        <f>IF(G483="", "", Lookups!BF485)</f>
        <v/>
      </c>
      <c r="B483" s="298" t="str">
        <f>IF('Lighting Inventory (Ref only)'!Q494="", "", 'Lighting Inventory (Ref only)'!Q494)</f>
        <v/>
      </c>
      <c r="C483" s="298" t="str">
        <f>IF(A483="", "", 'Lighting Inventory (Ref only)'!AO494)</f>
        <v/>
      </c>
      <c r="D483" s="370" t="str">
        <f>IF(B483= "","", Inventory!S491)</f>
        <v/>
      </c>
      <c r="E483" s="371"/>
      <c r="F483" s="298" t="str">
        <f>IF(B483="", "", 'Version Log'!$B$34)</f>
        <v/>
      </c>
      <c r="G483" s="298" t="str">
        <f t="shared" si="28"/>
        <v/>
      </c>
      <c r="H483" s="298" t="str">
        <f t="shared" si="29"/>
        <v/>
      </c>
      <c r="I483" s="298" t="str">
        <f>IF(B483="", "",Inventory!D491)</f>
        <v/>
      </c>
      <c r="J483" s="298" t="str">
        <f>IF(B483="","",IF(Inventory!C491="N","Interior","Exterior"))</f>
        <v/>
      </c>
      <c r="K483" s="298" t="str">
        <f t="shared" si="30"/>
        <v/>
      </c>
      <c r="L483" s="298" t="str">
        <f>IF(B483="", "", Inventory!E491)</f>
        <v/>
      </c>
      <c r="M483" s="298" t="str">
        <f>IF(B483="","",IF(Cool_Type=Lookups!$L$9,Cool_Type,IF(Cool_Type=Lookups!$L$10,Cool_Type,IF(Cool_Type=Lookups!$L$11,Cool_Type,IF(Cool_Type=Lookups!L493,Cool_Type,IF('Project Info and Summary'!$C$20="Electric",CONCATENATE(Cool_Type," ",Heating_Type," Heat"),IF('Project Info and Summary'!$C$20="Non-Electric",CONCATENATE(Cool_Type," ",Heating_Type," Heat"),CONCATENATE(Cool_Type," ",Heating_Type))))))))</f>
        <v/>
      </c>
      <c r="N483" s="298" t="str">
        <f t="shared" si="31"/>
        <v/>
      </c>
      <c r="O483" s="298" t="str">
        <f>IF(B483="", "", 'Lighting Inventory (Ref only)'!G494)</f>
        <v/>
      </c>
      <c r="P483" s="298" t="str">
        <f>IF(B483="", "", 'Lighting Inventory (Ref only)'!E494)</f>
        <v/>
      </c>
      <c r="Q483" s="298" t="str">
        <f>IF(B483="", "", 'Lighting Inventory (Ref only)'!J494)</f>
        <v/>
      </c>
      <c r="R483" s="298" t="str">
        <f>IF(B483="", "",'Lighting Inventory (Ref only)'!K494)</f>
        <v/>
      </c>
      <c r="S483" s="372" t="str">
        <f>IF(B483="", "", 'Lighting Inventory (Ref only)'!G494*'Lighting Inventory (Ref only)'!K494/1000)</f>
        <v/>
      </c>
      <c r="T483" s="298" t="str">
        <f>IF(B483="", "", IF('Lighting Inventory (Ref only)'!I494="", "Light Switch",Inventory!H491))</f>
        <v/>
      </c>
      <c r="W483" s="373"/>
      <c r="X483" s="298" t="str">
        <f>IF(B483="", "", 'Lighting Inventory (Ref only)'!Q494)</f>
        <v/>
      </c>
      <c r="Z483" s="374"/>
      <c r="AA483" s="372" t="str">
        <f>IF(B483="", "",'Lighting Inventory (Ref only)'!R494/1000)</f>
        <v/>
      </c>
      <c r="AB483" s="372" t="str">
        <f>IF(B483="", "", Inventory!M491)</f>
        <v/>
      </c>
      <c r="AC483" s="374" t="str">
        <f>IF(B483="", "", 'Lighting Inventory (Ref only)'!T494)</f>
        <v/>
      </c>
      <c r="AD483" s="374" t="str">
        <f>IF(C483="", "", 'Lighting Inventory (Ref only)'!AA494)</f>
        <v/>
      </c>
      <c r="AE483" s="375" t="str">
        <f>IF(B483="", "", 'Lighting Inventory (Ref only)'!U494)</f>
        <v/>
      </c>
      <c r="AF483" s="375" t="str">
        <f>IF(B483="", "",'Lighting Inventory (Ref only)'!W494)</f>
        <v/>
      </c>
      <c r="AG483" s="375"/>
      <c r="AH483" s="375" t="str">
        <f>IF(B483="", "",'Lighting Inventory (Ref only)'!Z494)</f>
        <v/>
      </c>
      <c r="AI483" s="375" t="str">
        <f>IF(B483="", "", 'Lighting Inventory (Ref only)'!Y494)</f>
        <v/>
      </c>
      <c r="AJ483" s="375" t="str">
        <f>IF(C483="", "",'Lighting Inventory (Ref only)'!AB494)</f>
        <v/>
      </c>
      <c r="AK483" s="375" t="str">
        <f>IF(B483="", "", 'Lighting Inventory (Ref only)'!AG494)</f>
        <v/>
      </c>
      <c r="AL483" s="375" t="str">
        <f>IF(B483="", "", 'Lighting Inventory (Ref only)'!AD494)</f>
        <v/>
      </c>
      <c r="AM483" s="375" t="str">
        <f>IF(B483="", "", 'Lighting Inventory (Ref only)'!AE494)</f>
        <v/>
      </c>
      <c r="AN483" s="375" t="str">
        <f>IF(B483="", "", 'Lighting Inventory (Ref only)'!AF494)</f>
        <v/>
      </c>
      <c r="AO483" s="375" t="str">
        <f>IF(B483="", "", 'Lighting Inventory (Ref only)'!AG494)</f>
        <v/>
      </c>
    </row>
    <row r="484" spans="1:41">
      <c r="A484" s="298" t="str">
        <f>IF(G484="", "", Lookups!BF486)</f>
        <v/>
      </c>
      <c r="B484" s="298" t="str">
        <f>IF('Lighting Inventory (Ref only)'!Q495="", "", 'Lighting Inventory (Ref only)'!Q495)</f>
        <v/>
      </c>
      <c r="C484" s="298" t="str">
        <f>IF(A484="", "", 'Lighting Inventory (Ref only)'!AO495)</f>
        <v/>
      </c>
      <c r="D484" s="370" t="str">
        <f>IF(B484= "","", Inventory!S492)</f>
        <v/>
      </c>
      <c r="E484" s="371"/>
      <c r="F484" s="298" t="str">
        <f>IF(B484="", "", 'Version Log'!$B$34)</f>
        <v/>
      </c>
      <c r="G484" s="298" t="str">
        <f t="shared" si="28"/>
        <v/>
      </c>
      <c r="H484" s="298" t="str">
        <f t="shared" si="29"/>
        <v/>
      </c>
      <c r="I484" s="298" t="str">
        <f>IF(B484="", "",Inventory!D492)</f>
        <v/>
      </c>
      <c r="J484" s="298" t="str">
        <f>IF(B484="","",IF(Inventory!C492="N","Interior","Exterior"))</f>
        <v/>
      </c>
      <c r="K484" s="298" t="str">
        <f t="shared" si="30"/>
        <v/>
      </c>
      <c r="L484" s="298" t="str">
        <f>IF(B484="", "", Inventory!E492)</f>
        <v/>
      </c>
      <c r="M484" s="298" t="str">
        <f>IF(B484="","",IF(Cool_Type=Lookups!$L$9,Cool_Type,IF(Cool_Type=Lookups!$L$10,Cool_Type,IF(Cool_Type=Lookups!$L$11,Cool_Type,IF(Cool_Type=Lookups!L494,Cool_Type,IF('Project Info and Summary'!$C$20="Electric",CONCATENATE(Cool_Type," ",Heating_Type," Heat"),IF('Project Info and Summary'!$C$20="Non-Electric",CONCATENATE(Cool_Type," ",Heating_Type," Heat"),CONCATENATE(Cool_Type," ",Heating_Type))))))))</f>
        <v/>
      </c>
      <c r="N484" s="298" t="str">
        <f t="shared" si="31"/>
        <v/>
      </c>
      <c r="O484" s="298" t="str">
        <f>IF(B484="", "", 'Lighting Inventory (Ref only)'!G495)</f>
        <v/>
      </c>
      <c r="P484" s="298" t="str">
        <f>IF(B484="", "", 'Lighting Inventory (Ref only)'!E495)</f>
        <v/>
      </c>
      <c r="Q484" s="298" t="str">
        <f>IF(B484="", "", 'Lighting Inventory (Ref only)'!J495)</f>
        <v/>
      </c>
      <c r="R484" s="298" t="str">
        <f>IF(B484="", "",'Lighting Inventory (Ref only)'!K495)</f>
        <v/>
      </c>
      <c r="S484" s="372" t="str">
        <f>IF(B484="", "", 'Lighting Inventory (Ref only)'!G495*'Lighting Inventory (Ref only)'!K495/1000)</f>
        <v/>
      </c>
      <c r="T484" s="298" t="str">
        <f>IF(B484="", "", IF('Lighting Inventory (Ref only)'!I495="", "Light Switch",Inventory!H492))</f>
        <v/>
      </c>
      <c r="W484" s="373"/>
      <c r="X484" s="298" t="str">
        <f>IF(B484="", "", 'Lighting Inventory (Ref only)'!Q495)</f>
        <v/>
      </c>
      <c r="Z484" s="374"/>
      <c r="AA484" s="372" t="str">
        <f>IF(B484="", "",'Lighting Inventory (Ref only)'!R495/1000)</f>
        <v/>
      </c>
      <c r="AB484" s="372" t="str">
        <f>IF(B484="", "", Inventory!M492)</f>
        <v/>
      </c>
      <c r="AC484" s="374" t="str">
        <f>IF(B484="", "", 'Lighting Inventory (Ref only)'!T495)</f>
        <v/>
      </c>
      <c r="AD484" s="374" t="str">
        <f>IF(C484="", "", 'Lighting Inventory (Ref only)'!AA495)</f>
        <v/>
      </c>
      <c r="AE484" s="375" t="str">
        <f>IF(B484="", "", 'Lighting Inventory (Ref only)'!U495)</f>
        <v/>
      </c>
      <c r="AF484" s="375" t="str">
        <f>IF(B484="", "",'Lighting Inventory (Ref only)'!W495)</f>
        <v/>
      </c>
      <c r="AG484" s="375"/>
      <c r="AH484" s="375" t="str">
        <f>IF(B484="", "",'Lighting Inventory (Ref only)'!Z495)</f>
        <v/>
      </c>
      <c r="AI484" s="375" t="str">
        <f>IF(B484="", "", 'Lighting Inventory (Ref only)'!Y495)</f>
        <v/>
      </c>
      <c r="AJ484" s="375" t="str">
        <f>IF(C484="", "",'Lighting Inventory (Ref only)'!AB495)</f>
        <v/>
      </c>
      <c r="AK484" s="375" t="str">
        <f>IF(B484="", "", 'Lighting Inventory (Ref only)'!AG495)</f>
        <v/>
      </c>
      <c r="AL484" s="375" t="str">
        <f>IF(B484="", "", 'Lighting Inventory (Ref only)'!AD495)</f>
        <v/>
      </c>
      <c r="AM484" s="375" t="str">
        <f>IF(B484="", "", 'Lighting Inventory (Ref only)'!AE495)</f>
        <v/>
      </c>
      <c r="AN484" s="375" t="str">
        <f>IF(B484="", "", 'Lighting Inventory (Ref only)'!AF495)</f>
        <v/>
      </c>
      <c r="AO484" s="375" t="str">
        <f>IF(B484="", "", 'Lighting Inventory (Ref only)'!AG495)</f>
        <v/>
      </c>
    </row>
    <row r="485" spans="1:41">
      <c r="A485" s="298" t="str">
        <f>IF(G485="", "", Lookups!BF487)</f>
        <v/>
      </c>
      <c r="B485" s="298" t="str">
        <f>IF('Lighting Inventory (Ref only)'!Q496="", "", 'Lighting Inventory (Ref only)'!Q496)</f>
        <v/>
      </c>
      <c r="C485" s="298" t="str">
        <f>IF(A485="", "", 'Lighting Inventory (Ref only)'!AO496)</f>
        <v/>
      </c>
      <c r="D485" s="370" t="str">
        <f>IF(B485= "","", Inventory!S493)</f>
        <v/>
      </c>
      <c r="E485" s="371"/>
      <c r="F485" s="298" t="str">
        <f>IF(B485="", "", 'Version Log'!$B$34)</f>
        <v/>
      </c>
      <c r="G485" s="298" t="str">
        <f t="shared" si="28"/>
        <v/>
      </c>
      <c r="H485" s="298" t="str">
        <f t="shared" si="29"/>
        <v/>
      </c>
      <c r="I485" s="298" t="str">
        <f>IF(B485="", "",Inventory!D493)</f>
        <v/>
      </c>
      <c r="J485" s="298" t="str">
        <f>IF(B485="","",IF(Inventory!C493="N","Interior","Exterior"))</f>
        <v/>
      </c>
      <c r="K485" s="298" t="str">
        <f t="shared" si="30"/>
        <v/>
      </c>
      <c r="L485" s="298" t="str">
        <f>IF(B485="", "", Inventory!E493)</f>
        <v/>
      </c>
      <c r="M485" s="298" t="str">
        <f>IF(B485="","",IF(Cool_Type=Lookups!$L$9,Cool_Type,IF(Cool_Type=Lookups!$L$10,Cool_Type,IF(Cool_Type=Lookups!$L$11,Cool_Type,IF(Cool_Type=Lookups!L495,Cool_Type,IF('Project Info and Summary'!$C$20="Electric",CONCATENATE(Cool_Type," ",Heating_Type," Heat"),IF('Project Info and Summary'!$C$20="Non-Electric",CONCATENATE(Cool_Type," ",Heating_Type," Heat"),CONCATENATE(Cool_Type," ",Heating_Type))))))))</f>
        <v/>
      </c>
      <c r="N485" s="298" t="str">
        <f t="shared" si="31"/>
        <v/>
      </c>
      <c r="O485" s="298" t="str">
        <f>IF(B485="", "", 'Lighting Inventory (Ref only)'!G496)</f>
        <v/>
      </c>
      <c r="P485" s="298" t="str">
        <f>IF(B485="", "", 'Lighting Inventory (Ref only)'!E496)</f>
        <v/>
      </c>
      <c r="Q485" s="298" t="str">
        <f>IF(B485="", "", 'Lighting Inventory (Ref only)'!J496)</f>
        <v/>
      </c>
      <c r="R485" s="298" t="str">
        <f>IF(B485="", "",'Lighting Inventory (Ref only)'!K496)</f>
        <v/>
      </c>
      <c r="S485" s="372" t="str">
        <f>IF(B485="", "", 'Lighting Inventory (Ref only)'!G496*'Lighting Inventory (Ref only)'!K496/1000)</f>
        <v/>
      </c>
      <c r="T485" s="298" t="str">
        <f>IF(B485="", "", IF('Lighting Inventory (Ref only)'!I496="", "Light Switch",Inventory!H493))</f>
        <v/>
      </c>
      <c r="W485" s="373"/>
      <c r="X485" s="298" t="str">
        <f>IF(B485="", "", 'Lighting Inventory (Ref only)'!Q496)</f>
        <v/>
      </c>
      <c r="Z485" s="374"/>
      <c r="AA485" s="372" t="str">
        <f>IF(B485="", "",'Lighting Inventory (Ref only)'!R496/1000)</f>
        <v/>
      </c>
      <c r="AB485" s="372" t="str">
        <f>IF(B485="", "", Inventory!M493)</f>
        <v/>
      </c>
      <c r="AC485" s="374" t="str">
        <f>IF(B485="", "", 'Lighting Inventory (Ref only)'!T496)</f>
        <v/>
      </c>
      <c r="AD485" s="374" t="str">
        <f>IF(C485="", "", 'Lighting Inventory (Ref only)'!AA496)</f>
        <v/>
      </c>
      <c r="AE485" s="375" t="str">
        <f>IF(B485="", "", 'Lighting Inventory (Ref only)'!U496)</f>
        <v/>
      </c>
      <c r="AF485" s="375" t="str">
        <f>IF(B485="", "",'Lighting Inventory (Ref only)'!W496)</f>
        <v/>
      </c>
      <c r="AG485" s="375"/>
      <c r="AH485" s="375" t="str">
        <f>IF(B485="", "",'Lighting Inventory (Ref only)'!Z496)</f>
        <v/>
      </c>
      <c r="AI485" s="375" t="str">
        <f>IF(B485="", "", 'Lighting Inventory (Ref only)'!Y496)</f>
        <v/>
      </c>
      <c r="AJ485" s="375" t="str">
        <f>IF(C485="", "",'Lighting Inventory (Ref only)'!AB496)</f>
        <v/>
      </c>
      <c r="AK485" s="375" t="str">
        <f>IF(B485="", "", 'Lighting Inventory (Ref only)'!AG496)</f>
        <v/>
      </c>
      <c r="AL485" s="375" t="str">
        <f>IF(B485="", "", 'Lighting Inventory (Ref only)'!AD496)</f>
        <v/>
      </c>
      <c r="AM485" s="375" t="str">
        <f>IF(B485="", "", 'Lighting Inventory (Ref only)'!AE496)</f>
        <v/>
      </c>
      <c r="AN485" s="375" t="str">
        <f>IF(B485="", "", 'Lighting Inventory (Ref only)'!AF496)</f>
        <v/>
      </c>
      <c r="AO485" s="375" t="str">
        <f>IF(B485="", "", 'Lighting Inventory (Ref only)'!AG496)</f>
        <v/>
      </c>
    </row>
    <row r="486" spans="1:41">
      <c r="A486" s="298" t="str">
        <f>IF(G486="", "", Lookups!BF488)</f>
        <v/>
      </c>
      <c r="B486" s="298" t="str">
        <f>IF('Lighting Inventory (Ref only)'!Q497="", "", 'Lighting Inventory (Ref only)'!Q497)</f>
        <v/>
      </c>
      <c r="C486" s="298" t="str">
        <f>IF(A486="", "", 'Lighting Inventory (Ref only)'!AO497)</f>
        <v/>
      </c>
      <c r="D486" s="370" t="str">
        <f>IF(B486= "","", Inventory!S494)</f>
        <v/>
      </c>
      <c r="E486" s="371"/>
      <c r="F486" s="298" t="str">
        <f>IF(B486="", "", 'Version Log'!$B$34)</f>
        <v/>
      </c>
      <c r="G486" s="298" t="str">
        <f t="shared" si="28"/>
        <v/>
      </c>
      <c r="H486" s="298" t="str">
        <f t="shared" si="29"/>
        <v/>
      </c>
      <c r="I486" s="298" t="str">
        <f>IF(B486="", "",Inventory!D494)</f>
        <v/>
      </c>
      <c r="J486" s="298" t="str">
        <f>IF(B486="","",IF(Inventory!C494="N","Interior","Exterior"))</f>
        <v/>
      </c>
      <c r="K486" s="298" t="str">
        <f t="shared" si="30"/>
        <v/>
      </c>
      <c r="L486" s="298" t="str">
        <f>IF(B486="", "", Inventory!E494)</f>
        <v/>
      </c>
      <c r="M486" s="298" t="str">
        <f>IF(B486="","",IF(Cool_Type=Lookups!$L$9,Cool_Type,IF(Cool_Type=Lookups!$L$10,Cool_Type,IF(Cool_Type=Lookups!$L$11,Cool_Type,IF(Cool_Type=Lookups!L496,Cool_Type,IF('Project Info and Summary'!$C$20="Electric",CONCATENATE(Cool_Type," ",Heating_Type," Heat"),IF('Project Info and Summary'!$C$20="Non-Electric",CONCATENATE(Cool_Type," ",Heating_Type," Heat"),CONCATENATE(Cool_Type," ",Heating_Type))))))))</f>
        <v/>
      </c>
      <c r="N486" s="298" t="str">
        <f t="shared" si="31"/>
        <v/>
      </c>
      <c r="O486" s="298" t="str">
        <f>IF(B486="", "", 'Lighting Inventory (Ref only)'!G497)</f>
        <v/>
      </c>
      <c r="P486" s="298" t="str">
        <f>IF(B486="", "", 'Lighting Inventory (Ref only)'!E497)</f>
        <v/>
      </c>
      <c r="Q486" s="298" t="str">
        <f>IF(B486="", "", 'Lighting Inventory (Ref only)'!J497)</f>
        <v/>
      </c>
      <c r="R486" s="298" t="str">
        <f>IF(B486="", "",'Lighting Inventory (Ref only)'!K497)</f>
        <v/>
      </c>
      <c r="S486" s="372" t="str">
        <f>IF(B486="", "", 'Lighting Inventory (Ref only)'!G497*'Lighting Inventory (Ref only)'!K497/1000)</f>
        <v/>
      </c>
      <c r="T486" s="298" t="str">
        <f>IF(B486="", "", IF('Lighting Inventory (Ref only)'!I497="", "Light Switch",Inventory!H494))</f>
        <v/>
      </c>
      <c r="W486" s="373"/>
      <c r="X486" s="298" t="str">
        <f>IF(B486="", "", 'Lighting Inventory (Ref only)'!Q497)</f>
        <v/>
      </c>
      <c r="Z486" s="374"/>
      <c r="AA486" s="372" t="str">
        <f>IF(B486="", "",'Lighting Inventory (Ref only)'!R497/1000)</f>
        <v/>
      </c>
      <c r="AB486" s="372" t="str">
        <f>IF(B486="", "", Inventory!M494)</f>
        <v/>
      </c>
      <c r="AC486" s="374" t="str">
        <f>IF(B486="", "", 'Lighting Inventory (Ref only)'!T497)</f>
        <v/>
      </c>
      <c r="AD486" s="374" t="str">
        <f>IF(C486="", "", 'Lighting Inventory (Ref only)'!AA497)</f>
        <v/>
      </c>
      <c r="AE486" s="375" t="str">
        <f>IF(B486="", "", 'Lighting Inventory (Ref only)'!U497)</f>
        <v/>
      </c>
      <c r="AF486" s="375" t="str">
        <f>IF(B486="", "",'Lighting Inventory (Ref only)'!W497)</f>
        <v/>
      </c>
      <c r="AG486" s="375"/>
      <c r="AH486" s="375" t="str">
        <f>IF(B486="", "",'Lighting Inventory (Ref only)'!Z497)</f>
        <v/>
      </c>
      <c r="AI486" s="375" t="str">
        <f>IF(B486="", "", 'Lighting Inventory (Ref only)'!Y497)</f>
        <v/>
      </c>
      <c r="AJ486" s="375" t="str">
        <f>IF(C486="", "",'Lighting Inventory (Ref only)'!AB497)</f>
        <v/>
      </c>
      <c r="AK486" s="375" t="str">
        <f>IF(B486="", "", 'Lighting Inventory (Ref only)'!AG497)</f>
        <v/>
      </c>
      <c r="AL486" s="375" t="str">
        <f>IF(B486="", "", 'Lighting Inventory (Ref only)'!AD497)</f>
        <v/>
      </c>
      <c r="AM486" s="375" t="str">
        <f>IF(B486="", "", 'Lighting Inventory (Ref only)'!AE497)</f>
        <v/>
      </c>
      <c r="AN486" s="375" t="str">
        <f>IF(B486="", "", 'Lighting Inventory (Ref only)'!AF497)</f>
        <v/>
      </c>
      <c r="AO486" s="375" t="str">
        <f>IF(B486="", "", 'Lighting Inventory (Ref only)'!AG497)</f>
        <v/>
      </c>
    </row>
    <row r="487" spans="1:41">
      <c r="A487" s="298" t="str">
        <f>IF(G487="", "", Lookups!BF489)</f>
        <v/>
      </c>
      <c r="B487" s="298" t="str">
        <f>IF('Lighting Inventory (Ref only)'!Q498="", "", 'Lighting Inventory (Ref only)'!Q498)</f>
        <v/>
      </c>
      <c r="C487" s="298" t="str">
        <f>IF(A487="", "", 'Lighting Inventory (Ref only)'!AO498)</f>
        <v/>
      </c>
      <c r="D487" s="370" t="str">
        <f>IF(B487= "","", Inventory!S495)</f>
        <v/>
      </c>
      <c r="E487" s="371"/>
      <c r="F487" s="298" t="str">
        <f>IF(B487="", "", 'Version Log'!$B$34)</f>
        <v/>
      </c>
      <c r="G487" s="298" t="str">
        <f t="shared" si="28"/>
        <v/>
      </c>
      <c r="H487" s="298" t="str">
        <f t="shared" si="29"/>
        <v/>
      </c>
      <c r="I487" s="298" t="str">
        <f>IF(B487="", "",Inventory!D495)</f>
        <v/>
      </c>
      <c r="J487" s="298" t="str">
        <f>IF(B487="","",IF(Inventory!C495="N","Interior","Exterior"))</f>
        <v/>
      </c>
      <c r="K487" s="298" t="str">
        <f t="shared" si="30"/>
        <v/>
      </c>
      <c r="L487" s="298" t="str">
        <f>IF(B487="", "", Inventory!E495)</f>
        <v/>
      </c>
      <c r="M487" s="298" t="str">
        <f>IF(B487="","",IF(Cool_Type=Lookups!$L$9,Cool_Type,IF(Cool_Type=Lookups!$L$10,Cool_Type,IF(Cool_Type=Lookups!$L$11,Cool_Type,IF(Cool_Type=Lookups!L497,Cool_Type,IF('Project Info and Summary'!$C$20="Electric",CONCATENATE(Cool_Type," ",Heating_Type," Heat"),IF('Project Info and Summary'!$C$20="Non-Electric",CONCATENATE(Cool_Type," ",Heating_Type," Heat"),CONCATENATE(Cool_Type," ",Heating_Type))))))))</f>
        <v/>
      </c>
      <c r="N487" s="298" t="str">
        <f t="shared" si="31"/>
        <v/>
      </c>
      <c r="O487" s="298" t="str">
        <f>IF(B487="", "", 'Lighting Inventory (Ref only)'!G498)</f>
        <v/>
      </c>
      <c r="P487" s="298" t="str">
        <f>IF(B487="", "", 'Lighting Inventory (Ref only)'!E498)</f>
        <v/>
      </c>
      <c r="Q487" s="298" t="str">
        <f>IF(B487="", "", 'Lighting Inventory (Ref only)'!J498)</f>
        <v/>
      </c>
      <c r="R487" s="298" t="str">
        <f>IF(B487="", "",'Lighting Inventory (Ref only)'!K498)</f>
        <v/>
      </c>
      <c r="S487" s="372" t="str">
        <f>IF(B487="", "", 'Lighting Inventory (Ref only)'!G498*'Lighting Inventory (Ref only)'!K498/1000)</f>
        <v/>
      </c>
      <c r="T487" s="298" t="str">
        <f>IF(B487="", "", IF('Lighting Inventory (Ref only)'!I498="", "Light Switch",Inventory!H495))</f>
        <v/>
      </c>
      <c r="W487" s="373"/>
      <c r="X487" s="298" t="str">
        <f>IF(B487="", "", 'Lighting Inventory (Ref only)'!Q498)</f>
        <v/>
      </c>
      <c r="Z487" s="374"/>
      <c r="AA487" s="372" t="str">
        <f>IF(B487="", "",'Lighting Inventory (Ref only)'!R498/1000)</f>
        <v/>
      </c>
      <c r="AB487" s="372" t="str">
        <f>IF(B487="", "", Inventory!M495)</f>
        <v/>
      </c>
      <c r="AC487" s="374" t="str">
        <f>IF(B487="", "", 'Lighting Inventory (Ref only)'!T498)</f>
        <v/>
      </c>
      <c r="AD487" s="374" t="str">
        <f>IF(C487="", "", 'Lighting Inventory (Ref only)'!AA498)</f>
        <v/>
      </c>
      <c r="AE487" s="375" t="str">
        <f>IF(B487="", "", 'Lighting Inventory (Ref only)'!U498)</f>
        <v/>
      </c>
      <c r="AF487" s="375" t="str">
        <f>IF(B487="", "",'Lighting Inventory (Ref only)'!W498)</f>
        <v/>
      </c>
      <c r="AG487" s="375"/>
      <c r="AH487" s="375" t="str">
        <f>IF(B487="", "",'Lighting Inventory (Ref only)'!Z498)</f>
        <v/>
      </c>
      <c r="AI487" s="375" t="str">
        <f>IF(B487="", "", 'Lighting Inventory (Ref only)'!Y498)</f>
        <v/>
      </c>
      <c r="AJ487" s="375" t="str">
        <f>IF(C487="", "",'Lighting Inventory (Ref only)'!AB498)</f>
        <v/>
      </c>
      <c r="AK487" s="375" t="str">
        <f>IF(B487="", "", 'Lighting Inventory (Ref only)'!AG498)</f>
        <v/>
      </c>
      <c r="AL487" s="375" t="str">
        <f>IF(B487="", "", 'Lighting Inventory (Ref only)'!AD498)</f>
        <v/>
      </c>
      <c r="AM487" s="375" t="str">
        <f>IF(B487="", "", 'Lighting Inventory (Ref only)'!AE498)</f>
        <v/>
      </c>
      <c r="AN487" s="375" t="str">
        <f>IF(B487="", "", 'Lighting Inventory (Ref only)'!AF498)</f>
        <v/>
      </c>
      <c r="AO487" s="375" t="str">
        <f>IF(B487="", "", 'Lighting Inventory (Ref only)'!AG498)</f>
        <v/>
      </c>
    </row>
    <row r="488" spans="1:41">
      <c r="A488" s="298" t="str">
        <f>IF(G488="", "", Lookups!BF490)</f>
        <v/>
      </c>
      <c r="B488" s="298" t="str">
        <f>IF('Lighting Inventory (Ref only)'!Q499="", "", 'Lighting Inventory (Ref only)'!Q499)</f>
        <v/>
      </c>
      <c r="C488" s="298" t="str">
        <f>IF(A488="", "", 'Lighting Inventory (Ref only)'!AO499)</f>
        <v/>
      </c>
      <c r="D488" s="370" t="str">
        <f>IF(B488= "","", Inventory!S496)</f>
        <v/>
      </c>
      <c r="E488" s="371"/>
      <c r="F488" s="298" t="str">
        <f>IF(B488="", "", 'Version Log'!$B$34)</f>
        <v/>
      </c>
      <c r="G488" s="298" t="str">
        <f t="shared" si="28"/>
        <v/>
      </c>
      <c r="H488" s="298" t="str">
        <f t="shared" si="29"/>
        <v/>
      </c>
      <c r="I488" s="298" t="str">
        <f>IF(B488="", "",Inventory!D496)</f>
        <v/>
      </c>
      <c r="J488" s="298" t="str">
        <f>IF(B488="","",IF(Inventory!C496="N","Interior","Exterior"))</f>
        <v/>
      </c>
      <c r="K488" s="298" t="str">
        <f t="shared" si="30"/>
        <v/>
      </c>
      <c r="L488" s="298" t="str">
        <f>IF(B488="", "", Inventory!E496)</f>
        <v/>
      </c>
      <c r="M488" s="298" t="str">
        <f>IF(B488="","",IF(Cool_Type=Lookups!$L$9,Cool_Type,IF(Cool_Type=Lookups!$L$10,Cool_Type,IF(Cool_Type=Lookups!$L$11,Cool_Type,IF(Cool_Type=Lookups!L498,Cool_Type,IF('Project Info and Summary'!$C$20="Electric",CONCATENATE(Cool_Type," ",Heating_Type," Heat"),IF('Project Info and Summary'!$C$20="Non-Electric",CONCATENATE(Cool_Type," ",Heating_Type," Heat"),CONCATENATE(Cool_Type," ",Heating_Type))))))))</f>
        <v/>
      </c>
      <c r="N488" s="298" t="str">
        <f t="shared" si="31"/>
        <v/>
      </c>
      <c r="O488" s="298" t="str">
        <f>IF(B488="", "", 'Lighting Inventory (Ref only)'!G499)</f>
        <v/>
      </c>
      <c r="P488" s="298" t="str">
        <f>IF(B488="", "", 'Lighting Inventory (Ref only)'!E499)</f>
        <v/>
      </c>
      <c r="Q488" s="298" t="str">
        <f>IF(B488="", "", 'Lighting Inventory (Ref only)'!J499)</f>
        <v/>
      </c>
      <c r="R488" s="298" t="str">
        <f>IF(B488="", "",'Lighting Inventory (Ref only)'!K499)</f>
        <v/>
      </c>
      <c r="S488" s="372" t="str">
        <f>IF(B488="", "", 'Lighting Inventory (Ref only)'!G499*'Lighting Inventory (Ref only)'!K499/1000)</f>
        <v/>
      </c>
      <c r="T488" s="298" t="str">
        <f>IF(B488="", "", IF('Lighting Inventory (Ref only)'!I499="", "Light Switch",Inventory!H496))</f>
        <v/>
      </c>
      <c r="W488" s="373"/>
      <c r="X488" s="298" t="str">
        <f>IF(B488="", "", 'Lighting Inventory (Ref only)'!Q499)</f>
        <v/>
      </c>
      <c r="Z488" s="374"/>
      <c r="AA488" s="372" t="str">
        <f>IF(B488="", "",'Lighting Inventory (Ref only)'!R499/1000)</f>
        <v/>
      </c>
      <c r="AB488" s="372" t="str">
        <f>IF(B488="", "", Inventory!M496)</f>
        <v/>
      </c>
      <c r="AC488" s="374" t="str">
        <f>IF(B488="", "", 'Lighting Inventory (Ref only)'!T499)</f>
        <v/>
      </c>
      <c r="AD488" s="374" t="str">
        <f>IF(C488="", "", 'Lighting Inventory (Ref only)'!AA499)</f>
        <v/>
      </c>
      <c r="AE488" s="375" t="str">
        <f>IF(B488="", "", 'Lighting Inventory (Ref only)'!U499)</f>
        <v/>
      </c>
      <c r="AF488" s="375" t="str">
        <f>IF(B488="", "",'Lighting Inventory (Ref only)'!W499)</f>
        <v/>
      </c>
      <c r="AG488" s="375"/>
      <c r="AH488" s="375" t="str">
        <f>IF(B488="", "",'Lighting Inventory (Ref only)'!Z499)</f>
        <v/>
      </c>
      <c r="AI488" s="375" t="str">
        <f>IF(B488="", "", 'Lighting Inventory (Ref only)'!Y499)</f>
        <v/>
      </c>
      <c r="AJ488" s="375" t="str">
        <f>IF(C488="", "",'Lighting Inventory (Ref only)'!AB499)</f>
        <v/>
      </c>
      <c r="AK488" s="375" t="str">
        <f>IF(B488="", "", 'Lighting Inventory (Ref only)'!AG499)</f>
        <v/>
      </c>
      <c r="AL488" s="375" t="str">
        <f>IF(B488="", "", 'Lighting Inventory (Ref only)'!AD499)</f>
        <v/>
      </c>
      <c r="AM488" s="375" t="str">
        <f>IF(B488="", "", 'Lighting Inventory (Ref only)'!AE499)</f>
        <v/>
      </c>
      <c r="AN488" s="375" t="str">
        <f>IF(B488="", "", 'Lighting Inventory (Ref only)'!AF499)</f>
        <v/>
      </c>
      <c r="AO488" s="375" t="str">
        <f>IF(B488="", "", 'Lighting Inventory (Ref only)'!AG499)</f>
        <v/>
      </c>
    </row>
    <row r="489" spans="1:41">
      <c r="A489" s="298" t="str">
        <f>IF(G489="", "", Lookups!BF491)</f>
        <v/>
      </c>
      <c r="B489" s="298" t="str">
        <f>IF('Lighting Inventory (Ref only)'!Q500="", "", 'Lighting Inventory (Ref only)'!Q500)</f>
        <v/>
      </c>
      <c r="C489" s="298" t="str">
        <f>IF(A489="", "", 'Lighting Inventory (Ref only)'!AO500)</f>
        <v/>
      </c>
      <c r="D489" s="370" t="str">
        <f>IF(B489= "","", Inventory!S497)</f>
        <v/>
      </c>
      <c r="E489" s="371"/>
      <c r="F489" s="298" t="str">
        <f>IF(B489="", "", 'Version Log'!$B$34)</f>
        <v/>
      </c>
      <c r="G489" s="298" t="str">
        <f t="shared" si="28"/>
        <v/>
      </c>
      <c r="H489" s="298" t="str">
        <f t="shared" si="29"/>
        <v/>
      </c>
      <c r="I489" s="298" t="str">
        <f>IF(B489="", "",Inventory!D497)</f>
        <v/>
      </c>
      <c r="J489" s="298" t="str">
        <f>IF(B489="","",IF(Inventory!C497="N","Interior","Exterior"))</f>
        <v/>
      </c>
      <c r="K489" s="298" t="str">
        <f t="shared" si="30"/>
        <v/>
      </c>
      <c r="L489" s="298" t="str">
        <f>IF(B489="", "", Inventory!E497)</f>
        <v/>
      </c>
      <c r="M489" s="298" t="str">
        <f>IF(B489="","",IF(Cool_Type=Lookups!$L$9,Cool_Type,IF(Cool_Type=Lookups!$L$10,Cool_Type,IF(Cool_Type=Lookups!$L$11,Cool_Type,IF(Cool_Type=Lookups!L499,Cool_Type,IF('Project Info and Summary'!$C$20="Electric",CONCATENATE(Cool_Type," ",Heating_Type," Heat"),IF('Project Info and Summary'!$C$20="Non-Electric",CONCATENATE(Cool_Type," ",Heating_Type," Heat"),CONCATENATE(Cool_Type," ",Heating_Type))))))))</f>
        <v/>
      </c>
      <c r="N489" s="298" t="str">
        <f t="shared" si="31"/>
        <v/>
      </c>
      <c r="O489" s="298" t="str">
        <f>IF(B489="", "", 'Lighting Inventory (Ref only)'!G500)</f>
        <v/>
      </c>
      <c r="P489" s="298" t="str">
        <f>IF(B489="", "", 'Lighting Inventory (Ref only)'!E500)</f>
        <v/>
      </c>
      <c r="Q489" s="298" t="str">
        <f>IF(B489="", "", 'Lighting Inventory (Ref only)'!J500)</f>
        <v/>
      </c>
      <c r="R489" s="298" t="str">
        <f>IF(B489="", "",'Lighting Inventory (Ref only)'!K500)</f>
        <v/>
      </c>
      <c r="S489" s="372" t="str">
        <f>IF(B489="", "", 'Lighting Inventory (Ref only)'!G500*'Lighting Inventory (Ref only)'!K500/1000)</f>
        <v/>
      </c>
      <c r="T489" s="298" t="str">
        <f>IF(B489="", "", IF('Lighting Inventory (Ref only)'!I500="", "Light Switch",Inventory!H497))</f>
        <v/>
      </c>
      <c r="W489" s="373"/>
      <c r="X489" s="298" t="str">
        <f>IF(B489="", "", 'Lighting Inventory (Ref only)'!Q500)</f>
        <v/>
      </c>
      <c r="Z489" s="374"/>
      <c r="AA489" s="372" t="str">
        <f>IF(B489="", "",'Lighting Inventory (Ref only)'!R500/1000)</f>
        <v/>
      </c>
      <c r="AB489" s="372" t="str">
        <f>IF(B489="", "", Inventory!M497)</f>
        <v/>
      </c>
      <c r="AC489" s="374" t="str">
        <f>IF(B489="", "", 'Lighting Inventory (Ref only)'!T500)</f>
        <v/>
      </c>
      <c r="AD489" s="374" t="str">
        <f>IF(C489="", "", 'Lighting Inventory (Ref only)'!AA500)</f>
        <v/>
      </c>
      <c r="AE489" s="375" t="str">
        <f>IF(B489="", "", 'Lighting Inventory (Ref only)'!U500)</f>
        <v/>
      </c>
      <c r="AF489" s="375" t="str">
        <f>IF(B489="", "",'Lighting Inventory (Ref only)'!W500)</f>
        <v/>
      </c>
      <c r="AG489" s="375"/>
      <c r="AH489" s="375" t="str">
        <f>IF(B489="", "",'Lighting Inventory (Ref only)'!Z500)</f>
        <v/>
      </c>
      <c r="AI489" s="375" t="str">
        <f>IF(B489="", "", 'Lighting Inventory (Ref only)'!Y500)</f>
        <v/>
      </c>
      <c r="AJ489" s="375" t="str">
        <f>IF(C489="", "",'Lighting Inventory (Ref only)'!AB500)</f>
        <v/>
      </c>
      <c r="AK489" s="375" t="str">
        <f>IF(B489="", "", 'Lighting Inventory (Ref only)'!AG500)</f>
        <v/>
      </c>
      <c r="AL489" s="375" t="str">
        <f>IF(B489="", "", 'Lighting Inventory (Ref only)'!AD500)</f>
        <v/>
      </c>
      <c r="AM489" s="375" t="str">
        <f>IF(B489="", "", 'Lighting Inventory (Ref only)'!AE500)</f>
        <v/>
      </c>
      <c r="AN489" s="375" t="str">
        <f>IF(B489="", "", 'Lighting Inventory (Ref only)'!AF500)</f>
        <v/>
      </c>
      <c r="AO489" s="375" t="str">
        <f>IF(B489="", "", 'Lighting Inventory (Ref only)'!AG500)</f>
        <v/>
      </c>
    </row>
    <row r="490" spans="1:41">
      <c r="A490" s="298" t="str">
        <f>IF(G490="", "", Lookups!BF492)</f>
        <v/>
      </c>
      <c r="B490" s="298" t="str">
        <f>IF('Lighting Inventory (Ref only)'!Q501="", "", 'Lighting Inventory (Ref only)'!Q501)</f>
        <v/>
      </c>
      <c r="C490" s="298" t="str">
        <f>IF(A490="", "", 'Lighting Inventory (Ref only)'!AO501)</f>
        <v/>
      </c>
      <c r="D490" s="370" t="str">
        <f>IF(B490= "","", Inventory!S498)</f>
        <v/>
      </c>
      <c r="E490" s="371"/>
      <c r="F490" s="298" t="str">
        <f>IF(B490="", "", 'Version Log'!$B$34)</f>
        <v/>
      </c>
      <c r="G490" s="298" t="str">
        <f t="shared" si="28"/>
        <v/>
      </c>
      <c r="H490" s="298" t="str">
        <f t="shared" si="29"/>
        <v/>
      </c>
      <c r="I490" s="298" t="str">
        <f>IF(B490="", "",Inventory!D498)</f>
        <v/>
      </c>
      <c r="J490" s="298" t="str">
        <f>IF(B490="","",IF(Inventory!C498="N","Interior","Exterior"))</f>
        <v/>
      </c>
      <c r="K490" s="298" t="str">
        <f t="shared" si="30"/>
        <v/>
      </c>
      <c r="L490" s="298" t="str">
        <f>IF(B490="", "", Inventory!E498)</f>
        <v/>
      </c>
      <c r="M490" s="298" t="str">
        <f>IF(B490="","",IF(Cool_Type=Lookups!$L$9,Cool_Type,IF(Cool_Type=Lookups!$L$10,Cool_Type,IF(Cool_Type=Lookups!$L$11,Cool_Type,IF(Cool_Type=Lookups!L500,Cool_Type,IF('Project Info and Summary'!$C$20="Electric",CONCATENATE(Cool_Type," ",Heating_Type," Heat"),IF('Project Info and Summary'!$C$20="Non-Electric",CONCATENATE(Cool_Type," ",Heating_Type," Heat"),CONCATENATE(Cool_Type," ",Heating_Type))))))))</f>
        <v/>
      </c>
      <c r="N490" s="298" t="str">
        <f t="shared" si="31"/>
        <v/>
      </c>
      <c r="O490" s="298" t="str">
        <f>IF(B490="", "", 'Lighting Inventory (Ref only)'!G501)</f>
        <v/>
      </c>
      <c r="P490" s="298" t="str">
        <f>IF(B490="", "", 'Lighting Inventory (Ref only)'!E501)</f>
        <v/>
      </c>
      <c r="Q490" s="298" t="str">
        <f>IF(B490="", "", 'Lighting Inventory (Ref only)'!J501)</f>
        <v/>
      </c>
      <c r="R490" s="298" t="str">
        <f>IF(B490="", "",'Lighting Inventory (Ref only)'!K501)</f>
        <v/>
      </c>
      <c r="S490" s="372" t="str">
        <f>IF(B490="", "", 'Lighting Inventory (Ref only)'!G501*'Lighting Inventory (Ref only)'!K501/1000)</f>
        <v/>
      </c>
      <c r="T490" s="298" t="str">
        <f>IF(B490="", "", IF('Lighting Inventory (Ref only)'!I501="", "Light Switch",Inventory!H498))</f>
        <v/>
      </c>
      <c r="W490" s="373"/>
      <c r="X490" s="298" t="str">
        <f>IF(B490="", "", 'Lighting Inventory (Ref only)'!Q501)</f>
        <v/>
      </c>
      <c r="Z490" s="374"/>
      <c r="AA490" s="372" t="str">
        <f>IF(B490="", "",'Lighting Inventory (Ref only)'!R501/1000)</f>
        <v/>
      </c>
      <c r="AB490" s="372" t="str">
        <f>IF(B490="", "", Inventory!M498)</f>
        <v/>
      </c>
      <c r="AC490" s="374" t="str">
        <f>IF(B490="", "", 'Lighting Inventory (Ref only)'!T501)</f>
        <v/>
      </c>
      <c r="AD490" s="374" t="str">
        <f>IF(C490="", "", 'Lighting Inventory (Ref only)'!AA501)</f>
        <v/>
      </c>
      <c r="AE490" s="375" t="str">
        <f>IF(B490="", "", 'Lighting Inventory (Ref only)'!U501)</f>
        <v/>
      </c>
      <c r="AF490" s="375" t="str">
        <f>IF(B490="", "",'Lighting Inventory (Ref only)'!W501)</f>
        <v/>
      </c>
      <c r="AG490" s="375"/>
      <c r="AH490" s="375" t="str">
        <f>IF(B490="", "",'Lighting Inventory (Ref only)'!Z501)</f>
        <v/>
      </c>
      <c r="AI490" s="375" t="str">
        <f>IF(B490="", "", 'Lighting Inventory (Ref only)'!Y501)</f>
        <v/>
      </c>
      <c r="AJ490" s="375" t="str">
        <f>IF(C490="", "",'Lighting Inventory (Ref only)'!AB501)</f>
        <v/>
      </c>
      <c r="AK490" s="375" t="str">
        <f>IF(B490="", "", 'Lighting Inventory (Ref only)'!AG501)</f>
        <v/>
      </c>
      <c r="AL490" s="375" t="str">
        <f>IF(B490="", "", 'Lighting Inventory (Ref only)'!AD501)</f>
        <v/>
      </c>
      <c r="AM490" s="375" t="str">
        <f>IF(B490="", "", 'Lighting Inventory (Ref only)'!AE501)</f>
        <v/>
      </c>
      <c r="AN490" s="375" t="str">
        <f>IF(B490="", "", 'Lighting Inventory (Ref only)'!AF501)</f>
        <v/>
      </c>
      <c r="AO490" s="375" t="str">
        <f>IF(B490="", "", 'Lighting Inventory (Ref only)'!AG501)</f>
        <v/>
      </c>
    </row>
    <row r="491" spans="1:41">
      <c r="A491" s="298" t="str">
        <f>IF(G491="", "", Lookups!BF493)</f>
        <v/>
      </c>
      <c r="B491" s="298" t="str">
        <f>IF('Lighting Inventory (Ref only)'!Q502="", "", 'Lighting Inventory (Ref only)'!Q502)</f>
        <v/>
      </c>
      <c r="C491" s="298" t="str">
        <f>IF(A491="", "", 'Lighting Inventory (Ref only)'!AO502)</f>
        <v/>
      </c>
      <c r="D491" s="370" t="str">
        <f>IF(B491= "","", Inventory!S499)</f>
        <v/>
      </c>
      <c r="E491" s="371"/>
      <c r="F491" s="298" t="str">
        <f>IF(B491="", "", 'Version Log'!$B$34)</f>
        <v/>
      </c>
      <c r="G491" s="298" t="str">
        <f t="shared" si="28"/>
        <v/>
      </c>
      <c r="H491" s="298" t="str">
        <f t="shared" si="29"/>
        <v/>
      </c>
      <c r="I491" s="298" t="str">
        <f>IF(B491="", "",Inventory!D499)</f>
        <v/>
      </c>
      <c r="J491" s="298" t="str">
        <f>IF(B491="","",IF(Inventory!C499="N","Interior","Exterior"))</f>
        <v/>
      </c>
      <c r="K491" s="298" t="str">
        <f t="shared" si="30"/>
        <v/>
      </c>
      <c r="L491" s="298" t="str">
        <f>IF(B491="", "", Inventory!E499)</f>
        <v/>
      </c>
      <c r="M491" s="298" t="str">
        <f>IF(B491="","",IF(Cool_Type=Lookups!$L$9,Cool_Type,IF(Cool_Type=Lookups!$L$10,Cool_Type,IF(Cool_Type=Lookups!$L$11,Cool_Type,IF(Cool_Type=Lookups!L501,Cool_Type,IF('Project Info and Summary'!$C$20="Electric",CONCATENATE(Cool_Type," ",Heating_Type," Heat"),IF('Project Info and Summary'!$C$20="Non-Electric",CONCATENATE(Cool_Type," ",Heating_Type," Heat"),CONCATENATE(Cool_Type," ",Heating_Type))))))))</f>
        <v/>
      </c>
      <c r="N491" s="298" t="str">
        <f t="shared" si="31"/>
        <v/>
      </c>
      <c r="O491" s="298" t="str">
        <f>IF(B491="", "", 'Lighting Inventory (Ref only)'!G502)</f>
        <v/>
      </c>
      <c r="P491" s="298" t="str">
        <f>IF(B491="", "", 'Lighting Inventory (Ref only)'!E502)</f>
        <v/>
      </c>
      <c r="Q491" s="298" t="str">
        <f>IF(B491="", "", 'Lighting Inventory (Ref only)'!J502)</f>
        <v/>
      </c>
      <c r="R491" s="298" t="str">
        <f>IF(B491="", "",'Lighting Inventory (Ref only)'!K502)</f>
        <v/>
      </c>
      <c r="S491" s="372" t="str">
        <f>IF(B491="", "", 'Lighting Inventory (Ref only)'!G502*'Lighting Inventory (Ref only)'!K502/1000)</f>
        <v/>
      </c>
      <c r="T491" s="298" t="str">
        <f>IF(B491="", "", IF('Lighting Inventory (Ref only)'!I502="", "Light Switch",Inventory!H499))</f>
        <v/>
      </c>
      <c r="W491" s="373"/>
      <c r="X491" s="298" t="str">
        <f>IF(B491="", "", 'Lighting Inventory (Ref only)'!Q502)</f>
        <v/>
      </c>
      <c r="Z491" s="374"/>
      <c r="AA491" s="372" t="str">
        <f>IF(B491="", "",'Lighting Inventory (Ref only)'!R502/1000)</f>
        <v/>
      </c>
      <c r="AB491" s="372" t="str">
        <f>IF(B491="", "", Inventory!M499)</f>
        <v/>
      </c>
      <c r="AC491" s="374" t="str">
        <f>IF(B491="", "", 'Lighting Inventory (Ref only)'!T502)</f>
        <v/>
      </c>
      <c r="AD491" s="374" t="str">
        <f>IF(C491="", "", 'Lighting Inventory (Ref only)'!AA502)</f>
        <v/>
      </c>
      <c r="AE491" s="375" t="str">
        <f>IF(B491="", "", 'Lighting Inventory (Ref only)'!U502)</f>
        <v/>
      </c>
      <c r="AF491" s="375" t="str">
        <f>IF(B491="", "",'Lighting Inventory (Ref only)'!W502)</f>
        <v/>
      </c>
      <c r="AG491" s="375"/>
      <c r="AH491" s="375" t="str">
        <f>IF(B491="", "",'Lighting Inventory (Ref only)'!Z502)</f>
        <v/>
      </c>
      <c r="AI491" s="375" t="str">
        <f>IF(B491="", "", 'Lighting Inventory (Ref only)'!Y502)</f>
        <v/>
      </c>
      <c r="AJ491" s="375" t="str">
        <f>IF(C491="", "",'Lighting Inventory (Ref only)'!AB502)</f>
        <v/>
      </c>
      <c r="AK491" s="375" t="str">
        <f>IF(B491="", "", 'Lighting Inventory (Ref only)'!AG502)</f>
        <v/>
      </c>
      <c r="AL491" s="375" t="str">
        <f>IF(B491="", "", 'Lighting Inventory (Ref only)'!AD502)</f>
        <v/>
      </c>
      <c r="AM491" s="375" t="str">
        <f>IF(B491="", "", 'Lighting Inventory (Ref only)'!AE502)</f>
        <v/>
      </c>
      <c r="AN491" s="375" t="str">
        <f>IF(B491="", "", 'Lighting Inventory (Ref only)'!AF502)</f>
        <v/>
      </c>
      <c r="AO491" s="375" t="str">
        <f>IF(B491="", "", 'Lighting Inventory (Ref only)'!AG502)</f>
        <v/>
      </c>
    </row>
    <row r="492" spans="1:41">
      <c r="A492" s="298" t="str">
        <f>IF(G492="", "", Lookups!BF494)</f>
        <v/>
      </c>
      <c r="B492" s="298" t="str">
        <f>IF('Lighting Inventory (Ref only)'!Q503="", "", 'Lighting Inventory (Ref only)'!Q503)</f>
        <v/>
      </c>
      <c r="C492" s="298" t="str">
        <f>IF(A492="", "", 'Lighting Inventory (Ref only)'!AO503)</f>
        <v/>
      </c>
      <c r="D492" s="370" t="str">
        <f>IF(B492= "","", Inventory!S500)</f>
        <v/>
      </c>
      <c r="E492" s="371"/>
      <c r="F492" s="298" t="str">
        <f>IF(B492="", "", 'Version Log'!$B$34)</f>
        <v/>
      </c>
      <c r="G492" s="298" t="str">
        <f t="shared" si="28"/>
        <v/>
      </c>
      <c r="H492" s="298" t="str">
        <f t="shared" si="29"/>
        <v/>
      </c>
      <c r="I492" s="298" t="str">
        <f>IF(B492="", "",Inventory!D500)</f>
        <v/>
      </c>
      <c r="J492" s="298" t="str">
        <f>IF(B492="","",IF(Inventory!C500="N","Interior","Exterior"))</f>
        <v/>
      </c>
      <c r="K492" s="298" t="str">
        <f t="shared" si="30"/>
        <v/>
      </c>
      <c r="L492" s="298" t="str">
        <f>IF(B492="", "", Inventory!E500)</f>
        <v/>
      </c>
      <c r="M492" s="298" t="str">
        <f>IF(B492="","",IF(Cool_Type=Lookups!$L$9,Cool_Type,IF(Cool_Type=Lookups!$L$10,Cool_Type,IF(Cool_Type=Lookups!$L$11,Cool_Type,IF(Cool_Type=Lookups!L502,Cool_Type,IF('Project Info and Summary'!$C$20="Electric",CONCATENATE(Cool_Type," ",Heating_Type," Heat"),IF('Project Info and Summary'!$C$20="Non-Electric",CONCATENATE(Cool_Type," ",Heating_Type," Heat"),CONCATENATE(Cool_Type," ",Heating_Type))))))))</f>
        <v/>
      </c>
      <c r="N492" s="298" t="str">
        <f t="shared" si="31"/>
        <v/>
      </c>
      <c r="O492" s="298" t="str">
        <f>IF(B492="", "", 'Lighting Inventory (Ref only)'!G503)</f>
        <v/>
      </c>
      <c r="P492" s="298" t="str">
        <f>IF(B492="", "", 'Lighting Inventory (Ref only)'!E503)</f>
        <v/>
      </c>
      <c r="Q492" s="298" t="str">
        <f>IF(B492="", "", 'Lighting Inventory (Ref only)'!J503)</f>
        <v/>
      </c>
      <c r="R492" s="298" t="str">
        <f>IF(B492="", "",'Lighting Inventory (Ref only)'!K503)</f>
        <v/>
      </c>
      <c r="S492" s="372" t="str">
        <f>IF(B492="", "", 'Lighting Inventory (Ref only)'!G503*'Lighting Inventory (Ref only)'!K503/1000)</f>
        <v/>
      </c>
      <c r="T492" s="298" t="str">
        <f>IF(B492="", "", IF('Lighting Inventory (Ref only)'!I503="", "Light Switch",Inventory!H500))</f>
        <v/>
      </c>
      <c r="W492" s="373"/>
      <c r="X492" s="298" t="str">
        <f>IF(B492="", "", 'Lighting Inventory (Ref only)'!Q503)</f>
        <v/>
      </c>
      <c r="Z492" s="374"/>
      <c r="AA492" s="372" t="str">
        <f>IF(B492="", "",'Lighting Inventory (Ref only)'!R503/1000)</f>
        <v/>
      </c>
      <c r="AB492" s="372" t="str">
        <f>IF(B492="", "", Inventory!M500)</f>
        <v/>
      </c>
      <c r="AC492" s="374" t="str">
        <f>IF(B492="", "", 'Lighting Inventory (Ref only)'!T503)</f>
        <v/>
      </c>
      <c r="AD492" s="374" t="str">
        <f>IF(C492="", "", 'Lighting Inventory (Ref only)'!AA503)</f>
        <v/>
      </c>
      <c r="AE492" s="375" t="str">
        <f>IF(B492="", "", 'Lighting Inventory (Ref only)'!U503)</f>
        <v/>
      </c>
      <c r="AF492" s="375" t="str">
        <f>IF(B492="", "",'Lighting Inventory (Ref only)'!W503)</f>
        <v/>
      </c>
      <c r="AG492" s="375"/>
      <c r="AH492" s="375" t="str">
        <f>IF(B492="", "",'Lighting Inventory (Ref only)'!Z503)</f>
        <v/>
      </c>
      <c r="AI492" s="375" t="str">
        <f>IF(B492="", "", 'Lighting Inventory (Ref only)'!Y503)</f>
        <v/>
      </c>
      <c r="AJ492" s="375" t="str">
        <f>IF(C492="", "",'Lighting Inventory (Ref only)'!AB503)</f>
        <v/>
      </c>
      <c r="AK492" s="375" t="str">
        <f>IF(B492="", "", 'Lighting Inventory (Ref only)'!AG503)</f>
        <v/>
      </c>
      <c r="AL492" s="375" t="str">
        <f>IF(B492="", "", 'Lighting Inventory (Ref only)'!AD503)</f>
        <v/>
      </c>
      <c r="AM492" s="375" t="str">
        <f>IF(B492="", "", 'Lighting Inventory (Ref only)'!AE503)</f>
        <v/>
      </c>
      <c r="AN492" s="375" t="str">
        <f>IF(B492="", "", 'Lighting Inventory (Ref only)'!AF503)</f>
        <v/>
      </c>
      <c r="AO492" s="375" t="str">
        <f>IF(B492="", "", 'Lighting Inventory (Ref only)'!AG503)</f>
        <v/>
      </c>
    </row>
    <row r="493" spans="1:41">
      <c r="A493" s="298" t="str">
        <f>IF(G493="", "", Lookups!BF495)</f>
        <v/>
      </c>
      <c r="B493" s="298" t="str">
        <f>IF('Lighting Inventory (Ref only)'!Q504="", "", 'Lighting Inventory (Ref only)'!Q504)</f>
        <v/>
      </c>
      <c r="C493" s="298" t="str">
        <f>IF(A493="", "", 'Lighting Inventory (Ref only)'!AO504)</f>
        <v/>
      </c>
      <c r="D493" s="370" t="str">
        <f>IF(B493= "","", Inventory!S501)</f>
        <v/>
      </c>
      <c r="E493" s="371"/>
      <c r="F493" s="298" t="str">
        <f>IF(B493="", "", 'Version Log'!$B$34)</f>
        <v/>
      </c>
      <c r="G493" s="298" t="str">
        <f t="shared" si="28"/>
        <v/>
      </c>
      <c r="H493" s="298" t="str">
        <f t="shared" si="29"/>
        <v/>
      </c>
      <c r="I493" s="298" t="str">
        <f>IF(B493="", "",Inventory!D501)</f>
        <v/>
      </c>
      <c r="J493" s="298" t="str">
        <f>IF(B493="","",IF(Inventory!C501="N","Interior","Exterior"))</f>
        <v/>
      </c>
      <c r="K493" s="298" t="str">
        <f t="shared" si="30"/>
        <v/>
      </c>
      <c r="L493" s="298" t="str">
        <f>IF(B493="", "", Inventory!E501)</f>
        <v/>
      </c>
      <c r="M493" s="298" t="str">
        <f>IF(B493="","",IF(Cool_Type=Lookups!$L$9,Cool_Type,IF(Cool_Type=Lookups!$L$10,Cool_Type,IF(Cool_Type=Lookups!$L$11,Cool_Type,IF(Cool_Type=Lookups!L503,Cool_Type,IF('Project Info and Summary'!$C$20="Electric",CONCATENATE(Cool_Type," ",Heating_Type," Heat"),IF('Project Info and Summary'!$C$20="Non-Electric",CONCATENATE(Cool_Type," ",Heating_Type," Heat"),CONCATENATE(Cool_Type," ",Heating_Type))))))))</f>
        <v/>
      </c>
      <c r="N493" s="298" t="str">
        <f t="shared" si="31"/>
        <v/>
      </c>
      <c r="O493" s="298" t="str">
        <f>IF(B493="", "", 'Lighting Inventory (Ref only)'!G504)</f>
        <v/>
      </c>
      <c r="P493" s="298" t="str">
        <f>IF(B493="", "", 'Lighting Inventory (Ref only)'!E504)</f>
        <v/>
      </c>
      <c r="Q493" s="298" t="str">
        <f>IF(B493="", "", 'Lighting Inventory (Ref only)'!J504)</f>
        <v/>
      </c>
      <c r="R493" s="298" t="str">
        <f>IF(B493="", "",'Lighting Inventory (Ref only)'!K504)</f>
        <v/>
      </c>
      <c r="S493" s="372" t="str">
        <f>IF(B493="", "", 'Lighting Inventory (Ref only)'!G504*'Lighting Inventory (Ref only)'!K504/1000)</f>
        <v/>
      </c>
      <c r="T493" s="298" t="str">
        <f>IF(B493="", "", IF('Lighting Inventory (Ref only)'!I504="", "Light Switch",Inventory!H501))</f>
        <v/>
      </c>
      <c r="W493" s="373"/>
      <c r="X493" s="298" t="str">
        <f>IF(B493="", "", 'Lighting Inventory (Ref only)'!Q504)</f>
        <v/>
      </c>
      <c r="Z493" s="374"/>
      <c r="AA493" s="372" t="str">
        <f>IF(B493="", "",'Lighting Inventory (Ref only)'!R504/1000)</f>
        <v/>
      </c>
      <c r="AB493" s="372" t="str">
        <f>IF(B493="", "", Inventory!M501)</f>
        <v/>
      </c>
      <c r="AC493" s="374" t="str">
        <f>IF(B493="", "", 'Lighting Inventory (Ref only)'!T504)</f>
        <v/>
      </c>
      <c r="AD493" s="374" t="str">
        <f>IF(C493="", "", 'Lighting Inventory (Ref only)'!AA504)</f>
        <v/>
      </c>
      <c r="AE493" s="375" t="str">
        <f>IF(B493="", "", 'Lighting Inventory (Ref only)'!U504)</f>
        <v/>
      </c>
      <c r="AF493" s="375" t="str">
        <f>IF(B493="", "",'Lighting Inventory (Ref only)'!W504)</f>
        <v/>
      </c>
      <c r="AG493" s="375"/>
      <c r="AH493" s="375" t="str">
        <f>IF(B493="", "",'Lighting Inventory (Ref only)'!Z504)</f>
        <v/>
      </c>
      <c r="AI493" s="375" t="str">
        <f>IF(B493="", "", 'Lighting Inventory (Ref only)'!Y504)</f>
        <v/>
      </c>
      <c r="AJ493" s="375" t="str">
        <f>IF(C493="", "",'Lighting Inventory (Ref only)'!AB504)</f>
        <v/>
      </c>
      <c r="AK493" s="375" t="str">
        <f>IF(B493="", "", 'Lighting Inventory (Ref only)'!AG504)</f>
        <v/>
      </c>
      <c r="AL493" s="375" t="str">
        <f>IF(B493="", "", 'Lighting Inventory (Ref only)'!AD504)</f>
        <v/>
      </c>
      <c r="AM493" s="375" t="str">
        <f>IF(B493="", "", 'Lighting Inventory (Ref only)'!AE504)</f>
        <v/>
      </c>
      <c r="AN493" s="375" t="str">
        <f>IF(B493="", "", 'Lighting Inventory (Ref only)'!AF504)</f>
        <v/>
      </c>
      <c r="AO493" s="375" t="str">
        <f>IF(B493="", "", 'Lighting Inventory (Ref only)'!AG504)</f>
        <v/>
      </c>
    </row>
    <row r="494" spans="1:41">
      <c r="A494" s="298" t="str">
        <f>IF(G494="", "", Lookups!BF496)</f>
        <v/>
      </c>
      <c r="B494" s="298" t="str">
        <f>IF('Lighting Inventory (Ref only)'!Q505="", "", 'Lighting Inventory (Ref only)'!Q505)</f>
        <v/>
      </c>
      <c r="C494" s="298" t="str">
        <f>IF(A494="", "", 'Lighting Inventory (Ref only)'!AO505)</f>
        <v/>
      </c>
      <c r="D494" s="370" t="str">
        <f>IF(B494= "","", Inventory!S502)</f>
        <v/>
      </c>
      <c r="E494" s="371"/>
      <c r="F494" s="298" t="str">
        <f>IF(B494="", "", 'Version Log'!$B$34)</f>
        <v/>
      </c>
      <c r="G494" s="298" t="str">
        <f t="shared" si="28"/>
        <v/>
      </c>
      <c r="H494" s="298" t="str">
        <f t="shared" si="29"/>
        <v/>
      </c>
      <c r="I494" s="298" t="str">
        <f>IF(B494="", "",Inventory!D502)</f>
        <v/>
      </c>
      <c r="J494" s="298" t="str">
        <f>IF(B494="","",IF(Inventory!C502="N","Interior","Exterior"))</f>
        <v/>
      </c>
      <c r="K494" s="298" t="str">
        <f t="shared" si="30"/>
        <v/>
      </c>
      <c r="L494" s="298" t="str">
        <f>IF(B494="", "", Inventory!E502)</f>
        <v/>
      </c>
      <c r="M494" s="298" t="str">
        <f>IF(B494="","",IF(Cool_Type=Lookups!$L$9,Cool_Type,IF(Cool_Type=Lookups!$L$10,Cool_Type,IF(Cool_Type=Lookups!$L$11,Cool_Type,IF(Cool_Type=Lookups!L504,Cool_Type,IF('Project Info and Summary'!$C$20="Electric",CONCATENATE(Cool_Type," ",Heating_Type," Heat"),IF('Project Info and Summary'!$C$20="Non-Electric",CONCATENATE(Cool_Type," ",Heating_Type," Heat"),CONCATENATE(Cool_Type," ",Heating_Type))))))))</f>
        <v/>
      </c>
      <c r="N494" s="298" t="str">
        <f t="shared" si="31"/>
        <v/>
      </c>
      <c r="O494" s="298" t="str">
        <f>IF(B494="", "", 'Lighting Inventory (Ref only)'!G505)</f>
        <v/>
      </c>
      <c r="P494" s="298" t="str">
        <f>IF(B494="", "", 'Lighting Inventory (Ref only)'!E505)</f>
        <v/>
      </c>
      <c r="Q494" s="298" t="str">
        <f>IF(B494="", "", 'Lighting Inventory (Ref only)'!J505)</f>
        <v/>
      </c>
      <c r="R494" s="298" t="str">
        <f>IF(B494="", "",'Lighting Inventory (Ref only)'!K505)</f>
        <v/>
      </c>
      <c r="S494" s="372" t="str">
        <f>IF(B494="", "", 'Lighting Inventory (Ref only)'!G505*'Lighting Inventory (Ref only)'!K505/1000)</f>
        <v/>
      </c>
      <c r="T494" s="298" t="str">
        <f>IF(B494="", "", IF('Lighting Inventory (Ref only)'!I505="", "Light Switch",Inventory!H502))</f>
        <v/>
      </c>
      <c r="W494" s="373"/>
      <c r="X494" s="298" t="str">
        <f>IF(B494="", "", 'Lighting Inventory (Ref only)'!Q505)</f>
        <v/>
      </c>
      <c r="Z494" s="374"/>
      <c r="AA494" s="372" t="str">
        <f>IF(B494="", "",'Lighting Inventory (Ref only)'!R505/1000)</f>
        <v/>
      </c>
      <c r="AB494" s="372" t="str">
        <f>IF(B494="", "", Inventory!M502)</f>
        <v/>
      </c>
      <c r="AC494" s="374" t="str">
        <f>IF(B494="", "", 'Lighting Inventory (Ref only)'!T505)</f>
        <v/>
      </c>
      <c r="AD494" s="374" t="str">
        <f>IF(C494="", "", 'Lighting Inventory (Ref only)'!AA505)</f>
        <v/>
      </c>
      <c r="AE494" s="375" t="str">
        <f>IF(B494="", "", 'Lighting Inventory (Ref only)'!U505)</f>
        <v/>
      </c>
      <c r="AF494" s="375" t="str">
        <f>IF(B494="", "",'Lighting Inventory (Ref only)'!W505)</f>
        <v/>
      </c>
      <c r="AG494" s="375"/>
      <c r="AH494" s="375" t="str">
        <f>IF(B494="", "",'Lighting Inventory (Ref only)'!Z505)</f>
        <v/>
      </c>
      <c r="AI494" s="375" t="str">
        <f>IF(B494="", "", 'Lighting Inventory (Ref only)'!Y505)</f>
        <v/>
      </c>
      <c r="AJ494" s="375" t="str">
        <f>IF(C494="", "",'Lighting Inventory (Ref only)'!AB505)</f>
        <v/>
      </c>
      <c r="AK494" s="375" t="str">
        <f>IF(B494="", "", 'Lighting Inventory (Ref only)'!AG505)</f>
        <v/>
      </c>
      <c r="AL494" s="375" t="str">
        <f>IF(B494="", "", 'Lighting Inventory (Ref only)'!AD505)</f>
        <v/>
      </c>
      <c r="AM494" s="375" t="str">
        <f>IF(B494="", "", 'Lighting Inventory (Ref only)'!AE505)</f>
        <v/>
      </c>
      <c r="AN494" s="375" t="str">
        <f>IF(B494="", "", 'Lighting Inventory (Ref only)'!AF505)</f>
        <v/>
      </c>
      <c r="AO494" s="375" t="str">
        <f>IF(B494="", "", 'Lighting Inventory (Ref only)'!AG505)</f>
        <v/>
      </c>
    </row>
    <row r="495" spans="1:41">
      <c r="A495" s="298" t="str">
        <f>IF(G495="", "", Lookups!BF497)</f>
        <v/>
      </c>
      <c r="B495" s="298" t="str">
        <f>IF('Lighting Inventory (Ref only)'!Q506="", "", 'Lighting Inventory (Ref only)'!Q506)</f>
        <v/>
      </c>
      <c r="C495" s="298" t="str">
        <f>IF(A495="", "", 'Lighting Inventory (Ref only)'!AO506)</f>
        <v/>
      </c>
      <c r="D495" s="370" t="str">
        <f>IF(B495= "","", Inventory!S503)</f>
        <v/>
      </c>
      <c r="E495" s="371"/>
      <c r="F495" s="298" t="str">
        <f>IF(B495="", "", 'Version Log'!$B$34)</f>
        <v/>
      </c>
      <c r="G495" s="298" t="str">
        <f t="shared" si="28"/>
        <v/>
      </c>
      <c r="H495" s="298" t="str">
        <f t="shared" si="29"/>
        <v/>
      </c>
      <c r="I495" s="298" t="str">
        <f>IF(B495="", "",Inventory!D503)</f>
        <v/>
      </c>
      <c r="J495" s="298" t="str">
        <f>IF(B495="","",IF(Inventory!C503="N","Interior","Exterior"))</f>
        <v/>
      </c>
      <c r="K495" s="298" t="str">
        <f t="shared" si="30"/>
        <v/>
      </c>
      <c r="L495" s="298" t="str">
        <f>IF(B495="", "", Inventory!E503)</f>
        <v/>
      </c>
      <c r="M495" s="298" t="str">
        <f>IF(B495="","",IF(Cool_Type=Lookups!$L$9,Cool_Type,IF(Cool_Type=Lookups!$L$10,Cool_Type,IF(Cool_Type=Lookups!$L$11,Cool_Type,IF(Cool_Type=Lookups!L505,Cool_Type,IF('Project Info and Summary'!$C$20="Electric",CONCATENATE(Cool_Type," ",Heating_Type," Heat"),IF('Project Info and Summary'!$C$20="Non-Electric",CONCATENATE(Cool_Type," ",Heating_Type," Heat"),CONCATENATE(Cool_Type," ",Heating_Type))))))))</f>
        <v/>
      </c>
      <c r="N495" s="298" t="str">
        <f t="shared" si="31"/>
        <v/>
      </c>
      <c r="O495" s="298" t="str">
        <f>IF(B495="", "", 'Lighting Inventory (Ref only)'!G506)</f>
        <v/>
      </c>
      <c r="P495" s="298" t="str">
        <f>IF(B495="", "", 'Lighting Inventory (Ref only)'!E506)</f>
        <v/>
      </c>
      <c r="Q495" s="298" t="str">
        <f>IF(B495="", "", 'Lighting Inventory (Ref only)'!J506)</f>
        <v/>
      </c>
      <c r="R495" s="298" t="str">
        <f>IF(B495="", "",'Lighting Inventory (Ref only)'!K506)</f>
        <v/>
      </c>
      <c r="S495" s="372" t="str">
        <f>IF(B495="", "", 'Lighting Inventory (Ref only)'!G506*'Lighting Inventory (Ref only)'!K506/1000)</f>
        <v/>
      </c>
      <c r="T495" s="298" t="str">
        <f>IF(B495="", "", IF('Lighting Inventory (Ref only)'!I506="", "Light Switch",Inventory!H503))</f>
        <v/>
      </c>
      <c r="W495" s="373"/>
      <c r="X495" s="298" t="str">
        <f>IF(B495="", "", 'Lighting Inventory (Ref only)'!Q506)</f>
        <v/>
      </c>
      <c r="Z495" s="374"/>
      <c r="AA495" s="372" t="str">
        <f>IF(B495="", "",'Lighting Inventory (Ref only)'!R506/1000)</f>
        <v/>
      </c>
      <c r="AB495" s="372" t="str">
        <f>IF(B495="", "", Inventory!M503)</f>
        <v/>
      </c>
      <c r="AC495" s="374" t="str">
        <f>IF(B495="", "", 'Lighting Inventory (Ref only)'!T506)</f>
        <v/>
      </c>
      <c r="AD495" s="374" t="str">
        <f>IF(C495="", "", 'Lighting Inventory (Ref only)'!AA506)</f>
        <v/>
      </c>
      <c r="AE495" s="375" t="str">
        <f>IF(B495="", "", 'Lighting Inventory (Ref only)'!U506)</f>
        <v/>
      </c>
      <c r="AF495" s="375" t="str">
        <f>IF(B495="", "",'Lighting Inventory (Ref only)'!W506)</f>
        <v/>
      </c>
      <c r="AG495" s="375"/>
      <c r="AH495" s="375" t="str">
        <f>IF(B495="", "",'Lighting Inventory (Ref only)'!Z506)</f>
        <v/>
      </c>
      <c r="AI495" s="375" t="str">
        <f>IF(B495="", "", 'Lighting Inventory (Ref only)'!Y506)</f>
        <v/>
      </c>
      <c r="AJ495" s="375" t="str">
        <f>IF(C495="", "",'Lighting Inventory (Ref only)'!AB506)</f>
        <v/>
      </c>
      <c r="AK495" s="375" t="str">
        <f>IF(B495="", "", 'Lighting Inventory (Ref only)'!AG506)</f>
        <v/>
      </c>
      <c r="AL495" s="375" t="str">
        <f>IF(B495="", "", 'Lighting Inventory (Ref only)'!AD506)</f>
        <v/>
      </c>
      <c r="AM495" s="375" t="str">
        <f>IF(B495="", "", 'Lighting Inventory (Ref only)'!AE506)</f>
        <v/>
      </c>
      <c r="AN495" s="375" t="str">
        <f>IF(B495="", "", 'Lighting Inventory (Ref only)'!AF506)</f>
        <v/>
      </c>
      <c r="AO495" s="375" t="str">
        <f>IF(B495="", "", 'Lighting Inventory (Ref only)'!AG506)</f>
        <v/>
      </c>
    </row>
    <row r="496" spans="1:41">
      <c r="A496" s="298" t="str">
        <f>IF(G496="", "", Lookups!BF498)</f>
        <v/>
      </c>
      <c r="B496" s="298" t="str">
        <f>IF('Lighting Inventory (Ref only)'!Q507="", "", 'Lighting Inventory (Ref only)'!Q507)</f>
        <v/>
      </c>
      <c r="C496" s="298" t="str">
        <f>IF(A496="", "", 'Lighting Inventory (Ref only)'!AO507)</f>
        <v/>
      </c>
      <c r="D496" s="370" t="str">
        <f>IF(B496= "","", Inventory!S504)</f>
        <v/>
      </c>
      <c r="E496" s="371"/>
      <c r="F496" s="298" t="str">
        <f>IF(B496="", "", 'Version Log'!$B$34)</f>
        <v/>
      </c>
      <c r="G496" s="298" t="str">
        <f t="shared" si="28"/>
        <v/>
      </c>
      <c r="H496" s="298" t="str">
        <f t="shared" si="29"/>
        <v/>
      </c>
      <c r="I496" s="298" t="str">
        <f>IF(B496="", "",Inventory!D504)</f>
        <v/>
      </c>
      <c r="J496" s="298" t="str">
        <f>IF(B496="","",IF(Inventory!C504="N","Interior","Exterior"))</f>
        <v/>
      </c>
      <c r="K496" s="298" t="str">
        <f t="shared" si="30"/>
        <v/>
      </c>
      <c r="L496" s="298" t="str">
        <f>IF(B496="", "", Inventory!E504)</f>
        <v/>
      </c>
      <c r="M496" s="298" t="str">
        <f>IF(B496="","",IF(Cool_Type=Lookups!$L$9,Cool_Type,IF(Cool_Type=Lookups!$L$10,Cool_Type,IF(Cool_Type=Lookups!$L$11,Cool_Type,IF(Cool_Type=Lookups!L506,Cool_Type,IF('Project Info and Summary'!$C$20="Electric",CONCATENATE(Cool_Type," ",Heating_Type," Heat"),IF('Project Info and Summary'!$C$20="Non-Electric",CONCATENATE(Cool_Type," ",Heating_Type," Heat"),CONCATENATE(Cool_Type," ",Heating_Type))))))))</f>
        <v/>
      </c>
      <c r="N496" s="298" t="str">
        <f t="shared" si="31"/>
        <v/>
      </c>
      <c r="O496" s="298" t="str">
        <f>IF(B496="", "", 'Lighting Inventory (Ref only)'!G507)</f>
        <v/>
      </c>
      <c r="P496" s="298" t="str">
        <f>IF(B496="", "", 'Lighting Inventory (Ref only)'!E507)</f>
        <v/>
      </c>
      <c r="Q496" s="298" t="str">
        <f>IF(B496="", "", 'Lighting Inventory (Ref only)'!J507)</f>
        <v/>
      </c>
      <c r="R496" s="298" t="str">
        <f>IF(B496="", "",'Lighting Inventory (Ref only)'!K507)</f>
        <v/>
      </c>
      <c r="S496" s="372" t="str">
        <f>IF(B496="", "", 'Lighting Inventory (Ref only)'!G507*'Lighting Inventory (Ref only)'!K507/1000)</f>
        <v/>
      </c>
      <c r="T496" s="298" t="str">
        <f>IF(B496="", "", IF('Lighting Inventory (Ref only)'!I507="", "Light Switch",Inventory!H504))</f>
        <v/>
      </c>
      <c r="W496" s="373"/>
      <c r="X496" s="298" t="str">
        <f>IF(B496="", "", 'Lighting Inventory (Ref only)'!Q507)</f>
        <v/>
      </c>
      <c r="Z496" s="374"/>
      <c r="AA496" s="372" t="str">
        <f>IF(B496="", "",'Lighting Inventory (Ref only)'!R507/1000)</f>
        <v/>
      </c>
      <c r="AB496" s="372" t="str">
        <f>IF(B496="", "", Inventory!M504)</f>
        <v/>
      </c>
      <c r="AC496" s="374" t="str">
        <f>IF(B496="", "", 'Lighting Inventory (Ref only)'!T507)</f>
        <v/>
      </c>
      <c r="AD496" s="374" t="str">
        <f>IF(C496="", "", 'Lighting Inventory (Ref only)'!AA507)</f>
        <v/>
      </c>
      <c r="AE496" s="375" t="str">
        <f>IF(B496="", "", 'Lighting Inventory (Ref only)'!U507)</f>
        <v/>
      </c>
      <c r="AF496" s="375" t="str">
        <f>IF(B496="", "",'Lighting Inventory (Ref only)'!W507)</f>
        <v/>
      </c>
      <c r="AG496" s="375"/>
      <c r="AH496" s="375" t="str">
        <f>IF(B496="", "",'Lighting Inventory (Ref only)'!Z507)</f>
        <v/>
      </c>
      <c r="AI496" s="375" t="str">
        <f>IF(B496="", "", 'Lighting Inventory (Ref only)'!Y507)</f>
        <v/>
      </c>
      <c r="AJ496" s="375" t="str">
        <f>IF(C496="", "",'Lighting Inventory (Ref only)'!AB507)</f>
        <v/>
      </c>
      <c r="AK496" s="375" t="str">
        <f>IF(B496="", "", 'Lighting Inventory (Ref only)'!AG507)</f>
        <v/>
      </c>
      <c r="AL496" s="375" t="str">
        <f>IF(B496="", "", 'Lighting Inventory (Ref only)'!AD507)</f>
        <v/>
      </c>
      <c r="AM496" s="375" t="str">
        <f>IF(B496="", "", 'Lighting Inventory (Ref only)'!AE507)</f>
        <v/>
      </c>
      <c r="AN496" s="375" t="str">
        <f>IF(B496="", "", 'Lighting Inventory (Ref only)'!AF507)</f>
        <v/>
      </c>
      <c r="AO496" s="375" t="str">
        <f>IF(B496="", "", 'Lighting Inventory (Ref only)'!AG507)</f>
        <v/>
      </c>
    </row>
    <row r="497" spans="1:41">
      <c r="A497" s="298" t="str">
        <f>IF(G497="", "", Lookups!BF499)</f>
        <v/>
      </c>
      <c r="B497" s="298" t="str">
        <f>IF('Lighting Inventory (Ref only)'!Q508="", "", 'Lighting Inventory (Ref only)'!Q508)</f>
        <v/>
      </c>
      <c r="C497" s="298" t="str">
        <f>IF(A497="", "", 'Lighting Inventory (Ref only)'!AO508)</f>
        <v/>
      </c>
      <c r="D497" s="370" t="str">
        <f>IF(B497= "","", Inventory!S505)</f>
        <v/>
      </c>
      <c r="E497" s="371"/>
      <c r="F497" s="298" t="str">
        <f>IF(B497="", "", 'Version Log'!$B$34)</f>
        <v/>
      </c>
      <c r="G497" s="298" t="str">
        <f t="shared" si="28"/>
        <v/>
      </c>
      <c r="H497" s="298" t="str">
        <f t="shared" si="29"/>
        <v/>
      </c>
      <c r="I497" s="298" t="str">
        <f>IF(B497="", "",Inventory!D505)</f>
        <v/>
      </c>
      <c r="J497" s="298" t="str">
        <f>IF(B497="","",IF(Inventory!C505="N","Interior","Exterior"))</f>
        <v/>
      </c>
      <c r="K497" s="298" t="str">
        <f t="shared" si="30"/>
        <v/>
      </c>
      <c r="L497" s="298" t="str">
        <f>IF(B497="", "", Inventory!E505)</f>
        <v/>
      </c>
      <c r="M497" s="298" t="str">
        <f>IF(B497="","",IF(Cool_Type=Lookups!$L$9,Cool_Type,IF(Cool_Type=Lookups!$L$10,Cool_Type,IF(Cool_Type=Lookups!$L$11,Cool_Type,IF(Cool_Type=Lookups!L507,Cool_Type,IF('Project Info and Summary'!$C$20="Electric",CONCATENATE(Cool_Type," ",Heating_Type," Heat"),IF('Project Info and Summary'!$C$20="Non-Electric",CONCATENATE(Cool_Type," ",Heating_Type," Heat"),CONCATENATE(Cool_Type," ",Heating_Type))))))))</f>
        <v/>
      </c>
      <c r="N497" s="298" t="str">
        <f t="shared" si="31"/>
        <v/>
      </c>
      <c r="O497" s="298" t="str">
        <f>IF(B497="", "", 'Lighting Inventory (Ref only)'!G508)</f>
        <v/>
      </c>
      <c r="P497" s="298" t="str">
        <f>IF(B497="", "", 'Lighting Inventory (Ref only)'!E508)</f>
        <v/>
      </c>
      <c r="Q497" s="298" t="str">
        <f>IF(B497="", "", 'Lighting Inventory (Ref only)'!J508)</f>
        <v/>
      </c>
      <c r="R497" s="298" t="str">
        <f>IF(B497="", "",'Lighting Inventory (Ref only)'!K508)</f>
        <v/>
      </c>
      <c r="S497" s="372" t="str">
        <f>IF(B497="", "", 'Lighting Inventory (Ref only)'!G508*'Lighting Inventory (Ref only)'!K508/1000)</f>
        <v/>
      </c>
      <c r="T497" s="298" t="str">
        <f>IF(B497="", "", IF('Lighting Inventory (Ref only)'!I508="", "Light Switch",Inventory!H505))</f>
        <v/>
      </c>
      <c r="W497" s="373"/>
      <c r="X497" s="298" t="str">
        <f>IF(B497="", "", 'Lighting Inventory (Ref only)'!Q508)</f>
        <v/>
      </c>
      <c r="Z497" s="374"/>
      <c r="AA497" s="372" t="str">
        <f>IF(B497="", "",'Lighting Inventory (Ref only)'!R508/1000)</f>
        <v/>
      </c>
      <c r="AB497" s="372" t="str">
        <f>IF(B497="", "", Inventory!M505)</f>
        <v/>
      </c>
      <c r="AC497" s="374" t="str">
        <f>IF(B497="", "", 'Lighting Inventory (Ref only)'!T508)</f>
        <v/>
      </c>
      <c r="AD497" s="374" t="str">
        <f>IF(C497="", "", 'Lighting Inventory (Ref only)'!AA508)</f>
        <v/>
      </c>
      <c r="AE497" s="375" t="str">
        <f>IF(B497="", "", 'Lighting Inventory (Ref only)'!U508)</f>
        <v/>
      </c>
      <c r="AF497" s="375" t="str">
        <f>IF(B497="", "",'Lighting Inventory (Ref only)'!W508)</f>
        <v/>
      </c>
      <c r="AG497" s="375"/>
      <c r="AH497" s="375" t="str">
        <f>IF(B497="", "",'Lighting Inventory (Ref only)'!Z508)</f>
        <v/>
      </c>
      <c r="AI497" s="375" t="str">
        <f>IF(B497="", "", 'Lighting Inventory (Ref only)'!Y508)</f>
        <v/>
      </c>
      <c r="AJ497" s="375" t="str">
        <f>IF(C497="", "",'Lighting Inventory (Ref only)'!AB508)</f>
        <v/>
      </c>
      <c r="AK497" s="375" t="str">
        <f>IF(B497="", "", 'Lighting Inventory (Ref only)'!AG508)</f>
        <v/>
      </c>
      <c r="AL497" s="375" t="str">
        <f>IF(B497="", "", 'Lighting Inventory (Ref only)'!AD508)</f>
        <v/>
      </c>
      <c r="AM497" s="375" t="str">
        <f>IF(B497="", "", 'Lighting Inventory (Ref only)'!AE508)</f>
        <v/>
      </c>
      <c r="AN497" s="375" t="str">
        <f>IF(B497="", "", 'Lighting Inventory (Ref only)'!AF508)</f>
        <v/>
      </c>
      <c r="AO497" s="375" t="str">
        <f>IF(B497="", "", 'Lighting Inventory (Ref only)'!AG508)</f>
        <v/>
      </c>
    </row>
    <row r="498" spans="1:41">
      <c r="A498" s="298" t="str">
        <f>IF(G498="", "", Lookups!BF500)</f>
        <v/>
      </c>
      <c r="B498" s="298" t="str">
        <f>IF('Lighting Inventory (Ref only)'!Q509="", "", 'Lighting Inventory (Ref only)'!Q509)</f>
        <v/>
      </c>
      <c r="C498" s="298" t="str">
        <f>IF(A498="", "", 'Lighting Inventory (Ref only)'!AO509)</f>
        <v/>
      </c>
      <c r="D498" s="370" t="str">
        <f>IF(B498= "","", Inventory!S506)</f>
        <v/>
      </c>
      <c r="E498" s="371"/>
      <c r="F498" s="298" t="str">
        <f>IF(B498="", "", 'Version Log'!$B$34)</f>
        <v/>
      </c>
      <c r="G498" s="298" t="str">
        <f t="shared" si="28"/>
        <v/>
      </c>
      <c r="H498" s="298" t="str">
        <f t="shared" si="29"/>
        <v/>
      </c>
      <c r="I498" s="298" t="str">
        <f>IF(B498="", "",Inventory!D506)</f>
        <v/>
      </c>
      <c r="J498" s="298" t="str">
        <f>IF(B498="","",IF(Inventory!C506="N","Interior","Exterior"))</f>
        <v/>
      </c>
      <c r="K498" s="298" t="str">
        <f t="shared" si="30"/>
        <v/>
      </c>
      <c r="L498" s="298" t="str">
        <f>IF(B498="", "", Inventory!E506)</f>
        <v/>
      </c>
      <c r="M498" s="298" t="str">
        <f>IF(B498="","",IF(Cool_Type=Lookups!$L$9,Cool_Type,IF(Cool_Type=Lookups!$L$10,Cool_Type,IF(Cool_Type=Lookups!$L$11,Cool_Type,IF(Cool_Type=Lookups!L508,Cool_Type,IF('Project Info and Summary'!$C$20="Electric",CONCATENATE(Cool_Type," ",Heating_Type," Heat"),IF('Project Info and Summary'!$C$20="Non-Electric",CONCATENATE(Cool_Type," ",Heating_Type," Heat"),CONCATENATE(Cool_Type," ",Heating_Type))))))))</f>
        <v/>
      </c>
      <c r="N498" s="298" t="str">
        <f t="shared" si="31"/>
        <v/>
      </c>
      <c r="O498" s="298" t="str">
        <f>IF(B498="", "", 'Lighting Inventory (Ref only)'!G509)</f>
        <v/>
      </c>
      <c r="P498" s="298" t="str">
        <f>IF(B498="", "", 'Lighting Inventory (Ref only)'!E509)</f>
        <v/>
      </c>
      <c r="Q498" s="298" t="str">
        <f>IF(B498="", "", 'Lighting Inventory (Ref only)'!J509)</f>
        <v/>
      </c>
      <c r="R498" s="298" t="str">
        <f>IF(B498="", "",'Lighting Inventory (Ref only)'!K509)</f>
        <v/>
      </c>
      <c r="S498" s="372" t="str">
        <f>IF(B498="", "", 'Lighting Inventory (Ref only)'!G509*'Lighting Inventory (Ref only)'!K509/1000)</f>
        <v/>
      </c>
      <c r="T498" s="298" t="str">
        <f>IF(B498="", "", IF('Lighting Inventory (Ref only)'!I509="", "Light Switch",Inventory!H506))</f>
        <v/>
      </c>
      <c r="W498" s="373"/>
      <c r="X498" s="298" t="str">
        <f>IF(B498="", "", 'Lighting Inventory (Ref only)'!Q509)</f>
        <v/>
      </c>
      <c r="Z498" s="374"/>
      <c r="AA498" s="372" t="str">
        <f>IF(B498="", "",'Lighting Inventory (Ref only)'!R509/1000)</f>
        <v/>
      </c>
      <c r="AB498" s="372" t="str">
        <f>IF(B498="", "", Inventory!M506)</f>
        <v/>
      </c>
      <c r="AC498" s="374" t="str">
        <f>IF(B498="", "", 'Lighting Inventory (Ref only)'!T509)</f>
        <v/>
      </c>
      <c r="AD498" s="374" t="str">
        <f>IF(C498="", "", 'Lighting Inventory (Ref only)'!AA509)</f>
        <v/>
      </c>
      <c r="AE498" s="375" t="str">
        <f>IF(B498="", "", 'Lighting Inventory (Ref only)'!U509)</f>
        <v/>
      </c>
      <c r="AF498" s="375" t="str">
        <f>IF(B498="", "",'Lighting Inventory (Ref only)'!W509)</f>
        <v/>
      </c>
      <c r="AG498" s="375"/>
      <c r="AH498" s="375" t="str">
        <f>IF(B498="", "",'Lighting Inventory (Ref only)'!Z509)</f>
        <v/>
      </c>
      <c r="AI498" s="375" t="str">
        <f>IF(B498="", "", 'Lighting Inventory (Ref only)'!Y509)</f>
        <v/>
      </c>
      <c r="AJ498" s="375" t="str">
        <f>IF(C498="", "",'Lighting Inventory (Ref only)'!AB509)</f>
        <v/>
      </c>
      <c r="AK498" s="375" t="str">
        <f>IF(B498="", "", 'Lighting Inventory (Ref only)'!AG509)</f>
        <v/>
      </c>
      <c r="AL498" s="375" t="str">
        <f>IF(B498="", "", 'Lighting Inventory (Ref only)'!AD509)</f>
        <v/>
      </c>
      <c r="AM498" s="375" t="str">
        <f>IF(B498="", "", 'Lighting Inventory (Ref only)'!AE509)</f>
        <v/>
      </c>
      <c r="AN498" s="375" t="str">
        <f>IF(B498="", "", 'Lighting Inventory (Ref only)'!AF509)</f>
        <v/>
      </c>
      <c r="AO498" s="375" t="str">
        <f>IF(B498="", "", 'Lighting Inventory (Ref only)'!AG509)</f>
        <v/>
      </c>
    </row>
    <row r="499" spans="1:41">
      <c r="A499" s="298" t="str">
        <f>IF(G499="", "", Lookups!BF501)</f>
        <v/>
      </c>
      <c r="B499" s="298" t="str">
        <f>IF('Lighting Inventory (Ref only)'!Q510="", "", 'Lighting Inventory (Ref only)'!Q510)</f>
        <v/>
      </c>
      <c r="C499" s="298" t="str">
        <f>IF(A499="", "", 'Lighting Inventory (Ref only)'!AO510)</f>
        <v/>
      </c>
      <c r="D499" s="370" t="str">
        <f>IF(B499= "","", Inventory!S507)</f>
        <v/>
      </c>
      <c r="E499" s="371"/>
      <c r="F499" s="298" t="str">
        <f>IF(B499="", "", 'Version Log'!$B$34)</f>
        <v/>
      </c>
      <c r="G499" s="298" t="str">
        <f t="shared" si="28"/>
        <v/>
      </c>
      <c r="H499" s="298" t="str">
        <f t="shared" si="29"/>
        <v/>
      </c>
      <c r="I499" s="298" t="str">
        <f>IF(B499="", "",Inventory!D507)</f>
        <v/>
      </c>
      <c r="J499" s="298" t="str">
        <f>IF(B499="","",IF(Inventory!C507="N","Interior","Exterior"))</f>
        <v/>
      </c>
      <c r="K499" s="298" t="str">
        <f t="shared" si="30"/>
        <v/>
      </c>
      <c r="L499" s="298" t="str">
        <f>IF(B499="", "", Inventory!E507)</f>
        <v/>
      </c>
      <c r="M499" s="298" t="str">
        <f>IF(B499="","",IF(Cool_Type=Lookups!$L$9,Cool_Type,IF(Cool_Type=Lookups!$L$10,Cool_Type,IF(Cool_Type=Lookups!$L$11,Cool_Type,IF(Cool_Type=Lookups!L509,Cool_Type,IF('Project Info and Summary'!$C$20="Electric",CONCATENATE(Cool_Type," ",Heating_Type," Heat"),IF('Project Info and Summary'!$C$20="Non-Electric",CONCATENATE(Cool_Type," ",Heating_Type," Heat"),CONCATENATE(Cool_Type," ",Heating_Type))))))))</f>
        <v/>
      </c>
      <c r="N499" s="298" t="str">
        <f t="shared" si="31"/>
        <v/>
      </c>
      <c r="O499" s="298" t="str">
        <f>IF(B499="", "", 'Lighting Inventory (Ref only)'!G510)</f>
        <v/>
      </c>
      <c r="P499" s="298" t="str">
        <f>IF(B499="", "", 'Lighting Inventory (Ref only)'!E510)</f>
        <v/>
      </c>
      <c r="Q499" s="298" t="str">
        <f>IF(B499="", "", 'Lighting Inventory (Ref only)'!J510)</f>
        <v/>
      </c>
      <c r="R499" s="298" t="str">
        <f>IF(B499="", "",'Lighting Inventory (Ref only)'!K510)</f>
        <v/>
      </c>
      <c r="S499" s="372" t="str">
        <f>IF(B499="", "", 'Lighting Inventory (Ref only)'!G510*'Lighting Inventory (Ref only)'!K510/1000)</f>
        <v/>
      </c>
      <c r="T499" s="298" t="str">
        <f>IF(B499="", "", IF('Lighting Inventory (Ref only)'!I510="", "Light Switch",Inventory!H507))</f>
        <v/>
      </c>
      <c r="W499" s="373"/>
      <c r="X499" s="298" t="str">
        <f>IF(B499="", "", 'Lighting Inventory (Ref only)'!Q510)</f>
        <v/>
      </c>
      <c r="Z499" s="374"/>
      <c r="AA499" s="372" t="str">
        <f>IF(B499="", "",'Lighting Inventory (Ref only)'!R510/1000)</f>
        <v/>
      </c>
      <c r="AB499" s="372" t="str">
        <f>IF(B499="", "", Inventory!M507)</f>
        <v/>
      </c>
      <c r="AC499" s="374" t="str">
        <f>IF(B499="", "", 'Lighting Inventory (Ref only)'!T510)</f>
        <v/>
      </c>
      <c r="AD499" s="374" t="str">
        <f>IF(C499="", "", 'Lighting Inventory (Ref only)'!AA510)</f>
        <v/>
      </c>
      <c r="AE499" s="375" t="str">
        <f>IF(B499="", "", 'Lighting Inventory (Ref only)'!U510)</f>
        <v/>
      </c>
      <c r="AF499" s="375" t="str">
        <f>IF(B499="", "",'Lighting Inventory (Ref only)'!W510)</f>
        <v/>
      </c>
      <c r="AG499" s="375"/>
      <c r="AH499" s="375" t="str">
        <f>IF(B499="", "",'Lighting Inventory (Ref only)'!Z510)</f>
        <v/>
      </c>
      <c r="AI499" s="375" t="str">
        <f>IF(B499="", "", 'Lighting Inventory (Ref only)'!Y510)</f>
        <v/>
      </c>
      <c r="AJ499" s="375" t="str">
        <f>IF(C499="", "",'Lighting Inventory (Ref only)'!AB510)</f>
        <v/>
      </c>
      <c r="AK499" s="375" t="str">
        <f>IF(B499="", "", 'Lighting Inventory (Ref only)'!AG510)</f>
        <v/>
      </c>
      <c r="AL499" s="375" t="str">
        <f>IF(B499="", "", 'Lighting Inventory (Ref only)'!AD510)</f>
        <v/>
      </c>
      <c r="AM499" s="375" t="str">
        <f>IF(B499="", "", 'Lighting Inventory (Ref only)'!AE510)</f>
        <v/>
      </c>
      <c r="AN499" s="375" t="str">
        <f>IF(B499="", "", 'Lighting Inventory (Ref only)'!AF510)</f>
        <v/>
      </c>
      <c r="AO499" s="375" t="str">
        <f>IF(B499="", "", 'Lighting Inventory (Ref only)'!AG510)</f>
        <v/>
      </c>
    </row>
    <row r="500" spans="1:41">
      <c r="A500" s="298" t="str">
        <f>IF(G500="", "", Lookups!BF502)</f>
        <v/>
      </c>
      <c r="B500" s="298" t="str">
        <f>IF('Lighting Inventory (Ref only)'!Q511="", "", 'Lighting Inventory (Ref only)'!Q511)</f>
        <v/>
      </c>
      <c r="C500" s="298" t="str">
        <f>IF(A500="", "", 'Lighting Inventory (Ref only)'!AO511)</f>
        <v/>
      </c>
      <c r="D500" s="370" t="str">
        <f>IF(B500= "","", Inventory!S508)</f>
        <v/>
      </c>
      <c r="E500" s="371"/>
      <c r="F500" s="298" t="str">
        <f>IF(B500="", "", 'Version Log'!$B$34)</f>
        <v/>
      </c>
      <c r="G500" s="298" t="str">
        <f t="shared" si="28"/>
        <v/>
      </c>
      <c r="H500" s="298" t="str">
        <f t="shared" si="29"/>
        <v/>
      </c>
      <c r="I500" s="298" t="str">
        <f>IF(B500="", "",Inventory!D508)</f>
        <v/>
      </c>
      <c r="J500" s="298" t="str">
        <f>IF(B500="","",IF(Inventory!C508="N","Interior","Exterior"))</f>
        <v/>
      </c>
      <c r="K500" s="298" t="str">
        <f t="shared" si="30"/>
        <v/>
      </c>
      <c r="L500" s="298" t="str">
        <f>IF(B500="", "", Inventory!E508)</f>
        <v/>
      </c>
      <c r="M500" s="298" t="str">
        <f>IF(B500="","",IF(Cool_Type=Lookups!$L$9,Cool_Type,IF(Cool_Type=Lookups!$L$10,Cool_Type,IF(Cool_Type=Lookups!$L$11,Cool_Type,IF(Cool_Type=Lookups!L510,Cool_Type,IF('Project Info and Summary'!$C$20="Electric",CONCATENATE(Cool_Type," ",Heating_Type," Heat"),IF('Project Info and Summary'!$C$20="Non-Electric",CONCATENATE(Cool_Type," ",Heating_Type," Heat"),CONCATENATE(Cool_Type," ",Heating_Type))))))))</f>
        <v/>
      </c>
      <c r="N500" s="298" t="str">
        <f t="shared" si="31"/>
        <v/>
      </c>
      <c r="O500" s="298" t="str">
        <f>IF(B500="", "", 'Lighting Inventory (Ref only)'!G511)</f>
        <v/>
      </c>
      <c r="P500" s="298" t="str">
        <f>IF(B500="", "", 'Lighting Inventory (Ref only)'!E511)</f>
        <v/>
      </c>
      <c r="Q500" s="298" t="str">
        <f>IF(B500="", "", 'Lighting Inventory (Ref only)'!J511)</f>
        <v/>
      </c>
      <c r="R500" s="298" t="str">
        <f>IF(B500="", "",'Lighting Inventory (Ref only)'!K511)</f>
        <v/>
      </c>
      <c r="S500" s="372" t="str">
        <f>IF(B500="", "", 'Lighting Inventory (Ref only)'!G511*'Lighting Inventory (Ref only)'!K511/1000)</f>
        <v/>
      </c>
      <c r="T500" s="298" t="str">
        <f>IF(B500="", "", IF('Lighting Inventory (Ref only)'!I511="", "Light Switch",Inventory!H508))</f>
        <v/>
      </c>
      <c r="W500" s="373"/>
      <c r="X500" s="298" t="str">
        <f>IF(B500="", "", 'Lighting Inventory (Ref only)'!Q511)</f>
        <v/>
      </c>
      <c r="Z500" s="374"/>
      <c r="AA500" s="372" t="str">
        <f>IF(B500="", "",'Lighting Inventory (Ref only)'!R511/1000)</f>
        <v/>
      </c>
      <c r="AB500" s="372" t="str">
        <f>IF(B500="", "", Inventory!M508)</f>
        <v/>
      </c>
      <c r="AC500" s="374" t="str">
        <f>IF(B500="", "", 'Lighting Inventory (Ref only)'!T511)</f>
        <v/>
      </c>
      <c r="AD500" s="374" t="str">
        <f>IF(C500="", "", 'Lighting Inventory (Ref only)'!AA511)</f>
        <v/>
      </c>
      <c r="AE500" s="375" t="str">
        <f>IF(B500="", "", 'Lighting Inventory (Ref only)'!U511)</f>
        <v/>
      </c>
      <c r="AF500" s="375" t="str">
        <f>IF(B500="", "",'Lighting Inventory (Ref only)'!W511)</f>
        <v/>
      </c>
      <c r="AG500" s="375"/>
      <c r="AH500" s="375" t="str">
        <f>IF(B500="", "",'Lighting Inventory (Ref only)'!Z511)</f>
        <v/>
      </c>
      <c r="AI500" s="375" t="str">
        <f>IF(B500="", "", 'Lighting Inventory (Ref only)'!Y511)</f>
        <v/>
      </c>
      <c r="AJ500" s="375" t="str">
        <f>IF(C500="", "",'Lighting Inventory (Ref only)'!AB511)</f>
        <v/>
      </c>
      <c r="AK500" s="375" t="str">
        <f>IF(B500="", "", 'Lighting Inventory (Ref only)'!AG511)</f>
        <v/>
      </c>
      <c r="AL500" s="375" t="str">
        <f>IF(B500="", "", 'Lighting Inventory (Ref only)'!AD511)</f>
        <v/>
      </c>
      <c r="AM500" s="375" t="str">
        <f>IF(B500="", "", 'Lighting Inventory (Ref only)'!AE511)</f>
        <v/>
      </c>
      <c r="AN500" s="375" t="str">
        <f>IF(B500="", "", 'Lighting Inventory (Ref only)'!AF511)</f>
        <v/>
      </c>
      <c r="AO500" s="375" t="str">
        <f>IF(B500="", "", 'Lighting Inventory (Ref only)'!AG511)</f>
        <v/>
      </c>
    </row>
    <row r="501" spans="1:41">
      <c r="A501" s="298" t="str">
        <f>IF(G501="", "", Lookups!BF503)</f>
        <v/>
      </c>
      <c r="B501" s="298" t="str">
        <f>IF('Lighting Inventory (Ref only)'!Q512="", "", 'Lighting Inventory (Ref only)'!Q512)</f>
        <v/>
      </c>
      <c r="C501" s="298" t="str">
        <f>IF(A501="", "", 'Lighting Inventory (Ref only)'!AO512)</f>
        <v/>
      </c>
      <c r="D501" s="370" t="str">
        <f>IF(B501= "","", Inventory!S509)</f>
        <v/>
      </c>
      <c r="E501" s="371"/>
      <c r="F501" s="298" t="str">
        <f>IF(B501="", "", 'Version Log'!$B$34)</f>
        <v/>
      </c>
      <c r="G501" s="298" t="str">
        <f t="shared" si="28"/>
        <v/>
      </c>
      <c r="H501" s="298" t="str">
        <f t="shared" si="29"/>
        <v/>
      </c>
      <c r="I501" s="298" t="str">
        <f>IF(B501="", "",Inventory!D509)</f>
        <v/>
      </c>
      <c r="J501" s="298" t="str">
        <f>IF(B501="","",IF(Inventory!C509="N","Interior","Exterior"))</f>
        <v/>
      </c>
      <c r="K501" s="298" t="str">
        <f t="shared" si="30"/>
        <v/>
      </c>
      <c r="L501" s="298" t="str">
        <f>IF(B501="", "", Inventory!E509)</f>
        <v/>
      </c>
      <c r="M501" s="298" t="str">
        <f>IF(B501="","",IF(Cool_Type=Lookups!$L$9,Cool_Type,IF(Cool_Type=Lookups!$L$10,Cool_Type,IF(Cool_Type=Lookups!$L$11,Cool_Type,IF(Cool_Type=Lookups!L511,Cool_Type,IF('Project Info and Summary'!$C$20="Electric",CONCATENATE(Cool_Type," ",Heating_Type," Heat"),IF('Project Info and Summary'!$C$20="Non-Electric",CONCATENATE(Cool_Type," ",Heating_Type," Heat"),CONCATENATE(Cool_Type," ",Heating_Type))))))))</f>
        <v/>
      </c>
      <c r="N501" s="298" t="str">
        <f t="shared" si="31"/>
        <v/>
      </c>
      <c r="O501" s="298" t="str">
        <f>IF(B501="", "", 'Lighting Inventory (Ref only)'!G512)</f>
        <v/>
      </c>
      <c r="P501" s="298" t="str">
        <f>IF(B501="", "", 'Lighting Inventory (Ref only)'!E512)</f>
        <v/>
      </c>
      <c r="Q501" s="298" t="str">
        <f>IF(B501="", "", 'Lighting Inventory (Ref only)'!J512)</f>
        <v/>
      </c>
      <c r="R501" s="298" t="str">
        <f>IF(B501="", "",'Lighting Inventory (Ref only)'!K512)</f>
        <v/>
      </c>
      <c r="S501" s="372" t="str">
        <f>IF(B501="", "", 'Lighting Inventory (Ref only)'!G512*'Lighting Inventory (Ref only)'!K512/1000)</f>
        <v/>
      </c>
      <c r="T501" s="298" t="str">
        <f>IF(B501="", "", IF('Lighting Inventory (Ref only)'!I512="", "Light Switch",Inventory!H509))</f>
        <v/>
      </c>
      <c r="W501" s="373"/>
      <c r="X501" s="298" t="str">
        <f>IF(B501="", "", 'Lighting Inventory (Ref only)'!Q512)</f>
        <v/>
      </c>
      <c r="Z501" s="374"/>
      <c r="AA501" s="372" t="str">
        <f>IF(B501="", "",'Lighting Inventory (Ref only)'!R512/1000)</f>
        <v/>
      </c>
      <c r="AB501" s="372" t="str">
        <f>IF(B501="", "", Inventory!M509)</f>
        <v/>
      </c>
      <c r="AC501" s="374" t="str">
        <f>IF(B501="", "", 'Lighting Inventory (Ref only)'!T512)</f>
        <v/>
      </c>
      <c r="AD501" s="374" t="str">
        <f>IF(C501="", "", 'Lighting Inventory (Ref only)'!AA512)</f>
        <v/>
      </c>
      <c r="AE501" s="375" t="str">
        <f>IF(B501="", "", 'Lighting Inventory (Ref only)'!U512)</f>
        <v/>
      </c>
      <c r="AF501" s="375" t="str">
        <f>IF(B501="", "",'Lighting Inventory (Ref only)'!W512)</f>
        <v/>
      </c>
      <c r="AG501" s="375"/>
      <c r="AH501" s="375" t="str">
        <f>IF(B501="", "",'Lighting Inventory (Ref only)'!Z512)</f>
        <v/>
      </c>
      <c r="AI501" s="375" t="str">
        <f>IF(B501="", "", 'Lighting Inventory (Ref only)'!Y512)</f>
        <v/>
      </c>
      <c r="AJ501" s="375" t="str">
        <f>IF(C501="", "",'Lighting Inventory (Ref only)'!AB512)</f>
        <v/>
      </c>
      <c r="AK501" s="375" t="str">
        <f>IF(B501="", "", 'Lighting Inventory (Ref only)'!AG512)</f>
        <v/>
      </c>
      <c r="AL501" s="375" t="str">
        <f>IF(B501="", "", 'Lighting Inventory (Ref only)'!AD512)</f>
        <v/>
      </c>
      <c r="AM501" s="375" t="str">
        <f>IF(B501="", "", 'Lighting Inventory (Ref only)'!AE512)</f>
        <v/>
      </c>
      <c r="AN501" s="375" t="str">
        <f>IF(B501="", "", 'Lighting Inventory (Ref only)'!AF512)</f>
        <v/>
      </c>
      <c r="AO501" s="375" t="str">
        <f>IF(B501="", "", 'Lighting Inventory (Ref only)'!AG512)</f>
        <v/>
      </c>
    </row>
    <row r="502" spans="1:41">
      <c r="A502" s="298" t="str">
        <f>IF(G502="", "", Lookups!BF504)</f>
        <v/>
      </c>
      <c r="B502" s="298" t="str">
        <f>IF('Lighting Inventory (Ref only)'!Q513="", "", 'Lighting Inventory (Ref only)'!Q513)</f>
        <v/>
      </c>
      <c r="C502" s="298" t="str">
        <f>IF(A502="", "", 'Lighting Inventory (Ref only)'!AO513)</f>
        <v/>
      </c>
      <c r="D502" s="298" t="str">
        <f>IF(B502= "","", Inventory!S510)</f>
        <v/>
      </c>
      <c r="F502" s="298" t="str">
        <f>IF(B502="", "", 'Version Log'!$B$34)</f>
        <v/>
      </c>
      <c r="G502" s="298" t="str">
        <f t="shared" ref="G502:G565" si="32">IF(B502="", "", PRJ_Type)</f>
        <v/>
      </c>
      <c r="H502" s="298" t="str">
        <f t="shared" ref="H502:H565" si="33">IF(B502="", "", SqFt)</f>
        <v/>
      </c>
      <c r="I502" s="298" t="str">
        <f>IF(B502="", "",Inventory!D510)</f>
        <v/>
      </c>
      <c r="J502" s="298" t="str">
        <f>IF(B502="","",IF(Inventory!C510="N","Interior","Exterior"))</f>
        <v/>
      </c>
      <c r="K502" s="298" t="str">
        <f t="shared" ref="K502:K565" si="34">IF(B502="", "", Building_Type)</f>
        <v/>
      </c>
      <c r="L502" s="298" t="str">
        <f>IF(B502="", "", Inventory!E510)</f>
        <v/>
      </c>
      <c r="M502" s="298" t="str">
        <f>IF(B502="","",IF(Cool_Type=Lookups!$L$9,Cool_Type,IF(Cool_Type=Lookups!$L$10,Cool_Type,IF(Cool_Type=Lookups!$L$11,Cool_Type,IF(Cool_Type=Lookups!L512,Cool_Type,IF('Project Info and Summary'!$C$20="Electric",CONCATENATE(Cool_Type," ",Heating_Type," Heat"),IF('Project Info and Summary'!$C$20="Non-Electric",CONCATENATE(Cool_Type," ",Heating_Type," Heat"),CONCATENATE(Cool_Type," ",Heating_Type))))))))</f>
        <v/>
      </c>
      <c r="N502" s="298" t="str">
        <f t="shared" ref="N502:N565" si="35">IF(B502="", "",Heating_Type)</f>
        <v/>
      </c>
      <c r="O502" s="298" t="str">
        <f>IF(B502="", "", 'Lighting Inventory (Ref only)'!G513)</f>
        <v/>
      </c>
      <c r="P502" s="298" t="str">
        <f>IF(B502="", "", 'Lighting Inventory (Ref only)'!E513)</f>
        <v/>
      </c>
      <c r="Q502" s="298" t="str">
        <f>IF(B502="", "", 'Lighting Inventory (Ref only)'!J513)</f>
        <v/>
      </c>
      <c r="R502" s="298" t="str">
        <f>IF(B502="", "",'Lighting Inventory (Ref only)'!K513)</f>
        <v/>
      </c>
      <c r="S502" s="372" t="str">
        <f>IF(B502="", "", 'Lighting Inventory (Ref only)'!G513*'Lighting Inventory (Ref only)'!K513/1000)</f>
        <v/>
      </c>
      <c r="T502" s="298" t="str">
        <f>IF(B502="", "", IF('Lighting Inventory (Ref only)'!I513="", "Light Switch",Inventory!H510))</f>
        <v/>
      </c>
      <c r="X502" s="298" t="str">
        <f>IF(B502="", "", 'Lighting Inventory (Ref only)'!Q513)</f>
        <v/>
      </c>
      <c r="AA502" s="298" t="str">
        <f>IF(B502="", "",'Lighting Inventory (Ref only)'!R513/1000)</f>
        <v/>
      </c>
      <c r="AB502" s="298" t="str">
        <f>IF(B502="", "", Inventory!M510)</f>
        <v/>
      </c>
      <c r="AC502" s="298" t="str">
        <f>IF(B502="", "", 'Lighting Inventory (Ref only)'!T513)</f>
        <v/>
      </c>
      <c r="AD502" s="298" t="str">
        <f>IF(C502="", "", 'Lighting Inventory (Ref only)'!AA513)</f>
        <v/>
      </c>
      <c r="AE502" s="298" t="str">
        <f>IF(B502="", "", 'Lighting Inventory (Ref only)'!U513)</f>
        <v/>
      </c>
      <c r="AF502" s="298" t="str">
        <f>IF(B502="", "",'Lighting Inventory (Ref only)'!W513)</f>
        <v/>
      </c>
      <c r="AH502" s="298" t="str">
        <f>IF(B502="", "",'Lighting Inventory (Ref only)'!Z513)</f>
        <v/>
      </c>
      <c r="AI502" s="298" t="str">
        <f>IF(B502="", "", 'Lighting Inventory (Ref only)'!Y513)</f>
        <v/>
      </c>
      <c r="AJ502" s="298" t="str">
        <f>IF(C502="", "",'Lighting Inventory (Ref only)'!AB513)</f>
        <v/>
      </c>
      <c r="AK502" s="375" t="str">
        <f>IF(B502="", "", 'Lighting Inventory (Ref only)'!AG513)</f>
        <v/>
      </c>
      <c r="AL502" s="375" t="str">
        <f>IF(B502="", "", 'Lighting Inventory (Ref only)'!AD513)</f>
        <v/>
      </c>
      <c r="AM502" s="375" t="str">
        <f>IF(B502="", "", 'Lighting Inventory (Ref only)'!AE513)</f>
        <v/>
      </c>
      <c r="AN502" s="375" t="str">
        <f>IF(B502="", "", 'Lighting Inventory (Ref only)'!AF513)</f>
        <v/>
      </c>
      <c r="AO502" s="375" t="str">
        <f>IF(B502="", "", 'Lighting Inventory (Ref only)'!AG513)</f>
        <v/>
      </c>
    </row>
    <row r="503" spans="1:41">
      <c r="A503" s="298" t="str">
        <f>IF(G503="", "", Lookups!BF505)</f>
        <v/>
      </c>
      <c r="B503" s="298" t="str">
        <f>IF('Lighting Inventory (Ref only)'!Q514="", "", 'Lighting Inventory (Ref only)'!Q514)</f>
        <v/>
      </c>
      <c r="C503" s="298" t="str">
        <f>IF(A503="", "", 'Lighting Inventory (Ref only)'!AO514)</f>
        <v/>
      </c>
      <c r="D503" s="298" t="str">
        <f>IF(B503= "","", Inventory!S511)</f>
        <v/>
      </c>
      <c r="F503" s="298" t="str">
        <f>IF(B503="", "", 'Version Log'!$B$34)</f>
        <v/>
      </c>
      <c r="G503" s="298" t="str">
        <f t="shared" si="32"/>
        <v/>
      </c>
      <c r="H503" s="298" t="str">
        <f t="shared" si="33"/>
        <v/>
      </c>
      <c r="I503" s="298" t="str">
        <f>IF(B503="", "",Inventory!D511)</f>
        <v/>
      </c>
      <c r="J503" s="298" t="str">
        <f>IF(B503="","",IF(Inventory!C511="N","Interior","Exterior"))</f>
        <v/>
      </c>
      <c r="K503" s="298" t="str">
        <f t="shared" si="34"/>
        <v/>
      </c>
      <c r="L503" s="298" t="str">
        <f>IF(B503="", "", Inventory!E511)</f>
        <v/>
      </c>
      <c r="M503" s="298" t="str">
        <f>IF(B503="","",IF(Cool_Type=Lookups!$L$9,Cool_Type,IF(Cool_Type=Lookups!$L$10,Cool_Type,IF(Cool_Type=Lookups!$L$11,Cool_Type,IF(Cool_Type=Lookups!L513,Cool_Type,IF('Project Info and Summary'!$C$20="Electric",CONCATENATE(Cool_Type," ",Heating_Type," Heat"),IF('Project Info and Summary'!$C$20="Non-Electric",CONCATENATE(Cool_Type," ",Heating_Type," Heat"),CONCATENATE(Cool_Type," ",Heating_Type))))))))</f>
        <v/>
      </c>
      <c r="N503" s="298" t="str">
        <f t="shared" si="35"/>
        <v/>
      </c>
      <c r="O503" s="298" t="str">
        <f>IF(B503="", "", 'Lighting Inventory (Ref only)'!G514)</f>
        <v/>
      </c>
      <c r="P503" s="298" t="str">
        <f>IF(B503="", "", 'Lighting Inventory (Ref only)'!E514)</f>
        <v/>
      </c>
      <c r="Q503" s="298" t="str">
        <f>IF(B503="", "", 'Lighting Inventory (Ref only)'!J514)</f>
        <v/>
      </c>
      <c r="R503" s="298" t="str">
        <f>IF(B503="", "",'Lighting Inventory (Ref only)'!K514)</f>
        <v/>
      </c>
      <c r="S503" s="372" t="str">
        <f>IF(B503="", "", 'Lighting Inventory (Ref only)'!G514*'Lighting Inventory (Ref only)'!K514/1000)</f>
        <v/>
      </c>
      <c r="T503" s="298" t="str">
        <f>IF(B503="", "", IF('Lighting Inventory (Ref only)'!I514="", "Light Switch",Inventory!H511))</f>
        <v/>
      </c>
      <c r="X503" s="298" t="str">
        <f>IF(B503="", "", 'Lighting Inventory (Ref only)'!Q514)</f>
        <v/>
      </c>
      <c r="AA503" s="298" t="str">
        <f>IF(B503="", "",'Lighting Inventory (Ref only)'!R514/1000)</f>
        <v/>
      </c>
      <c r="AB503" s="298" t="str">
        <f>IF(B503="", "", Inventory!M511)</f>
        <v/>
      </c>
      <c r="AC503" s="298" t="str">
        <f>IF(B503="", "", 'Lighting Inventory (Ref only)'!T514)</f>
        <v/>
      </c>
      <c r="AD503" s="298" t="str">
        <f>IF(C503="", "", 'Lighting Inventory (Ref only)'!AA514)</f>
        <v/>
      </c>
      <c r="AE503" s="298" t="str">
        <f>IF(B503="", "", 'Lighting Inventory (Ref only)'!U514)</f>
        <v/>
      </c>
      <c r="AF503" s="298" t="str">
        <f>IF(B503="", "",'Lighting Inventory (Ref only)'!W514)</f>
        <v/>
      </c>
      <c r="AH503" s="298" t="str">
        <f>IF(B503="", "",'Lighting Inventory (Ref only)'!Z514)</f>
        <v/>
      </c>
      <c r="AI503" s="298" t="str">
        <f>IF(B503="", "", 'Lighting Inventory (Ref only)'!Y514)</f>
        <v/>
      </c>
      <c r="AJ503" s="298" t="str">
        <f>IF(C503="", "",'Lighting Inventory (Ref only)'!AB514)</f>
        <v/>
      </c>
      <c r="AK503" s="375" t="str">
        <f>IF(B503="", "", 'Lighting Inventory (Ref only)'!AG514)</f>
        <v/>
      </c>
      <c r="AL503" s="375" t="str">
        <f>IF(B503="", "", 'Lighting Inventory (Ref only)'!AD514)</f>
        <v/>
      </c>
      <c r="AM503" s="375" t="str">
        <f>IF(B503="", "", 'Lighting Inventory (Ref only)'!AE514)</f>
        <v/>
      </c>
      <c r="AN503" s="375" t="str">
        <f>IF(B503="", "", 'Lighting Inventory (Ref only)'!AF514)</f>
        <v/>
      </c>
      <c r="AO503" s="375" t="str">
        <f>IF(B503="", "", 'Lighting Inventory (Ref only)'!AG514)</f>
        <v/>
      </c>
    </row>
    <row r="504" spans="1:41">
      <c r="A504" s="298" t="str">
        <f>IF(G504="", "", Lookups!BF506)</f>
        <v/>
      </c>
      <c r="B504" s="298" t="str">
        <f>IF('Lighting Inventory (Ref only)'!Q515="", "", 'Lighting Inventory (Ref only)'!Q515)</f>
        <v/>
      </c>
      <c r="C504" s="298" t="str">
        <f>IF(A504="", "", 'Lighting Inventory (Ref only)'!AO515)</f>
        <v/>
      </c>
      <c r="D504" s="298" t="str">
        <f>IF(B504= "","", Inventory!S512)</f>
        <v/>
      </c>
      <c r="F504" s="298" t="str">
        <f>IF(B504="", "", 'Version Log'!$B$34)</f>
        <v/>
      </c>
      <c r="G504" s="298" t="str">
        <f t="shared" si="32"/>
        <v/>
      </c>
      <c r="H504" s="298" t="str">
        <f t="shared" si="33"/>
        <v/>
      </c>
      <c r="I504" s="298" t="str">
        <f>IF(B504="", "",Inventory!D512)</f>
        <v/>
      </c>
      <c r="J504" s="298" t="str">
        <f>IF(B504="","",IF(Inventory!C512="N","Interior","Exterior"))</f>
        <v/>
      </c>
      <c r="K504" s="298" t="str">
        <f t="shared" si="34"/>
        <v/>
      </c>
      <c r="L504" s="298" t="str">
        <f>IF(B504="", "", Inventory!E512)</f>
        <v/>
      </c>
      <c r="M504" s="298" t="str">
        <f>IF(B504="","",IF(Cool_Type=Lookups!$L$9,Cool_Type,IF(Cool_Type=Lookups!$L$10,Cool_Type,IF(Cool_Type=Lookups!$L$11,Cool_Type,IF(Cool_Type=Lookups!L514,Cool_Type,IF('Project Info and Summary'!$C$20="Electric",CONCATENATE(Cool_Type," ",Heating_Type," Heat"),IF('Project Info and Summary'!$C$20="Non-Electric",CONCATENATE(Cool_Type," ",Heating_Type," Heat"),CONCATENATE(Cool_Type," ",Heating_Type))))))))</f>
        <v/>
      </c>
      <c r="N504" s="298" t="str">
        <f t="shared" si="35"/>
        <v/>
      </c>
      <c r="O504" s="298" t="str">
        <f>IF(B504="", "", 'Lighting Inventory (Ref only)'!G515)</f>
        <v/>
      </c>
      <c r="P504" s="298" t="str">
        <f>IF(B504="", "", 'Lighting Inventory (Ref only)'!E515)</f>
        <v/>
      </c>
      <c r="Q504" s="298" t="str">
        <f>IF(B504="", "", 'Lighting Inventory (Ref only)'!J515)</f>
        <v/>
      </c>
      <c r="R504" s="298" t="str">
        <f>IF(B504="", "",'Lighting Inventory (Ref only)'!K515)</f>
        <v/>
      </c>
      <c r="S504" s="372" t="str">
        <f>IF(B504="", "", 'Lighting Inventory (Ref only)'!G515*'Lighting Inventory (Ref only)'!K515/1000)</f>
        <v/>
      </c>
      <c r="T504" s="298" t="str">
        <f>IF(B504="", "", IF('Lighting Inventory (Ref only)'!I515="", "Light Switch",Inventory!H512))</f>
        <v/>
      </c>
      <c r="X504" s="298" t="str">
        <f>IF(B504="", "", 'Lighting Inventory (Ref only)'!Q515)</f>
        <v/>
      </c>
      <c r="AA504" s="298" t="str">
        <f>IF(B504="", "",'Lighting Inventory (Ref only)'!R515/1000)</f>
        <v/>
      </c>
      <c r="AB504" s="298" t="str">
        <f>IF(B504="", "", Inventory!M512)</f>
        <v/>
      </c>
      <c r="AC504" s="298" t="str">
        <f>IF(B504="", "", 'Lighting Inventory (Ref only)'!T515)</f>
        <v/>
      </c>
      <c r="AD504" s="298" t="str">
        <f>IF(C504="", "", 'Lighting Inventory (Ref only)'!AA515)</f>
        <v/>
      </c>
      <c r="AE504" s="298" t="str">
        <f>IF(B504="", "", 'Lighting Inventory (Ref only)'!U515)</f>
        <v/>
      </c>
      <c r="AF504" s="298" t="str">
        <f>IF(B504="", "",'Lighting Inventory (Ref only)'!W515)</f>
        <v/>
      </c>
      <c r="AH504" s="298" t="str">
        <f>IF(B504="", "",'Lighting Inventory (Ref only)'!Z515)</f>
        <v/>
      </c>
      <c r="AI504" s="298" t="str">
        <f>IF(B504="", "", 'Lighting Inventory (Ref only)'!Y515)</f>
        <v/>
      </c>
      <c r="AJ504" s="298" t="str">
        <f>IF(C504="", "",'Lighting Inventory (Ref only)'!AB515)</f>
        <v/>
      </c>
      <c r="AK504" s="375" t="str">
        <f>IF(B504="", "", 'Lighting Inventory (Ref only)'!AG515)</f>
        <v/>
      </c>
      <c r="AL504" s="375" t="str">
        <f>IF(B504="", "", 'Lighting Inventory (Ref only)'!AD515)</f>
        <v/>
      </c>
      <c r="AM504" s="375" t="str">
        <f>IF(B504="", "", 'Lighting Inventory (Ref only)'!AE515)</f>
        <v/>
      </c>
      <c r="AN504" s="375" t="str">
        <f>IF(B504="", "", 'Lighting Inventory (Ref only)'!AF515)</f>
        <v/>
      </c>
      <c r="AO504" s="375" t="str">
        <f>IF(B504="", "", 'Lighting Inventory (Ref only)'!AG515)</f>
        <v/>
      </c>
    </row>
    <row r="505" spans="1:41">
      <c r="A505" s="298" t="str">
        <f>IF(G505="", "", Lookups!BF507)</f>
        <v/>
      </c>
      <c r="B505" s="298" t="str">
        <f>IF('Lighting Inventory (Ref only)'!Q516="", "", 'Lighting Inventory (Ref only)'!Q516)</f>
        <v/>
      </c>
      <c r="C505" s="298" t="str">
        <f>IF(A505="", "", 'Lighting Inventory (Ref only)'!AO516)</f>
        <v/>
      </c>
      <c r="D505" s="298" t="str">
        <f>IF(B505= "","", Inventory!S513)</f>
        <v/>
      </c>
      <c r="F505" s="298" t="str">
        <f>IF(B505="", "", 'Version Log'!$B$34)</f>
        <v/>
      </c>
      <c r="G505" s="298" t="str">
        <f t="shared" si="32"/>
        <v/>
      </c>
      <c r="H505" s="298" t="str">
        <f t="shared" si="33"/>
        <v/>
      </c>
      <c r="I505" s="298" t="str">
        <f>IF(B505="", "",Inventory!D513)</f>
        <v/>
      </c>
      <c r="J505" s="298" t="str">
        <f>IF(B505="","",IF(Inventory!C513="N","Interior","Exterior"))</f>
        <v/>
      </c>
      <c r="K505" s="298" t="str">
        <f t="shared" si="34"/>
        <v/>
      </c>
      <c r="L505" s="298" t="str">
        <f>IF(B505="", "", Inventory!E513)</f>
        <v/>
      </c>
      <c r="M505" s="298" t="str">
        <f>IF(B505="","",IF(Cool_Type=Lookups!$L$9,Cool_Type,IF(Cool_Type=Lookups!$L$10,Cool_Type,IF(Cool_Type=Lookups!$L$11,Cool_Type,IF(Cool_Type=Lookups!L515,Cool_Type,IF('Project Info and Summary'!$C$20="Electric",CONCATENATE(Cool_Type," ",Heating_Type," Heat"),IF('Project Info and Summary'!$C$20="Non-Electric",CONCATENATE(Cool_Type," ",Heating_Type," Heat"),CONCATENATE(Cool_Type," ",Heating_Type))))))))</f>
        <v/>
      </c>
      <c r="N505" s="298" t="str">
        <f t="shared" si="35"/>
        <v/>
      </c>
      <c r="O505" s="298" t="str">
        <f>IF(B505="", "", 'Lighting Inventory (Ref only)'!G516)</f>
        <v/>
      </c>
      <c r="P505" s="298" t="str">
        <f>IF(B505="", "", 'Lighting Inventory (Ref only)'!E516)</f>
        <v/>
      </c>
      <c r="Q505" s="298" t="str">
        <f>IF(B505="", "", 'Lighting Inventory (Ref only)'!J516)</f>
        <v/>
      </c>
      <c r="R505" s="298" t="str">
        <f>IF(B505="", "",'Lighting Inventory (Ref only)'!K516)</f>
        <v/>
      </c>
      <c r="S505" s="372" t="str">
        <f>IF(B505="", "", 'Lighting Inventory (Ref only)'!G516*'Lighting Inventory (Ref only)'!K516/1000)</f>
        <v/>
      </c>
      <c r="T505" s="298" t="str">
        <f>IF(B505="", "", IF('Lighting Inventory (Ref only)'!I516="", "Light Switch",Inventory!H513))</f>
        <v/>
      </c>
      <c r="X505" s="298" t="str">
        <f>IF(B505="", "", 'Lighting Inventory (Ref only)'!Q516)</f>
        <v/>
      </c>
      <c r="AA505" s="298" t="str">
        <f>IF(B505="", "",'Lighting Inventory (Ref only)'!R516/1000)</f>
        <v/>
      </c>
      <c r="AB505" s="298" t="str">
        <f>IF(B505="", "", Inventory!M513)</f>
        <v/>
      </c>
      <c r="AC505" s="298" t="str">
        <f>IF(B505="", "", 'Lighting Inventory (Ref only)'!T516)</f>
        <v/>
      </c>
      <c r="AD505" s="298" t="str">
        <f>IF(C505="", "", 'Lighting Inventory (Ref only)'!AA516)</f>
        <v/>
      </c>
      <c r="AE505" s="298" t="str">
        <f>IF(B505="", "", 'Lighting Inventory (Ref only)'!U516)</f>
        <v/>
      </c>
      <c r="AF505" s="298" t="str">
        <f>IF(B505="", "",'Lighting Inventory (Ref only)'!W516)</f>
        <v/>
      </c>
      <c r="AH505" s="298" t="str">
        <f>IF(B505="", "",'Lighting Inventory (Ref only)'!Z516)</f>
        <v/>
      </c>
      <c r="AI505" s="298" t="str">
        <f>IF(B505="", "", 'Lighting Inventory (Ref only)'!Y516)</f>
        <v/>
      </c>
      <c r="AJ505" s="298" t="str">
        <f>IF(C505="", "",'Lighting Inventory (Ref only)'!AB516)</f>
        <v/>
      </c>
      <c r="AK505" s="375" t="str">
        <f>IF(B505="", "", 'Lighting Inventory (Ref only)'!AG516)</f>
        <v/>
      </c>
      <c r="AL505" s="375" t="str">
        <f>IF(B505="", "", 'Lighting Inventory (Ref only)'!AD516)</f>
        <v/>
      </c>
      <c r="AM505" s="375" t="str">
        <f>IF(B505="", "", 'Lighting Inventory (Ref only)'!AE516)</f>
        <v/>
      </c>
      <c r="AN505" s="375" t="str">
        <f>IF(B505="", "", 'Lighting Inventory (Ref only)'!AF516)</f>
        <v/>
      </c>
      <c r="AO505" s="375" t="str">
        <f>IF(B505="", "", 'Lighting Inventory (Ref only)'!AG516)</f>
        <v/>
      </c>
    </row>
    <row r="506" spans="1:41">
      <c r="A506" s="298" t="str">
        <f>IF(G506="", "", Lookups!BF508)</f>
        <v/>
      </c>
      <c r="B506" s="298" t="str">
        <f>IF('Lighting Inventory (Ref only)'!Q517="", "", 'Lighting Inventory (Ref only)'!Q517)</f>
        <v/>
      </c>
      <c r="C506" s="298" t="str">
        <f>IF(A506="", "", 'Lighting Inventory (Ref only)'!AO517)</f>
        <v/>
      </c>
      <c r="D506" s="298" t="str">
        <f>IF(B506= "","", Inventory!S514)</f>
        <v/>
      </c>
      <c r="F506" s="298" t="str">
        <f>IF(B506="", "", 'Version Log'!$B$34)</f>
        <v/>
      </c>
      <c r="G506" s="298" t="str">
        <f t="shared" si="32"/>
        <v/>
      </c>
      <c r="H506" s="298" t="str">
        <f t="shared" si="33"/>
        <v/>
      </c>
      <c r="I506" s="298" t="str">
        <f>IF(B506="", "",Inventory!D514)</f>
        <v/>
      </c>
      <c r="J506" s="298" t="str">
        <f>IF(B506="","",IF(Inventory!C514="N","Interior","Exterior"))</f>
        <v/>
      </c>
      <c r="K506" s="298" t="str">
        <f t="shared" si="34"/>
        <v/>
      </c>
      <c r="L506" s="298" t="str">
        <f>IF(B506="", "", Inventory!E514)</f>
        <v/>
      </c>
      <c r="M506" s="298" t="str">
        <f>IF(B506="","",IF(Cool_Type=Lookups!$L$9,Cool_Type,IF(Cool_Type=Lookups!$L$10,Cool_Type,IF(Cool_Type=Lookups!$L$11,Cool_Type,IF(Cool_Type=Lookups!L516,Cool_Type,IF('Project Info and Summary'!$C$20="Electric",CONCATENATE(Cool_Type," ",Heating_Type," Heat"),IF('Project Info and Summary'!$C$20="Non-Electric",CONCATENATE(Cool_Type," ",Heating_Type," Heat"),CONCATENATE(Cool_Type," ",Heating_Type))))))))</f>
        <v/>
      </c>
      <c r="N506" s="298" t="str">
        <f t="shared" si="35"/>
        <v/>
      </c>
      <c r="O506" s="298" t="str">
        <f>IF(B506="", "", 'Lighting Inventory (Ref only)'!G517)</f>
        <v/>
      </c>
      <c r="P506" s="298" t="str">
        <f>IF(B506="", "", 'Lighting Inventory (Ref only)'!E517)</f>
        <v/>
      </c>
      <c r="Q506" s="298" t="str">
        <f>IF(B506="", "", 'Lighting Inventory (Ref only)'!J517)</f>
        <v/>
      </c>
      <c r="R506" s="298" t="str">
        <f>IF(B506="", "",'Lighting Inventory (Ref only)'!K517)</f>
        <v/>
      </c>
      <c r="S506" s="372" t="str">
        <f>IF(B506="", "", 'Lighting Inventory (Ref only)'!G517*'Lighting Inventory (Ref only)'!K517/1000)</f>
        <v/>
      </c>
      <c r="T506" s="298" t="str">
        <f>IF(B506="", "", IF('Lighting Inventory (Ref only)'!I517="", "Light Switch",Inventory!H514))</f>
        <v/>
      </c>
      <c r="X506" s="298" t="str">
        <f>IF(B506="", "", 'Lighting Inventory (Ref only)'!Q517)</f>
        <v/>
      </c>
      <c r="AA506" s="298" t="str">
        <f>IF(B506="", "",'Lighting Inventory (Ref only)'!R517/1000)</f>
        <v/>
      </c>
      <c r="AB506" s="298" t="str">
        <f>IF(B506="", "", Inventory!M514)</f>
        <v/>
      </c>
      <c r="AC506" s="298" t="str">
        <f>IF(B506="", "", 'Lighting Inventory (Ref only)'!T517)</f>
        <v/>
      </c>
      <c r="AD506" s="298" t="str">
        <f>IF(C506="", "", 'Lighting Inventory (Ref only)'!AA517)</f>
        <v/>
      </c>
      <c r="AE506" s="298" t="str">
        <f>IF(B506="", "", 'Lighting Inventory (Ref only)'!U517)</f>
        <v/>
      </c>
      <c r="AF506" s="298" t="str">
        <f>IF(B506="", "",'Lighting Inventory (Ref only)'!W517)</f>
        <v/>
      </c>
      <c r="AH506" s="298" t="str">
        <f>IF(B506="", "",'Lighting Inventory (Ref only)'!Z517)</f>
        <v/>
      </c>
      <c r="AI506" s="298" t="str">
        <f>IF(B506="", "", 'Lighting Inventory (Ref only)'!Y517)</f>
        <v/>
      </c>
      <c r="AJ506" s="298" t="str">
        <f>IF(C506="", "",'Lighting Inventory (Ref only)'!AB517)</f>
        <v/>
      </c>
      <c r="AK506" s="375" t="str">
        <f>IF(B506="", "", 'Lighting Inventory (Ref only)'!AG517)</f>
        <v/>
      </c>
      <c r="AL506" s="375" t="str">
        <f>IF(B506="", "", 'Lighting Inventory (Ref only)'!AD517)</f>
        <v/>
      </c>
      <c r="AM506" s="375" t="str">
        <f>IF(B506="", "", 'Lighting Inventory (Ref only)'!AE517)</f>
        <v/>
      </c>
      <c r="AN506" s="375" t="str">
        <f>IF(B506="", "", 'Lighting Inventory (Ref only)'!AF517)</f>
        <v/>
      </c>
      <c r="AO506" s="375" t="str">
        <f>IF(B506="", "", 'Lighting Inventory (Ref only)'!AG517)</f>
        <v/>
      </c>
    </row>
    <row r="507" spans="1:41">
      <c r="A507" s="298" t="str">
        <f>IF(G507="", "", Lookups!BF509)</f>
        <v/>
      </c>
      <c r="B507" s="298" t="str">
        <f>IF('Lighting Inventory (Ref only)'!Q518="", "", 'Lighting Inventory (Ref only)'!Q518)</f>
        <v/>
      </c>
      <c r="C507" s="298" t="str">
        <f>IF(A507="", "", 'Lighting Inventory (Ref only)'!AO518)</f>
        <v/>
      </c>
      <c r="D507" s="298" t="str">
        <f>IF(B507= "","", Inventory!S515)</f>
        <v/>
      </c>
      <c r="F507" s="298" t="str">
        <f>IF(B507="", "", 'Version Log'!$B$34)</f>
        <v/>
      </c>
      <c r="G507" s="298" t="str">
        <f t="shared" si="32"/>
        <v/>
      </c>
      <c r="H507" s="298" t="str">
        <f t="shared" si="33"/>
        <v/>
      </c>
      <c r="I507" s="298" t="str">
        <f>IF(B507="", "",Inventory!D515)</f>
        <v/>
      </c>
      <c r="J507" s="298" t="str">
        <f>IF(B507="","",IF(Inventory!C515="N","Interior","Exterior"))</f>
        <v/>
      </c>
      <c r="K507" s="298" t="str">
        <f t="shared" si="34"/>
        <v/>
      </c>
      <c r="L507" s="298" t="str">
        <f>IF(B507="", "", Inventory!E515)</f>
        <v/>
      </c>
      <c r="M507" s="298" t="str">
        <f>IF(B507="","",IF(Cool_Type=Lookups!$L$9,Cool_Type,IF(Cool_Type=Lookups!$L$10,Cool_Type,IF(Cool_Type=Lookups!$L$11,Cool_Type,IF(Cool_Type=Lookups!L517,Cool_Type,IF('Project Info and Summary'!$C$20="Electric",CONCATENATE(Cool_Type," ",Heating_Type," Heat"),IF('Project Info and Summary'!$C$20="Non-Electric",CONCATENATE(Cool_Type," ",Heating_Type," Heat"),CONCATENATE(Cool_Type," ",Heating_Type))))))))</f>
        <v/>
      </c>
      <c r="N507" s="298" t="str">
        <f t="shared" si="35"/>
        <v/>
      </c>
      <c r="O507" s="298" t="str">
        <f>IF(B507="", "", 'Lighting Inventory (Ref only)'!G518)</f>
        <v/>
      </c>
      <c r="P507" s="298" t="str">
        <f>IF(B507="", "", 'Lighting Inventory (Ref only)'!E518)</f>
        <v/>
      </c>
      <c r="Q507" s="298" t="str">
        <f>IF(B507="", "", 'Lighting Inventory (Ref only)'!J518)</f>
        <v/>
      </c>
      <c r="R507" s="298" t="str">
        <f>IF(B507="", "",'Lighting Inventory (Ref only)'!K518)</f>
        <v/>
      </c>
      <c r="S507" s="372" t="str">
        <f>IF(B507="", "", 'Lighting Inventory (Ref only)'!G518*'Lighting Inventory (Ref only)'!K518/1000)</f>
        <v/>
      </c>
      <c r="T507" s="298" t="str">
        <f>IF(B507="", "", IF('Lighting Inventory (Ref only)'!I518="", "Light Switch",Inventory!H515))</f>
        <v/>
      </c>
      <c r="X507" s="298" t="str">
        <f>IF(B507="", "", 'Lighting Inventory (Ref only)'!Q518)</f>
        <v/>
      </c>
      <c r="AA507" s="298" t="str">
        <f>IF(B507="", "",'Lighting Inventory (Ref only)'!R518/1000)</f>
        <v/>
      </c>
      <c r="AB507" s="298" t="str">
        <f>IF(B507="", "", Inventory!M515)</f>
        <v/>
      </c>
      <c r="AC507" s="298" t="str">
        <f>IF(B507="", "", 'Lighting Inventory (Ref only)'!T518)</f>
        <v/>
      </c>
      <c r="AD507" s="298" t="str">
        <f>IF(C507="", "", 'Lighting Inventory (Ref only)'!AA518)</f>
        <v/>
      </c>
      <c r="AE507" s="298" t="str">
        <f>IF(B507="", "", 'Lighting Inventory (Ref only)'!U518)</f>
        <v/>
      </c>
      <c r="AF507" s="298" t="str">
        <f>IF(B507="", "",'Lighting Inventory (Ref only)'!W518)</f>
        <v/>
      </c>
      <c r="AH507" s="298" t="str">
        <f>IF(B507="", "",'Lighting Inventory (Ref only)'!Z518)</f>
        <v/>
      </c>
      <c r="AI507" s="298" t="str">
        <f>IF(B507="", "", 'Lighting Inventory (Ref only)'!Y518)</f>
        <v/>
      </c>
      <c r="AJ507" s="298" t="str">
        <f>IF(C507="", "",'Lighting Inventory (Ref only)'!AB518)</f>
        <v/>
      </c>
      <c r="AK507" s="375" t="str">
        <f>IF(B507="", "", 'Lighting Inventory (Ref only)'!AG518)</f>
        <v/>
      </c>
      <c r="AL507" s="375" t="str">
        <f>IF(B507="", "", 'Lighting Inventory (Ref only)'!AD518)</f>
        <v/>
      </c>
      <c r="AM507" s="375" t="str">
        <f>IF(B507="", "", 'Lighting Inventory (Ref only)'!AE518)</f>
        <v/>
      </c>
      <c r="AN507" s="375" t="str">
        <f>IF(B507="", "", 'Lighting Inventory (Ref only)'!AF518)</f>
        <v/>
      </c>
      <c r="AO507" s="375" t="str">
        <f>IF(B507="", "", 'Lighting Inventory (Ref only)'!AG518)</f>
        <v/>
      </c>
    </row>
    <row r="508" spans="1:41">
      <c r="A508" s="298" t="str">
        <f>IF(G508="", "", Lookups!BF510)</f>
        <v/>
      </c>
      <c r="B508" s="298" t="str">
        <f>IF('Lighting Inventory (Ref only)'!Q519="", "", 'Lighting Inventory (Ref only)'!Q519)</f>
        <v/>
      </c>
      <c r="C508" s="298" t="str">
        <f>IF(A508="", "", 'Lighting Inventory (Ref only)'!AO519)</f>
        <v/>
      </c>
      <c r="D508" s="298" t="str">
        <f>IF(B508= "","", Inventory!S516)</f>
        <v/>
      </c>
      <c r="F508" s="298" t="str">
        <f>IF(B508="", "", 'Version Log'!$B$34)</f>
        <v/>
      </c>
      <c r="G508" s="298" t="str">
        <f t="shared" si="32"/>
        <v/>
      </c>
      <c r="H508" s="298" t="str">
        <f t="shared" si="33"/>
        <v/>
      </c>
      <c r="I508" s="298" t="str">
        <f>IF(B508="", "",Inventory!D516)</f>
        <v/>
      </c>
      <c r="J508" s="298" t="str">
        <f>IF(B508="","",IF(Inventory!C516="N","Interior","Exterior"))</f>
        <v/>
      </c>
      <c r="K508" s="298" t="str">
        <f t="shared" si="34"/>
        <v/>
      </c>
      <c r="L508" s="298" t="str">
        <f>IF(B508="", "", Inventory!E516)</f>
        <v/>
      </c>
      <c r="M508" s="298" t="str">
        <f>IF(B508="","",IF(Cool_Type=Lookups!$L$9,Cool_Type,IF(Cool_Type=Lookups!$L$10,Cool_Type,IF(Cool_Type=Lookups!$L$11,Cool_Type,IF(Cool_Type=Lookups!L518,Cool_Type,IF('Project Info and Summary'!$C$20="Electric",CONCATENATE(Cool_Type," ",Heating_Type," Heat"),IF('Project Info and Summary'!$C$20="Non-Electric",CONCATENATE(Cool_Type," ",Heating_Type," Heat"),CONCATENATE(Cool_Type," ",Heating_Type))))))))</f>
        <v/>
      </c>
      <c r="N508" s="298" t="str">
        <f t="shared" si="35"/>
        <v/>
      </c>
      <c r="O508" s="298" t="str">
        <f>IF(B508="", "", 'Lighting Inventory (Ref only)'!G519)</f>
        <v/>
      </c>
      <c r="P508" s="298" t="str">
        <f>IF(B508="", "", 'Lighting Inventory (Ref only)'!E519)</f>
        <v/>
      </c>
      <c r="Q508" s="298" t="str">
        <f>IF(B508="", "", 'Lighting Inventory (Ref only)'!J519)</f>
        <v/>
      </c>
      <c r="R508" s="298" t="str">
        <f>IF(B508="", "",'Lighting Inventory (Ref only)'!K519)</f>
        <v/>
      </c>
      <c r="S508" s="372" t="str">
        <f>IF(B508="", "", 'Lighting Inventory (Ref only)'!G519*'Lighting Inventory (Ref only)'!K519/1000)</f>
        <v/>
      </c>
      <c r="T508" s="298" t="str">
        <f>IF(B508="", "", IF('Lighting Inventory (Ref only)'!I519="", "Light Switch",Inventory!H516))</f>
        <v/>
      </c>
      <c r="X508" s="298" t="str">
        <f>IF(B508="", "", 'Lighting Inventory (Ref only)'!Q519)</f>
        <v/>
      </c>
      <c r="AA508" s="298" t="str">
        <f>IF(B508="", "",'Lighting Inventory (Ref only)'!R519/1000)</f>
        <v/>
      </c>
      <c r="AB508" s="298" t="str">
        <f>IF(B508="", "", Inventory!M516)</f>
        <v/>
      </c>
      <c r="AC508" s="298" t="str">
        <f>IF(B508="", "", 'Lighting Inventory (Ref only)'!T519)</f>
        <v/>
      </c>
      <c r="AD508" s="298" t="str">
        <f>IF(C508="", "", 'Lighting Inventory (Ref only)'!AA519)</f>
        <v/>
      </c>
      <c r="AE508" s="298" t="str">
        <f>IF(B508="", "", 'Lighting Inventory (Ref only)'!U519)</f>
        <v/>
      </c>
      <c r="AF508" s="298" t="str">
        <f>IF(B508="", "",'Lighting Inventory (Ref only)'!W519)</f>
        <v/>
      </c>
      <c r="AH508" s="298" t="str">
        <f>IF(B508="", "",'Lighting Inventory (Ref only)'!Z519)</f>
        <v/>
      </c>
      <c r="AI508" s="298" t="str">
        <f>IF(B508="", "", 'Lighting Inventory (Ref only)'!Y519)</f>
        <v/>
      </c>
      <c r="AJ508" s="298" t="str">
        <f>IF(C508="", "",'Lighting Inventory (Ref only)'!AB519)</f>
        <v/>
      </c>
      <c r="AK508" s="375" t="str">
        <f>IF(B508="", "", 'Lighting Inventory (Ref only)'!AG519)</f>
        <v/>
      </c>
      <c r="AL508" s="375" t="str">
        <f>IF(B508="", "", 'Lighting Inventory (Ref only)'!AD519)</f>
        <v/>
      </c>
      <c r="AM508" s="375" t="str">
        <f>IF(B508="", "", 'Lighting Inventory (Ref only)'!AE519)</f>
        <v/>
      </c>
      <c r="AN508" s="375" t="str">
        <f>IF(B508="", "", 'Lighting Inventory (Ref only)'!AF519)</f>
        <v/>
      </c>
      <c r="AO508" s="375" t="str">
        <f>IF(B508="", "", 'Lighting Inventory (Ref only)'!AG519)</f>
        <v/>
      </c>
    </row>
    <row r="509" spans="1:41">
      <c r="A509" s="298" t="str">
        <f>IF(G509="", "", Lookups!BF511)</f>
        <v/>
      </c>
      <c r="B509" s="298" t="str">
        <f>IF('Lighting Inventory (Ref only)'!Q520="", "", 'Lighting Inventory (Ref only)'!Q520)</f>
        <v/>
      </c>
      <c r="C509" s="298" t="str">
        <f>IF(A509="", "", 'Lighting Inventory (Ref only)'!AO520)</f>
        <v/>
      </c>
      <c r="D509" s="298" t="str">
        <f>IF(B509= "","", Inventory!S517)</f>
        <v/>
      </c>
      <c r="F509" s="298" t="str">
        <f>IF(B509="", "", 'Version Log'!$B$34)</f>
        <v/>
      </c>
      <c r="G509" s="298" t="str">
        <f t="shared" si="32"/>
        <v/>
      </c>
      <c r="H509" s="298" t="str">
        <f t="shared" si="33"/>
        <v/>
      </c>
      <c r="I509" s="298" t="str">
        <f>IF(B509="", "",Inventory!D517)</f>
        <v/>
      </c>
      <c r="J509" s="298" t="str">
        <f>IF(B509="","",IF(Inventory!C517="N","Interior","Exterior"))</f>
        <v/>
      </c>
      <c r="K509" s="298" t="str">
        <f t="shared" si="34"/>
        <v/>
      </c>
      <c r="L509" s="298" t="str">
        <f>IF(B509="", "", Inventory!E517)</f>
        <v/>
      </c>
      <c r="M509" s="298" t="str">
        <f>IF(B509="","",IF(Cool_Type=Lookups!$L$9,Cool_Type,IF(Cool_Type=Lookups!$L$10,Cool_Type,IF(Cool_Type=Lookups!$L$11,Cool_Type,IF(Cool_Type=Lookups!L519,Cool_Type,IF('Project Info and Summary'!$C$20="Electric",CONCATENATE(Cool_Type," ",Heating_Type," Heat"),IF('Project Info and Summary'!$C$20="Non-Electric",CONCATENATE(Cool_Type," ",Heating_Type," Heat"),CONCATENATE(Cool_Type," ",Heating_Type))))))))</f>
        <v/>
      </c>
      <c r="N509" s="298" t="str">
        <f t="shared" si="35"/>
        <v/>
      </c>
      <c r="O509" s="298" t="str">
        <f>IF(B509="", "", 'Lighting Inventory (Ref only)'!G520)</f>
        <v/>
      </c>
      <c r="P509" s="298" t="str">
        <f>IF(B509="", "", 'Lighting Inventory (Ref only)'!E520)</f>
        <v/>
      </c>
      <c r="Q509" s="298" t="str">
        <f>IF(B509="", "", 'Lighting Inventory (Ref only)'!J520)</f>
        <v/>
      </c>
      <c r="R509" s="298" t="str">
        <f>IF(B509="", "",'Lighting Inventory (Ref only)'!K520)</f>
        <v/>
      </c>
      <c r="S509" s="372" t="str">
        <f>IF(B509="", "", 'Lighting Inventory (Ref only)'!G520*'Lighting Inventory (Ref only)'!K520/1000)</f>
        <v/>
      </c>
      <c r="T509" s="298" t="str">
        <f>IF(B509="", "", IF('Lighting Inventory (Ref only)'!I520="", "Light Switch",Inventory!H517))</f>
        <v/>
      </c>
      <c r="X509" s="298" t="str">
        <f>IF(B509="", "", 'Lighting Inventory (Ref only)'!Q520)</f>
        <v/>
      </c>
      <c r="AA509" s="298" t="str">
        <f>IF(B509="", "",'Lighting Inventory (Ref only)'!R520/1000)</f>
        <v/>
      </c>
      <c r="AB509" s="298" t="str">
        <f>IF(B509="", "", Inventory!M517)</f>
        <v/>
      </c>
      <c r="AC509" s="298" t="str">
        <f>IF(B509="", "", 'Lighting Inventory (Ref only)'!T520)</f>
        <v/>
      </c>
      <c r="AD509" s="298" t="str">
        <f>IF(C509="", "", 'Lighting Inventory (Ref only)'!AA520)</f>
        <v/>
      </c>
      <c r="AE509" s="298" t="str">
        <f>IF(B509="", "", 'Lighting Inventory (Ref only)'!U520)</f>
        <v/>
      </c>
      <c r="AF509" s="298" t="str">
        <f>IF(B509="", "",'Lighting Inventory (Ref only)'!W520)</f>
        <v/>
      </c>
      <c r="AH509" s="298" t="str">
        <f>IF(B509="", "",'Lighting Inventory (Ref only)'!Z520)</f>
        <v/>
      </c>
      <c r="AI509" s="298" t="str">
        <f>IF(B509="", "", 'Lighting Inventory (Ref only)'!Y520)</f>
        <v/>
      </c>
      <c r="AJ509" s="298" t="str">
        <f>IF(C509="", "",'Lighting Inventory (Ref only)'!AB520)</f>
        <v/>
      </c>
      <c r="AK509" s="375" t="str">
        <f>IF(B509="", "", 'Lighting Inventory (Ref only)'!AG520)</f>
        <v/>
      </c>
      <c r="AL509" s="375" t="str">
        <f>IF(B509="", "", 'Lighting Inventory (Ref only)'!AD520)</f>
        <v/>
      </c>
      <c r="AM509" s="375" t="str">
        <f>IF(B509="", "", 'Lighting Inventory (Ref only)'!AE520)</f>
        <v/>
      </c>
      <c r="AN509" s="375" t="str">
        <f>IF(B509="", "", 'Lighting Inventory (Ref only)'!AF520)</f>
        <v/>
      </c>
      <c r="AO509" s="375" t="str">
        <f>IF(B509="", "", 'Lighting Inventory (Ref only)'!AG520)</f>
        <v/>
      </c>
    </row>
    <row r="510" spans="1:41">
      <c r="A510" s="298" t="str">
        <f>IF(G510="", "", Lookups!BF512)</f>
        <v/>
      </c>
      <c r="B510" s="298" t="str">
        <f>IF('Lighting Inventory (Ref only)'!Q521="", "", 'Lighting Inventory (Ref only)'!Q521)</f>
        <v/>
      </c>
      <c r="C510" s="298" t="str">
        <f>IF(A510="", "", 'Lighting Inventory (Ref only)'!AO521)</f>
        <v/>
      </c>
      <c r="D510" s="298" t="str">
        <f>IF(B510= "","", Inventory!S518)</f>
        <v/>
      </c>
      <c r="F510" s="298" t="str">
        <f>IF(B510="", "", 'Version Log'!$B$34)</f>
        <v/>
      </c>
      <c r="G510" s="298" t="str">
        <f t="shared" si="32"/>
        <v/>
      </c>
      <c r="H510" s="298" t="str">
        <f t="shared" si="33"/>
        <v/>
      </c>
      <c r="I510" s="298" t="str">
        <f>IF(B510="", "",Inventory!D518)</f>
        <v/>
      </c>
      <c r="J510" s="298" t="str">
        <f>IF(B510="","",IF(Inventory!C518="N","Interior","Exterior"))</f>
        <v/>
      </c>
      <c r="K510" s="298" t="str">
        <f t="shared" si="34"/>
        <v/>
      </c>
      <c r="L510" s="298" t="str">
        <f>IF(B510="", "", Inventory!E518)</f>
        <v/>
      </c>
      <c r="M510" s="298" t="str">
        <f>IF(B510="","",IF(Cool_Type=Lookups!$L$9,Cool_Type,IF(Cool_Type=Lookups!$L$10,Cool_Type,IF(Cool_Type=Lookups!$L$11,Cool_Type,IF(Cool_Type=Lookups!L520,Cool_Type,IF('Project Info and Summary'!$C$20="Electric",CONCATENATE(Cool_Type," ",Heating_Type," Heat"),IF('Project Info and Summary'!$C$20="Non-Electric",CONCATENATE(Cool_Type," ",Heating_Type," Heat"),CONCATENATE(Cool_Type," ",Heating_Type))))))))</f>
        <v/>
      </c>
      <c r="N510" s="298" t="str">
        <f t="shared" si="35"/>
        <v/>
      </c>
      <c r="O510" s="298" t="str">
        <f>IF(B510="", "", 'Lighting Inventory (Ref only)'!G521)</f>
        <v/>
      </c>
      <c r="P510" s="298" t="str">
        <f>IF(B510="", "", 'Lighting Inventory (Ref only)'!E521)</f>
        <v/>
      </c>
      <c r="Q510" s="298" t="str">
        <f>IF(B510="", "", 'Lighting Inventory (Ref only)'!J521)</f>
        <v/>
      </c>
      <c r="R510" s="298" t="str">
        <f>IF(B510="", "",'Lighting Inventory (Ref only)'!K521)</f>
        <v/>
      </c>
      <c r="S510" s="372" t="str">
        <f>IF(B510="", "", 'Lighting Inventory (Ref only)'!G521*'Lighting Inventory (Ref only)'!K521/1000)</f>
        <v/>
      </c>
      <c r="T510" s="298" t="str">
        <f>IF(B510="", "", IF('Lighting Inventory (Ref only)'!I521="", "Light Switch",Inventory!H518))</f>
        <v/>
      </c>
      <c r="X510" s="298" t="str">
        <f>IF(B510="", "", 'Lighting Inventory (Ref only)'!Q521)</f>
        <v/>
      </c>
      <c r="AA510" s="298" t="str">
        <f>IF(B510="", "",'Lighting Inventory (Ref only)'!R521/1000)</f>
        <v/>
      </c>
      <c r="AB510" s="298" t="str">
        <f>IF(B510="", "", Inventory!M518)</f>
        <v/>
      </c>
      <c r="AC510" s="298" t="str">
        <f>IF(B510="", "", 'Lighting Inventory (Ref only)'!T521)</f>
        <v/>
      </c>
      <c r="AD510" s="298" t="str">
        <f>IF(C510="", "", 'Lighting Inventory (Ref only)'!AA521)</f>
        <v/>
      </c>
      <c r="AE510" s="298" t="str">
        <f>IF(B510="", "", 'Lighting Inventory (Ref only)'!U521)</f>
        <v/>
      </c>
      <c r="AF510" s="298" t="str">
        <f>IF(B510="", "",'Lighting Inventory (Ref only)'!W521)</f>
        <v/>
      </c>
      <c r="AH510" s="298" t="str">
        <f>IF(B510="", "",'Lighting Inventory (Ref only)'!Z521)</f>
        <v/>
      </c>
      <c r="AI510" s="298" t="str">
        <f>IF(B510="", "", 'Lighting Inventory (Ref only)'!Y521)</f>
        <v/>
      </c>
      <c r="AJ510" s="298" t="str">
        <f>IF(C510="", "",'Lighting Inventory (Ref only)'!AB521)</f>
        <v/>
      </c>
      <c r="AK510" s="375" t="str">
        <f>IF(B510="", "", 'Lighting Inventory (Ref only)'!AG521)</f>
        <v/>
      </c>
      <c r="AL510" s="375" t="str">
        <f>IF(B510="", "", 'Lighting Inventory (Ref only)'!AD521)</f>
        <v/>
      </c>
      <c r="AM510" s="375" t="str">
        <f>IF(B510="", "", 'Lighting Inventory (Ref only)'!AE521)</f>
        <v/>
      </c>
      <c r="AN510" s="375" t="str">
        <f>IF(B510="", "", 'Lighting Inventory (Ref only)'!AF521)</f>
        <v/>
      </c>
      <c r="AO510" s="375" t="str">
        <f>IF(B510="", "", 'Lighting Inventory (Ref only)'!AG521)</f>
        <v/>
      </c>
    </row>
    <row r="511" spans="1:41">
      <c r="A511" s="298" t="str">
        <f>IF(G511="", "", Lookups!BF513)</f>
        <v/>
      </c>
      <c r="B511" s="298" t="str">
        <f>IF('Lighting Inventory (Ref only)'!Q522="", "", 'Lighting Inventory (Ref only)'!Q522)</f>
        <v/>
      </c>
      <c r="C511" s="298" t="str">
        <f>IF(A511="", "", 'Lighting Inventory (Ref only)'!AO522)</f>
        <v/>
      </c>
      <c r="D511" s="298" t="str">
        <f>IF(B511= "","", Inventory!S519)</f>
        <v/>
      </c>
      <c r="F511" s="298" t="str">
        <f>IF(B511="", "", 'Version Log'!$B$34)</f>
        <v/>
      </c>
      <c r="G511" s="298" t="str">
        <f t="shared" si="32"/>
        <v/>
      </c>
      <c r="H511" s="298" t="str">
        <f t="shared" si="33"/>
        <v/>
      </c>
      <c r="I511" s="298" t="str">
        <f>IF(B511="", "",Inventory!D519)</f>
        <v/>
      </c>
      <c r="J511" s="298" t="str">
        <f>IF(B511="","",IF(Inventory!C519="N","Interior","Exterior"))</f>
        <v/>
      </c>
      <c r="K511" s="298" t="str">
        <f t="shared" si="34"/>
        <v/>
      </c>
      <c r="L511" s="298" t="str">
        <f>IF(B511="", "", Inventory!E519)</f>
        <v/>
      </c>
      <c r="M511" s="298" t="str">
        <f>IF(B511="","",IF(Cool_Type=Lookups!$L$9,Cool_Type,IF(Cool_Type=Lookups!$L$10,Cool_Type,IF(Cool_Type=Lookups!$L$11,Cool_Type,IF(Cool_Type=Lookups!L521,Cool_Type,IF('Project Info and Summary'!$C$20="Electric",CONCATENATE(Cool_Type," ",Heating_Type," Heat"),IF('Project Info and Summary'!$C$20="Non-Electric",CONCATENATE(Cool_Type," ",Heating_Type," Heat"),CONCATENATE(Cool_Type," ",Heating_Type))))))))</f>
        <v/>
      </c>
      <c r="N511" s="298" t="str">
        <f t="shared" si="35"/>
        <v/>
      </c>
      <c r="O511" s="298" t="str">
        <f>IF(B511="", "", 'Lighting Inventory (Ref only)'!G522)</f>
        <v/>
      </c>
      <c r="P511" s="298" t="str">
        <f>IF(B511="", "", 'Lighting Inventory (Ref only)'!E522)</f>
        <v/>
      </c>
      <c r="Q511" s="298" t="str">
        <f>IF(B511="", "", 'Lighting Inventory (Ref only)'!J522)</f>
        <v/>
      </c>
      <c r="R511" s="298" t="str">
        <f>IF(B511="", "",'Lighting Inventory (Ref only)'!K522)</f>
        <v/>
      </c>
      <c r="S511" s="372" t="str">
        <f>IF(B511="", "", 'Lighting Inventory (Ref only)'!G522*'Lighting Inventory (Ref only)'!K522/1000)</f>
        <v/>
      </c>
      <c r="T511" s="298" t="str">
        <f>IF(B511="", "", IF('Lighting Inventory (Ref only)'!I522="", "Light Switch",Inventory!H519))</f>
        <v/>
      </c>
      <c r="X511" s="298" t="str">
        <f>IF(B511="", "", 'Lighting Inventory (Ref only)'!Q522)</f>
        <v/>
      </c>
      <c r="AA511" s="298" t="str">
        <f>IF(B511="", "",'Lighting Inventory (Ref only)'!R522/1000)</f>
        <v/>
      </c>
      <c r="AB511" s="298" t="str">
        <f>IF(B511="", "", Inventory!M519)</f>
        <v/>
      </c>
      <c r="AC511" s="298" t="str">
        <f>IF(B511="", "", 'Lighting Inventory (Ref only)'!T522)</f>
        <v/>
      </c>
      <c r="AD511" s="298" t="str">
        <f>IF(C511="", "", 'Lighting Inventory (Ref only)'!AA522)</f>
        <v/>
      </c>
      <c r="AE511" s="298" t="str">
        <f>IF(B511="", "", 'Lighting Inventory (Ref only)'!U522)</f>
        <v/>
      </c>
      <c r="AF511" s="298" t="str">
        <f>IF(B511="", "",'Lighting Inventory (Ref only)'!W522)</f>
        <v/>
      </c>
      <c r="AH511" s="298" t="str">
        <f>IF(B511="", "",'Lighting Inventory (Ref only)'!Z522)</f>
        <v/>
      </c>
      <c r="AI511" s="298" t="str">
        <f>IF(B511="", "", 'Lighting Inventory (Ref only)'!Y522)</f>
        <v/>
      </c>
      <c r="AJ511" s="298" t="str">
        <f>IF(C511="", "",'Lighting Inventory (Ref only)'!AB522)</f>
        <v/>
      </c>
      <c r="AK511" s="375" t="str">
        <f>IF(B511="", "", 'Lighting Inventory (Ref only)'!AG522)</f>
        <v/>
      </c>
      <c r="AL511" s="375" t="str">
        <f>IF(B511="", "", 'Lighting Inventory (Ref only)'!AD522)</f>
        <v/>
      </c>
      <c r="AM511" s="375" t="str">
        <f>IF(B511="", "", 'Lighting Inventory (Ref only)'!AE522)</f>
        <v/>
      </c>
      <c r="AN511" s="375" t="str">
        <f>IF(B511="", "", 'Lighting Inventory (Ref only)'!AF522)</f>
        <v/>
      </c>
      <c r="AO511" s="375" t="str">
        <f>IF(B511="", "", 'Lighting Inventory (Ref only)'!AG522)</f>
        <v/>
      </c>
    </row>
    <row r="512" spans="1:41">
      <c r="A512" s="298" t="str">
        <f>IF(G512="", "", Lookups!BF514)</f>
        <v/>
      </c>
      <c r="B512" s="298" t="str">
        <f>IF('Lighting Inventory (Ref only)'!Q523="", "", 'Lighting Inventory (Ref only)'!Q523)</f>
        <v/>
      </c>
      <c r="C512" s="298" t="str">
        <f>IF(A512="", "", 'Lighting Inventory (Ref only)'!AO523)</f>
        <v/>
      </c>
      <c r="D512" s="298" t="str">
        <f>IF(B512= "","", Inventory!S520)</f>
        <v/>
      </c>
      <c r="F512" s="298" t="str">
        <f>IF(B512="", "", 'Version Log'!$B$34)</f>
        <v/>
      </c>
      <c r="G512" s="298" t="str">
        <f t="shared" si="32"/>
        <v/>
      </c>
      <c r="H512" s="298" t="str">
        <f t="shared" si="33"/>
        <v/>
      </c>
      <c r="I512" s="298" t="str">
        <f>IF(B512="", "",Inventory!D520)</f>
        <v/>
      </c>
      <c r="J512" s="298" t="str">
        <f>IF(B512="","",IF(Inventory!C520="N","Interior","Exterior"))</f>
        <v/>
      </c>
      <c r="K512" s="298" t="str">
        <f t="shared" si="34"/>
        <v/>
      </c>
      <c r="L512" s="298" t="str">
        <f>IF(B512="", "", Inventory!E520)</f>
        <v/>
      </c>
      <c r="M512" s="298" t="str">
        <f>IF(B512="","",IF(Cool_Type=Lookups!$L$9,Cool_Type,IF(Cool_Type=Lookups!$L$10,Cool_Type,IF(Cool_Type=Lookups!$L$11,Cool_Type,IF(Cool_Type=Lookups!L522,Cool_Type,IF('Project Info and Summary'!$C$20="Electric",CONCATENATE(Cool_Type," ",Heating_Type," Heat"),IF('Project Info and Summary'!$C$20="Non-Electric",CONCATENATE(Cool_Type," ",Heating_Type," Heat"),CONCATENATE(Cool_Type," ",Heating_Type))))))))</f>
        <v/>
      </c>
      <c r="N512" s="298" t="str">
        <f t="shared" si="35"/>
        <v/>
      </c>
      <c r="O512" s="298" t="str">
        <f>IF(B512="", "", 'Lighting Inventory (Ref only)'!G523)</f>
        <v/>
      </c>
      <c r="P512" s="298" t="str">
        <f>IF(B512="", "", 'Lighting Inventory (Ref only)'!E523)</f>
        <v/>
      </c>
      <c r="Q512" s="298" t="str">
        <f>IF(B512="", "", 'Lighting Inventory (Ref only)'!J523)</f>
        <v/>
      </c>
      <c r="R512" s="298" t="str">
        <f>IF(B512="", "",'Lighting Inventory (Ref only)'!K523)</f>
        <v/>
      </c>
      <c r="S512" s="372" t="str">
        <f>IF(B512="", "", 'Lighting Inventory (Ref only)'!G523*'Lighting Inventory (Ref only)'!K523/1000)</f>
        <v/>
      </c>
      <c r="T512" s="298" t="str">
        <f>IF(B512="", "", IF('Lighting Inventory (Ref only)'!I523="", "Light Switch",Inventory!H520))</f>
        <v/>
      </c>
      <c r="X512" s="298" t="str">
        <f>IF(B512="", "", 'Lighting Inventory (Ref only)'!Q523)</f>
        <v/>
      </c>
      <c r="AA512" s="298" t="str">
        <f>IF(B512="", "",'Lighting Inventory (Ref only)'!R523/1000)</f>
        <v/>
      </c>
      <c r="AB512" s="298" t="str">
        <f>IF(B512="", "", Inventory!M520)</f>
        <v/>
      </c>
      <c r="AC512" s="298" t="str">
        <f>IF(B512="", "", 'Lighting Inventory (Ref only)'!T523)</f>
        <v/>
      </c>
      <c r="AD512" s="298" t="str">
        <f>IF(C512="", "", 'Lighting Inventory (Ref only)'!AA523)</f>
        <v/>
      </c>
      <c r="AE512" s="298" t="str">
        <f>IF(B512="", "", 'Lighting Inventory (Ref only)'!U523)</f>
        <v/>
      </c>
      <c r="AF512" s="298" t="str">
        <f>IF(B512="", "",'Lighting Inventory (Ref only)'!W523)</f>
        <v/>
      </c>
      <c r="AH512" s="298" t="str">
        <f>IF(B512="", "",'Lighting Inventory (Ref only)'!Z523)</f>
        <v/>
      </c>
      <c r="AI512" s="298" t="str">
        <f>IF(B512="", "", 'Lighting Inventory (Ref only)'!Y523)</f>
        <v/>
      </c>
      <c r="AJ512" s="298" t="str">
        <f>IF(C512="", "",'Lighting Inventory (Ref only)'!AB523)</f>
        <v/>
      </c>
      <c r="AK512" s="375" t="str">
        <f>IF(B512="", "", 'Lighting Inventory (Ref only)'!AG523)</f>
        <v/>
      </c>
      <c r="AL512" s="375" t="str">
        <f>IF(B512="", "", 'Lighting Inventory (Ref only)'!AD523)</f>
        <v/>
      </c>
      <c r="AM512" s="375" t="str">
        <f>IF(B512="", "", 'Lighting Inventory (Ref only)'!AE523)</f>
        <v/>
      </c>
      <c r="AN512" s="375" t="str">
        <f>IF(B512="", "", 'Lighting Inventory (Ref only)'!AF523)</f>
        <v/>
      </c>
      <c r="AO512" s="375" t="str">
        <f>IF(B512="", "", 'Lighting Inventory (Ref only)'!AG523)</f>
        <v/>
      </c>
    </row>
    <row r="513" spans="1:41">
      <c r="A513" s="298" t="str">
        <f>IF(G513="", "", Lookups!BF515)</f>
        <v/>
      </c>
      <c r="B513" s="298" t="str">
        <f>IF('Lighting Inventory (Ref only)'!Q524="", "", 'Lighting Inventory (Ref only)'!Q524)</f>
        <v/>
      </c>
      <c r="C513" s="298" t="str">
        <f>IF(A513="", "", 'Lighting Inventory (Ref only)'!AO524)</f>
        <v/>
      </c>
      <c r="D513" s="298" t="str">
        <f>IF(B513= "","", Inventory!S521)</f>
        <v/>
      </c>
      <c r="F513" s="298" t="str">
        <f>IF(B513="", "", 'Version Log'!$B$34)</f>
        <v/>
      </c>
      <c r="G513" s="298" t="str">
        <f t="shared" si="32"/>
        <v/>
      </c>
      <c r="H513" s="298" t="str">
        <f t="shared" si="33"/>
        <v/>
      </c>
      <c r="I513" s="298" t="str">
        <f>IF(B513="", "",Inventory!D521)</f>
        <v/>
      </c>
      <c r="J513" s="298" t="str">
        <f>IF(B513="","",IF(Inventory!C521="N","Interior","Exterior"))</f>
        <v/>
      </c>
      <c r="K513" s="298" t="str">
        <f t="shared" si="34"/>
        <v/>
      </c>
      <c r="L513" s="298" t="str">
        <f>IF(B513="", "", Inventory!E521)</f>
        <v/>
      </c>
      <c r="M513" s="298" t="str">
        <f>IF(B513="","",IF(Cool_Type=Lookups!$L$9,Cool_Type,IF(Cool_Type=Lookups!$L$10,Cool_Type,IF(Cool_Type=Lookups!$L$11,Cool_Type,IF(Cool_Type=Lookups!L523,Cool_Type,IF('Project Info and Summary'!$C$20="Electric",CONCATENATE(Cool_Type," ",Heating_Type," Heat"),IF('Project Info and Summary'!$C$20="Non-Electric",CONCATENATE(Cool_Type," ",Heating_Type," Heat"),CONCATENATE(Cool_Type," ",Heating_Type))))))))</f>
        <v/>
      </c>
      <c r="N513" s="298" t="str">
        <f t="shared" si="35"/>
        <v/>
      </c>
      <c r="O513" s="298" t="str">
        <f>IF(B513="", "", 'Lighting Inventory (Ref only)'!G524)</f>
        <v/>
      </c>
      <c r="P513" s="298" t="str">
        <f>IF(B513="", "", 'Lighting Inventory (Ref only)'!E524)</f>
        <v/>
      </c>
      <c r="Q513" s="298" t="str">
        <f>IF(B513="", "", 'Lighting Inventory (Ref only)'!J524)</f>
        <v/>
      </c>
      <c r="R513" s="298" t="str">
        <f>IF(B513="", "",'Lighting Inventory (Ref only)'!K524)</f>
        <v/>
      </c>
      <c r="S513" s="372" t="str">
        <f>IF(B513="", "", 'Lighting Inventory (Ref only)'!G524*'Lighting Inventory (Ref only)'!K524/1000)</f>
        <v/>
      </c>
      <c r="T513" s="298" t="str">
        <f>IF(B513="", "", IF('Lighting Inventory (Ref only)'!I524="", "Light Switch",Inventory!H521))</f>
        <v/>
      </c>
      <c r="X513" s="298" t="str">
        <f>IF(B513="", "", 'Lighting Inventory (Ref only)'!Q524)</f>
        <v/>
      </c>
      <c r="AA513" s="298" t="str">
        <f>IF(B513="", "",'Lighting Inventory (Ref only)'!R524/1000)</f>
        <v/>
      </c>
      <c r="AB513" s="298" t="str">
        <f>IF(B513="", "", Inventory!M521)</f>
        <v/>
      </c>
      <c r="AC513" s="298" t="str">
        <f>IF(B513="", "", 'Lighting Inventory (Ref only)'!T524)</f>
        <v/>
      </c>
      <c r="AD513" s="298" t="str">
        <f>IF(C513="", "", 'Lighting Inventory (Ref only)'!AA524)</f>
        <v/>
      </c>
      <c r="AE513" s="298" t="str">
        <f>IF(B513="", "", 'Lighting Inventory (Ref only)'!U524)</f>
        <v/>
      </c>
      <c r="AF513" s="298" t="str">
        <f>IF(B513="", "",'Lighting Inventory (Ref only)'!W524)</f>
        <v/>
      </c>
      <c r="AH513" s="298" t="str">
        <f>IF(B513="", "",'Lighting Inventory (Ref only)'!Z524)</f>
        <v/>
      </c>
      <c r="AI513" s="298" t="str">
        <f>IF(B513="", "", 'Lighting Inventory (Ref only)'!Y524)</f>
        <v/>
      </c>
      <c r="AJ513" s="298" t="str">
        <f>IF(C513="", "",'Lighting Inventory (Ref only)'!AB524)</f>
        <v/>
      </c>
      <c r="AK513" s="375" t="str">
        <f>IF(B513="", "", 'Lighting Inventory (Ref only)'!AG524)</f>
        <v/>
      </c>
      <c r="AL513" s="375" t="str">
        <f>IF(B513="", "", 'Lighting Inventory (Ref only)'!AD524)</f>
        <v/>
      </c>
      <c r="AM513" s="375" t="str">
        <f>IF(B513="", "", 'Lighting Inventory (Ref only)'!AE524)</f>
        <v/>
      </c>
      <c r="AN513" s="375" t="str">
        <f>IF(B513="", "", 'Lighting Inventory (Ref only)'!AF524)</f>
        <v/>
      </c>
      <c r="AO513" s="375" t="str">
        <f>IF(B513="", "", 'Lighting Inventory (Ref only)'!AG524)</f>
        <v/>
      </c>
    </row>
    <row r="514" spans="1:41">
      <c r="A514" s="298" t="str">
        <f>IF(G514="", "", Lookups!BF516)</f>
        <v/>
      </c>
      <c r="B514" s="298" t="str">
        <f>IF('Lighting Inventory (Ref only)'!Q525="", "", 'Lighting Inventory (Ref only)'!Q525)</f>
        <v/>
      </c>
      <c r="C514" s="298" t="str">
        <f>IF(A514="", "", 'Lighting Inventory (Ref only)'!AO525)</f>
        <v/>
      </c>
      <c r="D514" s="298" t="str">
        <f>IF(B514= "","", Inventory!S522)</f>
        <v/>
      </c>
      <c r="F514" s="298" t="str">
        <f>IF(B514="", "", 'Version Log'!$B$34)</f>
        <v/>
      </c>
      <c r="G514" s="298" t="str">
        <f t="shared" si="32"/>
        <v/>
      </c>
      <c r="H514" s="298" t="str">
        <f t="shared" si="33"/>
        <v/>
      </c>
      <c r="I514" s="298" t="str">
        <f>IF(B514="", "",Inventory!D522)</f>
        <v/>
      </c>
      <c r="J514" s="298" t="str">
        <f>IF(B514="","",IF(Inventory!C522="N","Interior","Exterior"))</f>
        <v/>
      </c>
      <c r="K514" s="298" t="str">
        <f t="shared" si="34"/>
        <v/>
      </c>
      <c r="L514" s="298" t="str">
        <f>IF(B514="", "", Inventory!E522)</f>
        <v/>
      </c>
      <c r="M514" s="298" t="str">
        <f>IF(B514="","",IF(Cool_Type=Lookups!$L$9,Cool_Type,IF(Cool_Type=Lookups!$L$10,Cool_Type,IF(Cool_Type=Lookups!$L$11,Cool_Type,IF(Cool_Type=Lookups!L524,Cool_Type,IF('Project Info and Summary'!$C$20="Electric",CONCATENATE(Cool_Type," ",Heating_Type," Heat"),IF('Project Info and Summary'!$C$20="Non-Electric",CONCATENATE(Cool_Type," ",Heating_Type," Heat"),CONCATENATE(Cool_Type," ",Heating_Type))))))))</f>
        <v/>
      </c>
      <c r="N514" s="298" t="str">
        <f t="shared" si="35"/>
        <v/>
      </c>
      <c r="O514" s="298" t="str">
        <f>IF(B514="", "", 'Lighting Inventory (Ref only)'!G525)</f>
        <v/>
      </c>
      <c r="P514" s="298" t="str">
        <f>IF(B514="", "", 'Lighting Inventory (Ref only)'!E525)</f>
        <v/>
      </c>
      <c r="Q514" s="298" t="str">
        <f>IF(B514="", "", 'Lighting Inventory (Ref only)'!J525)</f>
        <v/>
      </c>
      <c r="R514" s="298" t="str">
        <f>IF(B514="", "",'Lighting Inventory (Ref only)'!K525)</f>
        <v/>
      </c>
      <c r="S514" s="372" t="str">
        <f>IF(B514="", "", 'Lighting Inventory (Ref only)'!G525*'Lighting Inventory (Ref only)'!K525/1000)</f>
        <v/>
      </c>
      <c r="T514" s="298" t="str">
        <f>IF(B514="", "", IF('Lighting Inventory (Ref only)'!I525="", "Light Switch",Inventory!H522))</f>
        <v/>
      </c>
      <c r="X514" s="298" t="str">
        <f>IF(B514="", "", 'Lighting Inventory (Ref only)'!Q525)</f>
        <v/>
      </c>
      <c r="AA514" s="298" t="str">
        <f>IF(B514="", "",'Lighting Inventory (Ref only)'!R525/1000)</f>
        <v/>
      </c>
      <c r="AB514" s="298" t="str">
        <f>IF(B514="", "", Inventory!M522)</f>
        <v/>
      </c>
      <c r="AC514" s="298" t="str">
        <f>IF(B514="", "", 'Lighting Inventory (Ref only)'!T525)</f>
        <v/>
      </c>
      <c r="AD514" s="298" t="str">
        <f>IF(C514="", "", 'Lighting Inventory (Ref only)'!AA525)</f>
        <v/>
      </c>
      <c r="AE514" s="298" t="str">
        <f>IF(B514="", "", 'Lighting Inventory (Ref only)'!U525)</f>
        <v/>
      </c>
      <c r="AF514" s="298" t="str">
        <f>IF(B514="", "",'Lighting Inventory (Ref only)'!W525)</f>
        <v/>
      </c>
      <c r="AH514" s="298" t="str">
        <f>IF(B514="", "",'Lighting Inventory (Ref only)'!Z525)</f>
        <v/>
      </c>
      <c r="AI514" s="298" t="str">
        <f>IF(B514="", "", 'Lighting Inventory (Ref only)'!Y525)</f>
        <v/>
      </c>
      <c r="AJ514" s="298" t="str">
        <f>IF(C514="", "",'Lighting Inventory (Ref only)'!AB525)</f>
        <v/>
      </c>
      <c r="AK514" s="375" t="str">
        <f>IF(B514="", "", 'Lighting Inventory (Ref only)'!AG525)</f>
        <v/>
      </c>
      <c r="AL514" s="375" t="str">
        <f>IF(B514="", "", 'Lighting Inventory (Ref only)'!AD525)</f>
        <v/>
      </c>
      <c r="AM514" s="375" t="str">
        <f>IF(B514="", "", 'Lighting Inventory (Ref only)'!AE525)</f>
        <v/>
      </c>
      <c r="AN514" s="375" t="str">
        <f>IF(B514="", "", 'Lighting Inventory (Ref only)'!AF525)</f>
        <v/>
      </c>
      <c r="AO514" s="375" t="str">
        <f>IF(B514="", "", 'Lighting Inventory (Ref only)'!AG525)</f>
        <v/>
      </c>
    </row>
    <row r="515" spans="1:41">
      <c r="A515" s="298" t="str">
        <f>IF(G515="", "", Lookups!BF517)</f>
        <v/>
      </c>
      <c r="B515" s="298" t="str">
        <f>IF('Lighting Inventory (Ref only)'!Q526="", "", 'Lighting Inventory (Ref only)'!Q526)</f>
        <v/>
      </c>
      <c r="C515" s="298" t="str">
        <f>IF(A515="", "", 'Lighting Inventory (Ref only)'!AO526)</f>
        <v/>
      </c>
      <c r="D515" s="298" t="str">
        <f>IF(B515= "","", Inventory!S523)</f>
        <v/>
      </c>
      <c r="F515" s="298" t="str">
        <f>IF(B515="", "", 'Version Log'!$B$34)</f>
        <v/>
      </c>
      <c r="G515" s="298" t="str">
        <f t="shared" si="32"/>
        <v/>
      </c>
      <c r="H515" s="298" t="str">
        <f t="shared" si="33"/>
        <v/>
      </c>
      <c r="I515" s="298" t="str">
        <f>IF(B515="", "",Inventory!D523)</f>
        <v/>
      </c>
      <c r="J515" s="298" t="str">
        <f>IF(B515="","",IF(Inventory!C523="N","Interior","Exterior"))</f>
        <v/>
      </c>
      <c r="K515" s="298" t="str">
        <f t="shared" si="34"/>
        <v/>
      </c>
      <c r="L515" s="298" t="str">
        <f>IF(B515="", "", Inventory!E523)</f>
        <v/>
      </c>
      <c r="M515" s="298" t="str">
        <f>IF(B515="","",IF(Cool_Type=Lookups!$L$9,Cool_Type,IF(Cool_Type=Lookups!$L$10,Cool_Type,IF(Cool_Type=Lookups!$L$11,Cool_Type,IF(Cool_Type=Lookups!L525,Cool_Type,IF('Project Info and Summary'!$C$20="Electric",CONCATENATE(Cool_Type," ",Heating_Type," Heat"),IF('Project Info and Summary'!$C$20="Non-Electric",CONCATENATE(Cool_Type," ",Heating_Type," Heat"),CONCATENATE(Cool_Type," ",Heating_Type))))))))</f>
        <v/>
      </c>
      <c r="N515" s="298" t="str">
        <f t="shared" si="35"/>
        <v/>
      </c>
      <c r="O515" s="298" t="str">
        <f>IF(B515="", "", 'Lighting Inventory (Ref only)'!G526)</f>
        <v/>
      </c>
      <c r="P515" s="298" t="str">
        <f>IF(B515="", "", 'Lighting Inventory (Ref only)'!E526)</f>
        <v/>
      </c>
      <c r="Q515" s="298" t="str">
        <f>IF(B515="", "", 'Lighting Inventory (Ref only)'!J526)</f>
        <v/>
      </c>
      <c r="R515" s="298" t="str">
        <f>IF(B515="", "",'Lighting Inventory (Ref only)'!K526)</f>
        <v/>
      </c>
      <c r="S515" s="372" t="str">
        <f>IF(B515="", "", 'Lighting Inventory (Ref only)'!G526*'Lighting Inventory (Ref only)'!K526/1000)</f>
        <v/>
      </c>
      <c r="T515" s="298" t="str">
        <f>IF(B515="", "", IF('Lighting Inventory (Ref only)'!I526="", "Light Switch",Inventory!H523))</f>
        <v/>
      </c>
      <c r="X515" s="298" t="str">
        <f>IF(B515="", "", 'Lighting Inventory (Ref only)'!Q526)</f>
        <v/>
      </c>
      <c r="AA515" s="298" t="str">
        <f>IF(B515="", "",'Lighting Inventory (Ref only)'!R526/1000)</f>
        <v/>
      </c>
      <c r="AB515" s="298" t="str">
        <f>IF(B515="", "", Inventory!M523)</f>
        <v/>
      </c>
      <c r="AC515" s="298" t="str">
        <f>IF(B515="", "", 'Lighting Inventory (Ref only)'!T526)</f>
        <v/>
      </c>
      <c r="AD515" s="298" t="str">
        <f>IF(C515="", "", 'Lighting Inventory (Ref only)'!AA526)</f>
        <v/>
      </c>
      <c r="AE515" s="298" t="str">
        <f>IF(B515="", "", 'Lighting Inventory (Ref only)'!U526)</f>
        <v/>
      </c>
      <c r="AF515" s="298" t="str">
        <f>IF(B515="", "",'Lighting Inventory (Ref only)'!W526)</f>
        <v/>
      </c>
      <c r="AH515" s="298" t="str">
        <f>IF(B515="", "",'Lighting Inventory (Ref only)'!Z526)</f>
        <v/>
      </c>
      <c r="AI515" s="298" t="str">
        <f>IF(B515="", "", 'Lighting Inventory (Ref only)'!Y526)</f>
        <v/>
      </c>
      <c r="AJ515" s="298" t="str">
        <f>IF(C515="", "",'Lighting Inventory (Ref only)'!AB526)</f>
        <v/>
      </c>
      <c r="AK515" s="375" t="str">
        <f>IF(B515="", "", 'Lighting Inventory (Ref only)'!AG526)</f>
        <v/>
      </c>
      <c r="AL515" s="375" t="str">
        <f>IF(B515="", "", 'Lighting Inventory (Ref only)'!AD526)</f>
        <v/>
      </c>
      <c r="AM515" s="375" t="str">
        <f>IF(B515="", "", 'Lighting Inventory (Ref only)'!AE526)</f>
        <v/>
      </c>
      <c r="AN515" s="375" t="str">
        <f>IF(B515="", "", 'Lighting Inventory (Ref only)'!AF526)</f>
        <v/>
      </c>
      <c r="AO515" s="375" t="str">
        <f>IF(B515="", "", 'Lighting Inventory (Ref only)'!AG526)</f>
        <v/>
      </c>
    </row>
    <row r="516" spans="1:41">
      <c r="A516" s="298" t="str">
        <f>IF(G516="", "", Lookups!BF518)</f>
        <v/>
      </c>
      <c r="B516" s="298" t="str">
        <f>IF('Lighting Inventory (Ref only)'!Q527="", "", 'Lighting Inventory (Ref only)'!Q527)</f>
        <v/>
      </c>
      <c r="C516" s="298" t="str">
        <f>IF(A516="", "", 'Lighting Inventory (Ref only)'!AO527)</f>
        <v/>
      </c>
      <c r="D516" s="298" t="str">
        <f>IF(B516= "","", Inventory!S524)</f>
        <v/>
      </c>
      <c r="F516" s="298" t="str">
        <f>IF(B516="", "", 'Version Log'!$B$34)</f>
        <v/>
      </c>
      <c r="G516" s="298" t="str">
        <f t="shared" si="32"/>
        <v/>
      </c>
      <c r="H516" s="298" t="str">
        <f t="shared" si="33"/>
        <v/>
      </c>
      <c r="I516" s="298" t="str">
        <f>IF(B516="", "",Inventory!D524)</f>
        <v/>
      </c>
      <c r="J516" s="298" t="str">
        <f>IF(B516="","",IF(Inventory!C524="N","Interior","Exterior"))</f>
        <v/>
      </c>
      <c r="K516" s="298" t="str">
        <f t="shared" si="34"/>
        <v/>
      </c>
      <c r="L516" s="298" t="str">
        <f>IF(B516="", "", Inventory!E524)</f>
        <v/>
      </c>
      <c r="M516" s="298" t="str">
        <f>IF(B516="","",IF(Cool_Type=Lookups!$L$9,Cool_Type,IF(Cool_Type=Lookups!$L$10,Cool_Type,IF(Cool_Type=Lookups!$L$11,Cool_Type,IF(Cool_Type=Lookups!L526,Cool_Type,IF('Project Info and Summary'!$C$20="Electric",CONCATENATE(Cool_Type," ",Heating_Type," Heat"),IF('Project Info and Summary'!$C$20="Non-Electric",CONCATENATE(Cool_Type," ",Heating_Type," Heat"),CONCATENATE(Cool_Type," ",Heating_Type))))))))</f>
        <v/>
      </c>
      <c r="N516" s="298" t="str">
        <f t="shared" si="35"/>
        <v/>
      </c>
      <c r="O516" s="298" t="str">
        <f>IF(B516="", "", 'Lighting Inventory (Ref only)'!G527)</f>
        <v/>
      </c>
      <c r="P516" s="298" t="str">
        <f>IF(B516="", "", 'Lighting Inventory (Ref only)'!E527)</f>
        <v/>
      </c>
      <c r="Q516" s="298" t="str">
        <f>IF(B516="", "", 'Lighting Inventory (Ref only)'!J527)</f>
        <v/>
      </c>
      <c r="R516" s="298" t="str">
        <f>IF(B516="", "",'Lighting Inventory (Ref only)'!K527)</f>
        <v/>
      </c>
      <c r="S516" s="372" t="str">
        <f>IF(B516="", "", 'Lighting Inventory (Ref only)'!G527*'Lighting Inventory (Ref only)'!K527/1000)</f>
        <v/>
      </c>
      <c r="T516" s="298" t="str">
        <f>IF(B516="", "", IF('Lighting Inventory (Ref only)'!I527="", "Light Switch",Inventory!H524))</f>
        <v/>
      </c>
      <c r="X516" s="298" t="str">
        <f>IF(B516="", "", 'Lighting Inventory (Ref only)'!Q527)</f>
        <v/>
      </c>
      <c r="AA516" s="298" t="str">
        <f>IF(B516="", "",'Lighting Inventory (Ref only)'!R527/1000)</f>
        <v/>
      </c>
      <c r="AB516" s="298" t="str">
        <f>IF(B516="", "", Inventory!M524)</f>
        <v/>
      </c>
      <c r="AC516" s="298" t="str">
        <f>IF(B516="", "", 'Lighting Inventory (Ref only)'!T527)</f>
        <v/>
      </c>
      <c r="AD516" s="298" t="str">
        <f>IF(C516="", "", 'Lighting Inventory (Ref only)'!AA527)</f>
        <v/>
      </c>
      <c r="AE516" s="298" t="str">
        <f>IF(B516="", "", 'Lighting Inventory (Ref only)'!U527)</f>
        <v/>
      </c>
      <c r="AF516" s="298" t="str">
        <f>IF(B516="", "",'Lighting Inventory (Ref only)'!W527)</f>
        <v/>
      </c>
      <c r="AH516" s="298" t="str">
        <f>IF(B516="", "",'Lighting Inventory (Ref only)'!Z527)</f>
        <v/>
      </c>
      <c r="AI516" s="298" t="str">
        <f>IF(B516="", "", 'Lighting Inventory (Ref only)'!Y527)</f>
        <v/>
      </c>
      <c r="AJ516" s="298" t="str">
        <f>IF(C516="", "",'Lighting Inventory (Ref only)'!AB527)</f>
        <v/>
      </c>
      <c r="AK516" s="375" t="str">
        <f>IF(B516="", "", 'Lighting Inventory (Ref only)'!AG527)</f>
        <v/>
      </c>
      <c r="AL516" s="375" t="str">
        <f>IF(B516="", "", 'Lighting Inventory (Ref only)'!AD527)</f>
        <v/>
      </c>
      <c r="AM516" s="375" t="str">
        <f>IF(B516="", "", 'Lighting Inventory (Ref only)'!AE527)</f>
        <v/>
      </c>
      <c r="AN516" s="375" t="str">
        <f>IF(B516="", "", 'Lighting Inventory (Ref only)'!AF527)</f>
        <v/>
      </c>
      <c r="AO516" s="375" t="str">
        <f>IF(B516="", "", 'Lighting Inventory (Ref only)'!AG527)</f>
        <v/>
      </c>
    </row>
    <row r="517" spans="1:41">
      <c r="A517" s="298" t="str">
        <f>IF(G517="", "", Lookups!BF519)</f>
        <v/>
      </c>
      <c r="B517" s="298" t="str">
        <f>IF('Lighting Inventory (Ref only)'!Q528="", "", 'Lighting Inventory (Ref only)'!Q528)</f>
        <v/>
      </c>
      <c r="C517" s="298" t="str">
        <f>IF(A517="", "", 'Lighting Inventory (Ref only)'!AO528)</f>
        <v/>
      </c>
      <c r="D517" s="298" t="str">
        <f>IF(B517= "","", Inventory!S525)</f>
        <v/>
      </c>
      <c r="F517" s="298" t="str">
        <f>IF(B517="", "", 'Version Log'!$B$34)</f>
        <v/>
      </c>
      <c r="G517" s="298" t="str">
        <f t="shared" si="32"/>
        <v/>
      </c>
      <c r="H517" s="298" t="str">
        <f t="shared" si="33"/>
        <v/>
      </c>
      <c r="I517" s="298" t="str">
        <f>IF(B517="", "",Inventory!D525)</f>
        <v/>
      </c>
      <c r="J517" s="298" t="str">
        <f>IF(B517="","",IF(Inventory!C525="N","Interior","Exterior"))</f>
        <v/>
      </c>
      <c r="K517" s="298" t="str">
        <f t="shared" si="34"/>
        <v/>
      </c>
      <c r="L517" s="298" t="str">
        <f>IF(B517="", "", Inventory!E525)</f>
        <v/>
      </c>
      <c r="M517" s="298" t="str">
        <f>IF(B517="","",IF(Cool_Type=Lookups!$L$9,Cool_Type,IF(Cool_Type=Lookups!$L$10,Cool_Type,IF(Cool_Type=Lookups!$L$11,Cool_Type,IF(Cool_Type=Lookups!L527,Cool_Type,IF('Project Info and Summary'!$C$20="Electric",CONCATENATE(Cool_Type," ",Heating_Type," Heat"),IF('Project Info and Summary'!$C$20="Non-Electric",CONCATENATE(Cool_Type," ",Heating_Type," Heat"),CONCATENATE(Cool_Type," ",Heating_Type))))))))</f>
        <v/>
      </c>
      <c r="N517" s="298" t="str">
        <f t="shared" si="35"/>
        <v/>
      </c>
      <c r="O517" s="298" t="str">
        <f>IF(B517="", "", 'Lighting Inventory (Ref only)'!G528)</f>
        <v/>
      </c>
      <c r="P517" s="298" t="str">
        <f>IF(B517="", "", 'Lighting Inventory (Ref only)'!E528)</f>
        <v/>
      </c>
      <c r="Q517" s="298" t="str">
        <f>IF(B517="", "", 'Lighting Inventory (Ref only)'!J528)</f>
        <v/>
      </c>
      <c r="R517" s="298" t="str">
        <f>IF(B517="", "",'Lighting Inventory (Ref only)'!K528)</f>
        <v/>
      </c>
      <c r="S517" s="372" t="str">
        <f>IF(B517="", "", 'Lighting Inventory (Ref only)'!G528*'Lighting Inventory (Ref only)'!K528/1000)</f>
        <v/>
      </c>
      <c r="T517" s="298" t="str">
        <f>IF(B517="", "", IF('Lighting Inventory (Ref only)'!I528="", "Light Switch",Inventory!H525))</f>
        <v/>
      </c>
      <c r="X517" s="298" t="str">
        <f>IF(B517="", "", 'Lighting Inventory (Ref only)'!Q528)</f>
        <v/>
      </c>
      <c r="AA517" s="298" t="str">
        <f>IF(B517="", "",'Lighting Inventory (Ref only)'!R528/1000)</f>
        <v/>
      </c>
      <c r="AB517" s="298" t="str">
        <f>IF(B517="", "", Inventory!M525)</f>
        <v/>
      </c>
      <c r="AC517" s="298" t="str">
        <f>IF(B517="", "", 'Lighting Inventory (Ref only)'!T528)</f>
        <v/>
      </c>
      <c r="AD517" s="298" t="str">
        <f>IF(C517="", "", 'Lighting Inventory (Ref only)'!AA528)</f>
        <v/>
      </c>
      <c r="AE517" s="298" t="str">
        <f>IF(B517="", "", 'Lighting Inventory (Ref only)'!U528)</f>
        <v/>
      </c>
      <c r="AF517" s="298" t="str">
        <f>IF(B517="", "",'Lighting Inventory (Ref only)'!W528)</f>
        <v/>
      </c>
      <c r="AH517" s="298" t="str">
        <f>IF(B517="", "",'Lighting Inventory (Ref only)'!Z528)</f>
        <v/>
      </c>
      <c r="AI517" s="298" t="str">
        <f>IF(B517="", "", 'Lighting Inventory (Ref only)'!Y528)</f>
        <v/>
      </c>
      <c r="AJ517" s="298" t="str">
        <f>IF(C517="", "",'Lighting Inventory (Ref only)'!AB528)</f>
        <v/>
      </c>
      <c r="AK517" s="375" t="str">
        <f>IF(B517="", "", 'Lighting Inventory (Ref only)'!AG528)</f>
        <v/>
      </c>
      <c r="AL517" s="375" t="str">
        <f>IF(B517="", "", 'Lighting Inventory (Ref only)'!AD528)</f>
        <v/>
      </c>
      <c r="AM517" s="375" t="str">
        <f>IF(B517="", "", 'Lighting Inventory (Ref only)'!AE528)</f>
        <v/>
      </c>
      <c r="AN517" s="375" t="str">
        <f>IF(B517="", "", 'Lighting Inventory (Ref only)'!AF528)</f>
        <v/>
      </c>
      <c r="AO517" s="375" t="str">
        <f>IF(B517="", "", 'Lighting Inventory (Ref only)'!AG528)</f>
        <v/>
      </c>
    </row>
    <row r="518" spans="1:41">
      <c r="A518" s="298" t="str">
        <f>IF(G518="", "", Lookups!BF520)</f>
        <v/>
      </c>
      <c r="B518" s="298" t="str">
        <f>IF('Lighting Inventory (Ref only)'!Q529="", "", 'Lighting Inventory (Ref only)'!Q529)</f>
        <v/>
      </c>
      <c r="C518" s="298" t="str">
        <f>IF(A518="", "", 'Lighting Inventory (Ref only)'!AO529)</f>
        <v/>
      </c>
      <c r="D518" s="298" t="str">
        <f>IF(B518= "","", Inventory!S526)</f>
        <v/>
      </c>
      <c r="F518" s="298" t="str">
        <f>IF(B518="", "", 'Version Log'!$B$34)</f>
        <v/>
      </c>
      <c r="G518" s="298" t="str">
        <f t="shared" si="32"/>
        <v/>
      </c>
      <c r="H518" s="298" t="str">
        <f t="shared" si="33"/>
        <v/>
      </c>
      <c r="I518" s="298" t="str">
        <f>IF(B518="", "",Inventory!D526)</f>
        <v/>
      </c>
      <c r="J518" s="298" t="str">
        <f>IF(B518="","",IF(Inventory!C526="N","Interior","Exterior"))</f>
        <v/>
      </c>
      <c r="K518" s="298" t="str">
        <f t="shared" si="34"/>
        <v/>
      </c>
      <c r="L518" s="298" t="str">
        <f>IF(B518="", "", Inventory!E526)</f>
        <v/>
      </c>
      <c r="M518" s="298" t="str">
        <f>IF(B518="","",IF(Cool_Type=Lookups!$L$9,Cool_Type,IF(Cool_Type=Lookups!$L$10,Cool_Type,IF(Cool_Type=Lookups!$L$11,Cool_Type,IF(Cool_Type=Lookups!L528,Cool_Type,IF('Project Info and Summary'!$C$20="Electric",CONCATENATE(Cool_Type," ",Heating_Type," Heat"),IF('Project Info and Summary'!$C$20="Non-Electric",CONCATENATE(Cool_Type," ",Heating_Type," Heat"),CONCATENATE(Cool_Type," ",Heating_Type))))))))</f>
        <v/>
      </c>
      <c r="N518" s="298" t="str">
        <f t="shared" si="35"/>
        <v/>
      </c>
      <c r="O518" s="298" t="str">
        <f>IF(B518="", "", 'Lighting Inventory (Ref only)'!G529)</f>
        <v/>
      </c>
      <c r="P518" s="298" t="str">
        <f>IF(B518="", "", 'Lighting Inventory (Ref only)'!E529)</f>
        <v/>
      </c>
      <c r="Q518" s="298" t="str">
        <f>IF(B518="", "", 'Lighting Inventory (Ref only)'!J529)</f>
        <v/>
      </c>
      <c r="R518" s="298" t="str">
        <f>IF(B518="", "",'Lighting Inventory (Ref only)'!K529)</f>
        <v/>
      </c>
      <c r="S518" s="372" t="str">
        <f>IF(B518="", "", 'Lighting Inventory (Ref only)'!G529*'Lighting Inventory (Ref only)'!K529/1000)</f>
        <v/>
      </c>
      <c r="T518" s="298" t="str">
        <f>IF(B518="", "", IF('Lighting Inventory (Ref only)'!I529="", "Light Switch",Inventory!H526))</f>
        <v/>
      </c>
      <c r="X518" s="298" t="str">
        <f>IF(B518="", "", 'Lighting Inventory (Ref only)'!Q529)</f>
        <v/>
      </c>
      <c r="AA518" s="298" t="str">
        <f>IF(B518="", "",'Lighting Inventory (Ref only)'!R529/1000)</f>
        <v/>
      </c>
      <c r="AB518" s="298" t="str">
        <f>IF(B518="", "", Inventory!M526)</f>
        <v/>
      </c>
      <c r="AC518" s="298" t="str">
        <f>IF(B518="", "", 'Lighting Inventory (Ref only)'!T529)</f>
        <v/>
      </c>
      <c r="AD518" s="298" t="str">
        <f>IF(C518="", "", 'Lighting Inventory (Ref only)'!AA529)</f>
        <v/>
      </c>
      <c r="AE518" s="298" t="str">
        <f>IF(B518="", "", 'Lighting Inventory (Ref only)'!U529)</f>
        <v/>
      </c>
      <c r="AF518" s="298" t="str">
        <f>IF(B518="", "",'Lighting Inventory (Ref only)'!W529)</f>
        <v/>
      </c>
      <c r="AH518" s="298" t="str">
        <f>IF(B518="", "",'Lighting Inventory (Ref only)'!Z529)</f>
        <v/>
      </c>
      <c r="AI518" s="298" t="str">
        <f>IF(B518="", "", 'Lighting Inventory (Ref only)'!Y529)</f>
        <v/>
      </c>
      <c r="AJ518" s="298" t="str">
        <f>IF(C518="", "",'Lighting Inventory (Ref only)'!AB529)</f>
        <v/>
      </c>
      <c r="AK518" s="375" t="str">
        <f>IF(B518="", "", 'Lighting Inventory (Ref only)'!AG529)</f>
        <v/>
      </c>
      <c r="AL518" s="375" t="str">
        <f>IF(B518="", "", 'Lighting Inventory (Ref only)'!AD529)</f>
        <v/>
      </c>
      <c r="AM518" s="375" t="str">
        <f>IF(B518="", "", 'Lighting Inventory (Ref only)'!AE529)</f>
        <v/>
      </c>
      <c r="AN518" s="375" t="str">
        <f>IF(B518="", "", 'Lighting Inventory (Ref only)'!AF529)</f>
        <v/>
      </c>
      <c r="AO518" s="375" t="str">
        <f>IF(B518="", "", 'Lighting Inventory (Ref only)'!AG529)</f>
        <v/>
      </c>
    </row>
    <row r="519" spans="1:41">
      <c r="A519" s="298" t="str">
        <f>IF(G519="", "", Lookups!BF521)</f>
        <v/>
      </c>
      <c r="B519" s="298" t="str">
        <f>IF('Lighting Inventory (Ref only)'!Q530="", "", 'Lighting Inventory (Ref only)'!Q530)</f>
        <v/>
      </c>
      <c r="C519" s="298" t="str">
        <f>IF(A519="", "", 'Lighting Inventory (Ref only)'!AO530)</f>
        <v/>
      </c>
      <c r="D519" s="298" t="str">
        <f>IF(B519= "","", Inventory!S527)</f>
        <v/>
      </c>
      <c r="F519" s="298" t="str">
        <f>IF(B519="", "", 'Version Log'!$B$34)</f>
        <v/>
      </c>
      <c r="G519" s="298" t="str">
        <f t="shared" si="32"/>
        <v/>
      </c>
      <c r="H519" s="298" t="str">
        <f t="shared" si="33"/>
        <v/>
      </c>
      <c r="I519" s="298" t="str">
        <f>IF(B519="", "",Inventory!D527)</f>
        <v/>
      </c>
      <c r="J519" s="298" t="str">
        <f>IF(B519="","",IF(Inventory!C527="N","Interior","Exterior"))</f>
        <v/>
      </c>
      <c r="K519" s="298" t="str">
        <f t="shared" si="34"/>
        <v/>
      </c>
      <c r="L519" s="298" t="str">
        <f>IF(B519="", "", Inventory!E527)</f>
        <v/>
      </c>
      <c r="M519" s="298" t="str">
        <f>IF(B519="","",IF(Cool_Type=Lookups!$L$9,Cool_Type,IF(Cool_Type=Lookups!$L$10,Cool_Type,IF(Cool_Type=Lookups!$L$11,Cool_Type,IF(Cool_Type=Lookups!L529,Cool_Type,IF('Project Info and Summary'!$C$20="Electric",CONCATENATE(Cool_Type," ",Heating_Type," Heat"),IF('Project Info and Summary'!$C$20="Non-Electric",CONCATENATE(Cool_Type," ",Heating_Type," Heat"),CONCATENATE(Cool_Type," ",Heating_Type))))))))</f>
        <v/>
      </c>
      <c r="N519" s="298" t="str">
        <f t="shared" si="35"/>
        <v/>
      </c>
      <c r="O519" s="298" t="str">
        <f>IF(B519="", "", 'Lighting Inventory (Ref only)'!G530)</f>
        <v/>
      </c>
      <c r="P519" s="298" t="str">
        <f>IF(B519="", "", 'Lighting Inventory (Ref only)'!E530)</f>
        <v/>
      </c>
      <c r="Q519" s="298" t="str">
        <f>IF(B519="", "", 'Lighting Inventory (Ref only)'!J530)</f>
        <v/>
      </c>
      <c r="R519" s="298" t="str">
        <f>IF(B519="", "",'Lighting Inventory (Ref only)'!K530)</f>
        <v/>
      </c>
      <c r="S519" s="372" t="str">
        <f>IF(B519="", "", 'Lighting Inventory (Ref only)'!G530*'Lighting Inventory (Ref only)'!K530/1000)</f>
        <v/>
      </c>
      <c r="T519" s="298" t="str">
        <f>IF(B519="", "", IF('Lighting Inventory (Ref only)'!I530="", "Light Switch",Inventory!H527))</f>
        <v/>
      </c>
      <c r="X519" s="298" t="str">
        <f>IF(B519="", "", 'Lighting Inventory (Ref only)'!Q530)</f>
        <v/>
      </c>
      <c r="AA519" s="298" t="str">
        <f>IF(B519="", "",'Lighting Inventory (Ref only)'!R530/1000)</f>
        <v/>
      </c>
      <c r="AB519" s="298" t="str">
        <f>IF(B519="", "", Inventory!M527)</f>
        <v/>
      </c>
      <c r="AC519" s="298" t="str">
        <f>IF(B519="", "", 'Lighting Inventory (Ref only)'!T530)</f>
        <v/>
      </c>
      <c r="AD519" s="298" t="str">
        <f>IF(C519="", "", 'Lighting Inventory (Ref only)'!AA530)</f>
        <v/>
      </c>
      <c r="AE519" s="298" t="str">
        <f>IF(B519="", "", 'Lighting Inventory (Ref only)'!U530)</f>
        <v/>
      </c>
      <c r="AF519" s="298" t="str">
        <f>IF(B519="", "",'Lighting Inventory (Ref only)'!W530)</f>
        <v/>
      </c>
      <c r="AH519" s="298" t="str">
        <f>IF(B519="", "",'Lighting Inventory (Ref only)'!Z530)</f>
        <v/>
      </c>
      <c r="AI519" s="298" t="str">
        <f>IF(B519="", "", 'Lighting Inventory (Ref only)'!Y530)</f>
        <v/>
      </c>
      <c r="AJ519" s="298" t="str">
        <f>IF(C519="", "",'Lighting Inventory (Ref only)'!AB530)</f>
        <v/>
      </c>
      <c r="AK519" s="375" t="str">
        <f>IF(B519="", "", 'Lighting Inventory (Ref only)'!AG530)</f>
        <v/>
      </c>
      <c r="AL519" s="375" t="str">
        <f>IF(B519="", "", 'Lighting Inventory (Ref only)'!AD530)</f>
        <v/>
      </c>
      <c r="AM519" s="375" t="str">
        <f>IF(B519="", "", 'Lighting Inventory (Ref only)'!AE530)</f>
        <v/>
      </c>
      <c r="AN519" s="375" t="str">
        <f>IF(B519="", "", 'Lighting Inventory (Ref only)'!AF530)</f>
        <v/>
      </c>
      <c r="AO519" s="375" t="str">
        <f>IF(B519="", "", 'Lighting Inventory (Ref only)'!AG530)</f>
        <v/>
      </c>
    </row>
    <row r="520" spans="1:41">
      <c r="A520" s="298" t="str">
        <f>IF(G520="", "", Lookups!BF522)</f>
        <v/>
      </c>
      <c r="B520" s="298" t="str">
        <f>IF('Lighting Inventory (Ref only)'!Q531="", "", 'Lighting Inventory (Ref only)'!Q531)</f>
        <v/>
      </c>
      <c r="C520" s="298" t="str">
        <f>IF(A520="", "", 'Lighting Inventory (Ref only)'!AO531)</f>
        <v/>
      </c>
      <c r="D520" s="298" t="str">
        <f>IF(B520= "","", Inventory!S528)</f>
        <v/>
      </c>
      <c r="F520" s="298" t="str">
        <f>IF(B520="", "", 'Version Log'!$B$34)</f>
        <v/>
      </c>
      <c r="G520" s="298" t="str">
        <f t="shared" si="32"/>
        <v/>
      </c>
      <c r="H520" s="298" t="str">
        <f t="shared" si="33"/>
        <v/>
      </c>
      <c r="I520" s="298" t="str">
        <f>IF(B520="", "",Inventory!D528)</f>
        <v/>
      </c>
      <c r="J520" s="298" t="str">
        <f>IF(B520="","",IF(Inventory!C528="N","Interior","Exterior"))</f>
        <v/>
      </c>
      <c r="K520" s="298" t="str">
        <f t="shared" si="34"/>
        <v/>
      </c>
      <c r="L520" s="298" t="str">
        <f>IF(B520="", "", Inventory!E528)</f>
        <v/>
      </c>
      <c r="M520" s="298" t="str">
        <f>IF(B520="","",IF(Cool_Type=Lookups!$L$9,Cool_Type,IF(Cool_Type=Lookups!$L$10,Cool_Type,IF(Cool_Type=Lookups!$L$11,Cool_Type,IF(Cool_Type=Lookups!L530,Cool_Type,IF('Project Info and Summary'!$C$20="Electric",CONCATENATE(Cool_Type," ",Heating_Type," Heat"),IF('Project Info and Summary'!$C$20="Non-Electric",CONCATENATE(Cool_Type," ",Heating_Type," Heat"),CONCATENATE(Cool_Type," ",Heating_Type))))))))</f>
        <v/>
      </c>
      <c r="N520" s="298" t="str">
        <f t="shared" si="35"/>
        <v/>
      </c>
      <c r="O520" s="298" t="str">
        <f>IF(B520="", "", 'Lighting Inventory (Ref only)'!G531)</f>
        <v/>
      </c>
      <c r="P520" s="298" t="str">
        <f>IF(B520="", "", 'Lighting Inventory (Ref only)'!E531)</f>
        <v/>
      </c>
      <c r="Q520" s="298" t="str">
        <f>IF(B520="", "", 'Lighting Inventory (Ref only)'!J531)</f>
        <v/>
      </c>
      <c r="R520" s="298" t="str">
        <f>IF(B520="", "",'Lighting Inventory (Ref only)'!K531)</f>
        <v/>
      </c>
      <c r="S520" s="372" t="str">
        <f>IF(B520="", "", 'Lighting Inventory (Ref only)'!G531*'Lighting Inventory (Ref only)'!K531/1000)</f>
        <v/>
      </c>
      <c r="T520" s="298" t="str">
        <f>IF(B520="", "", IF('Lighting Inventory (Ref only)'!I531="", "Light Switch",Inventory!H528))</f>
        <v/>
      </c>
      <c r="X520" s="298" t="str">
        <f>IF(B520="", "", 'Lighting Inventory (Ref only)'!Q531)</f>
        <v/>
      </c>
      <c r="AA520" s="298" t="str">
        <f>IF(B520="", "",'Lighting Inventory (Ref only)'!R531/1000)</f>
        <v/>
      </c>
      <c r="AB520" s="298" t="str">
        <f>IF(B520="", "", Inventory!M528)</f>
        <v/>
      </c>
      <c r="AC520" s="298" t="str">
        <f>IF(B520="", "", 'Lighting Inventory (Ref only)'!T531)</f>
        <v/>
      </c>
      <c r="AD520" s="298" t="str">
        <f>IF(C520="", "", 'Lighting Inventory (Ref only)'!AA531)</f>
        <v/>
      </c>
      <c r="AE520" s="298" t="str">
        <f>IF(B520="", "", 'Lighting Inventory (Ref only)'!U531)</f>
        <v/>
      </c>
      <c r="AF520" s="298" t="str">
        <f>IF(B520="", "",'Lighting Inventory (Ref only)'!W531)</f>
        <v/>
      </c>
      <c r="AH520" s="298" t="str">
        <f>IF(B520="", "",'Lighting Inventory (Ref only)'!Z531)</f>
        <v/>
      </c>
      <c r="AI520" s="298" t="str">
        <f>IF(B520="", "", 'Lighting Inventory (Ref only)'!Y531)</f>
        <v/>
      </c>
      <c r="AJ520" s="298" t="str">
        <f>IF(C520="", "",'Lighting Inventory (Ref only)'!AB531)</f>
        <v/>
      </c>
      <c r="AK520" s="375" t="str">
        <f>IF(B520="", "", 'Lighting Inventory (Ref only)'!AG531)</f>
        <v/>
      </c>
      <c r="AL520" s="375" t="str">
        <f>IF(B520="", "", 'Lighting Inventory (Ref only)'!AD531)</f>
        <v/>
      </c>
      <c r="AM520" s="375" t="str">
        <f>IF(B520="", "", 'Lighting Inventory (Ref only)'!AE531)</f>
        <v/>
      </c>
      <c r="AN520" s="375" t="str">
        <f>IF(B520="", "", 'Lighting Inventory (Ref only)'!AF531)</f>
        <v/>
      </c>
      <c r="AO520" s="375" t="str">
        <f>IF(B520="", "", 'Lighting Inventory (Ref only)'!AG531)</f>
        <v/>
      </c>
    </row>
    <row r="521" spans="1:41">
      <c r="A521" s="298" t="str">
        <f>IF(G521="", "", Lookups!BF523)</f>
        <v/>
      </c>
      <c r="B521" s="298" t="str">
        <f>IF('Lighting Inventory (Ref only)'!Q532="", "", 'Lighting Inventory (Ref only)'!Q532)</f>
        <v/>
      </c>
      <c r="C521" s="298" t="str">
        <f>IF(A521="", "", 'Lighting Inventory (Ref only)'!AO532)</f>
        <v/>
      </c>
      <c r="D521" s="298" t="str">
        <f>IF(B521= "","", Inventory!S529)</f>
        <v/>
      </c>
      <c r="F521" s="298" t="str">
        <f>IF(B521="", "", 'Version Log'!$B$34)</f>
        <v/>
      </c>
      <c r="G521" s="298" t="str">
        <f t="shared" si="32"/>
        <v/>
      </c>
      <c r="H521" s="298" t="str">
        <f t="shared" si="33"/>
        <v/>
      </c>
      <c r="I521" s="298" t="str">
        <f>IF(B521="", "",Inventory!D529)</f>
        <v/>
      </c>
      <c r="J521" s="298" t="str">
        <f>IF(B521="","",IF(Inventory!C529="N","Interior","Exterior"))</f>
        <v/>
      </c>
      <c r="K521" s="298" t="str">
        <f t="shared" si="34"/>
        <v/>
      </c>
      <c r="L521" s="298" t="str">
        <f>IF(B521="", "", Inventory!E529)</f>
        <v/>
      </c>
      <c r="M521" s="298" t="str">
        <f>IF(B521="","",IF(Cool_Type=Lookups!$L$9,Cool_Type,IF(Cool_Type=Lookups!$L$10,Cool_Type,IF(Cool_Type=Lookups!$L$11,Cool_Type,IF(Cool_Type=Lookups!L531,Cool_Type,IF('Project Info and Summary'!$C$20="Electric",CONCATENATE(Cool_Type," ",Heating_Type," Heat"),IF('Project Info and Summary'!$C$20="Non-Electric",CONCATENATE(Cool_Type," ",Heating_Type," Heat"),CONCATENATE(Cool_Type," ",Heating_Type))))))))</f>
        <v/>
      </c>
      <c r="N521" s="298" t="str">
        <f t="shared" si="35"/>
        <v/>
      </c>
      <c r="O521" s="298" t="str">
        <f>IF(B521="", "", 'Lighting Inventory (Ref only)'!G532)</f>
        <v/>
      </c>
      <c r="P521" s="298" t="str">
        <f>IF(B521="", "", 'Lighting Inventory (Ref only)'!E532)</f>
        <v/>
      </c>
      <c r="Q521" s="298" t="str">
        <f>IF(B521="", "", 'Lighting Inventory (Ref only)'!J532)</f>
        <v/>
      </c>
      <c r="R521" s="298" t="str">
        <f>IF(B521="", "",'Lighting Inventory (Ref only)'!K532)</f>
        <v/>
      </c>
      <c r="S521" s="372" t="str">
        <f>IF(B521="", "", 'Lighting Inventory (Ref only)'!G532*'Lighting Inventory (Ref only)'!K532/1000)</f>
        <v/>
      </c>
      <c r="T521" s="298" t="str">
        <f>IF(B521="", "", IF('Lighting Inventory (Ref only)'!I532="", "Light Switch",Inventory!H529))</f>
        <v/>
      </c>
      <c r="X521" s="298" t="str">
        <f>IF(B521="", "", 'Lighting Inventory (Ref only)'!Q532)</f>
        <v/>
      </c>
      <c r="AA521" s="298" t="str">
        <f>IF(B521="", "",'Lighting Inventory (Ref only)'!R532/1000)</f>
        <v/>
      </c>
      <c r="AB521" s="298" t="str">
        <f>IF(B521="", "", Inventory!M529)</f>
        <v/>
      </c>
      <c r="AC521" s="298" t="str">
        <f>IF(B521="", "", 'Lighting Inventory (Ref only)'!T532)</f>
        <v/>
      </c>
      <c r="AD521" s="298" t="str">
        <f>IF(C521="", "", 'Lighting Inventory (Ref only)'!AA532)</f>
        <v/>
      </c>
      <c r="AE521" s="298" t="str">
        <f>IF(B521="", "", 'Lighting Inventory (Ref only)'!U532)</f>
        <v/>
      </c>
      <c r="AF521" s="298" t="str">
        <f>IF(B521="", "",'Lighting Inventory (Ref only)'!W532)</f>
        <v/>
      </c>
      <c r="AH521" s="298" t="str">
        <f>IF(B521="", "",'Lighting Inventory (Ref only)'!Z532)</f>
        <v/>
      </c>
      <c r="AI521" s="298" t="str">
        <f>IF(B521="", "", 'Lighting Inventory (Ref only)'!Y532)</f>
        <v/>
      </c>
      <c r="AJ521" s="298" t="str">
        <f>IF(C521="", "",'Lighting Inventory (Ref only)'!AB532)</f>
        <v/>
      </c>
      <c r="AK521" s="375" t="str">
        <f>IF(B521="", "", 'Lighting Inventory (Ref only)'!AG532)</f>
        <v/>
      </c>
      <c r="AL521" s="375" t="str">
        <f>IF(B521="", "", 'Lighting Inventory (Ref only)'!AD532)</f>
        <v/>
      </c>
      <c r="AM521" s="375" t="str">
        <f>IF(B521="", "", 'Lighting Inventory (Ref only)'!AE532)</f>
        <v/>
      </c>
      <c r="AN521" s="375" t="str">
        <f>IF(B521="", "", 'Lighting Inventory (Ref only)'!AF532)</f>
        <v/>
      </c>
      <c r="AO521" s="375" t="str">
        <f>IF(B521="", "", 'Lighting Inventory (Ref only)'!AG532)</f>
        <v/>
      </c>
    </row>
    <row r="522" spans="1:41">
      <c r="A522" s="298" t="str">
        <f>IF(G522="", "", Lookups!BF524)</f>
        <v/>
      </c>
      <c r="B522" s="298" t="str">
        <f>IF('Lighting Inventory (Ref only)'!Q533="", "", 'Lighting Inventory (Ref only)'!Q533)</f>
        <v/>
      </c>
      <c r="C522" s="298" t="str">
        <f>IF(A522="", "", 'Lighting Inventory (Ref only)'!AO533)</f>
        <v/>
      </c>
      <c r="D522" s="298" t="str">
        <f>IF(B522= "","", Inventory!S530)</f>
        <v/>
      </c>
      <c r="F522" s="298" t="str">
        <f>IF(B522="", "", 'Version Log'!$B$34)</f>
        <v/>
      </c>
      <c r="G522" s="298" t="str">
        <f t="shared" si="32"/>
        <v/>
      </c>
      <c r="H522" s="298" t="str">
        <f t="shared" si="33"/>
        <v/>
      </c>
      <c r="I522" s="298" t="str">
        <f>IF(B522="", "",Inventory!D530)</f>
        <v/>
      </c>
      <c r="J522" s="298" t="str">
        <f>IF(B522="","",IF(Inventory!C530="N","Interior","Exterior"))</f>
        <v/>
      </c>
      <c r="K522" s="298" t="str">
        <f t="shared" si="34"/>
        <v/>
      </c>
      <c r="L522" s="298" t="str">
        <f>IF(B522="", "", Inventory!E530)</f>
        <v/>
      </c>
      <c r="M522" s="298" t="str">
        <f>IF(B522="","",IF(Cool_Type=Lookups!$L$9,Cool_Type,IF(Cool_Type=Lookups!$L$10,Cool_Type,IF(Cool_Type=Lookups!$L$11,Cool_Type,IF(Cool_Type=Lookups!L532,Cool_Type,IF('Project Info and Summary'!$C$20="Electric",CONCATENATE(Cool_Type," ",Heating_Type," Heat"),IF('Project Info and Summary'!$C$20="Non-Electric",CONCATENATE(Cool_Type," ",Heating_Type," Heat"),CONCATENATE(Cool_Type," ",Heating_Type))))))))</f>
        <v/>
      </c>
      <c r="N522" s="298" t="str">
        <f t="shared" si="35"/>
        <v/>
      </c>
      <c r="O522" s="298" t="str">
        <f>IF(B522="", "", 'Lighting Inventory (Ref only)'!G533)</f>
        <v/>
      </c>
      <c r="P522" s="298" t="str">
        <f>IF(B522="", "", 'Lighting Inventory (Ref only)'!E533)</f>
        <v/>
      </c>
      <c r="Q522" s="298" t="str">
        <f>IF(B522="", "", 'Lighting Inventory (Ref only)'!J533)</f>
        <v/>
      </c>
      <c r="R522" s="298" t="str">
        <f>IF(B522="", "",'Lighting Inventory (Ref only)'!K533)</f>
        <v/>
      </c>
      <c r="S522" s="372" t="str">
        <f>IF(B522="", "", 'Lighting Inventory (Ref only)'!G533*'Lighting Inventory (Ref only)'!K533/1000)</f>
        <v/>
      </c>
      <c r="T522" s="298" t="str">
        <f>IF(B522="", "", IF('Lighting Inventory (Ref only)'!I533="", "Light Switch",Inventory!H530))</f>
        <v/>
      </c>
      <c r="X522" s="298" t="str">
        <f>IF(B522="", "", 'Lighting Inventory (Ref only)'!Q533)</f>
        <v/>
      </c>
      <c r="AA522" s="298" t="str">
        <f>IF(B522="", "",'Lighting Inventory (Ref only)'!R533/1000)</f>
        <v/>
      </c>
      <c r="AB522" s="298" t="str">
        <f>IF(B522="", "", Inventory!M530)</f>
        <v/>
      </c>
      <c r="AC522" s="298" t="str">
        <f>IF(B522="", "", 'Lighting Inventory (Ref only)'!T533)</f>
        <v/>
      </c>
      <c r="AD522" s="298" t="str">
        <f>IF(C522="", "", 'Lighting Inventory (Ref only)'!AA533)</f>
        <v/>
      </c>
      <c r="AE522" s="298" t="str">
        <f>IF(B522="", "", 'Lighting Inventory (Ref only)'!U533)</f>
        <v/>
      </c>
      <c r="AF522" s="298" t="str">
        <f>IF(B522="", "",'Lighting Inventory (Ref only)'!W533)</f>
        <v/>
      </c>
      <c r="AH522" s="298" t="str">
        <f>IF(B522="", "",'Lighting Inventory (Ref only)'!Z533)</f>
        <v/>
      </c>
      <c r="AI522" s="298" t="str">
        <f>IF(B522="", "", 'Lighting Inventory (Ref only)'!Y533)</f>
        <v/>
      </c>
      <c r="AJ522" s="298" t="str">
        <f>IF(C522="", "",'Lighting Inventory (Ref only)'!AB533)</f>
        <v/>
      </c>
      <c r="AK522" s="375" t="str">
        <f>IF(B522="", "", 'Lighting Inventory (Ref only)'!AG533)</f>
        <v/>
      </c>
      <c r="AL522" s="375" t="str">
        <f>IF(B522="", "", 'Lighting Inventory (Ref only)'!AD533)</f>
        <v/>
      </c>
      <c r="AM522" s="375" t="str">
        <f>IF(B522="", "", 'Lighting Inventory (Ref only)'!AE533)</f>
        <v/>
      </c>
      <c r="AN522" s="375" t="str">
        <f>IF(B522="", "", 'Lighting Inventory (Ref only)'!AF533)</f>
        <v/>
      </c>
      <c r="AO522" s="375" t="str">
        <f>IF(B522="", "", 'Lighting Inventory (Ref only)'!AG533)</f>
        <v/>
      </c>
    </row>
    <row r="523" spans="1:41">
      <c r="A523" s="298" t="str">
        <f>IF(G523="", "", Lookups!BF525)</f>
        <v/>
      </c>
      <c r="B523" s="298" t="str">
        <f>IF('Lighting Inventory (Ref only)'!Q534="", "", 'Lighting Inventory (Ref only)'!Q534)</f>
        <v/>
      </c>
      <c r="C523" s="298" t="str">
        <f>IF(A523="", "", 'Lighting Inventory (Ref only)'!AO534)</f>
        <v/>
      </c>
      <c r="D523" s="298" t="str">
        <f>IF(B523= "","", Inventory!S531)</f>
        <v/>
      </c>
      <c r="F523" s="298" t="str">
        <f>IF(B523="", "", 'Version Log'!$B$34)</f>
        <v/>
      </c>
      <c r="G523" s="298" t="str">
        <f t="shared" si="32"/>
        <v/>
      </c>
      <c r="H523" s="298" t="str">
        <f t="shared" si="33"/>
        <v/>
      </c>
      <c r="I523" s="298" t="str">
        <f>IF(B523="", "",Inventory!D531)</f>
        <v/>
      </c>
      <c r="J523" s="298" t="str">
        <f>IF(B523="","",IF(Inventory!C531="N","Interior","Exterior"))</f>
        <v/>
      </c>
      <c r="K523" s="298" t="str">
        <f t="shared" si="34"/>
        <v/>
      </c>
      <c r="L523" s="298" t="str">
        <f>IF(B523="", "", Inventory!E531)</f>
        <v/>
      </c>
      <c r="M523" s="298" t="str">
        <f>IF(B523="","",IF(Cool_Type=Lookups!$L$9,Cool_Type,IF(Cool_Type=Lookups!$L$10,Cool_Type,IF(Cool_Type=Lookups!$L$11,Cool_Type,IF(Cool_Type=Lookups!L533,Cool_Type,IF('Project Info and Summary'!$C$20="Electric",CONCATENATE(Cool_Type," ",Heating_Type," Heat"),IF('Project Info and Summary'!$C$20="Non-Electric",CONCATENATE(Cool_Type," ",Heating_Type," Heat"),CONCATENATE(Cool_Type," ",Heating_Type))))))))</f>
        <v/>
      </c>
      <c r="N523" s="298" t="str">
        <f t="shared" si="35"/>
        <v/>
      </c>
      <c r="O523" s="298" t="str">
        <f>IF(B523="", "", 'Lighting Inventory (Ref only)'!G534)</f>
        <v/>
      </c>
      <c r="P523" s="298" t="str">
        <f>IF(B523="", "", 'Lighting Inventory (Ref only)'!E534)</f>
        <v/>
      </c>
      <c r="Q523" s="298" t="str">
        <f>IF(B523="", "", 'Lighting Inventory (Ref only)'!J534)</f>
        <v/>
      </c>
      <c r="R523" s="298" t="str">
        <f>IF(B523="", "",'Lighting Inventory (Ref only)'!K534)</f>
        <v/>
      </c>
      <c r="S523" s="372" t="str">
        <f>IF(B523="", "", 'Lighting Inventory (Ref only)'!G534*'Lighting Inventory (Ref only)'!K534/1000)</f>
        <v/>
      </c>
      <c r="T523" s="298" t="str">
        <f>IF(B523="", "", IF('Lighting Inventory (Ref only)'!I534="", "Light Switch",Inventory!H531))</f>
        <v/>
      </c>
      <c r="X523" s="298" t="str">
        <f>IF(B523="", "", 'Lighting Inventory (Ref only)'!Q534)</f>
        <v/>
      </c>
      <c r="AA523" s="298" t="str">
        <f>IF(B523="", "",'Lighting Inventory (Ref only)'!R534/1000)</f>
        <v/>
      </c>
      <c r="AB523" s="298" t="str">
        <f>IF(B523="", "", Inventory!M531)</f>
        <v/>
      </c>
      <c r="AC523" s="298" t="str">
        <f>IF(B523="", "", 'Lighting Inventory (Ref only)'!T534)</f>
        <v/>
      </c>
      <c r="AD523" s="298" t="str">
        <f>IF(C523="", "", 'Lighting Inventory (Ref only)'!AA534)</f>
        <v/>
      </c>
      <c r="AE523" s="298" t="str">
        <f>IF(B523="", "", 'Lighting Inventory (Ref only)'!U534)</f>
        <v/>
      </c>
      <c r="AF523" s="298" t="str">
        <f>IF(B523="", "",'Lighting Inventory (Ref only)'!W534)</f>
        <v/>
      </c>
      <c r="AH523" s="298" t="str">
        <f>IF(B523="", "",'Lighting Inventory (Ref only)'!Z534)</f>
        <v/>
      </c>
      <c r="AI523" s="298" t="str">
        <f>IF(B523="", "", 'Lighting Inventory (Ref only)'!Y534)</f>
        <v/>
      </c>
      <c r="AJ523" s="298" t="str">
        <f>IF(C523="", "",'Lighting Inventory (Ref only)'!AB534)</f>
        <v/>
      </c>
      <c r="AK523" s="375" t="str">
        <f>IF(B523="", "", 'Lighting Inventory (Ref only)'!AG534)</f>
        <v/>
      </c>
      <c r="AL523" s="375" t="str">
        <f>IF(B523="", "", 'Lighting Inventory (Ref only)'!AD534)</f>
        <v/>
      </c>
      <c r="AM523" s="375" t="str">
        <f>IF(B523="", "", 'Lighting Inventory (Ref only)'!AE534)</f>
        <v/>
      </c>
      <c r="AN523" s="375" t="str">
        <f>IF(B523="", "", 'Lighting Inventory (Ref only)'!AF534)</f>
        <v/>
      </c>
      <c r="AO523" s="375" t="str">
        <f>IF(B523="", "", 'Lighting Inventory (Ref only)'!AG534)</f>
        <v/>
      </c>
    </row>
    <row r="524" spans="1:41">
      <c r="A524" s="298" t="str">
        <f>IF(G524="", "", Lookups!BF526)</f>
        <v/>
      </c>
      <c r="B524" s="298" t="str">
        <f>IF('Lighting Inventory (Ref only)'!Q535="", "", 'Lighting Inventory (Ref only)'!Q535)</f>
        <v/>
      </c>
      <c r="C524" s="298" t="str">
        <f>IF(A524="", "", 'Lighting Inventory (Ref only)'!AO535)</f>
        <v/>
      </c>
      <c r="D524" s="298" t="str">
        <f>IF(B524= "","", Inventory!S532)</f>
        <v/>
      </c>
      <c r="F524" s="298" t="str">
        <f>IF(B524="", "", 'Version Log'!$B$34)</f>
        <v/>
      </c>
      <c r="G524" s="298" t="str">
        <f t="shared" si="32"/>
        <v/>
      </c>
      <c r="H524" s="298" t="str">
        <f t="shared" si="33"/>
        <v/>
      </c>
      <c r="I524" s="298" t="str">
        <f>IF(B524="", "",Inventory!D532)</f>
        <v/>
      </c>
      <c r="J524" s="298" t="str">
        <f>IF(B524="","",IF(Inventory!C532="N","Interior","Exterior"))</f>
        <v/>
      </c>
      <c r="K524" s="298" t="str">
        <f t="shared" si="34"/>
        <v/>
      </c>
      <c r="L524" s="298" t="str">
        <f>IF(B524="", "", Inventory!E532)</f>
        <v/>
      </c>
      <c r="M524" s="298" t="str">
        <f>IF(B524="","",IF(Cool_Type=Lookups!$L$9,Cool_Type,IF(Cool_Type=Lookups!$L$10,Cool_Type,IF(Cool_Type=Lookups!$L$11,Cool_Type,IF(Cool_Type=Lookups!L534,Cool_Type,IF('Project Info and Summary'!$C$20="Electric",CONCATENATE(Cool_Type," ",Heating_Type," Heat"),IF('Project Info and Summary'!$C$20="Non-Electric",CONCATENATE(Cool_Type," ",Heating_Type," Heat"),CONCATENATE(Cool_Type," ",Heating_Type))))))))</f>
        <v/>
      </c>
      <c r="N524" s="298" t="str">
        <f t="shared" si="35"/>
        <v/>
      </c>
      <c r="O524" s="298" t="str">
        <f>IF(B524="", "", 'Lighting Inventory (Ref only)'!G535)</f>
        <v/>
      </c>
      <c r="P524" s="298" t="str">
        <f>IF(B524="", "", 'Lighting Inventory (Ref only)'!E535)</f>
        <v/>
      </c>
      <c r="Q524" s="298" t="str">
        <f>IF(B524="", "", 'Lighting Inventory (Ref only)'!J535)</f>
        <v/>
      </c>
      <c r="R524" s="298" t="str">
        <f>IF(B524="", "",'Lighting Inventory (Ref only)'!K535)</f>
        <v/>
      </c>
      <c r="S524" s="372" t="str">
        <f>IF(B524="", "", 'Lighting Inventory (Ref only)'!G535*'Lighting Inventory (Ref only)'!K535/1000)</f>
        <v/>
      </c>
      <c r="T524" s="298" t="str">
        <f>IF(B524="", "", IF('Lighting Inventory (Ref only)'!I535="", "Light Switch",Inventory!H532))</f>
        <v/>
      </c>
      <c r="X524" s="298" t="str">
        <f>IF(B524="", "", 'Lighting Inventory (Ref only)'!Q535)</f>
        <v/>
      </c>
      <c r="AA524" s="298" t="str">
        <f>IF(B524="", "",'Lighting Inventory (Ref only)'!R535/1000)</f>
        <v/>
      </c>
      <c r="AB524" s="298" t="str">
        <f>IF(B524="", "", Inventory!M532)</f>
        <v/>
      </c>
      <c r="AC524" s="298" t="str">
        <f>IF(B524="", "", 'Lighting Inventory (Ref only)'!T535)</f>
        <v/>
      </c>
      <c r="AD524" s="298" t="str">
        <f>IF(C524="", "", 'Lighting Inventory (Ref only)'!AA535)</f>
        <v/>
      </c>
      <c r="AE524" s="298" t="str">
        <f>IF(B524="", "", 'Lighting Inventory (Ref only)'!U535)</f>
        <v/>
      </c>
      <c r="AF524" s="298" t="str">
        <f>IF(B524="", "",'Lighting Inventory (Ref only)'!W535)</f>
        <v/>
      </c>
      <c r="AH524" s="298" t="str">
        <f>IF(B524="", "",'Lighting Inventory (Ref only)'!Z535)</f>
        <v/>
      </c>
      <c r="AI524" s="298" t="str">
        <f>IF(B524="", "", 'Lighting Inventory (Ref only)'!Y535)</f>
        <v/>
      </c>
      <c r="AJ524" s="298" t="str">
        <f>IF(C524="", "",'Lighting Inventory (Ref only)'!AB535)</f>
        <v/>
      </c>
      <c r="AK524" s="375" t="str">
        <f>IF(B524="", "", 'Lighting Inventory (Ref only)'!AG535)</f>
        <v/>
      </c>
      <c r="AL524" s="375" t="str">
        <f>IF(B524="", "", 'Lighting Inventory (Ref only)'!AD535)</f>
        <v/>
      </c>
      <c r="AM524" s="375" t="str">
        <f>IF(B524="", "", 'Lighting Inventory (Ref only)'!AE535)</f>
        <v/>
      </c>
      <c r="AN524" s="375" t="str">
        <f>IF(B524="", "", 'Lighting Inventory (Ref only)'!AF535)</f>
        <v/>
      </c>
      <c r="AO524" s="375" t="str">
        <f>IF(B524="", "", 'Lighting Inventory (Ref only)'!AG535)</f>
        <v/>
      </c>
    </row>
    <row r="525" spans="1:41">
      <c r="A525" s="298" t="str">
        <f>IF(G525="", "", Lookups!BF527)</f>
        <v/>
      </c>
      <c r="B525" s="298" t="str">
        <f>IF('Lighting Inventory (Ref only)'!Q536="", "", 'Lighting Inventory (Ref only)'!Q536)</f>
        <v/>
      </c>
      <c r="C525" s="298" t="str">
        <f>IF(A525="", "", 'Lighting Inventory (Ref only)'!AO536)</f>
        <v/>
      </c>
      <c r="D525" s="298" t="str">
        <f>IF(B525= "","", Inventory!S533)</f>
        <v/>
      </c>
      <c r="F525" s="298" t="str">
        <f>IF(B525="", "", 'Version Log'!$B$34)</f>
        <v/>
      </c>
      <c r="G525" s="298" t="str">
        <f t="shared" si="32"/>
        <v/>
      </c>
      <c r="H525" s="298" t="str">
        <f t="shared" si="33"/>
        <v/>
      </c>
      <c r="I525" s="298" t="str">
        <f>IF(B525="", "",Inventory!D533)</f>
        <v/>
      </c>
      <c r="J525" s="298" t="str">
        <f>IF(B525="","",IF(Inventory!C533="N","Interior","Exterior"))</f>
        <v/>
      </c>
      <c r="K525" s="298" t="str">
        <f t="shared" si="34"/>
        <v/>
      </c>
      <c r="L525" s="298" t="str">
        <f>IF(B525="", "", Inventory!E533)</f>
        <v/>
      </c>
      <c r="M525" s="298" t="str">
        <f>IF(B525="","",IF(Cool_Type=Lookups!$L$9,Cool_Type,IF(Cool_Type=Lookups!$L$10,Cool_Type,IF(Cool_Type=Lookups!$L$11,Cool_Type,IF(Cool_Type=Lookups!L535,Cool_Type,IF('Project Info and Summary'!$C$20="Electric",CONCATENATE(Cool_Type," ",Heating_Type," Heat"),IF('Project Info and Summary'!$C$20="Non-Electric",CONCATENATE(Cool_Type," ",Heating_Type," Heat"),CONCATENATE(Cool_Type," ",Heating_Type))))))))</f>
        <v/>
      </c>
      <c r="N525" s="298" t="str">
        <f t="shared" si="35"/>
        <v/>
      </c>
      <c r="O525" s="298" t="str">
        <f>IF(B525="", "", 'Lighting Inventory (Ref only)'!G536)</f>
        <v/>
      </c>
      <c r="P525" s="298" t="str">
        <f>IF(B525="", "", 'Lighting Inventory (Ref only)'!E536)</f>
        <v/>
      </c>
      <c r="Q525" s="298" t="str">
        <f>IF(B525="", "", 'Lighting Inventory (Ref only)'!J536)</f>
        <v/>
      </c>
      <c r="R525" s="298" t="str">
        <f>IF(B525="", "",'Lighting Inventory (Ref only)'!K536)</f>
        <v/>
      </c>
      <c r="S525" s="372" t="str">
        <f>IF(B525="", "", 'Lighting Inventory (Ref only)'!G536*'Lighting Inventory (Ref only)'!K536/1000)</f>
        <v/>
      </c>
      <c r="T525" s="298" t="str">
        <f>IF(B525="", "", IF('Lighting Inventory (Ref only)'!I536="", "Light Switch",Inventory!H533))</f>
        <v/>
      </c>
      <c r="X525" s="298" t="str">
        <f>IF(B525="", "", 'Lighting Inventory (Ref only)'!Q536)</f>
        <v/>
      </c>
      <c r="AA525" s="298" t="str">
        <f>IF(B525="", "",'Lighting Inventory (Ref only)'!R536/1000)</f>
        <v/>
      </c>
      <c r="AB525" s="298" t="str">
        <f>IF(B525="", "", Inventory!M533)</f>
        <v/>
      </c>
      <c r="AC525" s="298" t="str">
        <f>IF(B525="", "", 'Lighting Inventory (Ref only)'!T536)</f>
        <v/>
      </c>
      <c r="AD525" s="298" t="str">
        <f>IF(C525="", "", 'Lighting Inventory (Ref only)'!AA536)</f>
        <v/>
      </c>
      <c r="AE525" s="298" t="str">
        <f>IF(B525="", "", 'Lighting Inventory (Ref only)'!U536)</f>
        <v/>
      </c>
      <c r="AF525" s="298" t="str">
        <f>IF(B525="", "",'Lighting Inventory (Ref only)'!W536)</f>
        <v/>
      </c>
      <c r="AH525" s="298" t="str">
        <f>IF(B525="", "",'Lighting Inventory (Ref only)'!Z536)</f>
        <v/>
      </c>
      <c r="AI525" s="298" t="str">
        <f>IF(B525="", "", 'Lighting Inventory (Ref only)'!Y536)</f>
        <v/>
      </c>
      <c r="AJ525" s="298" t="str">
        <f>IF(C525="", "",'Lighting Inventory (Ref only)'!AB536)</f>
        <v/>
      </c>
      <c r="AK525" s="375" t="str">
        <f>IF(B525="", "", 'Lighting Inventory (Ref only)'!AG536)</f>
        <v/>
      </c>
      <c r="AL525" s="375" t="str">
        <f>IF(B525="", "", 'Lighting Inventory (Ref only)'!AD536)</f>
        <v/>
      </c>
      <c r="AM525" s="375" t="str">
        <f>IF(B525="", "", 'Lighting Inventory (Ref only)'!AE536)</f>
        <v/>
      </c>
      <c r="AN525" s="375" t="str">
        <f>IF(B525="", "", 'Lighting Inventory (Ref only)'!AF536)</f>
        <v/>
      </c>
      <c r="AO525" s="375" t="str">
        <f>IF(B525="", "", 'Lighting Inventory (Ref only)'!AG536)</f>
        <v/>
      </c>
    </row>
    <row r="526" spans="1:41">
      <c r="A526" s="298" t="str">
        <f>IF(G526="", "", Lookups!BF528)</f>
        <v/>
      </c>
      <c r="B526" s="298" t="str">
        <f>IF('Lighting Inventory (Ref only)'!Q537="", "", 'Lighting Inventory (Ref only)'!Q537)</f>
        <v/>
      </c>
      <c r="C526" s="298" t="str">
        <f>IF(A526="", "", 'Lighting Inventory (Ref only)'!AO537)</f>
        <v/>
      </c>
      <c r="D526" s="298" t="str">
        <f>IF(B526= "","", Inventory!S534)</f>
        <v/>
      </c>
      <c r="F526" s="298" t="str">
        <f>IF(B526="", "", 'Version Log'!$B$34)</f>
        <v/>
      </c>
      <c r="G526" s="298" t="str">
        <f t="shared" si="32"/>
        <v/>
      </c>
      <c r="H526" s="298" t="str">
        <f t="shared" si="33"/>
        <v/>
      </c>
      <c r="I526" s="298" t="str">
        <f>IF(B526="", "",Inventory!D534)</f>
        <v/>
      </c>
      <c r="J526" s="298" t="str">
        <f>IF(B526="","",IF(Inventory!C534="N","Interior","Exterior"))</f>
        <v/>
      </c>
      <c r="K526" s="298" t="str">
        <f t="shared" si="34"/>
        <v/>
      </c>
      <c r="L526" s="298" t="str">
        <f>IF(B526="", "", Inventory!E534)</f>
        <v/>
      </c>
      <c r="M526" s="298" t="str">
        <f>IF(B526="","",IF(Cool_Type=Lookups!$L$9,Cool_Type,IF(Cool_Type=Lookups!$L$10,Cool_Type,IF(Cool_Type=Lookups!$L$11,Cool_Type,IF(Cool_Type=Lookups!L536,Cool_Type,IF('Project Info and Summary'!$C$20="Electric",CONCATENATE(Cool_Type," ",Heating_Type," Heat"),IF('Project Info and Summary'!$C$20="Non-Electric",CONCATENATE(Cool_Type," ",Heating_Type," Heat"),CONCATENATE(Cool_Type," ",Heating_Type))))))))</f>
        <v/>
      </c>
      <c r="N526" s="298" t="str">
        <f t="shared" si="35"/>
        <v/>
      </c>
      <c r="O526" s="298" t="str">
        <f>IF(B526="", "", 'Lighting Inventory (Ref only)'!G537)</f>
        <v/>
      </c>
      <c r="P526" s="298" t="str">
        <f>IF(B526="", "", 'Lighting Inventory (Ref only)'!E537)</f>
        <v/>
      </c>
      <c r="Q526" s="298" t="str">
        <f>IF(B526="", "", 'Lighting Inventory (Ref only)'!J537)</f>
        <v/>
      </c>
      <c r="R526" s="298" t="str">
        <f>IF(B526="", "",'Lighting Inventory (Ref only)'!K537)</f>
        <v/>
      </c>
      <c r="S526" s="372" t="str">
        <f>IF(B526="", "", 'Lighting Inventory (Ref only)'!G537*'Lighting Inventory (Ref only)'!K537/1000)</f>
        <v/>
      </c>
      <c r="T526" s="298" t="str">
        <f>IF(B526="", "", IF('Lighting Inventory (Ref only)'!I537="", "Light Switch",Inventory!H534))</f>
        <v/>
      </c>
      <c r="X526" s="298" t="str">
        <f>IF(B526="", "", 'Lighting Inventory (Ref only)'!Q537)</f>
        <v/>
      </c>
      <c r="AA526" s="298" t="str">
        <f>IF(B526="", "",'Lighting Inventory (Ref only)'!R537/1000)</f>
        <v/>
      </c>
      <c r="AB526" s="298" t="str">
        <f>IF(B526="", "", Inventory!M534)</f>
        <v/>
      </c>
      <c r="AC526" s="298" t="str">
        <f>IF(B526="", "", 'Lighting Inventory (Ref only)'!T537)</f>
        <v/>
      </c>
      <c r="AD526" s="298" t="str">
        <f>IF(C526="", "", 'Lighting Inventory (Ref only)'!AA537)</f>
        <v/>
      </c>
      <c r="AE526" s="298" t="str">
        <f>IF(B526="", "", 'Lighting Inventory (Ref only)'!U537)</f>
        <v/>
      </c>
      <c r="AF526" s="298" t="str">
        <f>IF(B526="", "",'Lighting Inventory (Ref only)'!W537)</f>
        <v/>
      </c>
      <c r="AH526" s="298" t="str">
        <f>IF(B526="", "",'Lighting Inventory (Ref only)'!Z537)</f>
        <v/>
      </c>
      <c r="AI526" s="298" t="str">
        <f>IF(B526="", "", 'Lighting Inventory (Ref only)'!Y537)</f>
        <v/>
      </c>
      <c r="AJ526" s="298" t="str">
        <f>IF(C526="", "",'Lighting Inventory (Ref only)'!AB537)</f>
        <v/>
      </c>
      <c r="AK526" s="375" t="str">
        <f>IF(B526="", "", 'Lighting Inventory (Ref only)'!AG537)</f>
        <v/>
      </c>
      <c r="AL526" s="375" t="str">
        <f>IF(B526="", "", 'Lighting Inventory (Ref only)'!AD537)</f>
        <v/>
      </c>
      <c r="AM526" s="375" t="str">
        <f>IF(B526="", "", 'Lighting Inventory (Ref only)'!AE537)</f>
        <v/>
      </c>
      <c r="AN526" s="375" t="str">
        <f>IF(B526="", "", 'Lighting Inventory (Ref only)'!AF537)</f>
        <v/>
      </c>
      <c r="AO526" s="375" t="str">
        <f>IF(B526="", "", 'Lighting Inventory (Ref only)'!AG537)</f>
        <v/>
      </c>
    </row>
    <row r="527" spans="1:41">
      <c r="A527" s="298" t="str">
        <f>IF(G527="", "", Lookups!BF529)</f>
        <v/>
      </c>
      <c r="B527" s="298" t="str">
        <f>IF('Lighting Inventory (Ref only)'!Q538="", "", 'Lighting Inventory (Ref only)'!Q538)</f>
        <v/>
      </c>
      <c r="C527" s="298" t="str">
        <f>IF(A527="", "", 'Lighting Inventory (Ref only)'!AO538)</f>
        <v/>
      </c>
      <c r="D527" s="298" t="str">
        <f>IF(B527= "","", Inventory!S535)</f>
        <v/>
      </c>
      <c r="F527" s="298" t="str">
        <f>IF(B527="", "", 'Version Log'!$B$34)</f>
        <v/>
      </c>
      <c r="G527" s="298" t="str">
        <f t="shared" si="32"/>
        <v/>
      </c>
      <c r="H527" s="298" t="str">
        <f t="shared" si="33"/>
        <v/>
      </c>
      <c r="I527" s="298" t="str">
        <f>IF(B527="", "",Inventory!D535)</f>
        <v/>
      </c>
      <c r="J527" s="298" t="str">
        <f>IF(B527="","",IF(Inventory!C535="N","Interior","Exterior"))</f>
        <v/>
      </c>
      <c r="K527" s="298" t="str">
        <f t="shared" si="34"/>
        <v/>
      </c>
      <c r="L527" s="298" t="str">
        <f>IF(B527="", "", Inventory!E535)</f>
        <v/>
      </c>
      <c r="M527" s="298" t="str">
        <f>IF(B527="","",IF(Cool_Type=Lookups!$L$9,Cool_Type,IF(Cool_Type=Lookups!$L$10,Cool_Type,IF(Cool_Type=Lookups!$L$11,Cool_Type,IF(Cool_Type=Lookups!L537,Cool_Type,IF('Project Info and Summary'!$C$20="Electric",CONCATENATE(Cool_Type," ",Heating_Type," Heat"),IF('Project Info and Summary'!$C$20="Non-Electric",CONCATENATE(Cool_Type," ",Heating_Type," Heat"),CONCATENATE(Cool_Type," ",Heating_Type))))))))</f>
        <v/>
      </c>
      <c r="N527" s="298" t="str">
        <f t="shared" si="35"/>
        <v/>
      </c>
      <c r="O527" s="298" t="str">
        <f>IF(B527="", "", 'Lighting Inventory (Ref only)'!G538)</f>
        <v/>
      </c>
      <c r="P527" s="298" t="str">
        <f>IF(B527="", "", 'Lighting Inventory (Ref only)'!E538)</f>
        <v/>
      </c>
      <c r="Q527" s="298" t="str">
        <f>IF(B527="", "", 'Lighting Inventory (Ref only)'!J538)</f>
        <v/>
      </c>
      <c r="R527" s="298" t="str">
        <f>IF(B527="", "",'Lighting Inventory (Ref only)'!K538)</f>
        <v/>
      </c>
      <c r="S527" s="372" t="str">
        <f>IF(B527="", "", 'Lighting Inventory (Ref only)'!G538*'Lighting Inventory (Ref only)'!K538/1000)</f>
        <v/>
      </c>
      <c r="T527" s="298" t="str">
        <f>IF(B527="", "", IF('Lighting Inventory (Ref only)'!I538="", "Light Switch",Inventory!H535))</f>
        <v/>
      </c>
      <c r="X527" s="298" t="str">
        <f>IF(B527="", "", 'Lighting Inventory (Ref only)'!Q538)</f>
        <v/>
      </c>
      <c r="AA527" s="298" t="str">
        <f>IF(B527="", "",'Lighting Inventory (Ref only)'!R538/1000)</f>
        <v/>
      </c>
      <c r="AB527" s="298" t="str">
        <f>IF(B527="", "", Inventory!M535)</f>
        <v/>
      </c>
      <c r="AC527" s="298" t="str">
        <f>IF(B527="", "", 'Lighting Inventory (Ref only)'!T538)</f>
        <v/>
      </c>
      <c r="AD527" s="298" t="str">
        <f>IF(C527="", "", 'Lighting Inventory (Ref only)'!AA538)</f>
        <v/>
      </c>
      <c r="AE527" s="298" t="str">
        <f>IF(B527="", "", 'Lighting Inventory (Ref only)'!U538)</f>
        <v/>
      </c>
      <c r="AF527" s="298" t="str">
        <f>IF(B527="", "",'Lighting Inventory (Ref only)'!W538)</f>
        <v/>
      </c>
      <c r="AH527" s="298" t="str">
        <f>IF(B527="", "",'Lighting Inventory (Ref only)'!Z538)</f>
        <v/>
      </c>
      <c r="AI527" s="298" t="str">
        <f>IF(B527="", "", 'Lighting Inventory (Ref only)'!Y538)</f>
        <v/>
      </c>
      <c r="AJ527" s="298" t="str">
        <f>IF(C527="", "",'Lighting Inventory (Ref only)'!AB538)</f>
        <v/>
      </c>
      <c r="AK527" s="375" t="str">
        <f>IF(B527="", "", 'Lighting Inventory (Ref only)'!AG538)</f>
        <v/>
      </c>
      <c r="AL527" s="375" t="str">
        <f>IF(B527="", "", 'Lighting Inventory (Ref only)'!AD538)</f>
        <v/>
      </c>
      <c r="AM527" s="375" t="str">
        <f>IF(B527="", "", 'Lighting Inventory (Ref only)'!AE538)</f>
        <v/>
      </c>
      <c r="AN527" s="375" t="str">
        <f>IF(B527="", "", 'Lighting Inventory (Ref only)'!AF538)</f>
        <v/>
      </c>
      <c r="AO527" s="375" t="str">
        <f>IF(B527="", "", 'Lighting Inventory (Ref only)'!AG538)</f>
        <v/>
      </c>
    </row>
    <row r="528" spans="1:41">
      <c r="A528" s="298" t="str">
        <f>IF(G528="", "", Lookups!BF530)</f>
        <v/>
      </c>
      <c r="B528" s="298" t="str">
        <f>IF('Lighting Inventory (Ref only)'!Q539="", "", 'Lighting Inventory (Ref only)'!Q539)</f>
        <v/>
      </c>
      <c r="C528" s="298" t="str">
        <f>IF(A528="", "", 'Lighting Inventory (Ref only)'!AO539)</f>
        <v/>
      </c>
      <c r="D528" s="298" t="str">
        <f>IF(B528= "","", Inventory!S536)</f>
        <v/>
      </c>
      <c r="F528" s="298" t="str">
        <f>IF(B528="", "", 'Version Log'!$B$34)</f>
        <v/>
      </c>
      <c r="G528" s="298" t="str">
        <f t="shared" si="32"/>
        <v/>
      </c>
      <c r="H528" s="298" t="str">
        <f t="shared" si="33"/>
        <v/>
      </c>
      <c r="I528" s="298" t="str">
        <f>IF(B528="", "",Inventory!D536)</f>
        <v/>
      </c>
      <c r="J528" s="298" t="str">
        <f>IF(B528="","",IF(Inventory!C536="N","Interior","Exterior"))</f>
        <v/>
      </c>
      <c r="K528" s="298" t="str">
        <f t="shared" si="34"/>
        <v/>
      </c>
      <c r="L528" s="298" t="str">
        <f>IF(B528="", "", Inventory!E536)</f>
        <v/>
      </c>
      <c r="M528" s="298" t="str">
        <f>IF(B528="","",IF(Cool_Type=Lookups!$L$9,Cool_Type,IF(Cool_Type=Lookups!$L$10,Cool_Type,IF(Cool_Type=Lookups!$L$11,Cool_Type,IF(Cool_Type=Lookups!L538,Cool_Type,IF('Project Info and Summary'!$C$20="Electric",CONCATENATE(Cool_Type," ",Heating_Type," Heat"),IF('Project Info and Summary'!$C$20="Non-Electric",CONCATENATE(Cool_Type," ",Heating_Type," Heat"),CONCATENATE(Cool_Type," ",Heating_Type))))))))</f>
        <v/>
      </c>
      <c r="N528" s="298" t="str">
        <f t="shared" si="35"/>
        <v/>
      </c>
      <c r="O528" s="298" t="str">
        <f>IF(B528="", "", 'Lighting Inventory (Ref only)'!G539)</f>
        <v/>
      </c>
      <c r="P528" s="298" t="str">
        <f>IF(B528="", "", 'Lighting Inventory (Ref only)'!E539)</f>
        <v/>
      </c>
      <c r="Q528" s="298" t="str">
        <f>IF(B528="", "", 'Lighting Inventory (Ref only)'!J539)</f>
        <v/>
      </c>
      <c r="R528" s="298" t="str">
        <f>IF(B528="", "",'Lighting Inventory (Ref only)'!K539)</f>
        <v/>
      </c>
      <c r="S528" s="372" t="str">
        <f>IF(B528="", "", 'Lighting Inventory (Ref only)'!G539*'Lighting Inventory (Ref only)'!K539/1000)</f>
        <v/>
      </c>
      <c r="T528" s="298" t="str">
        <f>IF(B528="", "", IF('Lighting Inventory (Ref only)'!I539="", "Light Switch",Inventory!H536))</f>
        <v/>
      </c>
      <c r="X528" s="298" t="str">
        <f>IF(B528="", "", 'Lighting Inventory (Ref only)'!Q539)</f>
        <v/>
      </c>
      <c r="AA528" s="298" t="str">
        <f>IF(B528="", "",'Lighting Inventory (Ref only)'!R539/1000)</f>
        <v/>
      </c>
      <c r="AB528" s="298" t="str">
        <f>IF(B528="", "", Inventory!M536)</f>
        <v/>
      </c>
      <c r="AC528" s="298" t="str">
        <f>IF(B528="", "", 'Lighting Inventory (Ref only)'!T539)</f>
        <v/>
      </c>
      <c r="AD528" s="298" t="str">
        <f>IF(C528="", "", 'Lighting Inventory (Ref only)'!AA539)</f>
        <v/>
      </c>
      <c r="AE528" s="298" t="str">
        <f>IF(B528="", "", 'Lighting Inventory (Ref only)'!U539)</f>
        <v/>
      </c>
      <c r="AF528" s="298" t="str">
        <f>IF(B528="", "",'Lighting Inventory (Ref only)'!W539)</f>
        <v/>
      </c>
      <c r="AH528" s="298" t="str">
        <f>IF(B528="", "",'Lighting Inventory (Ref only)'!Z539)</f>
        <v/>
      </c>
      <c r="AI528" s="298" t="str">
        <f>IF(B528="", "", 'Lighting Inventory (Ref only)'!Y539)</f>
        <v/>
      </c>
      <c r="AJ528" s="298" t="str">
        <f>IF(C528="", "",'Lighting Inventory (Ref only)'!AB539)</f>
        <v/>
      </c>
      <c r="AK528" s="375" t="str">
        <f>IF(B528="", "", 'Lighting Inventory (Ref only)'!AG539)</f>
        <v/>
      </c>
      <c r="AL528" s="375" t="str">
        <f>IF(B528="", "", 'Lighting Inventory (Ref only)'!AD539)</f>
        <v/>
      </c>
      <c r="AM528" s="375" t="str">
        <f>IF(B528="", "", 'Lighting Inventory (Ref only)'!AE539)</f>
        <v/>
      </c>
      <c r="AN528" s="375" t="str">
        <f>IF(B528="", "", 'Lighting Inventory (Ref only)'!AF539)</f>
        <v/>
      </c>
      <c r="AO528" s="375" t="str">
        <f>IF(B528="", "", 'Lighting Inventory (Ref only)'!AG539)</f>
        <v/>
      </c>
    </row>
    <row r="529" spans="1:41">
      <c r="A529" s="298" t="str">
        <f>IF(G529="", "", Lookups!BF531)</f>
        <v/>
      </c>
      <c r="B529" s="298" t="str">
        <f>IF('Lighting Inventory (Ref only)'!Q540="", "", 'Lighting Inventory (Ref only)'!Q540)</f>
        <v/>
      </c>
      <c r="C529" s="298" t="str">
        <f>IF(A529="", "", 'Lighting Inventory (Ref only)'!AO540)</f>
        <v/>
      </c>
      <c r="D529" s="298" t="str">
        <f>IF(B529= "","", Inventory!S537)</f>
        <v/>
      </c>
      <c r="F529" s="298" t="str">
        <f>IF(B529="", "", 'Version Log'!$B$34)</f>
        <v/>
      </c>
      <c r="G529" s="298" t="str">
        <f t="shared" si="32"/>
        <v/>
      </c>
      <c r="H529" s="298" t="str">
        <f t="shared" si="33"/>
        <v/>
      </c>
      <c r="I529" s="298" t="str">
        <f>IF(B529="", "",Inventory!D537)</f>
        <v/>
      </c>
      <c r="J529" s="298" t="str">
        <f>IF(B529="","",IF(Inventory!C537="N","Interior","Exterior"))</f>
        <v/>
      </c>
      <c r="K529" s="298" t="str">
        <f t="shared" si="34"/>
        <v/>
      </c>
      <c r="L529" s="298" t="str">
        <f>IF(B529="", "", Inventory!E537)</f>
        <v/>
      </c>
      <c r="M529" s="298" t="str">
        <f>IF(B529="","",IF(Cool_Type=Lookups!$L$9,Cool_Type,IF(Cool_Type=Lookups!$L$10,Cool_Type,IF(Cool_Type=Lookups!$L$11,Cool_Type,IF(Cool_Type=Lookups!L539,Cool_Type,IF('Project Info and Summary'!$C$20="Electric",CONCATENATE(Cool_Type," ",Heating_Type," Heat"),IF('Project Info and Summary'!$C$20="Non-Electric",CONCATENATE(Cool_Type," ",Heating_Type," Heat"),CONCATENATE(Cool_Type," ",Heating_Type))))))))</f>
        <v/>
      </c>
      <c r="N529" s="298" t="str">
        <f t="shared" si="35"/>
        <v/>
      </c>
      <c r="O529" s="298" t="str">
        <f>IF(B529="", "", 'Lighting Inventory (Ref only)'!G540)</f>
        <v/>
      </c>
      <c r="P529" s="298" t="str">
        <f>IF(B529="", "", 'Lighting Inventory (Ref only)'!E540)</f>
        <v/>
      </c>
      <c r="Q529" s="298" t="str">
        <f>IF(B529="", "", 'Lighting Inventory (Ref only)'!J540)</f>
        <v/>
      </c>
      <c r="R529" s="298" t="str">
        <f>IF(B529="", "",'Lighting Inventory (Ref only)'!K540)</f>
        <v/>
      </c>
      <c r="S529" s="372" t="str">
        <f>IF(B529="", "", 'Lighting Inventory (Ref only)'!G540*'Lighting Inventory (Ref only)'!K540/1000)</f>
        <v/>
      </c>
      <c r="T529" s="298" t="str">
        <f>IF(B529="", "", IF('Lighting Inventory (Ref only)'!I540="", "Light Switch",Inventory!H537))</f>
        <v/>
      </c>
      <c r="X529" s="298" t="str">
        <f>IF(B529="", "", 'Lighting Inventory (Ref only)'!Q540)</f>
        <v/>
      </c>
      <c r="AA529" s="298" t="str">
        <f>IF(B529="", "",'Lighting Inventory (Ref only)'!R540/1000)</f>
        <v/>
      </c>
      <c r="AB529" s="298" t="str">
        <f>IF(B529="", "", Inventory!M537)</f>
        <v/>
      </c>
      <c r="AC529" s="298" t="str">
        <f>IF(B529="", "", 'Lighting Inventory (Ref only)'!T540)</f>
        <v/>
      </c>
      <c r="AD529" s="298" t="str">
        <f>IF(C529="", "", 'Lighting Inventory (Ref only)'!AA540)</f>
        <v/>
      </c>
      <c r="AE529" s="298" t="str">
        <f>IF(B529="", "", 'Lighting Inventory (Ref only)'!U540)</f>
        <v/>
      </c>
      <c r="AF529" s="298" t="str">
        <f>IF(B529="", "",'Lighting Inventory (Ref only)'!W540)</f>
        <v/>
      </c>
      <c r="AH529" s="298" t="str">
        <f>IF(B529="", "",'Lighting Inventory (Ref only)'!Z540)</f>
        <v/>
      </c>
      <c r="AI529" s="298" t="str">
        <f>IF(B529="", "", 'Lighting Inventory (Ref only)'!Y540)</f>
        <v/>
      </c>
      <c r="AJ529" s="298" t="str">
        <f>IF(C529="", "",'Lighting Inventory (Ref only)'!AB540)</f>
        <v/>
      </c>
      <c r="AK529" s="375" t="str">
        <f>IF(B529="", "", 'Lighting Inventory (Ref only)'!AG540)</f>
        <v/>
      </c>
      <c r="AL529" s="375" t="str">
        <f>IF(B529="", "", 'Lighting Inventory (Ref only)'!AD540)</f>
        <v/>
      </c>
      <c r="AM529" s="375" t="str">
        <f>IF(B529="", "", 'Lighting Inventory (Ref only)'!AE540)</f>
        <v/>
      </c>
      <c r="AN529" s="375" t="str">
        <f>IF(B529="", "", 'Lighting Inventory (Ref only)'!AF540)</f>
        <v/>
      </c>
      <c r="AO529" s="375" t="str">
        <f>IF(B529="", "", 'Lighting Inventory (Ref only)'!AG540)</f>
        <v/>
      </c>
    </row>
    <row r="530" spans="1:41">
      <c r="A530" s="298" t="str">
        <f>IF(G530="", "", Lookups!BF532)</f>
        <v/>
      </c>
      <c r="B530" s="298" t="str">
        <f>IF('Lighting Inventory (Ref only)'!Q541="", "", 'Lighting Inventory (Ref only)'!Q541)</f>
        <v/>
      </c>
      <c r="C530" s="298" t="str">
        <f>IF(A530="", "", 'Lighting Inventory (Ref only)'!AO541)</f>
        <v/>
      </c>
      <c r="D530" s="298" t="str">
        <f>IF(B530= "","", Inventory!S538)</f>
        <v/>
      </c>
      <c r="F530" s="298" t="str">
        <f>IF(B530="", "", 'Version Log'!$B$34)</f>
        <v/>
      </c>
      <c r="G530" s="298" t="str">
        <f t="shared" si="32"/>
        <v/>
      </c>
      <c r="H530" s="298" t="str">
        <f t="shared" si="33"/>
        <v/>
      </c>
      <c r="I530" s="298" t="str">
        <f>IF(B530="", "",Inventory!D538)</f>
        <v/>
      </c>
      <c r="J530" s="298" t="str">
        <f>IF(B530="","",IF(Inventory!C538="N","Interior","Exterior"))</f>
        <v/>
      </c>
      <c r="K530" s="298" t="str">
        <f t="shared" si="34"/>
        <v/>
      </c>
      <c r="L530" s="298" t="str">
        <f>IF(B530="", "", Inventory!E538)</f>
        <v/>
      </c>
      <c r="M530" s="298" t="str">
        <f>IF(B530="","",IF(Cool_Type=Lookups!$L$9,Cool_Type,IF(Cool_Type=Lookups!$L$10,Cool_Type,IF(Cool_Type=Lookups!$L$11,Cool_Type,IF(Cool_Type=Lookups!L540,Cool_Type,IF('Project Info and Summary'!$C$20="Electric",CONCATENATE(Cool_Type," ",Heating_Type," Heat"),IF('Project Info and Summary'!$C$20="Non-Electric",CONCATENATE(Cool_Type," ",Heating_Type," Heat"),CONCATENATE(Cool_Type," ",Heating_Type))))))))</f>
        <v/>
      </c>
      <c r="N530" s="298" t="str">
        <f t="shared" si="35"/>
        <v/>
      </c>
      <c r="O530" s="298" t="str">
        <f>IF(B530="", "", 'Lighting Inventory (Ref only)'!G541)</f>
        <v/>
      </c>
      <c r="P530" s="298" t="str">
        <f>IF(B530="", "", 'Lighting Inventory (Ref only)'!E541)</f>
        <v/>
      </c>
      <c r="Q530" s="298" t="str">
        <f>IF(B530="", "", 'Lighting Inventory (Ref only)'!J541)</f>
        <v/>
      </c>
      <c r="R530" s="298" t="str">
        <f>IF(B530="", "",'Lighting Inventory (Ref only)'!K541)</f>
        <v/>
      </c>
      <c r="S530" s="372" t="str">
        <f>IF(B530="", "", 'Lighting Inventory (Ref only)'!G541*'Lighting Inventory (Ref only)'!K541/1000)</f>
        <v/>
      </c>
      <c r="T530" s="298" t="str">
        <f>IF(B530="", "", IF('Lighting Inventory (Ref only)'!I541="", "Light Switch",Inventory!H538))</f>
        <v/>
      </c>
      <c r="X530" s="298" t="str">
        <f>IF(B530="", "", 'Lighting Inventory (Ref only)'!Q541)</f>
        <v/>
      </c>
      <c r="AA530" s="298" t="str">
        <f>IF(B530="", "",'Lighting Inventory (Ref only)'!R541/1000)</f>
        <v/>
      </c>
      <c r="AB530" s="298" t="str">
        <f>IF(B530="", "", Inventory!M538)</f>
        <v/>
      </c>
      <c r="AC530" s="298" t="str">
        <f>IF(B530="", "", 'Lighting Inventory (Ref only)'!T541)</f>
        <v/>
      </c>
      <c r="AD530" s="298" t="str">
        <f>IF(C530="", "", 'Lighting Inventory (Ref only)'!AA541)</f>
        <v/>
      </c>
      <c r="AE530" s="298" t="str">
        <f>IF(B530="", "", 'Lighting Inventory (Ref only)'!U541)</f>
        <v/>
      </c>
      <c r="AF530" s="298" t="str">
        <f>IF(B530="", "",'Lighting Inventory (Ref only)'!W541)</f>
        <v/>
      </c>
      <c r="AH530" s="298" t="str">
        <f>IF(B530="", "",'Lighting Inventory (Ref only)'!Z541)</f>
        <v/>
      </c>
      <c r="AI530" s="298" t="str">
        <f>IF(B530="", "", 'Lighting Inventory (Ref only)'!Y541)</f>
        <v/>
      </c>
      <c r="AJ530" s="298" t="str">
        <f>IF(C530="", "",'Lighting Inventory (Ref only)'!AB541)</f>
        <v/>
      </c>
      <c r="AK530" s="375" t="str">
        <f>IF(B530="", "", 'Lighting Inventory (Ref only)'!AG541)</f>
        <v/>
      </c>
      <c r="AL530" s="375" t="str">
        <f>IF(B530="", "", 'Lighting Inventory (Ref only)'!AD541)</f>
        <v/>
      </c>
      <c r="AM530" s="375" t="str">
        <f>IF(B530="", "", 'Lighting Inventory (Ref only)'!AE541)</f>
        <v/>
      </c>
      <c r="AN530" s="375" t="str">
        <f>IF(B530="", "", 'Lighting Inventory (Ref only)'!AF541)</f>
        <v/>
      </c>
      <c r="AO530" s="375" t="str">
        <f>IF(B530="", "", 'Lighting Inventory (Ref only)'!AG541)</f>
        <v/>
      </c>
    </row>
    <row r="531" spans="1:41">
      <c r="A531" s="298" t="str">
        <f>IF(G531="", "", Lookups!BF533)</f>
        <v/>
      </c>
      <c r="B531" s="298" t="str">
        <f>IF('Lighting Inventory (Ref only)'!Q542="", "", 'Lighting Inventory (Ref only)'!Q542)</f>
        <v/>
      </c>
      <c r="C531" s="298" t="str">
        <f>IF(A531="", "", 'Lighting Inventory (Ref only)'!AO542)</f>
        <v/>
      </c>
      <c r="D531" s="298" t="str">
        <f>IF(B531= "","", Inventory!S539)</f>
        <v/>
      </c>
      <c r="F531" s="298" t="str">
        <f>IF(B531="", "", 'Version Log'!$B$34)</f>
        <v/>
      </c>
      <c r="G531" s="298" t="str">
        <f t="shared" si="32"/>
        <v/>
      </c>
      <c r="H531" s="298" t="str">
        <f t="shared" si="33"/>
        <v/>
      </c>
      <c r="I531" s="298" t="str">
        <f>IF(B531="", "",Inventory!D539)</f>
        <v/>
      </c>
      <c r="J531" s="298" t="str">
        <f>IF(B531="","",IF(Inventory!C539="N","Interior","Exterior"))</f>
        <v/>
      </c>
      <c r="K531" s="298" t="str">
        <f t="shared" si="34"/>
        <v/>
      </c>
      <c r="L531" s="298" t="str">
        <f>IF(B531="", "", Inventory!E539)</f>
        <v/>
      </c>
      <c r="M531" s="298" t="str">
        <f>IF(B531="","",IF(Cool_Type=Lookups!$L$9,Cool_Type,IF(Cool_Type=Lookups!$L$10,Cool_Type,IF(Cool_Type=Lookups!$L$11,Cool_Type,IF(Cool_Type=Lookups!L541,Cool_Type,IF('Project Info and Summary'!$C$20="Electric",CONCATENATE(Cool_Type," ",Heating_Type," Heat"),IF('Project Info and Summary'!$C$20="Non-Electric",CONCATENATE(Cool_Type," ",Heating_Type," Heat"),CONCATENATE(Cool_Type," ",Heating_Type))))))))</f>
        <v/>
      </c>
      <c r="N531" s="298" t="str">
        <f t="shared" si="35"/>
        <v/>
      </c>
      <c r="O531" s="298" t="str">
        <f>IF(B531="", "", 'Lighting Inventory (Ref only)'!G542)</f>
        <v/>
      </c>
      <c r="P531" s="298" t="str">
        <f>IF(B531="", "", 'Lighting Inventory (Ref only)'!E542)</f>
        <v/>
      </c>
      <c r="Q531" s="298" t="str">
        <f>IF(B531="", "", 'Lighting Inventory (Ref only)'!J542)</f>
        <v/>
      </c>
      <c r="R531" s="298" t="str">
        <f>IF(B531="", "",'Lighting Inventory (Ref only)'!K542)</f>
        <v/>
      </c>
      <c r="S531" s="372" t="str">
        <f>IF(B531="", "", 'Lighting Inventory (Ref only)'!G542*'Lighting Inventory (Ref only)'!K542/1000)</f>
        <v/>
      </c>
      <c r="T531" s="298" t="str">
        <f>IF(B531="", "", IF('Lighting Inventory (Ref only)'!I542="", "Light Switch",Inventory!H539))</f>
        <v/>
      </c>
      <c r="X531" s="298" t="str">
        <f>IF(B531="", "", 'Lighting Inventory (Ref only)'!Q542)</f>
        <v/>
      </c>
      <c r="AA531" s="298" t="str">
        <f>IF(B531="", "",'Lighting Inventory (Ref only)'!R542/1000)</f>
        <v/>
      </c>
      <c r="AB531" s="298" t="str">
        <f>IF(B531="", "", Inventory!M539)</f>
        <v/>
      </c>
      <c r="AC531" s="298" t="str">
        <f>IF(B531="", "", 'Lighting Inventory (Ref only)'!T542)</f>
        <v/>
      </c>
      <c r="AD531" s="298" t="str">
        <f>IF(C531="", "", 'Lighting Inventory (Ref only)'!AA542)</f>
        <v/>
      </c>
      <c r="AE531" s="298" t="str">
        <f>IF(B531="", "", 'Lighting Inventory (Ref only)'!U542)</f>
        <v/>
      </c>
      <c r="AF531" s="298" t="str">
        <f>IF(B531="", "",'Lighting Inventory (Ref only)'!W542)</f>
        <v/>
      </c>
      <c r="AH531" s="298" t="str">
        <f>IF(B531="", "",'Lighting Inventory (Ref only)'!Z542)</f>
        <v/>
      </c>
      <c r="AI531" s="298" t="str">
        <f>IF(B531="", "", 'Lighting Inventory (Ref only)'!Y542)</f>
        <v/>
      </c>
      <c r="AJ531" s="298" t="str">
        <f>IF(C531="", "",'Lighting Inventory (Ref only)'!AB542)</f>
        <v/>
      </c>
      <c r="AK531" s="375" t="str">
        <f>IF(B531="", "", 'Lighting Inventory (Ref only)'!AG542)</f>
        <v/>
      </c>
      <c r="AL531" s="375" t="str">
        <f>IF(B531="", "", 'Lighting Inventory (Ref only)'!AD542)</f>
        <v/>
      </c>
      <c r="AM531" s="375" t="str">
        <f>IF(B531="", "", 'Lighting Inventory (Ref only)'!AE542)</f>
        <v/>
      </c>
      <c r="AN531" s="375" t="str">
        <f>IF(B531="", "", 'Lighting Inventory (Ref only)'!AF542)</f>
        <v/>
      </c>
      <c r="AO531" s="375" t="str">
        <f>IF(B531="", "", 'Lighting Inventory (Ref only)'!AG542)</f>
        <v/>
      </c>
    </row>
    <row r="532" spans="1:41">
      <c r="A532" s="298" t="str">
        <f>IF(G532="", "", Lookups!BF534)</f>
        <v/>
      </c>
      <c r="B532" s="298" t="str">
        <f>IF('Lighting Inventory (Ref only)'!Q543="", "", 'Lighting Inventory (Ref only)'!Q543)</f>
        <v/>
      </c>
      <c r="C532" s="298" t="str">
        <f>IF(A532="", "", 'Lighting Inventory (Ref only)'!AO543)</f>
        <v/>
      </c>
      <c r="D532" s="298" t="str">
        <f>IF(B532= "","", Inventory!S540)</f>
        <v/>
      </c>
      <c r="F532" s="298" t="str">
        <f>IF(B532="", "", 'Version Log'!$B$34)</f>
        <v/>
      </c>
      <c r="G532" s="298" t="str">
        <f t="shared" si="32"/>
        <v/>
      </c>
      <c r="H532" s="298" t="str">
        <f t="shared" si="33"/>
        <v/>
      </c>
      <c r="I532" s="298" t="str">
        <f>IF(B532="", "",Inventory!D540)</f>
        <v/>
      </c>
      <c r="J532" s="298" t="str">
        <f>IF(B532="","",IF(Inventory!C540="N","Interior","Exterior"))</f>
        <v/>
      </c>
      <c r="K532" s="298" t="str">
        <f t="shared" si="34"/>
        <v/>
      </c>
      <c r="L532" s="298" t="str">
        <f>IF(B532="", "", Inventory!E540)</f>
        <v/>
      </c>
      <c r="M532" s="298" t="str">
        <f>IF(B532="","",IF(Cool_Type=Lookups!$L$9,Cool_Type,IF(Cool_Type=Lookups!$L$10,Cool_Type,IF(Cool_Type=Lookups!$L$11,Cool_Type,IF(Cool_Type=Lookups!L542,Cool_Type,IF('Project Info and Summary'!$C$20="Electric",CONCATENATE(Cool_Type," ",Heating_Type," Heat"),IF('Project Info and Summary'!$C$20="Non-Electric",CONCATENATE(Cool_Type," ",Heating_Type," Heat"),CONCATENATE(Cool_Type," ",Heating_Type))))))))</f>
        <v/>
      </c>
      <c r="N532" s="298" t="str">
        <f t="shared" si="35"/>
        <v/>
      </c>
      <c r="O532" s="298" t="str">
        <f>IF(B532="", "", 'Lighting Inventory (Ref only)'!G543)</f>
        <v/>
      </c>
      <c r="P532" s="298" t="str">
        <f>IF(B532="", "", 'Lighting Inventory (Ref only)'!E543)</f>
        <v/>
      </c>
      <c r="Q532" s="298" t="str">
        <f>IF(B532="", "", 'Lighting Inventory (Ref only)'!J543)</f>
        <v/>
      </c>
      <c r="R532" s="298" t="str">
        <f>IF(B532="", "",'Lighting Inventory (Ref only)'!K543)</f>
        <v/>
      </c>
      <c r="S532" s="372" t="str">
        <f>IF(B532="", "", 'Lighting Inventory (Ref only)'!G543*'Lighting Inventory (Ref only)'!K543/1000)</f>
        <v/>
      </c>
      <c r="T532" s="298" t="str">
        <f>IF(B532="", "", IF('Lighting Inventory (Ref only)'!I543="", "Light Switch",Inventory!H540))</f>
        <v/>
      </c>
      <c r="X532" s="298" t="str">
        <f>IF(B532="", "", 'Lighting Inventory (Ref only)'!Q543)</f>
        <v/>
      </c>
      <c r="AA532" s="298" t="str">
        <f>IF(B532="", "",'Lighting Inventory (Ref only)'!R543/1000)</f>
        <v/>
      </c>
      <c r="AB532" s="298" t="str">
        <f>IF(B532="", "", Inventory!M540)</f>
        <v/>
      </c>
      <c r="AC532" s="298" t="str">
        <f>IF(B532="", "", 'Lighting Inventory (Ref only)'!T543)</f>
        <v/>
      </c>
      <c r="AD532" s="298" t="str">
        <f>IF(C532="", "", 'Lighting Inventory (Ref only)'!AA543)</f>
        <v/>
      </c>
      <c r="AE532" s="298" t="str">
        <f>IF(B532="", "", 'Lighting Inventory (Ref only)'!U543)</f>
        <v/>
      </c>
      <c r="AF532" s="298" t="str">
        <f>IF(B532="", "",'Lighting Inventory (Ref only)'!W543)</f>
        <v/>
      </c>
      <c r="AH532" s="298" t="str">
        <f>IF(B532="", "",'Lighting Inventory (Ref only)'!Z543)</f>
        <v/>
      </c>
      <c r="AI532" s="298" t="str">
        <f>IF(B532="", "", 'Lighting Inventory (Ref only)'!Y543)</f>
        <v/>
      </c>
      <c r="AJ532" s="298" t="str">
        <f>IF(C532="", "",'Lighting Inventory (Ref only)'!AB543)</f>
        <v/>
      </c>
      <c r="AK532" s="375" t="str">
        <f>IF(B532="", "", 'Lighting Inventory (Ref only)'!AG543)</f>
        <v/>
      </c>
      <c r="AL532" s="375" t="str">
        <f>IF(B532="", "", 'Lighting Inventory (Ref only)'!AD543)</f>
        <v/>
      </c>
      <c r="AM532" s="375" t="str">
        <f>IF(B532="", "", 'Lighting Inventory (Ref only)'!AE543)</f>
        <v/>
      </c>
      <c r="AN532" s="375" t="str">
        <f>IF(B532="", "", 'Lighting Inventory (Ref only)'!AF543)</f>
        <v/>
      </c>
      <c r="AO532" s="375" t="str">
        <f>IF(B532="", "", 'Lighting Inventory (Ref only)'!AG543)</f>
        <v/>
      </c>
    </row>
    <row r="533" spans="1:41">
      <c r="A533" s="298" t="str">
        <f>IF(G533="", "", Lookups!BF535)</f>
        <v/>
      </c>
      <c r="B533" s="298" t="str">
        <f>IF('Lighting Inventory (Ref only)'!Q544="", "", 'Lighting Inventory (Ref only)'!Q544)</f>
        <v/>
      </c>
      <c r="C533" s="298" t="str">
        <f>IF(A533="", "", 'Lighting Inventory (Ref only)'!AO544)</f>
        <v/>
      </c>
      <c r="D533" s="298" t="str">
        <f>IF(B533= "","", Inventory!S541)</f>
        <v/>
      </c>
      <c r="F533" s="298" t="str">
        <f>IF(B533="", "", 'Version Log'!$B$34)</f>
        <v/>
      </c>
      <c r="G533" s="298" t="str">
        <f t="shared" si="32"/>
        <v/>
      </c>
      <c r="H533" s="298" t="str">
        <f t="shared" si="33"/>
        <v/>
      </c>
      <c r="I533" s="298" t="str">
        <f>IF(B533="", "",Inventory!D541)</f>
        <v/>
      </c>
      <c r="J533" s="298" t="str">
        <f>IF(B533="","",IF(Inventory!C541="N","Interior","Exterior"))</f>
        <v/>
      </c>
      <c r="K533" s="298" t="str">
        <f t="shared" si="34"/>
        <v/>
      </c>
      <c r="L533" s="298" t="str">
        <f>IF(B533="", "", Inventory!E541)</f>
        <v/>
      </c>
      <c r="M533" s="298" t="str">
        <f>IF(B533="","",IF(Cool_Type=Lookups!$L$9,Cool_Type,IF(Cool_Type=Lookups!$L$10,Cool_Type,IF(Cool_Type=Lookups!$L$11,Cool_Type,IF(Cool_Type=Lookups!L543,Cool_Type,IF('Project Info and Summary'!$C$20="Electric",CONCATENATE(Cool_Type," ",Heating_Type," Heat"),IF('Project Info and Summary'!$C$20="Non-Electric",CONCATENATE(Cool_Type," ",Heating_Type," Heat"),CONCATENATE(Cool_Type," ",Heating_Type))))))))</f>
        <v/>
      </c>
      <c r="N533" s="298" t="str">
        <f t="shared" si="35"/>
        <v/>
      </c>
      <c r="O533" s="298" t="str">
        <f>IF(B533="", "", 'Lighting Inventory (Ref only)'!G544)</f>
        <v/>
      </c>
      <c r="P533" s="298" t="str">
        <f>IF(B533="", "", 'Lighting Inventory (Ref only)'!E544)</f>
        <v/>
      </c>
      <c r="Q533" s="298" t="str">
        <f>IF(B533="", "", 'Lighting Inventory (Ref only)'!J544)</f>
        <v/>
      </c>
      <c r="R533" s="298" t="str">
        <f>IF(B533="", "",'Lighting Inventory (Ref only)'!K544)</f>
        <v/>
      </c>
      <c r="S533" s="372" t="str">
        <f>IF(B533="", "", 'Lighting Inventory (Ref only)'!G544*'Lighting Inventory (Ref only)'!K544/1000)</f>
        <v/>
      </c>
      <c r="T533" s="298" t="str">
        <f>IF(B533="", "", IF('Lighting Inventory (Ref only)'!I544="", "Light Switch",Inventory!H541))</f>
        <v/>
      </c>
      <c r="X533" s="298" t="str">
        <f>IF(B533="", "", 'Lighting Inventory (Ref only)'!Q544)</f>
        <v/>
      </c>
      <c r="AA533" s="298" t="str">
        <f>IF(B533="", "",'Lighting Inventory (Ref only)'!R544/1000)</f>
        <v/>
      </c>
      <c r="AB533" s="298" t="str">
        <f>IF(B533="", "", Inventory!M541)</f>
        <v/>
      </c>
      <c r="AC533" s="298" t="str">
        <f>IF(B533="", "", 'Lighting Inventory (Ref only)'!T544)</f>
        <v/>
      </c>
      <c r="AD533" s="298" t="str">
        <f>IF(C533="", "", 'Lighting Inventory (Ref only)'!AA544)</f>
        <v/>
      </c>
      <c r="AE533" s="298" t="str">
        <f>IF(B533="", "", 'Lighting Inventory (Ref only)'!U544)</f>
        <v/>
      </c>
      <c r="AF533" s="298" t="str">
        <f>IF(B533="", "",'Lighting Inventory (Ref only)'!W544)</f>
        <v/>
      </c>
      <c r="AH533" s="298" t="str">
        <f>IF(B533="", "",'Lighting Inventory (Ref only)'!Z544)</f>
        <v/>
      </c>
      <c r="AI533" s="298" t="str">
        <f>IF(B533="", "", 'Lighting Inventory (Ref only)'!Y544)</f>
        <v/>
      </c>
      <c r="AJ533" s="298" t="str">
        <f>IF(C533="", "",'Lighting Inventory (Ref only)'!AB544)</f>
        <v/>
      </c>
      <c r="AK533" s="375" t="str">
        <f>IF(B533="", "", 'Lighting Inventory (Ref only)'!AG544)</f>
        <v/>
      </c>
      <c r="AL533" s="375" t="str">
        <f>IF(B533="", "", 'Lighting Inventory (Ref only)'!AD544)</f>
        <v/>
      </c>
      <c r="AM533" s="375" t="str">
        <f>IF(B533="", "", 'Lighting Inventory (Ref only)'!AE544)</f>
        <v/>
      </c>
      <c r="AN533" s="375" t="str">
        <f>IF(B533="", "", 'Lighting Inventory (Ref only)'!AF544)</f>
        <v/>
      </c>
      <c r="AO533" s="375" t="str">
        <f>IF(B533="", "", 'Lighting Inventory (Ref only)'!AG544)</f>
        <v/>
      </c>
    </row>
    <row r="534" spans="1:41">
      <c r="A534" s="298" t="str">
        <f>IF(G534="", "", Lookups!BF536)</f>
        <v/>
      </c>
      <c r="B534" s="298" t="str">
        <f>IF('Lighting Inventory (Ref only)'!Q545="", "", 'Lighting Inventory (Ref only)'!Q545)</f>
        <v/>
      </c>
      <c r="C534" s="298" t="str">
        <f>IF(A534="", "", 'Lighting Inventory (Ref only)'!AO545)</f>
        <v/>
      </c>
      <c r="D534" s="298" t="str">
        <f>IF(B534= "","", Inventory!S542)</f>
        <v/>
      </c>
      <c r="F534" s="298" t="str">
        <f>IF(B534="", "", 'Version Log'!$B$34)</f>
        <v/>
      </c>
      <c r="G534" s="298" t="str">
        <f t="shared" si="32"/>
        <v/>
      </c>
      <c r="H534" s="298" t="str">
        <f t="shared" si="33"/>
        <v/>
      </c>
      <c r="I534" s="298" t="str">
        <f>IF(B534="", "",Inventory!D542)</f>
        <v/>
      </c>
      <c r="J534" s="298" t="str">
        <f>IF(B534="","",IF(Inventory!C542="N","Interior","Exterior"))</f>
        <v/>
      </c>
      <c r="K534" s="298" t="str">
        <f t="shared" si="34"/>
        <v/>
      </c>
      <c r="L534" s="298" t="str">
        <f>IF(B534="", "", Inventory!E542)</f>
        <v/>
      </c>
      <c r="M534" s="298" t="str">
        <f>IF(B534="","",IF(Cool_Type=Lookups!$L$9,Cool_Type,IF(Cool_Type=Lookups!$L$10,Cool_Type,IF(Cool_Type=Lookups!$L$11,Cool_Type,IF(Cool_Type=Lookups!L544,Cool_Type,IF('Project Info and Summary'!$C$20="Electric",CONCATENATE(Cool_Type," ",Heating_Type," Heat"),IF('Project Info and Summary'!$C$20="Non-Electric",CONCATENATE(Cool_Type," ",Heating_Type," Heat"),CONCATENATE(Cool_Type," ",Heating_Type))))))))</f>
        <v/>
      </c>
      <c r="N534" s="298" t="str">
        <f t="shared" si="35"/>
        <v/>
      </c>
      <c r="O534" s="298" t="str">
        <f>IF(B534="", "", 'Lighting Inventory (Ref only)'!G545)</f>
        <v/>
      </c>
      <c r="P534" s="298" t="str">
        <f>IF(B534="", "", 'Lighting Inventory (Ref only)'!E545)</f>
        <v/>
      </c>
      <c r="Q534" s="298" t="str">
        <f>IF(B534="", "", 'Lighting Inventory (Ref only)'!J545)</f>
        <v/>
      </c>
      <c r="R534" s="298" t="str">
        <f>IF(B534="", "",'Lighting Inventory (Ref only)'!K545)</f>
        <v/>
      </c>
      <c r="S534" s="372" t="str">
        <f>IF(B534="", "", 'Lighting Inventory (Ref only)'!G545*'Lighting Inventory (Ref only)'!K545/1000)</f>
        <v/>
      </c>
      <c r="T534" s="298" t="str">
        <f>IF(B534="", "", IF('Lighting Inventory (Ref only)'!I545="", "Light Switch",Inventory!H542))</f>
        <v/>
      </c>
      <c r="X534" s="298" t="str">
        <f>IF(B534="", "", 'Lighting Inventory (Ref only)'!Q545)</f>
        <v/>
      </c>
      <c r="AA534" s="298" t="str">
        <f>IF(B534="", "",'Lighting Inventory (Ref only)'!R545/1000)</f>
        <v/>
      </c>
      <c r="AB534" s="298" t="str">
        <f>IF(B534="", "", Inventory!M542)</f>
        <v/>
      </c>
      <c r="AC534" s="298" t="str">
        <f>IF(B534="", "", 'Lighting Inventory (Ref only)'!T545)</f>
        <v/>
      </c>
      <c r="AD534" s="298" t="str">
        <f>IF(C534="", "", 'Lighting Inventory (Ref only)'!AA545)</f>
        <v/>
      </c>
      <c r="AE534" s="298" t="str">
        <f>IF(B534="", "", 'Lighting Inventory (Ref only)'!U545)</f>
        <v/>
      </c>
      <c r="AF534" s="298" t="str">
        <f>IF(B534="", "",'Lighting Inventory (Ref only)'!W545)</f>
        <v/>
      </c>
      <c r="AH534" s="298" t="str">
        <f>IF(B534="", "",'Lighting Inventory (Ref only)'!Z545)</f>
        <v/>
      </c>
      <c r="AI534" s="298" t="str">
        <f>IF(B534="", "", 'Lighting Inventory (Ref only)'!Y545)</f>
        <v/>
      </c>
      <c r="AJ534" s="298" t="str">
        <f>IF(C534="", "",'Lighting Inventory (Ref only)'!AB545)</f>
        <v/>
      </c>
      <c r="AK534" s="375" t="str">
        <f>IF(B534="", "", 'Lighting Inventory (Ref only)'!AG545)</f>
        <v/>
      </c>
      <c r="AL534" s="375" t="str">
        <f>IF(B534="", "", 'Lighting Inventory (Ref only)'!AD545)</f>
        <v/>
      </c>
      <c r="AM534" s="375" t="str">
        <f>IF(B534="", "", 'Lighting Inventory (Ref only)'!AE545)</f>
        <v/>
      </c>
      <c r="AN534" s="375" t="str">
        <f>IF(B534="", "", 'Lighting Inventory (Ref only)'!AF545)</f>
        <v/>
      </c>
      <c r="AO534" s="375" t="str">
        <f>IF(B534="", "", 'Lighting Inventory (Ref only)'!AG545)</f>
        <v/>
      </c>
    </row>
    <row r="535" spans="1:41">
      <c r="A535" s="298" t="str">
        <f>IF(G535="", "", Lookups!BF537)</f>
        <v/>
      </c>
      <c r="B535" s="298" t="str">
        <f>IF('Lighting Inventory (Ref only)'!Q546="", "", 'Lighting Inventory (Ref only)'!Q546)</f>
        <v/>
      </c>
      <c r="C535" s="298" t="str">
        <f>IF(A535="", "", 'Lighting Inventory (Ref only)'!AO546)</f>
        <v/>
      </c>
      <c r="D535" s="298" t="str">
        <f>IF(B535= "","", Inventory!S543)</f>
        <v/>
      </c>
      <c r="F535" s="298" t="str">
        <f>IF(B535="", "", 'Version Log'!$B$34)</f>
        <v/>
      </c>
      <c r="G535" s="298" t="str">
        <f t="shared" si="32"/>
        <v/>
      </c>
      <c r="H535" s="298" t="str">
        <f t="shared" si="33"/>
        <v/>
      </c>
      <c r="I535" s="298" t="str">
        <f>IF(B535="", "",Inventory!D543)</f>
        <v/>
      </c>
      <c r="J535" s="298" t="str">
        <f>IF(B535="","",IF(Inventory!C543="N","Interior","Exterior"))</f>
        <v/>
      </c>
      <c r="K535" s="298" t="str">
        <f t="shared" si="34"/>
        <v/>
      </c>
      <c r="L535" s="298" t="str">
        <f>IF(B535="", "", Inventory!E543)</f>
        <v/>
      </c>
      <c r="M535" s="298" t="str">
        <f>IF(B535="","",IF(Cool_Type=Lookups!$L$9,Cool_Type,IF(Cool_Type=Lookups!$L$10,Cool_Type,IF(Cool_Type=Lookups!$L$11,Cool_Type,IF(Cool_Type=Lookups!L545,Cool_Type,IF('Project Info and Summary'!$C$20="Electric",CONCATENATE(Cool_Type," ",Heating_Type," Heat"),IF('Project Info and Summary'!$C$20="Non-Electric",CONCATENATE(Cool_Type," ",Heating_Type," Heat"),CONCATENATE(Cool_Type," ",Heating_Type))))))))</f>
        <v/>
      </c>
      <c r="N535" s="298" t="str">
        <f t="shared" si="35"/>
        <v/>
      </c>
      <c r="O535" s="298" t="str">
        <f>IF(B535="", "", 'Lighting Inventory (Ref only)'!G546)</f>
        <v/>
      </c>
      <c r="P535" s="298" t="str">
        <f>IF(B535="", "", 'Lighting Inventory (Ref only)'!E546)</f>
        <v/>
      </c>
      <c r="Q535" s="298" t="str">
        <f>IF(B535="", "", 'Lighting Inventory (Ref only)'!J546)</f>
        <v/>
      </c>
      <c r="R535" s="298" t="str">
        <f>IF(B535="", "",'Lighting Inventory (Ref only)'!K546)</f>
        <v/>
      </c>
      <c r="S535" s="372" t="str">
        <f>IF(B535="", "", 'Lighting Inventory (Ref only)'!G546*'Lighting Inventory (Ref only)'!K546/1000)</f>
        <v/>
      </c>
      <c r="T535" s="298" t="str">
        <f>IF(B535="", "", IF('Lighting Inventory (Ref only)'!I546="", "Light Switch",Inventory!H543))</f>
        <v/>
      </c>
      <c r="X535" s="298" t="str">
        <f>IF(B535="", "", 'Lighting Inventory (Ref only)'!Q546)</f>
        <v/>
      </c>
      <c r="AA535" s="298" t="str">
        <f>IF(B535="", "",'Lighting Inventory (Ref only)'!R546/1000)</f>
        <v/>
      </c>
      <c r="AB535" s="298" t="str">
        <f>IF(B535="", "", Inventory!M543)</f>
        <v/>
      </c>
      <c r="AC535" s="298" t="str">
        <f>IF(B535="", "", 'Lighting Inventory (Ref only)'!T546)</f>
        <v/>
      </c>
      <c r="AD535" s="298" t="str">
        <f>IF(C535="", "", 'Lighting Inventory (Ref only)'!AA546)</f>
        <v/>
      </c>
      <c r="AE535" s="298" t="str">
        <f>IF(B535="", "", 'Lighting Inventory (Ref only)'!U546)</f>
        <v/>
      </c>
      <c r="AF535" s="298" t="str">
        <f>IF(B535="", "",'Lighting Inventory (Ref only)'!W546)</f>
        <v/>
      </c>
      <c r="AH535" s="298" t="str">
        <f>IF(B535="", "",'Lighting Inventory (Ref only)'!Z546)</f>
        <v/>
      </c>
      <c r="AI535" s="298" t="str">
        <f>IF(B535="", "", 'Lighting Inventory (Ref only)'!Y546)</f>
        <v/>
      </c>
      <c r="AJ535" s="298" t="str">
        <f>IF(C535="", "",'Lighting Inventory (Ref only)'!AB546)</f>
        <v/>
      </c>
      <c r="AK535" s="375" t="str">
        <f>IF(B535="", "", 'Lighting Inventory (Ref only)'!AG546)</f>
        <v/>
      </c>
      <c r="AL535" s="375" t="str">
        <f>IF(B535="", "", 'Lighting Inventory (Ref only)'!AD546)</f>
        <v/>
      </c>
      <c r="AM535" s="375" t="str">
        <f>IF(B535="", "", 'Lighting Inventory (Ref only)'!AE546)</f>
        <v/>
      </c>
      <c r="AN535" s="375" t="str">
        <f>IF(B535="", "", 'Lighting Inventory (Ref only)'!AF546)</f>
        <v/>
      </c>
      <c r="AO535" s="375" t="str">
        <f>IF(B535="", "", 'Lighting Inventory (Ref only)'!AG546)</f>
        <v/>
      </c>
    </row>
    <row r="536" spans="1:41">
      <c r="A536" s="298" t="str">
        <f>IF(G536="", "", Lookups!BF538)</f>
        <v/>
      </c>
      <c r="B536" s="298" t="str">
        <f>IF('Lighting Inventory (Ref only)'!Q547="", "", 'Lighting Inventory (Ref only)'!Q547)</f>
        <v/>
      </c>
      <c r="C536" s="298" t="str">
        <f>IF(A536="", "", 'Lighting Inventory (Ref only)'!AO547)</f>
        <v/>
      </c>
      <c r="D536" s="298" t="str">
        <f>IF(B536= "","", Inventory!S544)</f>
        <v/>
      </c>
      <c r="F536" s="298" t="str">
        <f>IF(B536="", "", 'Version Log'!$B$34)</f>
        <v/>
      </c>
      <c r="G536" s="298" t="str">
        <f t="shared" si="32"/>
        <v/>
      </c>
      <c r="H536" s="298" t="str">
        <f t="shared" si="33"/>
        <v/>
      </c>
      <c r="I536" s="298" t="str">
        <f>IF(B536="", "",Inventory!D544)</f>
        <v/>
      </c>
      <c r="J536" s="298" t="str">
        <f>IF(B536="","",IF(Inventory!C544="N","Interior","Exterior"))</f>
        <v/>
      </c>
      <c r="K536" s="298" t="str">
        <f t="shared" si="34"/>
        <v/>
      </c>
      <c r="L536" s="298" t="str">
        <f>IF(B536="", "", Inventory!E544)</f>
        <v/>
      </c>
      <c r="M536" s="298" t="str">
        <f>IF(B536="","",IF(Cool_Type=Lookups!$L$9,Cool_Type,IF(Cool_Type=Lookups!$L$10,Cool_Type,IF(Cool_Type=Lookups!$L$11,Cool_Type,IF(Cool_Type=Lookups!L546,Cool_Type,IF('Project Info and Summary'!$C$20="Electric",CONCATENATE(Cool_Type," ",Heating_Type," Heat"),IF('Project Info and Summary'!$C$20="Non-Electric",CONCATENATE(Cool_Type," ",Heating_Type," Heat"),CONCATENATE(Cool_Type," ",Heating_Type))))))))</f>
        <v/>
      </c>
      <c r="N536" s="298" t="str">
        <f t="shared" si="35"/>
        <v/>
      </c>
      <c r="O536" s="298" t="str">
        <f>IF(B536="", "", 'Lighting Inventory (Ref only)'!G547)</f>
        <v/>
      </c>
      <c r="P536" s="298" t="str">
        <f>IF(B536="", "", 'Lighting Inventory (Ref only)'!E547)</f>
        <v/>
      </c>
      <c r="Q536" s="298" t="str">
        <f>IF(B536="", "", 'Lighting Inventory (Ref only)'!J547)</f>
        <v/>
      </c>
      <c r="R536" s="298" t="str">
        <f>IF(B536="", "",'Lighting Inventory (Ref only)'!K547)</f>
        <v/>
      </c>
      <c r="S536" s="372" t="str">
        <f>IF(B536="", "", 'Lighting Inventory (Ref only)'!G547*'Lighting Inventory (Ref only)'!K547/1000)</f>
        <v/>
      </c>
      <c r="T536" s="298" t="str">
        <f>IF(B536="", "", IF('Lighting Inventory (Ref only)'!I547="", "Light Switch",Inventory!H544))</f>
        <v/>
      </c>
      <c r="X536" s="298" t="str">
        <f>IF(B536="", "", 'Lighting Inventory (Ref only)'!Q547)</f>
        <v/>
      </c>
      <c r="AA536" s="298" t="str">
        <f>IF(B536="", "",'Lighting Inventory (Ref only)'!R547/1000)</f>
        <v/>
      </c>
      <c r="AB536" s="298" t="str">
        <f>IF(B536="", "", Inventory!M544)</f>
        <v/>
      </c>
      <c r="AC536" s="298" t="str">
        <f>IF(B536="", "", 'Lighting Inventory (Ref only)'!T547)</f>
        <v/>
      </c>
      <c r="AD536" s="298" t="str">
        <f>IF(C536="", "", 'Lighting Inventory (Ref only)'!AA547)</f>
        <v/>
      </c>
      <c r="AE536" s="298" t="str">
        <f>IF(B536="", "", 'Lighting Inventory (Ref only)'!U547)</f>
        <v/>
      </c>
      <c r="AF536" s="298" t="str">
        <f>IF(B536="", "",'Lighting Inventory (Ref only)'!W547)</f>
        <v/>
      </c>
      <c r="AH536" s="298" t="str">
        <f>IF(B536="", "",'Lighting Inventory (Ref only)'!Z547)</f>
        <v/>
      </c>
      <c r="AI536" s="298" t="str">
        <f>IF(B536="", "", 'Lighting Inventory (Ref only)'!Y547)</f>
        <v/>
      </c>
      <c r="AJ536" s="298" t="str">
        <f>IF(C536="", "",'Lighting Inventory (Ref only)'!AB547)</f>
        <v/>
      </c>
      <c r="AK536" s="375" t="str">
        <f>IF(B536="", "", 'Lighting Inventory (Ref only)'!AG547)</f>
        <v/>
      </c>
      <c r="AL536" s="375" t="str">
        <f>IF(B536="", "", 'Lighting Inventory (Ref only)'!AD547)</f>
        <v/>
      </c>
      <c r="AM536" s="375" t="str">
        <f>IF(B536="", "", 'Lighting Inventory (Ref only)'!AE547)</f>
        <v/>
      </c>
      <c r="AN536" s="375" t="str">
        <f>IF(B536="", "", 'Lighting Inventory (Ref only)'!AF547)</f>
        <v/>
      </c>
      <c r="AO536" s="375" t="str">
        <f>IF(B536="", "", 'Lighting Inventory (Ref only)'!AG547)</f>
        <v/>
      </c>
    </row>
    <row r="537" spans="1:41">
      <c r="A537" s="298" t="str">
        <f>IF(G537="", "", Lookups!BF539)</f>
        <v/>
      </c>
      <c r="B537" s="298" t="str">
        <f>IF('Lighting Inventory (Ref only)'!Q548="", "", 'Lighting Inventory (Ref only)'!Q548)</f>
        <v/>
      </c>
      <c r="C537" s="298" t="str">
        <f>IF(A537="", "", 'Lighting Inventory (Ref only)'!AO548)</f>
        <v/>
      </c>
      <c r="D537" s="298" t="str">
        <f>IF(B537= "","", Inventory!S545)</f>
        <v/>
      </c>
      <c r="F537" s="298" t="str">
        <f>IF(B537="", "", 'Version Log'!$B$34)</f>
        <v/>
      </c>
      <c r="G537" s="298" t="str">
        <f t="shared" si="32"/>
        <v/>
      </c>
      <c r="H537" s="298" t="str">
        <f t="shared" si="33"/>
        <v/>
      </c>
      <c r="I537" s="298" t="str">
        <f>IF(B537="", "",Inventory!D545)</f>
        <v/>
      </c>
      <c r="J537" s="298" t="str">
        <f>IF(B537="","",IF(Inventory!C545="N","Interior","Exterior"))</f>
        <v/>
      </c>
      <c r="K537" s="298" t="str">
        <f t="shared" si="34"/>
        <v/>
      </c>
      <c r="L537" s="298" t="str">
        <f>IF(B537="", "", Inventory!E545)</f>
        <v/>
      </c>
      <c r="M537" s="298" t="str">
        <f>IF(B537="","",IF(Cool_Type=Lookups!$L$9,Cool_Type,IF(Cool_Type=Lookups!$L$10,Cool_Type,IF(Cool_Type=Lookups!$L$11,Cool_Type,IF(Cool_Type=Lookups!L547,Cool_Type,IF('Project Info and Summary'!$C$20="Electric",CONCATENATE(Cool_Type," ",Heating_Type," Heat"),IF('Project Info and Summary'!$C$20="Non-Electric",CONCATENATE(Cool_Type," ",Heating_Type," Heat"),CONCATENATE(Cool_Type," ",Heating_Type))))))))</f>
        <v/>
      </c>
      <c r="N537" s="298" t="str">
        <f t="shared" si="35"/>
        <v/>
      </c>
      <c r="O537" s="298" t="str">
        <f>IF(B537="", "", 'Lighting Inventory (Ref only)'!G548)</f>
        <v/>
      </c>
      <c r="P537" s="298" t="str">
        <f>IF(B537="", "", 'Lighting Inventory (Ref only)'!E548)</f>
        <v/>
      </c>
      <c r="Q537" s="298" t="str">
        <f>IF(B537="", "", 'Lighting Inventory (Ref only)'!J548)</f>
        <v/>
      </c>
      <c r="R537" s="298" t="str">
        <f>IF(B537="", "",'Lighting Inventory (Ref only)'!K548)</f>
        <v/>
      </c>
      <c r="S537" s="372" t="str">
        <f>IF(B537="", "", 'Lighting Inventory (Ref only)'!G548*'Lighting Inventory (Ref only)'!K548/1000)</f>
        <v/>
      </c>
      <c r="T537" s="298" t="str">
        <f>IF(B537="", "", IF('Lighting Inventory (Ref only)'!I548="", "Light Switch",Inventory!H545))</f>
        <v/>
      </c>
      <c r="X537" s="298" t="str">
        <f>IF(B537="", "", 'Lighting Inventory (Ref only)'!Q548)</f>
        <v/>
      </c>
      <c r="AA537" s="298" t="str">
        <f>IF(B537="", "",'Lighting Inventory (Ref only)'!R548/1000)</f>
        <v/>
      </c>
      <c r="AB537" s="298" t="str">
        <f>IF(B537="", "", Inventory!M545)</f>
        <v/>
      </c>
      <c r="AC537" s="298" t="str">
        <f>IF(B537="", "", 'Lighting Inventory (Ref only)'!T548)</f>
        <v/>
      </c>
      <c r="AD537" s="298" t="str">
        <f>IF(C537="", "", 'Lighting Inventory (Ref only)'!AA548)</f>
        <v/>
      </c>
      <c r="AE537" s="298" t="str">
        <f>IF(B537="", "", 'Lighting Inventory (Ref only)'!U548)</f>
        <v/>
      </c>
      <c r="AF537" s="298" t="str">
        <f>IF(B537="", "",'Lighting Inventory (Ref only)'!W548)</f>
        <v/>
      </c>
      <c r="AH537" s="298" t="str">
        <f>IF(B537="", "",'Lighting Inventory (Ref only)'!Z548)</f>
        <v/>
      </c>
      <c r="AI537" s="298" t="str">
        <f>IF(B537="", "", 'Lighting Inventory (Ref only)'!Y548)</f>
        <v/>
      </c>
      <c r="AJ537" s="298" t="str">
        <f>IF(C537="", "",'Lighting Inventory (Ref only)'!AB548)</f>
        <v/>
      </c>
      <c r="AK537" s="375" t="str">
        <f>IF(B537="", "", 'Lighting Inventory (Ref only)'!AG548)</f>
        <v/>
      </c>
      <c r="AL537" s="375" t="str">
        <f>IF(B537="", "", 'Lighting Inventory (Ref only)'!AD548)</f>
        <v/>
      </c>
      <c r="AM537" s="375" t="str">
        <f>IF(B537="", "", 'Lighting Inventory (Ref only)'!AE548)</f>
        <v/>
      </c>
      <c r="AN537" s="375" t="str">
        <f>IF(B537="", "", 'Lighting Inventory (Ref only)'!AF548)</f>
        <v/>
      </c>
      <c r="AO537" s="375" t="str">
        <f>IF(B537="", "", 'Lighting Inventory (Ref only)'!AG548)</f>
        <v/>
      </c>
    </row>
    <row r="538" spans="1:41">
      <c r="A538" s="298" t="str">
        <f>IF(G538="", "", Lookups!BF540)</f>
        <v/>
      </c>
      <c r="B538" s="298" t="str">
        <f>IF('Lighting Inventory (Ref only)'!Q549="", "", 'Lighting Inventory (Ref only)'!Q549)</f>
        <v/>
      </c>
      <c r="C538" s="298" t="str">
        <f>IF(A538="", "", 'Lighting Inventory (Ref only)'!AO549)</f>
        <v/>
      </c>
      <c r="D538" s="298" t="str">
        <f>IF(B538= "","", Inventory!S546)</f>
        <v/>
      </c>
      <c r="F538" s="298" t="str">
        <f>IF(B538="", "", 'Version Log'!$B$34)</f>
        <v/>
      </c>
      <c r="G538" s="298" t="str">
        <f t="shared" si="32"/>
        <v/>
      </c>
      <c r="H538" s="298" t="str">
        <f t="shared" si="33"/>
        <v/>
      </c>
      <c r="I538" s="298" t="str">
        <f>IF(B538="", "",Inventory!D546)</f>
        <v/>
      </c>
      <c r="J538" s="298" t="str">
        <f>IF(B538="","",IF(Inventory!C546="N","Interior","Exterior"))</f>
        <v/>
      </c>
      <c r="K538" s="298" t="str">
        <f t="shared" si="34"/>
        <v/>
      </c>
      <c r="L538" s="298" t="str">
        <f>IF(B538="", "", Inventory!E546)</f>
        <v/>
      </c>
      <c r="M538" s="298" t="str">
        <f>IF(B538="","",IF(Cool_Type=Lookups!$L$9,Cool_Type,IF(Cool_Type=Lookups!$L$10,Cool_Type,IF(Cool_Type=Lookups!$L$11,Cool_Type,IF(Cool_Type=Lookups!L548,Cool_Type,IF('Project Info and Summary'!$C$20="Electric",CONCATENATE(Cool_Type," ",Heating_Type," Heat"),IF('Project Info and Summary'!$C$20="Non-Electric",CONCATENATE(Cool_Type," ",Heating_Type," Heat"),CONCATENATE(Cool_Type," ",Heating_Type))))))))</f>
        <v/>
      </c>
      <c r="N538" s="298" t="str">
        <f t="shared" si="35"/>
        <v/>
      </c>
      <c r="O538" s="298" t="str">
        <f>IF(B538="", "", 'Lighting Inventory (Ref only)'!G549)</f>
        <v/>
      </c>
      <c r="P538" s="298" t="str">
        <f>IF(B538="", "", 'Lighting Inventory (Ref only)'!E549)</f>
        <v/>
      </c>
      <c r="Q538" s="298" t="str">
        <f>IF(B538="", "", 'Lighting Inventory (Ref only)'!J549)</f>
        <v/>
      </c>
      <c r="R538" s="298" t="str">
        <f>IF(B538="", "",'Lighting Inventory (Ref only)'!K549)</f>
        <v/>
      </c>
      <c r="S538" s="372" t="str">
        <f>IF(B538="", "", 'Lighting Inventory (Ref only)'!G549*'Lighting Inventory (Ref only)'!K549/1000)</f>
        <v/>
      </c>
      <c r="T538" s="298" t="str">
        <f>IF(B538="", "", IF('Lighting Inventory (Ref only)'!I549="", "Light Switch",Inventory!H546))</f>
        <v/>
      </c>
      <c r="X538" s="298" t="str">
        <f>IF(B538="", "", 'Lighting Inventory (Ref only)'!Q549)</f>
        <v/>
      </c>
      <c r="AA538" s="298" t="str">
        <f>IF(B538="", "",'Lighting Inventory (Ref only)'!R549/1000)</f>
        <v/>
      </c>
      <c r="AB538" s="298" t="str">
        <f>IF(B538="", "", Inventory!M546)</f>
        <v/>
      </c>
      <c r="AC538" s="298" t="str">
        <f>IF(B538="", "", 'Lighting Inventory (Ref only)'!T549)</f>
        <v/>
      </c>
      <c r="AD538" s="298" t="str">
        <f>IF(C538="", "", 'Lighting Inventory (Ref only)'!AA549)</f>
        <v/>
      </c>
      <c r="AE538" s="298" t="str">
        <f>IF(B538="", "", 'Lighting Inventory (Ref only)'!U549)</f>
        <v/>
      </c>
      <c r="AF538" s="298" t="str">
        <f>IF(B538="", "",'Lighting Inventory (Ref only)'!W549)</f>
        <v/>
      </c>
      <c r="AH538" s="298" t="str">
        <f>IF(B538="", "",'Lighting Inventory (Ref only)'!Z549)</f>
        <v/>
      </c>
      <c r="AI538" s="298" t="str">
        <f>IF(B538="", "", 'Lighting Inventory (Ref only)'!Y549)</f>
        <v/>
      </c>
      <c r="AJ538" s="298" t="str">
        <f>IF(C538="", "",'Lighting Inventory (Ref only)'!AB549)</f>
        <v/>
      </c>
      <c r="AK538" s="375" t="str">
        <f>IF(B538="", "", 'Lighting Inventory (Ref only)'!AG549)</f>
        <v/>
      </c>
      <c r="AL538" s="375" t="str">
        <f>IF(B538="", "", 'Lighting Inventory (Ref only)'!AD549)</f>
        <v/>
      </c>
      <c r="AM538" s="375" t="str">
        <f>IF(B538="", "", 'Lighting Inventory (Ref only)'!AE549)</f>
        <v/>
      </c>
      <c r="AN538" s="375" t="str">
        <f>IF(B538="", "", 'Lighting Inventory (Ref only)'!AF549)</f>
        <v/>
      </c>
      <c r="AO538" s="375" t="str">
        <f>IF(B538="", "", 'Lighting Inventory (Ref only)'!AG549)</f>
        <v/>
      </c>
    </row>
    <row r="539" spans="1:41">
      <c r="A539" s="298" t="str">
        <f>IF(G539="", "", Lookups!BF541)</f>
        <v/>
      </c>
      <c r="B539" s="298" t="str">
        <f>IF('Lighting Inventory (Ref only)'!Q550="", "", 'Lighting Inventory (Ref only)'!Q550)</f>
        <v/>
      </c>
      <c r="C539" s="298" t="str">
        <f>IF(A539="", "", 'Lighting Inventory (Ref only)'!AO550)</f>
        <v/>
      </c>
      <c r="D539" s="298" t="str">
        <f>IF(B539= "","", Inventory!S547)</f>
        <v/>
      </c>
      <c r="F539" s="298" t="str">
        <f>IF(B539="", "", 'Version Log'!$B$34)</f>
        <v/>
      </c>
      <c r="G539" s="298" t="str">
        <f t="shared" si="32"/>
        <v/>
      </c>
      <c r="H539" s="298" t="str">
        <f t="shared" si="33"/>
        <v/>
      </c>
      <c r="I539" s="298" t="str">
        <f>IF(B539="", "",Inventory!D547)</f>
        <v/>
      </c>
      <c r="J539" s="298" t="str">
        <f>IF(B539="","",IF(Inventory!C547="N","Interior","Exterior"))</f>
        <v/>
      </c>
      <c r="K539" s="298" t="str">
        <f t="shared" si="34"/>
        <v/>
      </c>
      <c r="L539" s="298" t="str">
        <f>IF(B539="", "", Inventory!E547)</f>
        <v/>
      </c>
      <c r="M539" s="298" t="str">
        <f>IF(B539="","",IF(Cool_Type=Lookups!$L$9,Cool_Type,IF(Cool_Type=Lookups!$L$10,Cool_Type,IF(Cool_Type=Lookups!$L$11,Cool_Type,IF(Cool_Type=Lookups!L549,Cool_Type,IF('Project Info and Summary'!$C$20="Electric",CONCATENATE(Cool_Type," ",Heating_Type," Heat"),IF('Project Info and Summary'!$C$20="Non-Electric",CONCATENATE(Cool_Type," ",Heating_Type," Heat"),CONCATENATE(Cool_Type," ",Heating_Type))))))))</f>
        <v/>
      </c>
      <c r="N539" s="298" t="str">
        <f t="shared" si="35"/>
        <v/>
      </c>
      <c r="O539" s="298" t="str">
        <f>IF(B539="", "", 'Lighting Inventory (Ref only)'!G550)</f>
        <v/>
      </c>
      <c r="P539" s="298" t="str">
        <f>IF(B539="", "", 'Lighting Inventory (Ref only)'!E550)</f>
        <v/>
      </c>
      <c r="Q539" s="298" t="str">
        <f>IF(B539="", "", 'Lighting Inventory (Ref only)'!J550)</f>
        <v/>
      </c>
      <c r="R539" s="298" t="str">
        <f>IF(B539="", "",'Lighting Inventory (Ref only)'!K550)</f>
        <v/>
      </c>
      <c r="S539" s="372" t="str">
        <f>IF(B539="", "", 'Lighting Inventory (Ref only)'!G550*'Lighting Inventory (Ref only)'!K550/1000)</f>
        <v/>
      </c>
      <c r="T539" s="298" t="str">
        <f>IF(B539="", "", IF('Lighting Inventory (Ref only)'!I550="", "Light Switch",Inventory!H547))</f>
        <v/>
      </c>
      <c r="X539" s="298" t="str">
        <f>IF(B539="", "", 'Lighting Inventory (Ref only)'!Q550)</f>
        <v/>
      </c>
      <c r="AA539" s="298" t="str">
        <f>IF(B539="", "",'Lighting Inventory (Ref only)'!R550/1000)</f>
        <v/>
      </c>
      <c r="AB539" s="298" t="str">
        <f>IF(B539="", "", Inventory!M547)</f>
        <v/>
      </c>
      <c r="AC539" s="298" t="str">
        <f>IF(B539="", "", 'Lighting Inventory (Ref only)'!T550)</f>
        <v/>
      </c>
      <c r="AD539" s="298" t="str">
        <f>IF(C539="", "", 'Lighting Inventory (Ref only)'!AA550)</f>
        <v/>
      </c>
      <c r="AE539" s="298" t="str">
        <f>IF(B539="", "", 'Lighting Inventory (Ref only)'!U550)</f>
        <v/>
      </c>
      <c r="AF539" s="298" t="str">
        <f>IF(B539="", "",'Lighting Inventory (Ref only)'!W550)</f>
        <v/>
      </c>
      <c r="AH539" s="298" t="str">
        <f>IF(B539="", "",'Lighting Inventory (Ref only)'!Z550)</f>
        <v/>
      </c>
      <c r="AI539" s="298" t="str">
        <f>IF(B539="", "", 'Lighting Inventory (Ref only)'!Y550)</f>
        <v/>
      </c>
      <c r="AJ539" s="298" t="str">
        <f>IF(C539="", "",'Lighting Inventory (Ref only)'!AB550)</f>
        <v/>
      </c>
      <c r="AK539" s="375" t="str">
        <f>IF(B539="", "", 'Lighting Inventory (Ref only)'!AG550)</f>
        <v/>
      </c>
      <c r="AL539" s="375" t="str">
        <f>IF(B539="", "", 'Lighting Inventory (Ref only)'!AD550)</f>
        <v/>
      </c>
      <c r="AM539" s="375" t="str">
        <f>IF(B539="", "", 'Lighting Inventory (Ref only)'!AE550)</f>
        <v/>
      </c>
      <c r="AN539" s="375" t="str">
        <f>IF(B539="", "", 'Lighting Inventory (Ref only)'!AF550)</f>
        <v/>
      </c>
      <c r="AO539" s="375" t="str">
        <f>IF(B539="", "", 'Lighting Inventory (Ref only)'!AG550)</f>
        <v/>
      </c>
    </row>
    <row r="540" spans="1:41">
      <c r="A540" s="298" t="str">
        <f>IF(G540="", "", Lookups!BF542)</f>
        <v/>
      </c>
      <c r="B540" s="298" t="str">
        <f>IF('Lighting Inventory (Ref only)'!Q551="", "", 'Lighting Inventory (Ref only)'!Q551)</f>
        <v/>
      </c>
      <c r="C540" s="298" t="str">
        <f>IF(A540="", "", 'Lighting Inventory (Ref only)'!AO551)</f>
        <v/>
      </c>
      <c r="D540" s="298" t="str">
        <f>IF(B540= "","", Inventory!S548)</f>
        <v/>
      </c>
      <c r="F540" s="298" t="str">
        <f>IF(B540="", "", 'Version Log'!$B$34)</f>
        <v/>
      </c>
      <c r="G540" s="298" t="str">
        <f t="shared" si="32"/>
        <v/>
      </c>
      <c r="H540" s="298" t="str">
        <f t="shared" si="33"/>
        <v/>
      </c>
      <c r="I540" s="298" t="str">
        <f>IF(B540="", "",Inventory!D548)</f>
        <v/>
      </c>
      <c r="J540" s="298" t="str">
        <f>IF(B540="","",IF(Inventory!C548="N","Interior","Exterior"))</f>
        <v/>
      </c>
      <c r="K540" s="298" t="str">
        <f t="shared" si="34"/>
        <v/>
      </c>
      <c r="L540" s="298" t="str">
        <f>IF(B540="", "", Inventory!E548)</f>
        <v/>
      </c>
      <c r="M540" s="298" t="str">
        <f>IF(B540="","",IF(Cool_Type=Lookups!$L$9,Cool_Type,IF(Cool_Type=Lookups!$L$10,Cool_Type,IF(Cool_Type=Lookups!$L$11,Cool_Type,IF(Cool_Type=Lookups!L550,Cool_Type,IF('Project Info and Summary'!$C$20="Electric",CONCATENATE(Cool_Type," ",Heating_Type," Heat"),IF('Project Info and Summary'!$C$20="Non-Electric",CONCATENATE(Cool_Type," ",Heating_Type," Heat"),CONCATENATE(Cool_Type," ",Heating_Type))))))))</f>
        <v/>
      </c>
      <c r="N540" s="298" t="str">
        <f t="shared" si="35"/>
        <v/>
      </c>
      <c r="O540" s="298" t="str">
        <f>IF(B540="", "", 'Lighting Inventory (Ref only)'!G551)</f>
        <v/>
      </c>
      <c r="P540" s="298" t="str">
        <f>IF(B540="", "", 'Lighting Inventory (Ref only)'!E551)</f>
        <v/>
      </c>
      <c r="Q540" s="298" t="str">
        <f>IF(B540="", "", 'Lighting Inventory (Ref only)'!J551)</f>
        <v/>
      </c>
      <c r="R540" s="298" t="str">
        <f>IF(B540="", "",'Lighting Inventory (Ref only)'!K551)</f>
        <v/>
      </c>
      <c r="S540" s="372" t="str">
        <f>IF(B540="", "", 'Lighting Inventory (Ref only)'!G551*'Lighting Inventory (Ref only)'!K551/1000)</f>
        <v/>
      </c>
      <c r="T540" s="298" t="str">
        <f>IF(B540="", "", IF('Lighting Inventory (Ref only)'!I551="", "Light Switch",Inventory!H548))</f>
        <v/>
      </c>
      <c r="X540" s="298" t="str">
        <f>IF(B540="", "", 'Lighting Inventory (Ref only)'!Q551)</f>
        <v/>
      </c>
      <c r="AA540" s="298" t="str">
        <f>IF(B540="", "",'Lighting Inventory (Ref only)'!R551/1000)</f>
        <v/>
      </c>
      <c r="AB540" s="298" t="str">
        <f>IF(B540="", "", Inventory!M548)</f>
        <v/>
      </c>
      <c r="AC540" s="298" t="str">
        <f>IF(B540="", "", 'Lighting Inventory (Ref only)'!T551)</f>
        <v/>
      </c>
      <c r="AD540" s="298" t="str">
        <f>IF(C540="", "", 'Lighting Inventory (Ref only)'!AA551)</f>
        <v/>
      </c>
      <c r="AE540" s="298" t="str">
        <f>IF(B540="", "", 'Lighting Inventory (Ref only)'!U551)</f>
        <v/>
      </c>
      <c r="AF540" s="298" t="str">
        <f>IF(B540="", "",'Lighting Inventory (Ref only)'!W551)</f>
        <v/>
      </c>
      <c r="AH540" s="298" t="str">
        <f>IF(B540="", "",'Lighting Inventory (Ref only)'!Z551)</f>
        <v/>
      </c>
      <c r="AI540" s="298" t="str">
        <f>IF(B540="", "", 'Lighting Inventory (Ref only)'!Y551)</f>
        <v/>
      </c>
      <c r="AJ540" s="298" t="str">
        <f>IF(C540="", "",'Lighting Inventory (Ref only)'!AB551)</f>
        <v/>
      </c>
      <c r="AK540" s="375" t="str">
        <f>IF(B540="", "", 'Lighting Inventory (Ref only)'!AG551)</f>
        <v/>
      </c>
      <c r="AL540" s="375" t="str">
        <f>IF(B540="", "", 'Lighting Inventory (Ref only)'!AD551)</f>
        <v/>
      </c>
      <c r="AM540" s="375" t="str">
        <f>IF(B540="", "", 'Lighting Inventory (Ref only)'!AE551)</f>
        <v/>
      </c>
      <c r="AN540" s="375" t="str">
        <f>IF(B540="", "", 'Lighting Inventory (Ref only)'!AF551)</f>
        <v/>
      </c>
      <c r="AO540" s="375" t="str">
        <f>IF(B540="", "", 'Lighting Inventory (Ref only)'!AG551)</f>
        <v/>
      </c>
    </row>
    <row r="541" spans="1:41">
      <c r="A541" s="298" t="str">
        <f>IF(G541="", "", Lookups!BF543)</f>
        <v/>
      </c>
      <c r="B541" s="298" t="str">
        <f>IF('Lighting Inventory (Ref only)'!Q552="", "", 'Lighting Inventory (Ref only)'!Q552)</f>
        <v/>
      </c>
      <c r="C541" s="298" t="str">
        <f>IF(A541="", "", 'Lighting Inventory (Ref only)'!AO552)</f>
        <v/>
      </c>
      <c r="D541" s="298" t="str">
        <f>IF(B541= "","", Inventory!S549)</f>
        <v/>
      </c>
      <c r="F541" s="298" t="str">
        <f>IF(B541="", "", 'Version Log'!$B$34)</f>
        <v/>
      </c>
      <c r="G541" s="298" t="str">
        <f t="shared" si="32"/>
        <v/>
      </c>
      <c r="H541" s="298" t="str">
        <f t="shared" si="33"/>
        <v/>
      </c>
      <c r="I541" s="298" t="str">
        <f>IF(B541="", "",Inventory!D549)</f>
        <v/>
      </c>
      <c r="J541" s="298" t="str">
        <f>IF(B541="","",IF(Inventory!C549="N","Interior","Exterior"))</f>
        <v/>
      </c>
      <c r="K541" s="298" t="str">
        <f t="shared" si="34"/>
        <v/>
      </c>
      <c r="L541" s="298" t="str">
        <f>IF(B541="", "", Inventory!E549)</f>
        <v/>
      </c>
      <c r="M541" s="298" t="str">
        <f>IF(B541="","",IF(Cool_Type=Lookups!$L$9,Cool_Type,IF(Cool_Type=Lookups!$L$10,Cool_Type,IF(Cool_Type=Lookups!$L$11,Cool_Type,IF(Cool_Type=Lookups!L551,Cool_Type,IF('Project Info and Summary'!$C$20="Electric",CONCATENATE(Cool_Type," ",Heating_Type," Heat"),IF('Project Info and Summary'!$C$20="Non-Electric",CONCATENATE(Cool_Type," ",Heating_Type," Heat"),CONCATENATE(Cool_Type," ",Heating_Type))))))))</f>
        <v/>
      </c>
      <c r="N541" s="298" t="str">
        <f t="shared" si="35"/>
        <v/>
      </c>
      <c r="O541" s="298" t="str">
        <f>IF(B541="", "", 'Lighting Inventory (Ref only)'!G552)</f>
        <v/>
      </c>
      <c r="P541" s="298" t="str">
        <f>IF(B541="", "", 'Lighting Inventory (Ref only)'!E552)</f>
        <v/>
      </c>
      <c r="Q541" s="298" t="str">
        <f>IF(B541="", "", 'Lighting Inventory (Ref only)'!J552)</f>
        <v/>
      </c>
      <c r="R541" s="298" t="str">
        <f>IF(B541="", "",'Lighting Inventory (Ref only)'!K552)</f>
        <v/>
      </c>
      <c r="S541" s="372" t="str">
        <f>IF(B541="", "", 'Lighting Inventory (Ref only)'!G552*'Lighting Inventory (Ref only)'!K552/1000)</f>
        <v/>
      </c>
      <c r="T541" s="298" t="str">
        <f>IF(B541="", "", IF('Lighting Inventory (Ref only)'!I552="", "Light Switch",Inventory!H549))</f>
        <v/>
      </c>
      <c r="X541" s="298" t="str">
        <f>IF(B541="", "", 'Lighting Inventory (Ref only)'!Q552)</f>
        <v/>
      </c>
      <c r="AA541" s="298" t="str">
        <f>IF(B541="", "",'Lighting Inventory (Ref only)'!R552/1000)</f>
        <v/>
      </c>
      <c r="AB541" s="298" t="str">
        <f>IF(B541="", "", Inventory!M549)</f>
        <v/>
      </c>
      <c r="AC541" s="298" t="str">
        <f>IF(B541="", "", 'Lighting Inventory (Ref only)'!T552)</f>
        <v/>
      </c>
      <c r="AD541" s="298" t="str">
        <f>IF(C541="", "", 'Lighting Inventory (Ref only)'!AA552)</f>
        <v/>
      </c>
      <c r="AE541" s="298" t="str">
        <f>IF(B541="", "", 'Lighting Inventory (Ref only)'!U552)</f>
        <v/>
      </c>
      <c r="AF541" s="298" t="str">
        <f>IF(B541="", "",'Lighting Inventory (Ref only)'!W552)</f>
        <v/>
      </c>
      <c r="AH541" s="298" t="str">
        <f>IF(B541="", "",'Lighting Inventory (Ref only)'!Z552)</f>
        <v/>
      </c>
      <c r="AI541" s="298" t="str">
        <f>IF(B541="", "", 'Lighting Inventory (Ref only)'!Y552)</f>
        <v/>
      </c>
      <c r="AJ541" s="298" t="str">
        <f>IF(C541="", "",'Lighting Inventory (Ref only)'!AB552)</f>
        <v/>
      </c>
      <c r="AK541" s="375" t="str">
        <f>IF(B541="", "", 'Lighting Inventory (Ref only)'!AG552)</f>
        <v/>
      </c>
      <c r="AL541" s="375" t="str">
        <f>IF(B541="", "", 'Lighting Inventory (Ref only)'!AD552)</f>
        <v/>
      </c>
      <c r="AM541" s="375" t="str">
        <f>IF(B541="", "", 'Lighting Inventory (Ref only)'!AE552)</f>
        <v/>
      </c>
      <c r="AN541" s="375" t="str">
        <f>IF(B541="", "", 'Lighting Inventory (Ref only)'!AF552)</f>
        <v/>
      </c>
      <c r="AO541" s="375" t="str">
        <f>IF(B541="", "", 'Lighting Inventory (Ref only)'!AG552)</f>
        <v/>
      </c>
    </row>
    <row r="542" spans="1:41">
      <c r="A542" s="298" t="str">
        <f>IF(G542="", "", Lookups!BF544)</f>
        <v/>
      </c>
      <c r="B542" s="298" t="str">
        <f>IF('Lighting Inventory (Ref only)'!Q553="", "", 'Lighting Inventory (Ref only)'!Q553)</f>
        <v/>
      </c>
      <c r="C542" s="298" t="str">
        <f>IF(A542="", "", 'Lighting Inventory (Ref only)'!AO553)</f>
        <v/>
      </c>
      <c r="D542" s="298" t="str">
        <f>IF(B542= "","", Inventory!S550)</f>
        <v/>
      </c>
      <c r="F542" s="298" t="str">
        <f>IF(B542="", "", 'Version Log'!$B$34)</f>
        <v/>
      </c>
      <c r="G542" s="298" t="str">
        <f t="shared" si="32"/>
        <v/>
      </c>
      <c r="H542" s="298" t="str">
        <f t="shared" si="33"/>
        <v/>
      </c>
      <c r="I542" s="298" t="str">
        <f>IF(B542="", "",Inventory!D550)</f>
        <v/>
      </c>
      <c r="J542" s="298" t="str">
        <f>IF(B542="","",IF(Inventory!C550="N","Interior","Exterior"))</f>
        <v/>
      </c>
      <c r="K542" s="298" t="str">
        <f t="shared" si="34"/>
        <v/>
      </c>
      <c r="L542" s="298" t="str">
        <f>IF(B542="", "", Inventory!E550)</f>
        <v/>
      </c>
      <c r="M542" s="298" t="str">
        <f>IF(B542="","",IF(Cool_Type=Lookups!$L$9,Cool_Type,IF(Cool_Type=Lookups!$L$10,Cool_Type,IF(Cool_Type=Lookups!$L$11,Cool_Type,IF(Cool_Type=Lookups!L552,Cool_Type,IF('Project Info and Summary'!$C$20="Electric",CONCATENATE(Cool_Type," ",Heating_Type," Heat"),IF('Project Info and Summary'!$C$20="Non-Electric",CONCATENATE(Cool_Type," ",Heating_Type," Heat"),CONCATENATE(Cool_Type," ",Heating_Type))))))))</f>
        <v/>
      </c>
      <c r="N542" s="298" t="str">
        <f t="shared" si="35"/>
        <v/>
      </c>
      <c r="O542" s="298" t="str">
        <f>IF(B542="", "", 'Lighting Inventory (Ref only)'!G553)</f>
        <v/>
      </c>
      <c r="P542" s="298" t="str">
        <f>IF(B542="", "", 'Lighting Inventory (Ref only)'!E553)</f>
        <v/>
      </c>
      <c r="Q542" s="298" t="str">
        <f>IF(B542="", "", 'Lighting Inventory (Ref only)'!J553)</f>
        <v/>
      </c>
      <c r="R542" s="298" t="str">
        <f>IF(B542="", "",'Lighting Inventory (Ref only)'!K553)</f>
        <v/>
      </c>
      <c r="S542" s="372" t="str">
        <f>IF(B542="", "", 'Lighting Inventory (Ref only)'!G553*'Lighting Inventory (Ref only)'!K553/1000)</f>
        <v/>
      </c>
      <c r="T542" s="298" t="str">
        <f>IF(B542="", "", IF('Lighting Inventory (Ref only)'!I553="", "Light Switch",Inventory!H550))</f>
        <v/>
      </c>
      <c r="X542" s="298" t="str">
        <f>IF(B542="", "", 'Lighting Inventory (Ref only)'!Q553)</f>
        <v/>
      </c>
      <c r="AA542" s="298" t="str">
        <f>IF(B542="", "",'Lighting Inventory (Ref only)'!R553/1000)</f>
        <v/>
      </c>
      <c r="AB542" s="298" t="str">
        <f>IF(B542="", "", Inventory!M550)</f>
        <v/>
      </c>
      <c r="AC542" s="298" t="str">
        <f>IF(B542="", "", 'Lighting Inventory (Ref only)'!T553)</f>
        <v/>
      </c>
      <c r="AD542" s="298" t="str">
        <f>IF(C542="", "", 'Lighting Inventory (Ref only)'!AA553)</f>
        <v/>
      </c>
      <c r="AE542" s="298" t="str">
        <f>IF(B542="", "", 'Lighting Inventory (Ref only)'!U553)</f>
        <v/>
      </c>
      <c r="AF542" s="298" t="str">
        <f>IF(B542="", "",'Lighting Inventory (Ref only)'!W553)</f>
        <v/>
      </c>
      <c r="AH542" s="298" t="str">
        <f>IF(B542="", "",'Lighting Inventory (Ref only)'!Z553)</f>
        <v/>
      </c>
      <c r="AI542" s="298" t="str">
        <f>IF(B542="", "", 'Lighting Inventory (Ref only)'!Y553)</f>
        <v/>
      </c>
      <c r="AJ542" s="298" t="str">
        <f>IF(C542="", "",'Lighting Inventory (Ref only)'!AB553)</f>
        <v/>
      </c>
      <c r="AK542" s="375" t="str">
        <f>IF(B542="", "", 'Lighting Inventory (Ref only)'!AG553)</f>
        <v/>
      </c>
      <c r="AL542" s="375" t="str">
        <f>IF(B542="", "", 'Lighting Inventory (Ref only)'!AD553)</f>
        <v/>
      </c>
      <c r="AM542" s="375" t="str">
        <f>IF(B542="", "", 'Lighting Inventory (Ref only)'!AE553)</f>
        <v/>
      </c>
      <c r="AN542" s="375" t="str">
        <f>IF(B542="", "", 'Lighting Inventory (Ref only)'!AF553)</f>
        <v/>
      </c>
      <c r="AO542" s="375" t="str">
        <f>IF(B542="", "", 'Lighting Inventory (Ref only)'!AG553)</f>
        <v/>
      </c>
    </row>
    <row r="543" spans="1:41">
      <c r="A543" s="298" t="str">
        <f>IF(G543="", "", Lookups!BF545)</f>
        <v/>
      </c>
      <c r="B543" s="298" t="str">
        <f>IF('Lighting Inventory (Ref only)'!Q554="", "", 'Lighting Inventory (Ref only)'!Q554)</f>
        <v/>
      </c>
      <c r="C543" s="298" t="str">
        <f>IF(A543="", "", 'Lighting Inventory (Ref only)'!AO554)</f>
        <v/>
      </c>
      <c r="D543" s="298" t="str">
        <f>IF(B543= "","", Inventory!S551)</f>
        <v/>
      </c>
      <c r="F543" s="298" t="str">
        <f>IF(B543="", "", 'Version Log'!$B$34)</f>
        <v/>
      </c>
      <c r="G543" s="298" t="str">
        <f t="shared" si="32"/>
        <v/>
      </c>
      <c r="H543" s="298" t="str">
        <f t="shared" si="33"/>
        <v/>
      </c>
      <c r="I543" s="298" t="str">
        <f>IF(B543="", "",Inventory!D551)</f>
        <v/>
      </c>
      <c r="J543" s="298" t="str">
        <f>IF(B543="","",IF(Inventory!C551="N","Interior","Exterior"))</f>
        <v/>
      </c>
      <c r="K543" s="298" t="str">
        <f t="shared" si="34"/>
        <v/>
      </c>
      <c r="L543" s="298" t="str">
        <f>IF(B543="", "", Inventory!E551)</f>
        <v/>
      </c>
      <c r="M543" s="298" t="str">
        <f>IF(B543="","",IF(Cool_Type=Lookups!$L$9,Cool_Type,IF(Cool_Type=Lookups!$L$10,Cool_Type,IF(Cool_Type=Lookups!$L$11,Cool_Type,IF(Cool_Type=Lookups!L553,Cool_Type,IF('Project Info and Summary'!$C$20="Electric",CONCATENATE(Cool_Type," ",Heating_Type," Heat"),IF('Project Info and Summary'!$C$20="Non-Electric",CONCATENATE(Cool_Type," ",Heating_Type," Heat"),CONCATENATE(Cool_Type," ",Heating_Type))))))))</f>
        <v/>
      </c>
      <c r="N543" s="298" t="str">
        <f t="shared" si="35"/>
        <v/>
      </c>
      <c r="O543" s="298" t="str">
        <f>IF(B543="", "", 'Lighting Inventory (Ref only)'!G554)</f>
        <v/>
      </c>
      <c r="P543" s="298" t="str">
        <f>IF(B543="", "", 'Lighting Inventory (Ref only)'!E554)</f>
        <v/>
      </c>
      <c r="Q543" s="298" t="str">
        <f>IF(B543="", "", 'Lighting Inventory (Ref only)'!J554)</f>
        <v/>
      </c>
      <c r="R543" s="298" t="str">
        <f>IF(B543="", "",'Lighting Inventory (Ref only)'!K554)</f>
        <v/>
      </c>
      <c r="S543" s="372" t="str">
        <f>IF(B543="", "", 'Lighting Inventory (Ref only)'!G554*'Lighting Inventory (Ref only)'!K554/1000)</f>
        <v/>
      </c>
      <c r="T543" s="298" t="str">
        <f>IF(B543="", "", IF('Lighting Inventory (Ref only)'!I554="", "Light Switch",Inventory!H551))</f>
        <v/>
      </c>
      <c r="X543" s="298" t="str">
        <f>IF(B543="", "", 'Lighting Inventory (Ref only)'!Q554)</f>
        <v/>
      </c>
      <c r="AA543" s="298" t="str">
        <f>IF(B543="", "",'Lighting Inventory (Ref only)'!R554/1000)</f>
        <v/>
      </c>
      <c r="AB543" s="298" t="str">
        <f>IF(B543="", "", Inventory!M551)</f>
        <v/>
      </c>
      <c r="AC543" s="298" t="str">
        <f>IF(B543="", "", 'Lighting Inventory (Ref only)'!T554)</f>
        <v/>
      </c>
      <c r="AD543" s="298" t="str">
        <f>IF(C543="", "", 'Lighting Inventory (Ref only)'!AA554)</f>
        <v/>
      </c>
      <c r="AE543" s="298" t="str">
        <f>IF(B543="", "", 'Lighting Inventory (Ref only)'!U554)</f>
        <v/>
      </c>
      <c r="AF543" s="298" t="str">
        <f>IF(B543="", "",'Lighting Inventory (Ref only)'!W554)</f>
        <v/>
      </c>
      <c r="AH543" s="298" t="str">
        <f>IF(B543="", "",'Lighting Inventory (Ref only)'!Z554)</f>
        <v/>
      </c>
      <c r="AI543" s="298" t="str">
        <f>IF(B543="", "", 'Lighting Inventory (Ref only)'!Y554)</f>
        <v/>
      </c>
      <c r="AJ543" s="298" t="str">
        <f>IF(C543="", "",'Lighting Inventory (Ref only)'!AB554)</f>
        <v/>
      </c>
      <c r="AK543" s="375" t="str">
        <f>IF(B543="", "", 'Lighting Inventory (Ref only)'!AG554)</f>
        <v/>
      </c>
      <c r="AL543" s="375" t="str">
        <f>IF(B543="", "", 'Lighting Inventory (Ref only)'!AD554)</f>
        <v/>
      </c>
      <c r="AM543" s="375" t="str">
        <f>IF(B543="", "", 'Lighting Inventory (Ref only)'!AE554)</f>
        <v/>
      </c>
      <c r="AN543" s="375" t="str">
        <f>IF(B543="", "", 'Lighting Inventory (Ref only)'!AF554)</f>
        <v/>
      </c>
      <c r="AO543" s="375" t="str">
        <f>IF(B543="", "", 'Lighting Inventory (Ref only)'!AG554)</f>
        <v/>
      </c>
    </row>
    <row r="544" spans="1:41">
      <c r="A544" s="298" t="str">
        <f>IF(G544="", "", Lookups!BF546)</f>
        <v/>
      </c>
      <c r="B544" s="298" t="str">
        <f>IF('Lighting Inventory (Ref only)'!Q555="", "", 'Lighting Inventory (Ref only)'!Q555)</f>
        <v/>
      </c>
      <c r="C544" s="298" t="str">
        <f>IF(A544="", "", 'Lighting Inventory (Ref only)'!AO555)</f>
        <v/>
      </c>
      <c r="D544" s="298" t="str">
        <f>IF(B544= "","", Inventory!S552)</f>
        <v/>
      </c>
      <c r="F544" s="298" t="str">
        <f>IF(B544="", "", 'Version Log'!$B$34)</f>
        <v/>
      </c>
      <c r="G544" s="298" t="str">
        <f t="shared" si="32"/>
        <v/>
      </c>
      <c r="H544" s="298" t="str">
        <f t="shared" si="33"/>
        <v/>
      </c>
      <c r="I544" s="298" t="str">
        <f>IF(B544="", "",Inventory!D552)</f>
        <v/>
      </c>
      <c r="J544" s="298" t="str">
        <f>IF(B544="","",IF(Inventory!C552="N","Interior","Exterior"))</f>
        <v/>
      </c>
      <c r="K544" s="298" t="str">
        <f t="shared" si="34"/>
        <v/>
      </c>
      <c r="L544" s="298" t="str">
        <f>IF(B544="", "", Inventory!E552)</f>
        <v/>
      </c>
      <c r="M544" s="298" t="str">
        <f>IF(B544="","",IF(Cool_Type=Lookups!$L$9,Cool_Type,IF(Cool_Type=Lookups!$L$10,Cool_Type,IF(Cool_Type=Lookups!$L$11,Cool_Type,IF(Cool_Type=Lookups!L554,Cool_Type,IF('Project Info and Summary'!$C$20="Electric",CONCATENATE(Cool_Type," ",Heating_Type," Heat"),IF('Project Info and Summary'!$C$20="Non-Electric",CONCATENATE(Cool_Type," ",Heating_Type," Heat"),CONCATENATE(Cool_Type," ",Heating_Type))))))))</f>
        <v/>
      </c>
      <c r="N544" s="298" t="str">
        <f t="shared" si="35"/>
        <v/>
      </c>
      <c r="O544" s="298" t="str">
        <f>IF(B544="", "", 'Lighting Inventory (Ref only)'!G555)</f>
        <v/>
      </c>
      <c r="P544" s="298" t="str">
        <f>IF(B544="", "", 'Lighting Inventory (Ref only)'!E555)</f>
        <v/>
      </c>
      <c r="Q544" s="298" t="str">
        <f>IF(B544="", "", 'Lighting Inventory (Ref only)'!J555)</f>
        <v/>
      </c>
      <c r="R544" s="298" t="str">
        <f>IF(B544="", "",'Lighting Inventory (Ref only)'!K555)</f>
        <v/>
      </c>
      <c r="S544" s="372" t="str">
        <f>IF(B544="", "", 'Lighting Inventory (Ref only)'!G555*'Lighting Inventory (Ref only)'!K555/1000)</f>
        <v/>
      </c>
      <c r="T544" s="298" t="str">
        <f>IF(B544="", "", IF('Lighting Inventory (Ref only)'!I555="", "Light Switch",Inventory!H552))</f>
        <v/>
      </c>
      <c r="X544" s="298" t="str">
        <f>IF(B544="", "", 'Lighting Inventory (Ref only)'!Q555)</f>
        <v/>
      </c>
      <c r="AA544" s="298" t="str">
        <f>IF(B544="", "",'Lighting Inventory (Ref only)'!R555/1000)</f>
        <v/>
      </c>
      <c r="AB544" s="298" t="str">
        <f>IF(B544="", "", Inventory!M552)</f>
        <v/>
      </c>
      <c r="AC544" s="298" t="str">
        <f>IF(B544="", "", 'Lighting Inventory (Ref only)'!T555)</f>
        <v/>
      </c>
      <c r="AD544" s="298" t="str">
        <f>IF(C544="", "", 'Lighting Inventory (Ref only)'!AA555)</f>
        <v/>
      </c>
      <c r="AE544" s="298" t="str">
        <f>IF(B544="", "", 'Lighting Inventory (Ref only)'!U555)</f>
        <v/>
      </c>
      <c r="AF544" s="298" t="str">
        <f>IF(B544="", "",'Lighting Inventory (Ref only)'!W555)</f>
        <v/>
      </c>
      <c r="AH544" s="298" t="str">
        <f>IF(B544="", "",'Lighting Inventory (Ref only)'!Z555)</f>
        <v/>
      </c>
      <c r="AI544" s="298" t="str">
        <f>IF(B544="", "", 'Lighting Inventory (Ref only)'!Y555)</f>
        <v/>
      </c>
      <c r="AJ544" s="298" t="str">
        <f>IF(C544="", "",'Lighting Inventory (Ref only)'!AB555)</f>
        <v/>
      </c>
      <c r="AK544" s="375" t="str">
        <f>IF(B544="", "", 'Lighting Inventory (Ref only)'!AG555)</f>
        <v/>
      </c>
      <c r="AL544" s="375" t="str">
        <f>IF(B544="", "", 'Lighting Inventory (Ref only)'!AD555)</f>
        <v/>
      </c>
      <c r="AM544" s="375" t="str">
        <f>IF(B544="", "", 'Lighting Inventory (Ref only)'!AE555)</f>
        <v/>
      </c>
      <c r="AN544" s="375" t="str">
        <f>IF(B544="", "", 'Lighting Inventory (Ref only)'!AF555)</f>
        <v/>
      </c>
      <c r="AO544" s="375" t="str">
        <f>IF(B544="", "", 'Lighting Inventory (Ref only)'!AG555)</f>
        <v/>
      </c>
    </row>
    <row r="545" spans="1:41">
      <c r="A545" s="298" t="str">
        <f>IF(G545="", "", Lookups!BF547)</f>
        <v/>
      </c>
      <c r="B545" s="298" t="str">
        <f>IF('Lighting Inventory (Ref only)'!Q556="", "", 'Lighting Inventory (Ref only)'!Q556)</f>
        <v/>
      </c>
      <c r="C545" s="298" t="str">
        <f>IF(A545="", "", 'Lighting Inventory (Ref only)'!AO556)</f>
        <v/>
      </c>
      <c r="D545" s="298" t="str">
        <f>IF(B545= "","", Inventory!S553)</f>
        <v/>
      </c>
      <c r="F545" s="298" t="str">
        <f>IF(B545="", "", 'Version Log'!$B$34)</f>
        <v/>
      </c>
      <c r="G545" s="298" t="str">
        <f t="shared" si="32"/>
        <v/>
      </c>
      <c r="H545" s="298" t="str">
        <f t="shared" si="33"/>
        <v/>
      </c>
      <c r="I545" s="298" t="str">
        <f>IF(B545="", "",Inventory!D553)</f>
        <v/>
      </c>
      <c r="J545" s="298" t="str">
        <f>IF(B545="","",IF(Inventory!C553="N","Interior","Exterior"))</f>
        <v/>
      </c>
      <c r="K545" s="298" t="str">
        <f t="shared" si="34"/>
        <v/>
      </c>
      <c r="L545" s="298" t="str">
        <f>IF(B545="", "", Inventory!E553)</f>
        <v/>
      </c>
      <c r="M545" s="298" t="str">
        <f>IF(B545="","",IF(Cool_Type=Lookups!$L$9,Cool_Type,IF(Cool_Type=Lookups!$L$10,Cool_Type,IF(Cool_Type=Lookups!$L$11,Cool_Type,IF(Cool_Type=Lookups!L555,Cool_Type,IF('Project Info and Summary'!$C$20="Electric",CONCATENATE(Cool_Type," ",Heating_Type," Heat"),IF('Project Info and Summary'!$C$20="Non-Electric",CONCATENATE(Cool_Type," ",Heating_Type," Heat"),CONCATENATE(Cool_Type," ",Heating_Type))))))))</f>
        <v/>
      </c>
      <c r="N545" s="298" t="str">
        <f t="shared" si="35"/>
        <v/>
      </c>
      <c r="O545" s="298" t="str">
        <f>IF(B545="", "", 'Lighting Inventory (Ref only)'!G556)</f>
        <v/>
      </c>
      <c r="P545" s="298" t="str">
        <f>IF(B545="", "", 'Lighting Inventory (Ref only)'!E556)</f>
        <v/>
      </c>
      <c r="Q545" s="298" t="str">
        <f>IF(B545="", "", 'Lighting Inventory (Ref only)'!J556)</f>
        <v/>
      </c>
      <c r="R545" s="298" t="str">
        <f>IF(B545="", "",'Lighting Inventory (Ref only)'!K556)</f>
        <v/>
      </c>
      <c r="S545" s="372" t="str">
        <f>IF(B545="", "", 'Lighting Inventory (Ref only)'!G556*'Lighting Inventory (Ref only)'!K556/1000)</f>
        <v/>
      </c>
      <c r="T545" s="298" t="str">
        <f>IF(B545="", "", IF('Lighting Inventory (Ref only)'!I556="", "Light Switch",Inventory!H553))</f>
        <v/>
      </c>
      <c r="X545" s="298" t="str">
        <f>IF(B545="", "", 'Lighting Inventory (Ref only)'!Q556)</f>
        <v/>
      </c>
      <c r="AA545" s="298" t="str">
        <f>IF(B545="", "",'Lighting Inventory (Ref only)'!R556/1000)</f>
        <v/>
      </c>
      <c r="AB545" s="298" t="str">
        <f>IF(B545="", "", Inventory!M553)</f>
        <v/>
      </c>
      <c r="AC545" s="298" t="str">
        <f>IF(B545="", "", 'Lighting Inventory (Ref only)'!T556)</f>
        <v/>
      </c>
      <c r="AD545" s="298" t="str">
        <f>IF(C545="", "", 'Lighting Inventory (Ref only)'!AA556)</f>
        <v/>
      </c>
      <c r="AE545" s="298" t="str">
        <f>IF(B545="", "", 'Lighting Inventory (Ref only)'!U556)</f>
        <v/>
      </c>
      <c r="AF545" s="298" t="str">
        <f>IF(B545="", "",'Lighting Inventory (Ref only)'!W556)</f>
        <v/>
      </c>
      <c r="AH545" s="298" t="str">
        <f>IF(B545="", "",'Lighting Inventory (Ref only)'!Z556)</f>
        <v/>
      </c>
      <c r="AI545" s="298" t="str">
        <f>IF(B545="", "", 'Lighting Inventory (Ref only)'!Y556)</f>
        <v/>
      </c>
      <c r="AJ545" s="298" t="str">
        <f>IF(C545="", "",'Lighting Inventory (Ref only)'!AB556)</f>
        <v/>
      </c>
      <c r="AK545" s="375" t="str">
        <f>IF(B545="", "", 'Lighting Inventory (Ref only)'!AG556)</f>
        <v/>
      </c>
      <c r="AL545" s="375" t="str">
        <f>IF(B545="", "", 'Lighting Inventory (Ref only)'!AD556)</f>
        <v/>
      </c>
      <c r="AM545" s="375" t="str">
        <f>IF(B545="", "", 'Lighting Inventory (Ref only)'!AE556)</f>
        <v/>
      </c>
      <c r="AN545" s="375" t="str">
        <f>IF(B545="", "", 'Lighting Inventory (Ref only)'!AF556)</f>
        <v/>
      </c>
      <c r="AO545" s="375" t="str">
        <f>IF(B545="", "", 'Lighting Inventory (Ref only)'!AG556)</f>
        <v/>
      </c>
    </row>
    <row r="546" spans="1:41">
      <c r="A546" s="298" t="str">
        <f>IF(G546="", "", Lookups!BF548)</f>
        <v/>
      </c>
      <c r="B546" s="298" t="str">
        <f>IF('Lighting Inventory (Ref only)'!Q557="", "", 'Lighting Inventory (Ref only)'!Q557)</f>
        <v/>
      </c>
      <c r="C546" s="298" t="str">
        <f>IF(A546="", "", 'Lighting Inventory (Ref only)'!AO557)</f>
        <v/>
      </c>
      <c r="D546" s="298" t="str">
        <f>IF(B546= "","", Inventory!S554)</f>
        <v/>
      </c>
      <c r="F546" s="298" t="str">
        <f>IF(B546="", "", 'Version Log'!$B$34)</f>
        <v/>
      </c>
      <c r="G546" s="298" t="str">
        <f t="shared" si="32"/>
        <v/>
      </c>
      <c r="H546" s="298" t="str">
        <f t="shared" si="33"/>
        <v/>
      </c>
      <c r="I546" s="298" t="str">
        <f>IF(B546="", "",Inventory!D554)</f>
        <v/>
      </c>
      <c r="J546" s="298" t="str">
        <f>IF(B546="","",IF(Inventory!C554="N","Interior","Exterior"))</f>
        <v/>
      </c>
      <c r="K546" s="298" t="str">
        <f t="shared" si="34"/>
        <v/>
      </c>
      <c r="L546" s="298" t="str">
        <f>IF(B546="", "", Inventory!E554)</f>
        <v/>
      </c>
      <c r="M546" s="298" t="str">
        <f>IF(B546="","",IF(Cool_Type=Lookups!$L$9,Cool_Type,IF(Cool_Type=Lookups!$L$10,Cool_Type,IF(Cool_Type=Lookups!$L$11,Cool_Type,IF(Cool_Type=Lookups!L556,Cool_Type,IF('Project Info and Summary'!$C$20="Electric",CONCATENATE(Cool_Type," ",Heating_Type," Heat"),IF('Project Info and Summary'!$C$20="Non-Electric",CONCATENATE(Cool_Type," ",Heating_Type," Heat"),CONCATENATE(Cool_Type," ",Heating_Type))))))))</f>
        <v/>
      </c>
      <c r="N546" s="298" t="str">
        <f t="shared" si="35"/>
        <v/>
      </c>
      <c r="O546" s="298" t="str">
        <f>IF(B546="", "", 'Lighting Inventory (Ref only)'!G557)</f>
        <v/>
      </c>
      <c r="P546" s="298" t="str">
        <f>IF(B546="", "", 'Lighting Inventory (Ref only)'!E557)</f>
        <v/>
      </c>
      <c r="Q546" s="298" t="str">
        <f>IF(B546="", "", 'Lighting Inventory (Ref only)'!J557)</f>
        <v/>
      </c>
      <c r="R546" s="298" t="str">
        <f>IF(B546="", "",'Lighting Inventory (Ref only)'!K557)</f>
        <v/>
      </c>
      <c r="S546" s="372" t="str">
        <f>IF(B546="", "", 'Lighting Inventory (Ref only)'!G557*'Lighting Inventory (Ref only)'!K557/1000)</f>
        <v/>
      </c>
      <c r="T546" s="298" t="str">
        <f>IF(B546="", "", IF('Lighting Inventory (Ref only)'!I557="", "Light Switch",Inventory!H554))</f>
        <v/>
      </c>
      <c r="X546" s="298" t="str">
        <f>IF(B546="", "", 'Lighting Inventory (Ref only)'!Q557)</f>
        <v/>
      </c>
      <c r="AA546" s="298" t="str">
        <f>IF(B546="", "",'Lighting Inventory (Ref only)'!R557/1000)</f>
        <v/>
      </c>
      <c r="AB546" s="298" t="str">
        <f>IF(B546="", "", Inventory!M554)</f>
        <v/>
      </c>
      <c r="AC546" s="298" t="str">
        <f>IF(B546="", "", 'Lighting Inventory (Ref only)'!T557)</f>
        <v/>
      </c>
      <c r="AD546" s="298" t="str">
        <f>IF(C546="", "", 'Lighting Inventory (Ref only)'!AA557)</f>
        <v/>
      </c>
      <c r="AE546" s="298" t="str">
        <f>IF(B546="", "", 'Lighting Inventory (Ref only)'!U557)</f>
        <v/>
      </c>
      <c r="AF546" s="298" t="str">
        <f>IF(B546="", "",'Lighting Inventory (Ref only)'!W557)</f>
        <v/>
      </c>
      <c r="AH546" s="298" t="str">
        <f>IF(B546="", "",'Lighting Inventory (Ref only)'!Z557)</f>
        <v/>
      </c>
      <c r="AI546" s="298" t="str">
        <f>IF(B546="", "", 'Lighting Inventory (Ref only)'!Y557)</f>
        <v/>
      </c>
      <c r="AJ546" s="298" t="str">
        <f>IF(C546="", "",'Lighting Inventory (Ref only)'!AB557)</f>
        <v/>
      </c>
      <c r="AK546" s="375" t="str">
        <f>IF(B546="", "", 'Lighting Inventory (Ref only)'!AG557)</f>
        <v/>
      </c>
      <c r="AL546" s="375" t="str">
        <f>IF(B546="", "", 'Lighting Inventory (Ref only)'!AD557)</f>
        <v/>
      </c>
      <c r="AM546" s="375" t="str">
        <f>IF(B546="", "", 'Lighting Inventory (Ref only)'!AE557)</f>
        <v/>
      </c>
      <c r="AN546" s="375" t="str">
        <f>IF(B546="", "", 'Lighting Inventory (Ref only)'!AF557)</f>
        <v/>
      </c>
      <c r="AO546" s="375" t="str">
        <f>IF(B546="", "", 'Lighting Inventory (Ref only)'!AG557)</f>
        <v/>
      </c>
    </row>
    <row r="547" spans="1:41">
      <c r="A547" s="298" t="str">
        <f>IF(G547="", "", Lookups!BF549)</f>
        <v/>
      </c>
      <c r="B547" s="298" t="str">
        <f>IF('Lighting Inventory (Ref only)'!Q558="", "", 'Lighting Inventory (Ref only)'!Q558)</f>
        <v/>
      </c>
      <c r="C547" s="298" t="str">
        <f>IF(A547="", "", 'Lighting Inventory (Ref only)'!AO558)</f>
        <v/>
      </c>
      <c r="D547" s="298" t="str">
        <f>IF(B547= "","", Inventory!S555)</f>
        <v/>
      </c>
      <c r="F547" s="298" t="str">
        <f>IF(B547="", "", 'Version Log'!$B$34)</f>
        <v/>
      </c>
      <c r="G547" s="298" t="str">
        <f t="shared" si="32"/>
        <v/>
      </c>
      <c r="H547" s="298" t="str">
        <f t="shared" si="33"/>
        <v/>
      </c>
      <c r="I547" s="298" t="str">
        <f>IF(B547="", "",Inventory!D555)</f>
        <v/>
      </c>
      <c r="J547" s="298" t="str">
        <f>IF(B547="","",IF(Inventory!C555="N","Interior","Exterior"))</f>
        <v/>
      </c>
      <c r="K547" s="298" t="str">
        <f t="shared" si="34"/>
        <v/>
      </c>
      <c r="L547" s="298" t="str">
        <f>IF(B547="", "", Inventory!E555)</f>
        <v/>
      </c>
      <c r="M547" s="298" t="str">
        <f>IF(B547="","",IF(Cool_Type=Lookups!$L$9,Cool_Type,IF(Cool_Type=Lookups!$L$10,Cool_Type,IF(Cool_Type=Lookups!$L$11,Cool_Type,IF(Cool_Type=Lookups!L557,Cool_Type,IF('Project Info and Summary'!$C$20="Electric",CONCATENATE(Cool_Type," ",Heating_Type," Heat"),IF('Project Info and Summary'!$C$20="Non-Electric",CONCATENATE(Cool_Type," ",Heating_Type," Heat"),CONCATENATE(Cool_Type," ",Heating_Type))))))))</f>
        <v/>
      </c>
      <c r="N547" s="298" t="str">
        <f t="shared" si="35"/>
        <v/>
      </c>
      <c r="O547" s="298" t="str">
        <f>IF(B547="", "", 'Lighting Inventory (Ref only)'!G558)</f>
        <v/>
      </c>
      <c r="P547" s="298" t="str">
        <f>IF(B547="", "", 'Lighting Inventory (Ref only)'!E558)</f>
        <v/>
      </c>
      <c r="Q547" s="298" t="str">
        <f>IF(B547="", "", 'Lighting Inventory (Ref only)'!J558)</f>
        <v/>
      </c>
      <c r="R547" s="298" t="str">
        <f>IF(B547="", "",'Lighting Inventory (Ref only)'!K558)</f>
        <v/>
      </c>
      <c r="S547" s="372" t="str">
        <f>IF(B547="", "", 'Lighting Inventory (Ref only)'!G558*'Lighting Inventory (Ref only)'!K558/1000)</f>
        <v/>
      </c>
      <c r="T547" s="298" t="str">
        <f>IF(B547="", "", IF('Lighting Inventory (Ref only)'!I558="", "Light Switch",Inventory!H555))</f>
        <v/>
      </c>
      <c r="X547" s="298" t="str">
        <f>IF(B547="", "", 'Lighting Inventory (Ref only)'!Q558)</f>
        <v/>
      </c>
      <c r="AA547" s="298" t="str">
        <f>IF(B547="", "",'Lighting Inventory (Ref only)'!R558/1000)</f>
        <v/>
      </c>
      <c r="AB547" s="298" t="str">
        <f>IF(B547="", "", Inventory!M555)</f>
        <v/>
      </c>
      <c r="AC547" s="298" t="str">
        <f>IF(B547="", "", 'Lighting Inventory (Ref only)'!T558)</f>
        <v/>
      </c>
      <c r="AD547" s="298" t="str">
        <f>IF(C547="", "", 'Lighting Inventory (Ref only)'!AA558)</f>
        <v/>
      </c>
      <c r="AE547" s="298" t="str">
        <f>IF(B547="", "", 'Lighting Inventory (Ref only)'!U558)</f>
        <v/>
      </c>
      <c r="AF547" s="298" t="str">
        <f>IF(B547="", "",'Lighting Inventory (Ref only)'!W558)</f>
        <v/>
      </c>
      <c r="AH547" s="298" t="str">
        <f>IF(B547="", "",'Lighting Inventory (Ref only)'!Z558)</f>
        <v/>
      </c>
      <c r="AI547" s="298" t="str">
        <f>IF(B547="", "", 'Lighting Inventory (Ref only)'!Y558)</f>
        <v/>
      </c>
      <c r="AJ547" s="298" t="str">
        <f>IF(C547="", "",'Lighting Inventory (Ref only)'!AB558)</f>
        <v/>
      </c>
      <c r="AK547" s="375" t="str">
        <f>IF(B547="", "", 'Lighting Inventory (Ref only)'!AG558)</f>
        <v/>
      </c>
      <c r="AL547" s="375" t="str">
        <f>IF(B547="", "", 'Lighting Inventory (Ref only)'!AD558)</f>
        <v/>
      </c>
      <c r="AM547" s="375" t="str">
        <f>IF(B547="", "", 'Lighting Inventory (Ref only)'!AE558)</f>
        <v/>
      </c>
      <c r="AN547" s="375" t="str">
        <f>IF(B547="", "", 'Lighting Inventory (Ref only)'!AF558)</f>
        <v/>
      </c>
      <c r="AO547" s="375" t="str">
        <f>IF(B547="", "", 'Lighting Inventory (Ref only)'!AG558)</f>
        <v/>
      </c>
    </row>
    <row r="548" spans="1:41">
      <c r="A548" s="298" t="str">
        <f>IF(G548="", "", Lookups!BF550)</f>
        <v/>
      </c>
      <c r="B548" s="298" t="str">
        <f>IF('Lighting Inventory (Ref only)'!Q559="", "", 'Lighting Inventory (Ref only)'!Q559)</f>
        <v/>
      </c>
      <c r="C548" s="298" t="str">
        <f>IF(A548="", "", 'Lighting Inventory (Ref only)'!AO559)</f>
        <v/>
      </c>
      <c r="D548" s="298" t="str">
        <f>IF(B548= "","", Inventory!S556)</f>
        <v/>
      </c>
      <c r="F548" s="298" t="str">
        <f>IF(B548="", "", 'Version Log'!$B$34)</f>
        <v/>
      </c>
      <c r="G548" s="298" t="str">
        <f t="shared" si="32"/>
        <v/>
      </c>
      <c r="H548" s="298" t="str">
        <f t="shared" si="33"/>
        <v/>
      </c>
      <c r="I548" s="298" t="str">
        <f>IF(B548="", "",Inventory!D556)</f>
        <v/>
      </c>
      <c r="J548" s="298" t="str">
        <f>IF(B548="","",IF(Inventory!C556="N","Interior","Exterior"))</f>
        <v/>
      </c>
      <c r="K548" s="298" t="str">
        <f t="shared" si="34"/>
        <v/>
      </c>
      <c r="L548" s="298" t="str">
        <f>IF(B548="", "", Inventory!E556)</f>
        <v/>
      </c>
      <c r="M548" s="298" t="str">
        <f>IF(B548="","",IF(Cool_Type=Lookups!$L$9,Cool_Type,IF(Cool_Type=Lookups!$L$10,Cool_Type,IF(Cool_Type=Lookups!$L$11,Cool_Type,IF(Cool_Type=Lookups!L558,Cool_Type,IF('Project Info and Summary'!$C$20="Electric",CONCATENATE(Cool_Type," ",Heating_Type," Heat"),IF('Project Info and Summary'!$C$20="Non-Electric",CONCATENATE(Cool_Type," ",Heating_Type," Heat"),CONCATENATE(Cool_Type," ",Heating_Type))))))))</f>
        <v/>
      </c>
      <c r="N548" s="298" t="str">
        <f t="shared" si="35"/>
        <v/>
      </c>
      <c r="O548" s="298" t="str">
        <f>IF(B548="", "", 'Lighting Inventory (Ref only)'!G559)</f>
        <v/>
      </c>
      <c r="P548" s="298" t="str">
        <f>IF(B548="", "", 'Lighting Inventory (Ref only)'!E559)</f>
        <v/>
      </c>
      <c r="Q548" s="298" t="str">
        <f>IF(B548="", "", 'Lighting Inventory (Ref only)'!J559)</f>
        <v/>
      </c>
      <c r="R548" s="298" t="str">
        <f>IF(B548="", "",'Lighting Inventory (Ref only)'!K559)</f>
        <v/>
      </c>
      <c r="S548" s="372" t="str">
        <f>IF(B548="", "", 'Lighting Inventory (Ref only)'!G559*'Lighting Inventory (Ref only)'!K559/1000)</f>
        <v/>
      </c>
      <c r="T548" s="298" t="str">
        <f>IF(B548="", "", IF('Lighting Inventory (Ref only)'!I559="", "Light Switch",Inventory!H556))</f>
        <v/>
      </c>
      <c r="X548" s="298" t="str">
        <f>IF(B548="", "", 'Lighting Inventory (Ref only)'!Q559)</f>
        <v/>
      </c>
      <c r="AA548" s="298" t="str">
        <f>IF(B548="", "",'Lighting Inventory (Ref only)'!R559/1000)</f>
        <v/>
      </c>
      <c r="AB548" s="298" t="str">
        <f>IF(B548="", "", Inventory!M556)</f>
        <v/>
      </c>
      <c r="AC548" s="298" t="str">
        <f>IF(B548="", "", 'Lighting Inventory (Ref only)'!T559)</f>
        <v/>
      </c>
      <c r="AD548" s="298" t="str">
        <f>IF(C548="", "", 'Lighting Inventory (Ref only)'!AA559)</f>
        <v/>
      </c>
      <c r="AE548" s="298" t="str">
        <f>IF(B548="", "", 'Lighting Inventory (Ref only)'!U559)</f>
        <v/>
      </c>
      <c r="AF548" s="298" t="str">
        <f>IF(B548="", "",'Lighting Inventory (Ref only)'!W559)</f>
        <v/>
      </c>
      <c r="AH548" s="298" t="str">
        <f>IF(B548="", "",'Lighting Inventory (Ref only)'!Z559)</f>
        <v/>
      </c>
      <c r="AI548" s="298" t="str">
        <f>IF(B548="", "", 'Lighting Inventory (Ref only)'!Y559)</f>
        <v/>
      </c>
      <c r="AJ548" s="298" t="str">
        <f>IF(C548="", "",'Lighting Inventory (Ref only)'!AB559)</f>
        <v/>
      </c>
      <c r="AK548" s="375" t="str">
        <f>IF(B548="", "", 'Lighting Inventory (Ref only)'!AG559)</f>
        <v/>
      </c>
      <c r="AL548" s="375" t="str">
        <f>IF(B548="", "", 'Lighting Inventory (Ref only)'!AD559)</f>
        <v/>
      </c>
      <c r="AM548" s="375" t="str">
        <f>IF(B548="", "", 'Lighting Inventory (Ref only)'!AE559)</f>
        <v/>
      </c>
      <c r="AN548" s="375" t="str">
        <f>IF(B548="", "", 'Lighting Inventory (Ref only)'!AF559)</f>
        <v/>
      </c>
      <c r="AO548" s="375" t="str">
        <f>IF(B548="", "", 'Lighting Inventory (Ref only)'!AG559)</f>
        <v/>
      </c>
    </row>
    <row r="549" spans="1:41">
      <c r="A549" s="298" t="str">
        <f>IF(G549="", "", Lookups!BF551)</f>
        <v/>
      </c>
      <c r="B549" s="298" t="str">
        <f>IF('Lighting Inventory (Ref only)'!Q560="", "", 'Lighting Inventory (Ref only)'!Q560)</f>
        <v/>
      </c>
      <c r="C549" s="298" t="str">
        <f>IF(A549="", "", 'Lighting Inventory (Ref only)'!AO560)</f>
        <v/>
      </c>
      <c r="D549" s="298" t="str">
        <f>IF(B549= "","", Inventory!S557)</f>
        <v/>
      </c>
      <c r="F549" s="298" t="str">
        <f>IF(B549="", "", 'Version Log'!$B$34)</f>
        <v/>
      </c>
      <c r="G549" s="298" t="str">
        <f t="shared" si="32"/>
        <v/>
      </c>
      <c r="H549" s="298" t="str">
        <f t="shared" si="33"/>
        <v/>
      </c>
      <c r="I549" s="298" t="str">
        <f>IF(B549="", "",Inventory!D557)</f>
        <v/>
      </c>
      <c r="J549" s="298" t="str">
        <f>IF(B549="","",IF(Inventory!C557="N","Interior","Exterior"))</f>
        <v/>
      </c>
      <c r="K549" s="298" t="str">
        <f t="shared" si="34"/>
        <v/>
      </c>
      <c r="L549" s="298" t="str">
        <f>IF(B549="", "", Inventory!E557)</f>
        <v/>
      </c>
      <c r="M549" s="298" t="str">
        <f>IF(B549="","",IF(Cool_Type=Lookups!$L$9,Cool_Type,IF(Cool_Type=Lookups!$L$10,Cool_Type,IF(Cool_Type=Lookups!$L$11,Cool_Type,IF(Cool_Type=Lookups!L559,Cool_Type,IF('Project Info and Summary'!$C$20="Electric",CONCATENATE(Cool_Type," ",Heating_Type," Heat"),IF('Project Info and Summary'!$C$20="Non-Electric",CONCATENATE(Cool_Type," ",Heating_Type," Heat"),CONCATENATE(Cool_Type," ",Heating_Type))))))))</f>
        <v/>
      </c>
      <c r="N549" s="298" t="str">
        <f t="shared" si="35"/>
        <v/>
      </c>
      <c r="O549" s="298" t="str">
        <f>IF(B549="", "", 'Lighting Inventory (Ref only)'!G560)</f>
        <v/>
      </c>
      <c r="P549" s="298" t="str">
        <f>IF(B549="", "", 'Lighting Inventory (Ref only)'!E560)</f>
        <v/>
      </c>
      <c r="Q549" s="298" t="str">
        <f>IF(B549="", "", 'Lighting Inventory (Ref only)'!J560)</f>
        <v/>
      </c>
      <c r="R549" s="298" t="str">
        <f>IF(B549="", "",'Lighting Inventory (Ref only)'!K560)</f>
        <v/>
      </c>
      <c r="S549" s="372" t="str">
        <f>IF(B549="", "", 'Lighting Inventory (Ref only)'!G560*'Lighting Inventory (Ref only)'!K560/1000)</f>
        <v/>
      </c>
      <c r="T549" s="298" t="str">
        <f>IF(B549="", "", IF('Lighting Inventory (Ref only)'!I560="", "Light Switch",Inventory!H557))</f>
        <v/>
      </c>
      <c r="X549" s="298" t="str">
        <f>IF(B549="", "", 'Lighting Inventory (Ref only)'!Q560)</f>
        <v/>
      </c>
      <c r="AA549" s="298" t="str">
        <f>IF(B549="", "",'Lighting Inventory (Ref only)'!R560/1000)</f>
        <v/>
      </c>
      <c r="AB549" s="298" t="str">
        <f>IF(B549="", "", Inventory!M557)</f>
        <v/>
      </c>
      <c r="AC549" s="298" t="str">
        <f>IF(B549="", "", 'Lighting Inventory (Ref only)'!T560)</f>
        <v/>
      </c>
      <c r="AD549" s="298" t="str">
        <f>IF(C549="", "", 'Lighting Inventory (Ref only)'!AA560)</f>
        <v/>
      </c>
      <c r="AE549" s="298" t="str">
        <f>IF(B549="", "", 'Lighting Inventory (Ref only)'!U560)</f>
        <v/>
      </c>
      <c r="AF549" s="298" t="str">
        <f>IF(B549="", "",'Lighting Inventory (Ref only)'!W560)</f>
        <v/>
      </c>
      <c r="AH549" s="298" t="str">
        <f>IF(B549="", "",'Lighting Inventory (Ref only)'!Z560)</f>
        <v/>
      </c>
      <c r="AI549" s="298" t="str">
        <f>IF(B549="", "", 'Lighting Inventory (Ref only)'!Y560)</f>
        <v/>
      </c>
      <c r="AJ549" s="298" t="str">
        <f>IF(C549="", "",'Lighting Inventory (Ref only)'!AB560)</f>
        <v/>
      </c>
      <c r="AK549" s="375" t="str">
        <f>IF(B549="", "", 'Lighting Inventory (Ref only)'!AG560)</f>
        <v/>
      </c>
      <c r="AL549" s="375" t="str">
        <f>IF(B549="", "", 'Lighting Inventory (Ref only)'!AD560)</f>
        <v/>
      </c>
      <c r="AM549" s="375" t="str">
        <f>IF(B549="", "", 'Lighting Inventory (Ref only)'!AE560)</f>
        <v/>
      </c>
      <c r="AN549" s="375" t="str">
        <f>IF(B549="", "", 'Lighting Inventory (Ref only)'!AF560)</f>
        <v/>
      </c>
      <c r="AO549" s="375" t="str">
        <f>IF(B549="", "", 'Lighting Inventory (Ref only)'!AG560)</f>
        <v/>
      </c>
    </row>
    <row r="550" spans="1:41">
      <c r="A550" s="298" t="str">
        <f>IF(G550="", "", Lookups!BF552)</f>
        <v/>
      </c>
      <c r="B550" s="298" t="str">
        <f>IF('Lighting Inventory (Ref only)'!Q561="", "", 'Lighting Inventory (Ref only)'!Q561)</f>
        <v/>
      </c>
      <c r="C550" s="298" t="str">
        <f>IF(A550="", "", 'Lighting Inventory (Ref only)'!AO561)</f>
        <v/>
      </c>
      <c r="D550" s="298" t="str">
        <f>IF(B550= "","", Inventory!S558)</f>
        <v/>
      </c>
      <c r="F550" s="298" t="str">
        <f>IF(B550="", "", 'Version Log'!$B$34)</f>
        <v/>
      </c>
      <c r="G550" s="298" t="str">
        <f t="shared" si="32"/>
        <v/>
      </c>
      <c r="H550" s="298" t="str">
        <f t="shared" si="33"/>
        <v/>
      </c>
      <c r="I550" s="298" t="str">
        <f>IF(B550="", "",Inventory!D558)</f>
        <v/>
      </c>
      <c r="J550" s="298" t="str">
        <f>IF(B550="","",IF(Inventory!C558="N","Interior","Exterior"))</f>
        <v/>
      </c>
      <c r="K550" s="298" t="str">
        <f t="shared" si="34"/>
        <v/>
      </c>
      <c r="L550" s="298" t="str">
        <f>IF(B550="", "", Inventory!E558)</f>
        <v/>
      </c>
      <c r="M550" s="298" t="str">
        <f>IF(B550="","",IF(Cool_Type=Lookups!$L$9,Cool_Type,IF(Cool_Type=Lookups!$L$10,Cool_Type,IF(Cool_Type=Lookups!$L$11,Cool_Type,IF(Cool_Type=Lookups!L560,Cool_Type,IF('Project Info and Summary'!$C$20="Electric",CONCATENATE(Cool_Type," ",Heating_Type," Heat"),IF('Project Info and Summary'!$C$20="Non-Electric",CONCATENATE(Cool_Type," ",Heating_Type," Heat"),CONCATENATE(Cool_Type," ",Heating_Type))))))))</f>
        <v/>
      </c>
      <c r="N550" s="298" t="str">
        <f t="shared" si="35"/>
        <v/>
      </c>
      <c r="O550" s="298" t="str">
        <f>IF(B550="", "", 'Lighting Inventory (Ref only)'!G561)</f>
        <v/>
      </c>
      <c r="P550" s="298" t="str">
        <f>IF(B550="", "", 'Lighting Inventory (Ref only)'!E561)</f>
        <v/>
      </c>
      <c r="Q550" s="298" t="str">
        <f>IF(B550="", "", 'Lighting Inventory (Ref only)'!J561)</f>
        <v/>
      </c>
      <c r="R550" s="298" t="str">
        <f>IF(B550="", "",'Lighting Inventory (Ref only)'!K561)</f>
        <v/>
      </c>
      <c r="S550" s="372" t="str">
        <f>IF(B550="", "", 'Lighting Inventory (Ref only)'!G561*'Lighting Inventory (Ref only)'!K561/1000)</f>
        <v/>
      </c>
      <c r="T550" s="298" t="str">
        <f>IF(B550="", "", IF('Lighting Inventory (Ref only)'!I561="", "Light Switch",Inventory!H558))</f>
        <v/>
      </c>
      <c r="X550" s="298" t="str">
        <f>IF(B550="", "", 'Lighting Inventory (Ref only)'!Q561)</f>
        <v/>
      </c>
      <c r="AA550" s="298" t="str">
        <f>IF(B550="", "",'Lighting Inventory (Ref only)'!R561/1000)</f>
        <v/>
      </c>
      <c r="AB550" s="298" t="str">
        <f>IF(B550="", "", Inventory!M558)</f>
        <v/>
      </c>
      <c r="AC550" s="298" t="str">
        <f>IF(B550="", "", 'Lighting Inventory (Ref only)'!T561)</f>
        <v/>
      </c>
      <c r="AD550" s="298" t="str">
        <f>IF(C550="", "", 'Lighting Inventory (Ref only)'!AA561)</f>
        <v/>
      </c>
      <c r="AE550" s="298" t="str">
        <f>IF(B550="", "", 'Lighting Inventory (Ref only)'!U561)</f>
        <v/>
      </c>
      <c r="AF550" s="298" t="str">
        <f>IF(B550="", "",'Lighting Inventory (Ref only)'!W561)</f>
        <v/>
      </c>
      <c r="AH550" s="298" t="str">
        <f>IF(B550="", "",'Lighting Inventory (Ref only)'!Z561)</f>
        <v/>
      </c>
      <c r="AI550" s="298" t="str">
        <f>IF(B550="", "", 'Lighting Inventory (Ref only)'!Y561)</f>
        <v/>
      </c>
      <c r="AJ550" s="298" t="str">
        <f>IF(C550="", "",'Lighting Inventory (Ref only)'!AB561)</f>
        <v/>
      </c>
      <c r="AK550" s="375" t="str">
        <f>IF(B550="", "", 'Lighting Inventory (Ref only)'!AG561)</f>
        <v/>
      </c>
      <c r="AL550" s="375" t="str">
        <f>IF(B550="", "", 'Lighting Inventory (Ref only)'!AD561)</f>
        <v/>
      </c>
      <c r="AM550" s="375" t="str">
        <f>IF(B550="", "", 'Lighting Inventory (Ref only)'!AE561)</f>
        <v/>
      </c>
      <c r="AN550" s="375" t="str">
        <f>IF(B550="", "", 'Lighting Inventory (Ref only)'!AF561)</f>
        <v/>
      </c>
      <c r="AO550" s="375" t="str">
        <f>IF(B550="", "", 'Lighting Inventory (Ref only)'!AG561)</f>
        <v/>
      </c>
    </row>
    <row r="551" spans="1:41">
      <c r="A551" s="298" t="str">
        <f>IF(G551="", "", Lookups!BF553)</f>
        <v/>
      </c>
      <c r="B551" s="298" t="str">
        <f>IF('Lighting Inventory (Ref only)'!Q562="", "", 'Lighting Inventory (Ref only)'!Q562)</f>
        <v/>
      </c>
      <c r="C551" s="298" t="str">
        <f>IF(A551="", "", 'Lighting Inventory (Ref only)'!AO562)</f>
        <v/>
      </c>
      <c r="D551" s="298" t="str">
        <f>IF(B551= "","", Inventory!S559)</f>
        <v/>
      </c>
      <c r="F551" s="298" t="str">
        <f>IF(B551="", "", 'Version Log'!$B$34)</f>
        <v/>
      </c>
      <c r="G551" s="298" t="str">
        <f t="shared" si="32"/>
        <v/>
      </c>
      <c r="H551" s="298" t="str">
        <f t="shared" si="33"/>
        <v/>
      </c>
      <c r="I551" s="298" t="str">
        <f>IF(B551="", "",Inventory!D559)</f>
        <v/>
      </c>
      <c r="J551" s="298" t="str">
        <f>IF(B551="","",IF(Inventory!C559="N","Interior","Exterior"))</f>
        <v/>
      </c>
      <c r="K551" s="298" t="str">
        <f t="shared" si="34"/>
        <v/>
      </c>
      <c r="L551" s="298" t="str">
        <f>IF(B551="", "", Inventory!E559)</f>
        <v/>
      </c>
      <c r="M551" s="298" t="str">
        <f>IF(B551="","",IF(Cool_Type=Lookups!$L$9,Cool_Type,IF(Cool_Type=Lookups!$L$10,Cool_Type,IF(Cool_Type=Lookups!$L$11,Cool_Type,IF(Cool_Type=Lookups!L561,Cool_Type,IF('Project Info and Summary'!$C$20="Electric",CONCATENATE(Cool_Type," ",Heating_Type," Heat"),IF('Project Info and Summary'!$C$20="Non-Electric",CONCATENATE(Cool_Type," ",Heating_Type," Heat"),CONCATENATE(Cool_Type," ",Heating_Type))))))))</f>
        <v/>
      </c>
      <c r="N551" s="298" t="str">
        <f t="shared" si="35"/>
        <v/>
      </c>
      <c r="O551" s="298" t="str">
        <f>IF(B551="", "", 'Lighting Inventory (Ref only)'!G562)</f>
        <v/>
      </c>
      <c r="P551" s="298" t="str">
        <f>IF(B551="", "", 'Lighting Inventory (Ref only)'!E562)</f>
        <v/>
      </c>
      <c r="Q551" s="298" t="str">
        <f>IF(B551="", "", 'Lighting Inventory (Ref only)'!J562)</f>
        <v/>
      </c>
      <c r="R551" s="298" t="str">
        <f>IF(B551="", "",'Lighting Inventory (Ref only)'!K562)</f>
        <v/>
      </c>
      <c r="S551" s="372" t="str">
        <f>IF(B551="", "", 'Lighting Inventory (Ref only)'!G562*'Lighting Inventory (Ref only)'!K562/1000)</f>
        <v/>
      </c>
      <c r="T551" s="298" t="str">
        <f>IF(B551="", "", IF('Lighting Inventory (Ref only)'!I562="", "Light Switch",Inventory!H559))</f>
        <v/>
      </c>
      <c r="X551" s="298" t="str">
        <f>IF(B551="", "", 'Lighting Inventory (Ref only)'!Q562)</f>
        <v/>
      </c>
      <c r="AA551" s="298" t="str">
        <f>IF(B551="", "",'Lighting Inventory (Ref only)'!R562/1000)</f>
        <v/>
      </c>
      <c r="AB551" s="298" t="str">
        <f>IF(B551="", "", Inventory!M559)</f>
        <v/>
      </c>
      <c r="AC551" s="298" t="str">
        <f>IF(B551="", "", 'Lighting Inventory (Ref only)'!T562)</f>
        <v/>
      </c>
      <c r="AD551" s="298" t="str">
        <f>IF(C551="", "", 'Lighting Inventory (Ref only)'!AA562)</f>
        <v/>
      </c>
      <c r="AE551" s="298" t="str">
        <f>IF(B551="", "", 'Lighting Inventory (Ref only)'!U562)</f>
        <v/>
      </c>
      <c r="AF551" s="298" t="str">
        <f>IF(B551="", "",'Lighting Inventory (Ref only)'!W562)</f>
        <v/>
      </c>
      <c r="AH551" s="298" t="str">
        <f>IF(B551="", "",'Lighting Inventory (Ref only)'!Z562)</f>
        <v/>
      </c>
      <c r="AI551" s="298" t="str">
        <f>IF(B551="", "", 'Lighting Inventory (Ref only)'!Y562)</f>
        <v/>
      </c>
      <c r="AJ551" s="298" t="str">
        <f>IF(C551="", "",'Lighting Inventory (Ref only)'!AB562)</f>
        <v/>
      </c>
      <c r="AK551" s="375" t="str">
        <f>IF(B551="", "", 'Lighting Inventory (Ref only)'!AG562)</f>
        <v/>
      </c>
      <c r="AL551" s="375" t="str">
        <f>IF(B551="", "", 'Lighting Inventory (Ref only)'!AD562)</f>
        <v/>
      </c>
      <c r="AM551" s="375" t="str">
        <f>IF(B551="", "", 'Lighting Inventory (Ref only)'!AE562)</f>
        <v/>
      </c>
      <c r="AN551" s="375" t="str">
        <f>IF(B551="", "", 'Lighting Inventory (Ref only)'!AF562)</f>
        <v/>
      </c>
      <c r="AO551" s="375" t="str">
        <f>IF(B551="", "", 'Lighting Inventory (Ref only)'!AG562)</f>
        <v/>
      </c>
    </row>
    <row r="552" spans="1:41">
      <c r="A552" s="298" t="str">
        <f>IF(G552="", "", Lookups!BF554)</f>
        <v/>
      </c>
      <c r="B552" s="298" t="str">
        <f>IF('Lighting Inventory (Ref only)'!Q563="", "", 'Lighting Inventory (Ref only)'!Q563)</f>
        <v/>
      </c>
      <c r="C552" s="298" t="str">
        <f>IF(A552="", "", 'Lighting Inventory (Ref only)'!AO563)</f>
        <v/>
      </c>
      <c r="D552" s="298" t="str">
        <f>IF(B552= "","", Inventory!S560)</f>
        <v/>
      </c>
      <c r="F552" s="298" t="str">
        <f>IF(B552="", "", 'Version Log'!$B$34)</f>
        <v/>
      </c>
      <c r="G552" s="298" t="str">
        <f t="shared" si="32"/>
        <v/>
      </c>
      <c r="H552" s="298" t="str">
        <f t="shared" si="33"/>
        <v/>
      </c>
      <c r="I552" s="298" t="str">
        <f>IF(B552="", "",Inventory!D560)</f>
        <v/>
      </c>
      <c r="J552" s="298" t="str">
        <f>IF(B552="","",IF(Inventory!C560="N","Interior","Exterior"))</f>
        <v/>
      </c>
      <c r="K552" s="298" t="str">
        <f t="shared" si="34"/>
        <v/>
      </c>
      <c r="L552" s="298" t="str">
        <f>IF(B552="", "", Inventory!E560)</f>
        <v/>
      </c>
      <c r="M552" s="298" t="str">
        <f>IF(B552="","",IF(Cool_Type=Lookups!$L$9,Cool_Type,IF(Cool_Type=Lookups!$L$10,Cool_Type,IF(Cool_Type=Lookups!$L$11,Cool_Type,IF(Cool_Type=Lookups!L562,Cool_Type,IF('Project Info and Summary'!$C$20="Electric",CONCATENATE(Cool_Type," ",Heating_Type," Heat"),IF('Project Info and Summary'!$C$20="Non-Electric",CONCATENATE(Cool_Type," ",Heating_Type," Heat"),CONCATENATE(Cool_Type," ",Heating_Type))))))))</f>
        <v/>
      </c>
      <c r="N552" s="298" t="str">
        <f t="shared" si="35"/>
        <v/>
      </c>
      <c r="O552" s="298" t="str">
        <f>IF(B552="", "", 'Lighting Inventory (Ref only)'!G563)</f>
        <v/>
      </c>
      <c r="P552" s="298" t="str">
        <f>IF(B552="", "", 'Lighting Inventory (Ref only)'!E563)</f>
        <v/>
      </c>
      <c r="Q552" s="298" t="str">
        <f>IF(B552="", "", 'Lighting Inventory (Ref only)'!J563)</f>
        <v/>
      </c>
      <c r="R552" s="298" t="str">
        <f>IF(B552="", "",'Lighting Inventory (Ref only)'!K563)</f>
        <v/>
      </c>
      <c r="S552" s="372" t="str">
        <f>IF(B552="", "", 'Lighting Inventory (Ref only)'!G563*'Lighting Inventory (Ref only)'!K563/1000)</f>
        <v/>
      </c>
      <c r="T552" s="298" t="str">
        <f>IF(B552="", "", IF('Lighting Inventory (Ref only)'!I563="", "Light Switch",Inventory!H560))</f>
        <v/>
      </c>
      <c r="X552" s="298" t="str">
        <f>IF(B552="", "", 'Lighting Inventory (Ref only)'!Q563)</f>
        <v/>
      </c>
      <c r="AA552" s="298" t="str">
        <f>IF(B552="", "",'Lighting Inventory (Ref only)'!R563/1000)</f>
        <v/>
      </c>
      <c r="AB552" s="298" t="str">
        <f>IF(B552="", "", Inventory!M560)</f>
        <v/>
      </c>
      <c r="AC552" s="298" t="str">
        <f>IF(B552="", "", 'Lighting Inventory (Ref only)'!T563)</f>
        <v/>
      </c>
      <c r="AD552" s="298" t="str">
        <f>IF(C552="", "", 'Lighting Inventory (Ref only)'!AA563)</f>
        <v/>
      </c>
      <c r="AE552" s="298" t="str">
        <f>IF(B552="", "", 'Lighting Inventory (Ref only)'!U563)</f>
        <v/>
      </c>
      <c r="AF552" s="298" t="str">
        <f>IF(B552="", "",'Lighting Inventory (Ref only)'!W563)</f>
        <v/>
      </c>
      <c r="AH552" s="298" t="str">
        <f>IF(B552="", "",'Lighting Inventory (Ref only)'!Z563)</f>
        <v/>
      </c>
      <c r="AI552" s="298" t="str">
        <f>IF(B552="", "", 'Lighting Inventory (Ref only)'!Y563)</f>
        <v/>
      </c>
      <c r="AJ552" s="298" t="str">
        <f>IF(C552="", "",'Lighting Inventory (Ref only)'!AB563)</f>
        <v/>
      </c>
      <c r="AK552" s="375" t="str">
        <f>IF(B552="", "", 'Lighting Inventory (Ref only)'!AG563)</f>
        <v/>
      </c>
      <c r="AL552" s="375" t="str">
        <f>IF(B552="", "", 'Lighting Inventory (Ref only)'!AD563)</f>
        <v/>
      </c>
      <c r="AM552" s="375" t="str">
        <f>IF(B552="", "", 'Lighting Inventory (Ref only)'!AE563)</f>
        <v/>
      </c>
      <c r="AN552" s="375" t="str">
        <f>IF(B552="", "", 'Lighting Inventory (Ref only)'!AF563)</f>
        <v/>
      </c>
      <c r="AO552" s="375" t="str">
        <f>IF(B552="", "", 'Lighting Inventory (Ref only)'!AG563)</f>
        <v/>
      </c>
    </row>
    <row r="553" spans="1:41">
      <c r="A553" s="298" t="str">
        <f>IF(G553="", "", Lookups!BF555)</f>
        <v/>
      </c>
      <c r="B553" s="298" t="str">
        <f>IF('Lighting Inventory (Ref only)'!Q564="", "", 'Lighting Inventory (Ref only)'!Q564)</f>
        <v/>
      </c>
      <c r="C553" s="298" t="str">
        <f>IF(A553="", "", 'Lighting Inventory (Ref only)'!AO564)</f>
        <v/>
      </c>
      <c r="D553" s="298" t="str">
        <f>IF(B553= "","", Inventory!S561)</f>
        <v/>
      </c>
      <c r="F553" s="298" t="str">
        <f>IF(B553="", "", 'Version Log'!$B$34)</f>
        <v/>
      </c>
      <c r="G553" s="298" t="str">
        <f t="shared" si="32"/>
        <v/>
      </c>
      <c r="H553" s="298" t="str">
        <f t="shared" si="33"/>
        <v/>
      </c>
      <c r="I553" s="298" t="str">
        <f>IF(B553="", "",Inventory!D561)</f>
        <v/>
      </c>
      <c r="J553" s="298" t="str">
        <f>IF(B553="","",IF(Inventory!C561="N","Interior","Exterior"))</f>
        <v/>
      </c>
      <c r="K553" s="298" t="str">
        <f t="shared" si="34"/>
        <v/>
      </c>
      <c r="L553" s="298" t="str">
        <f>IF(B553="", "", Inventory!E561)</f>
        <v/>
      </c>
      <c r="M553" s="298" t="str">
        <f>IF(B553="","",IF(Cool_Type=Lookups!$L$9,Cool_Type,IF(Cool_Type=Lookups!$L$10,Cool_Type,IF(Cool_Type=Lookups!$L$11,Cool_Type,IF(Cool_Type=Lookups!L563,Cool_Type,IF('Project Info and Summary'!$C$20="Electric",CONCATENATE(Cool_Type," ",Heating_Type," Heat"),IF('Project Info and Summary'!$C$20="Non-Electric",CONCATENATE(Cool_Type," ",Heating_Type," Heat"),CONCATENATE(Cool_Type," ",Heating_Type))))))))</f>
        <v/>
      </c>
      <c r="N553" s="298" t="str">
        <f t="shared" si="35"/>
        <v/>
      </c>
      <c r="O553" s="298" t="str">
        <f>IF(B553="", "", 'Lighting Inventory (Ref only)'!G564)</f>
        <v/>
      </c>
      <c r="P553" s="298" t="str">
        <f>IF(B553="", "", 'Lighting Inventory (Ref only)'!E564)</f>
        <v/>
      </c>
      <c r="Q553" s="298" t="str">
        <f>IF(B553="", "", 'Lighting Inventory (Ref only)'!J564)</f>
        <v/>
      </c>
      <c r="R553" s="298" t="str">
        <f>IF(B553="", "",'Lighting Inventory (Ref only)'!K564)</f>
        <v/>
      </c>
      <c r="S553" s="372" t="str">
        <f>IF(B553="", "", 'Lighting Inventory (Ref only)'!G564*'Lighting Inventory (Ref only)'!K564/1000)</f>
        <v/>
      </c>
      <c r="T553" s="298" t="str">
        <f>IF(B553="", "", IF('Lighting Inventory (Ref only)'!I564="", "Light Switch",Inventory!H561))</f>
        <v/>
      </c>
      <c r="X553" s="298" t="str">
        <f>IF(B553="", "", 'Lighting Inventory (Ref only)'!Q564)</f>
        <v/>
      </c>
      <c r="AA553" s="298" t="str">
        <f>IF(B553="", "",'Lighting Inventory (Ref only)'!R564/1000)</f>
        <v/>
      </c>
      <c r="AB553" s="298" t="str">
        <f>IF(B553="", "", Inventory!M561)</f>
        <v/>
      </c>
      <c r="AC553" s="298" t="str">
        <f>IF(B553="", "", 'Lighting Inventory (Ref only)'!T564)</f>
        <v/>
      </c>
      <c r="AD553" s="298" t="str">
        <f>IF(C553="", "", 'Lighting Inventory (Ref only)'!AA564)</f>
        <v/>
      </c>
      <c r="AE553" s="298" t="str">
        <f>IF(B553="", "", 'Lighting Inventory (Ref only)'!U564)</f>
        <v/>
      </c>
      <c r="AF553" s="298" t="str">
        <f>IF(B553="", "",'Lighting Inventory (Ref only)'!W564)</f>
        <v/>
      </c>
      <c r="AH553" s="298" t="str">
        <f>IF(B553="", "",'Lighting Inventory (Ref only)'!Z564)</f>
        <v/>
      </c>
      <c r="AI553" s="298" t="str">
        <f>IF(B553="", "", 'Lighting Inventory (Ref only)'!Y564)</f>
        <v/>
      </c>
      <c r="AJ553" s="298" t="str">
        <f>IF(C553="", "",'Lighting Inventory (Ref only)'!AB564)</f>
        <v/>
      </c>
      <c r="AK553" s="375" t="str">
        <f>IF(B553="", "", 'Lighting Inventory (Ref only)'!AG564)</f>
        <v/>
      </c>
      <c r="AL553" s="375" t="str">
        <f>IF(B553="", "", 'Lighting Inventory (Ref only)'!AD564)</f>
        <v/>
      </c>
      <c r="AM553" s="375" t="str">
        <f>IF(B553="", "", 'Lighting Inventory (Ref only)'!AE564)</f>
        <v/>
      </c>
      <c r="AN553" s="375" t="str">
        <f>IF(B553="", "", 'Lighting Inventory (Ref only)'!AF564)</f>
        <v/>
      </c>
      <c r="AO553" s="375" t="str">
        <f>IF(B553="", "", 'Lighting Inventory (Ref only)'!AG564)</f>
        <v/>
      </c>
    </row>
    <row r="554" spans="1:41">
      <c r="A554" s="298" t="str">
        <f>IF(G554="", "", Lookups!BF556)</f>
        <v/>
      </c>
      <c r="B554" s="298" t="str">
        <f>IF('Lighting Inventory (Ref only)'!Q565="", "", 'Lighting Inventory (Ref only)'!Q565)</f>
        <v/>
      </c>
      <c r="C554" s="298" t="str">
        <f>IF(A554="", "", 'Lighting Inventory (Ref only)'!AO565)</f>
        <v/>
      </c>
      <c r="D554" s="298" t="str">
        <f>IF(B554= "","", Inventory!S562)</f>
        <v/>
      </c>
      <c r="F554" s="298" t="str">
        <f>IF(B554="", "", 'Version Log'!$B$34)</f>
        <v/>
      </c>
      <c r="G554" s="298" t="str">
        <f t="shared" si="32"/>
        <v/>
      </c>
      <c r="H554" s="298" t="str">
        <f t="shared" si="33"/>
        <v/>
      </c>
      <c r="I554" s="298" t="str">
        <f>IF(B554="", "",Inventory!D562)</f>
        <v/>
      </c>
      <c r="J554" s="298" t="str">
        <f>IF(B554="","",IF(Inventory!C562="N","Interior","Exterior"))</f>
        <v/>
      </c>
      <c r="K554" s="298" t="str">
        <f t="shared" si="34"/>
        <v/>
      </c>
      <c r="L554" s="298" t="str">
        <f>IF(B554="", "", Inventory!E562)</f>
        <v/>
      </c>
      <c r="M554" s="298" t="str">
        <f>IF(B554="","",IF(Cool_Type=Lookups!$L$9,Cool_Type,IF(Cool_Type=Lookups!$L$10,Cool_Type,IF(Cool_Type=Lookups!$L$11,Cool_Type,IF(Cool_Type=Lookups!L564,Cool_Type,IF('Project Info and Summary'!$C$20="Electric",CONCATENATE(Cool_Type," ",Heating_Type," Heat"),IF('Project Info and Summary'!$C$20="Non-Electric",CONCATENATE(Cool_Type," ",Heating_Type," Heat"),CONCATENATE(Cool_Type," ",Heating_Type))))))))</f>
        <v/>
      </c>
      <c r="N554" s="298" t="str">
        <f t="shared" si="35"/>
        <v/>
      </c>
      <c r="O554" s="298" t="str">
        <f>IF(B554="", "", 'Lighting Inventory (Ref only)'!G565)</f>
        <v/>
      </c>
      <c r="P554" s="298" t="str">
        <f>IF(B554="", "", 'Lighting Inventory (Ref only)'!E565)</f>
        <v/>
      </c>
      <c r="Q554" s="298" t="str">
        <f>IF(B554="", "", 'Lighting Inventory (Ref only)'!J565)</f>
        <v/>
      </c>
      <c r="R554" s="298" t="str">
        <f>IF(B554="", "",'Lighting Inventory (Ref only)'!K565)</f>
        <v/>
      </c>
      <c r="S554" s="372" t="str">
        <f>IF(B554="", "", 'Lighting Inventory (Ref only)'!G565*'Lighting Inventory (Ref only)'!K565/1000)</f>
        <v/>
      </c>
      <c r="T554" s="298" t="str">
        <f>IF(B554="", "", IF('Lighting Inventory (Ref only)'!I565="", "Light Switch",Inventory!H562))</f>
        <v/>
      </c>
      <c r="X554" s="298" t="str">
        <f>IF(B554="", "", 'Lighting Inventory (Ref only)'!Q565)</f>
        <v/>
      </c>
      <c r="AA554" s="298" t="str">
        <f>IF(B554="", "",'Lighting Inventory (Ref only)'!R565/1000)</f>
        <v/>
      </c>
      <c r="AB554" s="298" t="str">
        <f>IF(B554="", "", Inventory!M562)</f>
        <v/>
      </c>
      <c r="AC554" s="298" t="str">
        <f>IF(B554="", "", 'Lighting Inventory (Ref only)'!T565)</f>
        <v/>
      </c>
      <c r="AD554" s="298" t="str">
        <f>IF(C554="", "", 'Lighting Inventory (Ref only)'!AA565)</f>
        <v/>
      </c>
      <c r="AE554" s="298" t="str">
        <f>IF(B554="", "", 'Lighting Inventory (Ref only)'!U565)</f>
        <v/>
      </c>
      <c r="AF554" s="298" t="str">
        <f>IF(B554="", "",'Lighting Inventory (Ref only)'!W565)</f>
        <v/>
      </c>
      <c r="AH554" s="298" t="str">
        <f>IF(B554="", "",'Lighting Inventory (Ref only)'!Z565)</f>
        <v/>
      </c>
      <c r="AI554" s="298" t="str">
        <f>IF(B554="", "", 'Lighting Inventory (Ref only)'!Y565)</f>
        <v/>
      </c>
      <c r="AJ554" s="298" t="str">
        <f>IF(C554="", "",'Lighting Inventory (Ref only)'!AB565)</f>
        <v/>
      </c>
      <c r="AK554" s="375" t="str">
        <f>IF(B554="", "", 'Lighting Inventory (Ref only)'!AG565)</f>
        <v/>
      </c>
      <c r="AL554" s="375" t="str">
        <f>IF(B554="", "", 'Lighting Inventory (Ref only)'!AD565)</f>
        <v/>
      </c>
      <c r="AM554" s="375" t="str">
        <f>IF(B554="", "", 'Lighting Inventory (Ref only)'!AE565)</f>
        <v/>
      </c>
      <c r="AN554" s="375" t="str">
        <f>IF(B554="", "", 'Lighting Inventory (Ref only)'!AF565)</f>
        <v/>
      </c>
      <c r="AO554" s="375" t="str">
        <f>IF(B554="", "", 'Lighting Inventory (Ref only)'!AG565)</f>
        <v/>
      </c>
    </row>
    <row r="555" spans="1:41">
      <c r="A555" s="298" t="str">
        <f>IF(G555="", "", Lookups!BF557)</f>
        <v/>
      </c>
      <c r="B555" s="298" t="str">
        <f>IF('Lighting Inventory (Ref only)'!Q566="", "", 'Lighting Inventory (Ref only)'!Q566)</f>
        <v/>
      </c>
      <c r="C555" s="298" t="str">
        <f>IF(A555="", "", 'Lighting Inventory (Ref only)'!AO566)</f>
        <v/>
      </c>
      <c r="D555" s="298" t="str">
        <f>IF(B555= "","", Inventory!S563)</f>
        <v/>
      </c>
      <c r="F555" s="298" t="str">
        <f>IF(B555="", "", 'Version Log'!$B$34)</f>
        <v/>
      </c>
      <c r="G555" s="298" t="str">
        <f t="shared" si="32"/>
        <v/>
      </c>
      <c r="H555" s="298" t="str">
        <f t="shared" si="33"/>
        <v/>
      </c>
      <c r="I555" s="298" t="str">
        <f>IF(B555="", "",Inventory!D563)</f>
        <v/>
      </c>
      <c r="J555" s="298" t="str">
        <f>IF(B555="","",IF(Inventory!C563="N","Interior","Exterior"))</f>
        <v/>
      </c>
      <c r="K555" s="298" t="str">
        <f t="shared" si="34"/>
        <v/>
      </c>
      <c r="L555" s="298" t="str">
        <f>IF(B555="", "", Inventory!E563)</f>
        <v/>
      </c>
      <c r="M555" s="298" t="str">
        <f>IF(B555="","",IF(Cool_Type=Lookups!$L$9,Cool_Type,IF(Cool_Type=Lookups!$L$10,Cool_Type,IF(Cool_Type=Lookups!$L$11,Cool_Type,IF(Cool_Type=Lookups!L565,Cool_Type,IF('Project Info and Summary'!$C$20="Electric",CONCATENATE(Cool_Type," ",Heating_Type," Heat"),IF('Project Info and Summary'!$C$20="Non-Electric",CONCATENATE(Cool_Type," ",Heating_Type," Heat"),CONCATENATE(Cool_Type," ",Heating_Type))))))))</f>
        <v/>
      </c>
      <c r="N555" s="298" t="str">
        <f t="shared" si="35"/>
        <v/>
      </c>
      <c r="O555" s="298" t="str">
        <f>IF(B555="", "", 'Lighting Inventory (Ref only)'!G566)</f>
        <v/>
      </c>
      <c r="P555" s="298" t="str">
        <f>IF(B555="", "", 'Lighting Inventory (Ref only)'!E566)</f>
        <v/>
      </c>
      <c r="Q555" s="298" t="str">
        <f>IF(B555="", "", 'Lighting Inventory (Ref only)'!J566)</f>
        <v/>
      </c>
      <c r="R555" s="298" t="str">
        <f>IF(B555="", "",'Lighting Inventory (Ref only)'!K566)</f>
        <v/>
      </c>
      <c r="S555" s="372" t="str">
        <f>IF(B555="", "", 'Lighting Inventory (Ref only)'!G566*'Lighting Inventory (Ref only)'!K566/1000)</f>
        <v/>
      </c>
      <c r="T555" s="298" t="str">
        <f>IF(B555="", "", IF('Lighting Inventory (Ref only)'!I566="", "Light Switch",Inventory!H563))</f>
        <v/>
      </c>
      <c r="X555" s="298" t="str">
        <f>IF(B555="", "", 'Lighting Inventory (Ref only)'!Q566)</f>
        <v/>
      </c>
      <c r="AA555" s="298" t="str">
        <f>IF(B555="", "",'Lighting Inventory (Ref only)'!R566/1000)</f>
        <v/>
      </c>
      <c r="AB555" s="298" t="str">
        <f>IF(B555="", "", Inventory!M563)</f>
        <v/>
      </c>
      <c r="AC555" s="298" t="str">
        <f>IF(B555="", "", 'Lighting Inventory (Ref only)'!T566)</f>
        <v/>
      </c>
      <c r="AD555" s="298" t="str">
        <f>IF(C555="", "", 'Lighting Inventory (Ref only)'!AA566)</f>
        <v/>
      </c>
      <c r="AE555" s="298" t="str">
        <f>IF(B555="", "", 'Lighting Inventory (Ref only)'!U566)</f>
        <v/>
      </c>
      <c r="AF555" s="298" t="str">
        <f>IF(B555="", "",'Lighting Inventory (Ref only)'!W566)</f>
        <v/>
      </c>
      <c r="AH555" s="298" t="str">
        <f>IF(B555="", "",'Lighting Inventory (Ref only)'!Z566)</f>
        <v/>
      </c>
      <c r="AI555" s="298" t="str">
        <f>IF(B555="", "", 'Lighting Inventory (Ref only)'!Y566)</f>
        <v/>
      </c>
      <c r="AJ555" s="298" t="str">
        <f>IF(C555="", "",'Lighting Inventory (Ref only)'!AB566)</f>
        <v/>
      </c>
      <c r="AK555" s="375" t="str">
        <f>IF(B555="", "", 'Lighting Inventory (Ref only)'!AG566)</f>
        <v/>
      </c>
      <c r="AL555" s="375" t="str">
        <f>IF(B555="", "", 'Lighting Inventory (Ref only)'!AD566)</f>
        <v/>
      </c>
      <c r="AM555" s="375" t="str">
        <f>IF(B555="", "", 'Lighting Inventory (Ref only)'!AE566)</f>
        <v/>
      </c>
      <c r="AN555" s="375" t="str">
        <f>IF(B555="", "", 'Lighting Inventory (Ref only)'!AF566)</f>
        <v/>
      </c>
      <c r="AO555" s="375" t="str">
        <f>IF(B555="", "", 'Lighting Inventory (Ref only)'!AG566)</f>
        <v/>
      </c>
    </row>
    <row r="556" spans="1:41">
      <c r="A556" s="298" t="str">
        <f>IF(G556="", "", Lookups!BF558)</f>
        <v/>
      </c>
      <c r="B556" s="298" t="str">
        <f>IF('Lighting Inventory (Ref only)'!Q567="", "", 'Lighting Inventory (Ref only)'!Q567)</f>
        <v/>
      </c>
      <c r="C556" s="298" t="str">
        <f>IF(A556="", "", 'Lighting Inventory (Ref only)'!AO567)</f>
        <v/>
      </c>
      <c r="D556" s="298" t="str">
        <f>IF(B556= "","", Inventory!S564)</f>
        <v/>
      </c>
      <c r="F556" s="298" t="str">
        <f>IF(B556="", "", 'Version Log'!$B$34)</f>
        <v/>
      </c>
      <c r="G556" s="298" t="str">
        <f t="shared" si="32"/>
        <v/>
      </c>
      <c r="H556" s="298" t="str">
        <f t="shared" si="33"/>
        <v/>
      </c>
      <c r="I556" s="298" t="str">
        <f>IF(B556="", "",Inventory!D564)</f>
        <v/>
      </c>
      <c r="J556" s="298" t="str">
        <f>IF(B556="","",IF(Inventory!C564="N","Interior","Exterior"))</f>
        <v/>
      </c>
      <c r="K556" s="298" t="str">
        <f t="shared" si="34"/>
        <v/>
      </c>
      <c r="L556" s="298" t="str">
        <f>IF(B556="", "", Inventory!E564)</f>
        <v/>
      </c>
      <c r="M556" s="298" t="str">
        <f>IF(B556="","",IF(Cool_Type=Lookups!$L$9,Cool_Type,IF(Cool_Type=Lookups!$L$10,Cool_Type,IF(Cool_Type=Lookups!$L$11,Cool_Type,IF(Cool_Type=Lookups!L566,Cool_Type,IF('Project Info and Summary'!$C$20="Electric",CONCATENATE(Cool_Type," ",Heating_Type," Heat"),IF('Project Info and Summary'!$C$20="Non-Electric",CONCATENATE(Cool_Type," ",Heating_Type," Heat"),CONCATENATE(Cool_Type," ",Heating_Type))))))))</f>
        <v/>
      </c>
      <c r="N556" s="298" t="str">
        <f t="shared" si="35"/>
        <v/>
      </c>
      <c r="O556" s="298" t="str">
        <f>IF(B556="", "", 'Lighting Inventory (Ref only)'!G567)</f>
        <v/>
      </c>
      <c r="P556" s="298" t="str">
        <f>IF(B556="", "", 'Lighting Inventory (Ref only)'!E567)</f>
        <v/>
      </c>
      <c r="Q556" s="298" t="str">
        <f>IF(B556="", "", 'Lighting Inventory (Ref only)'!J567)</f>
        <v/>
      </c>
      <c r="R556" s="298" t="str">
        <f>IF(B556="", "",'Lighting Inventory (Ref only)'!K567)</f>
        <v/>
      </c>
      <c r="S556" s="372" t="str">
        <f>IF(B556="", "", 'Lighting Inventory (Ref only)'!G567*'Lighting Inventory (Ref only)'!K567/1000)</f>
        <v/>
      </c>
      <c r="T556" s="298" t="str">
        <f>IF(B556="", "", IF('Lighting Inventory (Ref only)'!I567="", "Light Switch",Inventory!H564))</f>
        <v/>
      </c>
      <c r="X556" s="298" t="str">
        <f>IF(B556="", "", 'Lighting Inventory (Ref only)'!Q567)</f>
        <v/>
      </c>
      <c r="AA556" s="298" t="str">
        <f>IF(B556="", "",'Lighting Inventory (Ref only)'!R567/1000)</f>
        <v/>
      </c>
      <c r="AB556" s="298" t="str">
        <f>IF(B556="", "", Inventory!M564)</f>
        <v/>
      </c>
      <c r="AC556" s="298" t="str">
        <f>IF(B556="", "", 'Lighting Inventory (Ref only)'!T567)</f>
        <v/>
      </c>
      <c r="AD556" s="298" t="str">
        <f>IF(C556="", "", 'Lighting Inventory (Ref only)'!AA567)</f>
        <v/>
      </c>
      <c r="AE556" s="298" t="str">
        <f>IF(B556="", "", 'Lighting Inventory (Ref only)'!U567)</f>
        <v/>
      </c>
      <c r="AF556" s="298" t="str">
        <f>IF(B556="", "",'Lighting Inventory (Ref only)'!W567)</f>
        <v/>
      </c>
      <c r="AH556" s="298" t="str">
        <f>IF(B556="", "",'Lighting Inventory (Ref only)'!Z567)</f>
        <v/>
      </c>
      <c r="AI556" s="298" t="str">
        <f>IF(B556="", "", 'Lighting Inventory (Ref only)'!Y567)</f>
        <v/>
      </c>
      <c r="AJ556" s="298" t="str">
        <f>IF(C556="", "",'Lighting Inventory (Ref only)'!AB567)</f>
        <v/>
      </c>
      <c r="AK556" s="375" t="str">
        <f>IF(B556="", "", 'Lighting Inventory (Ref only)'!AG567)</f>
        <v/>
      </c>
      <c r="AL556" s="375" t="str">
        <f>IF(B556="", "", 'Lighting Inventory (Ref only)'!AD567)</f>
        <v/>
      </c>
      <c r="AM556" s="375" t="str">
        <f>IF(B556="", "", 'Lighting Inventory (Ref only)'!AE567)</f>
        <v/>
      </c>
      <c r="AN556" s="375" t="str">
        <f>IF(B556="", "", 'Lighting Inventory (Ref only)'!AF567)</f>
        <v/>
      </c>
      <c r="AO556" s="375" t="str">
        <f>IF(B556="", "", 'Lighting Inventory (Ref only)'!AG567)</f>
        <v/>
      </c>
    </row>
    <row r="557" spans="1:41">
      <c r="A557" s="298" t="str">
        <f>IF(G557="", "", Lookups!BF559)</f>
        <v/>
      </c>
      <c r="B557" s="298" t="str">
        <f>IF('Lighting Inventory (Ref only)'!Q568="", "", 'Lighting Inventory (Ref only)'!Q568)</f>
        <v/>
      </c>
      <c r="C557" s="298" t="str">
        <f>IF(A557="", "", 'Lighting Inventory (Ref only)'!AO568)</f>
        <v/>
      </c>
      <c r="D557" s="298" t="str">
        <f>IF(B557= "","", Inventory!S565)</f>
        <v/>
      </c>
      <c r="F557" s="298" t="str">
        <f>IF(B557="", "", 'Version Log'!$B$34)</f>
        <v/>
      </c>
      <c r="G557" s="298" t="str">
        <f t="shared" si="32"/>
        <v/>
      </c>
      <c r="H557" s="298" t="str">
        <f t="shared" si="33"/>
        <v/>
      </c>
      <c r="I557" s="298" t="str">
        <f>IF(B557="", "",Inventory!D565)</f>
        <v/>
      </c>
      <c r="J557" s="298" t="str">
        <f>IF(B557="","",IF(Inventory!C565="N","Interior","Exterior"))</f>
        <v/>
      </c>
      <c r="K557" s="298" t="str">
        <f t="shared" si="34"/>
        <v/>
      </c>
      <c r="L557" s="298" t="str">
        <f>IF(B557="", "", Inventory!E565)</f>
        <v/>
      </c>
      <c r="M557" s="298" t="str">
        <f>IF(B557="","",IF(Cool_Type=Lookups!$L$9,Cool_Type,IF(Cool_Type=Lookups!$L$10,Cool_Type,IF(Cool_Type=Lookups!$L$11,Cool_Type,IF(Cool_Type=Lookups!L567,Cool_Type,IF('Project Info and Summary'!$C$20="Electric",CONCATENATE(Cool_Type," ",Heating_Type," Heat"),IF('Project Info and Summary'!$C$20="Non-Electric",CONCATENATE(Cool_Type," ",Heating_Type," Heat"),CONCATENATE(Cool_Type," ",Heating_Type))))))))</f>
        <v/>
      </c>
      <c r="N557" s="298" t="str">
        <f t="shared" si="35"/>
        <v/>
      </c>
      <c r="O557" s="298" t="str">
        <f>IF(B557="", "", 'Lighting Inventory (Ref only)'!G568)</f>
        <v/>
      </c>
      <c r="P557" s="298" t="str">
        <f>IF(B557="", "", 'Lighting Inventory (Ref only)'!E568)</f>
        <v/>
      </c>
      <c r="Q557" s="298" t="str">
        <f>IF(B557="", "", 'Lighting Inventory (Ref only)'!J568)</f>
        <v/>
      </c>
      <c r="R557" s="298" t="str">
        <f>IF(B557="", "",'Lighting Inventory (Ref only)'!K568)</f>
        <v/>
      </c>
      <c r="S557" s="372" t="str">
        <f>IF(B557="", "", 'Lighting Inventory (Ref only)'!G568*'Lighting Inventory (Ref only)'!K568/1000)</f>
        <v/>
      </c>
      <c r="T557" s="298" t="str">
        <f>IF(B557="", "", IF('Lighting Inventory (Ref only)'!I568="", "Light Switch",Inventory!H565))</f>
        <v/>
      </c>
      <c r="X557" s="298" t="str">
        <f>IF(B557="", "", 'Lighting Inventory (Ref only)'!Q568)</f>
        <v/>
      </c>
      <c r="AA557" s="298" t="str">
        <f>IF(B557="", "",'Lighting Inventory (Ref only)'!R568/1000)</f>
        <v/>
      </c>
      <c r="AB557" s="298" t="str">
        <f>IF(B557="", "", Inventory!M565)</f>
        <v/>
      </c>
      <c r="AC557" s="298" t="str">
        <f>IF(B557="", "", 'Lighting Inventory (Ref only)'!T568)</f>
        <v/>
      </c>
      <c r="AD557" s="298" t="str">
        <f>IF(C557="", "", 'Lighting Inventory (Ref only)'!AA568)</f>
        <v/>
      </c>
      <c r="AE557" s="298" t="str">
        <f>IF(B557="", "", 'Lighting Inventory (Ref only)'!U568)</f>
        <v/>
      </c>
      <c r="AF557" s="298" t="str">
        <f>IF(B557="", "",'Lighting Inventory (Ref only)'!W568)</f>
        <v/>
      </c>
      <c r="AH557" s="298" t="str">
        <f>IF(B557="", "",'Lighting Inventory (Ref only)'!Z568)</f>
        <v/>
      </c>
      <c r="AI557" s="298" t="str">
        <f>IF(B557="", "", 'Lighting Inventory (Ref only)'!Y568)</f>
        <v/>
      </c>
      <c r="AJ557" s="298" t="str">
        <f>IF(C557="", "",'Lighting Inventory (Ref only)'!AB568)</f>
        <v/>
      </c>
      <c r="AK557" s="375" t="str">
        <f>IF(B557="", "", 'Lighting Inventory (Ref only)'!AG568)</f>
        <v/>
      </c>
      <c r="AL557" s="375" t="str">
        <f>IF(B557="", "", 'Lighting Inventory (Ref only)'!AD568)</f>
        <v/>
      </c>
      <c r="AM557" s="375" t="str">
        <f>IF(B557="", "", 'Lighting Inventory (Ref only)'!AE568)</f>
        <v/>
      </c>
      <c r="AN557" s="375" t="str">
        <f>IF(B557="", "", 'Lighting Inventory (Ref only)'!AF568)</f>
        <v/>
      </c>
      <c r="AO557" s="375" t="str">
        <f>IF(B557="", "", 'Lighting Inventory (Ref only)'!AG568)</f>
        <v/>
      </c>
    </row>
    <row r="558" spans="1:41">
      <c r="A558" s="298" t="str">
        <f>IF(G558="", "", Lookups!BF560)</f>
        <v/>
      </c>
      <c r="B558" s="298" t="str">
        <f>IF('Lighting Inventory (Ref only)'!Q569="", "", 'Lighting Inventory (Ref only)'!Q569)</f>
        <v/>
      </c>
      <c r="C558" s="298" t="str">
        <f>IF(A558="", "", 'Lighting Inventory (Ref only)'!AO569)</f>
        <v/>
      </c>
      <c r="D558" s="298" t="str">
        <f>IF(B558= "","", Inventory!S566)</f>
        <v/>
      </c>
      <c r="F558" s="298" t="str">
        <f>IF(B558="", "", 'Version Log'!$B$34)</f>
        <v/>
      </c>
      <c r="G558" s="298" t="str">
        <f t="shared" si="32"/>
        <v/>
      </c>
      <c r="H558" s="298" t="str">
        <f t="shared" si="33"/>
        <v/>
      </c>
      <c r="I558" s="298" t="str">
        <f>IF(B558="", "",Inventory!D566)</f>
        <v/>
      </c>
      <c r="J558" s="298" t="str">
        <f>IF(B558="","",IF(Inventory!C566="N","Interior","Exterior"))</f>
        <v/>
      </c>
      <c r="K558" s="298" t="str">
        <f t="shared" si="34"/>
        <v/>
      </c>
      <c r="L558" s="298" t="str">
        <f>IF(B558="", "", Inventory!E566)</f>
        <v/>
      </c>
      <c r="M558" s="298" t="str">
        <f>IF(B558="","",IF(Cool_Type=Lookups!$L$9,Cool_Type,IF(Cool_Type=Lookups!$L$10,Cool_Type,IF(Cool_Type=Lookups!$L$11,Cool_Type,IF(Cool_Type=Lookups!L568,Cool_Type,IF('Project Info and Summary'!$C$20="Electric",CONCATENATE(Cool_Type," ",Heating_Type," Heat"),IF('Project Info and Summary'!$C$20="Non-Electric",CONCATENATE(Cool_Type," ",Heating_Type," Heat"),CONCATENATE(Cool_Type," ",Heating_Type))))))))</f>
        <v/>
      </c>
      <c r="N558" s="298" t="str">
        <f t="shared" si="35"/>
        <v/>
      </c>
      <c r="O558" s="298" t="str">
        <f>IF(B558="", "", 'Lighting Inventory (Ref only)'!G569)</f>
        <v/>
      </c>
      <c r="P558" s="298" t="str">
        <f>IF(B558="", "", 'Lighting Inventory (Ref only)'!E569)</f>
        <v/>
      </c>
      <c r="Q558" s="298" t="str">
        <f>IF(B558="", "", 'Lighting Inventory (Ref only)'!J569)</f>
        <v/>
      </c>
      <c r="R558" s="298" t="str">
        <f>IF(B558="", "",'Lighting Inventory (Ref only)'!K569)</f>
        <v/>
      </c>
      <c r="S558" s="372" t="str">
        <f>IF(B558="", "", 'Lighting Inventory (Ref only)'!G569*'Lighting Inventory (Ref only)'!K569/1000)</f>
        <v/>
      </c>
      <c r="T558" s="298" t="str">
        <f>IF(B558="", "", IF('Lighting Inventory (Ref only)'!I569="", "Light Switch",Inventory!H566))</f>
        <v/>
      </c>
      <c r="X558" s="298" t="str">
        <f>IF(B558="", "", 'Lighting Inventory (Ref only)'!Q569)</f>
        <v/>
      </c>
      <c r="AA558" s="298" t="str">
        <f>IF(B558="", "",'Lighting Inventory (Ref only)'!R569/1000)</f>
        <v/>
      </c>
      <c r="AB558" s="298" t="str">
        <f>IF(B558="", "", Inventory!M566)</f>
        <v/>
      </c>
      <c r="AC558" s="298" t="str">
        <f>IF(B558="", "", 'Lighting Inventory (Ref only)'!T569)</f>
        <v/>
      </c>
      <c r="AD558" s="298" t="str">
        <f>IF(C558="", "", 'Lighting Inventory (Ref only)'!AA569)</f>
        <v/>
      </c>
      <c r="AE558" s="298" t="str">
        <f>IF(B558="", "", 'Lighting Inventory (Ref only)'!U569)</f>
        <v/>
      </c>
      <c r="AF558" s="298" t="str">
        <f>IF(B558="", "",'Lighting Inventory (Ref only)'!W569)</f>
        <v/>
      </c>
      <c r="AH558" s="298" t="str">
        <f>IF(B558="", "",'Lighting Inventory (Ref only)'!Z569)</f>
        <v/>
      </c>
      <c r="AI558" s="298" t="str">
        <f>IF(B558="", "", 'Lighting Inventory (Ref only)'!Y569)</f>
        <v/>
      </c>
      <c r="AJ558" s="298" t="str">
        <f>IF(C558="", "",'Lighting Inventory (Ref only)'!AB569)</f>
        <v/>
      </c>
      <c r="AK558" s="375" t="str">
        <f>IF(B558="", "", 'Lighting Inventory (Ref only)'!AG569)</f>
        <v/>
      </c>
      <c r="AL558" s="375" t="str">
        <f>IF(B558="", "", 'Lighting Inventory (Ref only)'!AD569)</f>
        <v/>
      </c>
      <c r="AM558" s="375" t="str">
        <f>IF(B558="", "", 'Lighting Inventory (Ref only)'!AE569)</f>
        <v/>
      </c>
      <c r="AN558" s="375" t="str">
        <f>IF(B558="", "", 'Lighting Inventory (Ref only)'!AF569)</f>
        <v/>
      </c>
      <c r="AO558" s="375" t="str">
        <f>IF(B558="", "", 'Lighting Inventory (Ref only)'!AG569)</f>
        <v/>
      </c>
    </row>
    <row r="559" spans="1:41">
      <c r="A559" s="298" t="str">
        <f>IF(G559="", "", Lookups!BF561)</f>
        <v/>
      </c>
      <c r="B559" s="298" t="str">
        <f>IF('Lighting Inventory (Ref only)'!Q570="", "", 'Lighting Inventory (Ref only)'!Q570)</f>
        <v/>
      </c>
      <c r="C559" s="298" t="str">
        <f>IF(A559="", "", 'Lighting Inventory (Ref only)'!AO570)</f>
        <v/>
      </c>
      <c r="D559" s="298" t="str">
        <f>IF(B559= "","", Inventory!S567)</f>
        <v/>
      </c>
      <c r="F559" s="298" t="str">
        <f>IF(B559="", "", 'Version Log'!$B$34)</f>
        <v/>
      </c>
      <c r="G559" s="298" t="str">
        <f t="shared" si="32"/>
        <v/>
      </c>
      <c r="H559" s="298" t="str">
        <f t="shared" si="33"/>
        <v/>
      </c>
      <c r="I559" s="298" t="str">
        <f>IF(B559="", "",Inventory!D567)</f>
        <v/>
      </c>
      <c r="J559" s="298" t="str">
        <f>IF(B559="","",IF(Inventory!C567="N","Interior","Exterior"))</f>
        <v/>
      </c>
      <c r="K559" s="298" t="str">
        <f t="shared" si="34"/>
        <v/>
      </c>
      <c r="L559" s="298" t="str">
        <f>IF(B559="", "", Inventory!E567)</f>
        <v/>
      </c>
      <c r="M559" s="298" t="str">
        <f>IF(B559="","",IF(Cool_Type=Lookups!$L$9,Cool_Type,IF(Cool_Type=Lookups!$L$10,Cool_Type,IF(Cool_Type=Lookups!$L$11,Cool_Type,IF(Cool_Type=Lookups!L569,Cool_Type,IF('Project Info and Summary'!$C$20="Electric",CONCATENATE(Cool_Type," ",Heating_Type," Heat"),IF('Project Info and Summary'!$C$20="Non-Electric",CONCATENATE(Cool_Type," ",Heating_Type," Heat"),CONCATENATE(Cool_Type," ",Heating_Type))))))))</f>
        <v/>
      </c>
      <c r="N559" s="298" t="str">
        <f t="shared" si="35"/>
        <v/>
      </c>
      <c r="O559" s="298" t="str">
        <f>IF(B559="", "", 'Lighting Inventory (Ref only)'!G570)</f>
        <v/>
      </c>
      <c r="P559" s="298" t="str">
        <f>IF(B559="", "", 'Lighting Inventory (Ref only)'!E570)</f>
        <v/>
      </c>
      <c r="Q559" s="298" t="str">
        <f>IF(B559="", "", 'Lighting Inventory (Ref only)'!J570)</f>
        <v/>
      </c>
      <c r="R559" s="298" t="str">
        <f>IF(B559="", "",'Lighting Inventory (Ref only)'!K570)</f>
        <v/>
      </c>
      <c r="S559" s="372" t="str">
        <f>IF(B559="", "", 'Lighting Inventory (Ref only)'!G570*'Lighting Inventory (Ref only)'!K570/1000)</f>
        <v/>
      </c>
      <c r="T559" s="298" t="str">
        <f>IF(B559="", "", IF('Lighting Inventory (Ref only)'!I570="", "Light Switch",Inventory!H567))</f>
        <v/>
      </c>
      <c r="X559" s="298" t="str">
        <f>IF(B559="", "", 'Lighting Inventory (Ref only)'!Q570)</f>
        <v/>
      </c>
      <c r="AA559" s="298" t="str">
        <f>IF(B559="", "",'Lighting Inventory (Ref only)'!R570/1000)</f>
        <v/>
      </c>
      <c r="AB559" s="298" t="str">
        <f>IF(B559="", "", Inventory!M567)</f>
        <v/>
      </c>
      <c r="AC559" s="298" t="str">
        <f>IF(B559="", "", 'Lighting Inventory (Ref only)'!T570)</f>
        <v/>
      </c>
      <c r="AD559" s="298" t="str">
        <f>IF(C559="", "", 'Lighting Inventory (Ref only)'!AA570)</f>
        <v/>
      </c>
      <c r="AE559" s="298" t="str">
        <f>IF(B559="", "", 'Lighting Inventory (Ref only)'!U570)</f>
        <v/>
      </c>
      <c r="AF559" s="298" t="str">
        <f>IF(B559="", "",'Lighting Inventory (Ref only)'!W570)</f>
        <v/>
      </c>
      <c r="AH559" s="298" t="str">
        <f>IF(B559="", "",'Lighting Inventory (Ref only)'!Z570)</f>
        <v/>
      </c>
      <c r="AI559" s="298" t="str">
        <f>IF(B559="", "", 'Lighting Inventory (Ref only)'!Y570)</f>
        <v/>
      </c>
      <c r="AJ559" s="298" t="str">
        <f>IF(C559="", "",'Lighting Inventory (Ref only)'!AB570)</f>
        <v/>
      </c>
      <c r="AK559" s="375" t="str">
        <f>IF(B559="", "", 'Lighting Inventory (Ref only)'!AG570)</f>
        <v/>
      </c>
      <c r="AL559" s="375" t="str">
        <f>IF(B559="", "", 'Lighting Inventory (Ref only)'!AD570)</f>
        <v/>
      </c>
      <c r="AM559" s="375" t="str">
        <f>IF(B559="", "", 'Lighting Inventory (Ref only)'!AE570)</f>
        <v/>
      </c>
      <c r="AN559" s="375" t="str">
        <f>IF(B559="", "", 'Lighting Inventory (Ref only)'!AF570)</f>
        <v/>
      </c>
      <c r="AO559" s="375" t="str">
        <f>IF(B559="", "", 'Lighting Inventory (Ref only)'!AG570)</f>
        <v/>
      </c>
    </row>
    <row r="560" spans="1:41">
      <c r="A560" s="298" t="str">
        <f>IF(G560="", "", Lookups!BF562)</f>
        <v/>
      </c>
      <c r="B560" s="298" t="str">
        <f>IF('Lighting Inventory (Ref only)'!Q571="", "", 'Lighting Inventory (Ref only)'!Q571)</f>
        <v/>
      </c>
      <c r="C560" s="298" t="str">
        <f>IF(A560="", "", 'Lighting Inventory (Ref only)'!AO571)</f>
        <v/>
      </c>
      <c r="D560" s="298" t="str">
        <f>IF(B560= "","", Inventory!S568)</f>
        <v/>
      </c>
      <c r="F560" s="298" t="str">
        <f>IF(B560="", "", 'Version Log'!$B$34)</f>
        <v/>
      </c>
      <c r="G560" s="298" t="str">
        <f t="shared" si="32"/>
        <v/>
      </c>
      <c r="H560" s="298" t="str">
        <f t="shared" si="33"/>
        <v/>
      </c>
      <c r="I560" s="298" t="str">
        <f>IF(B560="", "",Inventory!D568)</f>
        <v/>
      </c>
      <c r="J560" s="298" t="str">
        <f>IF(B560="","",IF(Inventory!C568="N","Interior","Exterior"))</f>
        <v/>
      </c>
      <c r="K560" s="298" t="str">
        <f t="shared" si="34"/>
        <v/>
      </c>
      <c r="L560" s="298" t="str">
        <f>IF(B560="", "", Inventory!E568)</f>
        <v/>
      </c>
      <c r="M560" s="298" t="str">
        <f>IF(B560="","",IF(Cool_Type=Lookups!$L$9,Cool_Type,IF(Cool_Type=Lookups!$L$10,Cool_Type,IF(Cool_Type=Lookups!$L$11,Cool_Type,IF(Cool_Type=Lookups!L570,Cool_Type,IF('Project Info and Summary'!$C$20="Electric",CONCATENATE(Cool_Type," ",Heating_Type," Heat"),IF('Project Info and Summary'!$C$20="Non-Electric",CONCATENATE(Cool_Type," ",Heating_Type," Heat"),CONCATENATE(Cool_Type," ",Heating_Type))))))))</f>
        <v/>
      </c>
      <c r="N560" s="298" t="str">
        <f t="shared" si="35"/>
        <v/>
      </c>
      <c r="O560" s="298" t="str">
        <f>IF(B560="", "", 'Lighting Inventory (Ref only)'!G571)</f>
        <v/>
      </c>
      <c r="P560" s="298" t="str">
        <f>IF(B560="", "", 'Lighting Inventory (Ref only)'!E571)</f>
        <v/>
      </c>
      <c r="Q560" s="298" t="str">
        <f>IF(B560="", "", 'Lighting Inventory (Ref only)'!J571)</f>
        <v/>
      </c>
      <c r="R560" s="298" t="str">
        <f>IF(B560="", "",'Lighting Inventory (Ref only)'!K571)</f>
        <v/>
      </c>
      <c r="S560" s="372" t="str">
        <f>IF(B560="", "", 'Lighting Inventory (Ref only)'!G571*'Lighting Inventory (Ref only)'!K571/1000)</f>
        <v/>
      </c>
      <c r="T560" s="298" t="str">
        <f>IF(B560="", "", IF('Lighting Inventory (Ref only)'!I571="", "Light Switch",Inventory!H568))</f>
        <v/>
      </c>
      <c r="X560" s="298" t="str">
        <f>IF(B560="", "", 'Lighting Inventory (Ref only)'!Q571)</f>
        <v/>
      </c>
      <c r="AA560" s="298" t="str">
        <f>IF(B560="", "",'Lighting Inventory (Ref only)'!R571/1000)</f>
        <v/>
      </c>
      <c r="AB560" s="298" t="str">
        <f>IF(B560="", "", Inventory!M568)</f>
        <v/>
      </c>
      <c r="AC560" s="298" t="str">
        <f>IF(B560="", "", 'Lighting Inventory (Ref only)'!T571)</f>
        <v/>
      </c>
      <c r="AD560" s="298" t="str">
        <f>IF(C560="", "", 'Lighting Inventory (Ref only)'!AA571)</f>
        <v/>
      </c>
      <c r="AE560" s="298" t="str">
        <f>IF(B560="", "", 'Lighting Inventory (Ref only)'!U571)</f>
        <v/>
      </c>
      <c r="AF560" s="298" t="str">
        <f>IF(B560="", "",'Lighting Inventory (Ref only)'!W571)</f>
        <v/>
      </c>
      <c r="AH560" s="298" t="str">
        <f>IF(B560="", "",'Lighting Inventory (Ref only)'!Z571)</f>
        <v/>
      </c>
      <c r="AI560" s="298" t="str">
        <f>IF(B560="", "", 'Lighting Inventory (Ref only)'!Y571)</f>
        <v/>
      </c>
      <c r="AJ560" s="298" t="str">
        <f>IF(C560="", "",'Lighting Inventory (Ref only)'!AB571)</f>
        <v/>
      </c>
      <c r="AK560" s="375" t="str">
        <f>IF(B560="", "", 'Lighting Inventory (Ref only)'!AG571)</f>
        <v/>
      </c>
      <c r="AL560" s="375" t="str">
        <f>IF(B560="", "", 'Lighting Inventory (Ref only)'!AD571)</f>
        <v/>
      </c>
      <c r="AM560" s="375" t="str">
        <f>IF(B560="", "", 'Lighting Inventory (Ref only)'!AE571)</f>
        <v/>
      </c>
      <c r="AN560" s="375" t="str">
        <f>IF(B560="", "", 'Lighting Inventory (Ref only)'!AF571)</f>
        <v/>
      </c>
      <c r="AO560" s="375" t="str">
        <f>IF(B560="", "", 'Lighting Inventory (Ref only)'!AG571)</f>
        <v/>
      </c>
    </row>
    <row r="561" spans="1:41">
      <c r="A561" s="298" t="str">
        <f>IF(G561="", "", Lookups!BF563)</f>
        <v/>
      </c>
      <c r="B561" s="298" t="str">
        <f>IF('Lighting Inventory (Ref only)'!Q572="", "", 'Lighting Inventory (Ref only)'!Q572)</f>
        <v/>
      </c>
      <c r="C561" s="298" t="str">
        <f>IF(A561="", "", 'Lighting Inventory (Ref only)'!AO572)</f>
        <v/>
      </c>
      <c r="D561" s="298" t="str">
        <f>IF(B561= "","", Inventory!S569)</f>
        <v/>
      </c>
      <c r="F561" s="298" t="str">
        <f>IF(B561="", "", 'Version Log'!$B$34)</f>
        <v/>
      </c>
      <c r="G561" s="298" t="str">
        <f t="shared" si="32"/>
        <v/>
      </c>
      <c r="H561" s="298" t="str">
        <f t="shared" si="33"/>
        <v/>
      </c>
      <c r="I561" s="298" t="str">
        <f>IF(B561="", "",Inventory!D569)</f>
        <v/>
      </c>
      <c r="J561" s="298" t="str">
        <f>IF(B561="","",IF(Inventory!C569="N","Interior","Exterior"))</f>
        <v/>
      </c>
      <c r="K561" s="298" t="str">
        <f t="shared" si="34"/>
        <v/>
      </c>
      <c r="L561" s="298" t="str">
        <f>IF(B561="", "", Inventory!E569)</f>
        <v/>
      </c>
      <c r="M561" s="298" t="str">
        <f>IF(B561="","",IF(Cool_Type=Lookups!$L$9,Cool_Type,IF(Cool_Type=Lookups!$L$10,Cool_Type,IF(Cool_Type=Lookups!$L$11,Cool_Type,IF(Cool_Type=Lookups!L571,Cool_Type,IF('Project Info and Summary'!$C$20="Electric",CONCATENATE(Cool_Type," ",Heating_Type," Heat"),IF('Project Info and Summary'!$C$20="Non-Electric",CONCATENATE(Cool_Type," ",Heating_Type," Heat"),CONCATENATE(Cool_Type," ",Heating_Type))))))))</f>
        <v/>
      </c>
      <c r="N561" s="298" t="str">
        <f t="shared" si="35"/>
        <v/>
      </c>
      <c r="O561" s="298" t="str">
        <f>IF(B561="", "", 'Lighting Inventory (Ref only)'!G572)</f>
        <v/>
      </c>
      <c r="P561" s="298" t="str">
        <f>IF(B561="", "", 'Lighting Inventory (Ref only)'!E572)</f>
        <v/>
      </c>
      <c r="Q561" s="298" t="str">
        <f>IF(B561="", "", 'Lighting Inventory (Ref only)'!J572)</f>
        <v/>
      </c>
      <c r="R561" s="298" t="str">
        <f>IF(B561="", "",'Lighting Inventory (Ref only)'!K572)</f>
        <v/>
      </c>
      <c r="S561" s="372" t="str">
        <f>IF(B561="", "", 'Lighting Inventory (Ref only)'!G572*'Lighting Inventory (Ref only)'!K572/1000)</f>
        <v/>
      </c>
      <c r="T561" s="298" t="str">
        <f>IF(B561="", "", IF('Lighting Inventory (Ref only)'!I572="", "Light Switch",Inventory!H569))</f>
        <v/>
      </c>
      <c r="X561" s="298" t="str">
        <f>IF(B561="", "", 'Lighting Inventory (Ref only)'!Q572)</f>
        <v/>
      </c>
      <c r="AA561" s="298" t="str">
        <f>IF(B561="", "",'Lighting Inventory (Ref only)'!R572/1000)</f>
        <v/>
      </c>
      <c r="AB561" s="298" t="str">
        <f>IF(B561="", "", Inventory!M569)</f>
        <v/>
      </c>
      <c r="AC561" s="298" t="str">
        <f>IF(B561="", "", 'Lighting Inventory (Ref only)'!T572)</f>
        <v/>
      </c>
      <c r="AD561" s="298" t="str">
        <f>IF(C561="", "", 'Lighting Inventory (Ref only)'!AA572)</f>
        <v/>
      </c>
      <c r="AE561" s="298" t="str">
        <f>IF(B561="", "", 'Lighting Inventory (Ref only)'!U572)</f>
        <v/>
      </c>
      <c r="AF561" s="298" t="str">
        <f>IF(B561="", "",'Lighting Inventory (Ref only)'!W572)</f>
        <v/>
      </c>
      <c r="AH561" s="298" t="str">
        <f>IF(B561="", "",'Lighting Inventory (Ref only)'!Z572)</f>
        <v/>
      </c>
      <c r="AI561" s="298" t="str">
        <f>IF(B561="", "", 'Lighting Inventory (Ref only)'!Y572)</f>
        <v/>
      </c>
      <c r="AJ561" s="298" t="str">
        <f>IF(C561="", "",'Lighting Inventory (Ref only)'!AB572)</f>
        <v/>
      </c>
      <c r="AK561" s="375" t="str">
        <f>IF(B561="", "", 'Lighting Inventory (Ref only)'!AG572)</f>
        <v/>
      </c>
      <c r="AL561" s="375" t="str">
        <f>IF(B561="", "", 'Lighting Inventory (Ref only)'!AD572)</f>
        <v/>
      </c>
      <c r="AM561" s="375" t="str">
        <f>IF(B561="", "", 'Lighting Inventory (Ref only)'!AE572)</f>
        <v/>
      </c>
      <c r="AN561" s="375" t="str">
        <f>IF(B561="", "", 'Lighting Inventory (Ref only)'!AF572)</f>
        <v/>
      </c>
      <c r="AO561" s="375" t="str">
        <f>IF(B561="", "", 'Lighting Inventory (Ref only)'!AG572)</f>
        <v/>
      </c>
    </row>
    <row r="562" spans="1:41">
      <c r="A562" s="298" t="str">
        <f>IF(G562="", "", Lookups!BF564)</f>
        <v/>
      </c>
      <c r="B562" s="298" t="str">
        <f>IF('Lighting Inventory (Ref only)'!Q573="", "", 'Lighting Inventory (Ref only)'!Q573)</f>
        <v/>
      </c>
      <c r="C562" s="298" t="str">
        <f>IF(A562="", "", 'Lighting Inventory (Ref only)'!AO573)</f>
        <v/>
      </c>
      <c r="D562" s="298" t="str">
        <f>IF(B562= "","", Inventory!S570)</f>
        <v/>
      </c>
      <c r="F562" s="298" t="str">
        <f>IF(B562="", "", 'Version Log'!$B$34)</f>
        <v/>
      </c>
      <c r="G562" s="298" t="str">
        <f t="shared" si="32"/>
        <v/>
      </c>
      <c r="H562" s="298" t="str">
        <f t="shared" si="33"/>
        <v/>
      </c>
      <c r="I562" s="298" t="str">
        <f>IF(B562="", "",Inventory!D570)</f>
        <v/>
      </c>
      <c r="J562" s="298" t="str">
        <f>IF(B562="","",IF(Inventory!C570="N","Interior","Exterior"))</f>
        <v/>
      </c>
      <c r="K562" s="298" t="str">
        <f t="shared" si="34"/>
        <v/>
      </c>
      <c r="L562" s="298" t="str">
        <f>IF(B562="", "", Inventory!E570)</f>
        <v/>
      </c>
      <c r="M562" s="298" t="str">
        <f>IF(B562="","",IF(Cool_Type=Lookups!$L$9,Cool_Type,IF(Cool_Type=Lookups!$L$10,Cool_Type,IF(Cool_Type=Lookups!$L$11,Cool_Type,IF(Cool_Type=Lookups!L572,Cool_Type,IF('Project Info and Summary'!$C$20="Electric",CONCATENATE(Cool_Type," ",Heating_Type," Heat"),IF('Project Info and Summary'!$C$20="Non-Electric",CONCATENATE(Cool_Type," ",Heating_Type," Heat"),CONCATENATE(Cool_Type," ",Heating_Type))))))))</f>
        <v/>
      </c>
      <c r="N562" s="298" t="str">
        <f t="shared" si="35"/>
        <v/>
      </c>
      <c r="O562" s="298" t="str">
        <f>IF(B562="", "", 'Lighting Inventory (Ref only)'!G573)</f>
        <v/>
      </c>
      <c r="P562" s="298" t="str">
        <f>IF(B562="", "", 'Lighting Inventory (Ref only)'!E573)</f>
        <v/>
      </c>
      <c r="Q562" s="298" t="str">
        <f>IF(B562="", "", 'Lighting Inventory (Ref only)'!J573)</f>
        <v/>
      </c>
      <c r="R562" s="298" t="str">
        <f>IF(B562="", "",'Lighting Inventory (Ref only)'!K573)</f>
        <v/>
      </c>
      <c r="S562" s="372" t="str">
        <f>IF(B562="", "", 'Lighting Inventory (Ref only)'!G573*'Lighting Inventory (Ref only)'!K573/1000)</f>
        <v/>
      </c>
      <c r="T562" s="298" t="str">
        <f>IF(B562="", "", IF('Lighting Inventory (Ref only)'!I573="", "Light Switch",Inventory!H570))</f>
        <v/>
      </c>
      <c r="X562" s="298" t="str">
        <f>IF(B562="", "", 'Lighting Inventory (Ref only)'!Q573)</f>
        <v/>
      </c>
      <c r="AA562" s="298" t="str">
        <f>IF(B562="", "",'Lighting Inventory (Ref only)'!R573/1000)</f>
        <v/>
      </c>
      <c r="AB562" s="298" t="str">
        <f>IF(B562="", "", Inventory!M570)</f>
        <v/>
      </c>
      <c r="AC562" s="298" t="str">
        <f>IF(B562="", "", 'Lighting Inventory (Ref only)'!T573)</f>
        <v/>
      </c>
      <c r="AD562" s="298" t="str">
        <f>IF(C562="", "", 'Lighting Inventory (Ref only)'!AA573)</f>
        <v/>
      </c>
      <c r="AE562" s="298" t="str">
        <f>IF(B562="", "", 'Lighting Inventory (Ref only)'!U573)</f>
        <v/>
      </c>
      <c r="AF562" s="298" t="str">
        <f>IF(B562="", "",'Lighting Inventory (Ref only)'!W573)</f>
        <v/>
      </c>
      <c r="AH562" s="298" t="str">
        <f>IF(B562="", "",'Lighting Inventory (Ref only)'!Z573)</f>
        <v/>
      </c>
      <c r="AI562" s="298" t="str">
        <f>IF(B562="", "", 'Lighting Inventory (Ref only)'!Y573)</f>
        <v/>
      </c>
      <c r="AJ562" s="298" t="str">
        <f>IF(C562="", "",'Lighting Inventory (Ref only)'!AB573)</f>
        <v/>
      </c>
      <c r="AK562" s="375" t="str">
        <f>IF(B562="", "", 'Lighting Inventory (Ref only)'!AG573)</f>
        <v/>
      </c>
      <c r="AL562" s="375" t="str">
        <f>IF(B562="", "", 'Lighting Inventory (Ref only)'!AD573)</f>
        <v/>
      </c>
      <c r="AM562" s="375" t="str">
        <f>IF(B562="", "", 'Lighting Inventory (Ref only)'!AE573)</f>
        <v/>
      </c>
      <c r="AN562" s="375" t="str">
        <f>IF(B562="", "", 'Lighting Inventory (Ref only)'!AF573)</f>
        <v/>
      </c>
      <c r="AO562" s="375" t="str">
        <f>IF(B562="", "", 'Lighting Inventory (Ref only)'!AG573)</f>
        <v/>
      </c>
    </row>
    <row r="563" spans="1:41">
      <c r="A563" s="298" t="str">
        <f>IF(G563="", "", Lookups!BF565)</f>
        <v/>
      </c>
      <c r="B563" s="298" t="str">
        <f>IF('Lighting Inventory (Ref only)'!Q574="", "", 'Lighting Inventory (Ref only)'!Q574)</f>
        <v/>
      </c>
      <c r="C563" s="298" t="str">
        <f>IF(A563="", "", 'Lighting Inventory (Ref only)'!AO574)</f>
        <v/>
      </c>
      <c r="D563" s="298" t="str">
        <f>IF(B563= "","", Inventory!S571)</f>
        <v/>
      </c>
      <c r="F563" s="298" t="str">
        <f>IF(B563="", "", 'Version Log'!$B$34)</f>
        <v/>
      </c>
      <c r="G563" s="298" t="str">
        <f t="shared" si="32"/>
        <v/>
      </c>
      <c r="H563" s="298" t="str">
        <f t="shared" si="33"/>
        <v/>
      </c>
      <c r="I563" s="298" t="str">
        <f>IF(B563="", "",Inventory!D571)</f>
        <v/>
      </c>
      <c r="J563" s="298" t="str">
        <f>IF(B563="","",IF(Inventory!C571="N","Interior","Exterior"))</f>
        <v/>
      </c>
      <c r="K563" s="298" t="str">
        <f t="shared" si="34"/>
        <v/>
      </c>
      <c r="L563" s="298" t="str">
        <f>IF(B563="", "", Inventory!E571)</f>
        <v/>
      </c>
      <c r="M563" s="298" t="str">
        <f>IF(B563="","",IF(Cool_Type=Lookups!$L$9,Cool_Type,IF(Cool_Type=Lookups!$L$10,Cool_Type,IF(Cool_Type=Lookups!$L$11,Cool_Type,IF(Cool_Type=Lookups!L573,Cool_Type,IF('Project Info and Summary'!$C$20="Electric",CONCATENATE(Cool_Type," ",Heating_Type," Heat"),IF('Project Info and Summary'!$C$20="Non-Electric",CONCATENATE(Cool_Type," ",Heating_Type," Heat"),CONCATENATE(Cool_Type," ",Heating_Type))))))))</f>
        <v/>
      </c>
      <c r="N563" s="298" t="str">
        <f t="shared" si="35"/>
        <v/>
      </c>
      <c r="O563" s="298" t="str">
        <f>IF(B563="", "", 'Lighting Inventory (Ref only)'!G574)</f>
        <v/>
      </c>
      <c r="P563" s="298" t="str">
        <f>IF(B563="", "", 'Lighting Inventory (Ref only)'!E574)</f>
        <v/>
      </c>
      <c r="Q563" s="298" t="str">
        <f>IF(B563="", "", 'Lighting Inventory (Ref only)'!J574)</f>
        <v/>
      </c>
      <c r="R563" s="298" t="str">
        <f>IF(B563="", "",'Lighting Inventory (Ref only)'!K574)</f>
        <v/>
      </c>
      <c r="S563" s="372" t="str">
        <f>IF(B563="", "", 'Lighting Inventory (Ref only)'!G574*'Lighting Inventory (Ref only)'!K574/1000)</f>
        <v/>
      </c>
      <c r="T563" s="298" t="str">
        <f>IF(B563="", "", IF('Lighting Inventory (Ref only)'!I574="", "Light Switch",Inventory!H571))</f>
        <v/>
      </c>
      <c r="X563" s="298" t="str">
        <f>IF(B563="", "", 'Lighting Inventory (Ref only)'!Q574)</f>
        <v/>
      </c>
      <c r="AA563" s="298" t="str">
        <f>IF(B563="", "",'Lighting Inventory (Ref only)'!R574/1000)</f>
        <v/>
      </c>
      <c r="AB563" s="298" t="str">
        <f>IF(B563="", "", Inventory!M571)</f>
        <v/>
      </c>
      <c r="AC563" s="298" t="str">
        <f>IF(B563="", "", 'Lighting Inventory (Ref only)'!T574)</f>
        <v/>
      </c>
      <c r="AD563" s="298" t="str">
        <f>IF(C563="", "", 'Lighting Inventory (Ref only)'!AA574)</f>
        <v/>
      </c>
      <c r="AE563" s="298" t="str">
        <f>IF(B563="", "", 'Lighting Inventory (Ref only)'!U574)</f>
        <v/>
      </c>
      <c r="AF563" s="298" t="str">
        <f>IF(B563="", "",'Lighting Inventory (Ref only)'!W574)</f>
        <v/>
      </c>
      <c r="AH563" s="298" t="str">
        <f>IF(B563="", "",'Lighting Inventory (Ref only)'!Z574)</f>
        <v/>
      </c>
      <c r="AI563" s="298" t="str">
        <f>IF(B563="", "", 'Lighting Inventory (Ref only)'!Y574)</f>
        <v/>
      </c>
      <c r="AJ563" s="298" t="str">
        <f>IF(C563="", "",'Lighting Inventory (Ref only)'!AB574)</f>
        <v/>
      </c>
      <c r="AK563" s="375" t="str">
        <f>IF(B563="", "", 'Lighting Inventory (Ref only)'!AG574)</f>
        <v/>
      </c>
      <c r="AL563" s="375" t="str">
        <f>IF(B563="", "", 'Lighting Inventory (Ref only)'!AD574)</f>
        <v/>
      </c>
      <c r="AM563" s="375" t="str">
        <f>IF(B563="", "", 'Lighting Inventory (Ref only)'!AE574)</f>
        <v/>
      </c>
      <c r="AN563" s="375" t="str">
        <f>IF(B563="", "", 'Lighting Inventory (Ref only)'!AF574)</f>
        <v/>
      </c>
      <c r="AO563" s="375" t="str">
        <f>IF(B563="", "", 'Lighting Inventory (Ref only)'!AG574)</f>
        <v/>
      </c>
    </row>
    <row r="564" spans="1:41">
      <c r="A564" s="298" t="str">
        <f>IF(G564="", "", Lookups!BF566)</f>
        <v/>
      </c>
      <c r="B564" s="298" t="str">
        <f>IF('Lighting Inventory (Ref only)'!Q575="", "", 'Lighting Inventory (Ref only)'!Q575)</f>
        <v/>
      </c>
      <c r="C564" s="298" t="str">
        <f>IF(A564="", "", 'Lighting Inventory (Ref only)'!AO575)</f>
        <v/>
      </c>
      <c r="D564" s="298" t="str">
        <f>IF(B564= "","", Inventory!S572)</f>
        <v/>
      </c>
      <c r="F564" s="298" t="str">
        <f>IF(B564="", "", 'Version Log'!$B$34)</f>
        <v/>
      </c>
      <c r="G564" s="298" t="str">
        <f t="shared" si="32"/>
        <v/>
      </c>
      <c r="H564" s="298" t="str">
        <f t="shared" si="33"/>
        <v/>
      </c>
      <c r="I564" s="298" t="str">
        <f>IF(B564="", "",Inventory!D572)</f>
        <v/>
      </c>
      <c r="J564" s="298" t="str">
        <f>IF(B564="","",IF(Inventory!C572="N","Interior","Exterior"))</f>
        <v/>
      </c>
      <c r="K564" s="298" t="str">
        <f t="shared" si="34"/>
        <v/>
      </c>
      <c r="L564" s="298" t="str">
        <f>IF(B564="", "", Inventory!E572)</f>
        <v/>
      </c>
      <c r="M564" s="298" t="str">
        <f>IF(B564="","",IF(Cool_Type=Lookups!$L$9,Cool_Type,IF(Cool_Type=Lookups!$L$10,Cool_Type,IF(Cool_Type=Lookups!$L$11,Cool_Type,IF(Cool_Type=Lookups!L574,Cool_Type,IF('Project Info and Summary'!$C$20="Electric",CONCATENATE(Cool_Type," ",Heating_Type," Heat"),IF('Project Info and Summary'!$C$20="Non-Electric",CONCATENATE(Cool_Type," ",Heating_Type," Heat"),CONCATENATE(Cool_Type," ",Heating_Type))))))))</f>
        <v/>
      </c>
      <c r="N564" s="298" t="str">
        <f t="shared" si="35"/>
        <v/>
      </c>
      <c r="O564" s="298" t="str">
        <f>IF(B564="", "", 'Lighting Inventory (Ref only)'!G575)</f>
        <v/>
      </c>
      <c r="P564" s="298" t="str">
        <f>IF(B564="", "", 'Lighting Inventory (Ref only)'!E575)</f>
        <v/>
      </c>
      <c r="Q564" s="298" t="str">
        <f>IF(B564="", "", 'Lighting Inventory (Ref only)'!J575)</f>
        <v/>
      </c>
      <c r="R564" s="298" t="str">
        <f>IF(B564="", "",'Lighting Inventory (Ref only)'!K575)</f>
        <v/>
      </c>
      <c r="S564" s="372" t="str">
        <f>IF(B564="", "", 'Lighting Inventory (Ref only)'!G575*'Lighting Inventory (Ref only)'!K575/1000)</f>
        <v/>
      </c>
      <c r="T564" s="298" t="str">
        <f>IF(B564="", "", IF('Lighting Inventory (Ref only)'!I575="", "Light Switch",Inventory!H572))</f>
        <v/>
      </c>
      <c r="X564" s="298" t="str">
        <f>IF(B564="", "", 'Lighting Inventory (Ref only)'!Q575)</f>
        <v/>
      </c>
      <c r="AA564" s="298" t="str">
        <f>IF(B564="", "",'Lighting Inventory (Ref only)'!R575/1000)</f>
        <v/>
      </c>
      <c r="AB564" s="298" t="str">
        <f>IF(B564="", "", Inventory!M572)</f>
        <v/>
      </c>
      <c r="AC564" s="298" t="str">
        <f>IF(B564="", "", 'Lighting Inventory (Ref only)'!T575)</f>
        <v/>
      </c>
      <c r="AD564" s="298" t="str">
        <f>IF(C564="", "", 'Lighting Inventory (Ref only)'!AA575)</f>
        <v/>
      </c>
      <c r="AE564" s="298" t="str">
        <f>IF(B564="", "", 'Lighting Inventory (Ref only)'!U575)</f>
        <v/>
      </c>
      <c r="AF564" s="298" t="str">
        <f>IF(B564="", "",'Lighting Inventory (Ref only)'!W575)</f>
        <v/>
      </c>
      <c r="AH564" s="298" t="str">
        <f>IF(B564="", "",'Lighting Inventory (Ref only)'!Z575)</f>
        <v/>
      </c>
      <c r="AI564" s="298" t="str">
        <f>IF(B564="", "", 'Lighting Inventory (Ref only)'!Y575)</f>
        <v/>
      </c>
      <c r="AJ564" s="298" t="str">
        <f>IF(C564="", "",'Lighting Inventory (Ref only)'!AB575)</f>
        <v/>
      </c>
      <c r="AK564" s="375" t="str">
        <f>IF(B564="", "", 'Lighting Inventory (Ref only)'!AG575)</f>
        <v/>
      </c>
      <c r="AL564" s="375" t="str">
        <f>IF(B564="", "", 'Lighting Inventory (Ref only)'!AD575)</f>
        <v/>
      </c>
      <c r="AM564" s="375" t="str">
        <f>IF(B564="", "", 'Lighting Inventory (Ref only)'!AE575)</f>
        <v/>
      </c>
      <c r="AN564" s="375" t="str">
        <f>IF(B564="", "", 'Lighting Inventory (Ref only)'!AF575)</f>
        <v/>
      </c>
      <c r="AO564" s="375" t="str">
        <f>IF(B564="", "", 'Lighting Inventory (Ref only)'!AG575)</f>
        <v/>
      </c>
    </row>
    <row r="565" spans="1:41">
      <c r="A565" s="298" t="str">
        <f>IF(G565="", "", Lookups!BF567)</f>
        <v/>
      </c>
      <c r="B565" s="298" t="str">
        <f>IF('Lighting Inventory (Ref only)'!Q576="", "", 'Lighting Inventory (Ref only)'!Q576)</f>
        <v/>
      </c>
      <c r="C565" s="298" t="str">
        <f>IF(A565="", "", 'Lighting Inventory (Ref only)'!AO576)</f>
        <v/>
      </c>
      <c r="D565" s="298" t="str">
        <f>IF(B565= "","", Inventory!S573)</f>
        <v/>
      </c>
      <c r="F565" s="298" t="str">
        <f>IF(B565="", "", 'Version Log'!$B$34)</f>
        <v/>
      </c>
      <c r="G565" s="298" t="str">
        <f t="shared" si="32"/>
        <v/>
      </c>
      <c r="H565" s="298" t="str">
        <f t="shared" si="33"/>
        <v/>
      </c>
      <c r="I565" s="298" t="str">
        <f>IF(B565="", "",Inventory!D573)</f>
        <v/>
      </c>
      <c r="J565" s="298" t="str">
        <f>IF(B565="","",IF(Inventory!C573="N","Interior","Exterior"))</f>
        <v/>
      </c>
      <c r="K565" s="298" t="str">
        <f t="shared" si="34"/>
        <v/>
      </c>
      <c r="L565" s="298" t="str">
        <f>IF(B565="", "", Inventory!E573)</f>
        <v/>
      </c>
      <c r="M565" s="298" t="str">
        <f>IF(B565="","",IF(Cool_Type=Lookups!$L$9,Cool_Type,IF(Cool_Type=Lookups!$L$10,Cool_Type,IF(Cool_Type=Lookups!$L$11,Cool_Type,IF(Cool_Type=Lookups!L575,Cool_Type,IF('Project Info and Summary'!$C$20="Electric",CONCATENATE(Cool_Type," ",Heating_Type," Heat"),IF('Project Info and Summary'!$C$20="Non-Electric",CONCATENATE(Cool_Type," ",Heating_Type," Heat"),CONCATENATE(Cool_Type," ",Heating_Type))))))))</f>
        <v/>
      </c>
      <c r="N565" s="298" t="str">
        <f t="shared" si="35"/>
        <v/>
      </c>
      <c r="O565" s="298" t="str">
        <f>IF(B565="", "", 'Lighting Inventory (Ref only)'!G576)</f>
        <v/>
      </c>
      <c r="P565" s="298" t="str">
        <f>IF(B565="", "", 'Lighting Inventory (Ref only)'!E576)</f>
        <v/>
      </c>
      <c r="Q565" s="298" t="str">
        <f>IF(B565="", "", 'Lighting Inventory (Ref only)'!J576)</f>
        <v/>
      </c>
      <c r="R565" s="298" t="str">
        <f>IF(B565="", "",'Lighting Inventory (Ref only)'!K576)</f>
        <v/>
      </c>
      <c r="S565" s="372" t="str">
        <f>IF(B565="", "", 'Lighting Inventory (Ref only)'!G576*'Lighting Inventory (Ref only)'!K576/1000)</f>
        <v/>
      </c>
      <c r="T565" s="298" t="str">
        <f>IF(B565="", "", IF('Lighting Inventory (Ref only)'!I576="", "Light Switch",Inventory!H573))</f>
        <v/>
      </c>
      <c r="X565" s="298" t="str">
        <f>IF(B565="", "", 'Lighting Inventory (Ref only)'!Q576)</f>
        <v/>
      </c>
      <c r="AA565" s="298" t="str">
        <f>IF(B565="", "",'Lighting Inventory (Ref only)'!R576/1000)</f>
        <v/>
      </c>
      <c r="AB565" s="298" t="str">
        <f>IF(B565="", "", Inventory!M573)</f>
        <v/>
      </c>
      <c r="AC565" s="298" t="str">
        <f>IF(B565="", "", 'Lighting Inventory (Ref only)'!T576)</f>
        <v/>
      </c>
      <c r="AD565" s="298" t="str">
        <f>IF(C565="", "", 'Lighting Inventory (Ref only)'!AA576)</f>
        <v/>
      </c>
      <c r="AE565" s="298" t="str">
        <f>IF(B565="", "", 'Lighting Inventory (Ref only)'!U576)</f>
        <v/>
      </c>
      <c r="AF565" s="298" t="str">
        <f>IF(B565="", "",'Lighting Inventory (Ref only)'!W576)</f>
        <v/>
      </c>
      <c r="AH565" s="298" t="str">
        <f>IF(B565="", "",'Lighting Inventory (Ref only)'!Z576)</f>
        <v/>
      </c>
      <c r="AI565" s="298" t="str">
        <f>IF(B565="", "", 'Lighting Inventory (Ref only)'!Y576)</f>
        <v/>
      </c>
      <c r="AJ565" s="298" t="str">
        <f>IF(C565="", "",'Lighting Inventory (Ref only)'!AB576)</f>
        <v/>
      </c>
      <c r="AK565" s="375" t="str">
        <f>IF(B565="", "", 'Lighting Inventory (Ref only)'!AG576)</f>
        <v/>
      </c>
      <c r="AL565" s="375" t="str">
        <f>IF(B565="", "", 'Lighting Inventory (Ref only)'!AD576)</f>
        <v/>
      </c>
      <c r="AM565" s="375" t="str">
        <f>IF(B565="", "", 'Lighting Inventory (Ref only)'!AE576)</f>
        <v/>
      </c>
      <c r="AN565" s="375" t="str">
        <f>IF(B565="", "", 'Lighting Inventory (Ref only)'!AF576)</f>
        <v/>
      </c>
      <c r="AO565" s="375" t="str">
        <f>IF(B565="", "", 'Lighting Inventory (Ref only)'!AG576)</f>
        <v/>
      </c>
    </row>
    <row r="566" spans="1:41">
      <c r="A566" s="298" t="str">
        <f>IF(G566="", "", Lookups!BF568)</f>
        <v/>
      </c>
      <c r="B566" s="298" t="str">
        <f>IF('Lighting Inventory (Ref only)'!Q577="", "", 'Lighting Inventory (Ref only)'!Q577)</f>
        <v/>
      </c>
      <c r="C566" s="298" t="str">
        <f>IF(A566="", "", 'Lighting Inventory (Ref only)'!AO577)</f>
        <v/>
      </c>
      <c r="D566" s="298" t="str">
        <f>IF(B566= "","", Inventory!S574)</f>
        <v/>
      </c>
      <c r="F566" s="298" t="str">
        <f>IF(B566="", "", 'Version Log'!$B$34)</f>
        <v/>
      </c>
      <c r="G566" s="298" t="str">
        <f t="shared" ref="G566:G629" si="36">IF(B566="", "", PRJ_Type)</f>
        <v/>
      </c>
      <c r="H566" s="298" t="str">
        <f t="shared" ref="H566:H629" si="37">IF(B566="", "", SqFt)</f>
        <v/>
      </c>
      <c r="I566" s="298" t="str">
        <f>IF(B566="", "",Inventory!D574)</f>
        <v/>
      </c>
      <c r="J566" s="298" t="str">
        <f>IF(B566="","",IF(Inventory!C574="N","Interior","Exterior"))</f>
        <v/>
      </c>
      <c r="K566" s="298" t="str">
        <f t="shared" ref="K566:K629" si="38">IF(B566="", "", Building_Type)</f>
        <v/>
      </c>
      <c r="L566" s="298" t="str">
        <f>IF(B566="", "", Inventory!E574)</f>
        <v/>
      </c>
      <c r="M566" s="298" t="str">
        <f>IF(B566="","",IF(Cool_Type=Lookups!$L$9,Cool_Type,IF(Cool_Type=Lookups!$L$10,Cool_Type,IF(Cool_Type=Lookups!$L$11,Cool_Type,IF(Cool_Type=Lookups!L576,Cool_Type,IF('Project Info and Summary'!$C$20="Electric",CONCATENATE(Cool_Type," ",Heating_Type," Heat"),IF('Project Info and Summary'!$C$20="Non-Electric",CONCATENATE(Cool_Type," ",Heating_Type," Heat"),CONCATENATE(Cool_Type," ",Heating_Type))))))))</f>
        <v/>
      </c>
      <c r="N566" s="298" t="str">
        <f t="shared" ref="N566:N629" si="39">IF(B566="", "",Heating_Type)</f>
        <v/>
      </c>
      <c r="O566" s="298" t="str">
        <f>IF(B566="", "", 'Lighting Inventory (Ref only)'!G577)</f>
        <v/>
      </c>
      <c r="P566" s="298" t="str">
        <f>IF(B566="", "", 'Lighting Inventory (Ref only)'!E577)</f>
        <v/>
      </c>
      <c r="Q566" s="298" t="str">
        <f>IF(B566="", "", 'Lighting Inventory (Ref only)'!J577)</f>
        <v/>
      </c>
      <c r="R566" s="298" t="str">
        <f>IF(B566="", "",'Lighting Inventory (Ref only)'!K577)</f>
        <v/>
      </c>
      <c r="S566" s="372" t="str">
        <f>IF(B566="", "", 'Lighting Inventory (Ref only)'!G577*'Lighting Inventory (Ref only)'!K577/1000)</f>
        <v/>
      </c>
      <c r="T566" s="298" t="str">
        <f>IF(B566="", "", IF('Lighting Inventory (Ref only)'!I577="", "Light Switch",Inventory!H574))</f>
        <v/>
      </c>
      <c r="X566" s="298" t="str">
        <f>IF(B566="", "", 'Lighting Inventory (Ref only)'!Q577)</f>
        <v/>
      </c>
      <c r="AA566" s="298" t="str">
        <f>IF(B566="", "",'Lighting Inventory (Ref only)'!R577/1000)</f>
        <v/>
      </c>
      <c r="AB566" s="298" t="str">
        <f>IF(B566="", "", Inventory!M574)</f>
        <v/>
      </c>
      <c r="AC566" s="298" t="str">
        <f>IF(B566="", "", 'Lighting Inventory (Ref only)'!T577)</f>
        <v/>
      </c>
      <c r="AD566" s="298" t="str">
        <f>IF(C566="", "", 'Lighting Inventory (Ref only)'!AA577)</f>
        <v/>
      </c>
      <c r="AE566" s="298" t="str">
        <f>IF(B566="", "", 'Lighting Inventory (Ref only)'!U577)</f>
        <v/>
      </c>
      <c r="AF566" s="298" t="str">
        <f>IF(B566="", "",'Lighting Inventory (Ref only)'!W577)</f>
        <v/>
      </c>
      <c r="AH566" s="298" t="str">
        <f>IF(B566="", "",'Lighting Inventory (Ref only)'!Z577)</f>
        <v/>
      </c>
      <c r="AI566" s="298" t="str">
        <f>IF(B566="", "", 'Lighting Inventory (Ref only)'!Y577)</f>
        <v/>
      </c>
      <c r="AJ566" s="298" t="str">
        <f>IF(C566="", "",'Lighting Inventory (Ref only)'!AB577)</f>
        <v/>
      </c>
      <c r="AK566" s="375" t="str">
        <f>IF(B566="", "", 'Lighting Inventory (Ref only)'!AG577)</f>
        <v/>
      </c>
      <c r="AL566" s="375" t="str">
        <f>IF(B566="", "", 'Lighting Inventory (Ref only)'!AD577)</f>
        <v/>
      </c>
      <c r="AM566" s="375" t="str">
        <f>IF(B566="", "", 'Lighting Inventory (Ref only)'!AE577)</f>
        <v/>
      </c>
      <c r="AN566" s="375" t="str">
        <f>IF(B566="", "", 'Lighting Inventory (Ref only)'!AF577)</f>
        <v/>
      </c>
      <c r="AO566" s="375" t="str">
        <f>IF(B566="", "", 'Lighting Inventory (Ref only)'!AG577)</f>
        <v/>
      </c>
    </row>
    <row r="567" spans="1:41">
      <c r="A567" s="298" t="str">
        <f>IF(G567="", "", Lookups!BF569)</f>
        <v/>
      </c>
      <c r="B567" s="298" t="str">
        <f>IF('Lighting Inventory (Ref only)'!Q578="", "", 'Lighting Inventory (Ref only)'!Q578)</f>
        <v/>
      </c>
      <c r="C567" s="298" t="str">
        <f>IF(A567="", "", 'Lighting Inventory (Ref only)'!AO578)</f>
        <v/>
      </c>
      <c r="D567" s="298" t="str">
        <f>IF(B567= "","", Inventory!S575)</f>
        <v/>
      </c>
      <c r="F567" s="298" t="str">
        <f>IF(B567="", "", 'Version Log'!$B$34)</f>
        <v/>
      </c>
      <c r="G567" s="298" t="str">
        <f t="shared" si="36"/>
        <v/>
      </c>
      <c r="H567" s="298" t="str">
        <f t="shared" si="37"/>
        <v/>
      </c>
      <c r="I567" s="298" t="str">
        <f>IF(B567="", "",Inventory!D575)</f>
        <v/>
      </c>
      <c r="J567" s="298" t="str">
        <f>IF(B567="","",IF(Inventory!C575="N","Interior","Exterior"))</f>
        <v/>
      </c>
      <c r="K567" s="298" t="str">
        <f t="shared" si="38"/>
        <v/>
      </c>
      <c r="L567" s="298" t="str">
        <f>IF(B567="", "", Inventory!E575)</f>
        <v/>
      </c>
      <c r="M567" s="298" t="str">
        <f>IF(B567="","",IF(Cool_Type=Lookups!$L$9,Cool_Type,IF(Cool_Type=Lookups!$L$10,Cool_Type,IF(Cool_Type=Lookups!$L$11,Cool_Type,IF(Cool_Type=Lookups!L577,Cool_Type,IF('Project Info and Summary'!$C$20="Electric",CONCATENATE(Cool_Type," ",Heating_Type," Heat"),IF('Project Info and Summary'!$C$20="Non-Electric",CONCATENATE(Cool_Type," ",Heating_Type," Heat"),CONCATENATE(Cool_Type," ",Heating_Type))))))))</f>
        <v/>
      </c>
      <c r="N567" s="298" t="str">
        <f t="shared" si="39"/>
        <v/>
      </c>
      <c r="O567" s="298" t="str">
        <f>IF(B567="", "", 'Lighting Inventory (Ref only)'!G578)</f>
        <v/>
      </c>
      <c r="P567" s="298" t="str">
        <f>IF(B567="", "", 'Lighting Inventory (Ref only)'!E578)</f>
        <v/>
      </c>
      <c r="Q567" s="298" t="str">
        <f>IF(B567="", "", 'Lighting Inventory (Ref only)'!J578)</f>
        <v/>
      </c>
      <c r="R567" s="298" t="str">
        <f>IF(B567="", "",'Lighting Inventory (Ref only)'!K578)</f>
        <v/>
      </c>
      <c r="S567" s="372" t="str">
        <f>IF(B567="", "", 'Lighting Inventory (Ref only)'!G578*'Lighting Inventory (Ref only)'!K578/1000)</f>
        <v/>
      </c>
      <c r="T567" s="298" t="str">
        <f>IF(B567="", "", IF('Lighting Inventory (Ref only)'!I578="", "Light Switch",Inventory!H575))</f>
        <v/>
      </c>
      <c r="X567" s="298" t="str">
        <f>IF(B567="", "", 'Lighting Inventory (Ref only)'!Q578)</f>
        <v/>
      </c>
      <c r="AA567" s="298" t="str">
        <f>IF(B567="", "",'Lighting Inventory (Ref only)'!R578/1000)</f>
        <v/>
      </c>
      <c r="AB567" s="298" t="str">
        <f>IF(B567="", "", Inventory!M575)</f>
        <v/>
      </c>
      <c r="AC567" s="298" t="str">
        <f>IF(B567="", "", 'Lighting Inventory (Ref only)'!T578)</f>
        <v/>
      </c>
      <c r="AD567" s="298" t="str">
        <f>IF(C567="", "", 'Lighting Inventory (Ref only)'!AA578)</f>
        <v/>
      </c>
      <c r="AE567" s="298" t="str">
        <f>IF(B567="", "", 'Lighting Inventory (Ref only)'!U578)</f>
        <v/>
      </c>
      <c r="AF567" s="298" t="str">
        <f>IF(B567="", "",'Lighting Inventory (Ref only)'!W578)</f>
        <v/>
      </c>
      <c r="AH567" s="298" t="str">
        <f>IF(B567="", "",'Lighting Inventory (Ref only)'!Z578)</f>
        <v/>
      </c>
      <c r="AI567" s="298" t="str">
        <f>IF(B567="", "", 'Lighting Inventory (Ref only)'!Y578)</f>
        <v/>
      </c>
      <c r="AJ567" s="298" t="str">
        <f>IF(C567="", "",'Lighting Inventory (Ref only)'!AB578)</f>
        <v/>
      </c>
      <c r="AK567" s="375" t="str">
        <f>IF(B567="", "", 'Lighting Inventory (Ref only)'!AG578)</f>
        <v/>
      </c>
      <c r="AL567" s="375" t="str">
        <f>IF(B567="", "", 'Lighting Inventory (Ref only)'!AD578)</f>
        <v/>
      </c>
      <c r="AM567" s="375" t="str">
        <f>IF(B567="", "", 'Lighting Inventory (Ref only)'!AE578)</f>
        <v/>
      </c>
      <c r="AN567" s="375" t="str">
        <f>IF(B567="", "", 'Lighting Inventory (Ref only)'!AF578)</f>
        <v/>
      </c>
      <c r="AO567" s="375" t="str">
        <f>IF(B567="", "", 'Lighting Inventory (Ref only)'!AG578)</f>
        <v/>
      </c>
    </row>
    <row r="568" spans="1:41">
      <c r="A568" s="298" t="str">
        <f>IF(G568="", "", Lookups!BF570)</f>
        <v/>
      </c>
      <c r="B568" s="298" t="str">
        <f>IF('Lighting Inventory (Ref only)'!Q579="", "", 'Lighting Inventory (Ref only)'!Q579)</f>
        <v/>
      </c>
      <c r="C568" s="298" t="str">
        <f>IF(A568="", "", 'Lighting Inventory (Ref only)'!AO579)</f>
        <v/>
      </c>
      <c r="D568" s="298" t="str">
        <f>IF(B568= "","", Inventory!S576)</f>
        <v/>
      </c>
      <c r="F568" s="298" t="str">
        <f>IF(B568="", "", 'Version Log'!$B$34)</f>
        <v/>
      </c>
      <c r="G568" s="298" t="str">
        <f t="shared" si="36"/>
        <v/>
      </c>
      <c r="H568" s="298" t="str">
        <f t="shared" si="37"/>
        <v/>
      </c>
      <c r="I568" s="298" t="str">
        <f>IF(B568="", "",Inventory!D576)</f>
        <v/>
      </c>
      <c r="J568" s="298" t="str">
        <f>IF(B568="","",IF(Inventory!C576="N","Interior","Exterior"))</f>
        <v/>
      </c>
      <c r="K568" s="298" t="str">
        <f t="shared" si="38"/>
        <v/>
      </c>
      <c r="L568" s="298" t="str">
        <f>IF(B568="", "", Inventory!E576)</f>
        <v/>
      </c>
      <c r="M568" s="298" t="str">
        <f>IF(B568="","",IF(Cool_Type=Lookups!$L$9,Cool_Type,IF(Cool_Type=Lookups!$L$10,Cool_Type,IF(Cool_Type=Lookups!$L$11,Cool_Type,IF(Cool_Type=Lookups!L578,Cool_Type,IF('Project Info and Summary'!$C$20="Electric",CONCATENATE(Cool_Type," ",Heating_Type," Heat"),IF('Project Info and Summary'!$C$20="Non-Electric",CONCATENATE(Cool_Type," ",Heating_Type," Heat"),CONCATENATE(Cool_Type," ",Heating_Type))))))))</f>
        <v/>
      </c>
      <c r="N568" s="298" t="str">
        <f t="shared" si="39"/>
        <v/>
      </c>
      <c r="O568" s="298" t="str">
        <f>IF(B568="", "", 'Lighting Inventory (Ref only)'!G579)</f>
        <v/>
      </c>
      <c r="P568" s="298" t="str">
        <f>IF(B568="", "", 'Lighting Inventory (Ref only)'!E579)</f>
        <v/>
      </c>
      <c r="Q568" s="298" t="str">
        <f>IF(B568="", "", 'Lighting Inventory (Ref only)'!J579)</f>
        <v/>
      </c>
      <c r="R568" s="298" t="str">
        <f>IF(B568="", "",'Lighting Inventory (Ref only)'!K579)</f>
        <v/>
      </c>
      <c r="S568" s="372" t="str">
        <f>IF(B568="", "", 'Lighting Inventory (Ref only)'!G579*'Lighting Inventory (Ref only)'!K579/1000)</f>
        <v/>
      </c>
      <c r="T568" s="298" t="str">
        <f>IF(B568="", "", IF('Lighting Inventory (Ref only)'!I579="", "Light Switch",Inventory!H576))</f>
        <v/>
      </c>
      <c r="X568" s="298" t="str">
        <f>IF(B568="", "", 'Lighting Inventory (Ref only)'!Q579)</f>
        <v/>
      </c>
      <c r="AA568" s="298" t="str">
        <f>IF(B568="", "",'Lighting Inventory (Ref only)'!R579/1000)</f>
        <v/>
      </c>
      <c r="AB568" s="298" t="str">
        <f>IF(B568="", "", Inventory!M576)</f>
        <v/>
      </c>
      <c r="AC568" s="298" t="str">
        <f>IF(B568="", "", 'Lighting Inventory (Ref only)'!T579)</f>
        <v/>
      </c>
      <c r="AD568" s="298" t="str">
        <f>IF(C568="", "", 'Lighting Inventory (Ref only)'!AA579)</f>
        <v/>
      </c>
      <c r="AE568" s="298" t="str">
        <f>IF(B568="", "", 'Lighting Inventory (Ref only)'!U579)</f>
        <v/>
      </c>
      <c r="AF568" s="298" t="str">
        <f>IF(B568="", "",'Lighting Inventory (Ref only)'!W579)</f>
        <v/>
      </c>
      <c r="AH568" s="298" t="str">
        <f>IF(B568="", "",'Lighting Inventory (Ref only)'!Z579)</f>
        <v/>
      </c>
      <c r="AI568" s="298" t="str">
        <f>IF(B568="", "", 'Lighting Inventory (Ref only)'!Y579)</f>
        <v/>
      </c>
      <c r="AJ568" s="298" t="str">
        <f>IF(C568="", "",'Lighting Inventory (Ref only)'!AB579)</f>
        <v/>
      </c>
      <c r="AK568" s="375" t="str">
        <f>IF(B568="", "", 'Lighting Inventory (Ref only)'!AG579)</f>
        <v/>
      </c>
      <c r="AL568" s="375" t="str">
        <f>IF(B568="", "", 'Lighting Inventory (Ref only)'!AD579)</f>
        <v/>
      </c>
      <c r="AM568" s="375" t="str">
        <f>IF(B568="", "", 'Lighting Inventory (Ref only)'!AE579)</f>
        <v/>
      </c>
      <c r="AN568" s="375" t="str">
        <f>IF(B568="", "", 'Lighting Inventory (Ref only)'!AF579)</f>
        <v/>
      </c>
      <c r="AO568" s="375" t="str">
        <f>IF(B568="", "", 'Lighting Inventory (Ref only)'!AG579)</f>
        <v/>
      </c>
    </row>
    <row r="569" spans="1:41">
      <c r="A569" s="298" t="str">
        <f>IF(G569="", "", Lookups!BF571)</f>
        <v/>
      </c>
      <c r="B569" s="298" t="str">
        <f>IF('Lighting Inventory (Ref only)'!Q580="", "", 'Lighting Inventory (Ref only)'!Q580)</f>
        <v/>
      </c>
      <c r="C569" s="298" t="str">
        <f>IF(A569="", "", 'Lighting Inventory (Ref only)'!AO580)</f>
        <v/>
      </c>
      <c r="D569" s="298" t="str">
        <f>IF(B569= "","", Inventory!S577)</f>
        <v/>
      </c>
      <c r="F569" s="298" t="str">
        <f>IF(B569="", "", 'Version Log'!$B$34)</f>
        <v/>
      </c>
      <c r="G569" s="298" t="str">
        <f t="shared" si="36"/>
        <v/>
      </c>
      <c r="H569" s="298" t="str">
        <f t="shared" si="37"/>
        <v/>
      </c>
      <c r="I569" s="298" t="str">
        <f>IF(B569="", "",Inventory!D577)</f>
        <v/>
      </c>
      <c r="J569" s="298" t="str">
        <f>IF(B569="","",IF(Inventory!C577="N","Interior","Exterior"))</f>
        <v/>
      </c>
      <c r="K569" s="298" t="str">
        <f t="shared" si="38"/>
        <v/>
      </c>
      <c r="L569" s="298" t="str">
        <f>IF(B569="", "", Inventory!E577)</f>
        <v/>
      </c>
      <c r="M569" s="298" t="str">
        <f>IF(B569="","",IF(Cool_Type=Lookups!$L$9,Cool_Type,IF(Cool_Type=Lookups!$L$10,Cool_Type,IF(Cool_Type=Lookups!$L$11,Cool_Type,IF(Cool_Type=Lookups!L579,Cool_Type,IF('Project Info and Summary'!$C$20="Electric",CONCATENATE(Cool_Type," ",Heating_Type," Heat"),IF('Project Info and Summary'!$C$20="Non-Electric",CONCATENATE(Cool_Type," ",Heating_Type," Heat"),CONCATENATE(Cool_Type," ",Heating_Type))))))))</f>
        <v/>
      </c>
      <c r="N569" s="298" t="str">
        <f t="shared" si="39"/>
        <v/>
      </c>
      <c r="O569" s="298" t="str">
        <f>IF(B569="", "", 'Lighting Inventory (Ref only)'!G580)</f>
        <v/>
      </c>
      <c r="P569" s="298" t="str">
        <f>IF(B569="", "", 'Lighting Inventory (Ref only)'!E580)</f>
        <v/>
      </c>
      <c r="Q569" s="298" t="str">
        <f>IF(B569="", "", 'Lighting Inventory (Ref only)'!J580)</f>
        <v/>
      </c>
      <c r="R569" s="298" t="str">
        <f>IF(B569="", "",'Lighting Inventory (Ref only)'!K580)</f>
        <v/>
      </c>
      <c r="S569" s="372" t="str">
        <f>IF(B569="", "", 'Lighting Inventory (Ref only)'!G580*'Lighting Inventory (Ref only)'!K580/1000)</f>
        <v/>
      </c>
      <c r="T569" s="298" t="str">
        <f>IF(B569="", "", IF('Lighting Inventory (Ref only)'!I580="", "Light Switch",Inventory!H577))</f>
        <v/>
      </c>
      <c r="X569" s="298" t="str">
        <f>IF(B569="", "", 'Lighting Inventory (Ref only)'!Q580)</f>
        <v/>
      </c>
      <c r="AA569" s="298" t="str">
        <f>IF(B569="", "",'Lighting Inventory (Ref only)'!R580/1000)</f>
        <v/>
      </c>
      <c r="AB569" s="298" t="str">
        <f>IF(B569="", "", Inventory!M577)</f>
        <v/>
      </c>
      <c r="AC569" s="298" t="str">
        <f>IF(B569="", "", 'Lighting Inventory (Ref only)'!T580)</f>
        <v/>
      </c>
      <c r="AD569" s="298" t="str">
        <f>IF(C569="", "", 'Lighting Inventory (Ref only)'!AA580)</f>
        <v/>
      </c>
      <c r="AE569" s="298" t="str">
        <f>IF(B569="", "", 'Lighting Inventory (Ref only)'!U580)</f>
        <v/>
      </c>
      <c r="AF569" s="298" t="str">
        <f>IF(B569="", "",'Lighting Inventory (Ref only)'!W580)</f>
        <v/>
      </c>
      <c r="AH569" s="298" t="str">
        <f>IF(B569="", "",'Lighting Inventory (Ref only)'!Z580)</f>
        <v/>
      </c>
      <c r="AI569" s="298" t="str">
        <f>IF(B569="", "", 'Lighting Inventory (Ref only)'!Y580)</f>
        <v/>
      </c>
      <c r="AJ569" s="298" t="str">
        <f>IF(C569="", "",'Lighting Inventory (Ref only)'!AB580)</f>
        <v/>
      </c>
      <c r="AK569" s="375" t="str">
        <f>IF(B569="", "", 'Lighting Inventory (Ref only)'!AG580)</f>
        <v/>
      </c>
      <c r="AL569" s="375" t="str">
        <f>IF(B569="", "", 'Lighting Inventory (Ref only)'!AD580)</f>
        <v/>
      </c>
      <c r="AM569" s="375" t="str">
        <f>IF(B569="", "", 'Lighting Inventory (Ref only)'!AE580)</f>
        <v/>
      </c>
      <c r="AN569" s="375" t="str">
        <f>IF(B569="", "", 'Lighting Inventory (Ref only)'!AF580)</f>
        <v/>
      </c>
      <c r="AO569" s="375" t="str">
        <f>IF(B569="", "", 'Lighting Inventory (Ref only)'!AG580)</f>
        <v/>
      </c>
    </row>
    <row r="570" spans="1:41">
      <c r="A570" s="298" t="str">
        <f>IF(G570="", "", Lookups!BF572)</f>
        <v/>
      </c>
      <c r="B570" s="298" t="str">
        <f>IF('Lighting Inventory (Ref only)'!Q581="", "", 'Lighting Inventory (Ref only)'!Q581)</f>
        <v/>
      </c>
      <c r="C570" s="298" t="str">
        <f>IF(A570="", "", 'Lighting Inventory (Ref only)'!AO581)</f>
        <v/>
      </c>
      <c r="D570" s="298" t="str">
        <f>IF(B570= "","", Inventory!S578)</f>
        <v/>
      </c>
      <c r="F570" s="298" t="str">
        <f>IF(B570="", "", 'Version Log'!$B$34)</f>
        <v/>
      </c>
      <c r="G570" s="298" t="str">
        <f t="shared" si="36"/>
        <v/>
      </c>
      <c r="H570" s="298" t="str">
        <f t="shared" si="37"/>
        <v/>
      </c>
      <c r="I570" s="298" t="str">
        <f>IF(B570="", "",Inventory!D578)</f>
        <v/>
      </c>
      <c r="J570" s="298" t="str">
        <f>IF(B570="","",IF(Inventory!C578="N","Interior","Exterior"))</f>
        <v/>
      </c>
      <c r="K570" s="298" t="str">
        <f t="shared" si="38"/>
        <v/>
      </c>
      <c r="L570" s="298" t="str">
        <f>IF(B570="", "", Inventory!E578)</f>
        <v/>
      </c>
      <c r="M570" s="298" t="str">
        <f>IF(B570="","",IF(Cool_Type=Lookups!$L$9,Cool_Type,IF(Cool_Type=Lookups!$L$10,Cool_Type,IF(Cool_Type=Lookups!$L$11,Cool_Type,IF(Cool_Type=Lookups!L580,Cool_Type,IF('Project Info and Summary'!$C$20="Electric",CONCATENATE(Cool_Type," ",Heating_Type," Heat"),IF('Project Info and Summary'!$C$20="Non-Electric",CONCATENATE(Cool_Type," ",Heating_Type," Heat"),CONCATENATE(Cool_Type," ",Heating_Type))))))))</f>
        <v/>
      </c>
      <c r="N570" s="298" t="str">
        <f t="shared" si="39"/>
        <v/>
      </c>
      <c r="O570" s="298" t="str">
        <f>IF(B570="", "", 'Lighting Inventory (Ref only)'!G581)</f>
        <v/>
      </c>
      <c r="P570" s="298" t="str">
        <f>IF(B570="", "", 'Lighting Inventory (Ref only)'!E581)</f>
        <v/>
      </c>
      <c r="Q570" s="298" t="str">
        <f>IF(B570="", "", 'Lighting Inventory (Ref only)'!J581)</f>
        <v/>
      </c>
      <c r="R570" s="298" t="str">
        <f>IF(B570="", "",'Lighting Inventory (Ref only)'!K581)</f>
        <v/>
      </c>
      <c r="S570" s="372" t="str">
        <f>IF(B570="", "", 'Lighting Inventory (Ref only)'!G581*'Lighting Inventory (Ref only)'!K581/1000)</f>
        <v/>
      </c>
      <c r="T570" s="298" t="str">
        <f>IF(B570="", "", IF('Lighting Inventory (Ref only)'!I581="", "Light Switch",Inventory!H578))</f>
        <v/>
      </c>
      <c r="X570" s="298" t="str">
        <f>IF(B570="", "", 'Lighting Inventory (Ref only)'!Q581)</f>
        <v/>
      </c>
      <c r="AA570" s="298" t="str">
        <f>IF(B570="", "",'Lighting Inventory (Ref only)'!R581/1000)</f>
        <v/>
      </c>
      <c r="AB570" s="298" t="str">
        <f>IF(B570="", "", Inventory!M578)</f>
        <v/>
      </c>
      <c r="AC570" s="298" t="str">
        <f>IF(B570="", "", 'Lighting Inventory (Ref only)'!T581)</f>
        <v/>
      </c>
      <c r="AD570" s="298" t="str">
        <f>IF(C570="", "", 'Lighting Inventory (Ref only)'!AA581)</f>
        <v/>
      </c>
      <c r="AE570" s="298" t="str">
        <f>IF(B570="", "", 'Lighting Inventory (Ref only)'!U581)</f>
        <v/>
      </c>
      <c r="AF570" s="298" t="str">
        <f>IF(B570="", "",'Lighting Inventory (Ref only)'!W581)</f>
        <v/>
      </c>
      <c r="AH570" s="298" t="str">
        <f>IF(B570="", "",'Lighting Inventory (Ref only)'!Z581)</f>
        <v/>
      </c>
      <c r="AI570" s="298" t="str">
        <f>IF(B570="", "", 'Lighting Inventory (Ref only)'!Y581)</f>
        <v/>
      </c>
      <c r="AJ570" s="298" t="str">
        <f>IF(C570="", "",'Lighting Inventory (Ref only)'!AB581)</f>
        <v/>
      </c>
      <c r="AK570" s="375" t="str">
        <f>IF(B570="", "", 'Lighting Inventory (Ref only)'!AG581)</f>
        <v/>
      </c>
      <c r="AL570" s="375" t="str">
        <f>IF(B570="", "", 'Lighting Inventory (Ref only)'!AD581)</f>
        <v/>
      </c>
      <c r="AM570" s="375" t="str">
        <f>IF(B570="", "", 'Lighting Inventory (Ref only)'!AE581)</f>
        <v/>
      </c>
      <c r="AN570" s="375" t="str">
        <f>IF(B570="", "", 'Lighting Inventory (Ref only)'!AF581)</f>
        <v/>
      </c>
      <c r="AO570" s="375" t="str">
        <f>IF(B570="", "", 'Lighting Inventory (Ref only)'!AG581)</f>
        <v/>
      </c>
    </row>
    <row r="571" spans="1:41">
      <c r="A571" s="298" t="str">
        <f>IF(G571="", "", Lookups!BF573)</f>
        <v/>
      </c>
      <c r="B571" s="298" t="str">
        <f>IF('Lighting Inventory (Ref only)'!Q582="", "", 'Lighting Inventory (Ref only)'!Q582)</f>
        <v/>
      </c>
      <c r="C571" s="298" t="str">
        <f>IF(A571="", "", 'Lighting Inventory (Ref only)'!AO582)</f>
        <v/>
      </c>
      <c r="D571" s="298" t="str">
        <f>IF(B571= "","", Inventory!S579)</f>
        <v/>
      </c>
      <c r="F571" s="298" t="str">
        <f>IF(B571="", "", 'Version Log'!$B$34)</f>
        <v/>
      </c>
      <c r="G571" s="298" t="str">
        <f t="shared" si="36"/>
        <v/>
      </c>
      <c r="H571" s="298" t="str">
        <f t="shared" si="37"/>
        <v/>
      </c>
      <c r="I571" s="298" t="str">
        <f>IF(B571="", "",Inventory!D579)</f>
        <v/>
      </c>
      <c r="J571" s="298" t="str">
        <f>IF(B571="","",IF(Inventory!C579="N","Interior","Exterior"))</f>
        <v/>
      </c>
      <c r="K571" s="298" t="str">
        <f t="shared" si="38"/>
        <v/>
      </c>
      <c r="L571" s="298" t="str">
        <f>IF(B571="", "", Inventory!E579)</f>
        <v/>
      </c>
      <c r="M571" s="298" t="str">
        <f>IF(B571="","",IF(Cool_Type=Lookups!$L$9,Cool_Type,IF(Cool_Type=Lookups!$L$10,Cool_Type,IF(Cool_Type=Lookups!$L$11,Cool_Type,IF(Cool_Type=Lookups!L581,Cool_Type,IF('Project Info and Summary'!$C$20="Electric",CONCATENATE(Cool_Type," ",Heating_Type," Heat"),IF('Project Info and Summary'!$C$20="Non-Electric",CONCATENATE(Cool_Type," ",Heating_Type," Heat"),CONCATENATE(Cool_Type," ",Heating_Type))))))))</f>
        <v/>
      </c>
      <c r="N571" s="298" t="str">
        <f t="shared" si="39"/>
        <v/>
      </c>
      <c r="O571" s="298" t="str">
        <f>IF(B571="", "", 'Lighting Inventory (Ref only)'!G582)</f>
        <v/>
      </c>
      <c r="P571" s="298" t="str">
        <f>IF(B571="", "", 'Lighting Inventory (Ref only)'!E582)</f>
        <v/>
      </c>
      <c r="Q571" s="298" t="str">
        <f>IF(B571="", "", 'Lighting Inventory (Ref only)'!J582)</f>
        <v/>
      </c>
      <c r="R571" s="298" t="str">
        <f>IF(B571="", "",'Lighting Inventory (Ref only)'!K582)</f>
        <v/>
      </c>
      <c r="S571" s="372" t="str">
        <f>IF(B571="", "", 'Lighting Inventory (Ref only)'!G582*'Lighting Inventory (Ref only)'!K582/1000)</f>
        <v/>
      </c>
      <c r="T571" s="298" t="str">
        <f>IF(B571="", "", IF('Lighting Inventory (Ref only)'!I582="", "Light Switch",Inventory!H579))</f>
        <v/>
      </c>
      <c r="X571" s="298" t="str">
        <f>IF(B571="", "", 'Lighting Inventory (Ref only)'!Q582)</f>
        <v/>
      </c>
      <c r="AA571" s="298" t="str">
        <f>IF(B571="", "",'Lighting Inventory (Ref only)'!R582/1000)</f>
        <v/>
      </c>
      <c r="AB571" s="298" t="str">
        <f>IF(B571="", "", Inventory!M579)</f>
        <v/>
      </c>
      <c r="AC571" s="298" t="str">
        <f>IF(B571="", "", 'Lighting Inventory (Ref only)'!T582)</f>
        <v/>
      </c>
      <c r="AD571" s="298" t="str">
        <f>IF(C571="", "", 'Lighting Inventory (Ref only)'!AA582)</f>
        <v/>
      </c>
      <c r="AE571" s="298" t="str">
        <f>IF(B571="", "", 'Lighting Inventory (Ref only)'!U582)</f>
        <v/>
      </c>
      <c r="AF571" s="298" t="str">
        <f>IF(B571="", "",'Lighting Inventory (Ref only)'!W582)</f>
        <v/>
      </c>
      <c r="AH571" s="298" t="str">
        <f>IF(B571="", "",'Lighting Inventory (Ref only)'!Z582)</f>
        <v/>
      </c>
      <c r="AI571" s="298" t="str">
        <f>IF(B571="", "", 'Lighting Inventory (Ref only)'!Y582)</f>
        <v/>
      </c>
      <c r="AJ571" s="298" t="str">
        <f>IF(C571="", "",'Lighting Inventory (Ref only)'!AB582)</f>
        <v/>
      </c>
      <c r="AK571" s="375" t="str">
        <f>IF(B571="", "", 'Lighting Inventory (Ref only)'!AG582)</f>
        <v/>
      </c>
      <c r="AL571" s="375" t="str">
        <f>IF(B571="", "", 'Lighting Inventory (Ref only)'!AD582)</f>
        <v/>
      </c>
      <c r="AM571" s="375" t="str">
        <f>IF(B571="", "", 'Lighting Inventory (Ref only)'!AE582)</f>
        <v/>
      </c>
      <c r="AN571" s="375" t="str">
        <f>IF(B571="", "", 'Lighting Inventory (Ref only)'!AF582)</f>
        <v/>
      </c>
      <c r="AO571" s="375" t="str">
        <f>IF(B571="", "", 'Lighting Inventory (Ref only)'!AG582)</f>
        <v/>
      </c>
    </row>
    <row r="572" spans="1:41">
      <c r="A572" s="298" t="str">
        <f>IF(G572="", "", Lookups!BF574)</f>
        <v/>
      </c>
      <c r="B572" s="298" t="str">
        <f>IF('Lighting Inventory (Ref only)'!Q583="", "", 'Lighting Inventory (Ref only)'!Q583)</f>
        <v/>
      </c>
      <c r="C572" s="298" t="str">
        <f>IF(A572="", "", 'Lighting Inventory (Ref only)'!AO583)</f>
        <v/>
      </c>
      <c r="D572" s="298" t="str">
        <f>IF(B572= "","", Inventory!S580)</f>
        <v/>
      </c>
      <c r="F572" s="298" t="str">
        <f>IF(B572="", "", 'Version Log'!$B$34)</f>
        <v/>
      </c>
      <c r="G572" s="298" t="str">
        <f t="shared" si="36"/>
        <v/>
      </c>
      <c r="H572" s="298" t="str">
        <f t="shared" si="37"/>
        <v/>
      </c>
      <c r="I572" s="298" t="str">
        <f>IF(B572="", "",Inventory!D580)</f>
        <v/>
      </c>
      <c r="J572" s="298" t="str">
        <f>IF(B572="","",IF(Inventory!C580="N","Interior","Exterior"))</f>
        <v/>
      </c>
      <c r="K572" s="298" t="str">
        <f t="shared" si="38"/>
        <v/>
      </c>
      <c r="L572" s="298" t="str">
        <f>IF(B572="", "", Inventory!E580)</f>
        <v/>
      </c>
      <c r="M572" s="298" t="str">
        <f>IF(B572="","",IF(Cool_Type=Lookups!$L$9,Cool_Type,IF(Cool_Type=Lookups!$L$10,Cool_Type,IF(Cool_Type=Lookups!$L$11,Cool_Type,IF(Cool_Type=Lookups!L582,Cool_Type,IF('Project Info and Summary'!$C$20="Electric",CONCATENATE(Cool_Type," ",Heating_Type," Heat"),IF('Project Info and Summary'!$C$20="Non-Electric",CONCATENATE(Cool_Type," ",Heating_Type," Heat"),CONCATENATE(Cool_Type," ",Heating_Type))))))))</f>
        <v/>
      </c>
      <c r="N572" s="298" t="str">
        <f t="shared" si="39"/>
        <v/>
      </c>
      <c r="O572" s="298" t="str">
        <f>IF(B572="", "", 'Lighting Inventory (Ref only)'!G583)</f>
        <v/>
      </c>
      <c r="P572" s="298" t="str">
        <f>IF(B572="", "", 'Lighting Inventory (Ref only)'!E583)</f>
        <v/>
      </c>
      <c r="Q572" s="298" t="str">
        <f>IF(B572="", "", 'Lighting Inventory (Ref only)'!J583)</f>
        <v/>
      </c>
      <c r="R572" s="298" t="str">
        <f>IF(B572="", "",'Lighting Inventory (Ref only)'!K583)</f>
        <v/>
      </c>
      <c r="S572" s="372" t="str">
        <f>IF(B572="", "", 'Lighting Inventory (Ref only)'!G583*'Lighting Inventory (Ref only)'!K583/1000)</f>
        <v/>
      </c>
      <c r="T572" s="298" t="str">
        <f>IF(B572="", "", IF('Lighting Inventory (Ref only)'!I583="", "Light Switch",Inventory!H580))</f>
        <v/>
      </c>
      <c r="X572" s="298" t="str">
        <f>IF(B572="", "", 'Lighting Inventory (Ref only)'!Q583)</f>
        <v/>
      </c>
      <c r="AA572" s="298" t="str">
        <f>IF(B572="", "",'Lighting Inventory (Ref only)'!R583/1000)</f>
        <v/>
      </c>
      <c r="AB572" s="298" t="str">
        <f>IF(B572="", "", Inventory!M580)</f>
        <v/>
      </c>
      <c r="AC572" s="298" t="str">
        <f>IF(B572="", "", 'Lighting Inventory (Ref only)'!T583)</f>
        <v/>
      </c>
      <c r="AD572" s="298" t="str">
        <f>IF(C572="", "", 'Lighting Inventory (Ref only)'!AA583)</f>
        <v/>
      </c>
      <c r="AE572" s="298" t="str">
        <f>IF(B572="", "", 'Lighting Inventory (Ref only)'!U583)</f>
        <v/>
      </c>
      <c r="AF572" s="298" t="str">
        <f>IF(B572="", "",'Lighting Inventory (Ref only)'!W583)</f>
        <v/>
      </c>
      <c r="AH572" s="298" t="str">
        <f>IF(B572="", "",'Lighting Inventory (Ref only)'!Z583)</f>
        <v/>
      </c>
      <c r="AI572" s="298" t="str">
        <f>IF(B572="", "", 'Lighting Inventory (Ref only)'!Y583)</f>
        <v/>
      </c>
      <c r="AJ572" s="298" t="str">
        <f>IF(C572="", "",'Lighting Inventory (Ref only)'!AB583)</f>
        <v/>
      </c>
      <c r="AK572" s="375" t="str">
        <f>IF(B572="", "", 'Lighting Inventory (Ref only)'!AG583)</f>
        <v/>
      </c>
      <c r="AL572" s="375" t="str">
        <f>IF(B572="", "", 'Lighting Inventory (Ref only)'!AD583)</f>
        <v/>
      </c>
      <c r="AM572" s="375" t="str">
        <f>IF(B572="", "", 'Lighting Inventory (Ref only)'!AE583)</f>
        <v/>
      </c>
      <c r="AN572" s="375" t="str">
        <f>IF(B572="", "", 'Lighting Inventory (Ref only)'!AF583)</f>
        <v/>
      </c>
      <c r="AO572" s="375" t="str">
        <f>IF(B572="", "", 'Lighting Inventory (Ref only)'!AG583)</f>
        <v/>
      </c>
    </row>
    <row r="573" spans="1:41">
      <c r="A573" s="298" t="str">
        <f>IF(G573="", "", Lookups!BF575)</f>
        <v/>
      </c>
      <c r="B573" s="298" t="str">
        <f>IF('Lighting Inventory (Ref only)'!Q584="", "", 'Lighting Inventory (Ref only)'!Q584)</f>
        <v/>
      </c>
      <c r="C573" s="298" t="str">
        <f>IF(A573="", "", 'Lighting Inventory (Ref only)'!AO584)</f>
        <v/>
      </c>
      <c r="D573" s="298" t="str">
        <f>IF(B573= "","", Inventory!S581)</f>
        <v/>
      </c>
      <c r="F573" s="298" t="str">
        <f>IF(B573="", "", 'Version Log'!$B$34)</f>
        <v/>
      </c>
      <c r="G573" s="298" t="str">
        <f t="shared" si="36"/>
        <v/>
      </c>
      <c r="H573" s="298" t="str">
        <f t="shared" si="37"/>
        <v/>
      </c>
      <c r="I573" s="298" t="str">
        <f>IF(B573="", "",Inventory!D581)</f>
        <v/>
      </c>
      <c r="J573" s="298" t="str">
        <f>IF(B573="","",IF(Inventory!C581="N","Interior","Exterior"))</f>
        <v/>
      </c>
      <c r="K573" s="298" t="str">
        <f t="shared" si="38"/>
        <v/>
      </c>
      <c r="L573" s="298" t="str">
        <f>IF(B573="", "", Inventory!E581)</f>
        <v/>
      </c>
      <c r="M573" s="298" t="str">
        <f>IF(B573="","",IF(Cool_Type=Lookups!$L$9,Cool_Type,IF(Cool_Type=Lookups!$L$10,Cool_Type,IF(Cool_Type=Lookups!$L$11,Cool_Type,IF(Cool_Type=Lookups!L583,Cool_Type,IF('Project Info and Summary'!$C$20="Electric",CONCATENATE(Cool_Type," ",Heating_Type," Heat"),IF('Project Info and Summary'!$C$20="Non-Electric",CONCATENATE(Cool_Type," ",Heating_Type," Heat"),CONCATENATE(Cool_Type," ",Heating_Type))))))))</f>
        <v/>
      </c>
      <c r="N573" s="298" t="str">
        <f t="shared" si="39"/>
        <v/>
      </c>
      <c r="O573" s="298" t="str">
        <f>IF(B573="", "", 'Lighting Inventory (Ref only)'!G584)</f>
        <v/>
      </c>
      <c r="P573" s="298" t="str">
        <f>IF(B573="", "", 'Lighting Inventory (Ref only)'!E584)</f>
        <v/>
      </c>
      <c r="Q573" s="298" t="str">
        <f>IF(B573="", "", 'Lighting Inventory (Ref only)'!J584)</f>
        <v/>
      </c>
      <c r="R573" s="298" t="str">
        <f>IF(B573="", "",'Lighting Inventory (Ref only)'!K584)</f>
        <v/>
      </c>
      <c r="S573" s="372" t="str">
        <f>IF(B573="", "", 'Lighting Inventory (Ref only)'!G584*'Lighting Inventory (Ref only)'!K584/1000)</f>
        <v/>
      </c>
      <c r="T573" s="298" t="str">
        <f>IF(B573="", "", IF('Lighting Inventory (Ref only)'!I584="", "Light Switch",Inventory!H581))</f>
        <v/>
      </c>
      <c r="X573" s="298" t="str">
        <f>IF(B573="", "", 'Lighting Inventory (Ref only)'!Q584)</f>
        <v/>
      </c>
      <c r="AA573" s="298" t="str">
        <f>IF(B573="", "",'Lighting Inventory (Ref only)'!R584/1000)</f>
        <v/>
      </c>
      <c r="AB573" s="298" t="str">
        <f>IF(B573="", "", Inventory!M581)</f>
        <v/>
      </c>
      <c r="AC573" s="298" t="str">
        <f>IF(B573="", "", 'Lighting Inventory (Ref only)'!T584)</f>
        <v/>
      </c>
      <c r="AD573" s="298" t="str">
        <f>IF(C573="", "", 'Lighting Inventory (Ref only)'!AA584)</f>
        <v/>
      </c>
      <c r="AE573" s="298" t="str">
        <f>IF(B573="", "", 'Lighting Inventory (Ref only)'!U584)</f>
        <v/>
      </c>
      <c r="AF573" s="298" t="str">
        <f>IF(B573="", "",'Lighting Inventory (Ref only)'!W584)</f>
        <v/>
      </c>
      <c r="AH573" s="298" t="str">
        <f>IF(B573="", "",'Lighting Inventory (Ref only)'!Z584)</f>
        <v/>
      </c>
      <c r="AI573" s="298" t="str">
        <f>IF(B573="", "", 'Lighting Inventory (Ref only)'!Y584)</f>
        <v/>
      </c>
      <c r="AJ573" s="298" t="str">
        <f>IF(C573="", "",'Lighting Inventory (Ref only)'!AB584)</f>
        <v/>
      </c>
      <c r="AK573" s="375" t="str">
        <f>IF(B573="", "", 'Lighting Inventory (Ref only)'!AG584)</f>
        <v/>
      </c>
      <c r="AL573" s="375" t="str">
        <f>IF(B573="", "", 'Lighting Inventory (Ref only)'!AD584)</f>
        <v/>
      </c>
      <c r="AM573" s="375" t="str">
        <f>IF(B573="", "", 'Lighting Inventory (Ref only)'!AE584)</f>
        <v/>
      </c>
      <c r="AN573" s="375" t="str">
        <f>IF(B573="", "", 'Lighting Inventory (Ref only)'!AF584)</f>
        <v/>
      </c>
      <c r="AO573" s="375" t="str">
        <f>IF(B573="", "", 'Lighting Inventory (Ref only)'!AG584)</f>
        <v/>
      </c>
    </row>
    <row r="574" spans="1:41">
      <c r="A574" s="298" t="str">
        <f>IF(G574="", "", Lookups!BF576)</f>
        <v/>
      </c>
      <c r="B574" s="298" t="str">
        <f>IF('Lighting Inventory (Ref only)'!Q585="", "", 'Lighting Inventory (Ref only)'!Q585)</f>
        <v/>
      </c>
      <c r="C574" s="298" t="str">
        <f>IF(A574="", "", 'Lighting Inventory (Ref only)'!AO585)</f>
        <v/>
      </c>
      <c r="D574" s="298" t="str">
        <f>IF(B574= "","", Inventory!S582)</f>
        <v/>
      </c>
      <c r="F574" s="298" t="str">
        <f>IF(B574="", "", 'Version Log'!$B$34)</f>
        <v/>
      </c>
      <c r="G574" s="298" t="str">
        <f t="shared" si="36"/>
        <v/>
      </c>
      <c r="H574" s="298" t="str">
        <f t="shared" si="37"/>
        <v/>
      </c>
      <c r="I574" s="298" t="str">
        <f>IF(B574="", "",Inventory!D582)</f>
        <v/>
      </c>
      <c r="J574" s="298" t="str">
        <f>IF(B574="","",IF(Inventory!C582="N","Interior","Exterior"))</f>
        <v/>
      </c>
      <c r="K574" s="298" t="str">
        <f t="shared" si="38"/>
        <v/>
      </c>
      <c r="L574" s="298" t="str">
        <f>IF(B574="", "", Inventory!E582)</f>
        <v/>
      </c>
      <c r="M574" s="298" t="str">
        <f>IF(B574="","",IF(Cool_Type=Lookups!$L$9,Cool_Type,IF(Cool_Type=Lookups!$L$10,Cool_Type,IF(Cool_Type=Lookups!$L$11,Cool_Type,IF(Cool_Type=Lookups!L584,Cool_Type,IF('Project Info and Summary'!$C$20="Electric",CONCATENATE(Cool_Type," ",Heating_Type," Heat"),IF('Project Info and Summary'!$C$20="Non-Electric",CONCATENATE(Cool_Type," ",Heating_Type," Heat"),CONCATENATE(Cool_Type," ",Heating_Type))))))))</f>
        <v/>
      </c>
      <c r="N574" s="298" t="str">
        <f t="shared" si="39"/>
        <v/>
      </c>
      <c r="O574" s="298" t="str">
        <f>IF(B574="", "", 'Lighting Inventory (Ref only)'!G585)</f>
        <v/>
      </c>
      <c r="P574" s="298" t="str">
        <f>IF(B574="", "", 'Lighting Inventory (Ref only)'!E585)</f>
        <v/>
      </c>
      <c r="Q574" s="298" t="str">
        <f>IF(B574="", "", 'Lighting Inventory (Ref only)'!J585)</f>
        <v/>
      </c>
      <c r="R574" s="298" t="str">
        <f>IF(B574="", "",'Lighting Inventory (Ref only)'!K585)</f>
        <v/>
      </c>
      <c r="S574" s="372" t="str">
        <f>IF(B574="", "", 'Lighting Inventory (Ref only)'!G585*'Lighting Inventory (Ref only)'!K585/1000)</f>
        <v/>
      </c>
      <c r="T574" s="298" t="str">
        <f>IF(B574="", "", IF('Lighting Inventory (Ref only)'!I585="", "Light Switch",Inventory!H582))</f>
        <v/>
      </c>
      <c r="X574" s="298" t="str">
        <f>IF(B574="", "", 'Lighting Inventory (Ref only)'!Q585)</f>
        <v/>
      </c>
      <c r="AA574" s="298" t="str">
        <f>IF(B574="", "",'Lighting Inventory (Ref only)'!R585/1000)</f>
        <v/>
      </c>
      <c r="AB574" s="298" t="str">
        <f>IF(B574="", "", Inventory!M582)</f>
        <v/>
      </c>
      <c r="AC574" s="298" t="str">
        <f>IF(B574="", "", 'Lighting Inventory (Ref only)'!T585)</f>
        <v/>
      </c>
      <c r="AD574" s="298" t="str">
        <f>IF(C574="", "", 'Lighting Inventory (Ref only)'!AA585)</f>
        <v/>
      </c>
      <c r="AE574" s="298" t="str">
        <f>IF(B574="", "", 'Lighting Inventory (Ref only)'!U585)</f>
        <v/>
      </c>
      <c r="AF574" s="298" t="str">
        <f>IF(B574="", "",'Lighting Inventory (Ref only)'!W585)</f>
        <v/>
      </c>
      <c r="AH574" s="298" t="str">
        <f>IF(B574="", "",'Lighting Inventory (Ref only)'!Z585)</f>
        <v/>
      </c>
      <c r="AI574" s="298" t="str">
        <f>IF(B574="", "", 'Lighting Inventory (Ref only)'!Y585)</f>
        <v/>
      </c>
      <c r="AJ574" s="298" t="str">
        <f>IF(C574="", "",'Lighting Inventory (Ref only)'!AB585)</f>
        <v/>
      </c>
      <c r="AK574" s="375" t="str">
        <f>IF(B574="", "", 'Lighting Inventory (Ref only)'!AG585)</f>
        <v/>
      </c>
      <c r="AL574" s="375" t="str">
        <f>IF(B574="", "", 'Lighting Inventory (Ref only)'!AD585)</f>
        <v/>
      </c>
      <c r="AM574" s="375" t="str">
        <f>IF(B574="", "", 'Lighting Inventory (Ref only)'!AE585)</f>
        <v/>
      </c>
      <c r="AN574" s="375" t="str">
        <f>IF(B574="", "", 'Lighting Inventory (Ref only)'!AF585)</f>
        <v/>
      </c>
      <c r="AO574" s="375" t="str">
        <f>IF(B574="", "", 'Lighting Inventory (Ref only)'!AG585)</f>
        <v/>
      </c>
    </row>
    <row r="575" spans="1:41">
      <c r="A575" s="298" t="str">
        <f>IF(G575="", "", Lookups!BF577)</f>
        <v/>
      </c>
      <c r="B575" s="298" t="str">
        <f>IF('Lighting Inventory (Ref only)'!Q586="", "", 'Lighting Inventory (Ref only)'!Q586)</f>
        <v/>
      </c>
      <c r="C575" s="298" t="str">
        <f>IF(A575="", "", 'Lighting Inventory (Ref only)'!AO586)</f>
        <v/>
      </c>
      <c r="D575" s="298" t="str">
        <f>IF(B575= "","", Inventory!S583)</f>
        <v/>
      </c>
      <c r="F575" s="298" t="str">
        <f>IF(B575="", "", 'Version Log'!$B$34)</f>
        <v/>
      </c>
      <c r="G575" s="298" t="str">
        <f t="shared" si="36"/>
        <v/>
      </c>
      <c r="H575" s="298" t="str">
        <f t="shared" si="37"/>
        <v/>
      </c>
      <c r="I575" s="298" t="str">
        <f>IF(B575="", "",Inventory!D583)</f>
        <v/>
      </c>
      <c r="J575" s="298" t="str">
        <f>IF(B575="","",IF(Inventory!C583="N","Interior","Exterior"))</f>
        <v/>
      </c>
      <c r="K575" s="298" t="str">
        <f t="shared" si="38"/>
        <v/>
      </c>
      <c r="L575" s="298" t="str">
        <f>IF(B575="", "", Inventory!E583)</f>
        <v/>
      </c>
      <c r="M575" s="298" t="str">
        <f>IF(B575="","",IF(Cool_Type=Lookups!$L$9,Cool_Type,IF(Cool_Type=Lookups!$L$10,Cool_Type,IF(Cool_Type=Lookups!$L$11,Cool_Type,IF(Cool_Type=Lookups!L585,Cool_Type,IF('Project Info and Summary'!$C$20="Electric",CONCATENATE(Cool_Type," ",Heating_Type," Heat"),IF('Project Info and Summary'!$C$20="Non-Electric",CONCATENATE(Cool_Type," ",Heating_Type," Heat"),CONCATENATE(Cool_Type," ",Heating_Type))))))))</f>
        <v/>
      </c>
      <c r="N575" s="298" t="str">
        <f t="shared" si="39"/>
        <v/>
      </c>
      <c r="O575" s="298" t="str">
        <f>IF(B575="", "", 'Lighting Inventory (Ref only)'!G586)</f>
        <v/>
      </c>
      <c r="P575" s="298" t="str">
        <f>IF(B575="", "", 'Lighting Inventory (Ref only)'!E586)</f>
        <v/>
      </c>
      <c r="Q575" s="298" t="str">
        <f>IF(B575="", "", 'Lighting Inventory (Ref only)'!J586)</f>
        <v/>
      </c>
      <c r="R575" s="298" t="str">
        <f>IF(B575="", "",'Lighting Inventory (Ref only)'!K586)</f>
        <v/>
      </c>
      <c r="S575" s="372" t="str">
        <f>IF(B575="", "", 'Lighting Inventory (Ref only)'!G586*'Lighting Inventory (Ref only)'!K586/1000)</f>
        <v/>
      </c>
      <c r="T575" s="298" t="str">
        <f>IF(B575="", "", IF('Lighting Inventory (Ref only)'!I586="", "Light Switch",Inventory!H583))</f>
        <v/>
      </c>
      <c r="X575" s="298" t="str">
        <f>IF(B575="", "", 'Lighting Inventory (Ref only)'!Q586)</f>
        <v/>
      </c>
      <c r="AA575" s="298" t="str">
        <f>IF(B575="", "",'Lighting Inventory (Ref only)'!R586/1000)</f>
        <v/>
      </c>
      <c r="AB575" s="298" t="str">
        <f>IF(B575="", "", Inventory!M583)</f>
        <v/>
      </c>
      <c r="AC575" s="298" t="str">
        <f>IF(B575="", "", 'Lighting Inventory (Ref only)'!T586)</f>
        <v/>
      </c>
      <c r="AD575" s="298" t="str">
        <f>IF(C575="", "", 'Lighting Inventory (Ref only)'!AA586)</f>
        <v/>
      </c>
      <c r="AE575" s="298" t="str">
        <f>IF(B575="", "", 'Lighting Inventory (Ref only)'!U586)</f>
        <v/>
      </c>
      <c r="AF575" s="298" t="str">
        <f>IF(B575="", "",'Lighting Inventory (Ref only)'!W586)</f>
        <v/>
      </c>
      <c r="AH575" s="298" t="str">
        <f>IF(B575="", "",'Lighting Inventory (Ref only)'!Z586)</f>
        <v/>
      </c>
      <c r="AI575" s="298" t="str">
        <f>IF(B575="", "", 'Lighting Inventory (Ref only)'!Y586)</f>
        <v/>
      </c>
      <c r="AJ575" s="298" t="str">
        <f>IF(C575="", "",'Lighting Inventory (Ref only)'!AB586)</f>
        <v/>
      </c>
      <c r="AK575" s="375" t="str">
        <f>IF(B575="", "", 'Lighting Inventory (Ref only)'!AG586)</f>
        <v/>
      </c>
      <c r="AL575" s="375" t="str">
        <f>IF(B575="", "", 'Lighting Inventory (Ref only)'!AD586)</f>
        <v/>
      </c>
      <c r="AM575" s="375" t="str">
        <f>IF(B575="", "", 'Lighting Inventory (Ref only)'!AE586)</f>
        <v/>
      </c>
      <c r="AN575" s="375" t="str">
        <f>IF(B575="", "", 'Lighting Inventory (Ref only)'!AF586)</f>
        <v/>
      </c>
      <c r="AO575" s="375" t="str">
        <f>IF(B575="", "", 'Lighting Inventory (Ref only)'!AG586)</f>
        <v/>
      </c>
    </row>
    <row r="576" spans="1:41">
      <c r="A576" s="298" t="str">
        <f>IF(G576="", "", Lookups!BF578)</f>
        <v/>
      </c>
      <c r="B576" s="298" t="str">
        <f>IF('Lighting Inventory (Ref only)'!Q587="", "", 'Lighting Inventory (Ref only)'!Q587)</f>
        <v/>
      </c>
      <c r="C576" s="298" t="str">
        <f>IF(A576="", "", 'Lighting Inventory (Ref only)'!AO587)</f>
        <v/>
      </c>
      <c r="D576" s="298" t="str">
        <f>IF(B576= "","", Inventory!S584)</f>
        <v/>
      </c>
      <c r="F576" s="298" t="str">
        <f>IF(B576="", "", 'Version Log'!$B$34)</f>
        <v/>
      </c>
      <c r="G576" s="298" t="str">
        <f t="shared" si="36"/>
        <v/>
      </c>
      <c r="H576" s="298" t="str">
        <f t="shared" si="37"/>
        <v/>
      </c>
      <c r="I576" s="298" t="str">
        <f>IF(B576="", "",Inventory!D584)</f>
        <v/>
      </c>
      <c r="J576" s="298" t="str">
        <f>IF(B576="","",IF(Inventory!C584="N","Interior","Exterior"))</f>
        <v/>
      </c>
      <c r="K576" s="298" t="str">
        <f t="shared" si="38"/>
        <v/>
      </c>
      <c r="L576" s="298" t="str">
        <f>IF(B576="", "", Inventory!E584)</f>
        <v/>
      </c>
      <c r="M576" s="298" t="str">
        <f>IF(B576="","",IF(Cool_Type=Lookups!$L$9,Cool_Type,IF(Cool_Type=Lookups!$L$10,Cool_Type,IF(Cool_Type=Lookups!$L$11,Cool_Type,IF(Cool_Type=Lookups!L586,Cool_Type,IF('Project Info and Summary'!$C$20="Electric",CONCATENATE(Cool_Type," ",Heating_Type," Heat"),IF('Project Info and Summary'!$C$20="Non-Electric",CONCATENATE(Cool_Type," ",Heating_Type," Heat"),CONCATENATE(Cool_Type," ",Heating_Type))))))))</f>
        <v/>
      </c>
      <c r="N576" s="298" t="str">
        <f t="shared" si="39"/>
        <v/>
      </c>
      <c r="O576" s="298" t="str">
        <f>IF(B576="", "", 'Lighting Inventory (Ref only)'!G587)</f>
        <v/>
      </c>
      <c r="P576" s="298" t="str">
        <f>IF(B576="", "", 'Lighting Inventory (Ref only)'!E587)</f>
        <v/>
      </c>
      <c r="Q576" s="298" t="str">
        <f>IF(B576="", "", 'Lighting Inventory (Ref only)'!J587)</f>
        <v/>
      </c>
      <c r="R576" s="298" t="str">
        <f>IF(B576="", "",'Lighting Inventory (Ref only)'!K587)</f>
        <v/>
      </c>
      <c r="S576" s="372" t="str">
        <f>IF(B576="", "", 'Lighting Inventory (Ref only)'!G587*'Lighting Inventory (Ref only)'!K587/1000)</f>
        <v/>
      </c>
      <c r="T576" s="298" t="str">
        <f>IF(B576="", "", IF('Lighting Inventory (Ref only)'!I587="", "Light Switch",Inventory!H584))</f>
        <v/>
      </c>
      <c r="X576" s="298" t="str">
        <f>IF(B576="", "", 'Lighting Inventory (Ref only)'!Q587)</f>
        <v/>
      </c>
      <c r="AA576" s="298" t="str">
        <f>IF(B576="", "",'Lighting Inventory (Ref only)'!R587/1000)</f>
        <v/>
      </c>
      <c r="AB576" s="298" t="str">
        <f>IF(B576="", "", Inventory!M584)</f>
        <v/>
      </c>
      <c r="AC576" s="298" t="str">
        <f>IF(B576="", "", 'Lighting Inventory (Ref only)'!T587)</f>
        <v/>
      </c>
      <c r="AD576" s="298" t="str">
        <f>IF(C576="", "", 'Lighting Inventory (Ref only)'!AA587)</f>
        <v/>
      </c>
      <c r="AE576" s="298" t="str">
        <f>IF(B576="", "", 'Lighting Inventory (Ref only)'!U587)</f>
        <v/>
      </c>
      <c r="AF576" s="298" t="str">
        <f>IF(B576="", "",'Lighting Inventory (Ref only)'!W587)</f>
        <v/>
      </c>
      <c r="AH576" s="298" t="str">
        <f>IF(B576="", "",'Lighting Inventory (Ref only)'!Z587)</f>
        <v/>
      </c>
      <c r="AI576" s="298" t="str">
        <f>IF(B576="", "", 'Lighting Inventory (Ref only)'!Y587)</f>
        <v/>
      </c>
      <c r="AJ576" s="298" t="str">
        <f>IF(C576="", "",'Lighting Inventory (Ref only)'!AB587)</f>
        <v/>
      </c>
      <c r="AK576" s="375" t="str">
        <f>IF(B576="", "", 'Lighting Inventory (Ref only)'!AG587)</f>
        <v/>
      </c>
      <c r="AL576" s="375" t="str">
        <f>IF(B576="", "", 'Lighting Inventory (Ref only)'!AD587)</f>
        <v/>
      </c>
      <c r="AM576" s="375" t="str">
        <f>IF(B576="", "", 'Lighting Inventory (Ref only)'!AE587)</f>
        <v/>
      </c>
      <c r="AN576" s="375" t="str">
        <f>IF(B576="", "", 'Lighting Inventory (Ref only)'!AF587)</f>
        <v/>
      </c>
      <c r="AO576" s="375" t="str">
        <f>IF(B576="", "", 'Lighting Inventory (Ref only)'!AG587)</f>
        <v/>
      </c>
    </row>
    <row r="577" spans="1:41">
      <c r="A577" s="298" t="str">
        <f>IF(G577="", "", Lookups!BF579)</f>
        <v/>
      </c>
      <c r="B577" s="298" t="str">
        <f>IF('Lighting Inventory (Ref only)'!Q588="", "", 'Lighting Inventory (Ref only)'!Q588)</f>
        <v/>
      </c>
      <c r="C577" s="298" t="str">
        <f>IF(A577="", "", 'Lighting Inventory (Ref only)'!AO588)</f>
        <v/>
      </c>
      <c r="D577" s="298" t="str">
        <f>IF(B577= "","", Inventory!S585)</f>
        <v/>
      </c>
      <c r="F577" s="298" t="str">
        <f>IF(B577="", "", 'Version Log'!$B$34)</f>
        <v/>
      </c>
      <c r="G577" s="298" t="str">
        <f t="shared" si="36"/>
        <v/>
      </c>
      <c r="H577" s="298" t="str">
        <f t="shared" si="37"/>
        <v/>
      </c>
      <c r="I577" s="298" t="str">
        <f>IF(B577="", "",Inventory!D585)</f>
        <v/>
      </c>
      <c r="J577" s="298" t="str">
        <f>IF(B577="","",IF(Inventory!C585="N","Interior","Exterior"))</f>
        <v/>
      </c>
      <c r="K577" s="298" t="str">
        <f t="shared" si="38"/>
        <v/>
      </c>
      <c r="L577" s="298" t="str">
        <f>IF(B577="", "", Inventory!E585)</f>
        <v/>
      </c>
      <c r="M577" s="298" t="str">
        <f>IF(B577="","",IF(Cool_Type=Lookups!$L$9,Cool_Type,IF(Cool_Type=Lookups!$L$10,Cool_Type,IF(Cool_Type=Lookups!$L$11,Cool_Type,IF(Cool_Type=Lookups!L587,Cool_Type,IF('Project Info and Summary'!$C$20="Electric",CONCATENATE(Cool_Type," ",Heating_Type," Heat"),IF('Project Info and Summary'!$C$20="Non-Electric",CONCATENATE(Cool_Type," ",Heating_Type," Heat"),CONCATENATE(Cool_Type," ",Heating_Type))))))))</f>
        <v/>
      </c>
      <c r="N577" s="298" t="str">
        <f t="shared" si="39"/>
        <v/>
      </c>
      <c r="O577" s="298" t="str">
        <f>IF(B577="", "", 'Lighting Inventory (Ref only)'!G588)</f>
        <v/>
      </c>
      <c r="P577" s="298" t="str">
        <f>IF(B577="", "", 'Lighting Inventory (Ref only)'!E588)</f>
        <v/>
      </c>
      <c r="Q577" s="298" t="str">
        <f>IF(B577="", "", 'Lighting Inventory (Ref only)'!J588)</f>
        <v/>
      </c>
      <c r="R577" s="298" t="str">
        <f>IF(B577="", "",'Lighting Inventory (Ref only)'!K588)</f>
        <v/>
      </c>
      <c r="S577" s="372" t="str">
        <f>IF(B577="", "", 'Lighting Inventory (Ref only)'!G588*'Lighting Inventory (Ref only)'!K588/1000)</f>
        <v/>
      </c>
      <c r="T577" s="298" t="str">
        <f>IF(B577="", "", IF('Lighting Inventory (Ref only)'!I588="", "Light Switch",Inventory!H585))</f>
        <v/>
      </c>
      <c r="X577" s="298" t="str">
        <f>IF(B577="", "", 'Lighting Inventory (Ref only)'!Q588)</f>
        <v/>
      </c>
      <c r="AA577" s="298" t="str">
        <f>IF(B577="", "",'Lighting Inventory (Ref only)'!R588/1000)</f>
        <v/>
      </c>
      <c r="AB577" s="298" t="str">
        <f>IF(B577="", "", Inventory!M585)</f>
        <v/>
      </c>
      <c r="AC577" s="298" t="str">
        <f>IF(B577="", "", 'Lighting Inventory (Ref only)'!T588)</f>
        <v/>
      </c>
      <c r="AD577" s="298" t="str">
        <f>IF(C577="", "", 'Lighting Inventory (Ref only)'!AA588)</f>
        <v/>
      </c>
      <c r="AE577" s="298" t="str">
        <f>IF(B577="", "", 'Lighting Inventory (Ref only)'!U588)</f>
        <v/>
      </c>
      <c r="AF577" s="298" t="str">
        <f>IF(B577="", "",'Lighting Inventory (Ref only)'!W588)</f>
        <v/>
      </c>
      <c r="AH577" s="298" t="str">
        <f>IF(B577="", "",'Lighting Inventory (Ref only)'!Z588)</f>
        <v/>
      </c>
      <c r="AI577" s="298" t="str">
        <f>IF(B577="", "", 'Lighting Inventory (Ref only)'!Y588)</f>
        <v/>
      </c>
      <c r="AJ577" s="298" t="str">
        <f>IF(C577="", "",'Lighting Inventory (Ref only)'!AB588)</f>
        <v/>
      </c>
      <c r="AK577" s="375" t="str">
        <f>IF(B577="", "", 'Lighting Inventory (Ref only)'!AG588)</f>
        <v/>
      </c>
      <c r="AL577" s="375" t="str">
        <f>IF(B577="", "", 'Lighting Inventory (Ref only)'!AD588)</f>
        <v/>
      </c>
      <c r="AM577" s="375" t="str">
        <f>IF(B577="", "", 'Lighting Inventory (Ref only)'!AE588)</f>
        <v/>
      </c>
      <c r="AN577" s="375" t="str">
        <f>IF(B577="", "", 'Lighting Inventory (Ref only)'!AF588)</f>
        <v/>
      </c>
      <c r="AO577" s="375" t="str">
        <f>IF(B577="", "", 'Lighting Inventory (Ref only)'!AG588)</f>
        <v/>
      </c>
    </row>
    <row r="578" spans="1:41">
      <c r="A578" s="298" t="str">
        <f>IF(G578="", "", Lookups!BF580)</f>
        <v/>
      </c>
      <c r="B578" s="298" t="str">
        <f>IF('Lighting Inventory (Ref only)'!Q589="", "", 'Lighting Inventory (Ref only)'!Q589)</f>
        <v/>
      </c>
      <c r="C578" s="298" t="str">
        <f>IF(A578="", "", 'Lighting Inventory (Ref only)'!AO589)</f>
        <v/>
      </c>
      <c r="D578" s="298" t="str">
        <f>IF(B578= "","", Inventory!S586)</f>
        <v/>
      </c>
      <c r="F578" s="298" t="str">
        <f>IF(B578="", "", 'Version Log'!$B$34)</f>
        <v/>
      </c>
      <c r="G578" s="298" t="str">
        <f t="shared" si="36"/>
        <v/>
      </c>
      <c r="H578" s="298" t="str">
        <f t="shared" si="37"/>
        <v/>
      </c>
      <c r="I578" s="298" t="str">
        <f>IF(B578="", "",Inventory!D586)</f>
        <v/>
      </c>
      <c r="J578" s="298" t="str">
        <f>IF(B578="","",IF(Inventory!C586="N","Interior","Exterior"))</f>
        <v/>
      </c>
      <c r="K578" s="298" t="str">
        <f t="shared" si="38"/>
        <v/>
      </c>
      <c r="L578" s="298" t="str">
        <f>IF(B578="", "", Inventory!E586)</f>
        <v/>
      </c>
      <c r="M578" s="298" t="str">
        <f>IF(B578="","",IF(Cool_Type=Lookups!$L$9,Cool_Type,IF(Cool_Type=Lookups!$L$10,Cool_Type,IF(Cool_Type=Lookups!$L$11,Cool_Type,IF(Cool_Type=Lookups!L588,Cool_Type,IF('Project Info and Summary'!$C$20="Electric",CONCATENATE(Cool_Type," ",Heating_Type," Heat"),IF('Project Info and Summary'!$C$20="Non-Electric",CONCATENATE(Cool_Type," ",Heating_Type," Heat"),CONCATENATE(Cool_Type," ",Heating_Type))))))))</f>
        <v/>
      </c>
      <c r="N578" s="298" t="str">
        <f t="shared" si="39"/>
        <v/>
      </c>
      <c r="O578" s="298" t="str">
        <f>IF(B578="", "", 'Lighting Inventory (Ref only)'!G589)</f>
        <v/>
      </c>
      <c r="P578" s="298" t="str">
        <f>IF(B578="", "", 'Lighting Inventory (Ref only)'!E589)</f>
        <v/>
      </c>
      <c r="Q578" s="298" t="str">
        <f>IF(B578="", "", 'Lighting Inventory (Ref only)'!J589)</f>
        <v/>
      </c>
      <c r="R578" s="298" t="str">
        <f>IF(B578="", "",'Lighting Inventory (Ref only)'!K589)</f>
        <v/>
      </c>
      <c r="S578" s="372" t="str">
        <f>IF(B578="", "", 'Lighting Inventory (Ref only)'!G589*'Lighting Inventory (Ref only)'!K589/1000)</f>
        <v/>
      </c>
      <c r="T578" s="298" t="str">
        <f>IF(B578="", "", IF('Lighting Inventory (Ref only)'!I589="", "Light Switch",Inventory!H586))</f>
        <v/>
      </c>
      <c r="X578" s="298" t="str">
        <f>IF(B578="", "", 'Lighting Inventory (Ref only)'!Q589)</f>
        <v/>
      </c>
      <c r="AA578" s="298" t="str">
        <f>IF(B578="", "",'Lighting Inventory (Ref only)'!R589/1000)</f>
        <v/>
      </c>
      <c r="AB578" s="298" t="str">
        <f>IF(B578="", "", Inventory!M586)</f>
        <v/>
      </c>
      <c r="AC578" s="298" t="str">
        <f>IF(B578="", "", 'Lighting Inventory (Ref only)'!T589)</f>
        <v/>
      </c>
      <c r="AD578" s="298" t="str">
        <f>IF(C578="", "", 'Lighting Inventory (Ref only)'!AA589)</f>
        <v/>
      </c>
      <c r="AE578" s="298" t="str">
        <f>IF(B578="", "", 'Lighting Inventory (Ref only)'!U589)</f>
        <v/>
      </c>
      <c r="AF578" s="298" t="str">
        <f>IF(B578="", "",'Lighting Inventory (Ref only)'!W589)</f>
        <v/>
      </c>
      <c r="AH578" s="298" t="str">
        <f>IF(B578="", "",'Lighting Inventory (Ref only)'!Z589)</f>
        <v/>
      </c>
      <c r="AI578" s="298" t="str">
        <f>IF(B578="", "", 'Lighting Inventory (Ref only)'!Y589)</f>
        <v/>
      </c>
      <c r="AJ578" s="298" t="str">
        <f>IF(C578="", "",'Lighting Inventory (Ref only)'!AB589)</f>
        <v/>
      </c>
      <c r="AK578" s="375" t="str">
        <f>IF(B578="", "", 'Lighting Inventory (Ref only)'!AG589)</f>
        <v/>
      </c>
      <c r="AL578" s="375" t="str">
        <f>IF(B578="", "", 'Lighting Inventory (Ref only)'!AD589)</f>
        <v/>
      </c>
      <c r="AM578" s="375" t="str">
        <f>IF(B578="", "", 'Lighting Inventory (Ref only)'!AE589)</f>
        <v/>
      </c>
      <c r="AN578" s="375" t="str">
        <f>IF(B578="", "", 'Lighting Inventory (Ref only)'!AF589)</f>
        <v/>
      </c>
      <c r="AO578" s="375" t="str">
        <f>IF(B578="", "", 'Lighting Inventory (Ref only)'!AG589)</f>
        <v/>
      </c>
    </row>
    <row r="579" spans="1:41">
      <c r="A579" s="298" t="str">
        <f>IF(G579="", "", Lookups!BF581)</f>
        <v/>
      </c>
      <c r="B579" s="298" t="str">
        <f>IF('Lighting Inventory (Ref only)'!Q590="", "", 'Lighting Inventory (Ref only)'!Q590)</f>
        <v/>
      </c>
      <c r="C579" s="298" t="str">
        <f>IF(A579="", "", 'Lighting Inventory (Ref only)'!AO590)</f>
        <v/>
      </c>
      <c r="D579" s="298" t="str">
        <f>IF(B579= "","", Inventory!S587)</f>
        <v/>
      </c>
      <c r="F579" s="298" t="str">
        <f>IF(B579="", "", 'Version Log'!$B$34)</f>
        <v/>
      </c>
      <c r="G579" s="298" t="str">
        <f t="shared" si="36"/>
        <v/>
      </c>
      <c r="H579" s="298" t="str">
        <f t="shared" si="37"/>
        <v/>
      </c>
      <c r="I579" s="298" t="str">
        <f>IF(B579="", "",Inventory!D587)</f>
        <v/>
      </c>
      <c r="J579" s="298" t="str">
        <f>IF(B579="","",IF(Inventory!C587="N","Interior","Exterior"))</f>
        <v/>
      </c>
      <c r="K579" s="298" t="str">
        <f t="shared" si="38"/>
        <v/>
      </c>
      <c r="L579" s="298" t="str">
        <f>IF(B579="", "", Inventory!E587)</f>
        <v/>
      </c>
      <c r="M579" s="298" t="str">
        <f>IF(B579="","",IF(Cool_Type=Lookups!$L$9,Cool_Type,IF(Cool_Type=Lookups!$L$10,Cool_Type,IF(Cool_Type=Lookups!$L$11,Cool_Type,IF(Cool_Type=Lookups!L589,Cool_Type,IF('Project Info and Summary'!$C$20="Electric",CONCATENATE(Cool_Type," ",Heating_Type," Heat"),IF('Project Info and Summary'!$C$20="Non-Electric",CONCATENATE(Cool_Type," ",Heating_Type," Heat"),CONCATENATE(Cool_Type," ",Heating_Type))))))))</f>
        <v/>
      </c>
      <c r="N579" s="298" t="str">
        <f t="shared" si="39"/>
        <v/>
      </c>
      <c r="O579" s="298" t="str">
        <f>IF(B579="", "", 'Lighting Inventory (Ref only)'!G590)</f>
        <v/>
      </c>
      <c r="P579" s="298" t="str">
        <f>IF(B579="", "", 'Lighting Inventory (Ref only)'!E590)</f>
        <v/>
      </c>
      <c r="Q579" s="298" t="str">
        <f>IF(B579="", "", 'Lighting Inventory (Ref only)'!J590)</f>
        <v/>
      </c>
      <c r="R579" s="298" t="str">
        <f>IF(B579="", "",'Lighting Inventory (Ref only)'!K590)</f>
        <v/>
      </c>
      <c r="S579" s="372" t="str">
        <f>IF(B579="", "", 'Lighting Inventory (Ref only)'!G590*'Lighting Inventory (Ref only)'!K590/1000)</f>
        <v/>
      </c>
      <c r="T579" s="298" t="str">
        <f>IF(B579="", "", IF('Lighting Inventory (Ref only)'!I590="", "Light Switch",Inventory!H587))</f>
        <v/>
      </c>
      <c r="X579" s="298" t="str">
        <f>IF(B579="", "", 'Lighting Inventory (Ref only)'!Q590)</f>
        <v/>
      </c>
      <c r="AA579" s="298" t="str">
        <f>IF(B579="", "",'Lighting Inventory (Ref only)'!R590/1000)</f>
        <v/>
      </c>
      <c r="AB579" s="298" t="str">
        <f>IF(B579="", "", Inventory!M587)</f>
        <v/>
      </c>
      <c r="AC579" s="298" t="str">
        <f>IF(B579="", "", 'Lighting Inventory (Ref only)'!T590)</f>
        <v/>
      </c>
      <c r="AD579" s="298" t="str">
        <f>IF(C579="", "", 'Lighting Inventory (Ref only)'!AA590)</f>
        <v/>
      </c>
      <c r="AE579" s="298" t="str">
        <f>IF(B579="", "", 'Lighting Inventory (Ref only)'!U590)</f>
        <v/>
      </c>
      <c r="AF579" s="298" t="str">
        <f>IF(B579="", "",'Lighting Inventory (Ref only)'!W590)</f>
        <v/>
      </c>
      <c r="AH579" s="298" t="str">
        <f>IF(B579="", "",'Lighting Inventory (Ref only)'!Z590)</f>
        <v/>
      </c>
      <c r="AI579" s="298" t="str">
        <f>IF(B579="", "", 'Lighting Inventory (Ref only)'!Y590)</f>
        <v/>
      </c>
      <c r="AJ579" s="298" t="str">
        <f>IF(C579="", "",'Lighting Inventory (Ref only)'!AB590)</f>
        <v/>
      </c>
      <c r="AK579" s="375" t="str">
        <f>IF(B579="", "", 'Lighting Inventory (Ref only)'!AG590)</f>
        <v/>
      </c>
      <c r="AL579" s="375" t="str">
        <f>IF(B579="", "", 'Lighting Inventory (Ref only)'!AD590)</f>
        <v/>
      </c>
      <c r="AM579" s="375" t="str">
        <f>IF(B579="", "", 'Lighting Inventory (Ref only)'!AE590)</f>
        <v/>
      </c>
      <c r="AN579" s="375" t="str">
        <f>IF(B579="", "", 'Lighting Inventory (Ref only)'!AF590)</f>
        <v/>
      </c>
      <c r="AO579" s="375" t="str">
        <f>IF(B579="", "", 'Lighting Inventory (Ref only)'!AG590)</f>
        <v/>
      </c>
    </row>
    <row r="580" spans="1:41">
      <c r="A580" s="298" t="str">
        <f>IF(G580="", "", Lookups!BF582)</f>
        <v/>
      </c>
      <c r="B580" s="298" t="str">
        <f>IF('Lighting Inventory (Ref only)'!Q591="", "", 'Lighting Inventory (Ref only)'!Q591)</f>
        <v/>
      </c>
      <c r="C580" s="298" t="str">
        <f>IF(A580="", "", 'Lighting Inventory (Ref only)'!AO591)</f>
        <v/>
      </c>
      <c r="D580" s="298" t="str">
        <f>IF(B580= "","", Inventory!S588)</f>
        <v/>
      </c>
      <c r="F580" s="298" t="str">
        <f>IF(B580="", "", 'Version Log'!$B$34)</f>
        <v/>
      </c>
      <c r="G580" s="298" t="str">
        <f t="shared" si="36"/>
        <v/>
      </c>
      <c r="H580" s="298" t="str">
        <f t="shared" si="37"/>
        <v/>
      </c>
      <c r="I580" s="298" t="str">
        <f>IF(B580="", "",Inventory!D588)</f>
        <v/>
      </c>
      <c r="J580" s="298" t="str">
        <f>IF(B580="","",IF(Inventory!C588="N","Interior","Exterior"))</f>
        <v/>
      </c>
      <c r="K580" s="298" t="str">
        <f t="shared" si="38"/>
        <v/>
      </c>
      <c r="L580" s="298" t="str">
        <f>IF(B580="", "", Inventory!E588)</f>
        <v/>
      </c>
      <c r="M580" s="298" t="str">
        <f>IF(B580="","",IF(Cool_Type=Lookups!$L$9,Cool_Type,IF(Cool_Type=Lookups!$L$10,Cool_Type,IF(Cool_Type=Lookups!$L$11,Cool_Type,IF(Cool_Type=Lookups!L590,Cool_Type,IF('Project Info and Summary'!$C$20="Electric",CONCATENATE(Cool_Type," ",Heating_Type," Heat"),IF('Project Info and Summary'!$C$20="Non-Electric",CONCATENATE(Cool_Type," ",Heating_Type," Heat"),CONCATENATE(Cool_Type," ",Heating_Type))))))))</f>
        <v/>
      </c>
      <c r="N580" s="298" t="str">
        <f t="shared" si="39"/>
        <v/>
      </c>
      <c r="O580" s="298" t="str">
        <f>IF(B580="", "", 'Lighting Inventory (Ref only)'!G591)</f>
        <v/>
      </c>
      <c r="P580" s="298" t="str">
        <f>IF(B580="", "", 'Lighting Inventory (Ref only)'!E591)</f>
        <v/>
      </c>
      <c r="Q580" s="298" t="str">
        <f>IF(B580="", "", 'Lighting Inventory (Ref only)'!J591)</f>
        <v/>
      </c>
      <c r="R580" s="298" t="str">
        <f>IF(B580="", "",'Lighting Inventory (Ref only)'!K591)</f>
        <v/>
      </c>
      <c r="S580" s="372" t="str">
        <f>IF(B580="", "", 'Lighting Inventory (Ref only)'!G591*'Lighting Inventory (Ref only)'!K591/1000)</f>
        <v/>
      </c>
      <c r="T580" s="298" t="str">
        <f>IF(B580="", "", IF('Lighting Inventory (Ref only)'!I591="", "Light Switch",Inventory!H588))</f>
        <v/>
      </c>
      <c r="X580" s="298" t="str">
        <f>IF(B580="", "", 'Lighting Inventory (Ref only)'!Q591)</f>
        <v/>
      </c>
      <c r="AA580" s="298" t="str">
        <f>IF(B580="", "",'Lighting Inventory (Ref only)'!R591/1000)</f>
        <v/>
      </c>
      <c r="AB580" s="298" t="str">
        <f>IF(B580="", "", Inventory!M588)</f>
        <v/>
      </c>
      <c r="AC580" s="298" t="str">
        <f>IF(B580="", "", 'Lighting Inventory (Ref only)'!T591)</f>
        <v/>
      </c>
      <c r="AD580" s="298" t="str">
        <f>IF(C580="", "", 'Lighting Inventory (Ref only)'!AA591)</f>
        <v/>
      </c>
      <c r="AE580" s="298" t="str">
        <f>IF(B580="", "", 'Lighting Inventory (Ref only)'!U591)</f>
        <v/>
      </c>
      <c r="AF580" s="298" t="str">
        <f>IF(B580="", "",'Lighting Inventory (Ref only)'!W591)</f>
        <v/>
      </c>
      <c r="AH580" s="298" t="str">
        <f>IF(B580="", "",'Lighting Inventory (Ref only)'!Z591)</f>
        <v/>
      </c>
      <c r="AI580" s="298" t="str">
        <f>IF(B580="", "", 'Lighting Inventory (Ref only)'!Y591)</f>
        <v/>
      </c>
      <c r="AJ580" s="298" t="str">
        <f>IF(C580="", "",'Lighting Inventory (Ref only)'!AB591)</f>
        <v/>
      </c>
      <c r="AK580" s="375" t="str">
        <f>IF(B580="", "", 'Lighting Inventory (Ref only)'!AG591)</f>
        <v/>
      </c>
      <c r="AL580" s="375" t="str">
        <f>IF(B580="", "", 'Lighting Inventory (Ref only)'!AD591)</f>
        <v/>
      </c>
      <c r="AM580" s="375" t="str">
        <f>IF(B580="", "", 'Lighting Inventory (Ref only)'!AE591)</f>
        <v/>
      </c>
      <c r="AN580" s="375" t="str">
        <f>IF(B580="", "", 'Lighting Inventory (Ref only)'!AF591)</f>
        <v/>
      </c>
      <c r="AO580" s="375" t="str">
        <f>IF(B580="", "", 'Lighting Inventory (Ref only)'!AG591)</f>
        <v/>
      </c>
    </row>
    <row r="581" spans="1:41">
      <c r="A581" s="298" t="str">
        <f>IF(G581="", "", Lookups!BF583)</f>
        <v/>
      </c>
      <c r="B581" s="298" t="str">
        <f>IF('Lighting Inventory (Ref only)'!Q592="", "", 'Lighting Inventory (Ref only)'!Q592)</f>
        <v/>
      </c>
      <c r="C581" s="298" t="str">
        <f>IF(A581="", "", 'Lighting Inventory (Ref only)'!AO592)</f>
        <v/>
      </c>
      <c r="D581" s="298" t="str">
        <f>IF(B581= "","", Inventory!S589)</f>
        <v/>
      </c>
      <c r="F581" s="298" t="str">
        <f>IF(B581="", "", 'Version Log'!$B$34)</f>
        <v/>
      </c>
      <c r="G581" s="298" t="str">
        <f t="shared" si="36"/>
        <v/>
      </c>
      <c r="H581" s="298" t="str">
        <f t="shared" si="37"/>
        <v/>
      </c>
      <c r="I581" s="298" t="str">
        <f>IF(B581="", "",Inventory!D589)</f>
        <v/>
      </c>
      <c r="J581" s="298" t="str">
        <f>IF(B581="","",IF(Inventory!C589="N","Interior","Exterior"))</f>
        <v/>
      </c>
      <c r="K581" s="298" t="str">
        <f t="shared" si="38"/>
        <v/>
      </c>
      <c r="L581" s="298" t="str">
        <f>IF(B581="", "", Inventory!E589)</f>
        <v/>
      </c>
      <c r="M581" s="298" t="str">
        <f>IF(B581="","",IF(Cool_Type=Lookups!$L$9,Cool_Type,IF(Cool_Type=Lookups!$L$10,Cool_Type,IF(Cool_Type=Lookups!$L$11,Cool_Type,IF(Cool_Type=Lookups!L591,Cool_Type,IF('Project Info and Summary'!$C$20="Electric",CONCATENATE(Cool_Type," ",Heating_Type," Heat"),IF('Project Info and Summary'!$C$20="Non-Electric",CONCATENATE(Cool_Type," ",Heating_Type," Heat"),CONCATENATE(Cool_Type," ",Heating_Type))))))))</f>
        <v/>
      </c>
      <c r="N581" s="298" t="str">
        <f t="shared" si="39"/>
        <v/>
      </c>
      <c r="O581" s="298" t="str">
        <f>IF(B581="", "", 'Lighting Inventory (Ref only)'!G592)</f>
        <v/>
      </c>
      <c r="P581" s="298" t="str">
        <f>IF(B581="", "", 'Lighting Inventory (Ref only)'!E592)</f>
        <v/>
      </c>
      <c r="Q581" s="298" t="str">
        <f>IF(B581="", "", 'Lighting Inventory (Ref only)'!J592)</f>
        <v/>
      </c>
      <c r="R581" s="298" t="str">
        <f>IF(B581="", "",'Lighting Inventory (Ref only)'!K592)</f>
        <v/>
      </c>
      <c r="S581" s="372" t="str">
        <f>IF(B581="", "", 'Lighting Inventory (Ref only)'!G592*'Lighting Inventory (Ref only)'!K592/1000)</f>
        <v/>
      </c>
      <c r="T581" s="298" t="str">
        <f>IF(B581="", "", IF('Lighting Inventory (Ref only)'!I592="", "Light Switch",Inventory!H589))</f>
        <v/>
      </c>
      <c r="X581" s="298" t="str">
        <f>IF(B581="", "", 'Lighting Inventory (Ref only)'!Q592)</f>
        <v/>
      </c>
      <c r="AA581" s="298" t="str">
        <f>IF(B581="", "",'Lighting Inventory (Ref only)'!R592/1000)</f>
        <v/>
      </c>
      <c r="AB581" s="298" t="str">
        <f>IF(B581="", "", Inventory!M589)</f>
        <v/>
      </c>
      <c r="AC581" s="298" t="str">
        <f>IF(B581="", "", 'Lighting Inventory (Ref only)'!T592)</f>
        <v/>
      </c>
      <c r="AD581" s="298" t="str">
        <f>IF(C581="", "", 'Lighting Inventory (Ref only)'!AA592)</f>
        <v/>
      </c>
      <c r="AE581" s="298" t="str">
        <f>IF(B581="", "", 'Lighting Inventory (Ref only)'!U592)</f>
        <v/>
      </c>
      <c r="AF581" s="298" t="str">
        <f>IF(B581="", "",'Lighting Inventory (Ref only)'!W592)</f>
        <v/>
      </c>
      <c r="AH581" s="298" t="str">
        <f>IF(B581="", "",'Lighting Inventory (Ref only)'!Z592)</f>
        <v/>
      </c>
      <c r="AI581" s="298" t="str">
        <f>IF(B581="", "", 'Lighting Inventory (Ref only)'!Y592)</f>
        <v/>
      </c>
      <c r="AJ581" s="298" t="str">
        <f>IF(C581="", "",'Lighting Inventory (Ref only)'!AB592)</f>
        <v/>
      </c>
      <c r="AK581" s="375" t="str">
        <f>IF(B581="", "", 'Lighting Inventory (Ref only)'!AG592)</f>
        <v/>
      </c>
      <c r="AL581" s="375" t="str">
        <f>IF(B581="", "", 'Lighting Inventory (Ref only)'!AD592)</f>
        <v/>
      </c>
      <c r="AM581" s="375" t="str">
        <f>IF(B581="", "", 'Lighting Inventory (Ref only)'!AE592)</f>
        <v/>
      </c>
      <c r="AN581" s="375" t="str">
        <f>IF(B581="", "", 'Lighting Inventory (Ref only)'!AF592)</f>
        <v/>
      </c>
      <c r="AO581" s="375" t="str">
        <f>IF(B581="", "", 'Lighting Inventory (Ref only)'!AG592)</f>
        <v/>
      </c>
    </row>
    <row r="582" spans="1:41">
      <c r="A582" s="298" t="str">
        <f>IF(G582="", "", Lookups!BF584)</f>
        <v/>
      </c>
      <c r="B582" s="298" t="str">
        <f>IF('Lighting Inventory (Ref only)'!Q593="", "", 'Lighting Inventory (Ref only)'!Q593)</f>
        <v/>
      </c>
      <c r="C582" s="298" t="str">
        <f>IF(A582="", "", 'Lighting Inventory (Ref only)'!AO593)</f>
        <v/>
      </c>
      <c r="D582" s="298" t="str">
        <f>IF(B582= "","", Inventory!S590)</f>
        <v/>
      </c>
      <c r="F582" s="298" t="str">
        <f>IF(B582="", "", 'Version Log'!$B$34)</f>
        <v/>
      </c>
      <c r="G582" s="298" t="str">
        <f t="shared" si="36"/>
        <v/>
      </c>
      <c r="H582" s="298" t="str">
        <f t="shared" si="37"/>
        <v/>
      </c>
      <c r="I582" s="298" t="str">
        <f>IF(B582="", "",Inventory!D590)</f>
        <v/>
      </c>
      <c r="J582" s="298" t="str">
        <f>IF(B582="","",IF(Inventory!C590="N","Interior","Exterior"))</f>
        <v/>
      </c>
      <c r="K582" s="298" t="str">
        <f t="shared" si="38"/>
        <v/>
      </c>
      <c r="L582" s="298" t="str">
        <f>IF(B582="", "", Inventory!E590)</f>
        <v/>
      </c>
      <c r="M582" s="298" t="str">
        <f>IF(B582="","",IF(Cool_Type=Lookups!$L$9,Cool_Type,IF(Cool_Type=Lookups!$L$10,Cool_Type,IF(Cool_Type=Lookups!$L$11,Cool_Type,IF(Cool_Type=Lookups!L592,Cool_Type,IF('Project Info and Summary'!$C$20="Electric",CONCATENATE(Cool_Type," ",Heating_Type," Heat"),IF('Project Info and Summary'!$C$20="Non-Electric",CONCATENATE(Cool_Type," ",Heating_Type," Heat"),CONCATENATE(Cool_Type," ",Heating_Type))))))))</f>
        <v/>
      </c>
      <c r="N582" s="298" t="str">
        <f t="shared" si="39"/>
        <v/>
      </c>
      <c r="O582" s="298" t="str">
        <f>IF(B582="", "", 'Lighting Inventory (Ref only)'!G593)</f>
        <v/>
      </c>
      <c r="P582" s="298" t="str">
        <f>IF(B582="", "", 'Lighting Inventory (Ref only)'!E593)</f>
        <v/>
      </c>
      <c r="Q582" s="298" t="str">
        <f>IF(B582="", "", 'Lighting Inventory (Ref only)'!J593)</f>
        <v/>
      </c>
      <c r="R582" s="298" t="str">
        <f>IF(B582="", "",'Lighting Inventory (Ref only)'!K593)</f>
        <v/>
      </c>
      <c r="S582" s="372" t="str">
        <f>IF(B582="", "", 'Lighting Inventory (Ref only)'!G593*'Lighting Inventory (Ref only)'!K593/1000)</f>
        <v/>
      </c>
      <c r="T582" s="298" t="str">
        <f>IF(B582="", "", IF('Lighting Inventory (Ref only)'!I593="", "Light Switch",Inventory!H590))</f>
        <v/>
      </c>
      <c r="X582" s="298" t="str">
        <f>IF(B582="", "", 'Lighting Inventory (Ref only)'!Q593)</f>
        <v/>
      </c>
      <c r="AA582" s="298" t="str">
        <f>IF(B582="", "",'Lighting Inventory (Ref only)'!R593/1000)</f>
        <v/>
      </c>
      <c r="AB582" s="298" t="str">
        <f>IF(B582="", "", Inventory!M590)</f>
        <v/>
      </c>
      <c r="AC582" s="298" t="str">
        <f>IF(B582="", "", 'Lighting Inventory (Ref only)'!T593)</f>
        <v/>
      </c>
      <c r="AD582" s="298" t="str">
        <f>IF(C582="", "", 'Lighting Inventory (Ref only)'!AA593)</f>
        <v/>
      </c>
      <c r="AE582" s="298" t="str">
        <f>IF(B582="", "", 'Lighting Inventory (Ref only)'!U593)</f>
        <v/>
      </c>
      <c r="AF582" s="298" t="str">
        <f>IF(B582="", "",'Lighting Inventory (Ref only)'!W593)</f>
        <v/>
      </c>
      <c r="AH582" s="298" t="str">
        <f>IF(B582="", "",'Lighting Inventory (Ref only)'!Z593)</f>
        <v/>
      </c>
      <c r="AI582" s="298" t="str">
        <f>IF(B582="", "", 'Lighting Inventory (Ref only)'!Y593)</f>
        <v/>
      </c>
      <c r="AJ582" s="298" t="str">
        <f>IF(C582="", "",'Lighting Inventory (Ref only)'!AB593)</f>
        <v/>
      </c>
      <c r="AK582" s="375" t="str">
        <f>IF(B582="", "", 'Lighting Inventory (Ref only)'!AG593)</f>
        <v/>
      </c>
      <c r="AL582" s="375" t="str">
        <f>IF(B582="", "", 'Lighting Inventory (Ref only)'!AD593)</f>
        <v/>
      </c>
      <c r="AM582" s="375" t="str">
        <f>IF(B582="", "", 'Lighting Inventory (Ref only)'!AE593)</f>
        <v/>
      </c>
      <c r="AN582" s="375" t="str">
        <f>IF(B582="", "", 'Lighting Inventory (Ref only)'!AF593)</f>
        <v/>
      </c>
      <c r="AO582" s="375" t="str">
        <f>IF(B582="", "", 'Lighting Inventory (Ref only)'!AG593)</f>
        <v/>
      </c>
    </row>
    <row r="583" spans="1:41">
      <c r="A583" s="298" t="str">
        <f>IF(G583="", "", Lookups!BF585)</f>
        <v/>
      </c>
      <c r="B583" s="298" t="str">
        <f>IF('Lighting Inventory (Ref only)'!Q594="", "", 'Lighting Inventory (Ref only)'!Q594)</f>
        <v/>
      </c>
      <c r="C583" s="298" t="str">
        <f>IF(A583="", "", 'Lighting Inventory (Ref only)'!AO594)</f>
        <v/>
      </c>
      <c r="D583" s="298" t="str">
        <f>IF(B583= "","", Inventory!S591)</f>
        <v/>
      </c>
      <c r="F583" s="298" t="str">
        <f>IF(B583="", "", 'Version Log'!$B$34)</f>
        <v/>
      </c>
      <c r="G583" s="298" t="str">
        <f t="shared" si="36"/>
        <v/>
      </c>
      <c r="H583" s="298" t="str">
        <f t="shared" si="37"/>
        <v/>
      </c>
      <c r="I583" s="298" t="str">
        <f>IF(B583="", "",Inventory!D591)</f>
        <v/>
      </c>
      <c r="J583" s="298" t="str">
        <f>IF(B583="","",IF(Inventory!C591="N","Interior","Exterior"))</f>
        <v/>
      </c>
      <c r="K583" s="298" t="str">
        <f t="shared" si="38"/>
        <v/>
      </c>
      <c r="L583" s="298" t="str">
        <f>IF(B583="", "", Inventory!E591)</f>
        <v/>
      </c>
      <c r="M583" s="298" t="str">
        <f>IF(B583="","",IF(Cool_Type=Lookups!$L$9,Cool_Type,IF(Cool_Type=Lookups!$L$10,Cool_Type,IF(Cool_Type=Lookups!$L$11,Cool_Type,IF(Cool_Type=Lookups!L593,Cool_Type,IF('Project Info and Summary'!$C$20="Electric",CONCATENATE(Cool_Type," ",Heating_Type," Heat"),IF('Project Info and Summary'!$C$20="Non-Electric",CONCATENATE(Cool_Type," ",Heating_Type," Heat"),CONCATENATE(Cool_Type," ",Heating_Type))))))))</f>
        <v/>
      </c>
      <c r="N583" s="298" t="str">
        <f t="shared" si="39"/>
        <v/>
      </c>
      <c r="O583" s="298" t="str">
        <f>IF(B583="", "", 'Lighting Inventory (Ref only)'!G594)</f>
        <v/>
      </c>
      <c r="P583" s="298" t="str">
        <f>IF(B583="", "", 'Lighting Inventory (Ref only)'!E594)</f>
        <v/>
      </c>
      <c r="Q583" s="298" t="str">
        <f>IF(B583="", "", 'Lighting Inventory (Ref only)'!J594)</f>
        <v/>
      </c>
      <c r="R583" s="298" t="str">
        <f>IF(B583="", "",'Lighting Inventory (Ref only)'!K594)</f>
        <v/>
      </c>
      <c r="S583" s="372" t="str">
        <f>IF(B583="", "", 'Lighting Inventory (Ref only)'!G594*'Lighting Inventory (Ref only)'!K594/1000)</f>
        <v/>
      </c>
      <c r="T583" s="298" t="str">
        <f>IF(B583="", "", IF('Lighting Inventory (Ref only)'!I594="", "Light Switch",Inventory!H591))</f>
        <v/>
      </c>
      <c r="X583" s="298" t="str">
        <f>IF(B583="", "", 'Lighting Inventory (Ref only)'!Q594)</f>
        <v/>
      </c>
      <c r="AA583" s="298" t="str">
        <f>IF(B583="", "",'Lighting Inventory (Ref only)'!R594/1000)</f>
        <v/>
      </c>
      <c r="AB583" s="298" t="str">
        <f>IF(B583="", "", Inventory!M591)</f>
        <v/>
      </c>
      <c r="AC583" s="298" t="str">
        <f>IF(B583="", "", 'Lighting Inventory (Ref only)'!T594)</f>
        <v/>
      </c>
      <c r="AD583" s="298" t="str">
        <f>IF(C583="", "", 'Lighting Inventory (Ref only)'!AA594)</f>
        <v/>
      </c>
      <c r="AE583" s="298" t="str">
        <f>IF(B583="", "", 'Lighting Inventory (Ref only)'!U594)</f>
        <v/>
      </c>
      <c r="AF583" s="298" t="str">
        <f>IF(B583="", "",'Lighting Inventory (Ref only)'!W594)</f>
        <v/>
      </c>
      <c r="AH583" s="298" t="str">
        <f>IF(B583="", "",'Lighting Inventory (Ref only)'!Z594)</f>
        <v/>
      </c>
      <c r="AI583" s="298" t="str">
        <f>IF(B583="", "", 'Lighting Inventory (Ref only)'!Y594)</f>
        <v/>
      </c>
      <c r="AJ583" s="298" t="str">
        <f>IF(C583="", "",'Lighting Inventory (Ref only)'!AB594)</f>
        <v/>
      </c>
      <c r="AK583" s="375" t="str">
        <f>IF(B583="", "", 'Lighting Inventory (Ref only)'!AG594)</f>
        <v/>
      </c>
      <c r="AL583" s="375" t="str">
        <f>IF(B583="", "", 'Lighting Inventory (Ref only)'!AD594)</f>
        <v/>
      </c>
      <c r="AM583" s="375" t="str">
        <f>IF(B583="", "", 'Lighting Inventory (Ref only)'!AE594)</f>
        <v/>
      </c>
      <c r="AN583" s="375" t="str">
        <f>IF(B583="", "", 'Lighting Inventory (Ref only)'!AF594)</f>
        <v/>
      </c>
      <c r="AO583" s="375" t="str">
        <f>IF(B583="", "", 'Lighting Inventory (Ref only)'!AG594)</f>
        <v/>
      </c>
    </row>
    <row r="584" spans="1:41">
      <c r="A584" s="298" t="str">
        <f>IF(G584="", "", Lookups!BF586)</f>
        <v/>
      </c>
      <c r="B584" s="298" t="str">
        <f>IF('Lighting Inventory (Ref only)'!Q595="", "", 'Lighting Inventory (Ref only)'!Q595)</f>
        <v/>
      </c>
      <c r="C584" s="298" t="str">
        <f>IF(A584="", "", 'Lighting Inventory (Ref only)'!AO595)</f>
        <v/>
      </c>
      <c r="D584" s="298" t="str">
        <f>IF(B584= "","", Inventory!S592)</f>
        <v/>
      </c>
      <c r="F584" s="298" t="str">
        <f>IF(B584="", "", 'Version Log'!$B$34)</f>
        <v/>
      </c>
      <c r="G584" s="298" t="str">
        <f t="shared" si="36"/>
        <v/>
      </c>
      <c r="H584" s="298" t="str">
        <f t="shared" si="37"/>
        <v/>
      </c>
      <c r="I584" s="298" t="str">
        <f>IF(B584="", "",Inventory!D592)</f>
        <v/>
      </c>
      <c r="J584" s="298" t="str">
        <f>IF(B584="","",IF(Inventory!C592="N","Interior","Exterior"))</f>
        <v/>
      </c>
      <c r="K584" s="298" t="str">
        <f t="shared" si="38"/>
        <v/>
      </c>
      <c r="L584" s="298" t="str">
        <f>IF(B584="", "", Inventory!E592)</f>
        <v/>
      </c>
      <c r="M584" s="298" t="str">
        <f>IF(B584="","",IF(Cool_Type=Lookups!$L$9,Cool_Type,IF(Cool_Type=Lookups!$L$10,Cool_Type,IF(Cool_Type=Lookups!$L$11,Cool_Type,IF(Cool_Type=Lookups!L594,Cool_Type,IF('Project Info and Summary'!$C$20="Electric",CONCATENATE(Cool_Type," ",Heating_Type," Heat"),IF('Project Info and Summary'!$C$20="Non-Electric",CONCATENATE(Cool_Type," ",Heating_Type," Heat"),CONCATENATE(Cool_Type," ",Heating_Type))))))))</f>
        <v/>
      </c>
      <c r="N584" s="298" t="str">
        <f t="shared" si="39"/>
        <v/>
      </c>
      <c r="O584" s="298" t="str">
        <f>IF(B584="", "", 'Lighting Inventory (Ref only)'!G595)</f>
        <v/>
      </c>
      <c r="P584" s="298" t="str">
        <f>IF(B584="", "", 'Lighting Inventory (Ref only)'!E595)</f>
        <v/>
      </c>
      <c r="Q584" s="298" t="str">
        <f>IF(B584="", "", 'Lighting Inventory (Ref only)'!J595)</f>
        <v/>
      </c>
      <c r="R584" s="298" t="str">
        <f>IF(B584="", "",'Lighting Inventory (Ref only)'!K595)</f>
        <v/>
      </c>
      <c r="S584" s="372" t="str">
        <f>IF(B584="", "", 'Lighting Inventory (Ref only)'!G595*'Lighting Inventory (Ref only)'!K595/1000)</f>
        <v/>
      </c>
      <c r="T584" s="298" t="str">
        <f>IF(B584="", "", IF('Lighting Inventory (Ref only)'!I595="", "Light Switch",Inventory!H592))</f>
        <v/>
      </c>
      <c r="X584" s="298" t="str">
        <f>IF(B584="", "", 'Lighting Inventory (Ref only)'!Q595)</f>
        <v/>
      </c>
      <c r="AA584" s="298" t="str">
        <f>IF(B584="", "",'Lighting Inventory (Ref only)'!R595/1000)</f>
        <v/>
      </c>
      <c r="AB584" s="298" t="str">
        <f>IF(B584="", "", Inventory!M592)</f>
        <v/>
      </c>
      <c r="AC584" s="298" t="str">
        <f>IF(B584="", "", 'Lighting Inventory (Ref only)'!T595)</f>
        <v/>
      </c>
      <c r="AD584" s="298" t="str">
        <f>IF(C584="", "", 'Lighting Inventory (Ref only)'!AA595)</f>
        <v/>
      </c>
      <c r="AE584" s="298" t="str">
        <f>IF(B584="", "", 'Lighting Inventory (Ref only)'!U595)</f>
        <v/>
      </c>
      <c r="AF584" s="298" t="str">
        <f>IF(B584="", "",'Lighting Inventory (Ref only)'!W595)</f>
        <v/>
      </c>
      <c r="AH584" s="298" t="str">
        <f>IF(B584="", "",'Lighting Inventory (Ref only)'!Z595)</f>
        <v/>
      </c>
      <c r="AI584" s="298" t="str">
        <f>IF(B584="", "", 'Lighting Inventory (Ref only)'!Y595)</f>
        <v/>
      </c>
      <c r="AJ584" s="298" t="str">
        <f>IF(C584="", "",'Lighting Inventory (Ref only)'!AB595)</f>
        <v/>
      </c>
      <c r="AK584" s="375" t="str">
        <f>IF(B584="", "", 'Lighting Inventory (Ref only)'!AG595)</f>
        <v/>
      </c>
      <c r="AL584" s="375" t="str">
        <f>IF(B584="", "", 'Lighting Inventory (Ref only)'!AD595)</f>
        <v/>
      </c>
      <c r="AM584" s="375" t="str">
        <f>IF(B584="", "", 'Lighting Inventory (Ref only)'!AE595)</f>
        <v/>
      </c>
      <c r="AN584" s="375" t="str">
        <f>IF(B584="", "", 'Lighting Inventory (Ref only)'!AF595)</f>
        <v/>
      </c>
      <c r="AO584" s="375" t="str">
        <f>IF(B584="", "", 'Lighting Inventory (Ref only)'!AG595)</f>
        <v/>
      </c>
    </row>
    <row r="585" spans="1:41">
      <c r="A585" s="298" t="str">
        <f>IF(G585="", "", Lookups!BF587)</f>
        <v/>
      </c>
      <c r="B585" s="298" t="str">
        <f>IF('Lighting Inventory (Ref only)'!Q596="", "", 'Lighting Inventory (Ref only)'!Q596)</f>
        <v/>
      </c>
      <c r="C585" s="298" t="str">
        <f>IF(A585="", "", 'Lighting Inventory (Ref only)'!AO596)</f>
        <v/>
      </c>
      <c r="D585" s="298" t="str">
        <f>IF(B585= "","", Inventory!S593)</f>
        <v/>
      </c>
      <c r="F585" s="298" t="str">
        <f>IF(B585="", "", 'Version Log'!$B$34)</f>
        <v/>
      </c>
      <c r="G585" s="298" t="str">
        <f t="shared" si="36"/>
        <v/>
      </c>
      <c r="H585" s="298" t="str">
        <f t="shared" si="37"/>
        <v/>
      </c>
      <c r="I585" s="298" t="str">
        <f>IF(B585="", "",Inventory!D593)</f>
        <v/>
      </c>
      <c r="J585" s="298" t="str">
        <f>IF(B585="","",IF(Inventory!C593="N","Interior","Exterior"))</f>
        <v/>
      </c>
      <c r="K585" s="298" t="str">
        <f t="shared" si="38"/>
        <v/>
      </c>
      <c r="L585" s="298" t="str">
        <f>IF(B585="", "", Inventory!E593)</f>
        <v/>
      </c>
      <c r="M585" s="298" t="str">
        <f>IF(B585="","",IF(Cool_Type=Lookups!$L$9,Cool_Type,IF(Cool_Type=Lookups!$L$10,Cool_Type,IF(Cool_Type=Lookups!$L$11,Cool_Type,IF(Cool_Type=Lookups!L595,Cool_Type,IF('Project Info and Summary'!$C$20="Electric",CONCATENATE(Cool_Type," ",Heating_Type," Heat"),IF('Project Info and Summary'!$C$20="Non-Electric",CONCATENATE(Cool_Type," ",Heating_Type," Heat"),CONCATENATE(Cool_Type," ",Heating_Type))))))))</f>
        <v/>
      </c>
      <c r="N585" s="298" t="str">
        <f t="shared" si="39"/>
        <v/>
      </c>
      <c r="O585" s="298" t="str">
        <f>IF(B585="", "", 'Lighting Inventory (Ref only)'!G596)</f>
        <v/>
      </c>
      <c r="P585" s="298" t="str">
        <f>IF(B585="", "", 'Lighting Inventory (Ref only)'!E596)</f>
        <v/>
      </c>
      <c r="Q585" s="298" t="str">
        <f>IF(B585="", "", 'Lighting Inventory (Ref only)'!J596)</f>
        <v/>
      </c>
      <c r="R585" s="298" t="str">
        <f>IF(B585="", "",'Lighting Inventory (Ref only)'!K596)</f>
        <v/>
      </c>
      <c r="S585" s="372" t="str">
        <f>IF(B585="", "", 'Lighting Inventory (Ref only)'!G596*'Lighting Inventory (Ref only)'!K596/1000)</f>
        <v/>
      </c>
      <c r="T585" s="298" t="str">
        <f>IF(B585="", "", IF('Lighting Inventory (Ref only)'!I596="", "Light Switch",Inventory!H593))</f>
        <v/>
      </c>
      <c r="X585" s="298" t="str">
        <f>IF(B585="", "", 'Lighting Inventory (Ref only)'!Q596)</f>
        <v/>
      </c>
      <c r="AA585" s="298" t="str">
        <f>IF(B585="", "",'Lighting Inventory (Ref only)'!R596/1000)</f>
        <v/>
      </c>
      <c r="AB585" s="298" t="str">
        <f>IF(B585="", "", Inventory!M593)</f>
        <v/>
      </c>
      <c r="AC585" s="298" t="str">
        <f>IF(B585="", "", 'Lighting Inventory (Ref only)'!T596)</f>
        <v/>
      </c>
      <c r="AD585" s="298" t="str">
        <f>IF(C585="", "", 'Lighting Inventory (Ref only)'!AA596)</f>
        <v/>
      </c>
      <c r="AE585" s="298" t="str">
        <f>IF(B585="", "", 'Lighting Inventory (Ref only)'!U596)</f>
        <v/>
      </c>
      <c r="AF585" s="298" t="str">
        <f>IF(B585="", "",'Lighting Inventory (Ref only)'!W596)</f>
        <v/>
      </c>
      <c r="AH585" s="298" t="str">
        <f>IF(B585="", "",'Lighting Inventory (Ref only)'!Z596)</f>
        <v/>
      </c>
      <c r="AI585" s="298" t="str">
        <f>IF(B585="", "", 'Lighting Inventory (Ref only)'!Y596)</f>
        <v/>
      </c>
      <c r="AJ585" s="298" t="str">
        <f>IF(C585="", "",'Lighting Inventory (Ref only)'!AB596)</f>
        <v/>
      </c>
      <c r="AK585" s="375" t="str">
        <f>IF(B585="", "", 'Lighting Inventory (Ref only)'!AG596)</f>
        <v/>
      </c>
      <c r="AL585" s="375" t="str">
        <f>IF(B585="", "", 'Lighting Inventory (Ref only)'!AD596)</f>
        <v/>
      </c>
      <c r="AM585" s="375" t="str">
        <f>IF(B585="", "", 'Lighting Inventory (Ref only)'!AE596)</f>
        <v/>
      </c>
      <c r="AN585" s="375" t="str">
        <f>IF(B585="", "", 'Lighting Inventory (Ref only)'!AF596)</f>
        <v/>
      </c>
      <c r="AO585" s="375" t="str">
        <f>IF(B585="", "", 'Lighting Inventory (Ref only)'!AG596)</f>
        <v/>
      </c>
    </row>
    <row r="586" spans="1:41">
      <c r="A586" s="298" t="str">
        <f>IF(G586="", "", Lookups!BF588)</f>
        <v/>
      </c>
      <c r="B586" s="298" t="str">
        <f>IF('Lighting Inventory (Ref only)'!Q597="", "", 'Lighting Inventory (Ref only)'!Q597)</f>
        <v/>
      </c>
      <c r="C586" s="298" t="str">
        <f>IF(A586="", "", 'Lighting Inventory (Ref only)'!AO597)</f>
        <v/>
      </c>
      <c r="D586" s="298" t="str">
        <f>IF(B586= "","", Inventory!S594)</f>
        <v/>
      </c>
      <c r="F586" s="298" t="str">
        <f>IF(B586="", "", 'Version Log'!$B$34)</f>
        <v/>
      </c>
      <c r="G586" s="298" t="str">
        <f t="shared" si="36"/>
        <v/>
      </c>
      <c r="H586" s="298" t="str">
        <f t="shared" si="37"/>
        <v/>
      </c>
      <c r="I586" s="298" t="str">
        <f>IF(B586="", "",Inventory!D594)</f>
        <v/>
      </c>
      <c r="J586" s="298" t="str">
        <f>IF(B586="","",IF(Inventory!C594="N","Interior","Exterior"))</f>
        <v/>
      </c>
      <c r="K586" s="298" t="str">
        <f t="shared" si="38"/>
        <v/>
      </c>
      <c r="L586" s="298" t="str">
        <f>IF(B586="", "", Inventory!E594)</f>
        <v/>
      </c>
      <c r="M586" s="298" t="str">
        <f>IF(B586="","",IF(Cool_Type=Lookups!$L$9,Cool_Type,IF(Cool_Type=Lookups!$L$10,Cool_Type,IF(Cool_Type=Lookups!$L$11,Cool_Type,IF(Cool_Type=Lookups!L596,Cool_Type,IF('Project Info and Summary'!$C$20="Electric",CONCATENATE(Cool_Type," ",Heating_Type," Heat"),IF('Project Info and Summary'!$C$20="Non-Electric",CONCATENATE(Cool_Type," ",Heating_Type," Heat"),CONCATENATE(Cool_Type," ",Heating_Type))))))))</f>
        <v/>
      </c>
      <c r="N586" s="298" t="str">
        <f t="shared" si="39"/>
        <v/>
      </c>
      <c r="O586" s="298" t="str">
        <f>IF(B586="", "", 'Lighting Inventory (Ref only)'!G597)</f>
        <v/>
      </c>
      <c r="P586" s="298" t="str">
        <f>IF(B586="", "", 'Lighting Inventory (Ref only)'!E597)</f>
        <v/>
      </c>
      <c r="Q586" s="298" t="str">
        <f>IF(B586="", "", 'Lighting Inventory (Ref only)'!J597)</f>
        <v/>
      </c>
      <c r="R586" s="298" t="str">
        <f>IF(B586="", "",'Lighting Inventory (Ref only)'!K597)</f>
        <v/>
      </c>
      <c r="S586" s="372" t="str">
        <f>IF(B586="", "", 'Lighting Inventory (Ref only)'!G597*'Lighting Inventory (Ref only)'!K597/1000)</f>
        <v/>
      </c>
      <c r="T586" s="298" t="str">
        <f>IF(B586="", "", IF('Lighting Inventory (Ref only)'!I597="", "Light Switch",Inventory!H594))</f>
        <v/>
      </c>
      <c r="X586" s="298" t="str">
        <f>IF(B586="", "", 'Lighting Inventory (Ref only)'!Q597)</f>
        <v/>
      </c>
      <c r="AA586" s="298" t="str">
        <f>IF(B586="", "",'Lighting Inventory (Ref only)'!R597/1000)</f>
        <v/>
      </c>
      <c r="AB586" s="298" t="str">
        <f>IF(B586="", "", Inventory!M594)</f>
        <v/>
      </c>
      <c r="AC586" s="298" t="str">
        <f>IF(B586="", "", 'Lighting Inventory (Ref only)'!T597)</f>
        <v/>
      </c>
      <c r="AD586" s="298" t="str">
        <f>IF(C586="", "", 'Lighting Inventory (Ref only)'!AA597)</f>
        <v/>
      </c>
      <c r="AE586" s="298" t="str">
        <f>IF(B586="", "", 'Lighting Inventory (Ref only)'!U597)</f>
        <v/>
      </c>
      <c r="AF586" s="298" t="str">
        <f>IF(B586="", "",'Lighting Inventory (Ref only)'!W597)</f>
        <v/>
      </c>
      <c r="AH586" s="298" t="str">
        <f>IF(B586="", "",'Lighting Inventory (Ref only)'!Z597)</f>
        <v/>
      </c>
      <c r="AI586" s="298" t="str">
        <f>IF(B586="", "", 'Lighting Inventory (Ref only)'!Y597)</f>
        <v/>
      </c>
      <c r="AJ586" s="298" t="str">
        <f>IF(C586="", "",'Lighting Inventory (Ref only)'!AB597)</f>
        <v/>
      </c>
      <c r="AK586" s="375" t="str">
        <f>IF(B586="", "", 'Lighting Inventory (Ref only)'!AG597)</f>
        <v/>
      </c>
      <c r="AL586" s="375" t="str">
        <f>IF(B586="", "", 'Lighting Inventory (Ref only)'!AD597)</f>
        <v/>
      </c>
      <c r="AM586" s="375" t="str">
        <f>IF(B586="", "", 'Lighting Inventory (Ref only)'!AE597)</f>
        <v/>
      </c>
      <c r="AN586" s="375" t="str">
        <f>IF(B586="", "", 'Lighting Inventory (Ref only)'!AF597)</f>
        <v/>
      </c>
      <c r="AO586" s="375" t="str">
        <f>IF(B586="", "", 'Lighting Inventory (Ref only)'!AG597)</f>
        <v/>
      </c>
    </row>
    <row r="587" spans="1:41">
      <c r="A587" s="298" t="str">
        <f>IF(G587="", "", Lookups!BF589)</f>
        <v/>
      </c>
      <c r="B587" s="298" t="str">
        <f>IF('Lighting Inventory (Ref only)'!Q598="", "", 'Lighting Inventory (Ref only)'!Q598)</f>
        <v/>
      </c>
      <c r="C587" s="298" t="str">
        <f>IF(A587="", "", 'Lighting Inventory (Ref only)'!AO598)</f>
        <v/>
      </c>
      <c r="D587" s="298" t="str">
        <f>IF(B587= "","", Inventory!S595)</f>
        <v/>
      </c>
      <c r="F587" s="298" t="str">
        <f>IF(B587="", "", 'Version Log'!$B$34)</f>
        <v/>
      </c>
      <c r="G587" s="298" t="str">
        <f t="shared" si="36"/>
        <v/>
      </c>
      <c r="H587" s="298" t="str">
        <f t="shared" si="37"/>
        <v/>
      </c>
      <c r="I587" s="298" t="str">
        <f>IF(B587="", "",Inventory!D595)</f>
        <v/>
      </c>
      <c r="J587" s="298" t="str">
        <f>IF(B587="","",IF(Inventory!C595="N","Interior","Exterior"))</f>
        <v/>
      </c>
      <c r="K587" s="298" t="str">
        <f t="shared" si="38"/>
        <v/>
      </c>
      <c r="L587" s="298" t="str">
        <f>IF(B587="", "", Inventory!E595)</f>
        <v/>
      </c>
      <c r="M587" s="298" t="str">
        <f>IF(B587="","",IF(Cool_Type=Lookups!$L$9,Cool_Type,IF(Cool_Type=Lookups!$L$10,Cool_Type,IF(Cool_Type=Lookups!$L$11,Cool_Type,IF(Cool_Type=Lookups!L597,Cool_Type,IF('Project Info and Summary'!$C$20="Electric",CONCATENATE(Cool_Type," ",Heating_Type," Heat"),IF('Project Info and Summary'!$C$20="Non-Electric",CONCATENATE(Cool_Type," ",Heating_Type," Heat"),CONCATENATE(Cool_Type," ",Heating_Type))))))))</f>
        <v/>
      </c>
      <c r="N587" s="298" t="str">
        <f t="shared" si="39"/>
        <v/>
      </c>
      <c r="O587" s="298" t="str">
        <f>IF(B587="", "", 'Lighting Inventory (Ref only)'!G598)</f>
        <v/>
      </c>
      <c r="P587" s="298" t="str">
        <f>IF(B587="", "", 'Lighting Inventory (Ref only)'!E598)</f>
        <v/>
      </c>
      <c r="Q587" s="298" t="str">
        <f>IF(B587="", "", 'Lighting Inventory (Ref only)'!J598)</f>
        <v/>
      </c>
      <c r="R587" s="298" t="str">
        <f>IF(B587="", "",'Lighting Inventory (Ref only)'!K598)</f>
        <v/>
      </c>
      <c r="S587" s="372" t="str">
        <f>IF(B587="", "", 'Lighting Inventory (Ref only)'!G598*'Lighting Inventory (Ref only)'!K598/1000)</f>
        <v/>
      </c>
      <c r="T587" s="298" t="str">
        <f>IF(B587="", "", IF('Lighting Inventory (Ref only)'!I598="", "Light Switch",Inventory!H595))</f>
        <v/>
      </c>
      <c r="X587" s="298" t="str">
        <f>IF(B587="", "", 'Lighting Inventory (Ref only)'!Q598)</f>
        <v/>
      </c>
      <c r="AA587" s="298" t="str">
        <f>IF(B587="", "",'Lighting Inventory (Ref only)'!R598/1000)</f>
        <v/>
      </c>
      <c r="AB587" s="298" t="str">
        <f>IF(B587="", "", Inventory!M595)</f>
        <v/>
      </c>
      <c r="AC587" s="298" t="str">
        <f>IF(B587="", "", 'Lighting Inventory (Ref only)'!T598)</f>
        <v/>
      </c>
      <c r="AD587" s="298" t="str">
        <f>IF(C587="", "", 'Lighting Inventory (Ref only)'!AA598)</f>
        <v/>
      </c>
      <c r="AE587" s="298" t="str">
        <f>IF(B587="", "", 'Lighting Inventory (Ref only)'!U598)</f>
        <v/>
      </c>
      <c r="AF587" s="298" t="str">
        <f>IF(B587="", "",'Lighting Inventory (Ref only)'!W598)</f>
        <v/>
      </c>
      <c r="AH587" s="298" t="str">
        <f>IF(B587="", "",'Lighting Inventory (Ref only)'!Z598)</f>
        <v/>
      </c>
      <c r="AI587" s="298" t="str">
        <f>IF(B587="", "", 'Lighting Inventory (Ref only)'!Y598)</f>
        <v/>
      </c>
      <c r="AJ587" s="298" t="str">
        <f>IF(C587="", "",'Lighting Inventory (Ref only)'!AB598)</f>
        <v/>
      </c>
      <c r="AK587" s="375" t="str">
        <f>IF(B587="", "", 'Lighting Inventory (Ref only)'!AG598)</f>
        <v/>
      </c>
      <c r="AL587" s="375" t="str">
        <f>IF(B587="", "", 'Lighting Inventory (Ref only)'!AD598)</f>
        <v/>
      </c>
      <c r="AM587" s="375" t="str">
        <f>IF(B587="", "", 'Lighting Inventory (Ref only)'!AE598)</f>
        <v/>
      </c>
      <c r="AN587" s="375" t="str">
        <f>IF(B587="", "", 'Lighting Inventory (Ref only)'!AF598)</f>
        <v/>
      </c>
      <c r="AO587" s="375" t="str">
        <f>IF(B587="", "", 'Lighting Inventory (Ref only)'!AG598)</f>
        <v/>
      </c>
    </row>
    <row r="588" spans="1:41">
      <c r="A588" s="298" t="str">
        <f>IF(G588="", "", Lookups!BF590)</f>
        <v/>
      </c>
      <c r="B588" s="298" t="str">
        <f>IF('Lighting Inventory (Ref only)'!Q599="", "", 'Lighting Inventory (Ref only)'!Q599)</f>
        <v/>
      </c>
      <c r="C588" s="298" t="str">
        <f>IF(A588="", "", 'Lighting Inventory (Ref only)'!AO599)</f>
        <v/>
      </c>
      <c r="D588" s="298" t="str">
        <f>IF(B588= "","", Inventory!S596)</f>
        <v/>
      </c>
      <c r="F588" s="298" t="str">
        <f>IF(B588="", "", 'Version Log'!$B$34)</f>
        <v/>
      </c>
      <c r="G588" s="298" t="str">
        <f t="shared" si="36"/>
        <v/>
      </c>
      <c r="H588" s="298" t="str">
        <f t="shared" si="37"/>
        <v/>
      </c>
      <c r="I588" s="298" t="str">
        <f>IF(B588="", "",Inventory!D596)</f>
        <v/>
      </c>
      <c r="J588" s="298" t="str">
        <f>IF(B588="","",IF(Inventory!C596="N","Interior","Exterior"))</f>
        <v/>
      </c>
      <c r="K588" s="298" t="str">
        <f t="shared" si="38"/>
        <v/>
      </c>
      <c r="L588" s="298" t="str">
        <f>IF(B588="", "", Inventory!E596)</f>
        <v/>
      </c>
      <c r="M588" s="298" t="str">
        <f>IF(B588="","",IF(Cool_Type=Lookups!$L$9,Cool_Type,IF(Cool_Type=Lookups!$L$10,Cool_Type,IF(Cool_Type=Lookups!$L$11,Cool_Type,IF(Cool_Type=Lookups!L598,Cool_Type,IF('Project Info and Summary'!$C$20="Electric",CONCATENATE(Cool_Type," ",Heating_Type," Heat"),IF('Project Info and Summary'!$C$20="Non-Electric",CONCATENATE(Cool_Type," ",Heating_Type," Heat"),CONCATENATE(Cool_Type," ",Heating_Type))))))))</f>
        <v/>
      </c>
      <c r="N588" s="298" t="str">
        <f t="shared" si="39"/>
        <v/>
      </c>
      <c r="O588" s="298" t="str">
        <f>IF(B588="", "", 'Lighting Inventory (Ref only)'!G599)</f>
        <v/>
      </c>
      <c r="P588" s="298" t="str">
        <f>IF(B588="", "", 'Lighting Inventory (Ref only)'!E599)</f>
        <v/>
      </c>
      <c r="Q588" s="298" t="str">
        <f>IF(B588="", "", 'Lighting Inventory (Ref only)'!J599)</f>
        <v/>
      </c>
      <c r="R588" s="298" t="str">
        <f>IF(B588="", "",'Lighting Inventory (Ref only)'!K599)</f>
        <v/>
      </c>
      <c r="S588" s="372" t="str">
        <f>IF(B588="", "", 'Lighting Inventory (Ref only)'!G599*'Lighting Inventory (Ref only)'!K599/1000)</f>
        <v/>
      </c>
      <c r="T588" s="298" t="str">
        <f>IF(B588="", "", IF('Lighting Inventory (Ref only)'!I599="", "Light Switch",Inventory!H596))</f>
        <v/>
      </c>
      <c r="X588" s="298" t="str">
        <f>IF(B588="", "", 'Lighting Inventory (Ref only)'!Q599)</f>
        <v/>
      </c>
      <c r="AA588" s="298" t="str">
        <f>IF(B588="", "",'Lighting Inventory (Ref only)'!R599/1000)</f>
        <v/>
      </c>
      <c r="AB588" s="298" t="str">
        <f>IF(B588="", "", Inventory!M596)</f>
        <v/>
      </c>
      <c r="AC588" s="298" t="str">
        <f>IF(B588="", "", 'Lighting Inventory (Ref only)'!T599)</f>
        <v/>
      </c>
      <c r="AD588" s="298" t="str">
        <f>IF(C588="", "", 'Lighting Inventory (Ref only)'!AA599)</f>
        <v/>
      </c>
      <c r="AE588" s="298" t="str">
        <f>IF(B588="", "", 'Lighting Inventory (Ref only)'!U599)</f>
        <v/>
      </c>
      <c r="AF588" s="298" t="str">
        <f>IF(B588="", "",'Lighting Inventory (Ref only)'!W599)</f>
        <v/>
      </c>
      <c r="AH588" s="298" t="str">
        <f>IF(B588="", "",'Lighting Inventory (Ref only)'!Z599)</f>
        <v/>
      </c>
      <c r="AI588" s="298" t="str">
        <f>IF(B588="", "", 'Lighting Inventory (Ref only)'!Y599)</f>
        <v/>
      </c>
      <c r="AJ588" s="298" t="str">
        <f>IF(C588="", "",'Lighting Inventory (Ref only)'!AB599)</f>
        <v/>
      </c>
      <c r="AK588" s="375" t="str">
        <f>IF(B588="", "", 'Lighting Inventory (Ref only)'!AG599)</f>
        <v/>
      </c>
      <c r="AL588" s="375" t="str">
        <f>IF(B588="", "", 'Lighting Inventory (Ref only)'!AD599)</f>
        <v/>
      </c>
      <c r="AM588" s="375" t="str">
        <f>IF(B588="", "", 'Lighting Inventory (Ref only)'!AE599)</f>
        <v/>
      </c>
      <c r="AN588" s="375" t="str">
        <f>IF(B588="", "", 'Lighting Inventory (Ref only)'!AF599)</f>
        <v/>
      </c>
      <c r="AO588" s="375" t="str">
        <f>IF(B588="", "", 'Lighting Inventory (Ref only)'!AG599)</f>
        <v/>
      </c>
    </row>
    <row r="589" spans="1:41">
      <c r="A589" s="298" t="str">
        <f>IF(G589="", "", Lookups!BF591)</f>
        <v/>
      </c>
      <c r="B589" s="298" t="str">
        <f>IF('Lighting Inventory (Ref only)'!Q600="", "", 'Lighting Inventory (Ref only)'!Q600)</f>
        <v/>
      </c>
      <c r="C589" s="298" t="str">
        <f>IF(A589="", "", 'Lighting Inventory (Ref only)'!AO600)</f>
        <v/>
      </c>
      <c r="D589" s="298" t="str">
        <f>IF(B589= "","", Inventory!S597)</f>
        <v/>
      </c>
      <c r="F589" s="298" t="str">
        <f>IF(B589="", "", 'Version Log'!$B$34)</f>
        <v/>
      </c>
      <c r="G589" s="298" t="str">
        <f t="shared" si="36"/>
        <v/>
      </c>
      <c r="H589" s="298" t="str">
        <f t="shared" si="37"/>
        <v/>
      </c>
      <c r="I589" s="298" t="str">
        <f>IF(B589="", "",Inventory!D597)</f>
        <v/>
      </c>
      <c r="J589" s="298" t="str">
        <f>IF(B589="","",IF(Inventory!C597="N","Interior","Exterior"))</f>
        <v/>
      </c>
      <c r="K589" s="298" t="str">
        <f t="shared" si="38"/>
        <v/>
      </c>
      <c r="L589" s="298" t="str">
        <f>IF(B589="", "", Inventory!E597)</f>
        <v/>
      </c>
      <c r="M589" s="298" t="str">
        <f>IF(B589="","",IF(Cool_Type=Lookups!$L$9,Cool_Type,IF(Cool_Type=Lookups!$L$10,Cool_Type,IF(Cool_Type=Lookups!$L$11,Cool_Type,IF(Cool_Type=Lookups!L599,Cool_Type,IF('Project Info and Summary'!$C$20="Electric",CONCATENATE(Cool_Type," ",Heating_Type," Heat"),IF('Project Info and Summary'!$C$20="Non-Electric",CONCATENATE(Cool_Type," ",Heating_Type," Heat"),CONCATENATE(Cool_Type," ",Heating_Type))))))))</f>
        <v/>
      </c>
      <c r="N589" s="298" t="str">
        <f t="shared" si="39"/>
        <v/>
      </c>
      <c r="O589" s="298" t="str">
        <f>IF(B589="", "", 'Lighting Inventory (Ref only)'!G600)</f>
        <v/>
      </c>
      <c r="P589" s="298" t="str">
        <f>IF(B589="", "", 'Lighting Inventory (Ref only)'!E600)</f>
        <v/>
      </c>
      <c r="Q589" s="298" t="str">
        <f>IF(B589="", "", 'Lighting Inventory (Ref only)'!J600)</f>
        <v/>
      </c>
      <c r="R589" s="298" t="str">
        <f>IF(B589="", "",'Lighting Inventory (Ref only)'!K600)</f>
        <v/>
      </c>
      <c r="S589" s="372" t="str">
        <f>IF(B589="", "", 'Lighting Inventory (Ref only)'!G600*'Lighting Inventory (Ref only)'!K600/1000)</f>
        <v/>
      </c>
      <c r="T589" s="298" t="str">
        <f>IF(B589="", "", IF('Lighting Inventory (Ref only)'!I600="", "Light Switch",Inventory!H597))</f>
        <v/>
      </c>
      <c r="X589" s="298" t="str">
        <f>IF(B589="", "", 'Lighting Inventory (Ref only)'!Q600)</f>
        <v/>
      </c>
      <c r="AA589" s="298" t="str">
        <f>IF(B589="", "",'Lighting Inventory (Ref only)'!R600/1000)</f>
        <v/>
      </c>
      <c r="AB589" s="298" t="str">
        <f>IF(B589="", "", Inventory!M597)</f>
        <v/>
      </c>
      <c r="AC589" s="298" t="str">
        <f>IF(B589="", "", 'Lighting Inventory (Ref only)'!T600)</f>
        <v/>
      </c>
      <c r="AD589" s="298" t="str">
        <f>IF(C589="", "", 'Lighting Inventory (Ref only)'!AA600)</f>
        <v/>
      </c>
      <c r="AE589" s="298" t="str">
        <f>IF(B589="", "", 'Lighting Inventory (Ref only)'!U600)</f>
        <v/>
      </c>
      <c r="AF589" s="298" t="str">
        <f>IF(B589="", "",'Lighting Inventory (Ref only)'!W600)</f>
        <v/>
      </c>
      <c r="AH589" s="298" t="str">
        <f>IF(B589="", "",'Lighting Inventory (Ref only)'!Z600)</f>
        <v/>
      </c>
      <c r="AI589" s="298" t="str">
        <f>IF(B589="", "", 'Lighting Inventory (Ref only)'!Y600)</f>
        <v/>
      </c>
      <c r="AJ589" s="298" t="str">
        <f>IF(C589="", "",'Lighting Inventory (Ref only)'!AB600)</f>
        <v/>
      </c>
      <c r="AK589" s="375" t="str">
        <f>IF(B589="", "", 'Lighting Inventory (Ref only)'!AG600)</f>
        <v/>
      </c>
      <c r="AL589" s="375" t="str">
        <f>IF(B589="", "", 'Lighting Inventory (Ref only)'!AD600)</f>
        <v/>
      </c>
      <c r="AM589" s="375" t="str">
        <f>IF(B589="", "", 'Lighting Inventory (Ref only)'!AE600)</f>
        <v/>
      </c>
      <c r="AN589" s="375" t="str">
        <f>IF(B589="", "", 'Lighting Inventory (Ref only)'!AF600)</f>
        <v/>
      </c>
      <c r="AO589" s="375" t="str">
        <f>IF(B589="", "", 'Lighting Inventory (Ref only)'!AG600)</f>
        <v/>
      </c>
    </row>
    <row r="590" spans="1:41">
      <c r="A590" s="298" t="str">
        <f>IF(G590="", "", Lookups!BF592)</f>
        <v/>
      </c>
      <c r="B590" s="298" t="str">
        <f>IF('Lighting Inventory (Ref only)'!Q601="", "", 'Lighting Inventory (Ref only)'!Q601)</f>
        <v/>
      </c>
      <c r="C590" s="298" t="str">
        <f>IF(A590="", "", 'Lighting Inventory (Ref only)'!AO601)</f>
        <v/>
      </c>
      <c r="D590" s="298" t="str">
        <f>IF(B590= "","", Inventory!S598)</f>
        <v/>
      </c>
      <c r="F590" s="298" t="str">
        <f>IF(B590="", "", 'Version Log'!$B$34)</f>
        <v/>
      </c>
      <c r="G590" s="298" t="str">
        <f t="shared" si="36"/>
        <v/>
      </c>
      <c r="H590" s="298" t="str">
        <f t="shared" si="37"/>
        <v/>
      </c>
      <c r="I590" s="298" t="str">
        <f>IF(B590="", "",Inventory!D598)</f>
        <v/>
      </c>
      <c r="J590" s="298" t="str">
        <f>IF(B590="","",IF(Inventory!C598="N","Interior","Exterior"))</f>
        <v/>
      </c>
      <c r="K590" s="298" t="str">
        <f t="shared" si="38"/>
        <v/>
      </c>
      <c r="L590" s="298" t="str">
        <f>IF(B590="", "", Inventory!E598)</f>
        <v/>
      </c>
      <c r="M590" s="298" t="str">
        <f>IF(B590="","",IF(Cool_Type=Lookups!$L$9,Cool_Type,IF(Cool_Type=Lookups!$L$10,Cool_Type,IF(Cool_Type=Lookups!$L$11,Cool_Type,IF(Cool_Type=Lookups!L600,Cool_Type,IF('Project Info and Summary'!$C$20="Electric",CONCATENATE(Cool_Type," ",Heating_Type," Heat"),IF('Project Info and Summary'!$C$20="Non-Electric",CONCATENATE(Cool_Type," ",Heating_Type," Heat"),CONCATENATE(Cool_Type," ",Heating_Type))))))))</f>
        <v/>
      </c>
      <c r="N590" s="298" t="str">
        <f t="shared" si="39"/>
        <v/>
      </c>
      <c r="O590" s="298" t="str">
        <f>IF(B590="", "", 'Lighting Inventory (Ref only)'!G601)</f>
        <v/>
      </c>
      <c r="P590" s="298" t="str">
        <f>IF(B590="", "", 'Lighting Inventory (Ref only)'!E601)</f>
        <v/>
      </c>
      <c r="Q590" s="298" t="str">
        <f>IF(B590="", "", 'Lighting Inventory (Ref only)'!J601)</f>
        <v/>
      </c>
      <c r="R590" s="298" t="str">
        <f>IF(B590="", "",'Lighting Inventory (Ref only)'!K601)</f>
        <v/>
      </c>
      <c r="S590" s="372" t="str">
        <f>IF(B590="", "", 'Lighting Inventory (Ref only)'!G601*'Lighting Inventory (Ref only)'!K601/1000)</f>
        <v/>
      </c>
      <c r="T590" s="298" t="str">
        <f>IF(B590="", "", IF('Lighting Inventory (Ref only)'!I601="", "Light Switch",Inventory!H598))</f>
        <v/>
      </c>
      <c r="X590" s="298" t="str">
        <f>IF(B590="", "", 'Lighting Inventory (Ref only)'!Q601)</f>
        <v/>
      </c>
      <c r="AA590" s="298" t="str">
        <f>IF(B590="", "",'Lighting Inventory (Ref only)'!R601/1000)</f>
        <v/>
      </c>
      <c r="AB590" s="298" t="str">
        <f>IF(B590="", "", Inventory!M598)</f>
        <v/>
      </c>
      <c r="AC590" s="298" t="str">
        <f>IF(B590="", "", 'Lighting Inventory (Ref only)'!T601)</f>
        <v/>
      </c>
      <c r="AD590" s="298" t="str">
        <f>IF(C590="", "", 'Lighting Inventory (Ref only)'!AA601)</f>
        <v/>
      </c>
      <c r="AE590" s="298" t="str">
        <f>IF(B590="", "", 'Lighting Inventory (Ref only)'!U601)</f>
        <v/>
      </c>
      <c r="AF590" s="298" t="str">
        <f>IF(B590="", "",'Lighting Inventory (Ref only)'!W601)</f>
        <v/>
      </c>
      <c r="AH590" s="298" t="str">
        <f>IF(B590="", "",'Lighting Inventory (Ref only)'!Z601)</f>
        <v/>
      </c>
      <c r="AI590" s="298" t="str">
        <f>IF(B590="", "", 'Lighting Inventory (Ref only)'!Y601)</f>
        <v/>
      </c>
      <c r="AJ590" s="298" t="str">
        <f>IF(C590="", "",'Lighting Inventory (Ref only)'!AB601)</f>
        <v/>
      </c>
      <c r="AK590" s="375" t="str">
        <f>IF(B590="", "", 'Lighting Inventory (Ref only)'!AG601)</f>
        <v/>
      </c>
      <c r="AL590" s="375" t="str">
        <f>IF(B590="", "", 'Lighting Inventory (Ref only)'!AD601)</f>
        <v/>
      </c>
      <c r="AM590" s="375" t="str">
        <f>IF(B590="", "", 'Lighting Inventory (Ref only)'!AE601)</f>
        <v/>
      </c>
      <c r="AN590" s="375" t="str">
        <f>IF(B590="", "", 'Lighting Inventory (Ref only)'!AF601)</f>
        <v/>
      </c>
      <c r="AO590" s="375" t="str">
        <f>IF(B590="", "", 'Lighting Inventory (Ref only)'!AG601)</f>
        <v/>
      </c>
    </row>
    <row r="591" spans="1:41">
      <c r="A591" s="298" t="str">
        <f>IF(G591="", "", Lookups!BF593)</f>
        <v/>
      </c>
      <c r="B591" s="298" t="str">
        <f>IF('Lighting Inventory (Ref only)'!Q602="", "", 'Lighting Inventory (Ref only)'!Q602)</f>
        <v/>
      </c>
      <c r="C591" s="298" t="str">
        <f>IF(A591="", "", 'Lighting Inventory (Ref only)'!AO602)</f>
        <v/>
      </c>
      <c r="D591" s="298" t="str">
        <f>IF(B591= "","", Inventory!S599)</f>
        <v/>
      </c>
      <c r="F591" s="298" t="str">
        <f>IF(B591="", "", 'Version Log'!$B$34)</f>
        <v/>
      </c>
      <c r="G591" s="298" t="str">
        <f t="shared" si="36"/>
        <v/>
      </c>
      <c r="H591" s="298" t="str">
        <f t="shared" si="37"/>
        <v/>
      </c>
      <c r="I591" s="298" t="str">
        <f>IF(B591="", "",Inventory!D599)</f>
        <v/>
      </c>
      <c r="J591" s="298" t="str">
        <f>IF(B591="","",IF(Inventory!C599="N","Interior","Exterior"))</f>
        <v/>
      </c>
      <c r="K591" s="298" t="str">
        <f t="shared" si="38"/>
        <v/>
      </c>
      <c r="L591" s="298" t="str">
        <f>IF(B591="", "", Inventory!E599)</f>
        <v/>
      </c>
      <c r="M591" s="298" t="str">
        <f>IF(B591="","",IF(Cool_Type=Lookups!$L$9,Cool_Type,IF(Cool_Type=Lookups!$L$10,Cool_Type,IF(Cool_Type=Lookups!$L$11,Cool_Type,IF(Cool_Type=Lookups!L601,Cool_Type,IF('Project Info and Summary'!$C$20="Electric",CONCATENATE(Cool_Type," ",Heating_Type," Heat"),IF('Project Info and Summary'!$C$20="Non-Electric",CONCATENATE(Cool_Type," ",Heating_Type," Heat"),CONCATENATE(Cool_Type," ",Heating_Type))))))))</f>
        <v/>
      </c>
      <c r="N591" s="298" t="str">
        <f t="shared" si="39"/>
        <v/>
      </c>
      <c r="O591" s="298" t="str">
        <f>IF(B591="", "", 'Lighting Inventory (Ref only)'!G602)</f>
        <v/>
      </c>
      <c r="P591" s="298" t="str">
        <f>IF(B591="", "", 'Lighting Inventory (Ref only)'!E602)</f>
        <v/>
      </c>
      <c r="Q591" s="298" t="str">
        <f>IF(B591="", "", 'Lighting Inventory (Ref only)'!J602)</f>
        <v/>
      </c>
      <c r="R591" s="298" t="str">
        <f>IF(B591="", "",'Lighting Inventory (Ref only)'!K602)</f>
        <v/>
      </c>
      <c r="S591" s="372" t="str">
        <f>IF(B591="", "", 'Lighting Inventory (Ref only)'!G602*'Lighting Inventory (Ref only)'!K602/1000)</f>
        <v/>
      </c>
      <c r="T591" s="298" t="str">
        <f>IF(B591="", "", IF('Lighting Inventory (Ref only)'!I602="", "Light Switch",Inventory!H599))</f>
        <v/>
      </c>
      <c r="X591" s="298" t="str">
        <f>IF(B591="", "", 'Lighting Inventory (Ref only)'!Q602)</f>
        <v/>
      </c>
      <c r="AA591" s="298" t="str">
        <f>IF(B591="", "",'Lighting Inventory (Ref only)'!R602/1000)</f>
        <v/>
      </c>
      <c r="AB591" s="298" t="str">
        <f>IF(B591="", "", Inventory!M599)</f>
        <v/>
      </c>
      <c r="AC591" s="298" t="str">
        <f>IF(B591="", "", 'Lighting Inventory (Ref only)'!T602)</f>
        <v/>
      </c>
      <c r="AD591" s="298" t="str">
        <f>IF(C591="", "", 'Lighting Inventory (Ref only)'!AA602)</f>
        <v/>
      </c>
      <c r="AE591" s="298" t="str">
        <f>IF(B591="", "", 'Lighting Inventory (Ref only)'!U602)</f>
        <v/>
      </c>
      <c r="AF591" s="298" t="str">
        <f>IF(B591="", "",'Lighting Inventory (Ref only)'!W602)</f>
        <v/>
      </c>
      <c r="AH591" s="298" t="str">
        <f>IF(B591="", "",'Lighting Inventory (Ref only)'!Z602)</f>
        <v/>
      </c>
      <c r="AI591" s="298" t="str">
        <f>IF(B591="", "", 'Lighting Inventory (Ref only)'!Y602)</f>
        <v/>
      </c>
      <c r="AJ591" s="298" t="str">
        <f>IF(C591="", "",'Lighting Inventory (Ref only)'!AB602)</f>
        <v/>
      </c>
      <c r="AK591" s="375" t="str">
        <f>IF(B591="", "", 'Lighting Inventory (Ref only)'!AG602)</f>
        <v/>
      </c>
      <c r="AL591" s="375" t="str">
        <f>IF(B591="", "", 'Lighting Inventory (Ref only)'!AD602)</f>
        <v/>
      </c>
      <c r="AM591" s="375" t="str">
        <f>IF(B591="", "", 'Lighting Inventory (Ref only)'!AE602)</f>
        <v/>
      </c>
      <c r="AN591" s="375" t="str">
        <f>IF(B591="", "", 'Lighting Inventory (Ref only)'!AF602)</f>
        <v/>
      </c>
      <c r="AO591" s="375" t="str">
        <f>IF(B591="", "", 'Lighting Inventory (Ref only)'!AG602)</f>
        <v/>
      </c>
    </row>
    <row r="592" spans="1:41">
      <c r="A592" s="298" t="str">
        <f>IF(G592="", "", Lookups!BF594)</f>
        <v/>
      </c>
      <c r="B592" s="298" t="str">
        <f>IF('Lighting Inventory (Ref only)'!Q603="", "", 'Lighting Inventory (Ref only)'!Q603)</f>
        <v/>
      </c>
      <c r="C592" s="298" t="str">
        <f>IF(A592="", "", 'Lighting Inventory (Ref only)'!AO603)</f>
        <v/>
      </c>
      <c r="D592" s="298" t="str">
        <f>IF(B592= "","", Inventory!S600)</f>
        <v/>
      </c>
      <c r="F592" s="298" t="str">
        <f>IF(B592="", "", 'Version Log'!$B$34)</f>
        <v/>
      </c>
      <c r="G592" s="298" t="str">
        <f t="shared" si="36"/>
        <v/>
      </c>
      <c r="H592" s="298" t="str">
        <f t="shared" si="37"/>
        <v/>
      </c>
      <c r="I592" s="298" t="str">
        <f>IF(B592="", "",Inventory!D600)</f>
        <v/>
      </c>
      <c r="J592" s="298" t="str">
        <f>IF(B592="","",IF(Inventory!C600="N","Interior","Exterior"))</f>
        <v/>
      </c>
      <c r="K592" s="298" t="str">
        <f t="shared" si="38"/>
        <v/>
      </c>
      <c r="L592" s="298" t="str">
        <f>IF(B592="", "", Inventory!E600)</f>
        <v/>
      </c>
      <c r="M592" s="298" t="str">
        <f>IF(B592="","",IF(Cool_Type=Lookups!$L$9,Cool_Type,IF(Cool_Type=Lookups!$L$10,Cool_Type,IF(Cool_Type=Lookups!$L$11,Cool_Type,IF(Cool_Type=Lookups!L602,Cool_Type,IF('Project Info and Summary'!$C$20="Electric",CONCATENATE(Cool_Type," ",Heating_Type," Heat"),IF('Project Info and Summary'!$C$20="Non-Electric",CONCATENATE(Cool_Type," ",Heating_Type," Heat"),CONCATENATE(Cool_Type," ",Heating_Type))))))))</f>
        <v/>
      </c>
      <c r="N592" s="298" t="str">
        <f t="shared" si="39"/>
        <v/>
      </c>
      <c r="O592" s="298" t="str">
        <f>IF(B592="", "", 'Lighting Inventory (Ref only)'!G603)</f>
        <v/>
      </c>
      <c r="P592" s="298" t="str">
        <f>IF(B592="", "", 'Lighting Inventory (Ref only)'!E603)</f>
        <v/>
      </c>
      <c r="Q592" s="298" t="str">
        <f>IF(B592="", "", 'Lighting Inventory (Ref only)'!J603)</f>
        <v/>
      </c>
      <c r="R592" s="298" t="str">
        <f>IF(B592="", "",'Lighting Inventory (Ref only)'!K603)</f>
        <v/>
      </c>
      <c r="S592" s="372" t="str">
        <f>IF(B592="", "", 'Lighting Inventory (Ref only)'!G603*'Lighting Inventory (Ref only)'!K603/1000)</f>
        <v/>
      </c>
      <c r="T592" s="298" t="str">
        <f>IF(B592="", "", IF('Lighting Inventory (Ref only)'!I603="", "Light Switch",Inventory!H600))</f>
        <v/>
      </c>
      <c r="X592" s="298" t="str">
        <f>IF(B592="", "", 'Lighting Inventory (Ref only)'!Q603)</f>
        <v/>
      </c>
      <c r="AA592" s="298" t="str">
        <f>IF(B592="", "",'Lighting Inventory (Ref only)'!R603/1000)</f>
        <v/>
      </c>
      <c r="AB592" s="298" t="str">
        <f>IF(B592="", "", Inventory!M600)</f>
        <v/>
      </c>
      <c r="AC592" s="298" t="str">
        <f>IF(B592="", "", 'Lighting Inventory (Ref only)'!T603)</f>
        <v/>
      </c>
      <c r="AD592" s="298" t="str">
        <f>IF(C592="", "", 'Lighting Inventory (Ref only)'!AA603)</f>
        <v/>
      </c>
      <c r="AE592" s="298" t="str">
        <f>IF(B592="", "", 'Lighting Inventory (Ref only)'!U603)</f>
        <v/>
      </c>
      <c r="AF592" s="298" t="str">
        <f>IF(B592="", "",'Lighting Inventory (Ref only)'!W603)</f>
        <v/>
      </c>
      <c r="AH592" s="298" t="str">
        <f>IF(B592="", "",'Lighting Inventory (Ref only)'!Z603)</f>
        <v/>
      </c>
      <c r="AI592" s="298" t="str">
        <f>IF(B592="", "", 'Lighting Inventory (Ref only)'!Y603)</f>
        <v/>
      </c>
      <c r="AJ592" s="298" t="str">
        <f>IF(C592="", "",'Lighting Inventory (Ref only)'!AB603)</f>
        <v/>
      </c>
      <c r="AK592" s="375" t="str">
        <f>IF(B592="", "", 'Lighting Inventory (Ref only)'!AG603)</f>
        <v/>
      </c>
      <c r="AL592" s="375" t="str">
        <f>IF(B592="", "", 'Lighting Inventory (Ref only)'!AD603)</f>
        <v/>
      </c>
      <c r="AM592" s="375" t="str">
        <f>IF(B592="", "", 'Lighting Inventory (Ref only)'!AE603)</f>
        <v/>
      </c>
      <c r="AN592" s="375" t="str">
        <f>IF(B592="", "", 'Lighting Inventory (Ref only)'!AF603)</f>
        <v/>
      </c>
      <c r="AO592" s="375" t="str">
        <f>IF(B592="", "", 'Lighting Inventory (Ref only)'!AG603)</f>
        <v/>
      </c>
    </row>
    <row r="593" spans="1:41">
      <c r="A593" s="298" t="str">
        <f>IF(G593="", "", Lookups!BF595)</f>
        <v/>
      </c>
      <c r="B593" s="298" t="str">
        <f>IF('Lighting Inventory (Ref only)'!Q604="", "", 'Lighting Inventory (Ref only)'!Q604)</f>
        <v/>
      </c>
      <c r="C593" s="298" t="str">
        <f>IF(A593="", "", 'Lighting Inventory (Ref only)'!AO604)</f>
        <v/>
      </c>
      <c r="D593" s="298" t="str">
        <f>IF(B593= "","", Inventory!S601)</f>
        <v/>
      </c>
      <c r="F593" s="298" t="str">
        <f>IF(B593="", "", 'Version Log'!$B$34)</f>
        <v/>
      </c>
      <c r="G593" s="298" t="str">
        <f t="shared" si="36"/>
        <v/>
      </c>
      <c r="H593" s="298" t="str">
        <f t="shared" si="37"/>
        <v/>
      </c>
      <c r="I593" s="298" t="str">
        <f>IF(B593="", "",Inventory!D601)</f>
        <v/>
      </c>
      <c r="J593" s="298" t="str">
        <f>IF(B593="","",IF(Inventory!C601="N","Interior","Exterior"))</f>
        <v/>
      </c>
      <c r="K593" s="298" t="str">
        <f t="shared" si="38"/>
        <v/>
      </c>
      <c r="L593" s="298" t="str">
        <f>IF(B593="", "", Inventory!E601)</f>
        <v/>
      </c>
      <c r="M593" s="298" t="str">
        <f>IF(B593="","",IF(Cool_Type=Lookups!$L$9,Cool_Type,IF(Cool_Type=Lookups!$L$10,Cool_Type,IF(Cool_Type=Lookups!$L$11,Cool_Type,IF(Cool_Type=Lookups!L603,Cool_Type,IF('Project Info and Summary'!$C$20="Electric",CONCATENATE(Cool_Type," ",Heating_Type," Heat"),IF('Project Info and Summary'!$C$20="Non-Electric",CONCATENATE(Cool_Type," ",Heating_Type," Heat"),CONCATENATE(Cool_Type," ",Heating_Type))))))))</f>
        <v/>
      </c>
      <c r="N593" s="298" t="str">
        <f t="shared" si="39"/>
        <v/>
      </c>
      <c r="O593" s="298" t="str">
        <f>IF(B593="", "", 'Lighting Inventory (Ref only)'!G604)</f>
        <v/>
      </c>
      <c r="P593" s="298" t="str">
        <f>IF(B593="", "", 'Lighting Inventory (Ref only)'!E604)</f>
        <v/>
      </c>
      <c r="Q593" s="298" t="str">
        <f>IF(B593="", "", 'Lighting Inventory (Ref only)'!J604)</f>
        <v/>
      </c>
      <c r="R593" s="298" t="str">
        <f>IF(B593="", "",'Lighting Inventory (Ref only)'!K604)</f>
        <v/>
      </c>
      <c r="S593" s="372" t="str">
        <f>IF(B593="", "", 'Lighting Inventory (Ref only)'!G604*'Lighting Inventory (Ref only)'!K604/1000)</f>
        <v/>
      </c>
      <c r="T593" s="298" t="str">
        <f>IF(B593="", "", IF('Lighting Inventory (Ref only)'!I604="", "Light Switch",Inventory!H601))</f>
        <v/>
      </c>
      <c r="X593" s="298" t="str">
        <f>IF(B593="", "", 'Lighting Inventory (Ref only)'!Q604)</f>
        <v/>
      </c>
      <c r="AA593" s="298" t="str">
        <f>IF(B593="", "",'Lighting Inventory (Ref only)'!R604/1000)</f>
        <v/>
      </c>
      <c r="AB593" s="298" t="str">
        <f>IF(B593="", "", Inventory!M601)</f>
        <v/>
      </c>
      <c r="AC593" s="298" t="str">
        <f>IF(B593="", "", 'Lighting Inventory (Ref only)'!T604)</f>
        <v/>
      </c>
      <c r="AD593" s="298" t="str">
        <f>IF(C593="", "", 'Lighting Inventory (Ref only)'!AA604)</f>
        <v/>
      </c>
      <c r="AE593" s="298" t="str">
        <f>IF(B593="", "", 'Lighting Inventory (Ref only)'!U604)</f>
        <v/>
      </c>
      <c r="AF593" s="298" t="str">
        <f>IF(B593="", "",'Lighting Inventory (Ref only)'!W604)</f>
        <v/>
      </c>
      <c r="AH593" s="298" t="str">
        <f>IF(B593="", "",'Lighting Inventory (Ref only)'!Z604)</f>
        <v/>
      </c>
      <c r="AI593" s="298" t="str">
        <f>IF(B593="", "", 'Lighting Inventory (Ref only)'!Y604)</f>
        <v/>
      </c>
      <c r="AJ593" s="298" t="str">
        <f>IF(C593="", "",'Lighting Inventory (Ref only)'!AB604)</f>
        <v/>
      </c>
      <c r="AK593" s="375" t="str">
        <f>IF(B593="", "", 'Lighting Inventory (Ref only)'!AG604)</f>
        <v/>
      </c>
      <c r="AL593" s="375" t="str">
        <f>IF(B593="", "", 'Lighting Inventory (Ref only)'!AD604)</f>
        <v/>
      </c>
      <c r="AM593" s="375" t="str">
        <f>IF(B593="", "", 'Lighting Inventory (Ref only)'!AE604)</f>
        <v/>
      </c>
      <c r="AN593" s="375" t="str">
        <f>IF(B593="", "", 'Lighting Inventory (Ref only)'!AF604)</f>
        <v/>
      </c>
      <c r="AO593" s="375" t="str">
        <f>IF(B593="", "", 'Lighting Inventory (Ref only)'!AG604)</f>
        <v/>
      </c>
    </row>
    <row r="594" spans="1:41">
      <c r="A594" s="298" t="str">
        <f>IF(G594="", "", Lookups!BF596)</f>
        <v/>
      </c>
      <c r="B594" s="298" t="str">
        <f>IF('Lighting Inventory (Ref only)'!Q605="", "", 'Lighting Inventory (Ref only)'!Q605)</f>
        <v/>
      </c>
      <c r="C594" s="298" t="str">
        <f>IF(A594="", "", 'Lighting Inventory (Ref only)'!AO605)</f>
        <v/>
      </c>
      <c r="D594" s="298" t="str">
        <f>IF(B594= "","", Inventory!S602)</f>
        <v/>
      </c>
      <c r="F594" s="298" t="str">
        <f>IF(B594="", "", 'Version Log'!$B$34)</f>
        <v/>
      </c>
      <c r="G594" s="298" t="str">
        <f t="shared" si="36"/>
        <v/>
      </c>
      <c r="H594" s="298" t="str">
        <f t="shared" si="37"/>
        <v/>
      </c>
      <c r="I594" s="298" t="str">
        <f>IF(B594="", "",Inventory!D602)</f>
        <v/>
      </c>
      <c r="J594" s="298" t="str">
        <f>IF(B594="","",IF(Inventory!C602="N","Interior","Exterior"))</f>
        <v/>
      </c>
      <c r="K594" s="298" t="str">
        <f t="shared" si="38"/>
        <v/>
      </c>
      <c r="L594" s="298" t="str">
        <f>IF(B594="", "", Inventory!E602)</f>
        <v/>
      </c>
      <c r="M594" s="298" t="str">
        <f>IF(B594="","",IF(Cool_Type=Lookups!$L$9,Cool_Type,IF(Cool_Type=Lookups!$L$10,Cool_Type,IF(Cool_Type=Lookups!$L$11,Cool_Type,IF(Cool_Type=Lookups!L604,Cool_Type,IF('Project Info and Summary'!$C$20="Electric",CONCATENATE(Cool_Type," ",Heating_Type," Heat"),IF('Project Info and Summary'!$C$20="Non-Electric",CONCATENATE(Cool_Type," ",Heating_Type," Heat"),CONCATENATE(Cool_Type," ",Heating_Type))))))))</f>
        <v/>
      </c>
      <c r="N594" s="298" t="str">
        <f t="shared" si="39"/>
        <v/>
      </c>
      <c r="O594" s="298" t="str">
        <f>IF(B594="", "", 'Lighting Inventory (Ref only)'!G605)</f>
        <v/>
      </c>
      <c r="P594" s="298" t="str">
        <f>IF(B594="", "", 'Lighting Inventory (Ref only)'!E605)</f>
        <v/>
      </c>
      <c r="Q594" s="298" t="str">
        <f>IF(B594="", "", 'Lighting Inventory (Ref only)'!J605)</f>
        <v/>
      </c>
      <c r="R594" s="298" t="str">
        <f>IF(B594="", "",'Lighting Inventory (Ref only)'!K605)</f>
        <v/>
      </c>
      <c r="S594" s="372" t="str">
        <f>IF(B594="", "", 'Lighting Inventory (Ref only)'!G605*'Lighting Inventory (Ref only)'!K605/1000)</f>
        <v/>
      </c>
      <c r="T594" s="298" t="str">
        <f>IF(B594="", "", IF('Lighting Inventory (Ref only)'!I605="", "Light Switch",Inventory!H602))</f>
        <v/>
      </c>
      <c r="X594" s="298" t="str">
        <f>IF(B594="", "", 'Lighting Inventory (Ref only)'!Q605)</f>
        <v/>
      </c>
      <c r="AA594" s="298" t="str">
        <f>IF(B594="", "",'Lighting Inventory (Ref only)'!R605/1000)</f>
        <v/>
      </c>
      <c r="AB594" s="298" t="str">
        <f>IF(B594="", "", Inventory!M602)</f>
        <v/>
      </c>
      <c r="AC594" s="298" t="str">
        <f>IF(B594="", "", 'Lighting Inventory (Ref only)'!T605)</f>
        <v/>
      </c>
      <c r="AD594" s="298" t="str">
        <f>IF(C594="", "", 'Lighting Inventory (Ref only)'!AA605)</f>
        <v/>
      </c>
      <c r="AE594" s="298" t="str">
        <f>IF(B594="", "", 'Lighting Inventory (Ref only)'!U605)</f>
        <v/>
      </c>
      <c r="AF594" s="298" t="str">
        <f>IF(B594="", "",'Lighting Inventory (Ref only)'!W605)</f>
        <v/>
      </c>
      <c r="AH594" s="298" t="str">
        <f>IF(B594="", "",'Lighting Inventory (Ref only)'!Z605)</f>
        <v/>
      </c>
      <c r="AI594" s="298" t="str">
        <f>IF(B594="", "", 'Lighting Inventory (Ref only)'!Y605)</f>
        <v/>
      </c>
      <c r="AJ594" s="298" t="str">
        <f>IF(C594="", "",'Lighting Inventory (Ref only)'!AB605)</f>
        <v/>
      </c>
      <c r="AK594" s="375" t="str">
        <f>IF(B594="", "", 'Lighting Inventory (Ref only)'!AG605)</f>
        <v/>
      </c>
      <c r="AL594" s="375" t="str">
        <f>IF(B594="", "", 'Lighting Inventory (Ref only)'!AD605)</f>
        <v/>
      </c>
      <c r="AM594" s="375" t="str">
        <f>IF(B594="", "", 'Lighting Inventory (Ref only)'!AE605)</f>
        <v/>
      </c>
      <c r="AN594" s="375" t="str">
        <f>IF(B594="", "", 'Lighting Inventory (Ref only)'!AF605)</f>
        <v/>
      </c>
      <c r="AO594" s="375" t="str">
        <f>IF(B594="", "", 'Lighting Inventory (Ref only)'!AG605)</f>
        <v/>
      </c>
    </row>
    <row r="595" spans="1:41">
      <c r="A595" s="298" t="str">
        <f>IF(G595="", "", Lookups!BF597)</f>
        <v/>
      </c>
      <c r="B595" s="298" t="str">
        <f>IF('Lighting Inventory (Ref only)'!Q606="", "", 'Lighting Inventory (Ref only)'!Q606)</f>
        <v/>
      </c>
      <c r="C595" s="298" t="str">
        <f>IF(A595="", "", 'Lighting Inventory (Ref only)'!AO606)</f>
        <v/>
      </c>
      <c r="D595" s="298" t="str">
        <f>IF(B595= "","", Inventory!S603)</f>
        <v/>
      </c>
      <c r="F595" s="298" t="str">
        <f>IF(B595="", "", 'Version Log'!$B$34)</f>
        <v/>
      </c>
      <c r="G595" s="298" t="str">
        <f t="shared" si="36"/>
        <v/>
      </c>
      <c r="H595" s="298" t="str">
        <f t="shared" si="37"/>
        <v/>
      </c>
      <c r="I595" s="298" t="str">
        <f>IF(B595="", "",Inventory!D603)</f>
        <v/>
      </c>
      <c r="J595" s="298" t="str">
        <f>IF(B595="","",IF(Inventory!C603="N","Interior","Exterior"))</f>
        <v/>
      </c>
      <c r="K595" s="298" t="str">
        <f t="shared" si="38"/>
        <v/>
      </c>
      <c r="L595" s="298" t="str">
        <f>IF(B595="", "", Inventory!E603)</f>
        <v/>
      </c>
      <c r="M595" s="298" t="str">
        <f>IF(B595="","",IF(Cool_Type=Lookups!$L$9,Cool_Type,IF(Cool_Type=Lookups!$L$10,Cool_Type,IF(Cool_Type=Lookups!$L$11,Cool_Type,IF(Cool_Type=Lookups!L605,Cool_Type,IF('Project Info and Summary'!$C$20="Electric",CONCATENATE(Cool_Type," ",Heating_Type," Heat"),IF('Project Info and Summary'!$C$20="Non-Electric",CONCATENATE(Cool_Type," ",Heating_Type," Heat"),CONCATENATE(Cool_Type," ",Heating_Type))))))))</f>
        <v/>
      </c>
      <c r="N595" s="298" t="str">
        <f t="shared" si="39"/>
        <v/>
      </c>
      <c r="O595" s="298" t="str">
        <f>IF(B595="", "", 'Lighting Inventory (Ref only)'!G606)</f>
        <v/>
      </c>
      <c r="P595" s="298" t="str">
        <f>IF(B595="", "", 'Lighting Inventory (Ref only)'!E606)</f>
        <v/>
      </c>
      <c r="Q595" s="298" t="str">
        <f>IF(B595="", "", 'Lighting Inventory (Ref only)'!J606)</f>
        <v/>
      </c>
      <c r="R595" s="298" t="str">
        <f>IF(B595="", "",'Lighting Inventory (Ref only)'!K606)</f>
        <v/>
      </c>
      <c r="S595" s="372" t="str">
        <f>IF(B595="", "", 'Lighting Inventory (Ref only)'!G606*'Lighting Inventory (Ref only)'!K606/1000)</f>
        <v/>
      </c>
      <c r="T595" s="298" t="str">
        <f>IF(B595="", "", IF('Lighting Inventory (Ref only)'!I606="", "Light Switch",Inventory!H603))</f>
        <v/>
      </c>
      <c r="X595" s="298" t="str">
        <f>IF(B595="", "", 'Lighting Inventory (Ref only)'!Q606)</f>
        <v/>
      </c>
      <c r="AA595" s="298" t="str">
        <f>IF(B595="", "",'Lighting Inventory (Ref only)'!R606/1000)</f>
        <v/>
      </c>
      <c r="AB595" s="298" t="str">
        <f>IF(B595="", "", Inventory!M603)</f>
        <v/>
      </c>
      <c r="AC595" s="298" t="str">
        <f>IF(B595="", "", 'Lighting Inventory (Ref only)'!T606)</f>
        <v/>
      </c>
      <c r="AD595" s="298" t="str">
        <f>IF(C595="", "", 'Lighting Inventory (Ref only)'!AA606)</f>
        <v/>
      </c>
      <c r="AE595" s="298" t="str">
        <f>IF(B595="", "", 'Lighting Inventory (Ref only)'!U606)</f>
        <v/>
      </c>
      <c r="AF595" s="298" t="str">
        <f>IF(B595="", "",'Lighting Inventory (Ref only)'!W606)</f>
        <v/>
      </c>
      <c r="AH595" s="298" t="str">
        <f>IF(B595="", "",'Lighting Inventory (Ref only)'!Z606)</f>
        <v/>
      </c>
      <c r="AI595" s="298" t="str">
        <f>IF(B595="", "", 'Lighting Inventory (Ref only)'!Y606)</f>
        <v/>
      </c>
      <c r="AJ595" s="298" t="str">
        <f>IF(C595="", "",'Lighting Inventory (Ref only)'!AB606)</f>
        <v/>
      </c>
      <c r="AK595" s="375" t="str">
        <f>IF(B595="", "", 'Lighting Inventory (Ref only)'!AG606)</f>
        <v/>
      </c>
      <c r="AL595" s="375" t="str">
        <f>IF(B595="", "", 'Lighting Inventory (Ref only)'!AD606)</f>
        <v/>
      </c>
      <c r="AM595" s="375" t="str">
        <f>IF(B595="", "", 'Lighting Inventory (Ref only)'!AE606)</f>
        <v/>
      </c>
      <c r="AN595" s="375" t="str">
        <f>IF(B595="", "", 'Lighting Inventory (Ref only)'!AF606)</f>
        <v/>
      </c>
      <c r="AO595" s="375" t="str">
        <f>IF(B595="", "", 'Lighting Inventory (Ref only)'!AG606)</f>
        <v/>
      </c>
    </row>
    <row r="596" spans="1:41">
      <c r="A596" s="298" t="str">
        <f>IF(G596="", "", Lookups!BF598)</f>
        <v/>
      </c>
      <c r="B596" s="298" t="str">
        <f>IF('Lighting Inventory (Ref only)'!Q607="", "", 'Lighting Inventory (Ref only)'!Q607)</f>
        <v/>
      </c>
      <c r="C596" s="298" t="str">
        <f>IF(A596="", "", 'Lighting Inventory (Ref only)'!AO607)</f>
        <v/>
      </c>
      <c r="D596" s="298" t="str">
        <f>IF(B596= "","", Inventory!S604)</f>
        <v/>
      </c>
      <c r="F596" s="298" t="str">
        <f>IF(B596="", "", 'Version Log'!$B$34)</f>
        <v/>
      </c>
      <c r="G596" s="298" t="str">
        <f t="shared" si="36"/>
        <v/>
      </c>
      <c r="H596" s="298" t="str">
        <f t="shared" si="37"/>
        <v/>
      </c>
      <c r="I596" s="298" t="str">
        <f>IF(B596="", "",Inventory!D604)</f>
        <v/>
      </c>
      <c r="J596" s="298" t="str">
        <f>IF(B596="","",IF(Inventory!C604="N","Interior","Exterior"))</f>
        <v/>
      </c>
      <c r="K596" s="298" t="str">
        <f t="shared" si="38"/>
        <v/>
      </c>
      <c r="L596" s="298" t="str">
        <f>IF(B596="", "", Inventory!E604)</f>
        <v/>
      </c>
      <c r="M596" s="298" t="str">
        <f>IF(B596="","",IF(Cool_Type=Lookups!$L$9,Cool_Type,IF(Cool_Type=Lookups!$L$10,Cool_Type,IF(Cool_Type=Lookups!$L$11,Cool_Type,IF(Cool_Type=Lookups!L606,Cool_Type,IF('Project Info and Summary'!$C$20="Electric",CONCATENATE(Cool_Type," ",Heating_Type," Heat"),IF('Project Info and Summary'!$C$20="Non-Electric",CONCATENATE(Cool_Type," ",Heating_Type," Heat"),CONCATENATE(Cool_Type," ",Heating_Type))))))))</f>
        <v/>
      </c>
      <c r="N596" s="298" t="str">
        <f t="shared" si="39"/>
        <v/>
      </c>
      <c r="O596" s="298" t="str">
        <f>IF(B596="", "", 'Lighting Inventory (Ref only)'!G607)</f>
        <v/>
      </c>
      <c r="P596" s="298" t="str">
        <f>IF(B596="", "", 'Lighting Inventory (Ref only)'!E607)</f>
        <v/>
      </c>
      <c r="Q596" s="298" t="str">
        <f>IF(B596="", "", 'Lighting Inventory (Ref only)'!J607)</f>
        <v/>
      </c>
      <c r="R596" s="298" t="str">
        <f>IF(B596="", "",'Lighting Inventory (Ref only)'!K607)</f>
        <v/>
      </c>
      <c r="S596" s="372" t="str">
        <f>IF(B596="", "", 'Lighting Inventory (Ref only)'!G607*'Lighting Inventory (Ref only)'!K607/1000)</f>
        <v/>
      </c>
      <c r="T596" s="298" t="str">
        <f>IF(B596="", "", IF('Lighting Inventory (Ref only)'!I607="", "Light Switch",Inventory!H604))</f>
        <v/>
      </c>
      <c r="X596" s="298" t="str">
        <f>IF(B596="", "", 'Lighting Inventory (Ref only)'!Q607)</f>
        <v/>
      </c>
      <c r="AA596" s="298" t="str">
        <f>IF(B596="", "",'Lighting Inventory (Ref only)'!R607/1000)</f>
        <v/>
      </c>
      <c r="AB596" s="298" t="str">
        <f>IF(B596="", "", Inventory!M604)</f>
        <v/>
      </c>
      <c r="AC596" s="298" t="str">
        <f>IF(B596="", "", 'Lighting Inventory (Ref only)'!T607)</f>
        <v/>
      </c>
      <c r="AD596" s="298" t="str">
        <f>IF(C596="", "", 'Lighting Inventory (Ref only)'!AA607)</f>
        <v/>
      </c>
      <c r="AE596" s="298" t="str">
        <f>IF(B596="", "", 'Lighting Inventory (Ref only)'!U607)</f>
        <v/>
      </c>
      <c r="AF596" s="298" t="str">
        <f>IF(B596="", "",'Lighting Inventory (Ref only)'!W607)</f>
        <v/>
      </c>
      <c r="AH596" s="298" t="str">
        <f>IF(B596="", "",'Lighting Inventory (Ref only)'!Z607)</f>
        <v/>
      </c>
      <c r="AI596" s="298" t="str">
        <f>IF(B596="", "", 'Lighting Inventory (Ref only)'!Y607)</f>
        <v/>
      </c>
      <c r="AJ596" s="298" t="str">
        <f>IF(C596="", "",'Lighting Inventory (Ref only)'!AB607)</f>
        <v/>
      </c>
      <c r="AK596" s="375" t="str">
        <f>IF(B596="", "", 'Lighting Inventory (Ref only)'!AG607)</f>
        <v/>
      </c>
      <c r="AL596" s="375" t="str">
        <f>IF(B596="", "", 'Lighting Inventory (Ref only)'!AD607)</f>
        <v/>
      </c>
      <c r="AM596" s="375" t="str">
        <f>IF(B596="", "", 'Lighting Inventory (Ref only)'!AE607)</f>
        <v/>
      </c>
      <c r="AN596" s="375" t="str">
        <f>IF(B596="", "", 'Lighting Inventory (Ref only)'!AF607)</f>
        <v/>
      </c>
      <c r="AO596" s="375" t="str">
        <f>IF(B596="", "", 'Lighting Inventory (Ref only)'!AG607)</f>
        <v/>
      </c>
    </row>
    <row r="597" spans="1:41">
      <c r="A597" s="298" t="str">
        <f>IF(G597="", "", Lookups!BF599)</f>
        <v/>
      </c>
      <c r="B597" s="298" t="str">
        <f>IF('Lighting Inventory (Ref only)'!Q608="", "", 'Lighting Inventory (Ref only)'!Q608)</f>
        <v/>
      </c>
      <c r="C597" s="298" t="str">
        <f>IF(A597="", "", 'Lighting Inventory (Ref only)'!AO608)</f>
        <v/>
      </c>
      <c r="D597" s="298" t="str">
        <f>IF(B597= "","", Inventory!S605)</f>
        <v/>
      </c>
      <c r="F597" s="298" t="str">
        <f>IF(B597="", "", 'Version Log'!$B$34)</f>
        <v/>
      </c>
      <c r="G597" s="298" t="str">
        <f t="shared" si="36"/>
        <v/>
      </c>
      <c r="H597" s="298" t="str">
        <f t="shared" si="37"/>
        <v/>
      </c>
      <c r="I597" s="298" t="str">
        <f>IF(B597="", "",Inventory!D605)</f>
        <v/>
      </c>
      <c r="J597" s="298" t="str">
        <f>IF(B597="","",IF(Inventory!C605="N","Interior","Exterior"))</f>
        <v/>
      </c>
      <c r="K597" s="298" t="str">
        <f t="shared" si="38"/>
        <v/>
      </c>
      <c r="L597" s="298" t="str">
        <f>IF(B597="", "", Inventory!E605)</f>
        <v/>
      </c>
      <c r="M597" s="298" t="str">
        <f>IF(B597="","",IF(Cool_Type=Lookups!$L$9,Cool_Type,IF(Cool_Type=Lookups!$L$10,Cool_Type,IF(Cool_Type=Lookups!$L$11,Cool_Type,IF(Cool_Type=Lookups!L607,Cool_Type,IF('Project Info and Summary'!$C$20="Electric",CONCATENATE(Cool_Type," ",Heating_Type," Heat"),IF('Project Info and Summary'!$C$20="Non-Electric",CONCATENATE(Cool_Type," ",Heating_Type," Heat"),CONCATENATE(Cool_Type," ",Heating_Type))))))))</f>
        <v/>
      </c>
      <c r="N597" s="298" t="str">
        <f t="shared" si="39"/>
        <v/>
      </c>
      <c r="O597" s="298" t="str">
        <f>IF(B597="", "", 'Lighting Inventory (Ref only)'!G608)</f>
        <v/>
      </c>
      <c r="P597" s="298" t="str">
        <f>IF(B597="", "", 'Lighting Inventory (Ref only)'!E608)</f>
        <v/>
      </c>
      <c r="Q597" s="298" t="str">
        <f>IF(B597="", "", 'Lighting Inventory (Ref only)'!J608)</f>
        <v/>
      </c>
      <c r="R597" s="298" t="str">
        <f>IF(B597="", "",'Lighting Inventory (Ref only)'!K608)</f>
        <v/>
      </c>
      <c r="S597" s="372" t="str">
        <f>IF(B597="", "", 'Lighting Inventory (Ref only)'!G608*'Lighting Inventory (Ref only)'!K608/1000)</f>
        <v/>
      </c>
      <c r="T597" s="298" t="str">
        <f>IF(B597="", "", IF('Lighting Inventory (Ref only)'!I608="", "Light Switch",Inventory!H605))</f>
        <v/>
      </c>
      <c r="X597" s="298" t="str">
        <f>IF(B597="", "", 'Lighting Inventory (Ref only)'!Q608)</f>
        <v/>
      </c>
      <c r="AA597" s="298" t="str">
        <f>IF(B597="", "",'Lighting Inventory (Ref only)'!R608/1000)</f>
        <v/>
      </c>
      <c r="AB597" s="298" t="str">
        <f>IF(B597="", "", Inventory!M605)</f>
        <v/>
      </c>
      <c r="AC597" s="298" t="str">
        <f>IF(B597="", "", 'Lighting Inventory (Ref only)'!T608)</f>
        <v/>
      </c>
      <c r="AD597" s="298" t="str">
        <f>IF(C597="", "", 'Lighting Inventory (Ref only)'!AA608)</f>
        <v/>
      </c>
      <c r="AE597" s="298" t="str">
        <f>IF(B597="", "", 'Lighting Inventory (Ref only)'!U608)</f>
        <v/>
      </c>
      <c r="AF597" s="298" t="str">
        <f>IF(B597="", "",'Lighting Inventory (Ref only)'!W608)</f>
        <v/>
      </c>
      <c r="AH597" s="298" t="str">
        <f>IF(B597="", "",'Lighting Inventory (Ref only)'!Z608)</f>
        <v/>
      </c>
      <c r="AI597" s="298" t="str">
        <f>IF(B597="", "", 'Lighting Inventory (Ref only)'!Y608)</f>
        <v/>
      </c>
      <c r="AJ597" s="298" t="str">
        <f>IF(C597="", "",'Lighting Inventory (Ref only)'!AB608)</f>
        <v/>
      </c>
      <c r="AK597" s="375" t="str">
        <f>IF(B597="", "", 'Lighting Inventory (Ref only)'!AG608)</f>
        <v/>
      </c>
      <c r="AL597" s="375" t="str">
        <f>IF(B597="", "", 'Lighting Inventory (Ref only)'!AD608)</f>
        <v/>
      </c>
      <c r="AM597" s="375" t="str">
        <f>IF(B597="", "", 'Lighting Inventory (Ref only)'!AE608)</f>
        <v/>
      </c>
      <c r="AN597" s="375" t="str">
        <f>IF(B597="", "", 'Lighting Inventory (Ref only)'!AF608)</f>
        <v/>
      </c>
      <c r="AO597" s="375" t="str">
        <f>IF(B597="", "", 'Lighting Inventory (Ref only)'!AG608)</f>
        <v/>
      </c>
    </row>
    <row r="598" spans="1:41">
      <c r="A598" s="298" t="str">
        <f>IF(G598="", "", Lookups!BF600)</f>
        <v/>
      </c>
      <c r="B598" s="298" t="str">
        <f>IF('Lighting Inventory (Ref only)'!Q609="", "", 'Lighting Inventory (Ref only)'!Q609)</f>
        <v/>
      </c>
      <c r="C598" s="298" t="str">
        <f>IF(A598="", "", 'Lighting Inventory (Ref only)'!AO609)</f>
        <v/>
      </c>
      <c r="D598" s="298" t="str">
        <f>IF(B598= "","", Inventory!S606)</f>
        <v/>
      </c>
      <c r="F598" s="298" t="str">
        <f>IF(B598="", "", 'Version Log'!$B$34)</f>
        <v/>
      </c>
      <c r="G598" s="298" t="str">
        <f t="shared" si="36"/>
        <v/>
      </c>
      <c r="H598" s="298" t="str">
        <f t="shared" si="37"/>
        <v/>
      </c>
      <c r="I598" s="298" t="str">
        <f>IF(B598="", "",Inventory!D606)</f>
        <v/>
      </c>
      <c r="J598" s="298" t="str">
        <f>IF(B598="","",IF(Inventory!C606="N","Interior","Exterior"))</f>
        <v/>
      </c>
      <c r="K598" s="298" t="str">
        <f t="shared" si="38"/>
        <v/>
      </c>
      <c r="L598" s="298" t="str">
        <f>IF(B598="", "", Inventory!E606)</f>
        <v/>
      </c>
      <c r="M598" s="298" t="str">
        <f>IF(B598="","",IF(Cool_Type=Lookups!$L$9,Cool_Type,IF(Cool_Type=Lookups!$L$10,Cool_Type,IF(Cool_Type=Lookups!$L$11,Cool_Type,IF(Cool_Type=Lookups!L608,Cool_Type,IF('Project Info and Summary'!$C$20="Electric",CONCATENATE(Cool_Type," ",Heating_Type," Heat"),IF('Project Info and Summary'!$C$20="Non-Electric",CONCATENATE(Cool_Type," ",Heating_Type," Heat"),CONCATENATE(Cool_Type," ",Heating_Type))))))))</f>
        <v/>
      </c>
      <c r="N598" s="298" t="str">
        <f t="shared" si="39"/>
        <v/>
      </c>
      <c r="O598" s="298" t="str">
        <f>IF(B598="", "", 'Lighting Inventory (Ref only)'!G609)</f>
        <v/>
      </c>
      <c r="P598" s="298" t="str">
        <f>IF(B598="", "", 'Lighting Inventory (Ref only)'!E609)</f>
        <v/>
      </c>
      <c r="Q598" s="298" t="str">
        <f>IF(B598="", "", 'Lighting Inventory (Ref only)'!J609)</f>
        <v/>
      </c>
      <c r="R598" s="298" t="str">
        <f>IF(B598="", "",'Lighting Inventory (Ref only)'!K609)</f>
        <v/>
      </c>
      <c r="S598" s="372" t="str">
        <f>IF(B598="", "", 'Lighting Inventory (Ref only)'!G609*'Lighting Inventory (Ref only)'!K609/1000)</f>
        <v/>
      </c>
      <c r="T598" s="298" t="str">
        <f>IF(B598="", "", IF('Lighting Inventory (Ref only)'!I609="", "Light Switch",Inventory!H606))</f>
        <v/>
      </c>
      <c r="X598" s="298" t="str">
        <f>IF(B598="", "", 'Lighting Inventory (Ref only)'!Q609)</f>
        <v/>
      </c>
      <c r="AA598" s="298" t="str">
        <f>IF(B598="", "",'Lighting Inventory (Ref only)'!R609/1000)</f>
        <v/>
      </c>
      <c r="AB598" s="298" t="str">
        <f>IF(B598="", "", Inventory!M606)</f>
        <v/>
      </c>
      <c r="AC598" s="298" t="str">
        <f>IF(B598="", "", 'Lighting Inventory (Ref only)'!T609)</f>
        <v/>
      </c>
      <c r="AD598" s="298" t="str">
        <f>IF(C598="", "", 'Lighting Inventory (Ref only)'!AA609)</f>
        <v/>
      </c>
      <c r="AE598" s="298" t="str">
        <f>IF(B598="", "", 'Lighting Inventory (Ref only)'!U609)</f>
        <v/>
      </c>
      <c r="AF598" s="298" t="str">
        <f>IF(B598="", "",'Lighting Inventory (Ref only)'!W609)</f>
        <v/>
      </c>
      <c r="AH598" s="298" t="str">
        <f>IF(B598="", "",'Lighting Inventory (Ref only)'!Z609)</f>
        <v/>
      </c>
      <c r="AI598" s="298" t="str">
        <f>IF(B598="", "", 'Lighting Inventory (Ref only)'!Y609)</f>
        <v/>
      </c>
      <c r="AJ598" s="298" t="str">
        <f>IF(C598="", "",'Lighting Inventory (Ref only)'!AB609)</f>
        <v/>
      </c>
      <c r="AK598" s="375" t="str">
        <f>IF(B598="", "", 'Lighting Inventory (Ref only)'!AG609)</f>
        <v/>
      </c>
      <c r="AL598" s="375" t="str">
        <f>IF(B598="", "", 'Lighting Inventory (Ref only)'!AD609)</f>
        <v/>
      </c>
      <c r="AM598" s="375" t="str">
        <f>IF(B598="", "", 'Lighting Inventory (Ref only)'!AE609)</f>
        <v/>
      </c>
      <c r="AN598" s="375" t="str">
        <f>IF(B598="", "", 'Lighting Inventory (Ref only)'!AF609)</f>
        <v/>
      </c>
      <c r="AO598" s="375" t="str">
        <f>IF(B598="", "", 'Lighting Inventory (Ref only)'!AG609)</f>
        <v/>
      </c>
    </row>
    <row r="599" spans="1:41">
      <c r="A599" s="298" t="str">
        <f>IF(G599="", "", Lookups!BF601)</f>
        <v/>
      </c>
      <c r="B599" s="298" t="str">
        <f>IF('Lighting Inventory (Ref only)'!Q610="", "", 'Lighting Inventory (Ref only)'!Q610)</f>
        <v/>
      </c>
      <c r="C599" s="298" t="str">
        <f>IF(A599="", "", 'Lighting Inventory (Ref only)'!AO610)</f>
        <v/>
      </c>
      <c r="D599" s="298" t="str">
        <f>IF(B599= "","", Inventory!S607)</f>
        <v/>
      </c>
      <c r="F599" s="298" t="str">
        <f>IF(B599="", "", 'Version Log'!$B$34)</f>
        <v/>
      </c>
      <c r="G599" s="298" t="str">
        <f t="shared" si="36"/>
        <v/>
      </c>
      <c r="H599" s="298" t="str">
        <f t="shared" si="37"/>
        <v/>
      </c>
      <c r="I599" s="298" t="str">
        <f>IF(B599="", "",Inventory!D607)</f>
        <v/>
      </c>
      <c r="J599" s="298" t="str">
        <f>IF(B599="","",IF(Inventory!C607="N","Interior","Exterior"))</f>
        <v/>
      </c>
      <c r="K599" s="298" t="str">
        <f t="shared" si="38"/>
        <v/>
      </c>
      <c r="L599" s="298" t="str">
        <f>IF(B599="", "", Inventory!E607)</f>
        <v/>
      </c>
      <c r="M599" s="298" t="str">
        <f>IF(B599="","",IF(Cool_Type=Lookups!$L$9,Cool_Type,IF(Cool_Type=Lookups!$L$10,Cool_Type,IF(Cool_Type=Lookups!$L$11,Cool_Type,IF(Cool_Type=Lookups!L609,Cool_Type,IF('Project Info and Summary'!$C$20="Electric",CONCATENATE(Cool_Type," ",Heating_Type," Heat"),IF('Project Info and Summary'!$C$20="Non-Electric",CONCATENATE(Cool_Type," ",Heating_Type," Heat"),CONCATENATE(Cool_Type," ",Heating_Type))))))))</f>
        <v/>
      </c>
      <c r="N599" s="298" t="str">
        <f t="shared" si="39"/>
        <v/>
      </c>
      <c r="O599" s="298" t="str">
        <f>IF(B599="", "", 'Lighting Inventory (Ref only)'!G610)</f>
        <v/>
      </c>
      <c r="P599" s="298" t="str">
        <f>IF(B599="", "", 'Lighting Inventory (Ref only)'!E610)</f>
        <v/>
      </c>
      <c r="Q599" s="298" t="str">
        <f>IF(B599="", "", 'Lighting Inventory (Ref only)'!J610)</f>
        <v/>
      </c>
      <c r="R599" s="298" t="str">
        <f>IF(B599="", "",'Lighting Inventory (Ref only)'!K610)</f>
        <v/>
      </c>
      <c r="S599" s="372" t="str">
        <f>IF(B599="", "", 'Lighting Inventory (Ref only)'!G610*'Lighting Inventory (Ref only)'!K610/1000)</f>
        <v/>
      </c>
      <c r="T599" s="298" t="str">
        <f>IF(B599="", "", IF('Lighting Inventory (Ref only)'!I610="", "Light Switch",Inventory!H607))</f>
        <v/>
      </c>
      <c r="X599" s="298" t="str">
        <f>IF(B599="", "", 'Lighting Inventory (Ref only)'!Q610)</f>
        <v/>
      </c>
      <c r="AA599" s="298" t="str">
        <f>IF(B599="", "",'Lighting Inventory (Ref only)'!R610/1000)</f>
        <v/>
      </c>
      <c r="AB599" s="298" t="str">
        <f>IF(B599="", "", Inventory!M607)</f>
        <v/>
      </c>
      <c r="AC599" s="298" t="str">
        <f>IF(B599="", "", 'Lighting Inventory (Ref only)'!T610)</f>
        <v/>
      </c>
      <c r="AD599" s="298" t="str">
        <f>IF(C599="", "", 'Lighting Inventory (Ref only)'!AA610)</f>
        <v/>
      </c>
      <c r="AE599" s="298" t="str">
        <f>IF(B599="", "", 'Lighting Inventory (Ref only)'!U610)</f>
        <v/>
      </c>
      <c r="AF599" s="298" t="str">
        <f>IF(B599="", "",'Lighting Inventory (Ref only)'!W610)</f>
        <v/>
      </c>
      <c r="AH599" s="298" t="str">
        <f>IF(B599="", "",'Lighting Inventory (Ref only)'!Z610)</f>
        <v/>
      </c>
      <c r="AI599" s="298" t="str">
        <f>IF(B599="", "", 'Lighting Inventory (Ref only)'!Y610)</f>
        <v/>
      </c>
      <c r="AJ599" s="298" t="str">
        <f>IF(C599="", "",'Lighting Inventory (Ref only)'!AB610)</f>
        <v/>
      </c>
      <c r="AK599" s="375" t="str">
        <f>IF(B599="", "", 'Lighting Inventory (Ref only)'!AG610)</f>
        <v/>
      </c>
      <c r="AL599" s="375" t="str">
        <f>IF(B599="", "", 'Lighting Inventory (Ref only)'!AD610)</f>
        <v/>
      </c>
      <c r="AM599" s="375" t="str">
        <f>IF(B599="", "", 'Lighting Inventory (Ref only)'!AE610)</f>
        <v/>
      </c>
      <c r="AN599" s="375" t="str">
        <f>IF(B599="", "", 'Lighting Inventory (Ref only)'!AF610)</f>
        <v/>
      </c>
      <c r="AO599" s="375" t="str">
        <f>IF(B599="", "", 'Lighting Inventory (Ref only)'!AG610)</f>
        <v/>
      </c>
    </row>
    <row r="600" spans="1:41">
      <c r="A600" s="298" t="str">
        <f>IF(G600="", "", Lookups!BF602)</f>
        <v/>
      </c>
      <c r="B600" s="298" t="str">
        <f>IF('Lighting Inventory (Ref only)'!Q611="", "", 'Lighting Inventory (Ref only)'!Q611)</f>
        <v/>
      </c>
      <c r="C600" s="298" t="str">
        <f>IF(A600="", "", 'Lighting Inventory (Ref only)'!AO611)</f>
        <v/>
      </c>
      <c r="D600" s="298" t="str">
        <f>IF(B600= "","", Inventory!S608)</f>
        <v/>
      </c>
      <c r="F600" s="298" t="str">
        <f>IF(B600="", "", 'Version Log'!$B$34)</f>
        <v/>
      </c>
      <c r="G600" s="298" t="str">
        <f t="shared" si="36"/>
        <v/>
      </c>
      <c r="H600" s="298" t="str">
        <f t="shared" si="37"/>
        <v/>
      </c>
      <c r="I600" s="298" t="str">
        <f>IF(B600="", "",Inventory!D608)</f>
        <v/>
      </c>
      <c r="J600" s="298" t="str">
        <f>IF(B600="","",IF(Inventory!C608="N","Interior","Exterior"))</f>
        <v/>
      </c>
      <c r="K600" s="298" t="str">
        <f t="shared" si="38"/>
        <v/>
      </c>
      <c r="L600" s="298" t="str">
        <f>IF(B600="", "", Inventory!E608)</f>
        <v/>
      </c>
      <c r="M600" s="298" t="str">
        <f>IF(B600="","",IF(Cool_Type=Lookups!$L$9,Cool_Type,IF(Cool_Type=Lookups!$L$10,Cool_Type,IF(Cool_Type=Lookups!$L$11,Cool_Type,IF(Cool_Type=Lookups!L610,Cool_Type,IF('Project Info and Summary'!$C$20="Electric",CONCATENATE(Cool_Type," ",Heating_Type," Heat"),IF('Project Info and Summary'!$C$20="Non-Electric",CONCATENATE(Cool_Type," ",Heating_Type," Heat"),CONCATENATE(Cool_Type," ",Heating_Type))))))))</f>
        <v/>
      </c>
      <c r="N600" s="298" t="str">
        <f t="shared" si="39"/>
        <v/>
      </c>
      <c r="O600" s="298" t="str">
        <f>IF(B600="", "", 'Lighting Inventory (Ref only)'!G611)</f>
        <v/>
      </c>
      <c r="P600" s="298" t="str">
        <f>IF(B600="", "", 'Lighting Inventory (Ref only)'!E611)</f>
        <v/>
      </c>
      <c r="Q600" s="298" t="str">
        <f>IF(B600="", "", 'Lighting Inventory (Ref only)'!J611)</f>
        <v/>
      </c>
      <c r="R600" s="298" t="str">
        <f>IF(B600="", "",'Lighting Inventory (Ref only)'!K611)</f>
        <v/>
      </c>
      <c r="S600" s="372" t="str">
        <f>IF(B600="", "", 'Lighting Inventory (Ref only)'!G611*'Lighting Inventory (Ref only)'!K611/1000)</f>
        <v/>
      </c>
      <c r="T600" s="298" t="str">
        <f>IF(B600="", "", IF('Lighting Inventory (Ref only)'!I611="", "Light Switch",Inventory!H608))</f>
        <v/>
      </c>
      <c r="X600" s="298" t="str">
        <f>IF(B600="", "", 'Lighting Inventory (Ref only)'!Q611)</f>
        <v/>
      </c>
      <c r="AA600" s="298" t="str">
        <f>IF(B600="", "",'Lighting Inventory (Ref only)'!R611/1000)</f>
        <v/>
      </c>
      <c r="AB600" s="298" t="str">
        <f>IF(B600="", "", Inventory!M608)</f>
        <v/>
      </c>
      <c r="AC600" s="298" t="str">
        <f>IF(B600="", "", 'Lighting Inventory (Ref only)'!T611)</f>
        <v/>
      </c>
      <c r="AD600" s="298" t="str">
        <f>IF(C600="", "", 'Lighting Inventory (Ref only)'!AA611)</f>
        <v/>
      </c>
      <c r="AE600" s="298" t="str">
        <f>IF(B600="", "", 'Lighting Inventory (Ref only)'!U611)</f>
        <v/>
      </c>
      <c r="AF600" s="298" t="str">
        <f>IF(B600="", "",'Lighting Inventory (Ref only)'!W611)</f>
        <v/>
      </c>
      <c r="AH600" s="298" t="str">
        <f>IF(B600="", "",'Lighting Inventory (Ref only)'!Z611)</f>
        <v/>
      </c>
      <c r="AI600" s="298" t="str">
        <f>IF(B600="", "", 'Lighting Inventory (Ref only)'!Y611)</f>
        <v/>
      </c>
      <c r="AJ600" s="298" t="str">
        <f>IF(C600="", "",'Lighting Inventory (Ref only)'!AB611)</f>
        <v/>
      </c>
      <c r="AK600" s="375" t="str">
        <f>IF(B600="", "", 'Lighting Inventory (Ref only)'!AG611)</f>
        <v/>
      </c>
      <c r="AL600" s="375" t="str">
        <f>IF(B600="", "", 'Lighting Inventory (Ref only)'!AD611)</f>
        <v/>
      </c>
      <c r="AM600" s="375" t="str">
        <f>IF(B600="", "", 'Lighting Inventory (Ref only)'!AE611)</f>
        <v/>
      </c>
      <c r="AN600" s="375" t="str">
        <f>IF(B600="", "", 'Lighting Inventory (Ref only)'!AF611)</f>
        <v/>
      </c>
      <c r="AO600" s="375" t="str">
        <f>IF(B600="", "", 'Lighting Inventory (Ref only)'!AG611)</f>
        <v/>
      </c>
    </row>
    <row r="601" spans="1:41">
      <c r="A601" s="298" t="str">
        <f>IF(G601="", "", Lookups!BF603)</f>
        <v/>
      </c>
      <c r="B601" s="298" t="str">
        <f>IF('Lighting Inventory (Ref only)'!Q612="", "", 'Lighting Inventory (Ref only)'!Q612)</f>
        <v/>
      </c>
      <c r="C601" s="298" t="str">
        <f>IF(A601="", "", 'Lighting Inventory (Ref only)'!AO612)</f>
        <v/>
      </c>
      <c r="D601" s="298" t="str">
        <f>IF(B601= "","", Inventory!S609)</f>
        <v/>
      </c>
      <c r="F601" s="298" t="str">
        <f>IF(B601="", "", 'Version Log'!$B$34)</f>
        <v/>
      </c>
      <c r="G601" s="298" t="str">
        <f t="shared" si="36"/>
        <v/>
      </c>
      <c r="H601" s="298" t="str">
        <f t="shared" si="37"/>
        <v/>
      </c>
      <c r="I601" s="298" t="str">
        <f>IF(B601="", "",Inventory!D609)</f>
        <v/>
      </c>
      <c r="J601" s="298" t="str">
        <f>IF(B601="","",IF(Inventory!C609="N","Interior","Exterior"))</f>
        <v/>
      </c>
      <c r="K601" s="298" t="str">
        <f t="shared" si="38"/>
        <v/>
      </c>
      <c r="L601" s="298" t="str">
        <f>IF(B601="", "", Inventory!E609)</f>
        <v/>
      </c>
      <c r="M601" s="298" t="str">
        <f>IF(B601="","",IF(Cool_Type=Lookups!$L$9,Cool_Type,IF(Cool_Type=Lookups!$L$10,Cool_Type,IF(Cool_Type=Lookups!$L$11,Cool_Type,IF(Cool_Type=Lookups!L611,Cool_Type,IF('Project Info and Summary'!$C$20="Electric",CONCATENATE(Cool_Type," ",Heating_Type," Heat"),IF('Project Info and Summary'!$C$20="Non-Electric",CONCATENATE(Cool_Type," ",Heating_Type," Heat"),CONCATENATE(Cool_Type," ",Heating_Type))))))))</f>
        <v/>
      </c>
      <c r="N601" s="298" t="str">
        <f t="shared" si="39"/>
        <v/>
      </c>
      <c r="O601" s="298" t="str">
        <f>IF(B601="", "", 'Lighting Inventory (Ref only)'!G612)</f>
        <v/>
      </c>
      <c r="P601" s="298" t="str">
        <f>IF(B601="", "", 'Lighting Inventory (Ref only)'!E612)</f>
        <v/>
      </c>
      <c r="Q601" s="298" t="str">
        <f>IF(B601="", "", 'Lighting Inventory (Ref only)'!J612)</f>
        <v/>
      </c>
      <c r="R601" s="298" t="str">
        <f>IF(B601="", "",'Lighting Inventory (Ref only)'!K612)</f>
        <v/>
      </c>
      <c r="S601" s="372" t="str">
        <f>IF(B601="", "", 'Lighting Inventory (Ref only)'!G612*'Lighting Inventory (Ref only)'!K612/1000)</f>
        <v/>
      </c>
      <c r="T601" s="298" t="str">
        <f>IF(B601="", "", IF('Lighting Inventory (Ref only)'!I612="", "Light Switch",Inventory!H609))</f>
        <v/>
      </c>
      <c r="X601" s="298" t="str">
        <f>IF(B601="", "", 'Lighting Inventory (Ref only)'!Q612)</f>
        <v/>
      </c>
      <c r="AA601" s="298" t="str">
        <f>IF(B601="", "",'Lighting Inventory (Ref only)'!R612/1000)</f>
        <v/>
      </c>
      <c r="AB601" s="298" t="str">
        <f>IF(B601="", "", Inventory!M609)</f>
        <v/>
      </c>
      <c r="AC601" s="298" t="str">
        <f>IF(B601="", "", 'Lighting Inventory (Ref only)'!T612)</f>
        <v/>
      </c>
      <c r="AD601" s="298" t="str">
        <f>IF(C601="", "", 'Lighting Inventory (Ref only)'!AA612)</f>
        <v/>
      </c>
      <c r="AE601" s="298" t="str">
        <f>IF(B601="", "", 'Lighting Inventory (Ref only)'!U612)</f>
        <v/>
      </c>
      <c r="AF601" s="298" t="str">
        <f>IF(B601="", "",'Lighting Inventory (Ref only)'!W612)</f>
        <v/>
      </c>
      <c r="AH601" s="298" t="str">
        <f>IF(B601="", "",'Lighting Inventory (Ref only)'!Z612)</f>
        <v/>
      </c>
      <c r="AI601" s="298" t="str">
        <f>IF(B601="", "", 'Lighting Inventory (Ref only)'!Y612)</f>
        <v/>
      </c>
      <c r="AJ601" s="298" t="str">
        <f>IF(C601="", "",'Lighting Inventory (Ref only)'!AB612)</f>
        <v/>
      </c>
      <c r="AK601" s="375" t="str">
        <f>IF(B601="", "", 'Lighting Inventory (Ref only)'!AG612)</f>
        <v/>
      </c>
      <c r="AL601" s="375" t="str">
        <f>IF(B601="", "", 'Lighting Inventory (Ref only)'!AD612)</f>
        <v/>
      </c>
      <c r="AM601" s="375" t="str">
        <f>IF(B601="", "", 'Lighting Inventory (Ref only)'!AE612)</f>
        <v/>
      </c>
      <c r="AN601" s="375" t="str">
        <f>IF(B601="", "", 'Lighting Inventory (Ref only)'!AF612)</f>
        <v/>
      </c>
      <c r="AO601" s="375" t="str">
        <f>IF(B601="", "", 'Lighting Inventory (Ref only)'!AG612)</f>
        <v/>
      </c>
    </row>
    <row r="602" spans="1:41">
      <c r="A602" s="298" t="str">
        <f>IF(G602="", "", Lookups!BF604)</f>
        <v/>
      </c>
      <c r="B602" s="298" t="str">
        <f>IF('Lighting Inventory (Ref only)'!Q613="", "", 'Lighting Inventory (Ref only)'!Q613)</f>
        <v/>
      </c>
      <c r="C602" s="298" t="str">
        <f>IF(A602="", "", 'Lighting Inventory (Ref only)'!AO613)</f>
        <v/>
      </c>
      <c r="D602" s="298" t="str">
        <f>IF(B602= "","", Inventory!S610)</f>
        <v/>
      </c>
      <c r="F602" s="298" t="str">
        <f>IF(B602="", "", 'Version Log'!$B$34)</f>
        <v/>
      </c>
      <c r="G602" s="298" t="str">
        <f t="shared" si="36"/>
        <v/>
      </c>
      <c r="H602" s="298" t="str">
        <f t="shared" si="37"/>
        <v/>
      </c>
      <c r="I602" s="298" t="str">
        <f>IF(B602="", "",Inventory!D610)</f>
        <v/>
      </c>
      <c r="J602" s="298" t="str">
        <f>IF(B602="","",IF(Inventory!C610="N","Interior","Exterior"))</f>
        <v/>
      </c>
      <c r="K602" s="298" t="str">
        <f t="shared" si="38"/>
        <v/>
      </c>
      <c r="L602" s="298" t="str">
        <f>IF(B602="", "", Inventory!E610)</f>
        <v/>
      </c>
      <c r="M602" s="298" t="str">
        <f>IF(B602="","",IF(Cool_Type=Lookups!$L$9,Cool_Type,IF(Cool_Type=Lookups!$L$10,Cool_Type,IF(Cool_Type=Lookups!$L$11,Cool_Type,IF(Cool_Type=Lookups!L612,Cool_Type,IF('Project Info and Summary'!$C$20="Electric",CONCATENATE(Cool_Type," ",Heating_Type," Heat"),IF('Project Info and Summary'!$C$20="Non-Electric",CONCATENATE(Cool_Type," ",Heating_Type," Heat"),CONCATENATE(Cool_Type," ",Heating_Type))))))))</f>
        <v/>
      </c>
      <c r="N602" s="298" t="str">
        <f t="shared" si="39"/>
        <v/>
      </c>
      <c r="O602" s="298" t="str">
        <f>IF(B602="", "", 'Lighting Inventory (Ref only)'!G613)</f>
        <v/>
      </c>
      <c r="P602" s="298" t="str">
        <f>IF(B602="", "", 'Lighting Inventory (Ref only)'!E613)</f>
        <v/>
      </c>
      <c r="Q602" s="298" t="str">
        <f>IF(B602="", "", 'Lighting Inventory (Ref only)'!J613)</f>
        <v/>
      </c>
      <c r="R602" s="298" t="str">
        <f>IF(B602="", "",'Lighting Inventory (Ref only)'!K613)</f>
        <v/>
      </c>
      <c r="S602" s="372" t="str">
        <f>IF(B602="", "", 'Lighting Inventory (Ref only)'!G613*'Lighting Inventory (Ref only)'!K613/1000)</f>
        <v/>
      </c>
      <c r="T602" s="298" t="str">
        <f>IF(B602="", "", IF('Lighting Inventory (Ref only)'!I613="", "Light Switch",Inventory!H610))</f>
        <v/>
      </c>
      <c r="X602" s="298" t="str">
        <f>IF(B602="", "", 'Lighting Inventory (Ref only)'!Q613)</f>
        <v/>
      </c>
      <c r="AA602" s="298" t="str">
        <f>IF(B602="", "",'Lighting Inventory (Ref only)'!R613/1000)</f>
        <v/>
      </c>
      <c r="AB602" s="298" t="str">
        <f>IF(B602="", "", Inventory!M610)</f>
        <v/>
      </c>
      <c r="AC602" s="298" t="str">
        <f>IF(B602="", "", 'Lighting Inventory (Ref only)'!T613)</f>
        <v/>
      </c>
      <c r="AD602" s="298" t="str">
        <f>IF(C602="", "", 'Lighting Inventory (Ref only)'!AA613)</f>
        <v/>
      </c>
      <c r="AE602" s="298" t="str">
        <f>IF(B602="", "", 'Lighting Inventory (Ref only)'!U613)</f>
        <v/>
      </c>
      <c r="AF602" s="298" t="str">
        <f>IF(B602="", "",'Lighting Inventory (Ref only)'!W613)</f>
        <v/>
      </c>
      <c r="AH602" s="298" t="str">
        <f>IF(B602="", "",'Lighting Inventory (Ref only)'!Z613)</f>
        <v/>
      </c>
      <c r="AI602" s="298" t="str">
        <f>IF(B602="", "", 'Lighting Inventory (Ref only)'!Y613)</f>
        <v/>
      </c>
      <c r="AJ602" s="298" t="str">
        <f>IF(C602="", "",'Lighting Inventory (Ref only)'!AB613)</f>
        <v/>
      </c>
      <c r="AK602" s="375" t="str">
        <f>IF(B602="", "", 'Lighting Inventory (Ref only)'!AG613)</f>
        <v/>
      </c>
      <c r="AL602" s="375" t="str">
        <f>IF(B602="", "", 'Lighting Inventory (Ref only)'!AD613)</f>
        <v/>
      </c>
      <c r="AM602" s="375" t="str">
        <f>IF(B602="", "", 'Lighting Inventory (Ref only)'!AE613)</f>
        <v/>
      </c>
      <c r="AN602" s="375" t="str">
        <f>IF(B602="", "", 'Lighting Inventory (Ref only)'!AF613)</f>
        <v/>
      </c>
      <c r="AO602" s="375" t="str">
        <f>IF(B602="", "", 'Lighting Inventory (Ref only)'!AG613)</f>
        <v/>
      </c>
    </row>
    <row r="603" spans="1:41">
      <c r="A603" s="298" t="str">
        <f>IF(G603="", "", Lookups!BF605)</f>
        <v/>
      </c>
      <c r="B603" s="298" t="str">
        <f>IF('Lighting Inventory (Ref only)'!Q614="", "", 'Lighting Inventory (Ref only)'!Q614)</f>
        <v/>
      </c>
      <c r="C603" s="298" t="str">
        <f>IF(A603="", "", 'Lighting Inventory (Ref only)'!AO614)</f>
        <v/>
      </c>
      <c r="D603" s="298" t="str">
        <f>IF(B603= "","", Inventory!S611)</f>
        <v/>
      </c>
      <c r="F603" s="298" t="str">
        <f>IF(B603="", "", 'Version Log'!$B$34)</f>
        <v/>
      </c>
      <c r="G603" s="298" t="str">
        <f t="shared" si="36"/>
        <v/>
      </c>
      <c r="H603" s="298" t="str">
        <f t="shared" si="37"/>
        <v/>
      </c>
      <c r="I603" s="298" t="str">
        <f>IF(B603="", "",Inventory!D611)</f>
        <v/>
      </c>
      <c r="J603" s="298" t="str">
        <f>IF(B603="","",IF(Inventory!C611="N","Interior","Exterior"))</f>
        <v/>
      </c>
      <c r="K603" s="298" t="str">
        <f t="shared" si="38"/>
        <v/>
      </c>
      <c r="L603" s="298" t="str">
        <f>IF(B603="", "", Inventory!E611)</f>
        <v/>
      </c>
      <c r="M603" s="298" t="str">
        <f>IF(B603="","",IF(Cool_Type=Lookups!$L$9,Cool_Type,IF(Cool_Type=Lookups!$L$10,Cool_Type,IF(Cool_Type=Lookups!$L$11,Cool_Type,IF(Cool_Type=Lookups!L613,Cool_Type,IF('Project Info and Summary'!$C$20="Electric",CONCATENATE(Cool_Type," ",Heating_Type," Heat"),IF('Project Info and Summary'!$C$20="Non-Electric",CONCATENATE(Cool_Type," ",Heating_Type," Heat"),CONCATENATE(Cool_Type," ",Heating_Type))))))))</f>
        <v/>
      </c>
      <c r="N603" s="298" t="str">
        <f t="shared" si="39"/>
        <v/>
      </c>
      <c r="O603" s="298" t="str">
        <f>IF(B603="", "", 'Lighting Inventory (Ref only)'!G614)</f>
        <v/>
      </c>
      <c r="P603" s="298" t="str">
        <f>IF(B603="", "", 'Lighting Inventory (Ref only)'!E614)</f>
        <v/>
      </c>
      <c r="Q603" s="298" t="str">
        <f>IF(B603="", "", 'Lighting Inventory (Ref only)'!J614)</f>
        <v/>
      </c>
      <c r="R603" s="298" t="str">
        <f>IF(B603="", "",'Lighting Inventory (Ref only)'!K614)</f>
        <v/>
      </c>
      <c r="S603" s="372" t="str">
        <f>IF(B603="", "", 'Lighting Inventory (Ref only)'!G614*'Lighting Inventory (Ref only)'!K614/1000)</f>
        <v/>
      </c>
      <c r="T603" s="298" t="str">
        <f>IF(B603="", "", IF('Lighting Inventory (Ref only)'!I614="", "Light Switch",Inventory!H611))</f>
        <v/>
      </c>
      <c r="X603" s="298" t="str">
        <f>IF(B603="", "", 'Lighting Inventory (Ref only)'!Q614)</f>
        <v/>
      </c>
      <c r="AA603" s="298" t="str">
        <f>IF(B603="", "",'Lighting Inventory (Ref only)'!R614/1000)</f>
        <v/>
      </c>
      <c r="AB603" s="298" t="str">
        <f>IF(B603="", "", Inventory!M611)</f>
        <v/>
      </c>
      <c r="AC603" s="298" t="str">
        <f>IF(B603="", "", 'Lighting Inventory (Ref only)'!T614)</f>
        <v/>
      </c>
      <c r="AD603" s="298" t="str">
        <f>IF(C603="", "", 'Lighting Inventory (Ref only)'!AA614)</f>
        <v/>
      </c>
      <c r="AE603" s="298" t="str">
        <f>IF(B603="", "", 'Lighting Inventory (Ref only)'!U614)</f>
        <v/>
      </c>
      <c r="AF603" s="298" t="str">
        <f>IF(B603="", "",'Lighting Inventory (Ref only)'!W614)</f>
        <v/>
      </c>
      <c r="AH603" s="298" t="str">
        <f>IF(B603="", "",'Lighting Inventory (Ref only)'!Z614)</f>
        <v/>
      </c>
      <c r="AI603" s="298" t="str">
        <f>IF(B603="", "", 'Lighting Inventory (Ref only)'!Y614)</f>
        <v/>
      </c>
      <c r="AJ603" s="298" t="str">
        <f>IF(C603="", "",'Lighting Inventory (Ref only)'!AB614)</f>
        <v/>
      </c>
      <c r="AK603" s="375" t="str">
        <f>IF(B603="", "", 'Lighting Inventory (Ref only)'!AG614)</f>
        <v/>
      </c>
      <c r="AL603" s="375" t="str">
        <f>IF(B603="", "", 'Lighting Inventory (Ref only)'!AD614)</f>
        <v/>
      </c>
      <c r="AM603" s="375" t="str">
        <f>IF(B603="", "", 'Lighting Inventory (Ref only)'!AE614)</f>
        <v/>
      </c>
      <c r="AN603" s="375" t="str">
        <f>IF(B603="", "", 'Lighting Inventory (Ref only)'!AF614)</f>
        <v/>
      </c>
      <c r="AO603" s="375" t="str">
        <f>IF(B603="", "", 'Lighting Inventory (Ref only)'!AG614)</f>
        <v/>
      </c>
    </row>
    <row r="604" spans="1:41">
      <c r="A604" s="298" t="str">
        <f>IF(G604="", "", Lookups!BF606)</f>
        <v/>
      </c>
      <c r="B604" s="298" t="str">
        <f>IF('Lighting Inventory (Ref only)'!Q615="", "", 'Lighting Inventory (Ref only)'!Q615)</f>
        <v/>
      </c>
      <c r="C604" s="298" t="str">
        <f>IF(A604="", "", 'Lighting Inventory (Ref only)'!AO615)</f>
        <v/>
      </c>
      <c r="D604" s="298" t="str">
        <f>IF(B604= "","", Inventory!S612)</f>
        <v/>
      </c>
      <c r="F604" s="298" t="str">
        <f>IF(B604="", "", 'Version Log'!$B$34)</f>
        <v/>
      </c>
      <c r="G604" s="298" t="str">
        <f t="shared" si="36"/>
        <v/>
      </c>
      <c r="H604" s="298" t="str">
        <f t="shared" si="37"/>
        <v/>
      </c>
      <c r="I604" s="298" t="str">
        <f>IF(B604="", "",Inventory!D612)</f>
        <v/>
      </c>
      <c r="J604" s="298" t="str">
        <f>IF(B604="","",IF(Inventory!C612="N","Interior","Exterior"))</f>
        <v/>
      </c>
      <c r="K604" s="298" t="str">
        <f t="shared" si="38"/>
        <v/>
      </c>
      <c r="L604" s="298" t="str">
        <f>IF(B604="", "", Inventory!E612)</f>
        <v/>
      </c>
      <c r="M604" s="298" t="str">
        <f>IF(B604="","",IF(Cool_Type=Lookups!$L$9,Cool_Type,IF(Cool_Type=Lookups!$L$10,Cool_Type,IF(Cool_Type=Lookups!$L$11,Cool_Type,IF(Cool_Type=Lookups!L614,Cool_Type,IF('Project Info and Summary'!$C$20="Electric",CONCATENATE(Cool_Type," ",Heating_Type," Heat"),IF('Project Info and Summary'!$C$20="Non-Electric",CONCATENATE(Cool_Type," ",Heating_Type," Heat"),CONCATENATE(Cool_Type," ",Heating_Type))))))))</f>
        <v/>
      </c>
      <c r="N604" s="298" t="str">
        <f t="shared" si="39"/>
        <v/>
      </c>
      <c r="O604" s="298" t="str">
        <f>IF(B604="", "", 'Lighting Inventory (Ref only)'!G615)</f>
        <v/>
      </c>
      <c r="P604" s="298" t="str">
        <f>IF(B604="", "", 'Lighting Inventory (Ref only)'!E615)</f>
        <v/>
      </c>
      <c r="Q604" s="298" t="str">
        <f>IF(B604="", "", 'Lighting Inventory (Ref only)'!J615)</f>
        <v/>
      </c>
      <c r="R604" s="298" t="str">
        <f>IF(B604="", "",'Lighting Inventory (Ref only)'!K615)</f>
        <v/>
      </c>
      <c r="S604" s="372" t="str">
        <f>IF(B604="", "", 'Lighting Inventory (Ref only)'!G615*'Lighting Inventory (Ref only)'!K615/1000)</f>
        <v/>
      </c>
      <c r="T604" s="298" t="str">
        <f>IF(B604="", "", IF('Lighting Inventory (Ref only)'!I615="", "Light Switch",Inventory!H612))</f>
        <v/>
      </c>
      <c r="X604" s="298" t="str">
        <f>IF(B604="", "", 'Lighting Inventory (Ref only)'!Q615)</f>
        <v/>
      </c>
      <c r="AA604" s="298" t="str">
        <f>IF(B604="", "",'Lighting Inventory (Ref only)'!R615/1000)</f>
        <v/>
      </c>
      <c r="AB604" s="298" t="str">
        <f>IF(B604="", "", Inventory!M612)</f>
        <v/>
      </c>
      <c r="AC604" s="298" t="str">
        <f>IF(B604="", "", 'Lighting Inventory (Ref only)'!T615)</f>
        <v/>
      </c>
      <c r="AD604" s="298" t="str">
        <f>IF(C604="", "", 'Lighting Inventory (Ref only)'!AA615)</f>
        <v/>
      </c>
      <c r="AE604" s="298" t="str">
        <f>IF(B604="", "", 'Lighting Inventory (Ref only)'!U615)</f>
        <v/>
      </c>
      <c r="AF604" s="298" t="str">
        <f>IF(B604="", "",'Lighting Inventory (Ref only)'!W615)</f>
        <v/>
      </c>
      <c r="AH604" s="298" t="str">
        <f>IF(B604="", "",'Lighting Inventory (Ref only)'!Z615)</f>
        <v/>
      </c>
      <c r="AI604" s="298" t="str">
        <f>IF(B604="", "", 'Lighting Inventory (Ref only)'!Y615)</f>
        <v/>
      </c>
      <c r="AJ604" s="298" t="str">
        <f>IF(C604="", "",'Lighting Inventory (Ref only)'!AB615)</f>
        <v/>
      </c>
      <c r="AK604" s="375" t="str">
        <f>IF(B604="", "", 'Lighting Inventory (Ref only)'!AG615)</f>
        <v/>
      </c>
      <c r="AL604" s="375" t="str">
        <f>IF(B604="", "", 'Lighting Inventory (Ref only)'!AD615)</f>
        <v/>
      </c>
      <c r="AM604" s="375" t="str">
        <f>IF(B604="", "", 'Lighting Inventory (Ref only)'!AE615)</f>
        <v/>
      </c>
      <c r="AN604" s="375" t="str">
        <f>IF(B604="", "", 'Lighting Inventory (Ref only)'!AF615)</f>
        <v/>
      </c>
      <c r="AO604" s="375" t="str">
        <f>IF(B604="", "", 'Lighting Inventory (Ref only)'!AG615)</f>
        <v/>
      </c>
    </row>
    <row r="605" spans="1:41">
      <c r="A605" s="298" t="str">
        <f>IF(G605="", "", Lookups!BF607)</f>
        <v/>
      </c>
      <c r="B605" s="298" t="str">
        <f>IF('Lighting Inventory (Ref only)'!Q616="", "", 'Lighting Inventory (Ref only)'!Q616)</f>
        <v/>
      </c>
      <c r="C605" s="298" t="str">
        <f>IF(A605="", "", 'Lighting Inventory (Ref only)'!AO616)</f>
        <v/>
      </c>
      <c r="D605" s="298" t="str">
        <f>IF(B605= "","", Inventory!S613)</f>
        <v/>
      </c>
      <c r="F605" s="298" t="str">
        <f>IF(B605="", "", 'Version Log'!$B$34)</f>
        <v/>
      </c>
      <c r="G605" s="298" t="str">
        <f t="shared" si="36"/>
        <v/>
      </c>
      <c r="H605" s="298" t="str">
        <f t="shared" si="37"/>
        <v/>
      </c>
      <c r="I605" s="298" t="str">
        <f>IF(B605="", "",Inventory!D613)</f>
        <v/>
      </c>
      <c r="J605" s="298" t="str">
        <f>IF(B605="","",IF(Inventory!C613="N","Interior","Exterior"))</f>
        <v/>
      </c>
      <c r="K605" s="298" t="str">
        <f t="shared" si="38"/>
        <v/>
      </c>
      <c r="L605" s="298" t="str">
        <f>IF(B605="", "", Inventory!E613)</f>
        <v/>
      </c>
      <c r="M605" s="298" t="str">
        <f>IF(B605="","",IF(Cool_Type=Lookups!$L$9,Cool_Type,IF(Cool_Type=Lookups!$L$10,Cool_Type,IF(Cool_Type=Lookups!$L$11,Cool_Type,IF(Cool_Type=Lookups!L615,Cool_Type,IF('Project Info and Summary'!$C$20="Electric",CONCATENATE(Cool_Type," ",Heating_Type," Heat"),IF('Project Info and Summary'!$C$20="Non-Electric",CONCATENATE(Cool_Type," ",Heating_Type," Heat"),CONCATENATE(Cool_Type," ",Heating_Type))))))))</f>
        <v/>
      </c>
      <c r="N605" s="298" t="str">
        <f t="shared" si="39"/>
        <v/>
      </c>
      <c r="O605" s="298" t="str">
        <f>IF(B605="", "", 'Lighting Inventory (Ref only)'!G616)</f>
        <v/>
      </c>
      <c r="P605" s="298" t="str">
        <f>IF(B605="", "", 'Lighting Inventory (Ref only)'!E616)</f>
        <v/>
      </c>
      <c r="Q605" s="298" t="str">
        <f>IF(B605="", "", 'Lighting Inventory (Ref only)'!J616)</f>
        <v/>
      </c>
      <c r="R605" s="298" t="str">
        <f>IF(B605="", "",'Lighting Inventory (Ref only)'!K616)</f>
        <v/>
      </c>
      <c r="S605" s="372" t="str">
        <f>IF(B605="", "", 'Lighting Inventory (Ref only)'!G616*'Lighting Inventory (Ref only)'!K616/1000)</f>
        <v/>
      </c>
      <c r="T605" s="298" t="str">
        <f>IF(B605="", "", IF('Lighting Inventory (Ref only)'!I616="", "Light Switch",Inventory!H613))</f>
        <v/>
      </c>
      <c r="X605" s="298" t="str">
        <f>IF(B605="", "", 'Lighting Inventory (Ref only)'!Q616)</f>
        <v/>
      </c>
      <c r="AA605" s="298" t="str">
        <f>IF(B605="", "",'Lighting Inventory (Ref only)'!R616/1000)</f>
        <v/>
      </c>
      <c r="AB605" s="298" t="str">
        <f>IF(B605="", "", Inventory!M613)</f>
        <v/>
      </c>
      <c r="AC605" s="298" t="str">
        <f>IF(B605="", "", 'Lighting Inventory (Ref only)'!T616)</f>
        <v/>
      </c>
      <c r="AD605" s="298" t="str">
        <f>IF(C605="", "", 'Lighting Inventory (Ref only)'!AA616)</f>
        <v/>
      </c>
      <c r="AE605" s="298" t="str">
        <f>IF(B605="", "", 'Lighting Inventory (Ref only)'!U616)</f>
        <v/>
      </c>
      <c r="AF605" s="298" t="str">
        <f>IF(B605="", "",'Lighting Inventory (Ref only)'!W616)</f>
        <v/>
      </c>
      <c r="AH605" s="298" t="str">
        <f>IF(B605="", "",'Lighting Inventory (Ref only)'!Z616)</f>
        <v/>
      </c>
      <c r="AI605" s="298" t="str">
        <f>IF(B605="", "", 'Lighting Inventory (Ref only)'!Y616)</f>
        <v/>
      </c>
      <c r="AJ605" s="298" t="str">
        <f>IF(C605="", "",'Lighting Inventory (Ref only)'!AB616)</f>
        <v/>
      </c>
      <c r="AK605" s="375" t="str">
        <f>IF(B605="", "", 'Lighting Inventory (Ref only)'!AG616)</f>
        <v/>
      </c>
      <c r="AL605" s="375" t="str">
        <f>IF(B605="", "", 'Lighting Inventory (Ref only)'!AD616)</f>
        <v/>
      </c>
      <c r="AM605" s="375" t="str">
        <f>IF(B605="", "", 'Lighting Inventory (Ref only)'!AE616)</f>
        <v/>
      </c>
      <c r="AN605" s="375" t="str">
        <f>IF(B605="", "", 'Lighting Inventory (Ref only)'!AF616)</f>
        <v/>
      </c>
      <c r="AO605" s="375" t="str">
        <f>IF(B605="", "", 'Lighting Inventory (Ref only)'!AG616)</f>
        <v/>
      </c>
    </row>
    <row r="606" spans="1:41">
      <c r="A606" s="298" t="str">
        <f>IF(G606="", "", Lookups!BF608)</f>
        <v/>
      </c>
      <c r="B606" s="298" t="str">
        <f>IF('Lighting Inventory (Ref only)'!Q617="", "", 'Lighting Inventory (Ref only)'!Q617)</f>
        <v/>
      </c>
      <c r="C606" s="298" t="str">
        <f>IF(A606="", "", 'Lighting Inventory (Ref only)'!AO617)</f>
        <v/>
      </c>
      <c r="D606" s="298" t="str">
        <f>IF(B606= "","", Inventory!S614)</f>
        <v/>
      </c>
      <c r="F606" s="298" t="str">
        <f>IF(B606="", "", 'Version Log'!$B$34)</f>
        <v/>
      </c>
      <c r="G606" s="298" t="str">
        <f t="shared" si="36"/>
        <v/>
      </c>
      <c r="H606" s="298" t="str">
        <f t="shared" si="37"/>
        <v/>
      </c>
      <c r="I606" s="298" t="str">
        <f>IF(B606="", "",Inventory!D614)</f>
        <v/>
      </c>
      <c r="J606" s="298" t="str">
        <f>IF(B606="","",IF(Inventory!C614="N","Interior","Exterior"))</f>
        <v/>
      </c>
      <c r="K606" s="298" t="str">
        <f t="shared" si="38"/>
        <v/>
      </c>
      <c r="L606" s="298" t="str">
        <f>IF(B606="", "", Inventory!E614)</f>
        <v/>
      </c>
      <c r="M606" s="298" t="str">
        <f>IF(B606="","",IF(Cool_Type=Lookups!$L$9,Cool_Type,IF(Cool_Type=Lookups!$L$10,Cool_Type,IF(Cool_Type=Lookups!$L$11,Cool_Type,IF(Cool_Type=Lookups!L616,Cool_Type,IF('Project Info and Summary'!$C$20="Electric",CONCATENATE(Cool_Type," ",Heating_Type," Heat"),IF('Project Info and Summary'!$C$20="Non-Electric",CONCATENATE(Cool_Type," ",Heating_Type," Heat"),CONCATENATE(Cool_Type," ",Heating_Type))))))))</f>
        <v/>
      </c>
      <c r="N606" s="298" t="str">
        <f t="shared" si="39"/>
        <v/>
      </c>
      <c r="O606" s="298" t="str">
        <f>IF(B606="", "", 'Lighting Inventory (Ref only)'!G617)</f>
        <v/>
      </c>
      <c r="P606" s="298" t="str">
        <f>IF(B606="", "", 'Lighting Inventory (Ref only)'!E617)</f>
        <v/>
      </c>
      <c r="Q606" s="298" t="str">
        <f>IF(B606="", "", 'Lighting Inventory (Ref only)'!J617)</f>
        <v/>
      </c>
      <c r="R606" s="298" t="str">
        <f>IF(B606="", "",'Lighting Inventory (Ref only)'!K617)</f>
        <v/>
      </c>
      <c r="S606" s="372" t="str">
        <f>IF(B606="", "", 'Lighting Inventory (Ref only)'!G617*'Lighting Inventory (Ref only)'!K617/1000)</f>
        <v/>
      </c>
      <c r="T606" s="298" t="str">
        <f>IF(B606="", "", IF('Lighting Inventory (Ref only)'!I617="", "Light Switch",Inventory!H614))</f>
        <v/>
      </c>
      <c r="X606" s="298" t="str">
        <f>IF(B606="", "", 'Lighting Inventory (Ref only)'!Q617)</f>
        <v/>
      </c>
      <c r="AA606" s="298" t="str">
        <f>IF(B606="", "",'Lighting Inventory (Ref only)'!R617/1000)</f>
        <v/>
      </c>
      <c r="AB606" s="298" t="str">
        <f>IF(B606="", "", Inventory!M614)</f>
        <v/>
      </c>
      <c r="AC606" s="298" t="str">
        <f>IF(B606="", "", 'Lighting Inventory (Ref only)'!T617)</f>
        <v/>
      </c>
      <c r="AD606" s="298" t="str">
        <f>IF(C606="", "", 'Lighting Inventory (Ref only)'!AA617)</f>
        <v/>
      </c>
      <c r="AE606" s="298" t="str">
        <f>IF(B606="", "", 'Lighting Inventory (Ref only)'!U617)</f>
        <v/>
      </c>
      <c r="AF606" s="298" t="str">
        <f>IF(B606="", "",'Lighting Inventory (Ref only)'!W617)</f>
        <v/>
      </c>
      <c r="AH606" s="298" t="str">
        <f>IF(B606="", "",'Lighting Inventory (Ref only)'!Z617)</f>
        <v/>
      </c>
      <c r="AI606" s="298" t="str">
        <f>IF(B606="", "", 'Lighting Inventory (Ref only)'!Y617)</f>
        <v/>
      </c>
      <c r="AJ606" s="298" t="str">
        <f>IF(C606="", "",'Lighting Inventory (Ref only)'!AB617)</f>
        <v/>
      </c>
      <c r="AK606" s="375" t="str">
        <f>IF(B606="", "", 'Lighting Inventory (Ref only)'!AG617)</f>
        <v/>
      </c>
      <c r="AL606" s="375" t="str">
        <f>IF(B606="", "", 'Lighting Inventory (Ref only)'!AD617)</f>
        <v/>
      </c>
      <c r="AM606" s="375" t="str">
        <f>IF(B606="", "", 'Lighting Inventory (Ref only)'!AE617)</f>
        <v/>
      </c>
      <c r="AN606" s="375" t="str">
        <f>IF(B606="", "", 'Lighting Inventory (Ref only)'!AF617)</f>
        <v/>
      </c>
      <c r="AO606" s="375" t="str">
        <f>IF(B606="", "", 'Lighting Inventory (Ref only)'!AG617)</f>
        <v/>
      </c>
    </row>
    <row r="607" spans="1:41">
      <c r="A607" s="298" t="str">
        <f>IF(G607="", "", Lookups!BF609)</f>
        <v/>
      </c>
      <c r="B607" s="298" t="str">
        <f>IF('Lighting Inventory (Ref only)'!Q618="", "", 'Lighting Inventory (Ref only)'!Q618)</f>
        <v/>
      </c>
      <c r="C607" s="298" t="str">
        <f>IF(A607="", "", 'Lighting Inventory (Ref only)'!AO618)</f>
        <v/>
      </c>
      <c r="D607" s="298" t="str">
        <f>IF(B607= "","", Inventory!S615)</f>
        <v/>
      </c>
      <c r="F607" s="298" t="str">
        <f>IF(B607="", "", 'Version Log'!$B$34)</f>
        <v/>
      </c>
      <c r="G607" s="298" t="str">
        <f t="shared" si="36"/>
        <v/>
      </c>
      <c r="H607" s="298" t="str">
        <f t="shared" si="37"/>
        <v/>
      </c>
      <c r="I607" s="298" t="str">
        <f>IF(B607="", "",Inventory!D615)</f>
        <v/>
      </c>
      <c r="J607" s="298" t="str">
        <f>IF(B607="","",IF(Inventory!C615="N","Interior","Exterior"))</f>
        <v/>
      </c>
      <c r="K607" s="298" t="str">
        <f t="shared" si="38"/>
        <v/>
      </c>
      <c r="L607" s="298" t="str">
        <f>IF(B607="", "", Inventory!E615)</f>
        <v/>
      </c>
      <c r="M607" s="298" t="str">
        <f>IF(B607="","",IF(Cool_Type=Lookups!$L$9,Cool_Type,IF(Cool_Type=Lookups!$L$10,Cool_Type,IF(Cool_Type=Lookups!$L$11,Cool_Type,IF(Cool_Type=Lookups!L617,Cool_Type,IF('Project Info and Summary'!$C$20="Electric",CONCATENATE(Cool_Type," ",Heating_Type," Heat"),IF('Project Info and Summary'!$C$20="Non-Electric",CONCATENATE(Cool_Type," ",Heating_Type," Heat"),CONCATENATE(Cool_Type," ",Heating_Type))))))))</f>
        <v/>
      </c>
      <c r="N607" s="298" t="str">
        <f t="shared" si="39"/>
        <v/>
      </c>
      <c r="O607" s="298" t="str">
        <f>IF(B607="", "", 'Lighting Inventory (Ref only)'!G618)</f>
        <v/>
      </c>
      <c r="P607" s="298" t="str">
        <f>IF(B607="", "", 'Lighting Inventory (Ref only)'!E618)</f>
        <v/>
      </c>
      <c r="Q607" s="298" t="str">
        <f>IF(B607="", "", 'Lighting Inventory (Ref only)'!J618)</f>
        <v/>
      </c>
      <c r="R607" s="298" t="str">
        <f>IF(B607="", "",'Lighting Inventory (Ref only)'!K618)</f>
        <v/>
      </c>
      <c r="S607" s="372" t="str">
        <f>IF(B607="", "", 'Lighting Inventory (Ref only)'!G618*'Lighting Inventory (Ref only)'!K618/1000)</f>
        <v/>
      </c>
      <c r="T607" s="298" t="str">
        <f>IF(B607="", "", IF('Lighting Inventory (Ref only)'!I618="", "Light Switch",Inventory!H615))</f>
        <v/>
      </c>
      <c r="X607" s="298" t="str">
        <f>IF(B607="", "", 'Lighting Inventory (Ref only)'!Q618)</f>
        <v/>
      </c>
      <c r="AA607" s="298" t="str">
        <f>IF(B607="", "",'Lighting Inventory (Ref only)'!R618/1000)</f>
        <v/>
      </c>
      <c r="AB607" s="298" t="str">
        <f>IF(B607="", "", Inventory!M615)</f>
        <v/>
      </c>
      <c r="AC607" s="298" t="str">
        <f>IF(B607="", "", 'Lighting Inventory (Ref only)'!T618)</f>
        <v/>
      </c>
      <c r="AD607" s="298" t="str">
        <f>IF(C607="", "", 'Lighting Inventory (Ref only)'!AA618)</f>
        <v/>
      </c>
      <c r="AE607" s="298" t="str">
        <f>IF(B607="", "", 'Lighting Inventory (Ref only)'!U618)</f>
        <v/>
      </c>
      <c r="AF607" s="298" t="str">
        <f>IF(B607="", "",'Lighting Inventory (Ref only)'!W618)</f>
        <v/>
      </c>
      <c r="AH607" s="298" t="str">
        <f>IF(B607="", "",'Lighting Inventory (Ref only)'!Z618)</f>
        <v/>
      </c>
      <c r="AI607" s="298" t="str">
        <f>IF(B607="", "", 'Lighting Inventory (Ref only)'!Y618)</f>
        <v/>
      </c>
      <c r="AJ607" s="298" t="str">
        <f>IF(C607="", "",'Lighting Inventory (Ref only)'!AB618)</f>
        <v/>
      </c>
      <c r="AK607" s="375" t="str">
        <f>IF(B607="", "", 'Lighting Inventory (Ref only)'!AG618)</f>
        <v/>
      </c>
      <c r="AL607" s="375" t="str">
        <f>IF(B607="", "", 'Lighting Inventory (Ref only)'!AD618)</f>
        <v/>
      </c>
      <c r="AM607" s="375" t="str">
        <f>IF(B607="", "", 'Lighting Inventory (Ref only)'!AE618)</f>
        <v/>
      </c>
      <c r="AN607" s="375" t="str">
        <f>IF(B607="", "", 'Lighting Inventory (Ref only)'!AF618)</f>
        <v/>
      </c>
      <c r="AO607" s="375" t="str">
        <f>IF(B607="", "", 'Lighting Inventory (Ref only)'!AG618)</f>
        <v/>
      </c>
    </row>
    <row r="608" spans="1:41">
      <c r="A608" s="298" t="str">
        <f>IF(G608="", "", Lookups!BF610)</f>
        <v/>
      </c>
      <c r="B608" s="298" t="str">
        <f>IF('Lighting Inventory (Ref only)'!Q619="", "", 'Lighting Inventory (Ref only)'!Q619)</f>
        <v/>
      </c>
      <c r="C608" s="298" t="str">
        <f>IF(A608="", "", 'Lighting Inventory (Ref only)'!AO619)</f>
        <v/>
      </c>
      <c r="D608" s="298" t="str">
        <f>IF(B608= "","", Inventory!S616)</f>
        <v/>
      </c>
      <c r="F608" s="298" t="str">
        <f>IF(B608="", "", 'Version Log'!$B$34)</f>
        <v/>
      </c>
      <c r="G608" s="298" t="str">
        <f t="shared" si="36"/>
        <v/>
      </c>
      <c r="H608" s="298" t="str">
        <f t="shared" si="37"/>
        <v/>
      </c>
      <c r="I608" s="298" t="str">
        <f>IF(B608="", "",Inventory!D616)</f>
        <v/>
      </c>
      <c r="J608" s="298" t="str">
        <f>IF(B608="","",IF(Inventory!C616="N","Interior","Exterior"))</f>
        <v/>
      </c>
      <c r="K608" s="298" t="str">
        <f t="shared" si="38"/>
        <v/>
      </c>
      <c r="L608" s="298" t="str">
        <f>IF(B608="", "", Inventory!E616)</f>
        <v/>
      </c>
      <c r="M608" s="298" t="str">
        <f>IF(B608="","",IF(Cool_Type=Lookups!$L$9,Cool_Type,IF(Cool_Type=Lookups!$L$10,Cool_Type,IF(Cool_Type=Lookups!$L$11,Cool_Type,IF(Cool_Type=Lookups!L618,Cool_Type,IF('Project Info and Summary'!$C$20="Electric",CONCATENATE(Cool_Type," ",Heating_Type," Heat"),IF('Project Info and Summary'!$C$20="Non-Electric",CONCATENATE(Cool_Type," ",Heating_Type," Heat"),CONCATENATE(Cool_Type," ",Heating_Type))))))))</f>
        <v/>
      </c>
      <c r="N608" s="298" t="str">
        <f t="shared" si="39"/>
        <v/>
      </c>
      <c r="O608" s="298" t="str">
        <f>IF(B608="", "", 'Lighting Inventory (Ref only)'!G619)</f>
        <v/>
      </c>
      <c r="P608" s="298" t="str">
        <f>IF(B608="", "", 'Lighting Inventory (Ref only)'!E619)</f>
        <v/>
      </c>
      <c r="Q608" s="298" t="str">
        <f>IF(B608="", "", 'Lighting Inventory (Ref only)'!J619)</f>
        <v/>
      </c>
      <c r="R608" s="298" t="str">
        <f>IF(B608="", "",'Lighting Inventory (Ref only)'!K619)</f>
        <v/>
      </c>
      <c r="S608" s="372" t="str">
        <f>IF(B608="", "", 'Lighting Inventory (Ref only)'!G619*'Lighting Inventory (Ref only)'!K619/1000)</f>
        <v/>
      </c>
      <c r="T608" s="298" t="str">
        <f>IF(B608="", "", IF('Lighting Inventory (Ref only)'!I619="", "Light Switch",Inventory!H616))</f>
        <v/>
      </c>
      <c r="X608" s="298" t="str">
        <f>IF(B608="", "", 'Lighting Inventory (Ref only)'!Q619)</f>
        <v/>
      </c>
      <c r="AA608" s="298" t="str">
        <f>IF(B608="", "",'Lighting Inventory (Ref only)'!R619/1000)</f>
        <v/>
      </c>
      <c r="AB608" s="298" t="str">
        <f>IF(B608="", "", Inventory!M616)</f>
        <v/>
      </c>
      <c r="AC608" s="298" t="str">
        <f>IF(B608="", "", 'Lighting Inventory (Ref only)'!T619)</f>
        <v/>
      </c>
      <c r="AD608" s="298" t="str">
        <f>IF(C608="", "", 'Lighting Inventory (Ref only)'!AA619)</f>
        <v/>
      </c>
      <c r="AE608" s="298" t="str">
        <f>IF(B608="", "", 'Lighting Inventory (Ref only)'!U619)</f>
        <v/>
      </c>
      <c r="AF608" s="298" t="str">
        <f>IF(B608="", "",'Lighting Inventory (Ref only)'!W619)</f>
        <v/>
      </c>
      <c r="AH608" s="298" t="str">
        <f>IF(B608="", "",'Lighting Inventory (Ref only)'!Z619)</f>
        <v/>
      </c>
      <c r="AI608" s="298" t="str">
        <f>IF(B608="", "", 'Lighting Inventory (Ref only)'!Y619)</f>
        <v/>
      </c>
      <c r="AJ608" s="298" t="str">
        <f>IF(C608="", "",'Lighting Inventory (Ref only)'!AB619)</f>
        <v/>
      </c>
      <c r="AK608" s="375" t="str">
        <f>IF(B608="", "", 'Lighting Inventory (Ref only)'!AG619)</f>
        <v/>
      </c>
      <c r="AL608" s="375" t="str">
        <f>IF(B608="", "", 'Lighting Inventory (Ref only)'!AD619)</f>
        <v/>
      </c>
      <c r="AM608" s="375" t="str">
        <f>IF(B608="", "", 'Lighting Inventory (Ref only)'!AE619)</f>
        <v/>
      </c>
      <c r="AN608" s="375" t="str">
        <f>IF(B608="", "", 'Lighting Inventory (Ref only)'!AF619)</f>
        <v/>
      </c>
      <c r="AO608" s="375" t="str">
        <f>IF(B608="", "", 'Lighting Inventory (Ref only)'!AG619)</f>
        <v/>
      </c>
    </row>
    <row r="609" spans="1:41">
      <c r="A609" s="298" t="str">
        <f>IF(G609="", "", Lookups!BF611)</f>
        <v/>
      </c>
      <c r="B609" s="298" t="str">
        <f>IF('Lighting Inventory (Ref only)'!Q620="", "", 'Lighting Inventory (Ref only)'!Q620)</f>
        <v/>
      </c>
      <c r="C609" s="298" t="str">
        <f>IF(A609="", "", 'Lighting Inventory (Ref only)'!AO620)</f>
        <v/>
      </c>
      <c r="D609" s="298" t="str">
        <f>IF(B609= "","", Inventory!S617)</f>
        <v/>
      </c>
      <c r="F609" s="298" t="str">
        <f>IF(B609="", "", 'Version Log'!$B$34)</f>
        <v/>
      </c>
      <c r="G609" s="298" t="str">
        <f t="shared" si="36"/>
        <v/>
      </c>
      <c r="H609" s="298" t="str">
        <f t="shared" si="37"/>
        <v/>
      </c>
      <c r="I609" s="298" t="str">
        <f>IF(B609="", "",Inventory!D617)</f>
        <v/>
      </c>
      <c r="J609" s="298" t="str">
        <f>IF(B609="","",IF(Inventory!C617="N","Interior","Exterior"))</f>
        <v/>
      </c>
      <c r="K609" s="298" t="str">
        <f t="shared" si="38"/>
        <v/>
      </c>
      <c r="L609" s="298" t="str">
        <f>IF(B609="", "", Inventory!E617)</f>
        <v/>
      </c>
      <c r="M609" s="298" t="str">
        <f>IF(B609="","",IF(Cool_Type=Lookups!$L$9,Cool_Type,IF(Cool_Type=Lookups!$L$10,Cool_Type,IF(Cool_Type=Lookups!$L$11,Cool_Type,IF(Cool_Type=Lookups!L619,Cool_Type,IF('Project Info and Summary'!$C$20="Electric",CONCATENATE(Cool_Type," ",Heating_Type," Heat"),IF('Project Info and Summary'!$C$20="Non-Electric",CONCATENATE(Cool_Type," ",Heating_Type," Heat"),CONCATENATE(Cool_Type," ",Heating_Type))))))))</f>
        <v/>
      </c>
      <c r="N609" s="298" t="str">
        <f t="shared" si="39"/>
        <v/>
      </c>
      <c r="O609" s="298" t="str">
        <f>IF(B609="", "", 'Lighting Inventory (Ref only)'!G620)</f>
        <v/>
      </c>
      <c r="P609" s="298" t="str">
        <f>IF(B609="", "", 'Lighting Inventory (Ref only)'!E620)</f>
        <v/>
      </c>
      <c r="Q609" s="298" t="str">
        <f>IF(B609="", "", 'Lighting Inventory (Ref only)'!J620)</f>
        <v/>
      </c>
      <c r="R609" s="298" t="str">
        <f>IF(B609="", "",'Lighting Inventory (Ref only)'!K620)</f>
        <v/>
      </c>
      <c r="S609" s="372" t="str">
        <f>IF(B609="", "", 'Lighting Inventory (Ref only)'!G620*'Lighting Inventory (Ref only)'!K620/1000)</f>
        <v/>
      </c>
      <c r="T609" s="298" t="str">
        <f>IF(B609="", "", IF('Lighting Inventory (Ref only)'!I620="", "Light Switch",Inventory!H617))</f>
        <v/>
      </c>
      <c r="X609" s="298" t="str">
        <f>IF(B609="", "", 'Lighting Inventory (Ref only)'!Q620)</f>
        <v/>
      </c>
      <c r="AA609" s="298" t="str">
        <f>IF(B609="", "",'Lighting Inventory (Ref only)'!R620/1000)</f>
        <v/>
      </c>
      <c r="AB609" s="298" t="str">
        <f>IF(B609="", "", Inventory!M617)</f>
        <v/>
      </c>
      <c r="AC609" s="298" t="str">
        <f>IF(B609="", "", 'Lighting Inventory (Ref only)'!T620)</f>
        <v/>
      </c>
      <c r="AD609" s="298" t="str">
        <f>IF(C609="", "", 'Lighting Inventory (Ref only)'!AA620)</f>
        <v/>
      </c>
      <c r="AE609" s="298" t="str">
        <f>IF(B609="", "", 'Lighting Inventory (Ref only)'!U620)</f>
        <v/>
      </c>
      <c r="AF609" s="298" t="str">
        <f>IF(B609="", "",'Lighting Inventory (Ref only)'!W620)</f>
        <v/>
      </c>
      <c r="AH609" s="298" t="str">
        <f>IF(B609="", "",'Lighting Inventory (Ref only)'!Z620)</f>
        <v/>
      </c>
      <c r="AI609" s="298" t="str">
        <f>IF(B609="", "", 'Lighting Inventory (Ref only)'!Y620)</f>
        <v/>
      </c>
      <c r="AJ609" s="298" t="str">
        <f>IF(C609="", "",'Lighting Inventory (Ref only)'!AB620)</f>
        <v/>
      </c>
      <c r="AK609" s="375" t="str">
        <f>IF(B609="", "", 'Lighting Inventory (Ref only)'!AG620)</f>
        <v/>
      </c>
      <c r="AL609" s="375" t="str">
        <f>IF(B609="", "", 'Lighting Inventory (Ref only)'!AD620)</f>
        <v/>
      </c>
      <c r="AM609" s="375" t="str">
        <f>IF(B609="", "", 'Lighting Inventory (Ref only)'!AE620)</f>
        <v/>
      </c>
      <c r="AN609" s="375" t="str">
        <f>IF(B609="", "", 'Lighting Inventory (Ref only)'!AF620)</f>
        <v/>
      </c>
      <c r="AO609" s="375" t="str">
        <f>IF(B609="", "", 'Lighting Inventory (Ref only)'!AG620)</f>
        <v/>
      </c>
    </row>
    <row r="610" spans="1:41">
      <c r="A610" s="298" t="str">
        <f>IF(G610="", "", Lookups!BF612)</f>
        <v/>
      </c>
      <c r="B610" s="298" t="str">
        <f>IF('Lighting Inventory (Ref only)'!Q621="", "", 'Lighting Inventory (Ref only)'!Q621)</f>
        <v/>
      </c>
      <c r="C610" s="298" t="str">
        <f>IF(A610="", "", 'Lighting Inventory (Ref only)'!AO621)</f>
        <v/>
      </c>
      <c r="D610" s="298" t="str">
        <f>IF(B610= "","", Inventory!S618)</f>
        <v/>
      </c>
      <c r="F610" s="298" t="str">
        <f>IF(B610="", "", 'Version Log'!$B$34)</f>
        <v/>
      </c>
      <c r="G610" s="298" t="str">
        <f t="shared" si="36"/>
        <v/>
      </c>
      <c r="H610" s="298" t="str">
        <f t="shared" si="37"/>
        <v/>
      </c>
      <c r="I610" s="298" t="str">
        <f>IF(B610="", "",Inventory!D618)</f>
        <v/>
      </c>
      <c r="J610" s="298" t="str">
        <f>IF(B610="","",IF(Inventory!C618="N","Interior","Exterior"))</f>
        <v/>
      </c>
      <c r="K610" s="298" t="str">
        <f t="shared" si="38"/>
        <v/>
      </c>
      <c r="L610" s="298" t="str">
        <f>IF(B610="", "", Inventory!E618)</f>
        <v/>
      </c>
      <c r="M610" s="298" t="str">
        <f>IF(B610="","",IF(Cool_Type=Lookups!$L$9,Cool_Type,IF(Cool_Type=Lookups!$L$10,Cool_Type,IF(Cool_Type=Lookups!$L$11,Cool_Type,IF(Cool_Type=Lookups!L620,Cool_Type,IF('Project Info and Summary'!$C$20="Electric",CONCATENATE(Cool_Type," ",Heating_Type," Heat"),IF('Project Info and Summary'!$C$20="Non-Electric",CONCATENATE(Cool_Type," ",Heating_Type," Heat"),CONCATENATE(Cool_Type," ",Heating_Type))))))))</f>
        <v/>
      </c>
      <c r="N610" s="298" t="str">
        <f t="shared" si="39"/>
        <v/>
      </c>
      <c r="O610" s="298" t="str">
        <f>IF(B610="", "", 'Lighting Inventory (Ref only)'!G621)</f>
        <v/>
      </c>
      <c r="P610" s="298" t="str">
        <f>IF(B610="", "", 'Lighting Inventory (Ref only)'!E621)</f>
        <v/>
      </c>
      <c r="Q610" s="298" t="str">
        <f>IF(B610="", "", 'Lighting Inventory (Ref only)'!J621)</f>
        <v/>
      </c>
      <c r="R610" s="298" t="str">
        <f>IF(B610="", "",'Lighting Inventory (Ref only)'!K621)</f>
        <v/>
      </c>
      <c r="S610" s="372" t="str">
        <f>IF(B610="", "", 'Lighting Inventory (Ref only)'!G621*'Lighting Inventory (Ref only)'!K621/1000)</f>
        <v/>
      </c>
      <c r="T610" s="298" t="str">
        <f>IF(B610="", "", IF('Lighting Inventory (Ref only)'!I621="", "Light Switch",Inventory!H618))</f>
        <v/>
      </c>
      <c r="X610" s="298" t="str">
        <f>IF(B610="", "", 'Lighting Inventory (Ref only)'!Q621)</f>
        <v/>
      </c>
      <c r="AA610" s="298" t="str">
        <f>IF(B610="", "",'Lighting Inventory (Ref only)'!R621/1000)</f>
        <v/>
      </c>
      <c r="AB610" s="298" t="str">
        <f>IF(B610="", "", Inventory!M618)</f>
        <v/>
      </c>
      <c r="AC610" s="298" t="str">
        <f>IF(B610="", "", 'Lighting Inventory (Ref only)'!T621)</f>
        <v/>
      </c>
      <c r="AD610" s="298" t="str">
        <f>IF(C610="", "", 'Lighting Inventory (Ref only)'!AA621)</f>
        <v/>
      </c>
      <c r="AE610" s="298" t="str">
        <f>IF(B610="", "", 'Lighting Inventory (Ref only)'!U621)</f>
        <v/>
      </c>
      <c r="AF610" s="298" t="str">
        <f>IF(B610="", "",'Lighting Inventory (Ref only)'!W621)</f>
        <v/>
      </c>
      <c r="AH610" s="298" t="str">
        <f>IF(B610="", "",'Lighting Inventory (Ref only)'!Z621)</f>
        <v/>
      </c>
      <c r="AI610" s="298" t="str">
        <f>IF(B610="", "", 'Lighting Inventory (Ref only)'!Y621)</f>
        <v/>
      </c>
      <c r="AJ610" s="298" t="str">
        <f>IF(C610="", "",'Lighting Inventory (Ref only)'!AB621)</f>
        <v/>
      </c>
      <c r="AK610" s="375" t="str">
        <f>IF(B610="", "", 'Lighting Inventory (Ref only)'!AG621)</f>
        <v/>
      </c>
      <c r="AL610" s="375" t="str">
        <f>IF(B610="", "", 'Lighting Inventory (Ref only)'!AD621)</f>
        <v/>
      </c>
      <c r="AM610" s="375" t="str">
        <f>IF(B610="", "", 'Lighting Inventory (Ref only)'!AE621)</f>
        <v/>
      </c>
      <c r="AN610" s="375" t="str">
        <f>IF(B610="", "", 'Lighting Inventory (Ref only)'!AF621)</f>
        <v/>
      </c>
      <c r="AO610" s="375" t="str">
        <f>IF(B610="", "", 'Lighting Inventory (Ref only)'!AG621)</f>
        <v/>
      </c>
    </row>
    <row r="611" spans="1:41">
      <c r="A611" s="298" t="str">
        <f>IF(G611="", "", Lookups!BF613)</f>
        <v/>
      </c>
      <c r="B611" s="298" t="str">
        <f>IF('Lighting Inventory (Ref only)'!Q622="", "", 'Lighting Inventory (Ref only)'!Q622)</f>
        <v/>
      </c>
      <c r="C611" s="298" t="str">
        <f>IF(A611="", "", 'Lighting Inventory (Ref only)'!AO622)</f>
        <v/>
      </c>
      <c r="D611" s="298" t="str">
        <f>IF(B611= "","", Inventory!S619)</f>
        <v/>
      </c>
      <c r="F611" s="298" t="str">
        <f>IF(B611="", "", 'Version Log'!$B$34)</f>
        <v/>
      </c>
      <c r="G611" s="298" t="str">
        <f t="shared" si="36"/>
        <v/>
      </c>
      <c r="H611" s="298" t="str">
        <f t="shared" si="37"/>
        <v/>
      </c>
      <c r="I611" s="298" t="str">
        <f>IF(B611="", "",Inventory!D619)</f>
        <v/>
      </c>
      <c r="J611" s="298" t="str">
        <f>IF(B611="","",IF(Inventory!C619="N","Interior","Exterior"))</f>
        <v/>
      </c>
      <c r="K611" s="298" t="str">
        <f t="shared" si="38"/>
        <v/>
      </c>
      <c r="L611" s="298" t="str">
        <f>IF(B611="", "", Inventory!E619)</f>
        <v/>
      </c>
      <c r="M611" s="298" t="str">
        <f>IF(B611="","",IF(Cool_Type=Lookups!$L$9,Cool_Type,IF(Cool_Type=Lookups!$L$10,Cool_Type,IF(Cool_Type=Lookups!$L$11,Cool_Type,IF(Cool_Type=Lookups!L621,Cool_Type,IF('Project Info and Summary'!$C$20="Electric",CONCATENATE(Cool_Type," ",Heating_Type," Heat"),IF('Project Info and Summary'!$C$20="Non-Electric",CONCATENATE(Cool_Type," ",Heating_Type," Heat"),CONCATENATE(Cool_Type," ",Heating_Type))))))))</f>
        <v/>
      </c>
      <c r="N611" s="298" t="str">
        <f t="shared" si="39"/>
        <v/>
      </c>
      <c r="O611" s="298" t="str">
        <f>IF(B611="", "", 'Lighting Inventory (Ref only)'!G622)</f>
        <v/>
      </c>
      <c r="P611" s="298" t="str">
        <f>IF(B611="", "", 'Lighting Inventory (Ref only)'!E622)</f>
        <v/>
      </c>
      <c r="Q611" s="298" t="str">
        <f>IF(B611="", "", 'Lighting Inventory (Ref only)'!J622)</f>
        <v/>
      </c>
      <c r="R611" s="298" t="str">
        <f>IF(B611="", "",'Lighting Inventory (Ref only)'!K622)</f>
        <v/>
      </c>
      <c r="S611" s="372" t="str">
        <f>IF(B611="", "", 'Lighting Inventory (Ref only)'!G622*'Lighting Inventory (Ref only)'!K622/1000)</f>
        <v/>
      </c>
      <c r="T611" s="298" t="str">
        <f>IF(B611="", "", IF('Lighting Inventory (Ref only)'!I622="", "Light Switch",Inventory!H619))</f>
        <v/>
      </c>
      <c r="X611" s="298" t="str">
        <f>IF(B611="", "", 'Lighting Inventory (Ref only)'!Q622)</f>
        <v/>
      </c>
      <c r="AA611" s="298" t="str">
        <f>IF(B611="", "",'Lighting Inventory (Ref only)'!R622/1000)</f>
        <v/>
      </c>
      <c r="AB611" s="298" t="str">
        <f>IF(B611="", "", Inventory!M619)</f>
        <v/>
      </c>
      <c r="AC611" s="298" t="str">
        <f>IF(B611="", "", 'Lighting Inventory (Ref only)'!T622)</f>
        <v/>
      </c>
      <c r="AD611" s="298" t="str">
        <f>IF(C611="", "", 'Lighting Inventory (Ref only)'!AA622)</f>
        <v/>
      </c>
      <c r="AE611" s="298" t="str">
        <f>IF(B611="", "", 'Lighting Inventory (Ref only)'!U622)</f>
        <v/>
      </c>
      <c r="AF611" s="298" t="str">
        <f>IF(B611="", "",'Lighting Inventory (Ref only)'!W622)</f>
        <v/>
      </c>
      <c r="AH611" s="298" t="str">
        <f>IF(B611="", "",'Lighting Inventory (Ref only)'!Z622)</f>
        <v/>
      </c>
      <c r="AI611" s="298" t="str">
        <f>IF(B611="", "", 'Lighting Inventory (Ref only)'!Y622)</f>
        <v/>
      </c>
      <c r="AJ611" s="298" t="str">
        <f>IF(C611="", "",'Lighting Inventory (Ref only)'!AB622)</f>
        <v/>
      </c>
      <c r="AK611" s="375" t="str">
        <f>IF(B611="", "", 'Lighting Inventory (Ref only)'!AG622)</f>
        <v/>
      </c>
      <c r="AL611" s="375" t="str">
        <f>IF(B611="", "", 'Lighting Inventory (Ref only)'!AD622)</f>
        <v/>
      </c>
      <c r="AM611" s="375" t="str">
        <f>IF(B611="", "", 'Lighting Inventory (Ref only)'!AE622)</f>
        <v/>
      </c>
      <c r="AN611" s="375" t="str">
        <f>IF(B611="", "", 'Lighting Inventory (Ref only)'!AF622)</f>
        <v/>
      </c>
      <c r="AO611" s="375" t="str">
        <f>IF(B611="", "", 'Lighting Inventory (Ref only)'!AG622)</f>
        <v/>
      </c>
    </row>
    <row r="612" spans="1:41">
      <c r="A612" s="298" t="str">
        <f>IF(G612="", "", Lookups!BF614)</f>
        <v/>
      </c>
      <c r="B612" s="298" t="str">
        <f>IF('Lighting Inventory (Ref only)'!Q623="", "", 'Lighting Inventory (Ref only)'!Q623)</f>
        <v/>
      </c>
      <c r="C612" s="298" t="str">
        <f>IF(A612="", "", 'Lighting Inventory (Ref only)'!AO623)</f>
        <v/>
      </c>
      <c r="D612" s="298" t="str">
        <f>IF(B612= "","", Inventory!S620)</f>
        <v/>
      </c>
      <c r="F612" s="298" t="str">
        <f>IF(B612="", "", 'Version Log'!$B$34)</f>
        <v/>
      </c>
      <c r="G612" s="298" t="str">
        <f t="shared" si="36"/>
        <v/>
      </c>
      <c r="H612" s="298" t="str">
        <f t="shared" si="37"/>
        <v/>
      </c>
      <c r="I612" s="298" t="str">
        <f>IF(B612="", "",Inventory!D620)</f>
        <v/>
      </c>
      <c r="J612" s="298" t="str">
        <f>IF(B612="","",IF(Inventory!C620="N","Interior","Exterior"))</f>
        <v/>
      </c>
      <c r="K612" s="298" t="str">
        <f t="shared" si="38"/>
        <v/>
      </c>
      <c r="L612" s="298" t="str">
        <f>IF(B612="", "", Inventory!E620)</f>
        <v/>
      </c>
      <c r="M612" s="298" t="str">
        <f>IF(B612="","",IF(Cool_Type=Lookups!$L$9,Cool_Type,IF(Cool_Type=Lookups!$L$10,Cool_Type,IF(Cool_Type=Lookups!$L$11,Cool_Type,IF(Cool_Type=Lookups!L622,Cool_Type,IF('Project Info and Summary'!$C$20="Electric",CONCATENATE(Cool_Type," ",Heating_Type," Heat"),IF('Project Info and Summary'!$C$20="Non-Electric",CONCATENATE(Cool_Type," ",Heating_Type," Heat"),CONCATENATE(Cool_Type," ",Heating_Type))))))))</f>
        <v/>
      </c>
      <c r="N612" s="298" t="str">
        <f t="shared" si="39"/>
        <v/>
      </c>
      <c r="O612" s="298" t="str">
        <f>IF(B612="", "", 'Lighting Inventory (Ref only)'!G623)</f>
        <v/>
      </c>
      <c r="P612" s="298" t="str">
        <f>IF(B612="", "", 'Lighting Inventory (Ref only)'!E623)</f>
        <v/>
      </c>
      <c r="Q612" s="298" t="str">
        <f>IF(B612="", "", 'Lighting Inventory (Ref only)'!J623)</f>
        <v/>
      </c>
      <c r="R612" s="298" t="str">
        <f>IF(B612="", "",'Lighting Inventory (Ref only)'!K623)</f>
        <v/>
      </c>
      <c r="S612" s="372" t="str">
        <f>IF(B612="", "", 'Lighting Inventory (Ref only)'!G623*'Lighting Inventory (Ref only)'!K623/1000)</f>
        <v/>
      </c>
      <c r="T612" s="298" t="str">
        <f>IF(B612="", "", IF('Lighting Inventory (Ref only)'!I623="", "Light Switch",Inventory!H620))</f>
        <v/>
      </c>
      <c r="X612" s="298" t="str">
        <f>IF(B612="", "", 'Lighting Inventory (Ref only)'!Q623)</f>
        <v/>
      </c>
      <c r="AA612" s="298" t="str">
        <f>IF(B612="", "",'Lighting Inventory (Ref only)'!R623/1000)</f>
        <v/>
      </c>
      <c r="AB612" s="298" t="str">
        <f>IF(B612="", "", Inventory!M620)</f>
        <v/>
      </c>
      <c r="AC612" s="298" t="str">
        <f>IF(B612="", "", 'Lighting Inventory (Ref only)'!T623)</f>
        <v/>
      </c>
      <c r="AD612" s="298" t="str">
        <f>IF(C612="", "", 'Lighting Inventory (Ref only)'!AA623)</f>
        <v/>
      </c>
      <c r="AE612" s="298" t="str">
        <f>IF(B612="", "", 'Lighting Inventory (Ref only)'!U623)</f>
        <v/>
      </c>
      <c r="AF612" s="298" t="str">
        <f>IF(B612="", "",'Lighting Inventory (Ref only)'!W623)</f>
        <v/>
      </c>
      <c r="AH612" s="298" t="str">
        <f>IF(B612="", "",'Lighting Inventory (Ref only)'!Z623)</f>
        <v/>
      </c>
      <c r="AI612" s="298" t="str">
        <f>IF(B612="", "", 'Lighting Inventory (Ref only)'!Y623)</f>
        <v/>
      </c>
      <c r="AJ612" s="298" t="str">
        <f>IF(C612="", "",'Lighting Inventory (Ref only)'!AB623)</f>
        <v/>
      </c>
      <c r="AK612" s="375" t="str">
        <f>IF(B612="", "", 'Lighting Inventory (Ref only)'!AG623)</f>
        <v/>
      </c>
      <c r="AL612" s="375" t="str">
        <f>IF(B612="", "", 'Lighting Inventory (Ref only)'!AD623)</f>
        <v/>
      </c>
      <c r="AM612" s="375" t="str">
        <f>IF(B612="", "", 'Lighting Inventory (Ref only)'!AE623)</f>
        <v/>
      </c>
      <c r="AN612" s="375" t="str">
        <f>IF(B612="", "", 'Lighting Inventory (Ref only)'!AF623)</f>
        <v/>
      </c>
      <c r="AO612" s="375" t="str">
        <f>IF(B612="", "", 'Lighting Inventory (Ref only)'!AG623)</f>
        <v/>
      </c>
    </row>
    <row r="613" spans="1:41">
      <c r="A613" s="298" t="str">
        <f>IF(G613="", "", Lookups!BF615)</f>
        <v/>
      </c>
      <c r="B613" s="298" t="str">
        <f>IF('Lighting Inventory (Ref only)'!Q624="", "", 'Lighting Inventory (Ref only)'!Q624)</f>
        <v/>
      </c>
      <c r="C613" s="298" t="str">
        <f>IF(A613="", "", 'Lighting Inventory (Ref only)'!AO624)</f>
        <v/>
      </c>
      <c r="D613" s="298" t="str">
        <f>IF(B613= "","", Inventory!S621)</f>
        <v/>
      </c>
      <c r="F613" s="298" t="str">
        <f>IF(B613="", "", 'Version Log'!$B$34)</f>
        <v/>
      </c>
      <c r="G613" s="298" t="str">
        <f t="shared" si="36"/>
        <v/>
      </c>
      <c r="H613" s="298" t="str">
        <f t="shared" si="37"/>
        <v/>
      </c>
      <c r="I613" s="298" t="str">
        <f>IF(B613="", "",Inventory!D621)</f>
        <v/>
      </c>
      <c r="J613" s="298" t="str">
        <f>IF(B613="","",IF(Inventory!C621="N","Interior","Exterior"))</f>
        <v/>
      </c>
      <c r="K613" s="298" t="str">
        <f t="shared" si="38"/>
        <v/>
      </c>
      <c r="L613" s="298" t="str">
        <f>IF(B613="", "", Inventory!E621)</f>
        <v/>
      </c>
      <c r="M613" s="298" t="str">
        <f>IF(B613="","",IF(Cool_Type=Lookups!$L$9,Cool_Type,IF(Cool_Type=Lookups!$L$10,Cool_Type,IF(Cool_Type=Lookups!$L$11,Cool_Type,IF(Cool_Type=Lookups!L623,Cool_Type,IF('Project Info and Summary'!$C$20="Electric",CONCATENATE(Cool_Type," ",Heating_Type," Heat"),IF('Project Info and Summary'!$C$20="Non-Electric",CONCATENATE(Cool_Type," ",Heating_Type," Heat"),CONCATENATE(Cool_Type," ",Heating_Type))))))))</f>
        <v/>
      </c>
      <c r="N613" s="298" t="str">
        <f t="shared" si="39"/>
        <v/>
      </c>
      <c r="O613" s="298" t="str">
        <f>IF(B613="", "", 'Lighting Inventory (Ref only)'!G624)</f>
        <v/>
      </c>
      <c r="P613" s="298" t="str">
        <f>IF(B613="", "", 'Lighting Inventory (Ref only)'!E624)</f>
        <v/>
      </c>
      <c r="Q613" s="298" t="str">
        <f>IF(B613="", "", 'Lighting Inventory (Ref only)'!J624)</f>
        <v/>
      </c>
      <c r="R613" s="298" t="str">
        <f>IF(B613="", "",'Lighting Inventory (Ref only)'!K624)</f>
        <v/>
      </c>
      <c r="S613" s="372" t="str">
        <f>IF(B613="", "", 'Lighting Inventory (Ref only)'!G624*'Lighting Inventory (Ref only)'!K624/1000)</f>
        <v/>
      </c>
      <c r="T613" s="298" t="str">
        <f>IF(B613="", "", IF('Lighting Inventory (Ref only)'!I624="", "Light Switch",Inventory!H621))</f>
        <v/>
      </c>
      <c r="X613" s="298" t="str">
        <f>IF(B613="", "", 'Lighting Inventory (Ref only)'!Q624)</f>
        <v/>
      </c>
      <c r="AA613" s="298" t="str">
        <f>IF(B613="", "",'Lighting Inventory (Ref only)'!R624/1000)</f>
        <v/>
      </c>
      <c r="AB613" s="298" t="str">
        <f>IF(B613="", "", Inventory!M621)</f>
        <v/>
      </c>
      <c r="AC613" s="298" t="str">
        <f>IF(B613="", "", 'Lighting Inventory (Ref only)'!T624)</f>
        <v/>
      </c>
      <c r="AD613" s="298" t="str">
        <f>IF(C613="", "", 'Lighting Inventory (Ref only)'!AA624)</f>
        <v/>
      </c>
      <c r="AE613" s="298" t="str">
        <f>IF(B613="", "", 'Lighting Inventory (Ref only)'!U624)</f>
        <v/>
      </c>
      <c r="AF613" s="298" t="str">
        <f>IF(B613="", "",'Lighting Inventory (Ref only)'!W624)</f>
        <v/>
      </c>
      <c r="AH613" s="298" t="str">
        <f>IF(B613="", "",'Lighting Inventory (Ref only)'!Z624)</f>
        <v/>
      </c>
      <c r="AI613" s="298" t="str">
        <f>IF(B613="", "", 'Lighting Inventory (Ref only)'!Y624)</f>
        <v/>
      </c>
      <c r="AJ613" s="298" t="str">
        <f>IF(C613="", "",'Lighting Inventory (Ref only)'!AB624)</f>
        <v/>
      </c>
      <c r="AK613" s="375" t="str">
        <f>IF(B613="", "", 'Lighting Inventory (Ref only)'!AG624)</f>
        <v/>
      </c>
      <c r="AL613" s="375" t="str">
        <f>IF(B613="", "", 'Lighting Inventory (Ref only)'!AD624)</f>
        <v/>
      </c>
      <c r="AM613" s="375" t="str">
        <f>IF(B613="", "", 'Lighting Inventory (Ref only)'!AE624)</f>
        <v/>
      </c>
      <c r="AN613" s="375" t="str">
        <f>IF(B613="", "", 'Lighting Inventory (Ref only)'!AF624)</f>
        <v/>
      </c>
      <c r="AO613" s="375" t="str">
        <f>IF(B613="", "", 'Lighting Inventory (Ref only)'!AG624)</f>
        <v/>
      </c>
    </row>
    <row r="614" spans="1:41">
      <c r="A614" s="298" t="str">
        <f>IF(G614="", "", Lookups!BF616)</f>
        <v/>
      </c>
      <c r="B614" s="298" t="str">
        <f>IF('Lighting Inventory (Ref only)'!Q625="", "", 'Lighting Inventory (Ref only)'!Q625)</f>
        <v/>
      </c>
      <c r="C614" s="298" t="str">
        <f>IF(A614="", "", 'Lighting Inventory (Ref only)'!AO625)</f>
        <v/>
      </c>
      <c r="D614" s="298" t="str">
        <f>IF(B614= "","", Inventory!S622)</f>
        <v/>
      </c>
      <c r="F614" s="298" t="str">
        <f>IF(B614="", "", 'Version Log'!$B$34)</f>
        <v/>
      </c>
      <c r="G614" s="298" t="str">
        <f t="shared" si="36"/>
        <v/>
      </c>
      <c r="H614" s="298" t="str">
        <f t="shared" si="37"/>
        <v/>
      </c>
      <c r="I614" s="298" t="str">
        <f>IF(B614="", "",Inventory!D622)</f>
        <v/>
      </c>
      <c r="J614" s="298" t="str">
        <f>IF(B614="","",IF(Inventory!C622="N","Interior","Exterior"))</f>
        <v/>
      </c>
      <c r="K614" s="298" t="str">
        <f t="shared" si="38"/>
        <v/>
      </c>
      <c r="L614" s="298" t="str">
        <f>IF(B614="", "", Inventory!E622)</f>
        <v/>
      </c>
      <c r="M614" s="298" t="str">
        <f>IF(B614="","",IF(Cool_Type=Lookups!$L$9,Cool_Type,IF(Cool_Type=Lookups!$L$10,Cool_Type,IF(Cool_Type=Lookups!$L$11,Cool_Type,IF(Cool_Type=Lookups!L624,Cool_Type,IF('Project Info and Summary'!$C$20="Electric",CONCATENATE(Cool_Type," ",Heating_Type," Heat"),IF('Project Info and Summary'!$C$20="Non-Electric",CONCATENATE(Cool_Type," ",Heating_Type," Heat"),CONCATENATE(Cool_Type," ",Heating_Type))))))))</f>
        <v/>
      </c>
      <c r="N614" s="298" t="str">
        <f t="shared" si="39"/>
        <v/>
      </c>
      <c r="O614" s="298" t="str">
        <f>IF(B614="", "", 'Lighting Inventory (Ref only)'!G625)</f>
        <v/>
      </c>
      <c r="P614" s="298" t="str">
        <f>IF(B614="", "", 'Lighting Inventory (Ref only)'!E625)</f>
        <v/>
      </c>
      <c r="Q614" s="298" t="str">
        <f>IF(B614="", "", 'Lighting Inventory (Ref only)'!J625)</f>
        <v/>
      </c>
      <c r="R614" s="298" t="str">
        <f>IF(B614="", "",'Lighting Inventory (Ref only)'!K625)</f>
        <v/>
      </c>
      <c r="S614" s="372" t="str">
        <f>IF(B614="", "", 'Lighting Inventory (Ref only)'!G625*'Lighting Inventory (Ref only)'!K625/1000)</f>
        <v/>
      </c>
      <c r="T614" s="298" t="str">
        <f>IF(B614="", "", IF('Lighting Inventory (Ref only)'!I625="", "Light Switch",Inventory!H622))</f>
        <v/>
      </c>
      <c r="X614" s="298" t="str">
        <f>IF(B614="", "", 'Lighting Inventory (Ref only)'!Q625)</f>
        <v/>
      </c>
      <c r="AA614" s="298" t="str">
        <f>IF(B614="", "",'Lighting Inventory (Ref only)'!R625/1000)</f>
        <v/>
      </c>
      <c r="AB614" s="298" t="str">
        <f>IF(B614="", "", Inventory!M622)</f>
        <v/>
      </c>
      <c r="AC614" s="298" t="str">
        <f>IF(B614="", "", 'Lighting Inventory (Ref only)'!T625)</f>
        <v/>
      </c>
      <c r="AD614" s="298" t="str">
        <f>IF(C614="", "", 'Lighting Inventory (Ref only)'!AA625)</f>
        <v/>
      </c>
      <c r="AE614" s="298" t="str">
        <f>IF(B614="", "", 'Lighting Inventory (Ref only)'!U625)</f>
        <v/>
      </c>
      <c r="AF614" s="298" t="str">
        <f>IF(B614="", "",'Lighting Inventory (Ref only)'!W625)</f>
        <v/>
      </c>
      <c r="AH614" s="298" t="str">
        <f>IF(B614="", "",'Lighting Inventory (Ref only)'!Z625)</f>
        <v/>
      </c>
      <c r="AI614" s="298" t="str">
        <f>IF(B614="", "", 'Lighting Inventory (Ref only)'!Y625)</f>
        <v/>
      </c>
      <c r="AJ614" s="298" t="str">
        <f>IF(C614="", "",'Lighting Inventory (Ref only)'!AB625)</f>
        <v/>
      </c>
      <c r="AK614" s="375" t="str">
        <f>IF(B614="", "", 'Lighting Inventory (Ref only)'!AG625)</f>
        <v/>
      </c>
      <c r="AL614" s="375" t="str">
        <f>IF(B614="", "", 'Lighting Inventory (Ref only)'!AD625)</f>
        <v/>
      </c>
      <c r="AM614" s="375" t="str">
        <f>IF(B614="", "", 'Lighting Inventory (Ref only)'!AE625)</f>
        <v/>
      </c>
      <c r="AN614" s="375" t="str">
        <f>IF(B614="", "", 'Lighting Inventory (Ref only)'!AF625)</f>
        <v/>
      </c>
      <c r="AO614" s="375" t="str">
        <f>IF(B614="", "", 'Lighting Inventory (Ref only)'!AG625)</f>
        <v/>
      </c>
    </row>
    <row r="615" spans="1:41">
      <c r="A615" s="298" t="str">
        <f>IF(G615="", "", Lookups!BF617)</f>
        <v/>
      </c>
      <c r="B615" s="298" t="str">
        <f>IF('Lighting Inventory (Ref only)'!Q626="", "", 'Lighting Inventory (Ref only)'!Q626)</f>
        <v/>
      </c>
      <c r="C615" s="298" t="str">
        <f>IF(A615="", "", 'Lighting Inventory (Ref only)'!AO626)</f>
        <v/>
      </c>
      <c r="D615" s="298" t="str">
        <f>IF(B615= "","", Inventory!S623)</f>
        <v/>
      </c>
      <c r="F615" s="298" t="str">
        <f>IF(B615="", "", 'Version Log'!$B$34)</f>
        <v/>
      </c>
      <c r="G615" s="298" t="str">
        <f t="shared" si="36"/>
        <v/>
      </c>
      <c r="H615" s="298" t="str">
        <f t="shared" si="37"/>
        <v/>
      </c>
      <c r="I615" s="298" t="str">
        <f>IF(B615="", "",Inventory!D623)</f>
        <v/>
      </c>
      <c r="J615" s="298" t="str">
        <f>IF(B615="","",IF(Inventory!C623="N","Interior","Exterior"))</f>
        <v/>
      </c>
      <c r="K615" s="298" t="str">
        <f t="shared" si="38"/>
        <v/>
      </c>
      <c r="L615" s="298" t="str">
        <f>IF(B615="", "", Inventory!E623)</f>
        <v/>
      </c>
      <c r="M615" s="298" t="str">
        <f>IF(B615="","",IF(Cool_Type=Lookups!$L$9,Cool_Type,IF(Cool_Type=Lookups!$L$10,Cool_Type,IF(Cool_Type=Lookups!$L$11,Cool_Type,IF(Cool_Type=Lookups!L625,Cool_Type,IF('Project Info and Summary'!$C$20="Electric",CONCATENATE(Cool_Type," ",Heating_Type," Heat"),IF('Project Info and Summary'!$C$20="Non-Electric",CONCATENATE(Cool_Type," ",Heating_Type," Heat"),CONCATENATE(Cool_Type," ",Heating_Type))))))))</f>
        <v/>
      </c>
      <c r="N615" s="298" t="str">
        <f t="shared" si="39"/>
        <v/>
      </c>
      <c r="O615" s="298" t="str">
        <f>IF(B615="", "", 'Lighting Inventory (Ref only)'!G626)</f>
        <v/>
      </c>
      <c r="P615" s="298" t="str">
        <f>IF(B615="", "", 'Lighting Inventory (Ref only)'!E626)</f>
        <v/>
      </c>
      <c r="Q615" s="298" t="str">
        <f>IF(B615="", "", 'Lighting Inventory (Ref only)'!J626)</f>
        <v/>
      </c>
      <c r="R615" s="298" t="str">
        <f>IF(B615="", "",'Lighting Inventory (Ref only)'!K626)</f>
        <v/>
      </c>
      <c r="S615" s="372" t="str">
        <f>IF(B615="", "", 'Lighting Inventory (Ref only)'!G626*'Lighting Inventory (Ref only)'!K626/1000)</f>
        <v/>
      </c>
      <c r="T615" s="298" t="str">
        <f>IF(B615="", "", IF('Lighting Inventory (Ref only)'!I626="", "Light Switch",Inventory!H623))</f>
        <v/>
      </c>
      <c r="X615" s="298" t="str">
        <f>IF(B615="", "", 'Lighting Inventory (Ref only)'!Q626)</f>
        <v/>
      </c>
      <c r="AA615" s="298" t="str">
        <f>IF(B615="", "",'Lighting Inventory (Ref only)'!R626/1000)</f>
        <v/>
      </c>
      <c r="AB615" s="298" t="str">
        <f>IF(B615="", "", Inventory!M623)</f>
        <v/>
      </c>
      <c r="AC615" s="298" t="str">
        <f>IF(B615="", "", 'Lighting Inventory (Ref only)'!T626)</f>
        <v/>
      </c>
      <c r="AD615" s="298" t="str">
        <f>IF(C615="", "", 'Lighting Inventory (Ref only)'!AA626)</f>
        <v/>
      </c>
      <c r="AE615" s="298" t="str">
        <f>IF(B615="", "", 'Lighting Inventory (Ref only)'!U626)</f>
        <v/>
      </c>
      <c r="AF615" s="298" t="str">
        <f>IF(B615="", "",'Lighting Inventory (Ref only)'!W626)</f>
        <v/>
      </c>
      <c r="AH615" s="298" t="str">
        <f>IF(B615="", "",'Lighting Inventory (Ref only)'!Z626)</f>
        <v/>
      </c>
      <c r="AI615" s="298" t="str">
        <f>IF(B615="", "", 'Lighting Inventory (Ref only)'!Y626)</f>
        <v/>
      </c>
      <c r="AJ615" s="298" t="str">
        <f>IF(C615="", "",'Lighting Inventory (Ref only)'!AB626)</f>
        <v/>
      </c>
      <c r="AK615" s="375" t="str">
        <f>IF(B615="", "", 'Lighting Inventory (Ref only)'!AG626)</f>
        <v/>
      </c>
      <c r="AL615" s="375" t="str">
        <f>IF(B615="", "", 'Lighting Inventory (Ref only)'!AD626)</f>
        <v/>
      </c>
      <c r="AM615" s="375" t="str">
        <f>IF(B615="", "", 'Lighting Inventory (Ref only)'!AE626)</f>
        <v/>
      </c>
      <c r="AN615" s="375" t="str">
        <f>IF(B615="", "", 'Lighting Inventory (Ref only)'!AF626)</f>
        <v/>
      </c>
      <c r="AO615" s="375" t="str">
        <f>IF(B615="", "", 'Lighting Inventory (Ref only)'!AG626)</f>
        <v/>
      </c>
    </row>
    <row r="616" spans="1:41">
      <c r="A616" s="298" t="str">
        <f>IF(G616="", "", Lookups!BF618)</f>
        <v/>
      </c>
      <c r="B616" s="298" t="str">
        <f>IF('Lighting Inventory (Ref only)'!Q627="", "", 'Lighting Inventory (Ref only)'!Q627)</f>
        <v/>
      </c>
      <c r="C616" s="298" t="str">
        <f>IF(A616="", "", 'Lighting Inventory (Ref only)'!AO627)</f>
        <v/>
      </c>
      <c r="D616" s="298" t="str">
        <f>IF(B616= "","", Inventory!S624)</f>
        <v/>
      </c>
      <c r="F616" s="298" t="str">
        <f>IF(B616="", "", 'Version Log'!$B$34)</f>
        <v/>
      </c>
      <c r="G616" s="298" t="str">
        <f t="shared" si="36"/>
        <v/>
      </c>
      <c r="H616" s="298" t="str">
        <f t="shared" si="37"/>
        <v/>
      </c>
      <c r="I616" s="298" t="str">
        <f>IF(B616="", "",Inventory!D624)</f>
        <v/>
      </c>
      <c r="J616" s="298" t="str">
        <f>IF(B616="","",IF(Inventory!C624="N","Interior","Exterior"))</f>
        <v/>
      </c>
      <c r="K616" s="298" t="str">
        <f t="shared" si="38"/>
        <v/>
      </c>
      <c r="L616" s="298" t="str">
        <f>IF(B616="", "", Inventory!E624)</f>
        <v/>
      </c>
      <c r="M616" s="298" t="str">
        <f>IF(B616="","",IF(Cool_Type=Lookups!$L$9,Cool_Type,IF(Cool_Type=Lookups!$L$10,Cool_Type,IF(Cool_Type=Lookups!$L$11,Cool_Type,IF(Cool_Type=Lookups!L626,Cool_Type,IF('Project Info and Summary'!$C$20="Electric",CONCATENATE(Cool_Type," ",Heating_Type," Heat"),IF('Project Info and Summary'!$C$20="Non-Electric",CONCATENATE(Cool_Type," ",Heating_Type," Heat"),CONCATENATE(Cool_Type," ",Heating_Type))))))))</f>
        <v/>
      </c>
      <c r="N616" s="298" t="str">
        <f t="shared" si="39"/>
        <v/>
      </c>
      <c r="O616" s="298" t="str">
        <f>IF(B616="", "", 'Lighting Inventory (Ref only)'!G627)</f>
        <v/>
      </c>
      <c r="P616" s="298" t="str">
        <f>IF(B616="", "", 'Lighting Inventory (Ref only)'!E627)</f>
        <v/>
      </c>
      <c r="Q616" s="298" t="str">
        <f>IF(B616="", "", 'Lighting Inventory (Ref only)'!J627)</f>
        <v/>
      </c>
      <c r="R616" s="298" t="str">
        <f>IF(B616="", "",'Lighting Inventory (Ref only)'!K627)</f>
        <v/>
      </c>
      <c r="S616" s="372" t="str">
        <f>IF(B616="", "", 'Lighting Inventory (Ref only)'!G627*'Lighting Inventory (Ref only)'!K627/1000)</f>
        <v/>
      </c>
      <c r="T616" s="298" t="str">
        <f>IF(B616="", "", IF('Lighting Inventory (Ref only)'!I627="", "Light Switch",Inventory!H624))</f>
        <v/>
      </c>
      <c r="X616" s="298" t="str">
        <f>IF(B616="", "", 'Lighting Inventory (Ref only)'!Q627)</f>
        <v/>
      </c>
      <c r="AA616" s="298" t="str">
        <f>IF(B616="", "",'Lighting Inventory (Ref only)'!R627/1000)</f>
        <v/>
      </c>
      <c r="AB616" s="298" t="str">
        <f>IF(B616="", "", Inventory!M624)</f>
        <v/>
      </c>
      <c r="AC616" s="298" t="str">
        <f>IF(B616="", "", 'Lighting Inventory (Ref only)'!T627)</f>
        <v/>
      </c>
      <c r="AD616" s="298" t="str">
        <f>IF(C616="", "", 'Lighting Inventory (Ref only)'!AA627)</f>
        <v/>
      </c>
      <c r="AE616" s="298" t="str">
        <f>IF(B616="", "", 'Lighting Inventory (Ref only)'!U627)</f>
        <v/>
      </c>
      <c r="AF616" s="298" t="str">
        <f>IF(B616="", "",'Lighting Inventory (Ref only)'!W627)</f>
        <v/>
      </c>
      <c r="AH616" s="298" t="str">
        <f>IF(B616="", "",'Lighting Inventory (Ref only)'!Z627)</f>
        <v/>
      </c>
      <c r="AI616" s="298" t="str">
        <f>IF(B616="", "", 'Lighting Inventory (Ref only)'!Y627)</f>
        <v/>
      </c>
      <c r="AJ616" s="298" t="str">
        <f>IF(C616="", "",'Lighting Inventory (Ref only)'!AB627)</f>
        <v/>
      </c>
      <c r="AK616" s="375" t="str">
        <f>IF(B616="", "", 'Lighting Inventory (Ref only)'!AG627)</f>
        <v/>
      </c>
      <c r="AL616" s="375" t="str">
        <f>IF(B616="", "", 'Lighting Inventory (Ref only)'!AD627)</f>
        <v/>
      </c>
      <c r="AM616" s="375" t="str">
        <f>IF(B616="", "", 'Lighting Inventory (Ref only)'!AE627)</f>
        <v/>
      </c>
      <c r="AN616" s="375" t="str">
        <f>IF(B616="", "", 'Lighting Inventory (Ref only)'!AF627)</f>
        <v/>
      </c>
      <c r="AO616" s="375" t="str">
        <f>IF(B616="", "", 'Lighting Inventory (Ref only)'!AG627)</f>
        <v/>
      </c>
    </row>
    <row r="617" spans="1:41">
      <c r="A617" s="298" t="str">
        <f>IF(G617="", "", Lookups!BF619)</f>
        <v/>
      </c>
      <c r="B617" s="298" t="str">
        <f>IF('Lighting Inventory (Ref only)'!Q628="", "", 'Lighting Inventory (Ref only)'!Q628)</f>
        <v/>
      </c>
      <c r="C617" s="298" t="str">
        <f>IF(A617="", "", 'Lighting Inventory (Ref only)'!AO628)</f>
        <v/>
      </c>
      <c r="D617" s="298" t="str">
        <f>IF(B617= "","", Inventory!S625)</f>
        <v/>
      </c>
      <c r="F617" s="298" t="str">
        <f>IF(B617="", "", 'Version Log'!$B$34)</f>
        <v/>
      </c>
      <c r="G617" s="298" t="str">
        <f t="shared" si="36"/>
        <v/>
      </c>
      <c r="H617" s="298" t="str">
        <f t="shared" si="37"/>
        <v/>
      </c>
      <c r="I617" s="298" t="str">
        <f>IF(B617="", "",Inventory!D625)</f>
        <v/>
      </c>
      <c r="J617" s="298" t="str">
        <f>IF(B617="","",IF(Inventory!C625="N","Interior","Exterior"))</f>
        <v/>
      </c>
      <c r="K617" s="298" t="str">
        <f t="shared" si="38"/>
        <v/>
      </c>
      <c r="L617" s="298" t="str">
        <f>IF(B617="", "", Inventory!E625)</f>
        <v/>
      </c>
      <c r="M617" s="298" t="str">
        <f>IF(B617="","",IF(Cool_Type=Lookups!$L$9,Cool_Type,IF(Cool_Type=Lookups!$L$10,Cool_Type,IF(Cool_Type=Lookups!$L$11,Cool_Type,IF(Cool_Type=Lookups!L627,Cool_Type,IF('Project Info and Summary'!$C$20="Electric",CONCATENATE(Cool_Type," ",Heating_Type," Heat"),IF('Project Info and Summary'!$C$20="Non-Electric",CONCATENATE(Cool_Type," ",Heating_Type," Heat"),CONCATENATE(Cool_Type," ",Heating_Type))))))))</f>
        <v/>
      </c>
      <c r="N617" s="298" t="str">
        <f t="shared" si="39"/>
        <v/>
      </c>
      <c r="O617" s="298" t="str">
        <f>IF(B617="", "", 'Lighting Inventory (Ref only)'!G628)</f>
        <v/>
      </c>
      <c r="P617" s="298" t="str">
        <f>IF(B617="", "", 'Lighting Inventory (Ref only)'!E628)</f>
        <v/>
      </c>
      <c r="Q617" s="298" t="str">
        <f>IF(B617="", "", 'Lighting Inventory (Ref only)'!J628)</f>
        <v/>
      </c>
      <c r="R617" s="298" t="str">
        <f>IF(B617="", "",'Lighting Inventory (Ref only)'!K628)</f>
        <v/>
      </c>
      <c r="S617" s="372" t="str">
        <f>IF(B617="", "", 'Lighting Inventory (Ref only)'!G628*'Lighting Inventory (Ref only)'!K628/1000)</f>
        <v/>
      </c>
      <c r="T617" s="298" t="str">
        <f>IF(B617="", "", IF('Lighting Inventory (Ref only)'!I628="", "Light Switch",Inventory!H625))</f>
        <v/>
      </c>
      <c r="X617" s="298" t="str">
        <f>IF(B617="", "", 'Lighting Inventory (Ref only)'!Q628)</f>
        <v/>
      </c>
      <c r="AA617" s="298" t="str">
        <f>IF(B617="", "",'Lighting Inventory (Ref only)'!R628/1000)</f>
        <v/>
      </c>
      <c r="AB617" s="298" t="str">
        <f>IF(B617="", "", Inventory!M625)</f>
        <v/>
      </c>
      <c r="AC617" s="298" t="str">
        <f>IF(B617="", "", 'Lighting Inventory (Ref only)'!T628)</f>
        <v/>
      </c>
      <c r="AD617" s="298" t="str">
        <f>IF(C617="", "", 'Lighting Inventory (Ref only)'!AA628)</f>
        <v/>
      </c>
      <c r="AE617" s="298" t="str">
        <f>IF(B617="", "", 'Lighting Inventory (Ref only)'!U628)</f>
        <v/>
      </c>
      <c r="AF617" s="298" t="str">
        <f>IF(B617="", "",'Lighting Inventory (Ref only)'!W628)</f>
        <v/>
      </c>
      <c r="AH617" s="298" t="str">
        <f>IF(B617="", "",'Lighting Inventory (Ref only)'!Z628)</f>
        <v/>
      </c>
      <c r="AI617" s="298" t="str">
        <f>IF(B617="", "", 'Lighting Inventory (Ref only)'!Y628)</f>
        <v/>
      </c>
      <c r="AJ617" s="298" t="str">
        <f>IF(C617="", "",'Lighting Inventory (Ref only)'!AB628)</f>
        <v/>
      </c>
      <c r="AK617" s="375" t="str">
        <f>IF(B617="", "", 'Lighting Inventory (Ref only)'!AG628)</f>
        <v/>
      </c>
      <c r="AL617" s="375" t="str">
        <f>IF(B617="", "", 'Lighting Inventory (Ref only)'!AD628)</f>
        <v/>
      </c>
      <c r="AM617" s="375" t="str">
        <f>IF(B617="", "", 'Lighting Inventory (Ref only)'!AE628)</f>
        <v/>
      </c>
      <c r="AN617" s="375" t="str">
        <f>IF(B617="", "", 'Lighting Inventory (Ref only)'!AF628)</f>
        <v/>
      </c>
      <c r="AO617" s="375" t="str">
        <f>IF(B617="", "", 'Lighting Inventory (Ref only)'!AG628)</f>
        <v/>
      </c>
    </row>
    <row r="618" spans="1:41">
      <c r="A618" s="298" t="str">
        <f>IF(G618="", "", Lookups!BF620)</f>
        <v/>
      </c>
      <c r="B618" s="298" t="str">
        <f>IF('Lighting Inventory (Ref only)'!Q629="", "", 'Lighting Inventory (Ref only)'!Q629)</f>
        <v/>
      </c>
      <c r="C618" s="298" t="str">
        <f>IF(A618="", "", 'Lighting Inventory (Ref only)'!AO629)</f>
        <v/>
      </c>
      <c r="D618" s="298" t="str">
        <f>IF(B618= "","", Inventory!S626)</f>
        <v/>
      </c>
      <c r="F618" s="298" t="str">
        <f>IF(B618="", "", 'Version Log'!$B$34)</f>
        <v/>
      </c>
      <c r="G618" s="298" t="str">
        <f t="shared" si="36"/>
        <v/>
      </c>
      <c r="H618" s="298" t="str">
        <f t="shared" si="37"/>
        <v/>
      </c>
      <c r="I618" s="298" t="str">
        <f>IF(B618="", "",Inventory!D626)</f>
        <v/>
      </c>
      <c r="J618" s="298" t="str">
        <f>IF(B618="","",IF(Inventory!C626="N","Interior","Exterior"))</f>
        <v/>
      </c>
      <c r="K618" s="298" t="str">
        <f t="shared" si="38"/>
        <v/>
      </c>
      <c r="L618" s="298" t="str">
        <f>IF(B618="", "", Inventory!E626)</f>
        <v/>
      </c>
      <c r="M618" s="298" t="str">
        <f>IF(B618="","",IF(Cool_Type=Lookups!$L$9,Cool_Type,IF(Cool_Type=Lookups!$L$10,Cool_Type,IF(Cool_Type=Lookups!$L$11,Cool_Type,IF(Cool_Type=Lookups!L628,Cool_Type,IF('Project Info and Summary'!$C$20="Electric",CONCATENATE(Cool_Type," ",Heating_Type," Heat"),IF('Project Info and Summary'!$C$20="Non-Electric",CONCATENATE(Cool_Type," ",Heating_Type," Heat"),CONCATENATE(Cool_Type," ",Heating_Type))))))))</f>
        <v/>
      </c>
      <c r="N618" s="298" t="str">
        <f t="shared" si="39"/>
        <v/>
      </c>
      <c r="O618" s="298" t="str">
        <f>IF(B618="", "", 'Lighting Inventory (Ref only)'!G629)</f>
        <v/>
      </c>
      <c r="P618" s="298" t="str">
        <f>IF(B618="", "", 'Lighting Inventory (Ref only)'!E629)</f>
        <v/>
      </c>
      <c r="Q618" s="298" t="str">
        <f>IF(B618="", "", 'Lighting Inventory (Ref only)'!J629)</f>
        <v/>
      </c>
      <c r="R618" s="298" t="str">
        <f>IF(B618="", "",'Lighting Inventory (Ref only)'!K629)</f>
        <v/>
      </c>
      <c r="S618" s="372" t="str">
        <f>IF(B618="", "", 'Lighting Inventory (Ref only)'!G629*'Lighting Inventory (Ref only)'!K629/1000)</f>
        <v/>
      </c>
      <c r="T618" s="298" t="str">
        <f>IF(B618="", "", IF('Lighting Inventory (Ref only)'!I629="", "Light Switch",Inventory!H626))</f>
        <v/>
      </c>
      <c r="X618" s="298" t="str">
        <f>IF(B618="", "", 'Lighting Inventory (Ref only)'!Q629)</f>
        <v/>
      </c>
      <c r="AA618" s="298" t="str">
        <f>IF(B618="", "",'Lighting Inventory (Ref only)'!R629/1000)</f>
        <v/>
      </c>
      <c r="AB618" s="298" t="str">
        <f>IF(B618="", "", Inventory!M626)</f>
        <v/>
      </c>
      <c r="AC618" s="298" t="str">
        <f>IF(B618="", "", 'Lighting Inventory (Ref only)'!T629)</f>
        <v/>
      </c>
      <c r="AD618" s="298" t="str">
        <f>IF(C618="", "", 'Lighting Inventory (Ref only)'!AA629)</f>
        <v/>
      </c>
      <c r="AE618" s="298" t="str">
        <f>IF(B618="", "", 'Lighting Inventory (Ref only)'!U629)</f>
        <v/>
      </c>
      <c r="AF618" s="298" t="str">
        <f>IF(B618="", "",'Lighting Inventory (Ref only)'!W629)</f>
        <v/>
      </c>
      <c r="AH618" s="298" t="str">
        <f>IF(B618="", "",'Lighting Inventory (Ref only)'!Z629)</f>
        <v/>
      </c>
      <c r="AI618" s="298" t="str">
        <f>IF(B618="", "", 'Lighting Inventory (Ref only)'!Y629)</f>
        <v/>
      </c>
      <c r="AJ618" s="298" t="str">
        <f>IF(C618="", "",'Lighting Inventory (Ref only)'!AB629)</f>
        <v/>
      </c>
      <c r="AK618" s="375" t="str">
        <f>IF(B618="", "", 'Lighting Inventory (Ref only)'!AG629)</f>
        <v/>
      </c>
      <c r="AL618" s="375" t="str">
        <f>IF(B618="", "", 'Lighting Inventory (Ref only)'!AD629)</f>
        <v/>
      </c>
      <c r="AM618" s="375" t="str">
        <f>IF(B618="", "", 'Lighting Inventory (Ref only)'!AE629)</f>
        <v/>
      </c>
      <c r="AN618" s="375" t="str">
        <f>IF(B618="", "", 'Lighting Inventory (Ref only)'!AF629)</f>
        <v/>
      </c>
      <c r="AO618" s="375" t="str">
        <f>IF(B618="", "", 'Lighting Inventory (Ref only)'!AG629)</f>
        <v/>
      </c>
    </row>
    <row r="619" spans="1:41">
      <c r="A619" s="298" t="str">
        <f>IF(G619="", "", Lookups!BF621)</f>
        <v/>
      </c>
      <c r="B619" s="298" t="str">
        <f>IF('Lighting Inventory (Ref only)'!Q630="", "", 'Lighting Inventory (Ref only)'!Q630)</f>
        <v/>
      </c>
      <c r="C619" s="298" t="str">
        <f>IF(A619="", "", 'Lighting Inventory (Ref only)'!AO630)</f>
        <v/>
      </c>
      <c r="D619" s="298" t="str">
        <f>IF(B619= "","", Inventory!S627)</f>
        <v/>
      </c>
      <c r="F619" s="298" t="str">
        <f>IF(B619="", "", 'Version Log'!$B$34)</f>
        <v/>
      </c>
      <c r="G619" s="298" t="str">
        <f t="shared" si="36"/>
        <v/>
      </c>
      <c r="H619" s="298" t="str">
        <f t="shared" si="37"/>
        <v/>
      </c>
      <c r="I619" s="298" t="str">
        <f>IF(B619="", "",Inventory!D627)</f>
        <v/>
      </c>
      <c r="J619" s="298" t="str">
        <f>IF(B619="","",IF(Inventory!C627="N","Interior","Exterior"))</f>
        <v/>
      </c>
      <c r="K619" s="298" t="str">
        <f t="shared" si="38"/>
        <v/>
      </c>
      <c r="L619" s="298" t="str">
        <f>IF(B619="", "", Inventory!E627)</f>
        <v/>
      </c>
      <c r="M619" s="298" t="str">
        <f>IF(B619="","",IF(Cool_Type=Lookups!$L$9,Cool_Type,IF(Cool_Type=Lookups!$L$10,Cool_Type,IF(Cool_Type=Lookups!$L$11,Cool_Type,IF(Cool_Type=Lookups!L629,Cool_Type,IF('Project Info and Summary'!$C$20="Electric",CONCATENATE(Cool_Type," ",Heating_Type," Heat"),IF('Project Info and Summary'!$C$20="Non-Electric",CONCATENATE(Cool_Type," ",Heating_Type," Heat"),CONCATENATE(Cool_Type," ",Heating_Type))))))))</f>
        <v/>
      </c>
      <c r="N619" s="298" t="str">
        <f t="shared" si="39"/>
        <v/>
      </c>
      <c r="O619" s="298" t="str">
        <f>IF(B619="", "", 'Lighting Inventory (Ref only)'!G630)</f>
        <v/>
      </c>
      <c r="P619" s="298" t="str">
        <f>IF(B619="", "", 'Lighting Inventory (Ref only)'!E630)</f>
        <v/>
      </c>
      <c r="Q619" s="298" t="str">
        <f>IF(B619="", "", 'Lighting Inventory (Ref only)'!J630)</f>
        <v/>
      </c>
      <c r="R619" s="298" t="str">
        <f>IF(B619="", "",'Lighting Inventory (Ref only)'!K630)</f>
        <v/>
      </c>
      <c r="S619" s="372" t="str">
        <f>IF(B619="", "", 'Lighting Inventory (Ref only)'!G630*'Lighting Inventory (Ref only)'!K630/1000)</f>
        <v/>
      </c>
      <c r="T619" s="298" t="str">
        <f>IF(B619="", "", IF('Lighting Inventory (Ref only)'!I630="", "Light Switch",Inventory!H627))</f>
        <v/>
      </c>
      <c r="X619" s="298" t="str">
        <f>IF(B619="", "", 'Lighting Inventory (Ref only)'!Q630)</f>
        <v/>
      </c>
      <c r="AA619" s="298" t="str">
        <f>IF(B619="", "",'Lighting Inventory (Ref only)'!R630/1000)</f>
        <v/>
      </c>
      <c r="AB619" s="298" t="str">
        <f>IF(B619="", "", Inventory!M627)</f>
        <v/>
      </c>
      <c r="AC619" s="298" t="str">
        <f>IF(B619="", "", 'Lighting Inventory (Ref only)'!T630)</f>
        <v/>
      </c>
      <c r="AD619" s="298" t="str">
        <f>IF(C619="", "", 'Lighting Inventory (Ref only)'!AA630)</f>
        <v/>
      </c>
      <c r="AE619" s="298" t="str">
        <f>IF(B619="", "", 'Lighting Inventory (Ref only)'!U630)</f>
        <v/>
      </c>
      <c r="AF619" s="298" t="str">
        <f>IF(B619="", "",'Lighting Inventory (Ref only)'!W630)</f>
        <v/>
      </c>
      <c r="AH619" s="298" t="str">
        <f>IF(B619="", "",'Lighting Inventory (Ref only)'!Z630)</f>
        <v/>
      </c>
      <c r="AI619" s="298" t="str">
        <f>IF(B619="", "", 'Lighting Inventory (Ref only)'!Y630)</f>
        <v/>
      </c>
      <c r="AJ619" s="298" t="str">
        <f>IF(C619="", "",'Lighting Inventory (Ref only)'!AB630)</f>
        <v/>
      </c>
      <c r="AK619" s="375" t="str">
        <f>IF(B619="", "", 'Lighting Inventory (Ref only)'!AG630)</f>
        <v/>
      </c>
      <c r="AL619" s="375" t="str">
        <f>IF(B619="", "", 'Lighting Inventory (Ref only)'!AD630)</f>
        <v/>
      </c>
      <c r="AM619" s="375" t="str">
        <f>IF(B619="", "", 'Lighting Inventory (Ref only)'!AE630)</f>
        <v/>
      </c>
      <c r="AN619" s="375" t="str">
        <f>IF(B619="", "", 'Lighting Inventory (Ref only)'!AF630)</f>
        <v/>
      </c>
      <c r="AO619" s="375" t="str">
        <f>IF(B619="", "", 'Lighting Inventory (Ref only)'!AG630)</f>
        <v/>
      </c>
    </row>
    <row r="620" spans="1:41">
      <c r="A620" s="298" t="str">
        <f>IF(G620="", "", Lookups!BF622)</f>
        <v/>
      </c>
      <c r="B620" s="298" t="str">
        <f>IF('Lighting Inventory (Ref only)'!Q631="", "", 'Lighting Inventory (Ref only)'!Q631)</f>
        <v/>
      </c>
      <c r="C620" s="298" t="str">
        <f>IF(A620="", "", 'Lighting Inventory (Ref only)'!AO631)</f>
        <v/>
      </c>
      <c r="D620" s="298" t="str">
        <f>IF(B620= "","", Inventory!S628)</f>
        <v/>
      </c>
      <c r="F620" s="298" t="str">
        <f>IF(B620="", "", 'Version Log'!$B$34)</f>
        <v/>
      </c>
      <c r="G620" s="298" t="str">
        <f t="shared" si="36"/>
        <v/>
      </c>
      <c r="H620" s="298" t="str">
        <f t="shared" si="37"/>
        <v/>
      </c>
      <c r="I620" s="298" t="str">
        <f>IF(B620="", "",Inventory!D628)</f>
        <v/>
      </c>
      <c r="J620" s="298" t="str">
        <f>IF(B620="","",IF(Inventory!C628="N","Interior","Exterior"))</f>
        <v/>
      </c>
      <c r="K620" s="298" t="str">
        <f t="shared" si="38"/>
        <v/>
      </c>
      <c r="L620" s="298" t="str">
        <f>IF(B620="", "", Inventory!E628)</f>
        <v/>
      </c>
      <c r="M620" s="298" t="str">
        <f>IF(B620="","",IF(Cool_Type=Lookups!$L$9,Cool_Type,IF(Cool_Type=Lookups!$L$10,Cool_Type,IF(Cool_Type=Lookups!$L$11,Cool_Type,IF(Cool_Type=Lookups!L630,Cool_Type,IF('Project Info and Summary'!$C$20="Electric",CONCATENATE(Cool_Type," ",Heating_Type," Heat"),IF('Project Info and Summary'!$C$20="Non-Electric",CONCATENATE(Cool_Type," ",Heating_Type," Heat"),CONCATENATE(Cool_Type," ",Heating_Type))))))))</f>
        <v/>
      </c>
      <c r="N620" s="298" t="str">
        <f t="shared" si="39"/>
        <v/>
      </c>
      <c r="O620" s="298" t="str">
        <f>IF(B620="", "", 'Lighting Inventory (Ref only)'!G631)</f>
        <v/>
      </c>
      <c r="P620" s="298" t="str">
        <f>IF(B620="", "", 'Lighting Inventory (Ref only)'!E631)</f>
        <v/>
      </c>
      <c r="Q620" s="298" t="str">
        <f>IF(B620="", "", 'Lighting Inventory (Ref only)'!J631)</f>
        <v/>
      </c>
      <c r="R620" s="298" t="str">
        <f>IF(B620="", "",'Lighting Inventory (Ref only)'!K631)</f>
        <v/>
      </c>
      <c r="S620" s="372" t="str">
        <f>IF(B620="", "", 'Lighting Inventory (Ref only)'!G631*'Lighting Inventory (Ref only)'!K631/1000)</f>
        <v/>
      </c>
      <c r="T620" s="298" t="str">
        <f>IF(B620="", "", IF('Lighting Inventory (Ref only)'!I631="", "Light Switch",Inventory!H628))</f>
        <v/>
      </c>
      <c r="X620" s="298" t="str">
        <f>IF(B620="", "", 'Lighting Inventory (Ref only)'!Q631)</f>
        <v/>
      </c>
      <c r="AA620" s="298" t="str">
        <f>IF(B620="", "",'Lighting Inventory (Ref only)'!R631/1000)</f>
        <v/>
      </c>
      <c r="AB620" s="298" t="str">
        <f>IF(B620="", "", Inventory!M628)</f>
        <v/>
      </c>
      <c r="AC620" s="298" t="str">
        <f>IF(B620="", "", 'Lighting Inventory (Ref only)'!T631)</f>
        <v/>
      </c>
      <c r="AD620" s="298" t="str">
        <f>IF(C620="", "", 'Lighting Inventory (Ref only)'!AA631)</f>
        <v/>
      </c>
      <c r="AE620" s="298" t="str">
        <f>IF(B620="", "", 'Lighting Inventory (Ref only)'!U631)</f>
        <v/>
      </c>
      <c r="AF620" s="298" t="str">
        <f>IF(B620="", "",'Lighting Inventory (Ref only)'!W631)</f>
        <v/>
      </c>
      <c r="AH620" s="298" t="str">
        <f>IF(B620="", "",'Lighting Inventory (Ref only)'!Z631)</f>
        <v/>
      </c>
      <c r="AI620" s="298" t="str">
        <f>IF(B620="", "", 'Lighting Inventory (Ref only)'!Y631)</f>
        <v/>
      </c>
      <c r="AJ620" s="298" t="str">
        <f>IF(C620="", "",'Lighting Inventory (Ref only)'!AB631)</f>
        <v/>
      </c>
      <c r="AK620" s="375" t="str">
        <f>IF(B620="", "", 'Lighting Inventory (Ref only)'!AG631)</f>
        <v/>
      </c>
      <c r="AL620" s="375" t="str">
        <f>IF(B620="", "", 'Lighting Inventory (Ref only)'!AD631)</f>
        <v/>
      </c>
      <c r="AM620" s="375" t="str">
        <f>IF(B620="", "", 'Lighting Inventory (Ref only)'!AE631)</f>
        <v/>
      </c>
      <c r="AN620" s="375" t="str">
        <f>IF(B620="", "", 'Lighting Inventory (Ref only)'!AF631)</f>
        <v/>
      </c>
      <c r="AO620" s="375" t="str">
        <f>IF(B620="", "", 'Lighting Inventory (Ref only)'!AG631)</f>
        <v/>
      </c>
    </row>
    <row r="621" spans="1:41">
      <c r="A621" s="298" t="str">
        <f>IF(G621="", "", Lookups!BF623)</f>
        <v/>
      </c>
      <c r="B621" s="298" t="str">
        <f>IF('Lighting Inventory (Ref only)'!Q632="", "", 'Lighting Inventory (Ref only)'!Q632)</f>
        <v/>
      </c>
      <c r="C621" s="298" t="str">
        <f>IF(A621="", "", 'Lighting Inventory (Ref only)'!AO632)</f>
        <v/>
      </c>
      <c r="D621" s="298" t="str">
        <f>IF(B621= "","", Inventory!S629)</f>
        <v/>
      </c>
      <c r="F621" s="298" t="str">
        <f>IF(B621="", "", 'Version Log'!$B$34)</f>
        <v/>
      </c>
      <c r="G621" s="298" t="str">
        <f t="shared" si="36"/>
        <v/>
      </c>
      <c r="H621" s="298" t="str">
        <f t="shared" si="37"/>
        <v/>
      </c>
      <c r="I621" s="298" t="str">
        <f>IF(B621="", "",Inventory!D629)</f>
        <v/>
      </c>
      <c r="J621" s="298" t="str">
        <f>IF(B621="","",IF(Inventory!C629="N","Interior","Exterior"))</f>
        <v/>
      </c>
      <c r="K621" s="298" t="str">
        <f t="shared" si="38"/>
        <v/>
      </c>
      <c r="L621" s="298" t="str">
        <f>IF(B621="", "", Inventory!E629)</f>
        <v/>
      </c>
      <c r="M621" s="298" t="str">
        <f>IF(B621="","",IF(Cool_Type=Lookups!$L$9,Cool_Type,IF(Cool_Type=Lookups!$L$10,Cool_Type,IF(Cool_Type=Lookups!$L$11,Cool_Type,IF(Cool_Type=Lookups!L631,Cool_Type,IF('Project Info and Summary'!$C$20="Electric",CONCATENATE(Cool_Type," ",Heating_Type," Heat"),IF('Project Info and Summary'!$C$20="Non-Electric",CONCATENATE(Cool_Type," ",Heating_Type," Heat"),CONCATENATE(Cool_Type," ",Heating_Type))))))))</f>
        <v/>
      </c>
      <c r="N621" s="298" t="str">
        <f t="shared" si="39"/>
        <v/>
      </c>
      <c r="O621" s="298" t="str">
        <f>IF(B621="", "", 'Lighting Inventory (Ref only)'!G632)</f>
        <v/>
      </c>
      <c r="P621" s="298" t="str">
        <f>IF(B621="", "", 'Lighting Inventory (Ref only)'!E632)</f>
        <v/>
      </c>
      <c r="Q621" s="298" t="str">
        <f>IF(B621="", "", 'Lighting Inventory (Ref only)'!J632)</f>
        <v/>
      </c>
      <c r="R621" s="298" t="str">
        <f>IF(B621="", "",'Lighting Inventory (Ref only)'!K632)</f>
        <v/>
      </c>
      <c r="S621" s="372" t="str">
        <f>IF(B621="", "", 'Lighting Inventory (Ref only)'!G632*'Lighting Inventory (Ref only)'!K632/1000)</f>
        <v/>
      </c>
      <c r="T621" s="298" t="str">
        <f>IF(B621="", "", IF('Lighting Inventory (Ref only)'!I632="", "Light Switch",Inventory!H629))</f>
        <v/>
      </c>
      <c r="X621" s="298" t="str">
        <f>IF(B621="", "", 'Lighting Inventory (Ref only)'!Q632)</f>
        <v/>
      </c>
      <c r="AA621" s="298" t="str">
        <f>IF(B621="", "",'Lighting Inventory (Ref only)'!R632/1000)</f>
        <v/>
      </c>
      <c r="AB621" s="298" t="str">
        <f>IF(B621="", "", Inventory!M629)</f>
        <v/>
      </c>
      <c r="AC621" s="298" t="str">
        <f>IF(B621="", "", 'Lighting Inventory (Ref only)'!T632)</f>
        <v/>
      </c>
      <c r="AD621" s="298" t="str">
        <f>IF(C621="", "", 'Lighting Inventory (Ref only)'!AA632)</f>
        <v/>
      </c>
      <c r="AE621" s="298" t="str">
        <f>IF(B621="", "", 'Lighting Inventory (Ref only)'!U632)</f>
        <v/>
      </c>
      <c r="AF621" s="298" t="str">
        <f>IF(B621="", "",'Lighting Inventory (Ref only)'!W632)</f>
        <v/>
      </c>
      <c r="AH621" s="298" t="str">
        <f>IF(B621="", "",'Lighting Inventory (Ref only)'!Z632)</f>
        <v/>
      </c>
      <c r="AI621" s="298" t="str">
        <f>IF(B621="", "", 'Lighting Inventory (Ref only)'!Y632)</f>
        <v/>
      </c>
      <c r="AJ621" s="298" t="str">
        <f>IF(C621="", "",'Lighting Inventory (Ref only)'!AB632)</f>
        <v/>
      </c>
      <c r="AK621" s="375" t="str">
        <f>IF(B621="", "", 'Lighting Inventory (Ref only)'!AG632)</f>
        <v/>
      </c>
      <c r="AL621" s="375" t="str">
        <f>IF(B621="", "", 'Lighting Inventory (Ref only)'!AD632)</f>
        <v/>
      </c>
      <c r="AM621" s="375" t="str">
        <f>IF(B621="", "", 'Lighting Inventory (Ref only)'!AE632)</f>
        <v/>
      </c>
      <c r="AN621" s="375" t="str">
        <f>IF(B621="", "", 'Lighting Inventory (Ref only)'!AF632)</f>
        <v/>
      </c>
      <c r="AO621" s="375" t="str">
        <f>IF(B621="", "", 'Lighting Inventory (Ref only)'!AG632)</f>
        <v/>
      </c>
    </row>
    <row r="622" spans="1:41">
      <c r="A622" s="298" t="str">
        <f>IF(G622="", "", Lookups!BF624)</f>
        <v/>
      </c>
      <c r="B622" s="298" t="str">
        <f>IF('Lighting Inventory (Ref only)'!Q633="", "", 'Lighting Inventory (Ref only)'!Q633)</f>
        <v/>
      </c>
      <c r="C622" s="298" t="str">
        <f>IF(A622="", "", 'Lighting Inventory (Ref only)'!AO633)</f>
        <v/>
      </c>
      <c r="D622" s="298" t="str">
        <f>IF(B622= "","", Inventory!S630)</f>
        <v/>
      </c>
      <c r="F622" s="298" t="str">
        <f>IF(B622="", "", 'Version Log'!$B$34)</f>
        <v/>
      </c>
      <c r="G622" s="298" t="str">
        <f t="shared" si="36"/>
        <v/>
      </c>
      <c r="H622" s="298" t="str">
        <f t="shared" si="37"/>
        <v/>
      </c>
      <c r="I622" s="298" t="str">
        <f>IF(B622="", "",Inventory!D630)</f>
        <v/>
      </c>
      <c r="J622" s="298" t="str">
        <f>IF(B622="","",IF(Inventory!C630="N","Interior","Exterior"))</f>
        <v/>
      </c>
      <c r="K622" s="298" t="str">
        <f t="shared" si="38"/>
        <v/>
      </c>
      <c r="L622" s="298" t="str">
        <f>IF(B622="", "", Inventory!E630)</f>
        <v/>
      </c>
      <c r="M622" s="298" t="str">
        <f>IF(B622="","",IF(Cool_Type=Lookups!$L$9,Cool_Type,IF(Cool_Type=Lookups!$L$10,Cool_Type,IF(Cool_Type=Lookups!$L$11,Cool_Type,IF(Cool_Type=Lookups!L632,Cool_Type,IF('Project Info and Summary'!$C$20="Electric",CONCATENATE(Cool_Type," ",Heating_Type," Heat"),IF('Project Info and Summary'!$C$20="Non-Electric",CONCATENATE(Cool_Type," ",Heating_Type," Heat"),CONCATENATE(Cool_Type," ",Heating_Type))))))))</f>
        <v/>
      </c>
      <c r="N622" s="298" t="str">
        <f t="shared" si="39"/>
        <v/>
      </c>
      <c r="O622" s="298" t="str">
        <f>IF(B622="", "", 'Lighting Inventory (Ref only)'!G633)</f>
        <v/>
      </c>
      <c r="P622" s="298" t="str">
        <f>IF(B622="", "", 'Lighting Inventory (Ref only)'!E633)</f>
        <v/>
      </c>
      <c r="Q622" s="298" t="str">
        <f>IF(B622="", "", 'Lighting Inventory (Ref only)'!J633)</f>
        <v/>
      </c>
      <c r="R622" s="298" t="str">
        <f>IF(B622="", "",'Lighting Inventory (Ref only)'!K633)</f>
        <v/>
      </c>
      <c r="S622" s="372" t="str">
        <f>IF(B622="", "", 'Lighting Inventory (Ref only)'!G633*'Lighting Inventory (Ref only)'!K633/1000)</f>
        <v/>
      </c>
      <c r="T622" s="298" t="str">
        <f>IF(B622="", "", IF('Lighting Inventory (Ref only)'!I633="", "Light Switch",Inventory!H630))</f>
        <v/>
      </c>
      <c r="X622" s="298" t="str">
        <f>IF(B622="", "", 'Lighting Inventory (Ref only)'!Q633)</f>
        <v/>
      </c>
      <c r="AA622" s="298" t="str">
        <f>IF(B622="", "",'Lighting Inventory (Ref only)'!R633/1000)</f>
        <v/>
      </c>
      <c r="AB622" s="298" t="str">
        <f>IF(B622="", "", Inventory!M630)</f>
        <v/>
      </c>
      <c r="AC622" s="298" t="str">
        <f>IF(B622="", "", 'Lighting Inventory (Ref only)'!T633)</f>
        <v/>
      </c>
      <c r="AD622" s="298" t="str">
        <f>IF(C622="", "", 'Lighting Inventory (Ref only)'!AA633)</f>
        <v/>
      </c>
      <c r="AE622" s="298" t="str">
        <f>IF(B622="", "", 'Lighting Inventory (Ref only)'!U633)</f>
        <v/>
      </c>
      <c r="AF622" s="298" t="str">
        <f>IF(B622="", "",'Lighting Inventory (Ref only)'!W633)</f>
        <v/>
      </c>
      <c r="AH622" s="298" t="str">
        <f>IF(B622="", "",'Lighting Inventory (Ref only)'!Z633)</f>
        <v/>
      </c>
      <c r="AI622" s="298" t="str">
        <f>IF(B622="", "", 'Lighting Inventory (Ref only)'!Y633)</f>
        <v/>
      </c>
      <c r="AJ622" s="298" t="str">
        <f>IF(C622="", "",'Lighting Inventory (Ref only)'!AB633)</f>
        <v/>
      </c>
      <c r="AK622" s="375" t="str">
        <f>IF(B622="", "", 'Lighting Inventory (Ref only)'!AG633)</f>
        <v/>
      </c>
      <c r="AL622" s="375" t="str">
        <f>IF(B622="", "", 'Lighting Inventory (Ref only)'!AD633)</f>
        <v/>
      </c>
      <c r="AM622" s="375" t="str">
        <f>IF(B622="", "", 'Lighting Inventory (Ref only)'!AE633)</f>
        <v/>
      </c>
      <c r="AN622" s="375" t="str">
        <f>IF(B622="", "", 'Lighting Inventory (Ref only)'!AF633)</f>
        <v/>
      </c>
      <c r="AO622" s="375" t="str">
        <f>IF(B622="", "", 'Lighting Inventory (Ref only)'!AG633)</f>
        <v/>
      </c>
    </row>
    <row r="623" spans="1:41">
      <c r="A623" s="298" t="str">
        <f>IF(G623="", "", Lookups!BF625)</f>
        <v/>
      </c>
      <c r="B623" s="298" t="str">
        <f>IF('Lighting Inventory (Ref only)'!Q634="", "", 'Lighting Inventory (Ref only)'!Q634)</f>
        <v/>
      </c>
      <c r="C623" s="298" t="str">
        <f>IF(A623="", "", 'Lighting Inventory (Ref only)'!AO634)</f>
        <v/>
      </c>
      <c r="D623" s="298" t="str">
        <f>IF(B623= "","", Inventory!S631)</f>
        <v/>
      </c>
      <c r="F623" s="298" t="str">
        <f>IF(B623="", "", 'Version Log'!$B$34)</f>
        <v/>
      </c>
      <c r="G623" s="298" t="str">
        <f t="shared" si="36"/>
        <v/>
      </c>
      <c r="H623" s="298" t="str">
        <f t="shared" si="37"/>
        <v/>
      </c>
      <c r="I623" s="298" t="str">
        <f>IF(B623="", "",Inventory!D631)</f>
        <v/>
      </c>
      <c r="J623" s="298" t="str">
        <f>IF(B623="","",IF(Inventory!C631="N","Interior","Exterior"))</f>
        <v/>
      </c>
      <c r="K623" s="298" t="str">
        <f t="shared" si="38"/>
        <v/>
      </c>
      <c r="L623" s="298" t="str">
        <f>IF(B623="", "", Inventory!E631)</f>
        <v/>
      </c>
      <c r="M623" s="298" t="str">
        <f>IF(B623="","",IF(Cool_Type=Lookups!$L$9,Cool_Type,IF(Cool_Type=Lookups!$L$10,Cool_Type,IF(Cool_Type=Lookups!$L$11,Cool_Type,IF(Cool_Type=Lookups!L633,Cool_Type,IF('Project Info and Summary'!$C$20="Electric",CONCATENATE(Cool_Type," ",Heating_Type," Heat"),IF('Project Info and Summary'!$C$20="Non-Electric",CONCATENATE(Cool_Type," ",Heating_Type," Heat"),CONCATENATE(Cool_Type," ",Heating_Type))))))))</f>
        <v/>
      </c>
      <c r="N623" s="298" t="str">
        <f t="shared" si="39"/>
        <v/>
      </c>
      <c r="O623" s="298" t="str">
        <f>IF(B623="", "", 'Lighting Inventory (Ref only)'!G634)</f>
        <v/>
      </c>
      <c r="P623" s="298" t="str">
        <f>IF(B623="", "", 'Lighting Inventory (Ref only)'!E634)</f>
        <v/>
      </c>
      <c r="Q623" s="298" t="str">
        <f>IF(B623="", "", 'Lighting Inventory (Ref only)'!J634)</f>
        <v/>
      </c>
      <c r="R623" s="298" t="str">
        <f>IF(B623="", "",'Lighting Inventory (Ref only)'!K634)</f>
        <v/>
      </c>
      <c r="S623" s="372" t="str">
        <f>IF(B623="", "", 'Lighting Inventory (Ref only)'!G634*'Lighting Inventory (Ref only)'!K634/1000)</f>
        <v/>
      </c>
      <c r="T623" s="298" t="str">
        <f>IF(B623="", "", IF('Lighting Inventory (Ref only)'!I634="", "Light Switch",Inventory!H631))</f>
        <v/>
      </c>
      <c r="X623" s="298" t="str">
        <f>IF(B623="", "", 'Lighting Inventory (Ref only)'!Q634)</f>
        <v/>
      </c>
      <c r="AA623" s="298" t="str">
        <f>IF(B623="", "",'Lighting Inventory (Ref only)'!R634/1000)</f>
        <v/>
      </c>
      <c r="AB623" s="298" t="str">
        <f>IF(B623="", "", Inventory!M631)</f>
        <v/>
      </c>
      <c r="AC623" s="298" t="str">
        <f>IF(B623="", "", 'Lighting Inventory (Ref only)'!T634)</f>
        <v/>
      </c>
      <c r="AD623" s="298" t="str">
        <f>IF(C623="", "", 'Lighting Inventory (Ref only)'!AA634)</f>
        <v/>
      </c>
      <c r="AE623" s="298" t="str">
        <f>IF(B623="", "", 'Lighting Inventory (Ref only)'!U634)</f>
        <v/>
      </c>
      <c r="AF623" s="298" t="str">
        <f>IF(B623="", "",'Lighting Inventory (Ref only)'!W634)</f>
        <v/>
      </c>
      <c r="AH623" s="298" t="str">
        <f>IF(B623="", "",'Lighting Inventory (Ref only)'!Z634)</f>
        <v/>
      </c>
      <c r="AI623" s="298" t="str">
        <f>IF(B623="", "", 'Lighting Inventory (Ref only)'!Y634)</f>
        <v/>
      </c>
      <c r="AJ623" s="298" t="str">
        <f>IF(C623="", "",'Lighting Inventory (Ref only)'!AB634)</f>
        <v/>
      </c>
      <c r="AK623" s="375" t="str">
        <f>IF(B623="", "", 'Lighting Inventory (Ref only)'!AG634)</f>
        <v/>
      </c>
      <c r="AL623" s="375" t="str">
        <f>IF(B623="", "", 'Lighting Inventory (Ref only)'!AD634)</f>
        <v/>
      </c>
      <c r="AM623" s="375" t="str">
        <f>IF(B623="", "", 'Lighting Inventory (Ref only)'!AE634)</f>
        <v/>
      </c>
      <c r="AN623" s="375" t="str">
        <f>IF(B623="", "", 'Lighting Inventory (Ref only)'!AF634)</f>
        <v/>
      </c>
      <c r="AO623" s="375" t="str">
        <f>IF(B623="", "", 'Lighting Inventory (Ref only)'!AG634)</f>
        <v/>
      </c>
    </row>
    <row r="624" spans="1:41">
      <c r="A624" s="298" t="str">
        <f>IF(G624="", "", Lookups!BF626)</f>
        <v/>
      </c>
      <c r="B624" s="298" t="str">
        <f>IF('Lighting Inventory (Ref only)'!Q635="", "", 'Lighting Inventory (Ref only)'!Q635)</f>
        <v/>
      </c>
      <c r="C624" s="298" t="str">
        <f>IF(A624="", "", 'Lighting Inventory (Ref only)'!AO635)</f>
        <v/>
      </c>
      <c r="D624" s="298" t="str">
        <f>IF(B624= "","", Inventory!S632)</f>
        <v/>
      </c>
      <c r="F624" s="298" t="str">
        <f>IF(B624="", "", 'Version Log'!$B$34)</f>
        <v/>
      </c>
      <c r="G624" s="298" t="str">
        <f t="shared" si="36"/>
        <v/>
      </c>
      <c r="H624" s="298" t="str">
        <f t="shared" si="37"/>
        <v/>
      </c>
      <c r="I624" s="298" t="str">
        <f>IF(B624="", "",Inventory!D632)</f>
        <v/>
      </c>
      <c r="J624" s="298" t="str">
        <f>IF(B624="","",IF(Inventory!C632="N","Interior","Exterior"))</f>
        <v/>
      </c>
      <c r="K624" s="298" t="str">
        <f t="shared" si="38"/>
        <v/>
      </c>
      <c r="L624" s="298" t="str">
        <f>IF(B624="", "", Inventory!E632)</f>
        <v/>
      </c>
      <c r="M624" s="298" t="str">
        <f>IF(B624="","",IF(Cool_Type=Lookups!$L$9,Cool_Type,IF(Cool_Type=Lookups!$L$10,Cool_Type,IF(Cool_Type=Lookups!$L$11,Cool_Type,IF(Cool_Type=Lookups!L634,Cool_Type,IF('Project Info and Summary'!$C$20="Electric",CONCATENATE(Cool_Type," ",Heating_Type," Heat"),IF('Project Info and Summary'!$C$20="Non-Electric",CONCATENATE(Cool_Type," ",Heating_Type," Heat"),CONCATENATE(Cool_Type," ",Heating_Type))))))))</f>
        <v/>
      </c>
      <c r="N624" s="298" t="str">
        <f t="shared" si="39"/>
        <v/>
      </c>
      <c r="O624" s="298" t="str">
        <f>IF(B624="", "", 'Lighting Inventory (Ref only)'!G635)</f>
        <v/>
      </c>
      <c r="P624" s="298" t="str">
        <f>IF(B624="", "", 'Lighting Inventory (Ref only)'!E635)</f>
        <v/>
      </c>
      <c r="Q624" s="298" t="str">
        <f>IF(B624="", "", 'Lighting Inventory (Ref only)'!J635)</f>
        <v/>
      </c>
      <c r="R624" s="298" t="str">
        <f>IF(B624="", "",'Lighting Inventory (Ref only)'!K635)</f>
        <v/>
      </c>
      <c r="S624" s="372" t="str">
        <f>IF(B624="", "", 'Lighting Inventory (Ref only)'!G635*'Lighting Inventory (Ref only)'!K635/1000)</f>
        <v/>
      </c>
      <c r="T624" s="298" t="str">
        <f>IF(B624="", "", IF('Lighting Inventory (Ref only)'!I635="", "Light Switch",Inventory!H632))</f>
        <v/>
      </c>
      <c r="X624" s="298" t="str">
        <f>IF(B624="", "", 'Lighting Inventory (Ref only)'!Q635)</f>
        <v/>
      </c>
      <c r="AA624" s="298" t="str">
        <f>IF(B624="", "",'Lighting Inventory (Ref only)'!R635/1000)</f>
        <v/>
      </c>
      <c r="AB624" s="298" t="str">
        <f>IF(B624="", "", Inventory!M632)</f>
        <v/>
      </c>
      <c r="AC624" s="298" t="str">
        <f>IF(B624="", "", 'Lighting Inventory (Ref only)'!T635)</f>
        <v/>
      </c>
      <c r="AD624" s="298" t="str">
        <f>IF(C624="", "", 'Lighting Inventory (Ref only)'!AA635)</f>
        <v/>
      </c>
      <c r="AE624" s="298" t="str">
        <f>IF(B624="", "", 'Lighting Inventory (Ref only)'!U635)</f>
        <v/>
      </c>
      <c r="AF624" s="298" t="str">
        <f>IF(B624="", "",'Lighting Inventory (Ref only)'!W635)</f>
        <v/>
      </c>
      <c r="AH624" s="298" t="str">
        <f>IF(B624="", "",'Lighting Inventory (Ref only)'!Z635)</f>
        <v/>
      </c>
      <c r="AI624" s="298" t="str">
        <f>IF(B624="", "", 'Lighting Inventory (Ref only)'!Y635)</f>
        <v/>
      </c>
      <c r="AJ624" s="298" t="str">
        <f>IF(C624="", "",'Lighting Inventory (Ref only)'!AB635)</f>
        <v/>
      </c>
      <c r="AK624" s="375" t="str">
        <f>IF(B624="", "", 'Lighting Inventory (Ref only)'!AG635)</f>
        <v/>
      </c>
      <c r="AL624" s="375" t="str">
        <f>IF(B624="", "", 'Lighting Inventory (Ref only)'!AD635)</f>
        <v/>
      </c>
      <c r="AM624" s="375" t="str">
        <f>IF(B624="", "", 'Lighting Inventory (Ref only)'!AE635)</f>
        <v/>
      </c>
      <c r="AN624" s="375" t="str">
        <f>IF(B624="", "", 'Lighting Inventory (Ref only)'!AF635)</f>
        <v/>
      </c>
      <c r="AO624" s="375" t="str">
        <f>IF(B624="", "", 'Lighting Inventory (Ref only)'!AG635)</f>
        <v/>
      </c>
    </row>
    <row r="625" spans="1:41">
      <c r="A625" s="298" t="str">
        <f>IF(G625="", "", Lookups!BF627)</f>
        <v/>
      </c>
      <c r="B625" s="298" t="str">
        <f>IF('Lighting Inventory (Ref only)'!Q636="", "", 'Lighting Inventory (Ref only)'!Q636)</f>
        <v/>
      </c>
      <c r="C625" s="298" t="str">
        <f>IF(A625="", "", 'Lighting Inventory (Ref only)'!AO636)</f>
        <v/>
      </c>
      <c r="D625" s="298" t="str">
        <f>IF(B625= "","", Inventory!S633)</f>
        <v/>
      </c>
      <c r="F625" s="298" t="str">
        <f>IF(B625="", "", 'Version Log'!$B$34)</f>
        <v/>
      </c>
      <c r="G625" s="298" t="str">
        <f t="shared" si="36"/>
        <v/>
      </c>
      <c r="H625" s="298" t="str">
        <f t="shared" si="37"/>
        <v/>
      </c>
      <c r="I625" s="298" t="str">
        <f>IF(B625="", "",Inventory!D633)</f>
        <v/>
      </c>
      <c r="J625" s="298" t="str">
        <f>IF(B625="","",IF(Inventory!C633="N","Interior","Exterior"))</f>
        <v/>
      </c>
      <c r="K625" s="298" t="str">
        <f t="shared" si="38"/>
        <v/>
      </c>
      <c r="L625" s="298" t="str">
        <f>IF(B625="", "", Inventory!E633)</f>
        <v/>
      </c>
      <c r="M625" s="298" t="str">
        <f>IF(B625="","",IF(Cool_Type=Lookups!$L$9,Cool_Type,IF(Cool_Type=Lookups!$L$10,Cool_Type,IF(Cool_Type=Lookups!$L$11,Cool_Type,IF(Cool_Type=Lookups!L635,Cool_Type,IF('Project Info and Summary'!$C$20="Electric",CONCATENATE(Cool_Type," ",Heating_Type," Heat"),IF('Project Info and Summary'!$C$20="Non-Electric",CONCATENATE(Cool_Type," ",Heating_Type," Heat"),CONCATENATE(Cool_Type," ",Heating_Type))))))))</f>
        <v/>
      </c>
      <c r="N625" s="298" t="str">
        <f t="shared" si="39"/>
        <v/>
      </c>
      <c r="O625" s="298" t="str">
        <f>IF(B625="", "", 'Lighting Inventory (Ref only)'!G636)</f>
        <v/>
      </c>
      <c r="P625" s="298" t="str">
        <f>IF(B625="", "", 'Lighting Inventory (Ref only)'!E636)</f>
        <v/>
      </c>
      <c r="Q625" s="298" t="str">
        <f>IF(B625="", "", 'Lighting Inventory (Ref only)'!J636)</f>
        <v/>
      </c>
      <c r="R625" s="298" t="str">
        <f>IF(B625="", "",'Lighting Inventory (Ref only)'!K636)</f>
        <v/>
      </c>
      <c r="S625" s="372" t="str">
        <f>IF(B625="", "", 'Lighting Inventory (Ref only)'!G636*'Lighting Inventory (Ref only)'!K636/1000)</f>
        <v/>
      </c>
      <c r="T625" s="298" t="str">
        <f>IF(B625="", "", IF('Lighting Inventory (Ref only)'!I636="", "Light Switch",Inventory!H633))</f>
        <v/>
      </c>
      <c r="X625" s="298" t="str">
        <f>IF(B625="", "", 'Lighting Inventory (Ref only)'!Q636)</f>
        <v/>
      </c>
      <c r="AA625" s="298" t="str">
        <f>IF(B625="", "",'Lighting Inventory (Ref only)'!R636/1000)</f>
        <v/>
      </c>
      <c r="AB625" s="298" t="str">
        <f>IF(B625="", "", Inventory!M633)</f>
        <v/>
      </c>
      <c r="AC625" s="298" t="str">
        <f>IF(B625="", "", 'Lighting Inventory (Ref only)'!T636)</f>
        <v/>
      </c>
      <c r="AD625" s="298" t="str">
        <f>IF(C625="", "", 'Lighting Inventory (Ref only)'!AA636)</f>
        <v/>
      </c>
      <c r="AE625" s="298" t="str">
        <f>IF(B625="", "", 'Lighting Inventory (Ref only)'!U636)</f>
        <v/>
      </c>
      <c r="AF625" s="298" t="str">
        <f>IF(B625="", "",'Lighting Inventory (Ref only)'!W636)</f>
        <v/>
      </c>
      <c r="AH625" s="298" t="str">
        <f>IF(B625="", "",'Lighting Inventory (Ref only)'!Z636)</f>
        <v/>
      </c>
      <c r="AI625" s="298" t="str">
        <f>IF(B625="", "", 'Lighting Inventory (Ref only)'!Y636)</f>
        <v/>
      </c>
      <c r="AJ625" s="298" t="str">
        <f>IF(C625="", "",'Lighting Inventory (Ref only)'!AB636)</f>
        <v/>
      </c>
      <c r="AK625" s="375" t="str">
        <f>IF(B625="", "", 'Lighting Inventory (Ref only)'!AG636)</f>
        <v/>
      </c>
      <c r="AL625" s="375" t="str">
        <f>IF(B625="", "", 'Lighting Inventory (Ref only)'!AD636)</f>
        <v/>
      </c>
      <c r="AM625" s="375" t="str">
        <f>IF(B625="", "", 'Lighting Inventory (Ref only)'!AE636)</f>
        <v/>
      </c>
      <c r="AN625" s="375" t="str">
        <f>IF(B625="", "", 'Lighting Inventory (Ref only)'!AF636)</f>
        <v/>
      </c>
      <c r="AO625" s="375" t="str">
        <f>IF(B625="", "", 'Lighting Inventory (Ref only)'!AG636)</f>
        <v/>
      </c>
    </row>
    <row r="626" spans="1:41">
      <c r="A626" s="298" t="str">
        <f>IF(G626="", "", Lookups!BF628)</f>
        <v/>
      </c>
      <c r="B626" s="298" t="str">
        <f>IF('Lighting Inventory (Ref only)'!Q637="", "", 'Lighting Inventory (Ref only)'!Q637)</f>
        <v/>
      </c>
      <c r="C626" s="298" t="str">
        <f>IF(A626="", "", 'Lighting Inventory (Ref only)'!AO637)</f>
        <v/>
      </c>
      <c r="D626" s="298" t="str">
        <f>IF(B626= "","", Inventory!S634)</f>
        <v/>
      </c>
      <c r="F626" s="298" t="str">
        <f>IF(B626="", "", 'Version Log'!$B$34)</f>
        <v/>
      </c>
      <c r="G626" s="298" t="str">
        <f t="shared" si="36"/>
        <v/>
      </c>
      <c r="H626" s="298" t="str">
        <f t="shared" si="37"/>
        <v/>
      </c>
      <c r="I626" s="298" t="str">
        <f>IF(B626="", "",Inventory!D634)</f>
        <v/>
      </c>
      <c r="J626" s="298" t="str">
        <f>IF(B626="","",IF(Inventory!C634="N","Interior","Exterior"))</f>
        <v/>
      </c>
      <c r="K626" s="298" t="str">
        <f t="shared" si="38"/>
        <v/>
      </c>
      <c r="L626" s="298" t="str">
        <f>IF(B626="", "", Inventory!E634)</f>
        <v/>
      </c>
      <c r="M626" s="298" t="str">
        <f>IF(B626="","",IF(Cool_Type=Lookups!$L$9,Cool_Type,IF(Cool_Type=Lookups!$L$10,Cool_Type,IF(Cool_Type=Lookups!$L$11,Cool_Type,IF(Cool_Type=Lookups!L636,Cool_Type,IF('Project Info and Summary'!$C$20="Electric",CONCATENATE(Cool_Type," ",Heating_Type," Heat"),IF('Project Info and Summary'!$C$20="Non-Electric",CONCATENATE(Cool_Type," ",Heating_Type," Heat"),CONCATENATE(Cool_Type," ",Heating_Type))))))))</f>
        <v/>
      </c>
      <c r="N626" s="298" t="str">
        <f t="shared" si="39"/>
        <v/>
      </c>
      <c r="O626" s="298" t="str">
        <f>IF(B626="", "", 'Lighting Inventory (Ref only)'!G637)</f>
        <v/>
      </c>
      <c r="P626" s="298" t="str">
        <f>IF(B626="", "", 'Lighting Inventory (Ref only)'!E637)</f>
        <v/>
      </c>
      <c r="Q626" s="298" t="str">
        <f>IF(B626="", "", 'Lighting Inventory (Ref only)'!J637)</f>
        <v/>
      </c>
      <c r="R626" s="298" t="str">
        <f>IF(B626="", "",'Lighting Inventory (Ref only)'!K637)</f>
        <v/>
      </c>
      <c r="S626" s="372" t="str">
        <f>IF(B626="", "", 'Lighting Inventory (Ref only)'!G637*'Lighting Inventory (Ref only)'!K637/1000)</f>
        <v/>
      </c>
      <c r="T626" s="298" t="str">
        <f>IF(B626="", "", IF('Lighting Inventory (Ref only)'!I637="", "Light Switch",Inventory!H634))</f>
        <v/>
      </c>
      <c r="X626" s="298" t="str">
        <f>IF(B626="", "", 'Lighting Inventory (Ref only)'!Q637)</f>
        <v/>
      </c>
      <c r="AA626" s="298" t="str">
        <f>IF(B626="", "",'Lighting Inventory (Ref only)'!R637/1000)</f>
        <v/>
      </c>
      <c r="AB626" s="298" t="str">
        <f>IF(B626="", "", Inventory!M634)</f>
        <v/>
      </c>
      <c r="AC626" s="298" t="str">
        <f>IF(B626="", "", 'Lighting Inventory (Ref only)'!T637)</f>
        <v/>
      </c>
      <c r="AD626" s="298" t="str">
        <f>IF(C626="", "", 'Lighting Inventory (Ref only)'!AA637)</f>
        <v/>
      </c>
      <c r="AE626" s="298" t="str">
        <f>IF(B626="", "", 'Lighting Inventory (Ref only)'!U637)</f>
        <v/>
      </c>
      <c r="AF626" s="298" t="str">
        <f>IF(B626="", "",'Lighting Inventory (Ref only)'!W637)</f>
        <v/>
      </c>
      <c r="AH626" s="298" t="str">
        <f>IF(B626="", "",'Lighting Inventory (Ref only)'!Z637)</f>
        <v/>
      </c>
      <c r="AI626" s="298" t="str">
        <f>IF(B626="", "", 'Lighting Inventory (Ref only)'!Y637)</f>
        <v/>
      </c>
      <c r="AJ626" s="298" t="str">
        <f>IF(C626="", "",'Lighting Inventory (Ref only)'!AB637)</f>
        <v/>
      </c>
      <c r="AK626" s="375" t="str">
        <f>IF(B626="", "", 'Lighting Inventory (Ref only)'!AG637)</f>
        <v/>
      </c>
      <c r="AL626" s="375" t="str">
        <f>IF(B626="", "", 'Lighting Inventory (Ref only)'!AD637)</f>
        <v/>
      </c>
      <c r="AM626" s="375" t="str">
        <f>IF(B626="", "", 'Lighting Inventory (Ref only)'!AE637)</f>
        <v/>
      </c>
      <c r="AN626" s="375" t="str">
        <f>IF(B626="", "", 'Lighting Inventory (Ref only)'!AF637)</f>
        <v/>
      </c>
      <c r="AO626" s="375" t="str">
        <f>IF(B626="", "", 'Lighting Inventory (Ref only)'!AG637)</f>
        <v/>
      </c>
    </row>
    <row r="627" spans="1:41">
      <c r="A627" s="298" t="str">
        <f>IF(G627="", "", Lookups!BF629)</f>
        <v/>
      </c>
      <c r="B627" s="298" t="str">
        <f>IF('Lighting Inventory (Ref only)'!Q638="", "", 'Lighting Inventory (Ref only)'!Q638)</f>
        <v/>
      </c>
      <c r="C627" s="298" t="str">
        <f>IF(A627="", "", 'Lighting Inventory (Ref only)'!AO638)</f>
        <v/>
      </c>
      <c r="D627" s="298" t="str">
        <f>IF(B627= "","", Inventory!S635)</f>
        <v/>
      </c>
      <c r="F627" s="298" t="str">
        <f>IF(B627="", "", 'Version Log'!$B$34)</f>
        <v/>
      </c>
      <c r="G627" s="298" t="str">
        <f t="shared" si="36"/>
        <v/>
      </c>
      <c r="H627" s="298" t="str">
        <f t="shared" si="37"/>
        <v/>
      </c>
      <c r="I627" s="298" t="str">
        <f>IF(B627="", "",Inventory!D635)</f>
        <v/>
      </c>
      <c r="J627" s="298" t="str">
        <f>IF(B627="","",IF(Inventory!C635="N","Interior","Exterior"))</f>
        <v/>
      </c>
      <c r="K627" s="298" t="str">
        <f t="shared" si="38"/>
        <v/>
      </c>
      <c r="L627" s="298" t="str">
        <f>IF(B627="", "", Inventory!E635)</f>
        <v/>
      </c>
      <c r="M627" s="298" t="str">
        <f>IF(B627="","",IF(Cool_Type=Lookups!$L$9,Cool_Type,IF(Cool_Type=Lookups!$L$10,Cool_Type,IF(Cool_Type=Lookups!$L$11,Cool_Type,IF(Cool_Type=Lookups!L637,Cool_Type,IF('Project Info and Summary'!$C$20="Electric",CONCATENATE(Cool_Type," ",Heating_Type," Heat"),IF('Project Info and Summary'!$C$20="Non-Electric",CONCATENATE(Cool_Type," ",Heating_Type," Heat"),CONCATENATE(Cool_Type," ",Heating_Type))))))))</f>
        <v/>
      </c>
      <c r="N627" s="298" t="str">
        <f t="shared" si="39"/>
        <v/>
      </c>
      <c r="O627" s="298" t="str">
        <f>IF(B627="", "", 'Lighting Inventory (Ref only)'!G638)</f>
        <v/>
      </c>
      <c r="P627" s="298" t="str">
        <f>IF(B627="", "", 'Lighting Inventory (Ref only)'!E638)</f>
        <v/>
      </c>
      <c r="Q627" s="298" t="str">
        <f>IF(B627="", "", 'Lighting Inventory (Ref only)'!J638)</f>
        <v/>
      </c>
      <c r="R627" s="298" t="str">
        <f>IF(B627="", "",'Lighting Inventory (Ref only)'!K638)</f>
        <v/>
      </c>
      <c r="S627" s="372" t="str">
        <f>IF(B627="", "", 'Lighting Inventory (Ref only)'!G638*'Lighting Inventory (Ref only)'!K638/1000)</f>
        <v/>
      </c>
      <c r="T627" s="298" t="str">
        <f>IF(B627="", "", IF('Lighting Inventory (Ref only)'!I638="", "Light Switch",Inventory!H635))</f>
        <v/>
      </c>
      <c r="X627" s="298" t="str">
        <f>IF(B627="", "", 'Lighting Inventory (Ref only)'!Q638)</f>
        <v/>
      </c>
      <c r="AA627" s="298" t="str">
        <f>IF(B627="", "",'Lighting Inventory (Ref only)'!R638/1000)</f>
        <v/>
      </c>
      <c r="AB627" s="298" t="str">
        <f>IF(B627="", "", Inventory!M635)</f>
        <v/>
      </c>
      <c r="AC627" s="298" t="str">
        <f>IF(B627="", "", 'Lighting Inventory (Ref only)'!T638)</f>
        <v/>
      </c>
      <c r="AD627" s="298" t="str">
        <f>IF(C627="", "", 'Lighting Inventory (Ref only)'!AA638)</f>
        <v/>
      </c>
      <c r="AE627" s="298" t="str">
        <f>IF(B627="", "", 'Lighting Inventory (Ref only)'!U638)</f>
        <v/>
      </c>
      <c r="AF627" s="298" t="str">
        <f>IF(B627="", "",'Lighting Inventory (Ref only)'!W638)</f>
        <v/>
      </c>
      <c r="AH627" s="298" t="str">
        <f>IF(B627="", "",'Lighting Inventory (Ref only)'!Z638)</f>
        <v/>
      </c>
      <c r="AI627" s="298" t="str">
        <f>IF(B627="", "", 'Lighting Inventory (Ref only)'!Y638)</f>
        <v/>
      </c>
      <c r="AJ627" s="298" t="str">
        <f>IF(C627="", "",'Lighting Inventory (Ref only)'!AB638)</f>
        <v/>
      </c>
      <c r="AK627" s="375" t="str">
        <f>IF(B627="", "", 'Lighting Inventory (Ref only)'!AG638)</f>
        <v/>
      </c>
      <c r="AL627" s="375" t="str">
        <f>IF(B627="", "", 'Lighting Inventory (Ref only)'!AD638)</f>
        <v/>
      </c>
      <c r="AM627" s="375" t="str">
        <f>IF(B627="", "", 'Lighting Inventory (Ref only)'!AE638)</f>
        <v/>
      </c>
      <c r="AN627" s="375" t="str">
        <f>IF(B627="", "", 'Lighting Inventory (Ref only)'!AF638)</f>
        <v/>
      </c>
      <c r="AO627" s="375" t="str">
        <f>IF(B627="", "", 'Lighting Inventory (Ref only)'!AG638)</f>
        <v/>
      </c>
    </row>
    <row r="628" spans="1:41">
      <c r="A628" s="298" t="str">
        <f>IF(G628="", "", Lookups!BF630)</f>
        <v/>
      </c>
      <c r="B628" s="298" t="str">
        <f>IF('Lighting Inventory (Ref only)'!Q639="", "", 'Lighting Inventory (Ref only)'!Q639)</f>
        <v/>
      </c>
      <c r="C628" s="298" t="str">
        <f>IF(A628="", "", 'Lighting Inventory (Ref only)'!AO639)</f>
        <v/>
      </c>
      <c r="D628" s="298" t="str">
        <f>IF(B628= "","", Inventory!S636)</f>
        <v/>
      </c>
      <c r="F628" s="298" t="str">
        <f>IF(B628="", "", 'Version Log'!$B$34)</f>
        <v/>
      </c>
      <c r="G628" s="298" t="str">
        <f t="shared" si="36"/>
        <v/>
      </c>
      <c r="H628" s="298" t="str">
        <f t="shared" si="37"/>
        <v/>
      </c>
      <c r="I628" s="298" t="str">
        <f>IF(B628="", "",Inventory!D636)</f>
        <v/>
      </c>
      <c r="J628" s="298" t="str">
        <f>IF(B628="","",IF(Inventory!C636="N","Interior","Exterior"))</f>
        <v/>
      </c>
      <c r="K628" s="298" t="str">
        <f t="shared" si="38"/>
        <v/>
      </c>
      <c r="L628" s="298" t="str">
        <f>IF(B628="", "", Inventory!E636)</f>
        <v/>
      </c>
      <c r="M628" s="298" t="str">
        <f>IF(B628="","",IF(Cool_Type=Lookups!$L$9,Cool_Type,IF(Cool_Type=Lookups!$L$10,Cool_Type,IF(Cool_Type=Lookups!$L$11,Cool_Type,IF(Cool_Type=Lookups!L638,Cool_Type,IF('Project Info and Summary'!$C$20="Electric",CONCATENATE(Cool_Type," ",Heating_Type," Heat"),IF('Project Info and Summary'!$C$20="Non-Electric",CONCATENATE(Cool_Type," ",Heating_Type," Heat"),CONCATENATE(Cool_Type," ",Heating_Type))))))))</f>
        <v/>
      </c>
      <c r="N628" s="298" t="str">
        <f t="shared" si="39"/>
        <v/>
      </c>
      <c r="O628" s="298" t="str">
        <f>IF(B628="", "", 'Lighting Inventory (Ref only)'!G639)</f>
        <v/>
      </c>
      <c r="P628" s="298" t="str">
        <f>IF(B628="", "", 'Lighting Inventory (Ref only)'!E639)</f>
        <v/>
      </c>
      <c r="Q628" s="298" t="str">
        <f>IF(B628="", "", 'Lighting Inventory (Ref only)'!J639)</f>
        <v/>
      </c>
      <c r="R628" s="298" t="str">
        <f>IF(B628="", "",'Lighting Inventory (Ref only)'!K639)</f>
        <v/>
      </c>
      <c r="S628" s="372" t="str">
        <f>IF(B628="", "", 'Lighting Inventory (Ref only)'!G639*'Lighting Inventory (Ref only)'!K639/1000)</f>
        <v/>
      </c>
      <c r="T628" s="298" t="str">
        <f>IF(B628="", "", IF('Lighting Inventory (Ref only)'!I639="", "Light Switch",Inventory!H636))</f>
        <v/>
      </c>
      <c r="X628" s="298" t="str">
        <f>IF(B628="", "", 'Lighting Inventory (Ref only)'!Q639)</f>
        <v/>
      </c>
      <c r="AA628" s="298" t="str">
        <f>IF(B628="", "",'Lighting Inventory (Ref only)'!R639/1000)</f>
        <v/>
      </c>
      <c r="AB628" s="298" t="str">
        <f>IF(B628="", "", Inventory!M636)</f>
        <v/>
      </c>
      <c r="AC628" s="298" t="str">
        <f>IF(B628="", "", 'Lighting Inventory (Ref only)'!T639)</f>
        <v/>
      </c>
      <c r="AD628" s="298" t="str">
        <f>IF(C628="", "", 'Lighting Inventory (Ref only)'!AA639)</f>
        <v/>
      </c>
      <c r="AE628" s="298" t="str">
        <f>IF(B628="", "", 'Lighting Inventory (Ref only)'!U639)</f>
        <v/>
      </c>
      <c r="AF628" s="298" t="str">
        <f>IF(B628="", "",'Lighting Inventory (Ref only)'!W639)</f>
        <v/>
      </c>
      <c r="AH628" s="298" t="str">
        <f>IF(B628="", "",'Lighting Inventory (Ref only)'!Z639)</f>
        <v/>
      </c>
      <c r="AI628" s="298" t="str">
        <f>IF(B628="", "", 'Lighting Inventory (Ref only)'!Y639)</f>
        <v/>
      </c>
      <c r="AJ628" s="298" t="str">
        <f>IF(C628="", "",'Lighting Inventory (Ref only)'!AB639)</f>
        <v/>
      </c>
      <c r="AK628" s="375" t="str">
        <f>IF(B628="", "", 'Lighting Inventory (Ref only)'!AG639)</f>
        <v/>
      </c>
      <c r="AL628" s="375" t="str">
        <f>IF(B628="", "", 'Lighting Inventory (Ref only)'!AD639)</f>
        <v/>
      </c>
      <c r="AM628" s="375" t="str">
        <f>IF(B628="", "", 'Lighting Inventory (Ref only)'!AE639)</f>
        <v/>
      </c>
      <c r="AN628" s="375" t="str">
        <f>IF(B628="", "", 'Lighting Inventory (Ref only)'!AF639)</f>
        <v/>
      </c>
      <c r="AO628" s="375" t="str">
        <f>IF(B628="", "", 'Lighting Inventory (Ref only)'!AG639)</f>
        <v/>
      </c>
    </row>
    <row r="629" spans="1:41">
      <c r="A629" s="298" t="str">
        <f>IF(G629="", "", Lookups!BF631)</f>
        <v/>
      </c>
      <c r="B629" s="298" t="str">
        <f>IF('Lighting Inventory (Ref only)'!Q640="", "", 'Lighting Inventory (Ref only)'!Q640)</f>
        <v/>
      </c>
      <c r="C629" s="298" t="str">
        <f>IF(A629="", "", 'Lighting Inventory (Ref only)'!AO640)</f>
        <v/>
      </c>
      <c r="D629" s="298" t="str">
        <f>IF(B629= "","", Inventory!S637)</f>
        <v/>
      </c>
      <c r="F629" s="298" t="str">
        <f>IF(B629="", "", 'Version Log'!$B$34)</f>
        <v/>
      </c>
      <c r="G629" s="298" t="str">
        <f t="shared" si="36"/>
        <v/>
      </c>
      <c r="H629" s="298" t="str">
        <f t="shared" si="37"/>
        <v/>
      </c>
      <c r="I629" s="298" t="str">
        <f>IF(B629="", "",Inventory!D637)</f>
        <v/>
      </c>
      <c r="J629" s="298" t="str">
        <f>IF(B629="","",IF(Inventory!C637="N","Interior","Exterior"))</f>
        <v/>
      </c>
      <c r="K629" s="298" t="str">
        <f t="shared" si="38"/>
        <v/>
      </c>
      <c r="L629" s="298" t="str">
        <f>IF(B629="", "", Inventory!E637)</f>
        <v/>
      </c>
      <c r="M629" s="298" t="str">
        <f>IF(B629="","",IF(Cool_Type=Lookups!$L$9,Cool_Type,IF(Cool_Type=Lookups!$L$10,Cool_Type,IF(Cool_Type=Lookups!$L$11,Cool_Type,IF(Cool_Type=Lookups!L639,Cool_Type,IF('Project Info and Summary'!$C$20="Electric",CONCATENATE(Cool_Type," ",Heating_Type," Heat"),IF('Project Info and Summary'!$C$20="Non-Electric",CONCATENATE(Cool_Type," ",Heating_Type," Heat"),CONCATENATE(Cool_Type," ",Heating_Type))))))))</f>
        <v/>
      </c>
      <c r="N629" s="298" t="str">
        <f t="shared" si="39"/>
        <v/>
      </c>
      <c r="O629" s="298" t="str">
        <f>IF(B629="", "", 'Lighting Inventory (Ref only)'!G640)</f>
        <v/>
      </c>
      <c r="P629" s="298" t="str">
        <f>IF(B629="", "", 'Lighting Inventory (Ref only)'!E640)</f>
        <v/>
      </c>
      <c r="Q629" s="298" t="str">
        <f>IF(B629="", "", 'Lighting Inventory (Ref only)'!J640)</f>
        <v/>
      </c>
      <c r="R629" s="298" t="str">
        <f>IF(B629="", "",'Lighting Inventory (Ref only)'!K640)</f>
        <v/>
      </c>
      <c r="S629" s="372" t="str">
        <f>IF(B629="", "", 'Lighting Inventory (Ref only)'!G640*'Lighting Inventory (Ref only)'!K640/1000)</f>
        <v/>
      </c>
      <c r="T629" s="298" t="str">
        <f>IF(B629="", "", IF('Lighting Inventory (Ref only)'!I640="", "Light Switch",Inventory!H637))</f>
        <v/>
      </c>
      <c r="X629" s="298" t="str">
        <f>IF(B629="", "", 'Lighting Inventory (Ref only)'!Q640)</f>
        <v/>
      </c>
      <c r="AA629" s="298" t="str">
        <f>IF(B629="", "",'Lighting Inventory (Ref only)'!R640/1000)</f>
        <v/>
      </c>
      <c r="AB629" s="298" t="str">
        <f>IF(B629="", "", Inventory!M637)</f>
        <v/>
      </c>
      <c r="AC629" s="298" t="str">
        <f>IF(B629="", "", 'Lighting Inventory (Ref only)'!T640)</f>
        <v/>
      </c>
      <c r="AD629" s="298" t="str">
        <f>IF(C629="", "", 'Lighting Inventory (Ref only)'!AA640)</f>
        <v/>
      </c>
      <c r="AE629" s="298" t="str">
        <f>IF(B629="", "", 'Lighting Inventory (Ref only)'!U640)</f>
        <v/>
      </c>
      <c r="AF629" s="298" t="str">
        <f>IF(B629="", "",'Lighting Inventory (Ref only)'!W640)</f>
        <v/>
      </c>
      <c r="AH629" s="298" t="str">
        <f>IF(B629="", "",'Lighting Inventory (Ref only)'!Z640)</f>
        <v/>
      </c>
      <c r="AI629" s="298" t="str">
        <f>IF(B629="", "", 'Lighting Inventory (Ref only)'!Y640)</f>
        <v/>
      </c>
      <c r="AJ629" s="298" t="str">
        <f>IF(C629="", "",'Lighting Inventory (Ref only)'!AB640)</f>
        <v/>
      </c>
      <c r="AK629" s="375" t="str">
        <f>IF(B629="", "", 'Lighting Inventory (Ref only)'!AG640)</f>
        <v/>
      </c>
      <c r="AL629" s="375" t="str">
        <f>IF(B629="", "", 'Lighting Inventory (Ref only)'!AD640)</f>
        <v/>
      </c>
      <c r="AM629" s="375" t="str">
        <f>IF(B629="", "", 'Lighting Inventory (Ref only)'!AE640)</f>
        <v/>
      </c>
      <c r="AN629" s="375" t="str">
        <f>IF(B629="", "", 'Lighting Inventory (Ref only)'!AF640)</f>
        <v/>
      </c>
      <c r="AO629" s="375" t="str">
        <f>IF(B629="", "", 'Lighting Inventory (Ref only)'!AG640)</f>
        <v/>
      </c>
    </row>
    <row r="630" spans="1:41">
      <c r="A630" s="298" t="str">
        <f>IF(G630="", "", Lookups!BF632)</f>
        <v/>
      </c>
      <c r="B630" s="298" t="str">
        <f>IF('Lighting Inventory (Ref only)'!Q641="", "", 'Lighting Inventory (Ref only)'!Q641)</f>
        <v/>
      </c>
      <c r="C630" s="298" t="str">
        <f>IF(A630="", "", 'Lighting Inventory (Ref only)'!AO641)</f>
        <v/>
      </c>
      <c r="D630" s="298" t="str">
        <f>IF(B630= "","", Inventory!S638)</f>
        <v/>
      </c>
      <c r="F630" s="298" t="str">
        <f>IF(B630="", "", 'Version Log'!$B$34)</f>
        <v/>
      </c>
      <c r="G630" s="298" t="str">
        <f t="shared" ref="G630:G693" si="40">IF(B630="", "", PRJ_Type)</f>
        <v/>
      </c>
      <c r="H630" s="298" t="str">
        <f t="shared" ref="H630:H693" si="41">IF(B630="", "", SqFt)</f>
        <v/>
      </c>
      <c r="I630" s="298" t="str">
        <f>IF(B630="", "",Inventory!D638)</f>
        <v/>
      </c>
      <c r="J630" s="298" t="str">
        <f>IF(B630="","",IF(Inventory!C638="N","Interior","Exterior"))</f>
        <v/>
      </c>
      <c r="K630" s="298" t="str">
        <f t="shared" ref="K630:K693" si="42">IF(B630="", "", Building_Type)</f>
        <v/>
      </c>
      <c r="L630" s="298" t="str">
        <f>IF(B630="", "", Inventory!E638)</f>
        <v/>
      </c>
      <c r="M630" s="298" t="str">
        <f>IF(B630="","",IF(Cool_Type=Lookups!$L$9,Cool_Type,IF(Cool_Type=Lookups!$L$10,Cool_Type,IF(Cool_Type=Lookups!$L$11,Cool_Type,IF(Cool_Type=Lookups!L640,Cool_Type,IF('Project Info and Summary'!$C$20="Electric",CONCATENATE(Cool_Type," ",Heating_Type," Heat"),IF('Project Info and Summary'!$C$20="Non-Electric",CONCATENATE(Cool_Type," ",Heating_Type," Heat"),CONCATENATE(Cool_Type," ",Heating_Type))))))))</f>
        <v/>
      </c>
      <c r="N630" s="298" t="str">
        <f t="shared" ref="N630:N693" si="43">IF(B630="", "",Heating_Type)</f>
        <v/>
      </c>
      <c r="O630" s="298" t="str">
        <f>IF(B630="", "", 'Lighting Inventory (Ref only)'!G641)</f>
        <v/>
      </c>
      <c r="P630" s="298" t="str">
        <f>IF(B630="", "", 'Lighting Inventory (Ref only)'!E641)</f>
        <v/>
      </c>
      <c r="Q630" s="298" t="str">
        <f>IF(B630="", "", 'Lighting Inventory (Ref only)'!J641)</f>
        <v/>
      </c>
      <c r="R630" s="298" t="str">
        <f>IF(B630="", "",'Lighting Inventory (Ref only)'!K641)</f>
        <v/>
      </c>
      <c r="S630" s="372" t="str">
        <f>IF(B630="", "", 'Lighting Inventory (Ref only)'!G641*'Lighting Inventory (Ref only)'!K641/1000)</f>
        <v/>
      </c>
      <c r="T630" s="298" t="str">
        <f>IF(B630="", "", IF('Lighting Inventory (Ref only)'!I641="", "Light Switch",Inventory!H638))</f>
        <v/>
      </c>
      <c r="X630" s="298" t="str">
        <f>IF(B630="", "", 'Lighting Inventory (Ref only)'!Q641)</f>
        <v/>
      </c>
      <c r="AA630" s="298" t="str">
        <f>IF(B630="", "",'Lighting Inventory (Ref only)'!R641/1000)</f>
        <v/>
      </c>
      <c r="AB630" s="298" t="str">
        <f>IF(B630="", "", Inventory!M638)</f>
        <v/>
      </c>
      <c r="AC630" s="298" t="str">
        <f>IF(B630="", "", 'Lighting Inventory (Ref only)'!T641)</f>
        <v/>
      </c>
      <c r="AD630" s="298" t="str">
        <f>IF(C630="", "", 'Lighting Inventory (Ref only)'!AA641)</f>
        <v/>
      </c>
      <c r="AE630" s="298" t="str">
        <f>IF(B630="", "", 'Lighting Inventory (Ref only)'!U641)</f>
        <v/>
      </c>
      <c r="AF630" s="298" t="str">
        <f>IF(B630="", "",'Lighting Inventory (Ref only)'!W641)</f>
        <v/>
      </c>
      <c r="AH630" s="298" t="str">
        <f>IF(B630="", "",'Lighting Inventory (Ref only)'!Z641)</f>
        <v/>
      </c>
      <c r="AI630" s="298" t="str">
        <f>IF(B630="", "", 'Lighting Inventory (Ref only)'!Y641)</f>
        <v/>
      </c>
      <c r="AJ630" s="298" t="str">
        <f>IF(C630="", "",'Lighting Inventory (Ref only)'!AB641)</f>
        <v/>
      </c>
      <c r="AK630" s="375" t="str">
        <f>IF(B630="", "", 'Lighting Inventory (Ref only)'!AG641)</f>
        <v/>
      </c>
      <c r="AL630" s="375" t="str">
        <f>IF(B630="", "", 'Lighting Inventory (Ref only)'!AD641)</f>
        <v/>
      </c>
      <c r="AM630" s="375" t="str">
        <f>IF(B630="", "", 'Lighting Inventory (Ref only)'!AE641)</f>
        <v/>
      </c>
      <c r="AN630" s="375" t="str">
        <f>IF(B630="", "", 'Lighting Inventory (Ref only)'!AF641)</f>
        <v/>
      </c>
      <c r="AO630" s="375" t="str">
        <f>IF(B630="", "", 'Lighting Inventory (Ref only)'!AG641)</f>
        <v/>
      </c>
    </row>
    <row r="631" spans="1:41">
      <c r="A631" s="298" t="str">
        <f>IF(G631="", "", Lookups!BF633)</f>
        <v/>
      </c>
      <c r="B631" s="298" t="str">
        <f>IF('Lighting Inventory (Ref only)'!Q642="", "", 'Lighting Inventory (Ref only)'!Q642)</f>
        <v/>
      </c>
      <c r="C631" s="298" t="str">
        <f>IF(A631="", "", 'Lighting Inventory (Ref only)'!AO642)</f>
        <v/>
      </c>
      <c r="D631" s="298" t="str">
        <f>IF(B631= "","", Inventory!S639)</f>
        <v/>
      </c>
      <c r="F631" s="298" t="str">
        <f>IF(B631="", "", 'Version Log'!$B$34)</f>
        <v/>
      </c>
      <c r="G631" s="298" t="str">
        <f t="shared" si="40"/>
        <v/>
      </c>
      <c r="H631" s="298" t="str">
        <f t="shared" si="41"/>
        <v/>
      </c>
      <c r="I631" s="298" t="str">
        <f>IF(B631="", "",Inventory!D639)</f>
        <v/>
      </c>
      <c r="J631" s="298" t="str">
        <f>IF(B631="","",IF(Inventory!C639="N","Interior","Exterior"))</f>
        <v/>
      </c>
      <c r="K631" s="298" t="str">
        <f t="shared" si="42"/>
        <v/>
      </c>
      <c r="L631" s="298" t="str">
        <f>IF(B631="", "", Inventory!E639)</f>
        <v/>
      </c>
      <c r="M631" s="298" t="str">
        <f>IF(B631="","",IF(Cool_Type=Lookups!$L$9,Cool_Type,IF(Cool_Type=Lookups!$L$10,Cool_Type,IF(Cool_Type=Lookups!$L$11,Cool_Type,IF(Cool_Type=Lookups!L641,Cool_Type,IF('Project Info and Summary'!$C$20="Electric",CONCATENATE(Cool_Type," ",Heating_Type," Heat"),IF('Project Info and Summary'!$C$20="Non-Electric",CONCATENATE(Cool_Type," ",Heating_Type," Heat"),CONCATENATE(Cool_Type," ",Heating_Type))))))))</f>
        <v/>
      </c>
      <c r="N631" s="298" t="str">
        <f t="shared" si="43"/>
        <v/>
      </c>
      <c r="O631" s="298" t="str">
        <f>IF(B631="", "", 'Lighting Inventory (Ref only)'!G642)</f>
        <v/>
      </c>
      <c r="P631" s="298" t="str">
        <f>IF(B631="", "", 'Lighting Inventory (Ref only)'!E642)</f>
        <v/>
      </c>
      <c r="Q631" s="298" t="str">
        <f>IF(B631="", "", 'Lighting Inventory (Ref only)'!J642)</f>
        <v/>
      </c>
      <c r="R631" s="298" t="str">
        <f>IF(B631="", "",'Lighting Inventory (Ref only)'!K642)</f>
        <v/>
      </c>
      <c r="S631" s="372" t="str">
        <f>IF(B631="", "", 'Lighting Inventory (Ref only)'!G642*'Lighting Inventory (Ref only)'!K642/1000)</f>
        <v/>
      </c>
      <c r="T631" s="298" t="str">
        <f>IF(B631="", "", IF('Lighting Inventory (Ref only)'!I642="", "Light Switch",Inventory!H639))</f>
        <v/>
      </c>
      <c r="X631" s="298" t="str">
        <f>IF(B631="", "", 'Lighting Inventory (Ref only)'!Q642)</f>
        <v/>
      </c>
      <c r="AA631" s="298" t="str">
        <f>IF(B631="", "",'Lighting Inventory (Ref only)'!R642/1000)</f>
        <v/>
      </c>
      <c r="AB631" s="298" t="str">
        <f>IF(B631="", "", Inventory!M639)</f>
        <v/>
      </c>
      <c r="AC631" s="298" t="str">
        <f>IF(B631="", "", 'Lighting Inventory (Ref only)'!T642)</f>
        <v/>
      </c>
      <c r="AD631" s="298" t="str">
        <f>IF(C631="", "", 'Lighting Inventory (Ref only)'!AA642)</f>
        <v/>
      </c>
      <c r="AE631" s="298" t="str">
        <f>IF(B631="", "", 'Lighting Inventory (Ref only)'!U642)</f>
        <v/>
      </c>
      <c r="AF631" s="298" t="str">
        <f>IF(B631="", "",'Lighting Inventory (Ref only)'!W642)</f>
        <v/>
      </c>
      <c r="AH631" s="298" t="str">
        <f>IF(B631="", "",'Lighting Inventory (Ref only)'!Z642)</f>
        <v/>
      </c>
      <c r="AI631" s="298" t="str">
        <f>IF(B631="", "", 'Lighting Inventory (Ref only)'!Y642)</f>
        <v/>
      </c>
      <c r="AJ631" s="298" t="str">
        <f>IF(C631="", "",'Lighting Inventory (Ref only)'!AB642)</f>
        <v/>
      </c>
      <c r="AK631" s="375" t="str">
        <f>IF(B631="", "", 'Lighting Inventory (Ref only)'!AG642)</f>
        <v/>
      </c>
      <c r="AL631" s="375" t="str">
        <f>IF(B631="", "", 'Lighting Inventory (Ref only)'!AD642)</f>
        <v/>
      </c>
      <c r="AM631" s="375" t="str">
        <f>IF(B631="", "", 'Lighting Inventory (Ref only)'!AE642)</f>
        <v/>
      </c>
      <c r="AN631" s="375" t="str">
        <f>IF(B631="", "", 'Lighting Inventory (Ref only)'!AF642)</f>
        <v/>
      </c>
      <c r="AO631" s="375" t="str">
        <f>IF(B631="", "", 'Lighting Inventory (Ref only)'!AG642)</f>
        <v/>
      </c>
    </row>
    <row r="632" spans="1:41">
      <c r="A632" s="298" t="str">
        <f>IF(G632="", "", Lookups!BF634)</f>
        <v/>
      </c>
      <c r="B632" s="298" t="str">
        <f>IF('Lighting Inventory (Ref only)'!Q643="", "", 'Lighting Inventory (Ref only)'!Q643)</f>
        <v/>
      </c>
      <c r="C632" s="298" t="str">
        <f>IF(A632="", "", 'Lighting Inventory (Ref only)'!AO643)</f>
        <v/>
      </c>
      <c r="D632" s="298" t="str">
        <f>IF(B632= "","", Inventory!S640)</f>
        <v/>
      </c>
      <c r="F632" s="298" t="str">
        <f>IF(B632="", "", 'Version Log'!$B$34)</f>
        <v/>
      </c>
      <c r="G632" s="298" t="str">
        <f t="shared" si="40"/>
        <v/>
      </c>
      <c r="H632" s="298" t="str">
        <f t="shared" si="41"/>
        <v/>
      </c>
      <c r="I632" s="298" t="str">
        <f>IF(B632="", "",Inventory!D640)</f>
        <v/>
      </c>
      <c r="J632" s="298" t="str">
        <f>IF(B632="","",IF(Inventory!C640="N","Interior","Exterior"))</f>
        <v/>
      </c>
      <c r="K632" s="298" t="str">
        <f t="shared" si="42"/>
        <v/>
      </c>
      <c r="L632" s="298" t="str">
        <f>IF(B632="", "", Inventory!E640)</f>
        <v/>
      </c>
      <c r="M632" s="298" t="str">
        <f>IF(B632="","",IF(Cool_Type=Lookups!$L$9,Cool_Type,IF(Cool_Type=Lookups!$L$10,Cool_Type,IF(Cool_Type=Lookups!$L$11,Cool_Type,IF(Cool_Type=Lookups!L642,Cool_Type,IF('Project Info and Summary'!$C$20="Electric",CONCATENATE(Cool_Type," ",Heating_Type," Heat"),IF('Project Info and Summary'!$C$20="Non-Electric",CONCATENATE(Cool_Type," ",Heating_Type," Heat"),CONCATENATE(Cool_Type," ",Heating_Type))))))))</f>
        <v/>
      </c>
      <c r="N632" s="298" t="str">
        <f t="shared" si="43"/>
        <v/>
      </c>
      <c r="O632" s="298" t="str">
        <f>IF(B632="", "", 'Lighting Inventory (Ref only)'!G643)</f>
        <v/>
      </c>
      <c r="P632" s="298" t="str">
        <f>IF(B632="", "", 'Lighting Inventory (Ref only)'!E643)</f>
        <v/>
      </c>
      <c r="Q632" s="298" t="str">
        <f>IF(B632="", "", 'Lighting Inventory (Ref only)'!J643)</f>
        <v/>
      </c>
      <c r="R632" s="298" t="str">
        <f>IF(B632="", "",'Lighting Inventory (Ref only)'!K643)</f>
        <v/>
      </c>
      <c r="S632" s="372" t="str">
        <f>IF(B632="", "", 'Lighting Inventory (Ref only)'!G643*'Lighting Inventory (Ref only)'!K643/1000)</f>
        <v/>
      </c>
      <c r="T632" s="298" t="str">
        <f>IF(B632="", "", IF('Lighting Inventory (Ref only)'!I643="", "Light Switch",Inventory!H640))</f>
        <v/>
      </c>
      <c r="X632" s="298" t="str">
        <f>IF(B632="", "", 'Lighting Inventory (Ref only)'!Q643)</f>
        <v/>
      </c>
      <c r="AA632" s="298" t="str">
        <f>IF(B632="", "",'Lighting Inventory (Ref only)'!R643/1000)</f>
        <v/>
      </c>
      <c r="AB632" s="298" t="str">
        <f>IF(B632="", "", Inventory!M640)</f>
        <v/>
      </c>
      <c r="AC632" s="298" t="str">
        <f>IF(B632="", "", 'Lighting Inventory (Ref only)'!T643)</f>
        <v/>
      </c>
      <c r="AD632" s="298" t="str">
        <f>IF(C632="", "", 'Lighting Inventory (Ref only)'!AA643)</f>
        <v/>
      </c>
      <c r="AE632" s="298" t="str">
        <f>IF(B632="", "", 'Lighting Inventory (Ref only)'!U643)</f>
        <v/>
      </c>
      <c r="AF632" s="298" t="str">
        <f>IF(B632="", "",'Lighting Inventory (Ref only)'!W643)</f>
        <v/>
      </c>
      <c r="AH632" s="298" t="str">
        <f>IF(B632="", "",'Lighting Inventory (Ref only)'!Z643)</f>
        <v/>
      </c>
      <c r="AI632" s="298" t="str">
        <f>IF(B632="", "", 'Lighting Inventory (Ref only)'!Y643)</f>
        <v/>
      </c>
      <c r="AJ632" s="298" t="str">
        <f>IF(C632="", "",'Lighting Inventory (Ref only)'!AB643)</f>
        <v/>
      </c>
      <c r="AK632" s="375" t="str">
        <f>IF(B632="", "", 'Lighting Inventory (Ref only)'!AG643)</f>
        <v/>
      </c>
      <c r="AL632" s="375" t="str">
        <f>IF(B632="", "", 'Lighting Inventory (Ref only)'!AD643)</f>
        <v/>
      </c>
      <c r="AM632" s="375" t="str">
        <f>IF(B632="", "", 'Lighting Inventory (Ref only)'!AE643)</f>
        <v/>
      </c>
      <c r="AN632" s="375" t="str">
        <f>IF(B632="", "", 'Lighting Inventory (Ref only)'!AF643)</f>
        <v/>
      </c>
      <c r="AO632" s="375" t="str">
        <f>IF(B632="", "", 'Lighting Inventory (Ref only)'!AG643)</f>
        <v/>
      </c>
    </row>
    <row r="633" spans="1:41">
      <c r="A633" s="298" t="str">
        <f>IF(G633="", "", Lookups!BF635)</f>
        <v/>
      </c>
      <c r="B633" s="298" t="str">
        <f>IF('Lighting Inventory (Ref only)'!Q644="", "", 'Lighting Inventory (Ref only)'!Q644)</f>
        <v/>
      </c>
      <c r="C633" s="298" t="str">
        <f>IF(A633="", "", 'Lighting Inventory (Ref only)'!AO644)</f>
        <v/>
      </c>
      <c r="D633" s="298" t="str">
        <f>IF(B633= "","", Inventory!S641)</f>
        <v/>
      </c>
      <c r="F633" s="298" t="str">
        <f>IF(B633="", "", 'Version Log'!$B$34)</f>
        <v/>
      </c>
      <c r="G633" s="298" t="str">
        <f t="shared" si="40"/>
        <v/>
      </c>
      <c r="H633" s="298" t="str">
        <f t="shared" si="41"/>
        <v/>
      </c>
      <c r="I633" s="298" t="str">
        <f>IF(B633="", "",Inventory!D641)</f>
        <v/>
      </c>
      <c r="J633" s="298" t="str">
        <f>IF(B633="","",IF(Inventory!C641="N","Interior","Exterior"))</f>
        <v/>
      </c>
      <c r="K633" s="298" t="str">
        <f t="shared" si="42"/>
        <v/>
      </c>
      <c r="L633" s="298" t="str">
        <f>IF(B633="", "", Inventory!E641)</f>
        <v/>
      </c>
      <c r="M633" s="298" t="str">
        <f>IF(B633="","",IF(Cool_Type=Lookups!$L$9,Cool_Type,IF(Cool_Type=Lookups!$L$10,Cool_Type,IF(Cool_Type=Lookups!$L$11,Cool_Type,IF(Cool_Type=Lookups!L643,Cool_Type,IF('Project Info and Summary'!$C$20="Electric",CONCATENATE(Cool_Type," ",Heating_Type," Heat"),IF('Project Info and Summary'!$C$20="Non-Electric",CONCATENATE(Cool_Type," ",Heating_Type," Heat"),CONCATENATE(Cool_Type," ",Heating_Type))))))))</f>
        <v/>
      </c>
      <c r="N633" s="298" t="str">
        <f t="shared" si="43"/>
        <v/>
      </c>
      <c r="O633" s="298" t="str">
        <f>IF(B633="", "", 'Lighting Inventory (Ref only)'!G644)</f>
        <v/>
      </c>
      <c r="P633" s="298" t="str">
        <f>IF(B633="", "", 'Lighting Inventory (Ref only)'!E644)</f>
        <v/>
      </c>
      <c r="Q633" s="298" t="str">
        <f>IF(B633="", "", 'Lighting Inventory (Ref only)'!J644)</f>
        <v/>
      </c>
      <c r="R633" s="298" t="str">
        <f>IF(B633="", "",'Lighting Inventory (Ref only)'!K644)</f>
        <v/>
      </c>
      <c r="S633" s="372" t="str">
        <f>IF(B633="", "", 'Lighting Inventory (Ref only)'!G644*'Lighting Inventory (Ref only)'!K644/1000)</f>
        <v/>
      </c>
      <c r="T633" s="298" t="str">
        <f>IF(B633="", "", IF('Lighting Inventory (Ref only)'!I644="", "Light Switch",Inventory!H641))</f>
        <v/>
      </c>
      <c r="X633" s="298" t="str">
        <f>IF(B633="", "", 'Lighting Inventory (Ref only)'!Q644)</f>
        <v/>
      </c>
      <c r="AA633" s="298" t="str">
        <f>IF(B633="", "",'Lighting Inventory (Ref only)'!R644/1000)</f>
        <v/>
      </c>
      <c r="AB633" s="298" t="str">
        <f>IF(B633="", "", Inventory!M641)</f>
        <v/>
      </c>
      <c r="AC633" s="298" t="str">
        <f>IF(B633="", "", 'Lighting Inventory (Ref only)'!T644)</f>
        <v/>
      </c>
      <c r="AD633" s="298" t="str">
        <f>IF(C633="", "", 'Lighting Inventory (Ref only)'!AA644)</f>
        <v/>
      </c>
      <c r="AE633" s="298" t="str">
        <f>IF(B633="", "", 'Lighting Inventory (Ref only)'!U644)</f>
        <v/>
      </c>
      <c r="AF633" s="298" t="str">
        <f>IF(B633="", "",'Lighting Inventory (Ref only)'!W644)</f>
        <v/>
      </c>
      <c r="AH633" s="298" t="str">
        <f>IF(B633="", "",'Lighting Inventory (Ref only)'!Z644)</f>
        <v/>
      </c>
      <c r="AI633" s="298" t="str">
        <f>IF(B633="", "", 'Lighting Inventory (Ref only)'!Y644)</f>
        <v/>
      </c>
      <c r="AJ633" s="298" t="str">
        <f>IF(C633="", "",'Lighting Inventory (Ref only)'!AB644)</f>
        <v/>
      </c>
      <c r="AK633" s="375" t="str">
        <f>IF(B633="", "", 'Lighting Inventory (Ref only)'!AG644)</f>
        <v/>
      </c>
      <c r="AL633" s="375" t="str">
        <f>IF(B633="", "", 'Lighting Inventory (Ref only)'!AD644)</f>
        <v/>
      </c>
      <c r="AM633" s="375" t="str">
        <f>IF(B633="", "", 'Lighting Inventory (Ref only)'!AE644)</f>
        <v/>
      </c>
      <c r="AN633" s="375" t="str">
        <f>IF(B633="", "", 'Lighting Inventory (Ref only)'!AF644)</f>
        <v/>
      </c>
      <c r="AO633" s="375" t="str">
        <f>IF(B633="", "", 'Lighting Inventory (Ref only)'!AG644)</f>
        <v/>
      </c>
    </row>
    <row r="634" spans="1:41">
      <c r="A634" s="298" t="str">
        <f>IF(G634="", "", Lookups!BF636)</f>
        <v/>
      </c>
      <c r="B634" s="298" t="str">
        <f>IF('Lighting Inventory (Ref only)'!Q645="", "", 'Lighting Inventory (Ref only)'!Q645)</f>
        <v/>
      </c>
      <c r="C634" s="298" t="str">
        <f>IF(A634="", "", 'Lighting Inventory (Ref only)'!AO645)</f>
        <v/>
      </c>
      <c r="D634" s="298" t="str">
        <f>IF(B634= "","", Inventory!S642)</f>
        <v/>
      </c>
      <c r="F634" s="298" t="str">
        <f>IF(B634="", "", 'Version Log'!$B$34)</f>
        <v/>
      </c>
      <c r="G634" s="298" t="str">
        <f t="shared" si="40"/>
        <v/>
      </c>
      <c r="H634" s="298" t="str">
        <f t="shared" si="41"/>
        <v/>
      </c>
      <c r="I634" s="298" t="str">
        <f>IF(B634="", "",Inventory!D642)</f>
        <v/>
      </c>
      <c r="J634" s="298" t="str">
        <f>IF(B634="","",IF(Inventory!C642="N","Interior","Exterior"))</f>
        <v/>
      </c>
      <c r="K634" s="298" t="str">
        <f t="shared" si="42"/>
        <v/>
      </c>
      <c r="L634" s="298" t="str">
        <f>IF(B634="", "", Inventory!E642)</f>
        <v/>
      </c>
      <c r="M634" s="298" t="str">
        <f>IF(B634="","",IF(Cool_Type=Lookups!$L$9,Cool_Type,IF(Cool_Type=Lookups!$L$10,Cool_Type,IF(Cool_Type=Lookups!$L$11,Cool_Type,IF(Cool_Type=Lookups!L644,Cool_Type,IF('Project Info and Summary'!$C$20="Electric",CONCATENATE(Cool_Type," ",Heating_Type," Heat"),IF('Project Info and Summary'!$C$20="Non-Electric",CONCATENATE(Cool_Type," ",Heating_Type," Heat"),CONCATENATE(Cool_Type," ",Heating_Type))))))))</f>
        <v/>
      </c>
      <c r="N634" s="298" t="str">
        <f t="shared" si="43"/>
        <v/>
      </c>
      <c r="O634" s="298" t="str">
        <f>IF(B634="", "", 'Lighting Inventory (Ref only)'!G645)</f>
        <v/>
      </c>
      <c r="P634" s="298" t="str">
        <f>IF(B634="", "", 'Lighting Inventory (Ref only)'!E645)</f>
        <v/>
      </c>
      <c r="Q634" s="298" t="str">
        <f>IF(B634="", "", 'Lighting Inventory (Ref only)'!J645)</f>
        <v/>
      </c>
      <c r="R634" s="298" t="str">
        <f>IF(B634="", "",'Lighting Inventory (Ref only)'!K645)</f>
        <v/>
      </c>
      <c r="S634" s="372" t="str">
        <f>IF(B634="", "", 'Lighting Inventory (Ref only)'!G645*'Lighting Inventory (Ref only)'!K645/1000)</f>
        <v/>
      </c>
      <c r="T634" s="298" t="str">
        <f>IF(B634="", "", IF('Lighting Inventory (Ref only)'!I645="", "Light Switch",Inventory!H642))</f>
        <v/>
      </c>
      <c r="X634" s="298" t="str">
        <f>IF(B634="", "", 'Lighting Inventory (Ref only)'!Q645)</f>
        <v/>
      </c>
      <c r="AA634" s="298" t="str">
        <f>IF(B634="", "",'Lighting Inventory (Ref only)'!R645/1000)</f>
        <v/>
      </c>
      <c r="AB634" s="298" t="str">
        <f>IF(B634="", "", Inventory!M642)</f>
        <v/>
      </c>
      <c r="AC634" s="298" t="str">
        <f>IF(B634="", "", 'Lighting Inventory (Ref only)'!T645)</f>
        <v/>
      </c>
      <c r="AD634" s="298" t="str">
        <f>IF(C634="", "", 'Lighting Inventory (Ref only)'!AA645)</f>
        <v/>
      </c>
      <c r="AE634" s="298" t="str">
        <f>IF(B634="", "", 'Lighting Inventory (Ref only)'!U645)</f>
        <v/>
      </c>
      <c r="AF634" s="298" t="str">
        <f>IF(B634="", "",'Lighting Inventory (Ref only)'!W645)</f>
        <v/>
      </c>
      <c r="AH634" s="298" t="str">
        <f>IF(B634="", "",'Lighting Inventory (Ref only)'!Z645)</f>
        <v/>
      </c>
      <c r="AI634" s="298" t="str">
        <f>IF(B634="", "", 'Lighting Inventory (Ref only)'!Y645)</f>
        <v/>
      </c>
      <c r="AJ634" s="298" t="str">
        <f>IF(C634="", "",'Lighting Inventory (Ref only)'!AB645)</f>
        <v/>
      </c>
      <c r="AK634" s="375" t="str">
        <f>IF(B634="", "", 'Lighting Inventory (Ref only)'!AG645)</f>
        <v/>
      </c>
      <c r="AL634" s="375" t="str">
        <f>IF(B634="", "", 'Lighting Inventory (Ref only)'!AD645)</f>
        <v/>
      </c>
      <c r="AM634" s="375" t="str">
        <f>IF(B634="", "", 'Lighting Inventory (Ref only)'!AE645)</f>
        <v/>
      </c>
      <c r="AN634" s="375" t="str">
        <f>IF(B634="", "", 'Lighting Inventory (Ref only)'!AF645)</f>
        <v/>
      </c>
      <c r="AO634" s="375" t="str">
        <f>IF(B634="", "", 'Lighting Inventory (Ref only)'!AG645)</f>
        <v/>
      </c>
    </row>
    <row r="635" spans="1:41">
      <c r="A635" s="298" t="str">
        <f>IF(G635="", "", Lookups!BF637)</f>
        <v/>
      </c>
      <c r="B635" s="298" t="str">
        <f>IF('Lighting Inventory (Ref only)'!Q646="", "", 'Lighting Inventory (Ref only)'!Q646)</f>
        <v/>
      </c>
      <c r="C635" s="298" t="str">
        <f>IF(A635="", "", 'Lighting Inventory (Ref only)'!AO646)</f>
        <v/>
      </c>
      <c r="D635" s="298" t="str">
        <f>IF(B635= "","", Inventory!S643)</f>
        <v/>
      </c>
      <c r="F635" s="298" t="str">
        <f>IF(B635="", "", 'Version Log'!$B$34)</f>
        <v/>
      </c>
      <c r="G635" s="298" t="str">
        <f t="shared" si="40"/>
        <v/>
      </c>
      <c r="H635" s="298" t="str">
        <f t="shared" si="41"/>
        <v/>
      </c>
      <c r="I635" s="298" t="str">
        <f>IF(B635="", "",Inventory!D643)</f>
        <v/>
      </c>
      <c r="J635" s="298" t="str">
        <f>IF(B635="","",IF(Inventory!C643="N","Interior","Exterior"))</f>
        <v/>
      </c>
      <c r="K635" s="298" t="str">
        <f t="shared" si="42"/>
        <v/>
      </c>
      <c r="L635" s="298" t="str">
        <f>IF(B635="", "", Inventory!E643)</f>
        <v/>
      </c>
      <c r="M635" s="298" t="str">
        <f>IF(B635="","",IF(Cool_Type=Lookups!$L$9,Cool_Type,IF(Cool_Type=Lookups!$L$10,Cool_Type,IF(Cool_Type=Lookups!$L$11,Cool_Type,IF(Cool_Type=Lookups!L645,Cool_Type,IF('Project Info and Summary'!$C$20="Electric",CONCATENATE(Cool_Type," ",Heating_Type," Heat"),IF('Project Info and Summary'!$C$20="Non-Electric",CONCATENATE(Cool_Type," ",Heating_Type," Heat"),CONCATENATE(Cool_Type," ",Heating_Type))))))))</f>
        <v/>
      </c>
      <c r="N635" s="298" t="str">
        <f t="shared" si="43"/>
        <v/>
      </c>
      <c r="O635" s="298" t="str">
        <f>IF(B635="", "", 'Lighting Inventory (Ref only)'!G646)</f>
        <v/>
      </c>
      <c r="P635" s="298" t="str">
        <f>IF(B635="", "", 'Lighting Inventory (Ref only)'!E646)</f>
        <v/>
      </c>
      <c r="Q635" s="298" t="str">
        <f>IF(B635="", "", 'Lighting Inventory (Ref only)'!J646)</f>
        <v/>
      </c>
      <c r="R635" s="298" t="str">
        <f>IF(B635="", "",'Lighting Inventory (Ref only)'!K646)</f>
        <v/>
      </c>
      <c r="S635" s="372" t="str">
        <f>IF(B635="", "", 'Lighting Inventory (Ref only)'!G646*'Lighting Inventory (Ref only)'!K646/1000)</f>
        <v/>
      </c>
      <c r="T635" s="298" t="str">
        <f>IF(B635="", "", IF('Lighting Inventory (Ref only)'!I646="", "Light Switch",Inventory!H643))</f>
        <v/>
      </c>
      <c r="X635" s="298" t="str">
        <f>IF(B635="", "", 'Lighting Inventory (Ref only)'!Q646)</f>
        <v/>
      </c>
      <c r="AA635" s="298" t="str">
        <f>IF(B635="", "",'Lighting Inventory (Ref only)'!R646/1000)</f>
        <v/>
      </c>
      <c r="AB635" s="298" t="str">
        <f>IF(B635="", "", Inventory!M643)</f>
        <v/>
      </c>
      <c r="AC635" s="298" t="str">
        <f>IF(B635="", "", 'Lighting Inventory (Ref only)'!T646)</f>
        <v/>
      </c>
      <c r="AD635" s="298" t="str">
        <f>IF(C635="", "", 'Lighting Inventory (Ref only)'!AA646)</f>
        <v/>
      </c>
      <c r="AE635" s="298" t="str">
        <f>IF(B635="", "", 'Lighting Inventory (Ref only)'!U646)</f>
        <v/>
      </c>
      <c r="AF635" s="298" t="str">
        <f>IF(B635="", "",'Lighting Inventory (Ref only)'!W646)</f>
        <v/>
      </c>
      <c r="AH635" s="298" t="str">
        <f>IF(B635="", "",'Lighting Inventory (Ref only)'!Z646)</f>
        <v/>
      </c>
      <c r="AI635" s="298" t="str">
        <f>IF(B635="", "", 'Lighting Inventory (Ref only)'!Y646)</f>
        <v/>
      </c>
      <c r="AJ635" s="298" t="str">
        <f>IF(C635="", "",'Lighting Inventory (Ref only)'!AB646)</f>
        <v/>
      </c>
      <c r="AK635" s="375" t="str">
        <f>IF(B635="", "", 'Lighting Inventory (Ref only)'!AG646)</f>
        <v/>
      </c>
      <c r="AL635" s="375" t="str">
        <f>IF(B635="", "", 'Lighting Inventory (Ref only)'!AD646)</f>
        <v/>
      </c>
      <c r="AM635" s="375" t="str">
        <f>IF(B635="", "", 'Lighting Inventory (Ref only)'!AE646)</f>
        <v/>
      </c>
      <c r="AN635" s="375" t="str">
        <f>IF(B635="", "", 'Lighting Inventory (Ref only)'!AF646)</f>
        <v/>
      </c>
      <c r="AO635" s="375" t="str">
        <f>IF(B635="", "", 'Lighting Inventory (Ref only)'!AG646)</f>
        <v/>
      </c>
    </row>
    <row r="636" spans="1:41">
      <c r="A636" s="298" t="str">
        <f>IF(G636="", "", Lookups!BF638)</f>
        <v/>
      </c>
      <c r="B636" s="298" t="str">
        <f>IF('Lighting Inventory (Ref only)'!Q647="", "", 'Lighting Inventory (Ref only)'!Q647)</f>
        <v/>
      </c>
      <c r="C636" s="298" t="str">
        <f>IF(A636="", "", 'Lighting Inventory (Ref only)'!AO647)</f>
        <v/>
      </c>
      <c r="D636" s="298" t="str">
        <f>IF(B636= "","", Inventory!S644)</f>
        <v/>
      </c>
      <c r="F636" s="298" t="str">
        <f>IF(B636="", "", 'Version Log'!$B$34)</f>
        <v/>
      </c>
      <c r="G636" s="298" t="str">
        <f t="shared" si="40"/>
        <v/>
      </c>
      <c r="H636" s="298" t="str">
        <f t="shared" si="41"/>
        <v/>
      </c>
      <c r="I636" s="298" t="str">
        <f>IF(B636="", "",Inventory!D644)</f>
        <v/>
      </c>
      <c r="J636" s="298" t="str">
        <f>IF(B636="","",IF(Inventory!C644="N","Interior","Exterior"))</f>
        <v/>
      </c>
      <c r="K636" s="298" t="str">
        <f t="shared" si="42"/>
        <v/>
      </c>
      <c r="L636" s="298" t="str">
        <f>IF(B636="", "", Inventory!E644)</f>
        <v/>
      </c>
      <c r="M636" s="298" t="str">
        <f>IF(B636="","",IF(Cool_Type=Lookups!$L$9,Cool_Type,IF(Cool_Type=Lookups!$L$10,Cool_Type,IF(Cool_Type=Lookups!$L$11,Cool_Type,IF(Cool_Type=Lookups!L646,Cool_Type,IF('Project Info and Summary'!$C$20="Electric",CONCATENATE(Cool_Type," ",Heating_Type," Heat"),IF('Project Info and Summary'!$C$20="Non-Electric",CONCATENATE(Cool_Type," ",Heating_Type," Heat"),CONCATENATE(Cool_Type," ",Heating_Type))))))))</f>
        <v/>
      </c>
      <c r="N636" s="298" t="str">
        <f t="shared" si="43"/>
        <v/>
      </c>
      <c r="O636" s="298" t="str">
        <f>IF(B636="", "", 'Lighting Inventory (Ref only)'!G647)</f>
        <v/>
      </c>
      <c r="P636" s="298" t="str">
        <f>IF(B636="", "", 'Lighting Inventory (Ref only)'!E647)</f>
        <v/>
      </c>
      <c r="Q636" s="298" t="str">
        <f>IF(B636="", "", 'Lighting Inventory (Ref only)'!J647)</f>
        <v/>
      </c>
      <c r="R636" s="298" t="str">
        <f>IF(B636="", "",'Lighting Inventory (Ref only)'!K647)</f>
        <v/>
      </c>
      <c r="S636" s="372" t="str">
        <f>IF(B636="", "", 'Lighting Inventory (Ref only)'!G647*'Lighting Inventory (Ref only)'!K647/1000)</f>
        <v/>
      </c>
      <c r="T636" s="298" t="str">
        <f>IF(B636="", "", IF('Lighting Inventory (Ref only)'!I647="", "Light Switch",Inventory!H644))</f>
        <v/>
      </c>
      <c r="X636" s="298" t="str">
        <f>IF(B636="", "", 'Lighting Inventory (Ref only)'!Q647)</f>
        <v/>
      </c>
      <c r="AA636" s="298" t="str">
        <f>IF(B636="", "",'Lighting Inventory (Ref only)'!R647/1000)</f>
        <v/>
      </c>
      <c r="AB636" s="298" t="str">
        <f>IF(B636="", "", Inventory!M644)</f>
        <v/>
      </c>
      <c r="AC636" s="298" t="str">
        <f>IF(B636="", "", 'Lighting Inventory (Ref only)'!T647)</f>
        <v/>
      </c>
      <c r="AD636" s="298" t="str">
        <f>IF(C636="", "", 'Lighting Inventory (Ref only)'!AA647)</f>
        <v/>
      </c>
      <c r="AE636" s="298" t="str">
        <f>IF(B636="", "", 'Lighting Inventory (Ref only)'!U647)</f>
        <v/>
      </c>
      <c r="AF636" s="298" t="str">
        <f>IF(B636="", "",'Lighting Inventory (Ref only)'!W647)</f>
        <v/>
      </c>
      <c r="AH636" s="298" t="str">
        <f>IF(B636="", "",'Lighting Inventory (Ref only)'!Z647)</f>
        <v/>
      </c>
      <c r="AI636" s="298" t="str">
        <f>IF(B636="", "", 'Lighting Inventory (Ref only)'!Y647)</f>
        <v/>
      </c>
      <c r="AJ636" s="298" t="str">
        <f>IF(C636="", "",'Lighting Inventory (Ref only)'!AB647)</f>
        <v/>
      </c>
      <c r="AK636" s="375" t="str">
        <f>IF(B636="", "", 'Lighting Inventory (Ref only)'!AG647)</f>
        <v/>
      </c>
      <c r="AL636" s="375" t="str">
        <f>IF(B636="", "", 'Lighting Inventory (Ref only)'!AD647)</f>
        <v/>
      </c>
      <c r="AM636" s="375" t="str">
        <f>IF(B636="", "", 'Lighting Inventory (Ref only)'!AE647)</f>
        <v/>
      </c>
      <c r="AN636" s="375" t="str">
        <f>IF(B636="", "", 'Lighting Inventory (Ref only)'!AF647)</f>
        <v/>
      </c>
      <c r="AO636" s="375" t="str">
        <f>IF(B636="", "", 'Lighting Inventory (Ref only)'!AG647)</f>
        <v/>
      </c>
    </row>
    <row r="637" spans="1:41">
      <c r="A637" s="298" t="str">
        <f>IF(G637="", "", Lookups!BF639)</f>
        <v/>
      </c>
      <c r="B637" s="298" t="str">
        <f>IF('Lighting Inventory (Ref only)'!Q648="", "", 'Lighting Inventory (Ref only)'!Q648)</f>
        <v/>
      </c>
      <c r="C637" s="298" t="str">
        <f>IF(A637="", "", 'Lighting Inventory (Ref only)'!AO648)</f>
        <v/>
      </c>
      <c r="D637" s="298" t="str">
        <f>IF(B637= "","", Inventory!S645)</f>
        <v/>
      </c>
      <c r="F637" s="298" t="str">
        <f>IF(B637="", "", 'Version Log'!$B$34)</f>
        <v/>
      </c>
      <c r="G637" s="298" t="str">
        <f t="shared" si="40"/>
        <v/>
      </c>
      <c r="H637" s="298" t="str">
        <f t="shared" si="41"/>
        <v/>
      </c>
      <c r="I637" s="298" t="str">
        <f>IF(B637="", "",Inventory!D645)</f>
        <v/>
      </c>
      <c r="J637" s="298" t="str">
        <f>IF(B637="","",IF(Inventory!C645="N","Interior","Exterior"))</f>
        <v/>
      </c>
      <c r="K637" s="298" t="str">
        <f t="shared" si="42"/>
        <v/>
      </c>
      <c r="L637" s="298" t="str">
        <f>IF(B637="", "", Inventory!E645)</f>
        <v/>
      </c>
      <c r="M637" s="298" t="str">
        <f>IF(B637="","",IF(Cool_Type=Lookups!$L$9,Cool_Type,IF(Cool_Type=Lookups!$L$10,Cool_Type,IF(Cool_Type=Lookups!$L$11,Cool_Type,IF(Cool_Type=Lookups!L647,Cool_Type,IF('Project Info and Summary'!$C$20="Electric",CONCATENATE(Cool_Type," ",Heating_Type," Heat"),IF('Project Info and Summary'!$C$20="Non-Electric",CONCATENATE(Cool_Type," ",Heating_Type," Heat"),CONCATENATE(Cool_Type," ",Heating_Type))))))))</f>
        <v/>
      </c>
      <c r="N637" s="298" t="str">
        <f t="shared" si="43"/>
        <v/>
      </c>
      <c r="O637" s="298" t="str">
        <f>IF(B637="", "", 'Lighting Inventory (Ref only)'!G648)</f>
        <v/>
      </c>
      <c r="P637" s="298" t="str">
        <f>IF(B637="", "", 'Lighting Inventory (Ref only)'!E648)</f>
        <v/>
      </c>
      <c r="Q637" s="298" t="str">
        <f>IF(B637="", "", 'Lighting Inventory (Ref only)'!J648)</f>
        <v/>
      </c>
      <c r="R637" s="298" t="str">
        <f>IF(B637="", "",'Lighting Inventory (Ref only)'!K648)</f>
        <v/>
      </c>
      <c r="S637" s="372" t="str">
        <f>IF(B637="", "", 'Lighting Inventory (Ref only)'!G648*'Lighting Inventory (Ref only)'!K648/1000)</f>
        <v/>
      </c>
      <c r="T637" s="298" t="str">
        <f>IF(B637="", "", IF('Lighting Inventory (Ref only)'!I648="", "Light Switch",Inventory!H645))</f>
        <v/>
      </c>
      <c r="X637" s="298" t="str">
        <f>IF(B637="", "", 'Lighting Inventory (Ref only)'!Q648)</f>
        <v/>
      </c>
      <c r="AA637" s="298" t="str">
        <f>IF(B637="", "",'Lighting Inventory (Ref only)'!R648/1000)</f>
        <v/>
      </c>
      <c r="AB637" s="298" t="str">
        <f>IF(B637="", "", Inventory!M645)</f>
        <v/>
      </c>
      <c r="AC637" s="298" t="str">
        <f>IF(B637="", "", 'Lighting Inventory (Ref only)'!T648)</f>
        <v/>
      </c>
      <c r="AD637" s="298" t="str">
        <f>IF(C637="", "", 'Lighting Inventory (Ref only)'!AA648)</f>
        <v/>
      </c>
      <c r="AE637" s="298" t="str">
        <f>IF(B637="", "", 'Lighting Inventory (Ref only)'!U648)</f>
        <v/>
      </c>
      <c r="AF637" s="298" t="str">
        <f>IF(B637="", "",'Lighting Inventory (Ref only)'!W648)</f>
        <v/>
      </c>
      <c r="AH637" s="298" t="str">
        <f>IF(B637="", "",'Lighting Inventory (Ref only)'!Z648)</f>
        <v/>
      </c>
      <c r="AI637" s="298" t="str">
        <f>IF(B637="", "", 'Lighting Inventory (Ref only)'!Y648)</f>
        <v/>
      </c>
      <c r="AJ637" s="298" t="str">
        <f>IF(C637="", "",'Lighting Inventory (Ref only)'!AB648)</f>
        <v/>
      </c>
      <c r="AK637" s="375" t="str">
        <f>IF(B637="", "", 'Lighting Inventory (Ref only)'!AG648)</f>
        <v/>
      </c>
      <c r="AL637" s="375" t="str">
        <f>IF(B637="", "", 'Lighting Inventory (Ref only)'!AD648)</f>
        <v/>
      </c>
      <c r="AM637" s="375" t="str">
        <f>IF(B637="", "", 'Lighting Inventory (Ref only)'!AE648)</f>
        <v/>
      </c>
      <c r="AN637" s="375" t="str">
        <f>IF(B637="", "", 'Lighting Inventory (Ref only)'!AF648)</f>
        <v/>
      </c>
      <c r="AO637" s="375" t="str">
        <f>IF(B637="", "", 'Lighting Inventory (Ref only)'!AG648)</f>
        <v/>
      </c>
    </row>
    <row r="638" spans="1:41">
      <c r="A638" s="298" t="str">
        <f>IF(G638="", "", Lookups!BF640)</f>
        <v/>
      </c>
      <c r="B638" s="298" t="str">
        <f>IF('Lighting Inventory (Ref only)'!Q649="", "", 'Lighting Inventory (Ref only)'!Q649)</f>
        <v/>
      </c>
      <c r="C638" s="298" t="str">
        <f>IF(A638="", "", 'Lighting Inventory (Ref only)'!AO649)</f>
        <v/>
      </c>
      <c r="D638" s="298" t="str">
        <f>IF(B638= "","", Inventory!S646)</f>
        <v/>
      </c>
      <c r="F638" s="298" t="str">
        <f>IF(B638="", "", 'Version Log'!$B$34)</f>
        <v/>
      </c>
      <c r="G638" s="298" t="str">
        <f t="shared" si="40"/>
        <v/>
      </c>
      <c r="H638" s="298" t="str">
        <f t="shared" si="41"/>
        <v/>
      </c>
      <c r="I638" s="298" t="str">
        <f>IF(B638="", "",Inventory!D646)</f>
        <v/>
      </c>
      <c r="J638" s="298" t="str">
        <f>IF(B638="","",IF(Inventory!C646="N","Interior","Exterior"))</f>
        <v/>
      </c>
      <c r="K638" s="298" t="str">
        <f t="shared" si="42"/>
        <v/>
      </c>
      <c r="L638" s="298" t="str">
        <f>IF(B638="", "", Inventory!E646)</f>
        <v/>
      </c>
      <c r="M638" s="298" t="str">
        <f>IF(B638="","",IF(Cool_Type=Lookups!$L$9,Cool_Type,IF(Cool_Type=Lookups!$L$10,Cool_Type,IF(Cool_Type=Lookups!$L$11,Cool_Type,IF(Cool_Type=Lookups!L648,Cool_Type,IF('Project Info and Summary'!$C$20="Electric",CONCATENATE(Cool_Type," ",Heating_Type," Heat"),IF('Project Info and Summary'!$C$20="Non-Electric",CONCATENATE(Cool_Type," ",Heating_Type," Heat"),CONCATENATE(Cool_Type," ",Heating_Type))))))))</f>
        <v/>
      </c>
      <c r="N638" s="298" t="str">
        <f t="shared" si="43"/>
        <v/>
      </c>
      <c r="O638" s="298" t="str">
        <f>IF(B638="", "", 'Lighting Inventory (Ref only)'!G649)</f>
        <v/>
      </c>
      <c r="P638" s="298" t="str">
        <f>IF(B638="", "", 'Lighting Inventory (Ref only)'!E649)</f>
        <v/>
      </c>
      <c r="Q638" s="298" t="str">
        <f>IF(B638="", "", 'Lighting Inventory (Ref only)'!J649)</f>
        <v/>
      </c>
      <c r="R638" s="298" t="str">
        <f>IF(B638="", "",'Lighting Inventory (Ref only)'!K649)</f>
        <v/>
      </c>
      <c r="S638" s="372" t="str">
        <f>IF(B638="", "", 'Lighting Inventory (Ref only)'!G649*'Lighting Inventory (Ref only)'!K649/1000)</f>
        <v/>
      </c>
      <c r="T638" s="298" t="str">
        <f>IF(B638="", "", IF('Lighting Inventory (Ref only)'!I649="", "Light Switch",Inventory!H646))</f>
        <v/>
      </c>
      <c r="X638" s="298" t="str">
        <f>IF(B638="", "", 'Lighting Inventory (Ref only)'!Q649)</f>
        <v/>
      </c>
      <c r="AA638" s="298" t="str">
        <f>IF(B638="", "",'Lighting Inventory (Ref only)'!R649/1000)</f>
        <v/>
      </c>
      <c r="AB638" s="298" t="str">
        <f>IF(B638="", "", Inventory!M646)</f>
        <v/>
      </c>
      <c r="AC638" s="298" t="str">
        <f>IF(B638="", "", 'Lighting Inventory (Ref only)'!T649)</f>
        <v/>
      </c>
      <c r="AD638" s="298" t="str">
        <f>IF(C638="", "", 'Lighting Inventory (Ref only)'!AA649)</f>
        <v/>
      </c>
      <c r="AE638" s="298" t="str">
        <f>IF(B638="", "", 'Lighting Inventory (Ref only)'!U649)</f>
        <v/>
      </c>
      <c r="AF638" s="298" t="str">
        <f>IF(B638="", "",'Lighting Inventory (Ref only)'!W649)</f>
        <v/>
      </c>
      <c r="AH638" s="298" t="str">
        <f>IF(B638="", "",'Lighting Inventory (Ref only)'!Z649)</f>
        <v/>
      </c>
      <c r="AI638" s="298" t="str">
        <f>IF(B638="", "", 'Lighting Inventory (Ref only)'!Y649)</f>
        <v/>
      </c>
      <c r="AJ638" s="298" t="str">
        <f>IF(C638="", "",'Lighting Inventory (Ref only)'!AB649)</f>
        <v/>
      </c>
      <c r="AK638" s="375" t="str">
        <f>IF(B638="", "", 'Lighting Inventory (Ref only)'!AG649)</f>
        <v/>
      </c>
      <c r="AL638" s="375" t="str">
        <f>IF(B638="", "", 'Lighting Inventory (Ref only)'!AD649)</f>
        <v/>
      </c>
      <c r="AM638" s="375" t="str">
        <f>IF(B638="", "", 'Lighting Inventory (Ref only)'!AE649)</f>
        <v/>
      </c>
      <c r="AN638" s="375" t="str">
        <f>IF(B638="", "", 'Lighting Inventory (Ref only)'!AF649)</f>
        <v/>
      </c>
      <c r="AO638" s="375" t="str">
        <f>IF(B638="", "", 'Lighting Inventory (Ref only)'!AG649)</f>
        <v/>
      </c>
    </row>
    <row r="639" spans="1:41">
      <c r="A639" s="298" t="str">
        <f>IF(G639="", "", Lookups!BF641)</f>
        <v/>
      </c>
      <c r="B639" s="298" t="str">
        <f>IF('Lighting Inventory (Ref only)'!Q650="", "", 'Lighting Inventory (Ref only)'!Q650)</f>
        <v/>
      </c>
      <c r="C639" s="298" t="str">
        <f>IF(A639="", "", 'Lighting Inventory (Ref only)'!AO650)</f>
        <v/>
      </c>
      <c r="D639" s="298" t="str">
        <f>IF(B639= "","", Inventory!S647)</f>
        <v/>
      </c>
      <c r="F639" s="298" t="str">
        <f>IF(B639="", "", 'Version Log'!$B$34)</f>
        <v/>
      </c>
      <c r="G639" s="298" t="str">
        <f t="shared" si="40"/>
        <v/>
      </c>
      <c r="H639" s="298" t="str">
        <f t="shared" si="41"/>
        <v/>
      </c>
      <c r="I639" s="298" t="str">
        <f>IF(B639="", "",Inventory!D647)</f>
        <v/>
      </c>
      <c r="J639" s="298" t="str">
        <f>IF(B639="","",IF(Inventory!C647="N","Interior","Exterior"))</f>
        <v/>
      </c>
      <c r="K639" s="298" t="str">
        <f t="shared" si="42"/>
        <v/>
      </c>
      <c r="L639" s="298" t="str">
        <f>IF(B639="", "", Inventory!E647)</f>
        <v/>
      </c>
      <c r="M639" s="298" t="str">
        <f>IF(B639="","",IF(Cool_Type=Lookups!$L$9,Cool_Type,IF(Cool_Type=Lookups!$L$10,Cool_Type,IF(Cool_Type=Lookups!$L$11,Cool_Type,IF(Cool_Type=Lookups!L649,Cool_Type,IF('Project Info and Summary'!$C$20="Electric",CONCATENATE(Cool_Type," ",Heating_Type," Heat"),IF('Project Info and Summary'!$C$20="Non-Electric",CONCATENATE(Cool_Type," ",Heating_Type," Heat"),CONCATENATE(Cool_Type," ",Heating_Type))))))))</f>
        <v/>
      </c>
      <c r="N639" s="298" t="str">
        <f t="shared" si="43"/>
        <v/>
      </c>
      <c r="O639" s="298" t="str">
        <f>IF(B639="", "", 'Lighting Inventory (Ref only)'!G650)</f>
        <v/>
      </c>
      <c r="P639" s="298" t="str">
        <f>IF(B639="", "", 'Lighting Inventory (Ref only)'!E650)</f>
        <v/>
      </c>
      <c r="Q639" s="298" t="str">
        <f>IF(B639="", "", 'Lighting Inventory (Ref only)'!J650)</f>
        <v/>
      </c>
      <c r="R639" s="298" t="str">
        <f>IF(B639="", "",'Lighting Inventory (Ref only)'!K650)</f>
        <v/>
      </c>
      <c r="S639" s="372" t="str">
        <f>IF(B639="", "", 'Lighting Inventory (Ref only)'!G650*'Lighting Inventory (Ref only)'!K650/1000)</f>
        <v/>
      </c>
      <c r="T639" s="298" t="str">
        <f>IF(B639="", "", IF('Lighting Inventory (Ref only)'!I650="", "Light Switch",Inventory!H647))</f>
        <v/>
      </c>
      <c r="X639" s="298" t="str">
        <f>IF(B639="", "", 'Lighting Inventory (Ref only)'!Q650)</f>
        <v/>
      </c>
      <c r="AA639" s="298" t="str">
        <f>IF(B639="", "",'Lighting Inventory (Ref only)'!R650/1000)</f>
        <v/>
      </c>
      <c r="AB639" s="298" t="str">
        <f>IF(B639="", "", Inventory!M647)</f>
        <v/>
      </c>
      <c r="AC639" s="298" t="str">
        <f>IF(B639="", "", 'Lighting Inventory (Ref only)'!T650)</f>
        <v/>
      </c>
      <c r="AD639" s="298" t="str">
        <f>IF(C639="", "", 'Lighting Inventory (Ref only)'!AA650)</f>
        <v/>
      </c>
      <c r="AE639" s="298" t="str">
        <f>IF(B639="", "", 'Lighting Inventory (Ref only)'!U650)</f>
        <v/>
      </c>
      <c r="AF639" s="298" t="str">
        <f>IF(B639="", "",'Lighting Inventory (Ref only)'!W650)</f>
        <v/>
      </c>
      <c r="AH639" s="298" t="str">
        <f>IF(B639="", "",'Lighting Inventory (Ref only)'!Z650)</f>
        <v/>
      </c>
      <c r="AI639" s="298" t="str">
        <f>IF(B639="", "", 'Lighting Inventory (Ref only)'!Y650)</f>
        <v/>
      </c>
      <c r="AJ639" s="298" t="str">
        <f>IF(C639="", "",'Lighting Inventory (Ref only)'!AB650)</f>
        <v/>
      </c>
      <c r="AK639" s="375" t="str">
        <f>IF(B639="", "", 'Lighting Inventory (Ref only)'!AG650)</f>
        <v/>
      </c>
      <c r="AL639" s="375" t="str">
        <f>IF(B639="", "", 'Lighting Inventory (Ref only)'!AD650)</f>
        <v/>
      </c>
      <c r="AM639" s="375" t="str">
        <f>IF(B639="", "", 'Lighting Inventory (Ref only)'!AE650)</f>
        <v/>
      </c>
      <c r="AN639" s="375" t="str">
        <f>IF(B639="", "", 'Lighting Inventory (Ref only)'!AF650)</f>
        <v/>
      </c>
      <c r="AO639" s="375" t="str">
        <f>IF(B639="", "", 'Lighting Inventory (Ref only)'!AG650)</f>
        <v/>
      </c>
    </row>
    <row r="640" spans="1:41">
      <c r="A640" s="298" t="str">
        <f>IF(G640="", "", Lookups!BF642)</f>
        <v/>
      </c>
      <c r="B640" s="298" t="str">
        <f>IF('Lighting Inventory (Ref only)'!Q651="", "", 'Lighting Inventory (Ref only)'!Q651)</f>
        <v/>
      </c>
      <c r="C640" s="298" t="str">
        <f>IF(A640="", "", 'Lighting Inventory (Ref only)'!AO651)</f>
        <v/>
      </c>
      <c r="D640" s="298" t="str">
        <f>IF(B640= "","", Inventory!S648)</f>
        <v/>
      </c>
      <c r="F640" s="298" t="str">
        <f>IF(B640="", "", 'Version Log'!$B$34)</f>
        <v/>
      </c>
      <c r="G640" s="298" t="str">
        <f t="shared" si="40"/>
        <v/>
      </c>
      <c r="H640" s="298" t="str">
        <f t="shared" si="41"/>
        <v/>
      </c>
      <c r="I640" s="298" t="str">
        <f>IF(B640="", "",Inventory!D648)</f>
        <v/>
      </c>
      <c r="J640" s="298" t="str">
        <f>IF(B640="","",IF(Inventory!C648="N","Interior","Exterior"))</f>
        <v/>
      </c>
      <c r="K640" s="298" t="str">
        <f t="shared" si="42"/>
        <v/>
      </c>
      <c r="L640" s="298" t="str">
        <f>IF(B640="", "", Inventory!E648)</f>
        <v/>
      </c>
      <c r="M640" s="298" t="str">
        <f>IF(B640="","",IF(Cool_Type=Lookups!$L$9,Cool_Type,IF(Cool_Type=Lookups!$L$10,Cool_Type,IF(Cool_Type=Lookups!$L$11,Cool_Type,IF(Cool_Type=Lookups!L650,Cool_Type,IF('Project Info and Summary'!$C$20="Electric",CONCATENATE(Cool_Type," ",Heating_Type," Heat"),IF('Project Info and Summary'!$C$20="Non-Electric",CONCATENATE(Cool_Type," ",Heating_Type," Heat"),CONCATENATE(Cool_Type," ",Heating_Type))))))))</f>
        <v/>
      </c>
      <c r="N640" s="298" t="str">
        <f t="shared" si="43"/>
        <v/>
      </c>
      <c r="O640" s="298" t="str">
        <f>IF(B640="", "", 'Lighting Inventory (Ref only)'!G651)</f>
        <v/>
      </c>
      <c r="P640" s="298" t="str">
        <f>IF(B640="", "", 'Lighting Inventory (Ref only)'!E651)</f>
        <v/>
      </c>
      <c r="Q640" s="298" t="str">
        <f>IF(B640="", "", 'Lighting Inventory (Ref only)'!J651)</f>
        <v/>
      </c>
      <c r="R640" s="298" t="str">
        <f>IF(B640="", "",'Lighting Inventory (Ref only)'!K651)</f>
        <v/>
      </c>
      <c r="S640" s="372" t="str">
        <f>IF(B640="", "", 'Lighting Inventory (Ref only)'!G651*'Lighting Inventory (Ref only)'!K651/1000)</f>
        <v/>
      </c>
      <c r="T640" s="298" t="str">
        <f>IF(B640="", "", IF('Lighting Inventory (Ref only)'!I651="", "Light Switch",Inventory!H648))</f>
        <v/>
      </c>
      <c r="X640" s="298" t="str">
        <f>IF(B640="", "", 'Lighting Inventory (Ref only)'!Q651)</f>
        <v/>
      </c>
      <c r="AA640" s="298" t="str">
        <f>IF(B640="", "",'Lighting Inventory (Ref only)'!R651/1000)</f>
        <v/>
      </c>
      <c r="AB640" s="298" t="str">
        <f>IF(B640="", "", Inventory!M648)</f>
        <v/>
      </c>
      <c r="AC640" s="298" t="str">
        <f>IF(B640="", "", 'Lighting Inventory (Ref only)'!T651)</f>
        <v/>
      </c>
      <c r="AD640" s="298" t="str">
        <f>IF(C640="", "", 'Lighting Inventory (Ref only)'!AA651)</f>
        <v/>
      </c>
      <c r="AE640" s="298" t="str">
        <f>IF(B640="", "", 'Lighting Inventory (Ref only)'!U651)</f>
        <v/>
      </c>
      <c r="AF640" s="298" t="str">
        <f>IF(B640="", "",'Lighting Inventory (Ref only)'!W651)</f>
        <v/>
      </c>
      <c r="AH640" s="298" t="str">
        <f>IF(B640="", "",'Lighting Inventory (Ref only)'!Z651)</f>
        <v/>
      </c>
      <c r="AI640" s="298" t="str">
        <f>IF(B640="", "", 'Lighting Inventory (Ref only)'!Y651)</f>
        <v/>
      </c>
      <c r="AJ640" s="298" t="str">
        <f>IF(C640="", "",'Lighting Inventory (Ref only)'!AB651)</f>
        <v/>
      </c>
      <c r="AK640" s="375" t="str">
        <f>IF(B640="", "", 'Lighting Inventory (Ref only)'!AG651)</f>
        <v/>
      </c>
      <c r="AL640" s="375" t="str">
        <f>IF(B640="", "", 'Lighting Inventory (Ref only)'!AD651)</f>
        <v/>
      </c>
      <c r="AM640" s="375" t="str">
        <f>IF(B640="", "", 'Lighting Inventory (Ref only)'!AE651)</f>
        <v/>
      </c>
      <c r="AN640" s="375" t="str">
        <f>IF(B640="", "", 'Lighting Inventory (Ref only)'!AF651)</f>
        <v/>
      </c>
      <c r="AO640" s="375" t="str">
        <f>IF(B640="", "", 'Lighting Inventory (Ref only)'!AG651)</f>
        <v/>
      </c>
    </row>
    <row r="641" spans="1:41">
      <c r="A641" s="298" t="str">
        <f>IF(G641="", "", Lookups!BF643)</f>
        <v/>
      </c>
      <c r="B641" s="298" t="str">
        <f>IF('Lighting Inventory (Ref only)'!Q652="", "", 'Lighting Inventory (Ref only)'!Q652)</f>
        <v/>
      </c>
      <c r="C641" s="298" t="str">
        <f>IF(A641="", "", 'Lighting Inventory (Ref only)'!AO652)</f>
        <v/>
      </c>
      <c r="D641" s="298" t="str">
        <f>IF(B641= "","", Inventory!S649)</f>
        <v/>
      </c>
      <c r="F641" s="298" t="str">
        <f>IF(B641="", "", 'Version Log'!$B$34)</f>
        <v/>
      </c>
      <c r="G641" s="298" t="str">
        <f t="shared" si="40"/>
        <v/>
      </c>
      <c r="H641" s="298" t="str">
        <f t="shared" si="41"/>
        <v/>
      </c>
      <c r="I641" s="298" t="str">
        <f>IF(B641="", "",Inventory!D649)</f>
        <v/>
      </c>
      <c r="J641" s="298" t="str">
        <f>IF(B641="","",IF(Inventory!C649="N","Interior","Exterior"))</f>
        <v/>
      </c>
      <c r="K641" s="298" t="str">
        <f t="shared" si="42"/>
        <v/>
      </c>
      <c r="L641" s="298" t="str">
        <f>IF(B641="", "", Inventory!E649)</f>
        <v/>
      </c>
      <c r="M641" s="298" t="str">
        <f>IF(B641="","",IF(Cool_Type=Lookups!$L$9,Cool_Type,IF(Cool_Type=Lookups!$L$10,Cool_Type,IF(Cool_Type=Lookups!$L$11,Cool_Type,IF(Cool_Type=Lookups!L651,Cool_Type,IF('Project Info and Summary'!$C$20="Electric",CONCATENATE(Cool_Type," ",Heating_Type," Heat"),IF('Project Info and Summary'!$C$20="Non-Electric",CONCATENATE(Cool_Type," ",Heating_Type," Heat"),CONCATENATE(Cool_Type," ",Heating_Type))))))))</f>
        <v/>
      </c>
      <c r="N641" s="298" t="str">
        <f t="shared" si="43"/>
        <v/>
      </c>
      <c r="O641" s="298" t="str">
        <f>IF(B641="", "", 'Lighting Inventory (Ref only)'!G652)</f>
        <v/>
      </c>
      <c r="P641" s="298" t="str">
        <f>IF(B641="", "", 'Lighting Inventory (Ref only)'!E652)</f>
        <v/>
      </c>
      <c r="Q641" s="298" t="str">
        <f>IF(B641="", "", 'Lighting Inventory (Ref only)'!J652)</f>
        <v/>
      </c>
      <c r="R641" s="298" t="str">
        <f>IF(B641="", "",'Lighting Inventory (Ref only)'!K652)</f>
        <v/>
      </c>
      <c r="S641" s="372" t="str">
        <f>IF(B641="", "", 'Lighting Inventory (Ref only)'!G652*'Lighting Inventory (Ref only)'!K652/1000)</f>
        <v/>
      </c>
      <c r="T641" s="298" t="str">
        <f>IF(B641="", "", IF('Lighting Inventory (Ref only)'!I652="", "Light Switch",Inventory!H649))</f>
        <v/>
      </c>
      <c r="X641" s="298" t="str">
        <f>IF(B641="", "", 'Lighting Inventory (Ref only)'!Q652)</f>
        <v/>
      </c>
      <c r="AA641" s="298" t="str">
        <f>IF(B641="", "",'Lighting Inventory (Ref only)'!R652/1000)</f>
        <v/>
      </c>
      <c r="AB641" s="298" t="str">
        <f>IF(B641="", "", Inventory!M649)</f>
        <v/>
      </c>
      <c r="AC641" s="298" t="str">
        <f>IF(B641="", "", 'Lighting Inventory (Ref only)'!T652)</f>
        <v/>
      </c>
      <c r="AD641" s="298" t="str">
        <f>IF(C641="", "", 'Lighting Inventory (Ref only)'!AA652)</f>
        <v/>
      </c>
      <c r="AE641" s="298" t="str">
        <f>IF(B641="", "", 'Lighting Inventory (Ref only)'!U652)</f>
        <v/>
      </c>
      <c r="AF641" s="298" t="str">
        <f>IF(B641="", "",'Lighting Inventory (Ref only)'!W652)</f>
        <v/>
      </c>
      <c r="AH641" s="298" t="str">
        <f>IF(B641="", "",'Lighting Inventory (Ref only)'!Z652)</f>
        <v/>
      </c>
      <c r="AI641" s="298" t="str">
        <f>IF(B641="", "", 'Lighting Inventory (Ref only)'!Y652)</f>
        <v/>
      </c>
      <c r="AJ641" s="298" t="str">
        <f>IF(C641="", "",'Lighting Inventory (Ref only)'!AB652)</f>
        <v/>
      </c>
      <c r="AK641" s="375" t="str">
        <f>IF(B641="", "", 'Lighting Inventory (Ref only)'!AG652)</f>
        <v/>
      </c>
      <c r="AL641" s="375" t="str">
        <f>IF(B641="", "", 'Lighting Inventory (Ref only)'!AD652)</f>
        <v/>
      </c>
      <c r="AM641" s="375" t="str">
        <f>IF(B641="", "", 'Lighting Inventory (Ref only)'!AE652)</f>
        <v/>
      </c>
      <c r="AN641" s="375" t="str">
        <f>IF(B641="", "", 'Lighting Inventory (Ref only)'!AF652)</f>
        <v/>
      </c>
      <c r="AO641" s="375" t="str">
        <f>IF(B641="", "", 'Lighting Inventory (Ref only)'!AG652)</f>
        <v/>
      </c>
    </row>
    <row r="642" spans="1:41">
      <c r="A642" s="298" t="str">
        <f>IF(G642="", "", Lookups!BF644)</f>
        <v/>
      </c>
      <c r="B642" s="298" t="str">
        <f>IF('Lighting Inventory (Ref only)'!Q653="", "", 'Lighting Inventory (Ref only)'!Q653)</f>
        <v/>
      </c>
      <c r="C642" s="298" t="str">
        <f>IF(A642="", "", 'Lighting Inventory (Ref only)'!AO653)</f>
        <v/>
      </c>
      <c r="D642" s="298" t="str">
        <f>IF(B642= "","", Inventory!S650)</f>
        <v/>
      </c>
      <c r="F642" s="298" t="str">
        <f>IF(B642="", "", 'Version Log'!$B$34)</f>
        <v/>
      </c>
      <c r="G642" s="298" t="str">
        <f t="shared" si="40"/>
        <v/>
      </c>
      <c r="H642" s="298" t="str">
        <f t="shared" si="41"/>
        <v/>
      </c>
      <c r="I642" s="298" t="str">
        <f>IF(B642="", "",Inventory!D650)</f>
        <v/>
      </c>
      <c r="J642" s="298" t="str">
        <f>IF(B642="","",IF(Inventory!C650="N","Interior","Exterior"))</f>
        <v/>
      </c>
      <c r="K642" s="298" t="str">
        <f t="shared" si="42"/>
        <v/>
      </c>
      <c r="L642" s="298" t="str">
        <f>IF(B642="", "", Inventory!E650)</f>
        <v/>
      </c>
      <c r="M642" s="298" t="str">
        <f>IF(B642="","",IF(Cool_Type=Lookups!$L$9,Cool_Type,IF(Cool_Type=Lookups!$L$10,Cool_Type,IF(Cool_Type=Lookups!$L$11,Cool_Type,IF(Cool_Type=Lookups!L652,Cool_Type,IF('Project Info and Summary'!$C$20="Electric",CONCATENATE(Cool_Type," ",Heating_Type," Heat"),IF('Project Info and Summary'!$C$20="Non-Electric",CONCATENATE(Cool_Type," ",Heating_Type," Heat"),CONCATENATE(Cool_Type," ",Heating_Type))))))))</f>
        <v/>
      </c>
      <c r="N642" s="298" t="str">
        <f t="shared" si="43"/>
        <v/>
      </c>
      <c r="O642" s="298" t="str">
        <f>IF(B642="", "", 'Lighting Inventory (Ref only)'!G653)</f>
        <v/>
      </c>
      <c r="P642" s="298" t="str">
        <f>IF(B642="", "", 'Lighting Inventory (Ref only)'!E653)</f>
        <v/>
      </c>
      <c r="Q642" s="298" t="str">
        <f>IF(B642="", "", 'Lighting Inventory (Ref only)'!J653)</f>
        <v/>
      </c>
      <c r="R642" s="298" t="str">
        <f>IF(B642="", "",'Lighting Inventory (Ref only)'!K653)</f>
        <v/>
      </c>
      <c r="S642" s="372" t="str">
        <f>IF(B642="", "", 'Lighting Inventory (Ref only)'!G653*'Lighting Inventory (Ref only)'!K653/1000)</f>
        <v/>
      </c>
      <c r="T642" s="298" t="str">
        <f>IF(B642="", "", IF('Lighting Inventory (Ref only)'!I653="", "Light Switch",Inventory!H650))</f>
        <v/>
      </c>
      <c r="X642" s="298" t="str">
        <f>IF(B642="", "", 'Lighting Inventory (Ref only)'!Q653)</f>
        <v/>
      </c>
      <c r="AA642" s="298" t="str">
        <f>IF(B642="", "",'Lighting Inventory (Ref only)'!R653/1000)</f>
        <v/>
      </c>
      <c r="AB642" s="298" t="str">
        <f>IF(B642="", "", Inventory!M650)</f>
        <v/>
      </c>
      <c r="AC642" s="298" t="str">
        <f>IF(B642="", "", 'Lighting Inventory (Ref only)'!T653)</f>
        <v/>
      </c>
      <c r="AD642" s="298" t="str">
        <f>IF(C642="", "", 'Lighting Inventory (Ref only)'!AA653)</f>
        <v/>
      </c>
      <c r="AE642" s="298" t="str">
        <f>IF(B642="", "", 'Lighting Inventory (Ref only)'!U653)</f>
        <v/>
      </c>
      <c r="AF642" s="298" t="str">
        <f>IF(B642="", "",'Lighting Inventory (Ref only)'!W653)</f>
        <v/>
      </c>
      <c r="AH642" s="298" t="str">
        <f>IF(B642="", "",'Lighting Inventory (Ref only)'!Z653)</f>
        <v/>
      </c>
      <c r="AI642" s="298" t="str">
        <f>IF(B642="", "", 'Lighting Inventory (Ref only)'!Y653)</f>
        <v/>
      </c>
      <c r="AJ642" s="298" t="str">
        <f>IF(C642="", "",'Lighting Inventory (Ref only)'!AB653)</f>
        <v/>
      </c>
      <c r="AK642" s="375" t="str">
        <f>IF(B642="", "", 'Lighting Inventory (Ref only)'!AG653)</f>
        <v/>
      </c>
      <c r="AL642" s="375" t="str">
        <f>IF(B642="", "", 'Lighting Inventory (Ref only)'!AD653)</f>
        <v/>
      </c>
      <c r="AM642" s="375" t="str">
        <f>IF(B642="", "", 'Lighting Inventory (Ref only)'!AE653)</f>
        <v/>
      </c>
      <c r="AN642" s="375" t="str">
        <f>IF(B642="", "", 'Lighting Inventory (Ref only)'!AF653)</f>
        <v/>
      </c>
      <c r="AO642" s="375" t="str">
        <f>IF(B642="", "", 'Lighting Inventory (Ref only)'!AG653)</f>
        <v/>
      </c>
    </row>
    <row r="643" spans="1:41">
      <c r="A643" s="298" t="str">
        <f>IF(G643="", "", Lookups!BF645)</f>
        <v/>
      </c>
      <c r="B643" s="298" t="str">
        <f>IF('Lighting Inventory (Ref only)'!Q654="", "", 'Lighting Inventory (Ref only)'!Q654)</f>
        <v/>
      </c>
      <c r="C643" s="298" t="str">
        <f>IF(A643="", "", 'Lighting Inventory (Ref only)'!AO654)</f>
        <v/>
      </c>
      <c r="D643" s="298" t="str">
        <f>IF(B643= "","", Inventory!S651)</f>
        <v/>
      </c>
      <c r="F643" s="298" t="str">
        <f>IF(B643="", "", 'Version Log'!$B$34)</f>
        <v/>
      </c>
      <c r="G643" s="298" t="str">
        <f t="shared" si="40"/>
        <v/>
      </c>
      <c r="H643" s="298" t="str">
        <f t="shared" si="41"/>
        <v/>
      </c>
      <c r="I643" s="298" t="str">
        <f>IF(B643="", "",Inventory!D651)</f>
        <v/>
      </c>
      <c r="J643" s="298" t="str">
        <f>IF(B643="","",IF(Inventory!C651="N","Interior","Exterior"))</f>
        <v/>
      </c>
      <c r="K643" s="298" t="str">
        <f t="shared" si="42"/>
        <v/>
      </c>
      <c r="L643" s="298" t="str">
        <f>IF(B643="", "", Inventory!E651)</f>
        <v/>
      </c>
      <c r="M643" s="298" t="str">
        <f>IF(B643="","",IF(Cool_Type=Lookups!$L$9,Cool_Type,IF(Cool_Type=Lookups!$L$10,Cool_Type,IF(Cool_Type=Lookups!$L$11,Cool_Type,IF(Cool_Type=Lookups!L653,Cool_Type,IF('Project Info and Summary'!$C$20="Electric",CONCATENATE(Cool_Type," ",Heating_Type," Heat"),IF('Project Info and Summary'!$C$20="Non-Electric",CONCATENATE(Cool_Type," ",Heating_Type," Heat"),CONCATENATE(Cool_Type," ",Heating_Type))))))))</f>
        <v/>
      </c>
      <c r="N643" s="298" t="str">
        <f t="shared" si="43"/>
        <v/>
      </c>
      <c r="O643" s="298" t="str">
        <f>IF(B643="", "", 'Lighting Inventory (Ref only)'!G654)</f>
        <v/>
      </c>
      <c r="P643" s="298" t="str">
        <f>IF(B643="", "", 'Lighting Inventory (Ref only)'!E654)</f>
        <v/>
      </c>
      <c r="Q643" s="298" t="str">
        <f>IF(B643="", "", 'Lighting Inventory (Ref only)'!J654)</f>
        <v/>
      </c>
      <c r="R643" s="298" t="str">
        <f>IF(B643="", "",'Lighting Inventory (Ref only)'!K654)</f>
        <v/>
      </c>
      <c r="S643" s="372" t="str">
        <f>IF(B643="", "", 'Lighting Inventory (Ref only)'!G654*'Lighting Inventory (Ref only)'!K654/1000)</f>
        <v/>
      </c>
      <c r="T643" s="298" t="str">
        <f>IF(B643="", "", IF('Lighting Inventory (Ref only)'!I654="", "Light Switch",Inventory!H651))</f>
        <v/>
      </c>
      <c r="X643" s="298" t="str">
        <f>IF(B643="", "", 'Lighting Inventory (Ref only)'!Q654)</f>
        <v/>
      </c>
      <c r="AA643" s="298" t="str">
        <f>IF(B643="", "",'Lighting Inventory (Ref only)'!R654/1000)</f>
        <v/>
      </c>
      <c r="AB643" s="298" t="str">
        <f>IF(B643="", "", Inventory!M651)</f>
        <v/>
      </c>
      <c r="AC643" s="298" t="str">
        <f>IF(B643="", "", 'Lighting Inventory (Ref only)'!T654)</f>
        <v/>
      </c>
      <c r="AD643" s="298" t="str">
        <f>IF(C643="", "", 'Lighting Inventory (Ref only)'!AA654)</f>
        <v/>
      </c>
      <c r="AE643" s="298" t="str">
        <f>IF(B643="", "", 'Lighting Inventory (Ref only)'!U654)</f>
        <v/>
      </c>
      <c r="AF643" s="298" t="str">
        <f>IF(B643="", "",'Lighting Inventory (Ref only)'!W654)</f>
        <v/>
      </c>
      <c r="AH643" s="298" t="str">
        <f>IF(B643="", "",'Lighting Inventory (Ref only)'!Z654)</f>
        <v/>
      </c>
      <c r="AI643" s="298" t="str">
        <f>IF(B643="", "", 'Lighting Inventory (Ref only)'!Y654)</f>
        <v/>
      </c>
      <c r="AJ643" s="298" t="str">
        <f>IF(C643="", "",'Lighting Inventory (Ref only)'!AB654)</f>
        <v/>
      </c>
      <c r="AK643" s="375" t="str">
        <f>IF(B643="", "", 'Lighting Inventory (Ref only)'!AG654)</f>
        <v/>
      </c>
      <c r="AL643" s="375" t="str">
        <f>IF(B643="", "", 'Lighting Inventory (Ref only)'!AD654)</f>
        <v/>
      </c>
      <c r="AM643" s="375" t="str">
        <f>IF(B643="", "", 'Lighting Inventory (Ref only)'!AE654)</f>
        <v/>
      </c>
      <c r="AN643" s="375" t="str">
        <f>IF(B643="", "", 'Lighting Inventory (Ref only)'!AF654)</f>
        <v/>
      </c>
      <c r="AO643" s="375" t="str">
        <f>IF(B643="", "", 'Lighting Inventory (Ref only)'!AG654)</f>
        <v/>
      </c>
    </row>
    <row r="644" spans="1:41">
      <c r="A644" s="298" t="str">
        <f>IF(G644="", "", Lookups!BF646)</f>
        <v/>
      </c>
      <c r="B644" s="298" t="str">
        <f>IF('Lighting Inventory (Ref only)'!Q655="", "", 'Lighting Inventory (Ref only)'!Q655)</f>
        <v/>
      </c>
      <c r="C644" s="298" t="str">
        <f>IF(A644="", "", 'Lighting Inventory (Ref only)'!AO655)</f>
        <v/>
      </c>
      <c r="D644" s="298" t="str">
        <f>IF(B644= "","", Inventory!S652)</f>
        <v/>
      </c>
      <c r="F644" s="298" t="str">
        <f>IF(B644="", "", 'Version Log'!$B$34)</f>
        <v/>
      </c>
      <c r="G644" s="298" t="str">
        <f t="shared" si="40"/>
        <v/>
      </c>
      <c r="H644" s="298" t="str">
        <f t="shared" si="41"/>
        <v/>
      </c>
      <c r="I644" s="298" t="str">
        <f>IF(B644="", "",Inventory!D652)</f>
        <v/>
      </c>
      <c r="J644" s="298" t="str">
        <f>IF(B644="","",IF(Inventory!C652="N","Interior","Exterior"))</f>
        <v/>
      </c>
      <c r="K644" s="298" t="str">
        <f t="shared" si="42"/>
        <v/>
      </c>
      <c r="L644" s="298" t="str">
        <f>IF(B644="", "", Inventory!E652)</f>
        <v/>
      </c>
      <c r="M644" s="298" t="str">
        <f>IF(B644="","",IF(Cool_Type=Lookups!$L$9,Cool_Type,IF(Cool_Type=Lookups!$L$10,Cool_Type,IF(Cool_Type=Lookups!$L$11,Cool_Type,IF(Cool_Type=Lookups!L654,Cool_Type,IF('Project Info and Summary'!$C$20="Electric",CONCATENATE(Cool_Type," ",Heating_Type," Heat"),IF('Project Info and Summary'!$C$20="Non-Electric",CONCATENATE(Cool_Type," ",Heating_Type," Heat"),CONCATENATE(Cool_Type," ",Heating_Type))))))))</f>
        <v/>
      </c>
      <c r="N644" s="298" t="str">
        <f t="shared" si="43"/>
        <v/>
      </c>
      <c r="O644" s="298" t="str">
        <f>IF(B644="", "", 'Lighting Inventory (Ref only)'!G655)</f>
        <v/>
      </c>
      <c r="P644" s="298" t="str">
        <f>IF(B644="", "", 'Lighting Inventory (Ref only)'!E655)</f>
        <v/>
      </c>
      <c r="Q644" s="298" t="str">
        <f>IF(B644="", "", 'Lighting Inventory (Ref only)'!J655)</f>
        <v/>
      </c>
      <c r="R644" s="298" t="str">
        <f>IF(B644="", "",'Lighting Inventory (Ref only)'!K655)</f>
        <v/>
      </c>
      <c r="S644" s="372" t="str">
        <f>IF(B644="", "", 'Lighting Inventory (Ref only)'!G655*'Lighting Inventory (Ref only)'!K655/1000)</f>
        <v/>
      </c>
      <c r="T644" s="298" t="str">
        <f>IF(B644="", "", IF('Lighting Inventory (Ref only)'!I655="", "Light Switch",Inventory!H652))</f>
        <v/>
      </c>
      <c r="X644" s="298" t="str">
        <f>IF(B644="", "", 'Lighting Inventory (Ref only)'!Q655)</f>
        <v/>
      </c>
      <c r="AA644" s="298" t="str">
        <f>IF(B644="", "",'Lighting Inventory (Ref only)'!R655/1000)</f>
        <v/>
      </c>
      <c r="AB644" s="298" t="str">
        <f>IF(B644="", "", Inventory!M652)</f>
        <v/>
      </c>
      <c r="AC644" s="298" t="str">
        <f>IF(B644="", "", 'Lighting Inventory (Ref only)'!T655)</f>
        <v/>
      </c>
      <c r="AD644" s="298" t="str">
        <f>IF(C644="", "", 'Lighting Inventory (Ref only)'!AA655)</f>
        <v/>
      </c>
      <c r="AE644" s="298" t="str">
        <f>IF(B644="", "", 'Lighting Inventory (Ref only)'!U655)</f>
        <v/>
      </c>
      <c r="AF644" s="298" t="str">
        <f>IF(B644="", "",'Lighting Inventory (Ref only)'!W655)</f>
        <v/>
      </c>
      <c r="AH644" s="298" t="str">
        <f>IF(B644="", "",'Lighting Inventory (Ref only)'!Z655)</f>
        <v/>
      </c>
      <c r="AI644" s="298" t="str">
        <f>IF(B644="", "", 'Lighting Inventory (Ref only)'!Y655)</f>
        <v/>
      </c>
      <c r="AJ644" s="298" t="str">
        <f>IF(C644="", "",'Lighting Inventory (Ref only)'!AB655)</f>
        <v/>
      </c>
      <c r="AK644" s="375" t="str">
        <f>IF(B644="", "", 'Lighting Inventory (Ref only)'!AG655)</f>
        <v/>
      </c>
      <c r="AL644" s="375" t="str">
        <f>IF(B644="", "", 'Lighting Inventory (Ref only)'!AD655)</f>
        <v/>
      </c>
      <c r="AM644" s="375" t="str">
        <f>IF(B644="", "", 'Lighting Inventory (Ref only)'!AE655)</f>
        <v/>
      </c>
      <c r="AN644" s="375" t="str">
        <f>IF(B644="", "", 'Lighting Inventory (Ref only)'!AF655)</f>
        <v/>
      </c>
      <c r="AO644" s="375" t="str">
        <f>IF(B644="", "", 'Lighting Inventory (Ref only)'!AG655)</f>
        <v/>
      </c>
    </row>
    <row r="645" spans="1:41">
      <c r="A645" s="298" t="str">
        <f>IF(G645="", "", Lookups!BF647)</f>
        <v/>
      </c>
      <c r="B645" s="298" t="str">
        <f>IF('Lighting Inventory (Ref only)'!Q656="", "", 'Lighting Inventory (Ref only)'!Q656)</f>
        <v/>
      </c>
      <c r="C645" s="298" t="str">
        <f>IF(A645="", "", 'Lighting Inventory (Ref only)'!AO656)</f>
        <v/>
      </c>
      <c r="D645" s="298" t="str">
        <f>IF(B645= "","", Inventory!S653)</f>
        <v/>
      </c>
      <c r="F645" s="298" t="str">
        <f>IF(B645="", "", 'Version Log'!$B$34)</f>
        <v/>
      </c>
      <c r="G645" s="298" t="str">
        <f t="shared" si="40"/>
        <v/>
      </c>
      <c r="H645" s="298" t="str">
        <f t="shared" si="41"/>
        <v/>
      </c>
      <c r="I645" s="298" t="str">
        <f>IF(B645="", "",Inventory!D653)</f>
        <v/>
      </c>
      <c r="J645" s="298" t="str">
        <f>IF(B645="","",IF(Inventory!C653="N","Interior","Exterior"))</f>
        <v/>
      </c>
      <c r="K645" s="298" t="str">
        <f t="shared" si="42"/>
        <v/>
      </c>
      <c r="L645" s="298" t="str">
        <f>IF(B645="", "", Inventory!E653)</f>
        <v/>
      </c>
      <c r="M645" s="298" t="str">
        <f>IF(B645="","",IF(Cool_Type=Lookups!$L$9,Cool_Type,IF(Cool_Type=Lookups!$L$10,Cool_Type,IF(Cool_Type=Lookups!$L$11,Cool_Type,IF(Cool_Type=Lookups!L655,Cool_Type,IF('Project Info and Summary'!$C$20="Electric",CONCATENATE(Cool_Type," ",Heating_Type," Heat"),IF('Project Info and Summary'!$C$20="Non-Electric",CONCATENATE(Cool_Type," ",Heating_Type," Heat"),CONCATENATE(Cool_Type," ",Heating_Type))))))))</f>
        <v/>
      </c>
      <c r="N645" s="298" t="str">
        <f t="shared" si="43"/>
        <v/>
      </c>
      <c r="O645" s="298" t="str">
        <f>IF(B645="", "", 'Lighting Inventory (Ref only)'!G656)</f>
        <v/>
      </c>
      <c r="P645" s="298" t="str">
        <f>IF(B645="", "", 'Lighting Inventory (Ref only)'!E656)</f>
        <v/>
      </c>
      <c r="Q645" s="298" t="str">
        <f>IF(B645="", "", 'Lighting Inventory (Ref only)'!J656)</f>
        <v/>
      </c>
      <c r="R645" s="298" t="str">
        <f>IF(B645="", "",'Lighting Inventory (Ref only)'!K656)</f>
        <v/>
      </c>
      <c r="S645" s="372" t="str">
        <f>IF(B645="", "", 'Lighting Inventory (Ref only)'!G656*'Lighting Inventory (Ref only)'!K656/1000)</f>
        <v/>
      </c>
      <c r="T645" s="298" t="str">
        <f>IF(B645="", "", IF('Lighting Inventory (Ref only)'!I656="", "Light Switch",Inventory!H653))</f>
        <v/>
      </c>
      <c r="X645" s="298" t="str">
        <f>IF(B645="", "", 'Lighting Inventory (Ref only)'!Q656)</f>
        <v/>
      </c>
      <c r="AA645" s="298" t="str">
        <f>IF(B645="", "",'Lighting Inventory (Ref only)'!R656/1000)</f>
        <v/>
      </c>
      <c r="AB645" s="298" t="str">
        <f>IF(B645="", "", Inventory!M653)</f>
        <v/>
      </c>
      <c r="AC645" s="298" t="str">
        <f>IF(B645="", "", 'Lighting Inventory (Ref only)'!T656)</f>
        <v/>
      </c>
      <c r="AD645" s="298" t="str">
        <f>IF(C645="", "", 'Lighting Inventory (Ref only)'!AA656)</f>
        <v/>
      </c>
      <c r="AE645" s="298" t="str">
        <f>IF(B645="", "", 'Lighting Inventory (Ref only)'!U656)</f>
        <v/>
      </c>
      <c r="AF645" s="298" t="str">
        <f>IF(B645="", "",'Lighting Inventory (Ref only)'!W656)</f>
        <v/>
      </c>
      <c r="AH645" s="298" t="str">
        <f>IF(B645="", "",'Lighting Inventory (Ref only)'!Z656)</f>
        <v/>
      </c>
      <c r="AI645" s="298" t="str">
        <f>IF(B645="", "", 'Lighting Inventory (Ref only)'!Y656)</f>
        <v/>
      </c>
      <c r="AJ645" s="298" t="str">
        <f>IF(C645="", "",'Lighting Inventory (Ref only)'!AB656)</f>
        <v/>
      </c>
      <c r="AK645" s="375" t="str">
        <f>IF(B645="", "", 'Lighting Inventory (Ref only)'!AG656)</f>
        <v/>
      </c>
      <c r="AL645" s="375" t="str">
        <f>IF(B645="", "", 'Lighting Inventory (Ref only)'!AD656)</f>
        <v/>
      </c>
      <c r="AM645" s="375" t="str">
        <f>IF(B645="", "", 'Lighting Inventory (Ref only)'!AE656)</f>
        <v/>
      </c>
      <c r="AN645" s="375" t="str">
        <f>IF(B645="", "", 'Lighting Inventory (Ref only)'!AF656)</f>
        <v/>
      </c>
      <c r="AO645" s="375" t="str">
        <f>IF(B645="", "", 'Lighting Inventory (Ref only)'!AG656)</f>
        <v/>
      </c>
    </row>
    <row r="646" spans="1:41">
      <c r="A646" s="298" t="str">
        <f>IF(G646="", "", Lookups!BF648)</f>
        <v/>
      </c>
      <c r="B646" s="298" t="str">
        <f>IF('Lighting Inventory (Ref only)'!Q657="", "", 'Lighting Inventory (Ref only)'!Q657)</f>
        <v/>
      </c>
      <c r="C646" s="298" t="str">
        <f>IF(A646="", "", 'Lighting Inventory (Ref only)'!AO657)</f>
        <v/>
      </c>
      <c r="D646" s="298" t="str">
        <f>IF(B646= "","", Inventory!S654)</f>
        <v/>
      </c>
      <c r="F646" s="298" t="str">
        <f>IF(B646="", "", 'Version Log'!$B$34)</f>
        <v/>
      </c>
      <c r="G646" s="298" t="str">
        <f t="shared" si="40"/>
        <v/>
      </c>
      <c r="H646" s="298" t="str">
        <f t="shared" si="41"/>
        <v/>
      </c>
      <c r="I646" s="298" t="str">
        <f>IF(B646="", "",Inventory!D654)</f>
        <v/>
      </c>
      <c r="J646" s="298" t="str">
        <f>IF(B646="","",IF(Inventory!C654="N","Interior","Exterior"))</f>
        <v/>
      </c>
      <c r="K646" s="298" t="str">
        <f t="shared" si="42"/>
        <v/>
      </c>
      <c r="L646" s="298" t="str">
        <f>IF(B646="", "", Inventory!E654)</f>
        <v/>
      </c>
      <c r="M646" s="298" t="str">
        <f>IF(B646="","",IF(Cool_Type=Lookups!$L$9,Cool_Type,IF(Cool_Type=Lookups!$L$10,Cool_Type,IF(Cool_Type=Lookups!$L$11,Cool_Type,IF(Cool_Type=Lookups!L656,Cool_Type,IF('Project Info and Summary'!$C$20="Electric",CONCATENATE(Cool_Type," ",Heating_Type," Heat"),IF('Project Info and Summary'!$C$20="Non-Electric",CONCATENATE(Cool_Type," ",Heating_Type," Heat"),CONCATENATE(Cool_Type," ",Heating_Type))))))))</f>
        <v/>
      </c>
      <c r="N646" s="298" t="str">
        <f t="shared" si="43"/>
        <v/>
      </c>
      <c r="O646" s="298" t="str">
        <f>IF(B646="", "", 'Lighting Inventory (Ref only)'!G657)</f>
        <v/>
      </c>
      <c r="P646" s="298" t="str">
        <f>IF(B646="", "", 'Lighting Inventory (Ref only)'!E657)</f>
        <v/>
      </c>
      <c r="Q646" s="298" t="str">
        <f>IF(B646="", "", 'Lighting Inventory (Ref only)'!J657)</f>
        <v/>
      </c>
      <c r="R646" s="298" t="str">
        <f>IF(B646="", "",'Lighting Inventory (Ref only)'!K657)</f>
        <v/>
      </c>
      <c r="S646" s="372" t="str">
        <f>IF(B646="", "", 'Lighting Inventory (Ref only)'!G657*'Lighting Inventory (Ref only)'!K657/1000)</f>
        <v/>
      </c>
      <c r="T646" s="298" t="str">
        <f>IF(B646="", "", IF('Lighting Inventory (Ref only)'!I657="", "Light Switch",Inventory!H654))</f>
        <v/>
      </c>
      <c r="X646" s="298" t="str">
        <f>IF(B646="", "", 'Lighting Inventory (Ref only)'!Q657)</f>
        <v/>
      </c>
      <c r="AA646" s="298" t="str">
        <f>IF(B646="", "",'Lighting Inventory (Ref only)'!R657/1000)</f>
        <v/>
      </c>
      <c r="AB646" s="298" t="str">
        <f>IF(B646="", "", Inventory!M654)</f>
        <v/>
      </c>
      <c r="AC646" s="298" t="str">
        <f>IF(B646="", "", 'Lighting Inventory (Ref only)'!T657)</f>
        <v/>
      </c>
      <c r="AD646" s="298" t="str">
        <f>IF(C646="", "", 'Lighting Inventory (Ref only)'!AA657)</f>
        <v/>
      </c>
      <c r="AE646" s="298" t="str">
        <f>IF(B646="", "", 'Lighting Inventory (Ref only)'!U657)</f>
        <v/>
      </c>
      <c r="AF646" s="298" t="str">
        <f>IF(B646="", "",'Lighting Inventory (Ref only)'!W657)</f>
        <v/>
      </c>
      <c r="AH646" s="298" t="str">
        <f>IF(B646="", "",'Lighting Inventory (Ref only)'!Z657)</f>
        <v/>
      </c>
      <c r="AI646" s="298" t="str">
        <f>IF(B646="", "", 'Lighting Inventory (Ref only)'!Y657)</f>
        <v/>
      </c>
      <c r="AJ646" s="298" t="str">
        <f>IF(C646="", "",'Lighting Inventory (Ref only)'!AB657)</f>
        <v/>
      </c>
      <c r="AK646" s="375" t="str">
        <f>IF(B646="", "", 'Lighting Inventory (Ref only)'!AG657)</f>
        <v/>
      </c>
      <c r="AL646" s="375" t="str">
        <f>IF(B646="", "", 'Lighting Inventory (Ref only)'!AD657)</f>
        <v/>
      </c>
      <c r="AM646" s="375" t="str">
        <f>IF(B646="", "", 'Lighting Inventory (Ref only)'!AE657)</f>
        <v/>
      </c>
      <c r="AN646" s="375" t="str">
        <f>IF(B646="", "", 'Lighting Inventory (Ref only)'!AF657)</f>
        <v/>
      </c>
      <c r="AO646" s="375" t="str">
        <f>IF(B646="", "", 'Lighting Inventory (Ref only)'!AG657)</f>
        <v/>
      </c>
    </row>
    <row r="647" spans="1:41">
      <c r="A647" s="298" t="str">
        <f>IF(G647="", "", Lookups!BF649)</f>
        <v/>
      </c>
      <c r="B647" s="298" t="str">
        <f>IF('Lighting Inventory (Ref only)'!Q658="", "", 'Lighting Inventory (Ref only)'!Q658)</f>
        <v/>
      </c>
      <c r="C647" s="298" t="str">
        <f>IF(A647="", "", 'Lighting Inventory (Ref only)'!AO658)</f>
        <v/>
      </c>
      <c r="D647" s="298" t="str">
        <f>IF(B647= "","", Inventory!S655)</f>
        <v/>
      </c>
      <c r="F647" s="298" t="str">
        <f>IF(B647="", "", 'Version Log'!$B$34)</f>
        <v/>
      </c>
      <c r="G647" s="298" t="str">
        <f t="shared" si="40"/>
        <v/>
      </c>
      <c r="H647" s="298" t="str">
        <f t="shared" si="41"/>
        <v/>
      </c>
      <c r="I647" s="298" t="str">
        <f>IF(B647="", "",Inventory!D655)</f>
        <v/>
      </c>
      <c r="J647" s="298" t="str">
        <f>IF(B647="","",IF(Inventory!C655="N","Interior","Exterior"))</f>
        <v/>
      </c>
      <c r="K647" s="298" t="str">
        <f t="shared" si="42"/>
        <v/>
      </c>
      <c r="L647" s="298" t="str">
        <f>IF(B647="", "", Inventory!E655)</f>
        <v/>
      </c>
      <c r="M647" s="298" t="str">
        <f>IF(B647="","",IF(Cool_Type=Lookups!$L$9,Cool_Type,IF(Cool_Type=Lookups!$L$10,Cool_Type,IF(Cool_Type=Lookups!$L$11,Cool_Type,IF(Cool_Type=Lookups!L657,Cool_Type,IF('Project Info and Summary'!$C$20="Electric",CONCATENATE(Cool_Type," ",Heating_Type," Heat"),IF('Project Info and Summary'!$C$20="Non-Electric",CONCATENATE(Cool_Type," ",Heating_Type," Heat"),CONCATENATE(Cool_Type," ",Heating_Type))))))))</f>
        <v/>
      </c>
      <c r="N647" s="298" t="str">
        <f t="shared" si="43"/>
        <v/>
      </c>
      <c r="O647" s="298" t="str">
        <f>IF(B647="", "", 'Lighting Inventory (Ref only)'!G658)</f>
        <v/>
      </c>
      <c r="P647" s="298" t="str">
        <f>IF(B647="", "", 'Lighting Inventory (Ref only)'!E658)</f>
        <v/>
      </c>
      <c r="Q647" s="298" t="str">
        <f>IF(B647="", "", 'Lighting Inventory (Ref only)'!J658)</f>
        <v/>
      </c>
      <c r="R647" s="298" t="str">
        <f>IF(B647="", "",'Lighting Inventory (Ref only)'!K658)</f>
        <v/>
      </c>
      <c r="S647" s="372" t="str">
        <f>IF(B647="", "", 'Lighting Inventory (Ref only)'!G658*'Lighting Inventory (Ref only)'!K658/1000)</f>
        <v/>
      </c>
      <c r="T647" s="298" t="str">
        <f>IF(B647="", "", IF('Lighting Inventory (Ref only)'!I658="", "Light Switch",Inventory!H655))</f>
        <v/>
      </c>
      <c r="X647" s="298" t="str">
        <f>IF(B647="", "", 'Lighting Inventory (Ref only)'!Q658)</f>
        <v/>
      </c>
      <c r="AA647" s="298" t="str">
        <f>IF(B647="", "",'Lighting Inventory (Ref only)'!R658/1000)</f>
        <v/>
      </c>
      <c r="AB647" s="298" t="str">
        <f>IF(B647="", "", Inventory!M655)</f>
        <v/>
      </c>
      <c r="AC647" s="298" t="str">
        <f>IF(B647="", "", 'Lighting Inventory (Ref only)'!T658)</f>
        <v/>
      </c>
      <c r="AD647" s="298" t="str">
        <f>IF(C647="", "", 'Lighting Inventory (Ref only)'!AA658)</f>
        <v/>
      </c>
      <c r="AE647" s="298" t="str">
        <f>IF(B647="", "", 'Lighting Inventory (Ref only)'!U658)</f>
        <v/>
      </c>
      <c r="AF647" s="298" t="str">
        <f>IF(B647="", "",'Lighting Inventory (Ref only)'!W658)</f>
        <v/>
      </c>
      <c r="AH647" s="298" t="str">
        <f>IF(B647="", "",'Lighting Inventory (Ref only)'!Z658)</f>
        <v/>
      </c>
      <c r="AI647" s="298" t="str">
        <f>IF(B647="", "", 'Lighting Inventory (Ref only)'!Y658)</f>
        <v/>
      </c>
      <c r="AJ647" s="298" t="str">
        <f>IF(C647="", "",'Lighting Inventory (Ref only)'!AB658)</f>
        <v/>
      </c>
      <c r="AK647" s="375" t="str">
        <f>IF(B647="", "", 'Lighting Inventory (Ref only)'!AG658)</f>
        <v/>
      </c>
      <c r="AL647" s="375" t="str">
        <f>IF(B647="", "", 'Lighting Inventory (Ref only)'!AD658)</f>
        <v/>
      </c>
      <c r="AM647" s="375" t="str">
        <f>IF(B647="", "", 'Lighting Inventory (Ref only)'!AE658)</f>
        <v/>
      </c>
      <c r="AN647" s="375" t="str">
        <f>IF(B647="", "", 'Lighting Inventory (Ref only)'!AF658)</f>
        <v/>
      </c>
      <c r="AO647" s="375" t="str">
        <f>IF(B647="", "", 'Lighting Inventory (Ref only)'!AG658)</f>
        <v/>
      </c>
    </row>
    <row r="648" spans="1:41">
      <c r="A648" s="298" t="str">
        <f>IF(G648="", "", Lookups!BF650)</f>
        <v/>
      </c>
      <c r="B648" s="298" t="str">
        <f>IF('Lighting Inventory (Ref only)'!Q659="", "", 'Lighting Inventory (Ref only)'!Q659)</f>
        <v/>
      </c>
      <c r="C648" s="298" t="str">
        <f>IF(A648="", "", 'Lighting Inventory (Ref only)'!AO659)</f>
        <v/>
      </c>
      <c r="D648" s="298" t="str">
        <f>IF(B648= "","", Inventory!S656)</f>
        <v/>
      </c>
      <c r="F648" s="298" t="str">
        <f>IF(B648="", "", 'Version Log'!$B$34)</f>
        <v/>
      </c>
      <c r="G648" s="298" t="str">
        <f t="shared" si="40"/>
        <v/>
      </c>
      <c r="H648" s="298" t="str">
        <f t="shared" si="41"/>
        <v/>
      </c>
      <c r="I648" s="298" t="str">
        <f>IF(B648="", "",Inventory!D656)</f>
        <v/>
      </c>
      <c r="J648" s="298" t="str">
        <f>IF(B648="","",IF(Inventory!C656="N","Interior","Exterior"))</f>
        <v/>
      </c>
      <c r="K648" s="298" t="str">
        <f t="shared" si="42"/>
        <v/>
      </c>
      <c r="L648" s="298" t="str">
        <f>IF(B648="", "", Inventory!E656)</f>
        <v/>
      </c>
      <c r="M648" s="298" t="str">
        <f>IF(B648="","",IF(Cool_Type=Lookups!$L$9,Cool_Type,IF(Cool_Type=Lookups!$L$10,Cool_Type,IF(Cool_Type=Lookups!$L$11,Cool_Type,IF(Cool_Type=Lookups!L658,Cool_Type,IF('Project Info and Summary'!$C$20="Electric",CONCATENATE(Cool_Type," ",Heating_Type," Heat"),IF('Project Info and Summary'!$C$20="Non-Electric",CONCATENATE(Cool_Type," ",Heating_Type," Heat"),CONCATENATE(Cool_Type," ",Heating_Type))))))))</f>
        <v/>
      </c>
      <c r="N648" s="298" t="str">
        <f t="shared" si="43"/>
        <v/>
      </c>
      <c r="O648" s="298" t="str">
        <f>IF(B648="", "", 'Lighting Inventory (Ref only)'!G659)</f>
        <v/>
      </c>
      <c r="P648" s="298" t="str">
        <f>IF(B648="", "", 'Lighting Inventory (Ref only)'!E659)</f>
        <v/>
      </c>
      <c r="Q648" s="298" t="str">
        <f>IF(B648="", "", 'Lighting Inventory (Ref only)'!J659)</f>
        <v/>
      </c>
      <c r="R648" s="298" t="str">
        <f>IF(B648="", "",'Lighting Inventory (Ref only)'!K659)</f>
        <v/>
      </c>
      <c r="S648" s="372" t="str">
        <f>IF(B648="", "", 'Lighting Inventory (Ref only)'!G659*'Lighting Inventory (Ref only)'!K659/1000)</f>
        <v/>
      </c>
      <c r="T648" s="298" t="str">
        <f>IF(B648="", "", IF('Lighting Inventory (Ref only)'!I659="", "Light Switch",Inventory!H656))</f>
        <v/>
      </c>
      <c r="X648" s="298" t="str">
        <f>IF(B648="", "", 'Lighting Inventory (Ref only)'!Q659)</f>
        <v/>
      </c>
      <c r="AA648" s="298" t="str">
        <f>IF(B648="", "",'Lighting Inventory (Ref only)'!R659/1000)</f>
        <v/>
      </c>
      <c r="AB648" s="298" t="str">
        <f>IF(B648="", "", Inventory!M656)</f>
        <v/>
      </c>
      <c r="AC648" s="298" t="str">
        <f>IF(B648="", "", 'Lighting Inventory (Ref only)'!T659)</f>
        <v/>
      </c>
      <c r="AD648" s="298" t="str">
        <f>IF(C648="", "", 'Lighting Inventory (Ref only)'!AA659)</f>
        <v/>
      </c>
      <c r="AE648" s="298" t="str">
        <f>IF(B648="", "", 'Lighting Inventory (Ref only)'!U659)</f>
        <v/>
      </c>
      <c r="AF648" s="298" t="str">
        <f>IF(B648="", "",'Lighting Inventory (Ref only)'!W659)</f>
        <v/>
      </c>
      <c r="AH648" s="298" t="str">
        <f>IF(B648="", "",'Lighting Inventory (Ref only)'!Z659)</f>
        <v/>
      </c>
      <c r="AI648" s="298" t="str">
        <f>IF(B648="", "", 'Lighting Inventory (Ref only)'!Y659)</f>
        <v/>
      </c>
      <c r="AJ648" s="298" t="str">
        <f>IF(C648="", "",'Lighting Inventory (Ref only)'!AB659)</f>
        <v/>
      </c>
      <c r="AK648" s="375" t="str">
        <f>IF(B648="", "", 'Lighting Inventory (Ref only)'!AG659)</f>
        <v/>
      </c>
      <c r="AL648" s="375" t="str">
        <f>IF(B648="", "", 'Lighting Inventory (Ref only)'!AD659)</f>
        <v/>
      </c>
      <c r="AM648" s="375" t="str">
        <f>IF(B648="", "", 'Lighting Inventory (Ref only)'!AE659)</f>
        <v/>
      </c>
      <c r="AN648" s="375" t="str">
        <f>IF(B648="", "", 'Lighting Inventory (Ref only)'!AF659)</f>
        <v/>
      </c>
      <c r="AO648" s="375" t="str">
        <f>IF(B648="", "", 'Lighting Inventory (Ref only)'!AG659)</f>
        <v/>
      </c>
    </row>
    <row r="649" spans="1:41">
      <c r="A649" s="298" t="str">
        <f>IF(G649="", "", Lookups!BF651)</f>
        <v/>
      </c>
      <c r="B649" s="298" t="str">
        <f>IF('Lighting Inventory (Ref only)'!Q660="", "", 'Lighting Inventory (Ref only)'!Q660)</f>
        <v/>
      </c>
      <c r="C649" s="298" t="str">
        <f>IF(A649="", "", 'Lighting Inventory (Ref only)'!AO660)</f>
        <v/>
      </c>
      <c r="D649" s="298" t="str">
        <f>IF(B649= "","", Inventory!S657)</f>
        <v/>
      </c>
      <c r="F649" s="298" t="str">
        <f>IF(B649="", "", 'Version Log'!$B$34)</f>
        <v/>
      </c>
      <c r="G649" s="298" t="str">
        <f t="shared" si="40"/>
        <v/>
      </c>
      <c r="H649" s="298" t="str">
        <f t="shared" si="41"/>
        <v/>
      </c>
      <c r="I649" s="298" t="str">
        <f>IF(B649="", "",Inventory!D657)</f>
        <v/>
      </c>
      <c r="J649" s="298" t="str">
        <f>IF(B649="","",IF(Inventory!C657="N","Interior","Exterior"))</f>
        <v/>
      </c>
      <c r="K649" s="298" t="str">
        <f t="shared" si="42"/>
        <v/>
      </c>
      <c r="L649" s="298" t="str">
        <f>IF(B649="", "", Inventory!E657)</f>
        <v/>
      </c>
      <c r="M649" s="298" t="str">
        <f>IF(B649="","",IF(Cool_Type=Lookups!$L$9,Cool_Type,IF(Cool_Type=Lookups!$L$10,Cool_Type,IF(Cool_Type=Lookups!$L$11,Cool_Type,IF(Cool_Type=Lookups!L659,Cool_Type,IF('Project Info and Summary'!$C$20="Electric",CONCATENATE(Cool_Type," ",Heating_Type," Heat"),IF('Project Info and Summary'!$C$20="Non-Electric",CONCATENATE(Cool_Type," ",Heating_Type," Heat"),CONCATENATE(Cool_Type," ",Heating_Type))))))))</f>
        <v/>
      </c>
      <c r="N649" s="298" t="str">
        <f t="shared" si="43"/>
        <v/>
      </c>
      <c r="O649" s="298" t="str">
        <f>IF(B649="", "", 'Lighting Inventory (Ref only)'!G660)</f>
        <v/>
      </c>
      <c r="P649" s="298" t="str">
        <f>IF(B649="", "", 'Lighting Inventory (Ref only)'!E660)</f>
        <v/>
      </c>
      <c r="Q649" s="298" t="str">
        <f>IF(B649="", "", 'Lighting Inventory (Ref only)'!J660)</f>
        <v/>
      </c>
      <c r="R649" s="298" t="str">
        <f>IF(B649="", "",'Lighting Inventory (Ref only)'!K660)</f>
        <v/>
      </c>
      <c r="S649" s="372" t="str">
        <f>IF(B649="", "", 'Lighting Inventory (Ref only)'!G660*'Lighting Inventory (Ref only)'!K660/1000)</f>
        <v/>
      </c>
      <c r="T649" s="298" t="str">
        <f>IF(B649="", "", IF('Lighting Inventory (Ref only)'!I660="", "Light Switch",Inventory!H657))</f>
        <v/>
      </c>
      <c r="X649" s="298" t="str">
        <f>IF(B649="", "", 'Lighting Inventory (Ref only)'!Q660)</f>
        <v/>
      </c>
      <c r="AA649" s="298" t="str">
        <f>IF(B649="", "",'Lighting Inventory (Ref only)'!R660/1000)</f>
        <v/>
      </c>
      <c r="AB649" s="298" t="str">
        <f>IF(B649="", "", Inventory!M657)</f>
        <v/>
      </c>
      <c r="AC649" s="298" t="str">
        <f>IF(B649="", "", 'Lighting Inventory (Ref only)'!T660)</f>
        <v/>
      </c>
      <c r="AD649" s="298" t="str">
        <f>IF(C649="", "", 'Lighting Inventory (Ref only)'!AA660)</f>
        <v/>
      </c>
      <c r="AE649" s="298" t="str">
        <f>IF(B649="", "", 'Lighting Inventory (Ref only)'!U660)</f>
        <v/>
      </c>
      <c r="AF649" s="298" t="str">
        <f>IF(B649="", "",'Lighting Inventory (Ref only)'!W660)</f>
        <v/>
      </c>
      <c r="AH649" s="298" t="str">
        <f>IF(B649="", "",'Lighting Inventory (Ref only)'!Z660)</f>
        <v/>
      </c>
      <c r="AI649" s="298" t="str">
        <f>IF(B649="", "", 'Lighting Inventory (Ref only)'!Y660)</f>
        <v/>
      </c>
      <c r="AJ649" s="298" t="str">
        <f>IF(C649="", "",'Lighting Inventory (Ref only)'!AB660)</f>
        <v/>
      </c>
      <c r="AK649" s="375" t="str">
        <f>IF(B649="", "", 'Lighting Inventory (Ref only)'!AG660)</f>
        <v/>
      </c>
      <c r="AL649" s="375" t="str">
        <f>IF(B649="", "", 'Lighting Inventory (Ref only)'!AD660)</f>
        <v/>
      </c>
      <c r="AM649" s="375" t="str">
        <f>IF(B649="", "", 'Lighting Inventory (Ref only)'!AE660)</f>
        <v/>
      </c>
      <c r="AN649" s="375" t="str">
        <f>IF(B649="", "", 'Lighting Inventory (Ref only)'!AF660)</f>
        <v/>
      </c>
      <c r="AO649" s="375" t="str">
        <f>IF(B649="", "", 'Lighting Inventory (Ref only)'!AG660)</f>
        <v/>
      </c>
    </row>
    <row r="650" spans="1:41">
      <c r="A650" s="298" t="str">
        <f>IF(G650="", "", Lookups!BF652)</f>
        <v/>
      </c>
      <c r="B650" s="298" t="str">
        <f>IF('Lighting Inventory (Ref only)'!Q661="", "", 'Lighting Inventory (Ref only)'!Q661)</f>
        <v/>
      </c>
      <c r="C650" s="298" t="str">
        <f>IF(A650="", "", 'Lighting Inventory (Ref only)'!AO661)</f>
        <v/>
      </c>
      <c r="D650" s="298" t="str">
        <f>IF(B650= "","", Inventory!S658)</f>
        <v/>
      </c>
      <c r="F650" s="298" t="str">
        <f>IF(B650="", "", 'Version Log'!$B$34)</f>
        <v/>
      </c>
      <c r="G650" s="298" t="str">
        <f t="shared" si="40"/>
        <v/>
      </c>
      <c r="H650" s="298" t="str">
        <f t="shared" si="41"/>
        <v/>
      </c>
      <c r="I650" s="298" t="str">
        <f>IF(B650="", "",Inventory!D658)</f>
        <v/>
      </c>
      <c r="J650" s="298" t="str">
        <f>IF(B650="","",IF(Inventory!C658="N","Interior","Exterior"))</f>
        <v/>
      </c>
      <c r="K650" s="298" t="str">
        <f t="shared" si="42"/>
        <v/>
      </c>
      <c r="L650" s="298" t="str">
        <f>IF(B650="", "", Inventory!E658)</f>
        <v/>
      </c>
      <c r="M650" s="298" t="str">
        <f>IF(B650="","",IF(Cool_Type=Lookups!$L$9,Cool_Type,IF(Cool_Type=Lookups!$L$10,Cool_Type,IF(Cool_Type=Lookups!$L$11,Cool_Type,IF(Cool_Type=Lookups!L660,Cool_Type,IF('Project Info and Summary'!$C$20="Electric",CONCATENATE(Cool_Type," ",Heating_Type," Heat"),IF('Project Info and Summary'!$C$20="Non-Electric",CONCATENATE(Cool_Type," ",Heating_Type," Heat"),CONCATENATE(Cool_Type," ",Heating_Type))))))))</f>
        <v/>
      </c>
      <c r="N650" s="298" t="str">
        <f t="shared" si="43"/>
        <v/>
      </c>
      <c r="O650" s="298" t="str">
        <f>IF(B650="", "", 'Lighting Inventory (Ref only)'!G661)</f>
        <v/>
      </c>
      <c r="P650" s="298" t="str">
        <f>IF(B650="", "", 'Lighting Inventory (Ref only)'!E661)</f>
        <v/>
      </c>
      <c r="Q650" s="298" t="str">
        <f>IF(B650="", "", 'Lighting Inventory (Ref only)'!J661)</f>
        <v/>
      </c>
      <c r="R650" s="298" t="str">
        <f>IF(B650="", "",'Lighting Inventory (Ref only)'!K661)</f>
        <v/>
      </c>
      <c r="S650" s="372" t="str">
        <f>IF(B650="", "", 'Lighting Inventory (Ref only)'!G661*'Lighting Inventory (Ref only)'!K661/1000)</f>
        <v/>
      </c>
      <c r="T650" s="298" t="str">
        <f>IF(B650="", "", IF('Lighting Inventory (Ref only)'!I661="", "Light Switch",Inventory!H658))</f>
        <v/>
      </c>
      <c r="X650" s="298" t="str">
        <f>IF(B650="", "", 'Lighting Inventory (Ref only)'!Q661)</f>
        <v/>
      </c>
      <c r="AA650" s="298" t="str">
        <f>IF(B650="", "",'Lighting Inventory (Ref only)'!R661/1000)</f>
        <v/>
      </c>
      <c r="AB650" s="298" t="str">
        <f>IF(B650="", "", Inventory!M658)</f>
        <v/>
      </c>
      <c r="AC650" s="298" t="str">
        <f>IF(B650="", "", 'Lighting Inventory (Ref only)'!T661)</f>
        <v/>
      </c>
      <c r="AD650" s="298" t="str">
        <f>IF(C650="", "", 'Lighting Inventory (Ref only)'!AA661)</f>
        <v/>
      </c>
      <c r="AE650" s="298" t="str">
        <f>IF(B650="", "", 'Lighting Inventory (Ref only)'!U661)</f>
        <v/>
      </c>
      <c r="AF650" s="298" t="str">
        <f>IF(B650="", "",'Lighting Inventory (Ref only)'!W661)</f>
        <v/>
      </c>
      <c r="AH650" s="298" t="str">
        <f>IF(B650="", "",'Lighting Inventory (Ref only)'!Z661)</f>
        <v/>
      </c>
      <c r="AI650" s="298" t="str">
        <f>IF(B650="", "", 'Lighting Inventory (Ref only)'!Y661)</f>
        <v/>
      </c>
      <c r="AJ650" s="298" t="str">
        <f>IF(C650="", "",'Lighting Inventory (Ref only)'!AB661)</f>
        <v/>
      </c>
      <c r="AK650" s="375" t="str">
        <f>IF(B650="", "", 'Lighting Inventory (Ref only)'!AG661)</f>
        <v/>
      </c>
      <c r="AL650" s="375" t="str">
        <f>IF(B650="", "", 'Lighting Inventory (Ref only)'!AD661)</f>
        <v/>
      </c>
      <c r="AM650" s="375" t="str">
        <f>IF(B650="", "", 'Lighting Inventory (Ref only)'!AE661)</f>
        <v/>
      </c>
      <c r="AN650" s="375" t="str">
        <f>IF(B650="", "", 'Lighting Inventory (Ref only)'!AF661)</f>
        <v/>
      </c>
      <c r="AO650" s="375" t="str">
        <f>IF(B650="", "", 'Lighting Inventory (Ref only)'!AG661)</f>
        <v/>
      </c>
    </row>
    <row r="651" spans="1:41">
      <c r="A651" s="298" t="str">
        <f>IF(G651="", "", Lookups!BF653)</f>
        <v/>
      </c>
      <c r="B651" s="298" t="str">
        <f>IF('Lighting Inventory (Ref only)'!Q662="", "", 'Lighting Inventory (Ref only)'!Q662)</f>
        <v/>
      </c>
      <c r="C651" s="298" t="str">
        <f>IF(A651="", "", 'Lighting Inventory (Ref only)'!AO662)</f>
        <v/>
      </c>
      <c r="D651" s="298" t="str">
        <f>IF(B651= "","", Inventory!S659)</f>
        <v/>
      </c>
      <c r="F651" s="298" t="str">
        <f>IF(B651="", "", 'Version Log'!$B$34)</f>
        <v/>
      </c>
      <c r="G651" s="298" t="str">
        <f t="shared" si="40"/>
        <v/>
      </c>
      <c r="H651" s="298" t="str">
        <f t="shared" si="41"/>
        <v/>
      </c>
      <c r="I651" s="298" t="str">
        <f>IF(B651="", "",Inventory!D659)</f>
        <v/>
      </c>
      <c r="J651" s="298" t="str">
        <f>IF(B651="","",IF(Inventory!C659="N","Interior","Exterior"))</f>
        <v/>
      </c>
      <c r="K651" s="298" t="str">
        <f t="shared" si="42"/>
        <v/>
      </c>
      <c r="L651" s="298" t="str">
        <f>IF(B651="", "", Inventory!E659)</f>
        <v/>
      </c>
      <c r="M651" s="298" t="str">
        <f>IF(B651="","",IF(Cool_Type=Lookups!$L$9,Cool_Type,IF(Cool_Type=Lookups!$L$10,Cool_Type,IF(Cool_Type=Lookups!$L$11,Cool_Type,IF(Cool_Type=Lookups!L661,Cool_Type,IF('Project Info and Summary'!$C$20="Electric",CONCATENATE(Cool_Type," ",Heating_Type," Heat"),IF('Project Info and Summary'!$C$20="Non-Electric",CONCATENATE(Cool_Type," ",Heating_Type," Heat"),CONCATENATE(Cool_Type," ",Heating_Type))))))))</f>
        <v/>
      </c>
      <c r="N651" s="298" t="str">
        <f t="shared" si="43"/>
        <v/>
      </c>
      <c r="O651" s="298" t="str">
        <f>IF(B651="", "", 'Lighting Inventory (Ref only)'!G662)</f>
        <v/>
      </c>
      <c r="P651" s="298" t="str">
        <f>IF(B651="", "", 'Lighting Inventory (Ref only)'!E662)</f>
        <v/>
      </c>
      <c r="Q651" s="298" t="str">
        <f>IF(B651="", "", 'Lighting Inventory (Ref only)'!J662)</f>
        <v/>
      </c>
      <c r="R651" s="298" t="str">
        <f>IF(B651="", "",'Lighting Inventory (Ref only)'!K662)</f>
        <v/>
      </c>
      <c r="S651" s="372" t="str">
        <f>IF(B651="", "", 'Lighting Inventory (Ref only)'!G662*'Lighting Inventory (Ref only)'!K662/1000)</f>
        <v/>
      </c>
      <c r="T651" s="298" t="str">
        <f>IF(B651="", "", IF('Lighting Inventory (Ref only)'!I662="", "Light Switch",Inventory!H659))</f>
        <v/>
      </c>
      <c r="X651" s="298" t="str">
        <f>IF(B651="", "", 'Lighting Inventory (Ref only)'!Q662)</f>
        <v/>
      </c>
      <c r="AA651" s="298" t="str">
        <f>IF(B651="", "",'Lighting Inventory (Ref only)'!R662/1000)</f>
        <v/>
      </c>
      <c r="AB651" s="298" t="str">
        <f>IF(B651="", "", Inventory!M659)</f>
        <v/>
      </c>
      <c r="AC651" s="298" t="str">
        <f>IF(B651="", "", 'Lighting Inventory (Ref only)'!T662)</f>
        <v/>
      </c>
      <c r="AD651" s="298" t="str">
        <f>IF(C651="", "", 'Lighting Inventory (Ref only)'!AA662)</f>
        <v/>
      </c>
      <c r="AE651" s="298" t="str">
        <f>IF(B651="", "", 'Lighting Inventory (Ref only)'!U662)</f>
        <v/>
      </c>
      <c r="AF651" s="298" t="str">
        <f>IF(B651="", "",'Lighting Inventory (Ref only)'!W662)</f>
        <v/>
      </c>
      <c r="AH651" s="298" t="str">
        <f>IF(B651="", "",'Lighting Inventory (Ref only)'!Z662)</f>
        <v/>
      </c>
      <c r="AI651" s="298" t="str">
        <f>IF(B651="", "", 'Lighting Inventory (Ref only)'!Y662)</f>
        <v/>
      </c>
      <c r="AJ651" s="298" t="str">
        <f>IF(C651="", "",'Lighting Inventory (Ref only)'!AB662)</f>
        <v/>
      </c>
      <c r="AK651" s="375" t="str">
        <f>IF(B651="", "", 'Lighting Inventory (Ref only)'!AG662)</f>
        <v/>
      </c>
      <c r="AL651" s="375" t="str">
        <f>IF(B651="", "", 'Lighting Inventory (Ref only)'!AD662)</f>
        <v/>
      </c>
      <c r="AM651" s="375" t="str">
        <f>IF(B651="", "", 'Lighting Inventory (Ref only)'!AE662)</f>
        <v/>
      </c>
      <c r="AN651" s="375" t="str">
        <f>IF(B651="", "", 'Lighting Inventory (Ref only)'!AF662)</f>
        <v/>
      </c>
      <c r="AO651" s="375" t="str">
        <f>IF(B651="", "", 'Lighting Inventory (Ref only)'!AG662)</f>
        <v/>
      </c>
    </row>
    <row r="652" spans="1:41">
      <c r="A652" s="298" t="str">
        <f>IF(G652="", "", Lookups!BF654)</f>
        <v/>
      </c>
      <c r="B652" s="298" t="str">
        <f>IF('Lighting Inventory (Ref only)'!Q663="", "", 'Lighting Inventory (Ref only)'!Q663)</f>
        <v/>
      </c>
      <c r="C652" s="298" t="str">
        <f>IF(A652="", "", 'Lighting Inventory (Ref only)'!AO663)</f>
        <v/>
      </c>
      <c r="D652" s="298" t="str">
        <f>IF(B652= "","", Inventory!S660)</f>
        <v/>
      </c>
      <c r="F652" s="298" t="str">
        <f>IF(B652="", "", 'Version Log'!$B$34)</f>
        <v/>
      </c>
      <c r="G652" s="298" t="str">
        <f t="shared" si="40"/>
        <v/>
      </c>
      <c r="H652" s="298" t="str">
        <f t="shared" si="41"/>
        <v/>
      </c>
      <c r="I652" s="298" t="str">
        <f>IF(B652="", "",Inventory!D660)</f>
        <v/>
      </c>
      <c r="J652" s="298" t="str">
        <f>IF(B652="","",IF(Inventory!C660="N","Interior","Exterior"))</f>
        <v/>
      </c>
      <c r="K652" s="298" t="str">
        <f t="shared" si="42"/>
        <v/>
      </c>
      <c r="L652" s="298" t="str">
        <f>IF(B652="", "", Inventory!E660)</f>
        <v/>
      </c>
      <c r="M652" s="298" t="str">
        <f>IF(B652="","",IF(Cool_Type=Lookups!$L$9,Cool_Type,IF(Cool_Type=Lookups!$L$10,Cool_Type,IF(Cool_Type=Lookups!$L$11,Cool_Type,IF(Cool_Type=Lookups!L662,Cool_Type,IF('Project Info and Summary'!$C$20="Electric",CONCATENATE(Cool_Type," ",Heating_Type," Heat"),IF('Project Info and Summary'!$C$20="Non-Electric",CONCATENATE(Cool_Type," ",Heating_Type," Heat"),CONCATENATE(Cool_Type," ",Heating_Type))))))))</f>
        <v/>
      </c>
      <c r="N652" s="298" t="str">
        <f t="shared" si="43"/>
        <v/>
      </c>
      <c r="O652" s="298" t="str">
        <f>IF(B652="", "", 'Lighting Inventory (Ref only)'!G663)</f>
        <v/>
      </c>
      <c r="P652" s="298" t="str">
        <f>IF(B652="", "", 'Lighting Inventory (Ref only)'!E663)</f>
        <v/>
      </c>
      <c r="Q652" s="298" t="str">
        <f>IF(B652="", "", 'Lighting Inventory (Ref only)'!J663)</f>
        <v/>
      </c>
      <c r="R652" s="298" t="str">
        <f>IF(B652="", "",'Lighting Inventory (Ref only)'!K663)</f>
        <v/>
      </c>
      <c r="S652" s="372" t="str">
        <f>IF(B652="", "", 'Lighting Inventory (Ref only)'!G663*'Lighting Inventory (Ref only)'!K663/1000)</f>
        <v/>
      </c>
      <c r="T652" s="298" t="str">
        <f>IF(B652="", "", IF('Lighting Inventory (Ref only)'!I663="", "Light Switch",Inventory!H660))</f>
        <v/>
      </c>
      <c r="X652" s="298" t="str">
        <f>IF(B652="", "", 'Lighting Inventory (Ref only)'!Q663)</f>
        <v/>
      </c>
      <c r="AA652" s="298" t="str">
        <f>IF(B652="", "",'Lighting Inventory (Ref only)'!R663/1000)</f>
        <v/>
      </c>
      <c r="AB652" s="298" t="str">
        <f>IF(B652="", "", Inventory!M660)</f>
        <v/>
      </c>
      <c r="AC652" s="298" t="str">
        <f>IF(B652="", "", 'Lighting Inventory (Ref only)'!T663)</f>
        <v/>
      </c>
      <c r="AD652" s="298" t="str">
        <f>IF(C652="", "", 'Lighting Inventory (Ref only)'!AA663)</f>
        <v/>
      </c>
      <c r="AE652" s="298" t="str">
        <f>IF(B652="", "", 'Lighting Inventory (Ref only)'!U663)</f>
        <v/>
      </c>
      <c r="AF652" s="298" t="str">
        <f>IF(B652="", "",'Lighting Inventory (Ref only)'!W663)</f>
        <v/>
      </c>
      <c r="AH652" s="298" t="str">
        <f>IF(B652="", "",'Lighting Inventory (Ref only)'!Z663)</f>
        <v/>
      </c>
      <c r="AI652" s="298" t="str">
        <f>IF(B652="", "", 'Lighting Inventory (Ref only)'!Y663)</f>
        <v/>
      </c>
      <c r="AJ652" s="298" t="str">
        <f>IF(C652="", "",'Lighting Inventory (Ref only)'!AB663)</f>
        <v/>
      </c>
      <c r="AK652" s="375" t="str">
        <f>IF(B652="", "", 'Lighting Inventory (Ref only)'!AG663)</f>
        <v/>
      </c>
      <c r="AL652" s="375" t="str">
        <f>IF(B652="", "", 'Lighting Inventory (Ref only)'!AD663)</f>
        <v/>
      </c>
      <c r="AM652" s="375" t="str">
        <f>IF(B652="", "", 'Lighting Inventory (Ref only)'!AE663)</f>
        <v/>
      </c>
      <c r="AN652" s="375" t="str">
        <f>IF(B652="", "", 'Lighting Inventory (Ref only)'!AF663)</f>
        <v/>
      </c>
      <c r="AO652" s="375" t="str">
        <f>IF(B652="", "", 'Lighting Inventory (Ref only)'!AG663)</f>
        <v/>
      </c>
    </row>
    <row r="653" spans="1:41">
      <c r="A653" s="298" t="str">
        <f>IF(G653="", "", Lookups!BF655)</f>
        <v/>
      </c>
      <c r="B653" s="298" t="str">
        <f>IF('Lighting Inventory (Ref only)'!Q664="", "", 'Lighting Inventory (Ref only)'!Q664)</f>
        <v/>
      </c>
      <c r="C653" s="298" t="str">
        <f>IF(A653="", "", 'Lighting Inventory (Ref only)'!AO664)</f>
        <v/>
      </c>
      <c r="D653" s="298" t="str">
        <f>IF(B653= "","", Inventory!S661)</f>
        <v/>
      </c>
      <c r="F653" s="298" t="str">
        <f>IF(B653="", "", 'Version Log'!$B$34)</f>
        <v/>
      </c>
      <c r="G653" s="298" t="str">
        <f t="shared" si="40"/>
        <v/>
      </c>
      <c r="H653" s="298" t="str">
        <f t="shared" si="41"/>
        <v/>
      </c>
      <c r="I653" s="298" t="str">
        <f>IF(B653="", "",Inventory!D661)</f>
        <v/>
      </c>
      <c r="J653" s="298" t="str">
        <f>IF(B653="","",IF(Inventory!C661="N","Interior","Exterior"))</f>
        <v/>
      </c>
      <c r="K653" s="298" t="str">
        <f t="shared" si="42"/>
        <v/>
      </c>
      <c r="L653" s="298" t="str">
        <f>IF(B653="", "", Inventory!E661)</f>
        <v/>
      </c>
      <c r="M653" s="298" t="str">
        <f>IF(B653="","",IF(Cool_Type=Lookups!$L$9,Cool_Type,IF(Cool_Type=Lookups!$L$10,Cool_Type,IF(Cool_Type=Lookups!$L$11,Cool_Type,IF(Cool_Type=Lookups!L663,Cool_Type,IF('Project Info and Summary'!$C$20="Electric",CONCATENATE(Cool_Type," ",Heating_Type," Heat"),IF('Project Info and Summary'!$C$20="Non-Electric",CONCATENATE(Cool_Type," ",Heating_Type," Heat"),CONCATENATE(Cool_Type," ",Heating_Type))))))))</f>
        <v/>
      </c>
      <c r="N653" s="298" t="str">
        <f t="shared" si="43"/>
        <v/>
      </c>
      <c r="O653" s="298" t="str">
        <f>IF(B653="", "", 'Lighting Inventory (Ref only)'!G664)</f>
        <v/>
      </c>
      <c r="P653" s="298" t="str">
        <f>IF(B653="", "", 'Lighting Inventory (Ref only)'!E664)</f>
        <v/>
      </c>
      <c r="Q653" s="298" t="str">
        <f>IF(B653="", "", 'Lighting Inventory (Ref only)'!J664)</f>
        <v/>
      </c>
      <c r="R653" s="298" t="str">
        <f>IF(B653="", "",'Lighting Inventory (Ref only)'!K664)</f>
        <v/>
      </c>
      <c r="S653" s="372" t="str">
        <f>IF(B653="", "", 'Lighting Inventory (Ref only)'!G664*'Lighting Inventory (Ref only)'!K664/1000)</f>
        <v/>
      </c>
      <c r="T653" s="298" t="str">
        <f>IF(B653="", "", IF('Lighting Inventory (Ref only)'!I664="", "Light Switch",Inventory!H661))</f>
        <v/>
      </c>
      <c r="X653" s="298" t="str">
        <f>IF(B653="", "", 'Lighting Inventory (Ref only)'!Q664)</f>
        <v/>
      </c>
      <c r="AA653" s="298" t="str">
        <f>IF(B653="", "",'Lighting Inventory (Ref only)'!R664/1000)</f>
        <v/>
      </c>
      <c r="AB653" s="298" t="str">
        <f>IF(B653="", "", Inventory!M661)</f>
        <v/>
      </c>
      <c r="AC653" s="298" t="str">
        <f>IF(B653="", "", 'Lighting Inventory (Ref only)'!T664)</f>
        <v/>
      </c>
      <c r="AD653" s="298" t="str">
        <f>IF(C653="", "", 'Lighting Inventory (Ref only)'!AA664)</f>
        <v/>
      </c>
      <c r="AE653" s="298" t="str">
        <f>IF(B653="", "", 'Lighting Inventory (Ref only)'!U664)</f>
        <v/>
      </c>
      <c r="AF653" s="298" t="str">
        <f>IF(B653="", "",'Lighting Inventory (Ref only)'!W664)</f>
        <v/>
      </c>
      <c r="AH653" s="298" t="str">
        <f>IF(B653="", "",'Lighting Inventory (Ref only)'!Z664)</f>
        <v/>
      </c>
      <c r="AI653" s="298" t="str">
        <f>IF(B653="", "", 'Lighting Inventory (Ref only)'!Y664)</f>
        <v/>
      </c>
      <c r="AJ653" s="298" t="str">
        <f>IF(C653="", "",'Lighting Inventory (Ref only)'!AB664)</f>
        <v/>
      </c>
      <c r="AK653" s="375" t="str">
        <f>IF(B653="", "", 'Lighting Inventory (Ref only)'!AG664)</f>
        <v/>
      </c>
      <c r="AL653" s="375" t="str">
        <f>IF(B653="", "", 'Lighting Inventory (Ref only)'!AD664)</f>
        <v/>
      </c>
      <c r="AM653" s="375" t="str">
        <f>IF(B653="", "", 'Lighting Inventory (Ref only)'!AE664)</f>
        <v/>
      </c>
      <c r="AN653" s="375" t="str">
        <f>IF(B653="", "", 'Lighting Inventory (Ref only)'!AF664)</f>
        <v/>
      </c>
      <c r="AO653" s="375" t="str">
        <f>IF(B653="", "", 'Lighting Inventory (Ref only)'!AG664)</f>
        <v/>
      </c>
    </row>
    <row r="654" spans="1:41">
      <c r="A654" s="298" t="str">
        <f>IF(G654="", "", Lookups!BF656)</f>
        <v/>
      </c>
      <c r="B654" s="298" t="str">
        <f>IF('Lighting Inventory (Ref only)'!Q665="", "", 'Lighting Inventory (Ref only)'!Q665)</f>
        <v/>
      </c>
      <c r="C654" s="298" t="str">
        <f>IF(A654="", "", 'Lighting Inventory (Ref only)'!AO665)</f>
        <v/>
      </c>
      <c r="D654" s="298" t="str">
        <f>IF(B654= "","", Inventory!S662)</f>
        <v/>
      </c>
      <c r="F654" s="298" t="str">
        <f>IF(B654="", "", 'Version Log'!$B$34)</f>
        <v/>
      </c>
      <c r="G654" s="298" t="str">
        <f t="shared" si="40"/>
        <v/>
      </c>
      <c r="H654" s="298" t="str">
        <f t="shared" si="41"/>
        <v/>
      </c>
      <c r="I654" s="298" t="str">
        <f>IF(B654="", "",Inventory!D662)</f>
        <v/>
      </c>
      <c r="J654" s="298" t="str">
        <f>IF(B654="","",IF(Inventory!C662="N","Interior","Exterior"))</f>
        <v/>
      </c>
      <c r="K654" s="298" t="str">
        <f t="shared" si="42"/>
        <v/>
      </c>
      <c r="L654" s="298" t="str">
        <f>IF(B654="", "", Inventory!E662)</f>
        <v/>
      </c>
      <c r="M654" s="298" t="str">
        <f>IF(B654="","",IF(Cool_Type=Lookups!$L$9,Cool_Type,IF(Cool_Type=Lookups!$L$10,Cool_Type,IF(Cool_Type=Lookups!$L$11,Cool_Type,IF(Cool_Type=Lookups!L664,Cool_Type,IF('Project Info and Summary'!$C$20="Electric",CONCATENATE(Cool_Type," ",Heating_Type," Heat"),IF('Project Info and Summary'!$C$20="Non-Electric",CONCATENATE(Cool_Type," ",Heating_Type," Heat"),CONCATENATE(Cool_Type," ",Heating_Type))))))))</f>
        <v/>
      </c>
      <c r="N654" s="298" t="str">
        <f t="shared" si="43"/>
        <v/>
      </c>
      <c r="O654" s="298" t="str">
        <f>IF(B654="", "", 'Lighting Inventory (Ref only)'!G665)</f>
        <v/>
      </c>
      <c r="P654" s="298" t="str">
        <f>IF(B654="", "", 'Lighting Inventory (Ref only)'!E665)</f>
        <v/>
      </c>
      <c r="Q654" s="298" t="str">
        <f>IF(B654="", "", 'Lighting Inventory (Ref only)'!J665)</f>
        <v/>
      </c>
      <c r="R654" s="298" t="str">
        <f>IF(B654="", "",'Lighting Inventory (Ref only)'!K665)</f>
        <v/>
      </c>
      <c r="S654" s="372" t="str">
        <f>IF(B654="", "", 'Lighting Inventory (Ref only)'!G665*'Lighting Inventory (Ref only)'!K665/1000)</f>
        <v/>
      </c>
      <c r="T654" s="298" t="str">
        <f>IF(B654="", "", IF('Lighting Inventory (Ref only)'!I665="", "Light Switch",Inventory!H662))</f>
        <v/>
      </c>
      <c r="X654" s="298" t="str">
        <f>IF(B654="", "", 'Lighting Inventory (Ref only)'!Q665)</f>
        <v/>
      </c>
      <c r="AA654" s="298" t="str">
        <f>IF(B654="", "",'Lighting Inventory (Ref only)'!R665/1000)</f>
        <v/>
      </c>
      <c r="AB654" s="298" t="str">
        <f>IF(B654="", "", Inventory!M662)</f>
        <v/>
      </c>
      <c r="AC654" s="298" t="str">
        <f>IF(B654="", "", 'Lighting Inventory (Ref only)'!T665)</f>
        <v/>
      </c>
      <c r="AD654" s="298" t="str">
        <f>IF(C654="", "", 'Lighting Inventory (Ref only)'!AA665)</f>
        <v/>
      </c>
      <c r="AE654" s="298" t="str">
        <f>IF(B654="", "", 'Lighting Inventory (Ref only)'!U665)</f>
        <v/>
      </c>
      <c r="AF654" s="298" t="str">
        <f>IF(B654="", "",'Lighting Inventory (Ref only)'!W665)</f>
        <v/>
      </c>
      <c r="AH654" s="298" t="str">
        <f>IF(B654="", "",'Lighting Inventory (Ref only)'!Z665)</f>
        <v/>
      </c>
      <c r="AI654" s="298" t="str">
        <f>IF(B654="", "", 'Lighting Inventory (Ref only)'!Y665)</f>
        <v/>
      </c>
      <c r="AJ654" s="298" t="str">
        <f>IF(C654="", "",'Lighting Inventory (Ref only)'!AB665)</f>
        <v/>
      </c>
      <c r="AK654" s="375" t="str">
        <f>IF(B654="", "", 'Lighting Inventory (Ref only)'!AG665)</f>
        <v/>
      </c>
      <c r="AL654" s="375" t="str">
        <f>IF(B654="", "", 'Lighting Inventory (Ref only)'!AD665)</f>
        <v/>
      </c>
      <c r="AM654" s="375" t="str">
        <f>IF(B654="", "", 'Lighting Inventory (Ref only)'!AE665)</f>
        <v/>
      </c>
      <c r="AN654" s="375" t="str">
        <f>IF(B654="", "", 'Lighting Inventory (Ref only)'!AF665)</f>
        <v/>
      </c>
      <c r="AO654" s="375" t="str">
        <f>IF(B654="", "", 'Lighting Inventory (Ref only)'!AG665)</f>
        <v/>
      </c>
    </row>
    <row r="655" spans="1:41">
      <c r="A655" s="298" t="str">
        <f>IF(G655="", "", Lookups!BF657)</f>
        <v/>
      </c>
      <c r="B655" s="298" t="str">
        <f>IF('Lighting Inventory (Ref only)'!Q666="", "", 'Lighting Inventory (Ref only)'!Q666)</f>
        <v/>
      </c>
      <c r="C655" s="298" t="str">
        <f>IF(A655="", "", 'Lighting Inventory (Ref only)'!AO666)</f>
        <v/>
      </c>
      <c r="D655" s="298" t="str">
        <f>IF(B655= "","", Inventory!S663)</f>
        <v/>
      </c>
      <c r="F655" s="298" t="str">
        <f>IF(B655="", "", 'Version Log'!$B$34)</f>
        <v/>
      </c>
      <c r="G655" s="298" t="str">
        <f t="shared" si="40"/>
        <v/>
      </c>
      <c r="H655" s="298" t="str">
        <f t="shared" si="41"/>
        <v/>
      </c>
      <c r="I655" s="298" t="str">
        <f>IF(B655="", "",Inventory!D663)</f>
        <v/>
      </c>
      <c r="J655" s="298" t="str">
        <f>IF(B655="","",IF(Inventory!C663="N","Interior","Exterior"))</f>
        <v/>
      </c>
      <c r="K655" s="298" t="str">
        <f t="shared" si="42"/>
        <v/>
      </c>
      <c r="L655" s="298" t="str">
        <f>IF(B655="", "", Inventory!E663)</f>
        <v/>
      </c>
      <c r="M655" s="298" t="str">
        <f>IF(B655="","",IF(Cool_Type=Lookups!$L$9,Cool_Type,IF(Cool_Type=Lookups!$L$10,Cool_Type,IF(Cool_Type=Lookups!$L$11,Cool_Type,IF(Cool_Type=Lookups!L665,Cool_Type,IF('Project Info and Summary'!$C$20="Electric",CONCATENATE(Cool_Type," ",Heating_Type," Heat"),IF('Project Info and Summary'!$C$20="Non-Electric",CONCATENATE(Cool_Type," ",Heating_Type," Heat"),CONCATENATE(Cool_Type," ",Heating_Type))))))))</f>
        <v/>
      </c>
      <c r="N655" s="298" t="str">
        <f t="shared" si="43"/>
        <v/>
      </c>
      <c r="O655" s="298" t="str">
        <f>IF(B655="", "", 'Lighting Inventory (Ref only)'!G666)</f>
        <v/>
      </c>
      <c r="P655" s="298" t="str">
        <f>IF(B655="", "", 'Lighting Inventory (Ref only)'!E666)</f>
        <v/>
      </c>
      <c r="Q655" s="298" t="str">
        <f>IF(B655="", "", 'Lighting Inventory (Ref only)'!J666)</f>
        <v/>
      </c>
      <c r="R655" s="298" t="str">
        <f>IF(B655="", "",'Lighting Inventory (Ref only)'!K666)</f>
        <v/>
      </c>
      <c r="S655" s="372" t="str">
        <f>IF(B655="", "", 'Lighting Inventory (Ref only)'!G666*'Lighting Inventory (Ref only)'!K666/1000)</f>
        <v/>
      </c>
      <c r="T655" s="298" t="str">
        <f>IF(B655="", "", IF('Lighting Inventory (Ref only)'!I666="", "Light Switch",Inventory!H663))</f>
        <v/>
      </c>
      <c r="X655" s="298" t="str">
        <f>IF(B655="", "", 'Lighting Inventory (Ref only)'!Q666)</f>
        <v/>
      </c>
      <c r="AA655" s="298" t="str">
        <f>IF(B655="", "",'Lighting Inventory (Ref only)'!R666/1000)</f>
        <v/>
      </c>
      <c r="AB655" s="298" t="str">
        <f>IF(B655="", "", Inventory!M663)</f>
        <v/>
      </c>
      <c r="AC655" s="298" t="str">
        <f>IF(B655="", "", 'Lighting Inventory (Ref only)'!T666)</f>
        <v/>
      </c>
      <c r="AD655" s="298" t="str">
        <f>IF(C655="", "", 'Lighting Inventory (Ref only)'!AA666)</f>
        <v/>
      </c>
      <c r="AE655" s="298" t="str">
        <f>IF(B655="", "", 'Lighting Inventory (Ref only)'!U666)</f>
        <v/>
      </c>
      <c r="AF655" s="298" t="str">
        <f>IF(B655="", "",'Lighting Inventory (Ref only)'!W666)</f>
        <v/>
      </c>
      <c r="AH655" s="298" t="str">
        <f>IF(B655="", "",'Lighting Inventory (Ref only)'!Z666)</f>
        <v/>
      </c>
      <c r="AI655" s="298" t="str">
        <f>IF(B655="", "", 'Lighting Inventory (Ref only)'!Y666)</f>
        <v/>
      </c>
      <c r="AJ655" s="298" t="str">
        <f>IF(C655="", "",'Lighting Inventory (Ref only)'!AB666)</f>
        <v/>
      </c>
      <c r="AK655" s="375" t="str">
        <f>IF(B655="", "", 'Lighting Inventory (Ref only)'!AG666)</f>
        <v/>
      </c>
      <c r="AL655" s="375" t="str">
        <f>IF(B655="", "", 'Lighting Inventory (Ref only)'!AD666)</f>
        <v/>
      </c>
      <c r="AM655" s="375" t="str">
        <f>IF(B655="", "", 'Lighting Inventory (Ref only)'!AE666)</f>
        <v/>
      </c>
      <c r="AN655" s="375" t="str">
        <f>IF(B655="", "", 'Lighting Inventory (Ref only)'!AF666)</f>
        <v/>
      </c>
      <c r="AO655" s="375" t="str">
        <f>IF(B655="", "", 'Lighting Inventory (Ref only)'!AG666)</f>
        <v/>
      </c>
    </row>
    <row r="656" spans="1:41">
      <c r="A656" s="298" t="str">
        <f>IF(G656="", "", Lookups!BF658)</f>
        <v/>
      </c>
      <c r="B656" s="298" t="str">
        <f>IF('Lighting Inventory (Ref only)'!Q667="", "", 'Lighting Inventory (Ref only)'!Q667)</f>
        <v/>
      </c>
      <c r="C656" s="298" t="str">
        <f>IF(A656="", "", 'Lighting Inventory (Ref only)'!AO667)</f>
        <v/>
      </c>
      <c r="D656" s="298" t="str">
        <f>IF(B656= "","", Inventory!S664)</f>
        <v/>
      </c>
      <c r="F656" s="298" t="str">
        <f>IF(B656="", "", 'Version Log'!$B$34)</f>
        <v/>
      </c>
      <c r="G656" s="298" t="str">
        <f t="shared" si="40"/>
        <v/>
      </c>
      <c r="H656" s="298" t="str">
        <f t="shared" si="41"/>
        <v/>
      </c>
      <c r="I656" s="298" t="str">
        <f>IF(B656="", "",Inventory!D664)</f>
        <v/>
      </c>
      <c r="J656" s="298" t="str">
        <f>IF(B656="","",IF(Inventory!C664="N","Interior","Exterior"))</f>
        <v/>
      </c>
      <c r="K656" s="298" t="str">
        <f t="shared" si="42"/>
        <v/>
      </c>
      <c r="L656" s="298" t="str">
        <f>IF(B656="", "", Inventory!E664)</f>
        <v/>
      </c>
      <c r="M656" s="298" t="str">
        <f>IF(B656="","",IF(Cool_Type=Lookups!$L$9,Cool_Type,IF(Cool_Type=Lookups!$L$10,Cool_Type,IF(Cool_Type=Lookups!$L$11,Cool_Type,IF(Cool_Type=Lookups!L666,Cool_Type,IF('Project Info and Summary'!$C$20="Electric",CONCATENATE(Cool_Type," ",Heating_Type," Heat"),IF('Project Info and Summary'!$C$20="Non-Electric",CONCATENATE(Cool_Type," ",Heating_Type," Heat"),CONCATENATE(Cool_Type," ",Heating_Type))))))))</f>
        <v/>
      </c>
      <c r="N656" s="298" t="str">
        <f t="shared" si="43"/>
        <v/>
      </c>
      <c r="O656" s="298" t="str">
        <f>IF(B656="", "", 'Lighting Inventory (Ref only)'!G667)</f>
        <v/>
      </c>
      <c r="P656" s="298" t="str">
        <f>IF(B656="", "", 'Lighting Inventory (Ref only)'!E667)</f>
        <v/>
      </c>
      <c r="Q656" s="298" t="str">
        <f>IF(B656="", "", 'Lighting Inventory (Ref only)'!J667)</f>
        <v/>
      </c>
      <c r="R656" s="298" t="str">
        <f>IF(B656="", "",'Lighting Inventory (Ref only)'!K667)</f>
        <v/>
      </c>
      <c r="S656" s="372" t="str">
        <f>IF(B656="", "", 'Lighting Inventory (Ref only)'!G667*'Lighting Inventory (Ref only)'!K667/1000)</f>
        <v/>
      </c>
      <c r="T656" s="298" t="str">
        <f>IF(B656="", "", IF('Lighting Inventory (Ref only)'!I667="", "Light Switch",Inventory!H664))</f>
        <v/>
      </c>
      <c r="X656" s="298" t="str">
        <f>IF(B656="", "", 'Lighting Inventory (Ref only)'!Q667)</f>
        <v/>
      </c>
      <c r="AA656" s="298" t="str">
        <f>IF(B656="", "",'Lighting Inventory (Ref only)'!R667/1000)</f>
        <v/>
      </c>
      <c r="AB656" s="298" t="str">
        <f>IF(B656="", "", Inventory!M664)</f>
        <v/>
      </c>
      <c r="AC656" s="298" t="str">
        <f>IF(B656="", "", 'Lighting Inventory (Ref only)'!T667)</f>
        <v/>
      </c>
      <c r="AD656" s="298" t="str">
        <f>IF(C656="", "", 'Lighting Inventory (Ref only)'!AA667)</f>
        <v/>
      </c>
      <c r="AE656" s="298" t="str">
        <f>IF(B656="", "", 'Lighting Inventory (Ref only)'!U667)</f>
        <v/>
      </c>
      <c r="AF656" s="298" t="str">
        <f>IF(B656="", "",'Lighting Inventory (Ref only)'!W667)</f>
        <v/>
      </c>
      <c r="AH656" s="298" t="str">
        <f>IF(B656="", "",'Lighting Inventory (Ref only)'!Z667)</f>
        <v/>
      </c>
      <c r="AI656" s="298" t="str">
        <f>IF(B656="", "", 'Lighting Inventory (Ref only)'!Y667)</f>
        <v/>
      </c>
      <c r="AJ656" s="298" t="str">
        <f>IF(C656="", "",'Lighting Inventory (Ref only)'!AB667)</f>
        <v/>
      </c>
      <c r="AK656" s="375" t="str">
        <f>IF(B656="", "", 'Lighting Inventory (Ref only)'!AG667)</f>
        <v/>
      </c>
      <c r="AL656" s="375" t="str">
        <f>IF(B656="", "", 'Lighting Inventory (Ref only)'!AD667)</f>
        <v/>
      </c>
      <c r="AM656" s="375" t="str">
        <f>IF(B656="", "", 'Lighting Inventory (Ref only)'!AE667)</f>
        <v/>
      </c>
      <c r="AN656" s="375" t="str">
        <f>IF(B656="", "", 'Lighting Inventory (Ref only)'!AF667)</f>
        <v/>
      </c>
      <c r="AO656" s="375" t="str">
        <f>IF(B656="", "", 'Lighting Inventory (Ref only)'!AG667)</f>
        <v/>
      </c>
    </row>
    <row r="657" spans="1:41">
      <c r="A657" s="298" t="str">
        <f>IF(G657="", "", Lookups!BF659)</f>
        <v/>
      </c>
      <c r="B657" s="298" t="str">
        <f>IF('Lighting Inventory (Ref only)'!Q668="", "", 'Lighting Inventory (Ref only)'!Q668)</f>
        <v/>
      </c>
      <c r="C657" s="298" t="str">
        <f>IF(A657="", "", 'Lighting Inventory (Ref only)'!AO668)</f>
        <v/>
      </c>
      <c r="D657" s="298" t="str">
        <f>IF(B657= "","", Inventory!S665)</f>
        <v/>
      </c>
      <c r="F657" s="298" t="str">
        <f>IF(B657="", "", 'Version Log'!$B$34)</f>
        <v/>
      </c>
      <c r="G657" s="298" t="str">
        <f t="shared" si="40"/>
        <v/>
      </c>
      <c r="H657" s="298" t="str">
        <f t="shared" si="41"/>
        <v/>
      </c>
      <c r="I657" s="298" t="str">
        <f>IF(B657="", "",Inventory!D665)</f>
        <v/>
      </c>
      <c r="J657" s="298" t="str">
        <f>IF(B657="","",IF(Inventory!C665="N","Interior","Exterior"))</f>
        <v/>
      </c>
      <c r="K657" s="298" t="str">
        <f t="shared" si="42"/>
        <v/>
      </c>
      <c r="L657" s="298" t="str">
        <f>IF(B657="", "", Inventory!E665)</f>
        <v/>
      </c>
      <c r="M657" s="298" t="str">
        <f>IF(B657="","",IF(Cool_Type=Lookups!$L$9,Cool_Type,IF(Cool_Type=Lookups!$L$10,Cool_Type,IF(Cool_Type=Lookups!$L$11,Cool_Type,IF(Cool_Type=Lookups!L667,Cool_Type,IF('Project Info and Summary'!$C$20="Electric",CONCATENATE(Cool_Type," ",Heating_Type," Heat"),IF('Project Info and Summary'!$C$20="Non-Electric",CONCATENATE(Cool_Type," ",Heating_Type," Heat"),CONCATENATE(Cool_Type," ",Heating_Type))))))))</f>
        <v/>
      </c>
      <c r="N657" s="298" t="str">
        <f t="shared" si="43"/>
        <v/>
      </c>
      <c r="O657" s="298" t="str">
        <f>IF(B657="", "", 'Lighting Inventory (Ref only)'!G668)</f>
        <v/>
      </c>
      <c r="P657" s="298" t="str">
        <f>IF(B657="", "", 'Lighting Inventory (Ref only)'!E668)</f>
        <v/>
      </c>
      <c r="Q657" s="298" t="str">
        <f>IF(B657="", "", 'Lighting Inventory (Ref only)'!J668)</f>
        <v/>
      </c>
      <c r="R657" s="298" t="str">
        <f>IF(B657="", "",'Lighting Inventory (Ref only)'!K668)</f>
        <v/>
      </c>
      <c r="S657" s="372" t="str">
        <f>IF(B657="", "", 'Lighting Inventory (Ref only)'!G668*'Lighting Inventory (Ref only)'!K668/1000)</f>
        <v/>
      </c>
      <c r="T657" s="298" t="str">
        <f>IF(B657="", "", IF('Lighting Inventory (Ref only)'!I668="", "Light Switch",Inventory!H665))</f>
        <v/>
      </c>
      <c r="X657" s="298" t="str">
        <f>IF(B657="", "", 'Lighting Inventory (Ref only)'!Q668)</f>
        <v/>
      </c>
      <c r="AA657" s="298" t="str">
        <f>IF(B657="", "",'Lighting Inventory (Ref only)'!R668/1000)</f>
        <v/>
      </c>
      <c r="AB657" s="298" t="str">
        <f>IF(B657="", "", Inventory!M665)</f>
        <v/>
      </c>
      <c r="AC657" s="298" t="str">
        <f>IF(B657="", "", 'Lighting Inventory (Ref only)'!T668)</f>
        <v/>
      </c>
      <c r="AD657" s="298" t="str">
        <f>IF(C657="", "", 'Lighting Inventory (Ref only)'!AA668)</f>
        <v/>
      </c>
      <c r="AE657" s="298" t="str">
        <f>IF(B657="", "", 'Lighting Inventory (Ref only)'!U668)</f>
        <v/>
      </c>
      <c r="AF657" s="298" t="str">
        <f>IF(B657="", "",'Lighting Inventory (Ref only)'!W668)</f>
        <v/>
      </c>
      <c r="AH657" s="298" t="str">
        <f>IF(B657="", "",'Lighting Inventory (Ref only)'!Z668)</f>
        <v/>
      </c>
      <c r="AI657" s="298" t="str">
        <f>IF(B657="", "", 'Lighting Inventory (Ref only)'!Y668)</f>
        <v/>
      </c>
      <c r="AJ657" s="298" t="str">
        <f>IF(C657="", "",'Lighting Inventory (Ref only)'!AB668)</f>
        <v/>
      </c>
      <c r="AK657" s="375" t="str">
        <f>IF(B657="", "", 'Lighting Inventory (Ref only)'!AG668)</f>
        <v/>
      </c>
      <c r="AL657" s="375" t="str">
        <f>IF(B657="", "", 'Lighting Inventory (Ref only)'!AD668)</f>
        <v/>
      </c>
      <c r="AM657" s="375" t="str">
        <f>IF(B657="", "", 'Lighting Inventory (Ref only)'!AE668)</f>
        <v/>
      </c>
      <c r="AN657" s="375" t="str">
        <f>IF(B657="", "", 'Lighting Inventory (Ref only)'!AF668)</f>
        <v/>
      </c>
      <c r="AO657" s="375" t="str">
        <f>IF(B657="", "", 'Lighting Inventory (Ref only)'!AG668)</f>
        <v/>
      </c>
    </row>
    <row r="658" spans="1:41">
      <c r="A658" s="298" t="str">
        <f>IF(G658="", "", Lookups!BF660)</f>
        <v/>
      </c>
      <c r="B658" s="298" t="str">
        <f>IF('Lighting Inventory (Ref only)'!Q669="", "", 'Lighting Inventory (Ref only)'!Q669)</f>
        <v/>
      </c>
      <c r="C658" s="298" t="str">
        <f>IF(A658="", "", 'Lighting Inventory (Ref only)'!AO669)</f>
        <v/>
      </c>
      <c r="D658" s="298" t="str">
        <f>IF(B658= "","", Inventory!S666)</f>
        <v/>
      </c>
      <c r="F658" s="298" t="str">
        <f>IF(B658="", "", 'Version Log'!$B$34)</f>
        <v/>
      </c>
      <c r="G658" s="298" t="str">
        <f t="shared" si="40"/>
        <v/>
      </c>
      <c r="H658" s="298" t="str">
        <f t="shared" si="41"/>
        <v/>
      </c>
      <c r="I658" s="298" t="str">
        <f>IF(B658="", "",Inventory!D666)</f>
        <v/>
      </c>
      <c r="J658" s="298" t="str">
        <f>IF(B658="","",IF(Inventory!C666="N","Interior","Exterior"))</f>
        <v/>
      </c>
      <c r="K658" s="298" t="str">
        <f t="shared" si="42"/>
        <v/>
      </c>
      <c r="L658" s="298" t="str">
        <f>IF(B658="", "", Inventory!E666)</f>
        <v/>
      </c>
      <c r="M658" s="298" t="str">
        <f>IF(B658="","",IF(Cool_Type=Lookups!$L$9,Cool_Type,IF(Cool_Type=Lookups!$L$10,Cool_Type,IF(Cool_Type=Lookups!$L$11,Cool_Type,IF(Cool_Type=Lookups!L668,Cool_Type,IF('Project Info and Summary'!$C$20="Electric",CONCATENATE(Cool_Type," ",Heating_Type," Heat"),IF('Project Info and Summary'!$C$20="Non-Electric",CONCATENATE(Cool_Type," ",Heating_Type," Heat"),CONCATENATE(Cool_Type," ",Heating_Type))))))))</f>
        <v/>
      </c>
      <c r="N658" s="298" t="str">
        <f t="shared" si="43"/>
        <v/>
      </c>
      <c r="O658" s="298" t="str">
        <f>IF(B658="", "", 'Lighting Inventory (Ref only)'!G669)</f>
        <v/>
      </c>
      <c r="P658" s="298" t="str">
        <f>IF(B658="", "", 'Lighting Inventory (Ref only)'!E669)</f>
        <v/>
      </c>
      <c r="Q658" s="298" t="str">
        <f>IF(B658="", "", 'Lighting Inventory (Ref only)'!J669)</f>
        <v/>
      </c>
      <c r="R658" s="298" t="str">
        <f>IF(B658="", "",'Lighting Inventory (Ref only)'!K669)</f>
        <v/>
      </c>
      <c r="S658" s="372" t="str">
        <f>IF(B658="", "", 'Lighting Inventory (Ref only)'!G669*'Lighting Inventory (Ref only)'!K669/1000)</f>
        <v/>
      </c>
      <c r="T658" s="298" t="str">
        <f>IF(B658="", "", IF('Lighting Inventory (Ref only)'!I669="", "Light Switch",Inventory!H666))</f>
        <v/>
      </c>
      <c r="X658" s="298" t="str">
        <f>IF(B658="", "", 'Lighting Inventory (Ref only)'!Q669)</f>
        <v/>
      </c>
      <c r="AA658" s="298" t="str">
        <f>IF(B658="", "",'Lighting Inventory (Ref only)'!R669/1000)</f>
        <v/>
      </c>
      <c r="AB658" s="298" t="str">
        <f>IF(B658="", "", Inventory!M666)</f>
        <v/>
      </c>
      <c r="AC658" s="298" t="str">
        <f>IF(B658="", "", 'Lighting Inventory (Ref only)'!T669)</f>
        <v/>
      </c>
      <c r="AD658" s="298" t="str">
        <f>IF(C658="", "", 'Lighting Inventory (Ref only)'!AA669)</f>
        <v/>
      </c>
      <c r="AE658" s="298" t="str">
        <f>IF(B658="", "", 'Lighting Inventory (Ref only)'!U669)</f>
        <v/>
      </c>
      <c r="AF658" s="298" t="str">
        <f>IF(B658="", "",'Lighting Inventory (Ref only)'!W669)</f>
        <v/>
      </c>
      <c r="AH658" s="298" t="str">
        <f>IF(B658="", "",'Lighting Inventory (Ref only)'!Z669)</f>
        <v/>
      </c>
      <c r="AI658" s="298" t="str">
        <f>IF(B658="", "", 'Lighting Inventory (Ref only)'!Y669)</f>
        <v/>
      </c>
      <c r="AJ658" s="298" t="str">
        <f>IF(C658="", "",'Lighting Inventory (Ref only)'!AB669)</f>
        <v/>
      </c>
      <c r="AK658" s="375" t="str">
        <f>IF(B658="", "", 'Lighting Inventory (Ref only)'!AG669)</f>
        <v/>
      </c>
      <c r="AL658" s="375" t="str">
        <f>IF(B658="", "", 'Lighting Inventory (Ref only)'!AD669)</f>
        <v/>
      </c>
      <c r="AM658" s="375" t="str">
        <f>IF(B658="", "", 'Lighting Inventory (Ref only)'!AE669)</f>
        <v/>
      </c>
      <c r="AN658" s="375" t="str">
        <f>IF(B658="", "", 'Lighting Inventory (Ref only)'!AF669)</f>
        <v/>
      </c>
      <c r="AO658" s="375" t="str">
        <f>IF(B658="", "", 'Lighting Inventory (Ref only)'!AG669)</f>
        <v/>
      </c>
    </row>
    <row r="659" spans="1:41">
      <c r="A659" s="298" t="str">
        <f>IF(G659="", "", Lookups!BF661)</f>
        <v/>
      </c>
      <c r="B659" s="298" t="str">
        <f>IF('Lighting Inventory (Ref only)'!Q670="", "", 'Lighting Inventory (Ref only)'!Q670)</f>
        <v/>
      </c>
      <c r="C659" s="298" t="str">
        <f>IF(A659="", "", 'Lighting Inventory (Ref only)'!AO670)</f>
        <v/>
      </c>
      <c r="D659" s="298" t="str">
        <f>IF(B659= "","", Inventory!S667)</f>
        <v/>
      </c>
      <c r="F659" s="298" t="str">
        <f>IF(B659="", "", 'Version Log'!$B$34)</f>
        <v/>
      </c>
      <c r="G659" s="298" t="str">
        <f t="shared" si="40"/>
        <v/>
      </c>
      <c r="H659" s="298" t="str">
        <f t="shared" si="41"/>
        <v/>
      </c>
      <c r="I659" s="298" t="str">
        <f>IF(B659="", "",Inventory!D667)</f>
        <v/>
      </c>
      <c r="J659" s="298" t="str">
        <f>IF(B659="","",IF(Inventory!C667="N","Interior","Exterior"))</f>
        <v/>
      </c>
      <c r="K659" s="298" t="str">
        <f t="shared" si="42"/>
        <v/>
      </c>
      <c r="L659" s="298" t="str">
        <f>IF(B659="", "", Inventory!E667)</f>
        <v/>
      </c>
      <c r="M659" s="298" t="str">
        <f>IF(B659="","",IF(Cool_Type=Lookups!$L$9,Cool_Type,IF(Cool_Type=Lookups!$L$10,Cool_Type,IF(Cool_Type=Lookups!$L$11,Cool_Type,IF(Cool_Type=Lookups!L669,Cool_Type,IF('Project Info and Summary'!$C$20="Electric",CONCATENATE(Cool_Type," ",Heating_Type," Heat"),IF('Project Info and Summary'!$C$20="Non-Electric",CONCATENATE(Cool_Type," ",Heating_Type," Heat"),CONCATENATE(Cool_Type," ",Heating_Type))))))))</f>
        <v/>
      </c>
      <c r="N659" s="298" t="str">
        <f t="shared" si="43"/>
        <v/>
      </c>
      <c r="O659" s="298" t="str">
        <f>IF(B659="", "", 'Lighting Inventory (Ref only)'!G670)</f>
        <v/>
      </c>
      <c r="P659" s="298" t="str">
        <f>IF(B659="", "", 'Lighting Inventory (Ref only)'!E670)</f>
        <v/>
      </c>
      <c r="Q659" s="298" t="str">
        <f>IF(B659="", "", 'Lighting Inventory (Ref only)'!J670)</f>
        <v/>
      </c>
      <c r="R659" s="298" t="str">
        <f>IF(B659="", "",'Lighting Inventory (Ref only)'!K670)</f>
        <v/>
      </c>
      <c r="S659" s="372" t="str">
        <f>IF(B659="", "", 'Lighting Inventory (Ref only)'!G670*'Lighting Inventory (Ref only)'!K670/1000)</f>
        <v/>
      </c>
      <c r="T659" s="298" t="str">
        <f>IF(B659="", "", IF('Lighting Inventory (Ref only)'!I670="", "Light Switch",Inventory!H667))</f>
        <v/>
      </c>
      <c r="X659" s="298" t="str">
        <f>IF(B659="", "", 'Lighting Inventory (Ref only)'!Q670)</f>
        <v/>
      </c>
      <c r="AA659" s="298" t="str">
        <f>IF(B659="", "",'Lighting Inventory (Ref only)'!R670/1000)</f>
        <v/>
      </c>
      <c r="AB659" s="298" t="str">
        <f>IF(B659="", "", Inventory!M667)</f>
        <v/>
      </c>
      <c r="AC659" s="298" t="str">
        <f>IF(B659="", "", 'Lighting Inventory (Ref only)'!T670)</f>
        <v/>
      </c>
      <c r="AD659" s="298" t="str">
        <f>IF(C659="", "", 'Lighting Inventory (Ref only)'!AA670)</f>
        <v/>
      </c>
      <c r="AE659" s="298" t="str">
        <f>IF(B659="", "", 'Lighting Inventory (Ref only)'!U670)</f>
        <v/>
      </c>
      <c r="AF659" s="298" t="str">
        <f>IF(B659="", "",'Lighting Inventory (Ref only)'!W670)</f>
        <v/>
      </c>
      <c r="AH659" s="298" t="str">
        <f>IF(B659="", "",'Lighting Inventory (Ref only)'!Z670)</f>
        <v/>
      </c>
      <c r="AI659" s="298" t="str">
        <f>IF(B659="", "", 'Lighting Inventory (Ref only)'!Y670)</f>
        <v/>
      </c>
      <c r="AJ659" s="298" t="str">
        <f>IF(C659="", "",'Lighting Inventory (Ref only)'!AB670)</f>
        <v/>
      </c>
      <c r="AK659" s="375" t="str">
        <f>IF(B659="", "", 'Lighting Inventory (Ref only)'!AG670)</f>
        <v/>
      </c>
      <c r="AL659" s="375" t="str">
        <f>IF(B659="", "", 'Lighting Inventory (Ref only)'!AD670)</f>
        <v/>
      </c>
      <c r="AM659" s="375" t="str">
        <f>IF(B659="", "", 'Lighting Inventory (Ref only)'!AE670)</f>
        <v/>
      </c>
      <c r="AN659" s="375" t="str">
        <f>IF(B659="", "", 'Lighting Inventory (Ref only)'!AF670)</f>
        <v/>
      </c>
      <c r="AO659" s="375" t="str">
        <f>IF(B659="", "", 'Lighting Inventory (Ref only)'!AG670)</f>
        <v/>
      </c>
    </row>
    <row r="660" spans="1:41">
      <c r="A660" s="298" t="str">
        <f>IF(G660="", "", Lookups!BF662)</f>
        <v/>
      </c>
      <c r="B660" s="298" t="str">
        <f>IF('Lighting Inventory (Ref only)'!Q671="", "", 'Lighting Inventory (Ref only)'!Q671)</f>
        <v/>
      </c>
      <c r="C660" s="298" t="str">
        <f>IF(A660="", "", 'Lighting Inventory (Ref only)'!AO671)</f>
        <v/>
      </c>
      <c r="D660" s="298" t="str">
        <f>IF(B660= "","", Inventory!S668)</f>
        <v/>
      </c>
      <c r="F660" s="298" t="str">
        <f>IF(B660="", "", 'Version Log'!$B$34)</f>
        <v/>
      </c>
      <c r="G660" s="298" t="str">
        <f t="shared" si="40"/>
        <v/>
      </c>
      <c r="H660" s="298" t="str">
        <f t="shared" si="41"/>
        <v/>
      </c>
      <c r="I660" s="298" t="str">
        <f>IF(B660="", "",Inventory!D668)</f>
        <v/>
      </c>
      <c r="J660" s="298" t="str">
        <f>IF(B660="","",IF(Inventory!C668="N","Interior","Exterior"))</f>
        <v/>
      </c>
      <c r="K660" s="298" t="str">
        <f t="shared" si="42"/>
        <v/>
      </c>
      <c r="L660" s="298" t="str">
        <f>IF(B660="", "", Inventory!E668)</f>
        <v/>
      </c>
      <c r="M660" s="298" t="str">
        <f>IF(B660="","",IF(Cool_Type=Lookups!$L$9,Cool_Type,IF(Cool_Type=Lookups!$L$10,Cool_Type,IF(Cool_Type=Lookups!$L$11,Cool_Type,IF(Cool_Type=Lookups!L670,Cool_Type,IF('Project Info and Summary'!$C$20="Electric",CONCATENATE(Cool_Type," ",Heating_Type," Heat"),IF('Project Info and Summary'!$C$20="Non-Electric",CONCATENATE(Cool_Type," ",Heating_Type," Heat"),CONCATENATE(Cool_Type," ",Heating_Type))))))))</f>
        <v/>
      </c>
      <c r="N660" s="298" t="str">
        <f t="shared" si="43"/>
        <v/>
      </c>
      <c r="O660" s="298" t="str">
        <f>IF(B660="", "", 'Lighting Inventory (Ref only)'!G671)</f>
        <v/>
      </c>
      <c r="P660" s="298" t="str">
        <f>IF(B660="", "", 'Lighting Inventory (Ref only)'!E671)</f>
        <v/>
      </c>
      <c r="Q660" s="298" t="str">
        <f>IF(B660="", "", 'Lighting Inventory (Ref only)'!J671)</f>
        <v/>
      </c>
      <c r="R660" s="298" t="str">
        <f>IF(B660="", "",'Lighting Inventory (Ref only)'!K671)</f>
        <v/>
      </c>
      <c r="S660" s="372" t="str">
        <f>IF(B660="", "", 'Lighting Inventory (Ref only)'!G671*'Lighting Inventory (Ref only)'!K671/1000)</f>
        <v/>
      </c>
      <c r="T660" s="298" t="str">
        <f>IF(B660="", "", IF('Lighting Inventory (Ref only)'!I671="", "Light Switch",Inventory!H668))</f>
        <v/>
      </c>
      <c r="X660" s="298" t="str">
        <f>IF(B660="", "", 'Lighting Inventory (Ref only)'!Q671)</f>
        <v/>
      </c>
      <c r="AA660" s="298" t="str">
        <f>IF(B660="", "",'Lighting Inventory (Ref only)'!R671/1000)</f>
        <v/>
      </c>
      <c r="AB660" s="298" t="str">
        <f>IF(B660="", "", Inventory!M668)</f>
        <v/>
      </c>
      <c r="AC660" s="298" t="str">
        <f>IF(B660="", "", 'Lighting Inventory (Ref only)'!T671)</f>
        <v/>
      </c>
      <c r="AD660" s="298" t="str">
        <f>IF(C660="", "", 'Lighting Inventory (Ref only)'!AA671)</f>
        <v/>
      </c>
      <c r="AE660" s="298" t="str">
        <f>IF(B660="", "", 'Lighting Inventory (Ref only)'!U671)</f>
        <v/>
      </c>
      <c r="AF660" s="298" t="str">
        <f>IF(B660="", "",'Lighting Inventory (Ref only)'!W671)</f>
        <v/>
      </c>
      <c r="AH660" s="298" t="str">
        <f>IF(B660="", "",'Lighting Inventory (Ref only)'!Z671)</f>
        <v/>
      </c>
      <c r="AI660" s="298" t="str">
        <f>IF(B660="", "", 'Lighting Inventory (Ref only)'!Y671)</f>
        <v/>
      </c>
      <c r="AJ660" s="298" t="str">
        <f>IF(C660="", "",'Lighting Inventory (Ref only)'!AB671)</f>
        <v/>
      </c>
      <c r="AK660" s="375" t="str">
        <f>IF(B660="", "", 'Lighting Inventory (Ref only)'!AG671)</f>
        <v/>
      </c>
      <c r="AL660" s="375" t="str">
        <f>IF(B660="", "", 'Lighting Inventory (Ref only)'!AD671)</f>
        <v/>
      </c>
      <c r="AM660" s="375" t="str">
        <f>IF(B660="", "", 'Lighting Inventory (Ref only)'!AE671)</f>
        <v/>
      </c>
      <c r="AN660" s="375" t="str">
        <f>IF(B660="", "", 'Lighting Inventory (Ref only)'!AF671)</f>
        <v/>
      </c>
      <c r="AO660" s="375" t="str">
        <f>IF(B660="", "", 'Lighting Inventory (Ref only)'!AG671)</f>
        <v/>
      </c>
    </row>
    <row r="661" spans="1:41">
      <c r="A661" s="298" t="str">
        <f>IF(G661="", "", Lookups!BF663)</f>
        <v/>
      </c>
      <c r="B661" s="298" t="str">
        <f>IF('Lighting Inventory (Ref only)'!Q672="", "", 'Lighting Inventory (Ref only)'!Q672)</f>
        <v/>
      </c>
      <c r="C661" s="298" t="str">
        <f>IF(A661="", "", 'Lighting Inventory (Ref only)'!AO672)</f>
        <v/>
      </c>
      <c r="D661" s="298" t="str">
        <f>IF(B661= "","", Inventory!S669)</f>
        <v/>
      </c>
      <c r="F661" s="298" t="str">
        <f>IF(B661="", "", 'Version Log'!$B$34)</f>
        <v/>
      </c>
      <c r="G661" s="298" t="str">
        <f t="shared" si="40"/>
        <v/>
      </c>
      <c r="H661" s="298" t="str">
        <f t="shared" si="41"/>
        <v/>
      </c>
      <c r="I661" s="298" t="str">
        <f>IF(B661="", "",Inventory!D669)</f>
        <v/>
      </c>
      <c r="J661" s="298" t="str">
        <f>IF(B661="","",IF(Inventory!C669="N","Interior","Exterior"))</f>
        <v/>
      </c>
      <c r="K661" s="298" t="str">
        <f t="shared" si="42"/>
        <v/>
      </c>
      <c r="L661" s="298" t="str">
        <f>IF(B661="", "", Inventory!E669)</f>
        <v/>
      </c>
      <c r="M661" s="298" t="str">
        <f>IF(B661="","",IF(Cool_Type=Lookups!$L$9,Cool_Type,IF(Cool_Type=Lookups!$L$10,Cool_Type,IF(Cool_Type=Lookups!$L$11,Cool_Type,IF(Cool_Type=Lookups!L671,Cool_Type,IF('Project Info and Summary'!$C$20="Electric",CONCATENATE(Cool_Type," ",Heating_Type," Heat"),IF('Project Info and Summary'!$C$20="Non-Electric",CONCATENATE(Cool_Type," ",Heating_Type," Heat"),CONCATENATE(Cool_Type," ",Heating_Type))))))))</f>
        <v/>
      </c>
      <c r="N661" s="298" t="str">
        <f t="shared" si="43"/>
        <v/>
      </c>
      <c r="O661" s="298" t="str">
        <f>IF(B661="", "", 'Lighting Inventory (Ref only)'!G672)</f>
        <v/>
      </c>
      <c r="P661" s="298" t="str">
        <f>IF(B661="", "", 'Lighting Inventory (Ref only)'!E672)</f>
        <v/>
      </c>
      <c r="Q661" s="298" t="str">
        <f>IF(B661="", "", 'Lighting Inventory (Ref only)'!J672)</f>
        <v/>
      </c>
      <c r="R661" s="298" t="str">
        <f>IF(B661="", "",'Lighting Inventory (Ref only)'!K672)</f>
        <v/>
      </c>
      <c r="S661" s="372" t="str">
        <f>IF(B661="", "", 'Lighting Inventory (Ref only)'!G672*'Lighting Inventory (Ref only)'!K672/1000)</f>
        <v/>
      </c>
      <c r="T661" s="298" t="str">
        <f>IF(B661="", "", IF('Lighting Inventory (Ref only)'!I672="", "Light Switch",Inventory!H669))</f>
        <v/>
      </c>
      <c r="X661" s="298" t="str">
        <f>IF(B661="", "", 'Lighting Inventory (Ref only)'!Q672)</f>
        <v/>
      </c>
      <c r="AA661" s="298" t="str">
        <f>IF(B661="", "",'Lighting Inventory (Ref only)'!R672/1000)</f>
        <v/>
      </c>
      <c r="AB661" s="298" t="str">
        <f>IF(B661="", "", Inventory!M669)</f>
        <v/>
      </c>
      <c r="AC661" s="298" t="str">
        <f>IF(B661="", "", 'Lighting Inventory (Ref only)'!T672)</f>
        <v/>
      </c>
      <c r="AD661" s="298" t="str">
        <f>IF(C661="", "", 'Lighting Inventory (Ref only)'!AA672)</f>
        <v/>
      </c>
      <c r="AE661" s="298" t="str">
        <f>IF(B661="", "", 'Lighting Inventory (Ref only)'!U672)</f>
        <v/>
      </c>
      <c r="AF661" s="298" t="str">
        <f>IF(B661="", "",'Lighting Inventory (Ref only)'!W672)</f>
        <v/>
      </c>
      <c r="AH661" s="298" t="str">
        <f>IF(B661="", "",'Lighting Inventory (Ref only)'!Z672)</f>
        <v/>
      </c>
      <c r="AI661" s="298" t="str">
        <f>IF(B661="", "", 'Lighting Inventory (Ref only)'!Y672)</f>
        <v/>
      </c>
      <c r="AJ661" s="298" t="str">
        <f>IF(C661="", "",'Lighting Inventory (Ref only)'!AB672)</f>
        <v/>
      </c>
      <c r="AK661" s="375" t="str">
        <f>IF(B661="", "", 'Lighting Inventory (Ref only)'!AG672)</f>
        <v/>
      </c>
      <c r="AL661" s="375" t="str">
        <f>IF(B661="", "", 'Lighting Inventory (Ref only)'!AD672)</f>
        <v/>
      </c>
      <c r="AM661" s="375" t="str">
        <f>IF(B661="", "", 'Lighting Inventory (Ref only)'!AE672)</f>
        <v/>
      </c>
      <c r="AN661" s="375" t="str">
        <f>IF(B661="", "", 'Lighting Inventory (Ref only)'!AF672)</f>
        <v/>
      </c>
      <c r="AO661" s="375" t="str">
        <f>IF(B661="", "", 'Lighting Inventory (Ref only)'!AG672)</f>
        <v/>
      </c>
    </row>
    <row r="662" spans="1:41">
      <c r="A662" s="298" t="str">
        <f>IF(G662="", "", Lookups!BF664)</f>
        <v/>
      </c>
      <c r="B662" s="298" t="str">
        <f>IF('Lighting Inventory (Ref only)'!Q673="", "", 'Lighting Inventory (Ref only)'!Q673)</f>
        <v/>
      </c>
      <c r="C662" s="298" t="str">
        <f>IF(A662="", "", 'Lighting Inventory (Ref only)'!AO673)</f>
        <v/>
      </c>
      <c r="D662" s="298" t="str">
        <f>IF(B662= "","", Inventory!S670)</f>
        <v/>
      </c>
      <c r="F662" s="298" t="str">
        <f>IF(B662="", "", 'Version Log'!$B$34)</f>
        <v/>
      </c>
      <c r="G662" s="298" t="str">
        <f t="shared" si="40"/>
        <v/>
      </c>
      <c r="H662" s="298" t="str">
        <f t="shared" si="41"/>
        <v/>
      </c>
      <c r="I662" s="298" t="str">
        <f>IF(B662="", "",Inventory!D670)</f>
        <v/>
      </c>
      <c r="J662" s="298" t="str">
        <f>IF(B662="","",IF(Inventory!C670="N","Interior","Exterior"))</f>
        <v/>
      </c>
      <c r="K662" s="298" t="str">
        <f t="shared" si="42"/>
        <v/>
      </c>
      <c r="L662" s="298" t="str">
        <f>IF(B662="", "", Inventory!E670)</f>
        <v/>
      </c>
      <c r="M662" s="298" t="str">
        <f>IF(B662="","",IF(Cool_Type=Lookups!$L$9,Cool_Type,IF(Cool_Type=Lookups!$L$10,Cool_Type,IF(Cool_Type=Lookups!$L$11,Cool_Type,IF(Cool_Type=Lookups!L672,Cool_Type,IF('Project Info and Summary'!$C$20="Electric",CONCATENATE(Cool_Type," ",Heating_Type," Heat"),IF('Project Info and Summary'!$C$20="Non-Electric",CONCATENATE(Cool_Type," ",Heating_Type," Heat"),CONCATENATE(Cool_Type," ",Heating_Type))))))))</f>
        <v/>
      </c>
      <c r="N662" s="298" t="str">
        <f t="shared" si="43"/>
        <v/>
      </c>
      <c r="O662" s="298" t="str">
        <f>IF(B662="", "", 'Lighting Inventory (Ref only)'!G673)</f>
        <v/>
      </c>
      <c r="P662" s="298" t="str">
        <f>IF(B662="", "", 'Lighting Inventory (Ref only)'!E673)</f>
        <v/>
      </c>
      <c r="Q662" s="298" t="str">
        <f>IF(B662="", "", 'Lighting Inventory (Ref only)'!J673)</f>
        <v/>
      </c>
      <c r="R662" s="298" t="str">
        <f>IF(B662="", "",'Lighting Inventory (Ref only)'!K673)</f>
        <v/>
      </c>
      <c r="S662" s="372" t="str">
        <f>IF(B662="", "", 'Lighting Inventory (Ref only)'!G673*'Lighting Inventory (Ref only)'!K673/1000)</f>
        <v/>
      </c>
      <c r="T662" s="298" t="str">
        <f>IF(B662="", "", IF('Lighting Inventory (Ref only)'!I673="", "Light Switch",Inventory!H670))</f>
        <v/>
      </c>
      <c r="X662" s="298" t="str">
        <f>IF(B662="", "", 'Lighting Inventory (Ref only)'!Q673)</f>
        <v/>
      </c>
      <c r="AA662" s="298" t="str">
        <f>IF(B662="", "",'Lighting Inventory (Ref only)'!R673/1000)</f>
        <v/>
      </c>
      <c r="AB662" s="298" t="str">
        <f>IF(B662="", "", Inventory!M670)</f>
        <v/>
      </c>
      <c r="AC662" s="298" t="str">
        <f>IF(B662="", "", 'Lighting Inventory (Ref only)'!T673)</f>
        <v/>
      </c>
      <c r="AD662" s="298" t="str">
        <f>IF(C662="", "", 'Lighting Inventory (Ref only)'!AA673)</f>
        <v/>
      </c>
      <c r="AE662" s="298" t="str">
        <f>IF(B662="", "", 'Lighting Inventory (Ref only)'!U673)</f>
        <v/>
      </c>
      <c r="AF662" s="298" t="str">
        <f>IF(B662="", "",'Lighting Inventory (Ref only)'!W673)</f>
        <v/>
      </c>
      <c r="AH662" s="298" t="str">
        <f>IF(B662="", "",'Lighting Inventory (Ref only)'!Z673)</f>
        <v/>
      </c>
      <c r="AI662" s="298" t="str">
        <f>IF(B662="", "", 'Lighting Inventory (Ref only)'!Y673)</f>
        <v/>
      </c>
      <c r="AJ662" s="298" t="str">
        <f>IF(C662="", "",'Lighting Inventory (Ref only)'!AB673)</f>
        <v/>
      </c>
      <c r="AK662" s="375" t="str">
        <f>IF(B662="", "", 'Lighting Inventory (Ref only)'!AG673)</f>
        <v/>
      </c>
      <c r="AL662" s="375" t="str">
        <f>IF(B662="", "", 'Lighting Inventory (Ref only)'!AD673)</f>
        <v/>
      </c>
      <c r="AM662" s="375" t="str">
        <f>IF(B662="", "", 'Lighting Inventory (Ref only)'!AE673)</f>
        <v/>
      </c>
      <c r="AN662" s="375" t="str">
        <f>IF(B662="", "", 'Lighting Inventory (Ref only)'!AF673)</f>
        <v/>
      </c>
      <c r="AO662" s="375" t="str">
        <f>IF(B662="", "", 'Lighting Inventory (Ref only)'!AG673)</f>
        <v/>
      </c>
    </row>
    <row r="663" spans="1:41">
      <c r="A663" s="298" t="str">
        <f>IF(G663="", "", Lookups!BF665)</f>
        <v/>
      </c>
      <c r="B663" s="298" t="str">
        <f>IF('Lighting Inventory (Ref only)'!Q674="", "", 'Lighting Inventory (Ref only)'!Q674)</f>
        <v/>
      </c>
      <c r="C663" s="298" t="str">
        <f>IF(A663="", "", 'Lighting Inventory (Ref only)'!AO674)</f>
        <v/>
      </c>
      <c r="D663" s="298" t="str">
        <f>IF(B663= "","", Inventory!S671)</f>
        <v/>
      </c>
      <c r="F663" s="298" t="str">
        <f>IF(B663="", "", 'Version Log'!$B$34)</f>
        <v/>
      </c>
      <c r="G663" s="298" t="str">
        <f t="shared" si="40"/>
        <v/>
      </c>
      <c r="H663" s="298" t="str">
        <f t="shared" si="41"/>
        <v/>
      </c>
      <c r="I663" s="298" t="str">
        <f>IF(B663="", "",Inventory!D671)</f>
        <v/>
      </c>
      <c r="J663" s="298" t="str">
        <f>IF(B663="","",IF(Inventory!C671="N","Interior","Exterior"))</f>
        <v/>
      </c>
      <c r="K663" s="298" t="str">
        <f t="shared" si="42"/>
        <v/>
      </c>
      <c r="L663" s="298" t="str">
        <f>IF(B663="", "", Inventory!E671)</f>
        <v/>
      </c>
      <c r="M663" s="298" t="str">
        <f>IF(B663="","",IF(Cool_Type=Lookups!$L$9,Cool_Type,IF(Cool_Type=Lookups!$L$10,Cool_Type,IF(Cool_Type=Lookups!$L$11,Cool_Type,IF(Cool_Type=Lookups!L673,Cool_Type,IF('Project Info and Summary'!$C$20="Electric",CONCATENATE(Cool_Type," ",Heating_Type," Heat"),IF('Project Info and Summary'!$C$20="Non-Electric",CONCATENATE(Cool_Type," ",Heating_Type," Heat"),CONCATENATE(Cool_Type," ",Heating_Type))))))))</f>
        <v/>
      </c>
      <c r="N663" s="298" t="str">
        <f t="shared" si="43"/>
        <v/>
      </c>
      <c r="O663" s="298" t="str">
        <f>IF(B663="", "", 'Lighting Inventory (Ref only)'!G674)</f>
        <v/>
      </c>
      <c r="P663" s="298" t="str">
        <f>IF(B663="", "", 'Lighting Inventory (Ref only)'!E674)</f>
        <v/>
      </c>
      <c r="Q663" s="298" t="str">
        <f>IF(B663="", "", 'Lighting Inventory (Ref only)'!J674)</f>
        <v/>
      </c>
      <c r="R663" s="298" t="str">
        <f>IF(B663="", "",'Lighting Inventory (Ref only)'!K674)</f>
        <v/>
      </c>
      <c r="S663" s="372" t="str">
        <f>IF(B663="", "", 'Lighting Inventory (Ref only)'!G674*'Lighting Inventory (Ref only)'!K674/1000)</f>
        <v/>
      </c>
      <c r="T663" s="298" t="str">
        <f>IF(B663="", "", IF('Lighting Inventory (Ref only)'!I674="", "Light Switch",Inventory!H671))</f>
        <v/>
      </c>
      <c r="X663" s="298" t="str">
        <f>IF(B663="", "", 'Lighting Inventory (Ref only)'!Q674)</f>
        <v/>
      </c>
      <c r="AA663" s="298" t="str">
        <f>IF(B663="", "",'Lighting Inventory (Ref only)'!R674/1000)</f>
        <v/>
      </c>
      <c r="AB663" s="298" t="str">
        <f>IF(B663="", "", Inventory!M671)</f>
        <v/>
      </c>
      <c r="AC663" s="298" t="str">
        <f>IF(B663="", "", 'Lighting Inventory (Ref only)'!T674)</f>
        <v/>
      </c>
      <c r="AD663" s="298" t="str">
        <f>IF(C663="", "", 'Lighting Inventory (Ref only)'!AA674)</f>
        <v/>
      </c>
      <c r="AE663" s="298" t="str">
        <f>IF(B663="", "", 'Lighting Inventory (Ref only)'!U674)</f>
        <v/>
      </c>
      <c r="AF663" s="298" t="str">
        <f>IF(B663="", "",'Lighting Inventory (Ref only)'!W674)</f>
        <v/>
      </c>
      <c r="AH663" s="298" t="str">
        <f>IF(B663="", "",'Lighting Inventory (Ref only)'!Z674)</f>
        <v/>
      </c>
      <c r="AI663" s="298" t="str">
        <f>IF(B663="", "", 'Lighting Inventory (Ref only)'!Y674)</f>
        <v/>
      </c>
      <c r="AJ663" s="298" t="str">
        <f>IF(C663="", "",'Lighting Inventory (Ref only)'!AB674)</f>
        <v/>
      </c>
      <c r="AK663" s="375" t="str">
        <f>IF(B663="", "", 'Lighting Inventory (Ref only)'!AG674)</f>
        <v/>
      </c>
      <c r="AL663" s="375" t="str">
        <f>IF(B663="", "", 'Lighting Inventory (Ref only)'!AD674)</f>
        <v/>
      </c>
      <c r="AM663" s="375" t="str">
        <f>IF(B663="", "", 'Lighting Inventory (Ref only)'!AE674)</f>
        <v/>
      </c>
      <c r="AN663" s="375" t="str">
        <f>IF(B663="", "", 'Lighting Inventory (Ref only)'!AF674)</f>
        <v/>
      </c>
      <c r="AO663" s="375" t="str">
        <f>IF(B663="", "", 'Lighting Inventory (Ref only)'!AG674)</f>
        <v/>
      </c>
    </row>
    <row r="664" spans="1:41">
      <c r="A664" s="298" t="str">
        <f>IF(G664="", "", Lookups!BF666)</f>
        <v/>
      </c>
      <c r="B664" s="298" t="str">
        <f>IF('Lighting Inventory (Ref only)'!Q675="", "", 'Lighting Inventory (Ref only)'!Q675)</f>
        <v/>
      </c>
      <c r="C664" s="298" t="str">
        <f>IF(A664="", "", 'Lighting Inventory (Ref only)'!AO675)</f>
        <v/>
      </c>
      <c r="D664" s="298" t="str">
        <f>IF(B664= "","", Inventory!S672)</f>
        <v/>
      </c>
      <c r="F664" s="298" t="str">
        <f>IF(B664="", "", 'Version Log'!$B$34)</f>
        <v/>
      </c>
      <c r="G664" s="298" t="str">
        <f t="shared" si="40"/>
        <v/>
      </c>
      <c r="H664" s="298" t="str">
        <f t="shared" si="41"/>
        <v/>
      </c>
      <c r="I664" s="298" t="str">
        <f>IF(B664="", "",Inventory!D672)</f>
        <v/>
      </c>
      <c r="J664" s="298" t="str">
        <f>IF(B664="","",IF(Inventory!C672="N","Interior","Exterior"))</f>
        <v/>
      </c>
      <c r="K664" s="298" t="str">
        <f t="shared" si="42"/>
        <v/>
      </c>
      <c r="L664" s="298" t="str">
        <f>IF(B664="", "", Inventory!E672)</f>
        <v/>
      </c>
      <c r="M664" s="298" t="str">
        <f>IF(B664="","",IF(Cool_Type=Lookups!$L$9,Cool_Type,IF(Cool_Type=Lookups!$L$10,Cool_Type,IF(Cool_Type=Lookups!$L$11,Cool_Type,IF(Cool_Type=Lookups!L674,Cool_Type,IF('Project Info and Summary'!$C$20="Electric",CONCATENATE(Cool_Type," ",Heating_Type," Heat"),IF('Project Info and Summary'!$C$20="Non-Electric",CONCATENATE(Cool_Type," ",Heating_Type," Heat"),CONCATENATE(Cool_Type," ",Heating_Type))))))))</f>
        <v/>
      </c>
      <c r="N664" s="298" t="str">
        <f t="shared" si="43"/>
        <v/>
      </c>
      <c r="O664" s="298" t="str">
        <f>IF(B664="", "", 'Lighting Inventory (Ref only)'!G675)</f>
        <v/>
      </c>
      <c r="P664" s="298" t="str">
        <f>IF(B664="", "", 'Lighting Inventory (Ref only)'!E675)</f>
        <v/>
      </c>
      <c r="Q664" s="298" t="str">
        <f>IF(B664="", "", 'Lighting Inventory (Ref only)'!J675)</f>
        <v/>
      </c>
      <c r="R664" s="298" t="str">
        <f>IF(B664="", "",'Lighting Inventory (Ref only)'!K675)</f>
        <v/>
      </c>
      <c r="S664" s="372" t="str">
        <f>IF(B664="", "", 'Lighting Inventory (Ref only)'!G675*'Lighting Inventory (Ref only)'!K675/1000)</f>
        <v/>
      </c>
      <c r="T664" s="298" t="str">
        <f>IF(B664="", "", IF('Lighting Inventory (Ref only)'!I675="", "Light Switch",Inventory!H672))</f>
        <v/>
      </c>
      <c r="X664" s="298" t="str">
        <f>IF(B664="", "", 'Lighting Inventory (Ref only)'!Q675)</f>
        <v/>
      </c>
      <c r="AA664" s="298" t="str">
        <f>IF(B664="", "",'Lighting Inventory (Ref only)'!R675/1000)</f>
        <v/>
      </c>
      <c r="AB664" s="298" t="str">
        <f>IF(B664="", "", Inventory!M672)</f>
        <v/>
      </c>
      <c r="AC664" s="298" t="str">
        <f>IF(B664="", "", 'Lighting Inventory (Ref only)'!T675)</f>
        <v/>
      </c>
      <c r="AD664" s="298" t="str">
        <f>IF(C664="", "", 'Lighting Inventory (Ref only)'!AA675)</f>
        <v/>
      </c>
      <c r="AE664" s="298" t="str">
        <f>IF(B664="", "", 'Lighting Inventory (Ref only)'!U675)</f>
        <v/>
      </c>
      <c r="AF664" s="298" t="str">
        <f>IF(B664="", "",'Lighting Inventory (Ref only)'!W675)</f>
        <v/>
      </c>
      <c r="AH664" s="298" t="str">
        <f>IF(B664="", "",'Lighting Inventory (Ref only)'!Z675)</f>
        <v/>
      </c>
      <c r="AI664" s="298" t="str">
        <f>IF(B664="", "", 'Lighting Inventory (Ref only)'!Y675)</f>
        <v/>
      </c>
      <c r="AJ664" s="298" t="str">
        <f>IF(C664="", "",'Lighting Inventory (Ref only)'!AB675)</f>
        <v/>
      </c>
      <c r="AK664" s="375" t="str">
        <f>IF(B664="", "", 'Lighting Inventory (Ref only)'!AG675)</f>
        <v/>
      </c>
      <c r="AL664" s="375" t="str">
        <f>IF(B664="", "", 'Lighting Inventory (Ref only)'!AD675)</f>
        <v/>
      </c>
      <c r="AM664" s="375" t="str">
        <f>IF(B664="", "", 'Lighting Inventory (Ref only)'!AE675)</f>
        <v/>
      </c>
      <c r="AN664" s="375" t="str">
        <f>IF(B664="", "", 'Lighting Inventory (Ref only)'!AF675)</f>
        <v/>
      </c>
      <c r="AO664" s="375" t="str">
        <f>IF(B664="", "", 'Lighting Inventory (Ref only)'!AG675)</f>
        <v/>
      </c>
    </row>
    <row r="665" spans="1:41">
      <c r="A665" s="298" t="str">
        <f>IF(G665="", "", Lookups!BF667)</f>
        <v/>
      </c>
      <c r="B665" s="298" t="str">
        <f>IF('Lighting Inventory (Ref only)'!Q676="", "", 'Lighting Inventory (Ref only)'!Q676)</f>
        <v/>
      </c>
      <c r="C665" s="298" t="str">
        <f>IF(A665="", "", 'Lighting Inventory (Ref only)'!AO676)</f>
        <v/>
      </c>
      <c r="D665" s="298" t="str">
        <f>IF(B665= "","", Inventory!S673)</f>
        <v/>
      </c>
      <c r="F665" s="298" t="str">
        <f>IF(B665="", "", 'Version Log'!$B$34)</f>
        <v/>
      </c>
      <c r="G665" s="298" t="str">
        <f t="shared" si="40"/>
        <v/>
      </c>
      <c r="H665" s="298" t="str">
        <f t="shared" si="41"/>
        <v/>
      </c>
      <c r="I665" s="298" t="str">
        <f>IF(B665="", "",Inventory!D673)</f>
        <v/>
      </c>
      <c r="J665" s="298" t="str">
        <f>IF(B665="","",IF(Inventory!C673="N","Interior","Exterior"))</f>
        <v/>
      </c>
      <c r="K665" s="298" t="str">
        <f t="shared" si="42"/>
        <v/>
      </c>
      <c r="L665" s="298" t="str">
        <f>IF(B665="", "", Inventory!E673)</f>
        <v/>
      </c>
      <c r="M665" s="298" t="str">
        <f>IF(B665="","",IF(Cool_Type=Lookups!$L$9,Cool_Type,IF(Cool_Type=Lookups!$L$10,Cool_Type,IF(Cool_Type=Lookups!$L$11,Cool_Type,IF(Cool_Type=Lookups!L675,Cool_Type,IF('Project Info and Summary'!$C$20="Electric",CONCATENATE(Cool_Type," ",Heating_Type," Heat"),IF('Project Info and Summary'!$C$20="Non-Electric",CONCATENATE(Cool_Type," ",Heating_Type," Heat"),CONCATENATE(Cool_Type," ",Heating_Type))))))))</f>
        <v/>
      </c>
      <c r="N665" s="298" t="str">
        <f t="shared" si="43"/>
        <v/>
      </c>
      <c r="O665" s="298" t="str">
        <f>IF(B665="", "", 'Lighting Inventory (Ref only)'!G676)</f>
        <v/>
      </c>
      <c r="P665" s="298" t="str">
        <f>IF(B665="", "", 'Lighting Inventory (Ref only)'!E676)</f>
        <v/>
      </c>
      <c r="Q665" s="298" t="str">
        <f>IF(B665="", "", 'Lighting Inventory (Ref only)'!J676)</f>
        <v/>
      </c>
      <c r="R665" s="298" t="str">
        <f>IF(B665="", "",'Lighting Inventory (Ref only)'!K676)</f>
        <v/>
      </c>
      <c r="S665" s="372" t="str">
        <f>IF(B665="", "", 'Lighting Inventory (Ref only)'!G676*'Lighting Inventory (Ref only)'!K676/1000)</f>
        <v/>
      </c>
      <c r="T665" s="298" t="str">
        <f>IF(B665="", "", IF('Lighting Inventory (Ref only)'!I676="", "Light Switch",Inventory!H673))</f>
        <v/>
      </c>
      <c r="X665" s="298" t="str">
        <f>IF(B665="", "", 'Lighting Inventory (Ref only)'!Q676)</f>
        <v/>
      </c>
      <c r="AA665" s="298" t="str">
        <f>IF(B665="", "",'Lighting Inventory (Ref only)'!R676/1000)</f>
        <v/>
      </c>
      <c r="AB665" s="298" t="str">
        <f>IF(B665="", "", Inventory!M673)</f>
        <v/>
      </c>
      <c r="AC665" s="298" t="str">
        <f>IF(B665="", "", 'Lighting Inventory (Ref only)'!T676)</f>
        <v/>
      </c>
      <c r="AD665" s="298" t="str">
        <f>IF(C665="", "", 'Lighting Inventory (Ref only)'!AA676)</f>
        <v/>
      </c>
      <c r="AE665" s="298" t="str">
        <f>IF(B665="", "", 'Lighting Inventory (Ref only)'!U676)</f>
        <v/>
      </c>
      <c r="AF665" s="298" t="str">
        <f>IF(B665="", "",'Lighting Inventory (Ref only)'!W676)</f>
        <v/>
      </c>
      <c r="AH665" s="298" t="str">
        <f>IF(B665="", "",'Lighting Inventory (Ref only)'!Z676)</f>
        <v/>
      </c>
      <c r="AI665" s="298" t="str">
        <f>IF(B665="", "", 'Lighting Inventory (Ref only)'!Y676)</f>
        <v/>
      </c>
      <c r="AJ665" s="298" t="str">
        <f>IF(C665="", "",'Lighting Inventory (Ref only)'!AB676)</f>
        <v/>
      </c>
      <c r="AK665" s="375" t="str">
        <f>IF(B665="", "", 'Lighting Inventory (Ref only)'!AG676)</f>
        <v/>
      </c>
      <c r="AL665" s="375" t="str">
        <f>IF(B665="", "", 'Lighting Inventory (Ref only)'!AD676)</f>
        <v/>
      </c>
      <c r="AM665" s="375" t="str">
        <f>IF(B665="", "", 'Lighting Inventory (Ref only)'!AE676)</f>
        <v/>
      </c>
      <c r="AN665" s="375" t="str">
        <f>IF(B665="", "", 'Lighting Inventory (Ref only)'!AF676)</f>
        <v/>
      </c>
      <c r="AO665" s="375" t="str">
        <f>IF(B665="", "", 'Lighting Inventory (Ref only)'!AG676)</f>
        <v/>
      </c>
    </row>
    <row r="666" spans="1:41">
      <c r="A666" s="298" t="str">
        <f>IF(G666="", "", Lookups!BF668)</f>
        <v/>
      </c>
      <c r="B666" s="298" t="str">
        <f>IF('Lighting Inventory (Ref only)'!Q677="", "", 'Lighting Inventory (Ref only)'!Q677)</f>
        <v/>
      </c>
      <c r="C666" s="298" t="str">
        <f>IF(A666="", "", 'Lighting Inventory (Ref only)'!AO677)</f>
        <v/>
      </c>
      <c r="D666" s="298" t="str">
        <f>IF(B666= "","", Inventory!S674)</f>
        <v/>
      </c>
      <c r="F666" s="298" t="str">
        <f>IF(B666="", "", 'Version Log'!$B$34)</f>
        <v/>
      </c>
      <c r="G666" s="298" t="str">
        <f t="shared" si="40"/>
        <v/>
      </c>
      <c r="H666" s="298" t="str">
        <f t="shared" si="41"/>
        <v/>
      </c>
      <c r="I666" s="298" t="str">
        <f>IF(B666="", "",Inventory!D674)</f>
        <v/>
      </c>
      <c r="J666" s="298" t="str">
        <f>IF(B666="","",IF(Inventory!C674="N","Interior","Exterior"))</f>
        <v/>
      </c>
      <c r="K666" s="298" t="str">
        <f t="shared" si="42"/>
        <v/>
      </c>
      <c r="L666" s="298" t="str">
        <f>IF(B666="", "", Inventory!E674)</f>
        <v/>
      </c>
      <c r="M666" s="298" t="str">
        <f>IF(B666="","",IF(Cool_Type=Lookups!$L$9,Cool_Type,IF(Cool_Type=Lookups!$L$10,Cool_Type,IF(Cool_Type=Lookups!$L$11,Cool_Type,IF(Cool_Type=Lookups!L676,Cool_Type,IF('Project Info and Summary'!$C$20="Electric",CONCATENATE(Cool_Type," ",Heating_Type," Heat"),IF('Project Info and Summary'!$C$20="Non-Electric",CONCATENATE(Cool_Type," ",Heating_Type," Heat"),CONCATENATE(Cool_Type," ",Heating_Type))))))))</f>
        <v/>
      </c>
      <c r="N666" s="298" t="str">
        <f t="shared" si="43"/>
        <v/>
      </c>
      <c r="O666" s="298" t="str">
        <f>IF(B666="", "", 'Lighting Inventory (Ref only)'!G677)</f>
        <v/>
      </c>
      <c r="P666" s="298" t="str">
        <f>IF(B666="", "", 'Lighting Inventory (Ref only)'!E677)</f>
        <v/>
      </c>
      <c r="Q666" s="298" t="str">
        <f>IF(B666="", "", 'Lighting Inventory (Ref only)'!J677)</f>
        <v/>
      </c>
      <c r="R666" s="298" t="str">
        <f>IF(B666="", "",'Lighting Inventory (Ref only)'!K677)</f>
        <v/>
      </c>
      <c r="S666" s="372" t="str">
        <f>IF(B666="", "", 'Lighting Inventory (Ref only)'!G677*'Lighting Inventory (Ref only)'!K677/1000)</f>
        <v/>
      </c>
      <c r="T666" s="298" t="str">
        <f>IF(B666="", "", IF('Lighting Inventory (Ref only)'!I677="", "Light Switch",Inventory!H674))</f>
        <v/>
      </c>
      <c r="X666" s="298" t="str">
        <f>IF(B666="", "", 'Lighting Inventory (Ref only)'!Q677)</f>
        <v/>
      </c>
      <c r="AA666" s="298" t="str">
        <f>IF(B666="", "",'Lighting Inventory (Ref only)'!R677/1000)</f>
        <v/>
      </c>
      <c r="AB666" s="298" t="str">
        <f>IF(B666="", "", Inventory!M674)</f>
        <v/>
      </c>
      <c r="AC666" s="298" t="str">
        <f>IF(B666="", "", 'Lighting Inventory (Ref only)'!T677)</f>
        <v/>
      </c>
      <c r="AD666" s="298" t="str">
        <f>IF(C666="", "", 'Lighting Inventory (Ref only)'!AA677)</f>
        <v/>
      </c>
      <c r="AE666" s="298" t="str">
        <f>IF(B666="", "", 'Lighting Inventory (Ref only)'!U677)</f>
        <v/>
      </c>
      <c r="AF666" s="298" t="str">
        <f>IF(B666="", "",'Lighting Inventory (Ref only)'!W677)</f>
        <v/>
      </c>
      <c r="AH666" s="298" t="str">
        <f>IF(B666="", "",'Lighting Inventory (Ref only)'!Z677)</f>
        <v/>
      </c>
      <c r="AI666" s="298" t="str">
        <f>IF(B666="", "", 'Lighting Inventory (Ref only)'!Y677)</f>
        <v/>
      </c>
      <c r="AJ666" s="298" t="str">
        <f>IF(C666="", "",'Lighting Inventory (Ref only)'!AB677)</f>
        <v/>
      </c>
      <c r="AK666" s="375" t="str">
        <f>IF(B666="", "", 'Lighting Inventory (Ref only)'!AG677)</f>
        <v/>
      </c>
      <c r="AL666" s="375" t="str">
        <f>IF(B666="", "", 'Lighting Inventory (Ref only)'!AD677)</f>
        <v/>
      </c>
      <c r="AM666" s="375" t="str">
        <f>IF(B666="", "", 'Lighting Inventory (Ref only)'!AE677)</f>
        <v/>
      </c>
      <c r="AN666" s="375" t="str">
        <f>IF(B666="", "", 'Lighting Inventory (Ref only)'!AF677)</f>
        <v/>
      </c>
      <c r="AO666" s="375" t="str">
        <f>IF(B666="", "", 'Lighting Inventory (Ref only)'!AG677)</f>
        <v/>
      </c>
    </row>
    <row r="667" spans="1:41">
      <c r="A667" s="298" t="str">
        <f>IF(G667="", "", Lookups!BF669)</f>
        <v/>
      </c>
      <c r="B667" s="298" t="str">
        <f>IF('Lighting Inventory (Ref only)'!Q678="", "", 'Lighting Inventory (Ref only)'!Q678)</f>
        <v/>
      </c>
      <c r="C667" s="298" t="str">
        <f>IF(A667="", "", 'Lighting Inventory (Ref only)'!AO678)</f>
        <v/>
      </c>
      <c r="D667" s="298" t="str">
        <f>IF(B667= "","", Inventory!S675)</f>
        <v/>
      </c>
      <c r="F667" s="298" t="str">
        <f>IF(B667="", "", 'Version Log'!$B$34)</f>
        <v/>
      </c>
      <c r="G667" s="298" t="str">
        <f t="shared" si="40"/>
        <v/>
      </c>
      <c r="H667" s="298" t="str">
        <f t="shared" si="41"/>
        <v/>
      </c>
      <c r="I667" s="298" t="str">
        <f>IF(B667="", "",Inventory!D675)</f>
        <v/>
      </c>
      <c r="J667" s="298" t="str">
        <f>IF(B667="","",IF(Inventory!C675="N","Interior","Exterior"))</f>
        <v/>
      </c>
      <c r="K667" s="298" t="str">
        <f t="shared" si="42"/>
        <v/>
      </c>
      <c r="L667" s="298" t="str">
        <f>IF(B667="", "", Inventory!E675)</f>
        <v/>
      </c>
      <c r="M667" s="298" t="str">
        <f>IF(B667="","",IF(Cool_Type=Lookups!$L$9,Cool_Type,IF(Cool_Type=Lookups!$L$10,Cool_Type,IF(Cool_Type=Lookups!$L$11,Cool_Type,IF(Cool_Type=Lookups!L677,Cool_Type,IF('Project Info and Summary'!$C$20="Electric",CONCATENATE(Cool_Type," ",Heating_Type," Heat"),IF('Project Info and Summary'!$C$20="Non-Electric",CONCATENATE(Cool_Type," ",Heating_Type," Heat"),CONCATENATE(Cool_Type," ",Heating_Type))))))))</f>
        <v/>
      </c>
      <c r="N667" s="298" t="str">
        <f t="shared" si="43"/>
        <v/>
      </c>
      <c r="O667" s="298" t="str">
        <f>IF(B667="", "", 'Lighting Inventory (Ref only)'!G678)</f>
        <v/>
      </c>
      <c r="P667" s="298" t="str">
        <f>IF(B667="", "", 'Lighting Inventory (Ref only)'!E678)</f>
        <v/>
      </c>
      <c r="Q667" s="298" t="str">
        <f>IF(B667="", "", 'Lighting Inventory (Ref only)'!J678)</f>
        <v/>
      </c>
      <c r="R667" s="298" t="str">
        <f>IF(B667="", "",'Lighting Inventory (Ref only)'!K678)</f>
        <v/>
      </c>
      <c r="S667" s="372" t="str">
        <f>IF(B667="", "", 'Lighting Inventory (Ref only)'!G678*'Lighting Inventory (Ref only)'!K678/1000)</f>
        <v/>
      </c>
      <c r="T667" s="298" t="str">
        <f>IF(B667="", "", IF('Lighting Inventory (Ref only)'!I678="", "Light Switch",Inventory!H675))</f>
        <v/>
      </c>
      <c r="X667" s="298" t="str">
        <f>IF(B667="", "", 'Lighting Inventory (Ref only)'!Q678)</f>
        <v/>
      </c>
      <c r="AA667" s="298" t="str">
        <f>IF(B667="", "",'Lighting Inventory (Ref only)'!R678/1000)</f>
        <v/>
      </c>
      <c r="AB667" s="298" t="str">
        <f>IF(B667="", "", Inventory!M675)</f>
        <v/>
      </c>
      <c r="AC667" s="298" t="str">
        <f>IF(B667="", "", 'Lighting Inventory (Ref only)'!T678)</f>
        <v/>
      </c>
      <c r="AD667" s="298" t="str">
        <f>IF(C667="", "", 'Lighting Inventory (Ref only)'!AA678)</f>
        <v/>
      </c>
      <c r="AE667" s="298" t="str">
        <f>IF(B667="", "", 'Lighting Inventory (Ref only)'!U678)</f>
        <v/>
      </c>
      <c r="AF667" s="298" t="str">
        <f>IF(B667="", "",'Lighting Inventory (Ref only)'!W678)</f>
        <v/>
      </c>
      <c r="AH667" s="298" t="str">
        <f>IF(B667="", "",'Lighting Inventory (Ref only)'!Z678)</f>
        <v/>
      </c>
      <c r="AI667" s="298" t="str">
        <f>IF(B667="", "", 'Lighting Inventory (Ref only)'!Y678)</f>
        <v/>
      </c>
      <c r="AJ667" s="298" t="str">
        <f>IF(C667="", "",'Lighting Inventory (Ref only)'!AB678)</f>
        <v/>
      </c>
      <c r="AK667" s="375" t="str">
        <f>IF(B667="", "", 'Lighting Inventory (Ref only)'!AG678)</f>
        <v/>
      </c>
      <c r="AL667" s="375" t="str">
        <f>IF(B667="", "", 'Lighting Inventory (Ref only)'!AD678)</f>
        <v/>
      </c>
      <c r="AM667" s="375" t="str">
        <f>IF(B667="", "", 'Lighting Inventory (Ref only)'!AE678)</f>
        <v/>
      </c>
      <c r="AN667" s="375" t="str">
        <f>IF(B667="", "", 'Lighting Inventory (Ref only)'!AF678)</f>
        <v/>
      </c>
      <c r="AO667" s="375" t="str">
        <f>IF(B667="", "", 'Lighting Inventory (Ref only)'!AG678)</f>
        <v/>
      </c>
    </row>
    <row r="668" spans="1:41">
      <c r="A668" s="298" t="str">
        <f>IF(G668="", "", Lookups!BF670)</f>
        <v/>
      </c>
      <c r="B668" s="298" t="str">
        <f>IF('Lighting Inventory (Ref only)'!Q679="", "", 'Lighting Inventory (Ref only)'!Q679)</f>
        <v/>
      </c>
      <c r="C668" s="298" t="str">
        <f>IF(A668="", "", 'Lighting Inventory (Ref only)'!AO679)</f>
        <v/>
      </c>
      <c r="D668" s="298" t="str">
        <f>IF(B668= "","", Inventory!S676)</f>
        <v/>
      </c>
      <c r="F668" s="298" t="str">
        <f>IF(B668="", "", 'Version Log'!$B$34)</f>
        <v/>
      </c>
      <c r="G668" s="298" t="str">
        <f t="shared" si="40"/>
        <v/>
      </c>
      <c r="H668" s="298" t="str">
        <f t="shared" si="41"/>
        <v/>
      </c>
      <c r="I668" s="298" t="str">
        <f>IF(B668="", "",Inventory!D676)</f>
        <v/>
      </c>
      <c r="J668" s="298" t="str">
        <f>IF(B668="","",IF(Inventory!C676="N","Interior","Exterior"))</f>
        <v/>
      </c>
      <c r="K668" s="298" t="str">
        <f t="shared" si="42"/>
        <v/>
      </c>
      <c r="L668" s="298" t="str">
        <f>IF(B668="", "", Inventory!E676)</f>
        <v/>
      </c>
      <c r="M668" s="298" t="str">
        <f>IF(B668="","",IF(Cool_Type=Lookups!$L$9,Cool_Type,IF(Cool_Type=Lookups!$L$10,Cool_Type,IF(Cool_Type=Lookups!$L$11,Cool_Type,IF(Cool_Type=Lookups!L678,Cool_Type,IF('Project Info and Summary'!$C$20="Electric",CONCATENATE(Cool_Type," ",Heating_Type," Heat"),IF('Project Info and Summary'!$C$20="Non-Electric",CONCATENATE(Cool_Type," ",Heating_Type," Heat"),CONCATENATE(Cool_Type," ",Heating_Type))))))))</f>
        <v/>
      </c>
      <c r="N668" s="298" t="str">
        <f t="shared" si="43"/>
        <v/>
      </c>
      <c r="O668" s="298" t="str">
        <f>IF(B668="", "", 'Lighting Inventory (Ref only)'!G679)</f>
        <v/>
      </c>
      <c r="P668" s="298" t="str">
        <f>IF(B668="", "", 'Lighting Inventory (Ref only)'!E679)</f>
        <v/>
      </c>
      <c r="Q668" s="298" t="str">
        <f>IF(B668="", "", 'Lighting Inventory (Ref only)'!J679)</f>
        <v/>
      </c>
      <c r="R668" s="298" t="str">
        <f>IF(B668="", "",'Lighting Inventory (Ref only)'!K679)</f>
        <v/>
      </c>
      <c r="S668" s="372" t="str">
        <f>IF(B668="", "", 'Lighting Inventory (Ref only)'!G679*'Lighting Inventory (Ref only)'!K679/1000)</f>
        <v/>
      </c>
      <c r="T668" s="298" t="str">
        <f>IF(B668="", "", IF('Lighting Inventory (Ref only)'!I679="", "Light Switch",Inventory!H676))</f>
        <v/>
      </c>
      <c r="X668" s="298" t="str">
        <f>IF(B668="", "", 'Lighting Inventory (Ref only)'!Q679)</f>
        <v/>
      </c>
      <c r="AA668" s="298" t="str">
        <f>IF(B668="", "",'Lighting Inventory (Ref only)'!R679/1000)</f>
        <v/>
      </c>
      <c r="AB668" s="298" t="str">
        <f>IF(B668="", "", Inventory!M676)</f>
        <v/>
      </c>
      <c r="AC668" s="298" t="str">
        <f>IF(B668="", "", 'Lighting Inventory (Ref only)'!T679)</f>
        <v/>
      </c>
      <c r="AD668" s="298" t="str">
        <f>IF(C668="", "", 'Lighting Inventory (Ref only)'!AA679)</f>
        <v/>
      </c>
      <c r="AE668" s="298" t="str">
        <f>IF(B668="", "", 'Lighting Inventory (Ref only)'!U679)</f>
        <v/>
      </c>
      <c r="AF668" s="298" t="str">
        <f>IF(B668="", "",'Lighting Inventory (Ref only)'!W679)</f>
        <v/>
      </c>
      <c r="AH668" s="298" t="str">
        <f>IF(B668="", "",'Lighting Inventory (Ref only)'!Z679)</f>
        <v/>
      </c>
      <c r="AI668" s="298" t="str">
        <f>IF(B668="", "", 'Lighting Inventory (Ref only)'!Y679)</f>
        <v/>
      </c>
      <c r="AJ668" s="298" t="str">
        <f>IF(C668="", "",'Lighting Inventory (Ref only)'!AB679)</f>
        <v/>
      </c>
      <c r="AK668" s="375" t="str">
        <f>IF(B668="", "", 'Lighting Inventory (Ref only)'!AG679)</f>
        <v/>
      </c>
      <c r="AL668" s="375" t="str">
        <f>IF(B668="", "", 'Lighting Inventory (Ref only)'!AD679)</f>
        <v/>
      </c>
      <c r="AM668" s="375" t="str">
        <f>IF(B668="", "", 'Lighting Inventory (Ref only)'!AE679)</f>
        <v/>
      </c>
      <c r="AN668" s="375" t="str">
        <f>IF(B668="", "", 'Lighting Inventory (Ref only)'!AF679)</f>
        <v/>
      </c>
      <c r="AO668" s="375" t="str">
        <f>IF(B668="", "", 'Lighting Inventory (Ref only)'!AG679)</f>
        <v/>
      </c>
    </row>
    <row r="669" spans="1:41">
      <c r="A669" s="298" t="str">
        <f>IF(G669="", "", Lookups!BF671)</f>
        <v/>
      </c>
      <c r="B669" s="298" t="str">
        <f>IF('Lighting Inventory (Ref only)'!Q680="", "", 'Lighting Inventory (Ref only)'!Q680)</f>
        <v/>
      </c>
      <c r="C669" s="298" t="str">
        <f>IF(A669="", "", 'Lighting Inventory (Ref only)'!AO680)</f>
        <v/>
      </c>
      <c r="D669" s="298" t="str">
        <f>IF(B669= "","", Inventory!S677)</f>
        <v/>
      </c>
      <c r="F669" s="298" t="str">
        <f>IF(B669="", "", 'Version Log'!$B$34)</f>
        <v/>
      </c>
      <c r="G669" s="298" t="str">
        <f t="shared" si="40"/>
        <v/>
      </c>
      <c r="H669" s="298" t="str">
        <f t="shared" si="41"/>
        <v/>
      </c>
      <c r="I669" s="298" t="str">
        <f>IF(B669="", "",Inventory!D677)</f>
        <v/>
      </c>
      <c r="J669" s="298" t="str">
        <f>IF(B669="","",IF(Inventory!C677="N","Interior","Exterior"))</f>
        <v/>
      </c>
      <c r="K669" s="298" t="str">
        <f t="shared" si="42"/>
        <v/>
      </c>
      <c r="L669" s="298" t="str">
        <f>IF(B669="", "", Inventory!E677)</f>
        <v/>
      </c>
      <c r="M669" s="298" t="str">
        <f>IF(B669="","",IF(Cool_Type=Lookups!$L$9,Cool_Type,IF(Cool_Type=Lookups!$L$10,Cool_Type,IF(Cool_Type=Lookups!$L$11,Cool_Type,IF(Cool_Type=Lookups!L679,Cool_Type,IF('Project Info and Summary'!$C$20="Electric",CONCATENATE(Cool_Type," ",Heating_Type," Heat"),IF('Project Info and Summary'!$C$20="Non-Electric",CONCATENATE(Cool_Type," ",Heating_Type," Heat"),CONCATENATE(Cool_Type," ",Heating_Type))))))))</f>
        <v/>
      </c>
      <c r="N669" s="298" t="str">
        <f t="shared" si="43"/>
        <v/>
      </c>
      <c r="O669" s="298" t="str">
        <f>IF(B669="", "", 'Lighting Inventory (Ref only)'!G680)</f>
        <v/>
      </c>
      <c r="P669" s="298" t="str">
        <f>IF(B669="", "", 'Lighting Inventory (Ref only)'!E680)</f>
        <v/>
      </c>
      <c r="Q669" s="298" t="str">
        <f>IF(B669="", "", 'Lighting Inventory (Ref only)'!J680)</f>
        <v/>
      </c>
      <c r="R669" s="298" t="str">
        <f>IF(B669="", "",'Lighting Inventory (Ref only)'!K680)</f>
        <v/>
      </c>
      <c r="S669" s="372" t="str">
        <f>IF(B669="", "", 'Lighting Inventory (Ref only)'!G680*'Lighting Inventory (Ref only)'!K680/1000)</f>
        <v/>
      </c>
      <c r="T669" s="298" t="str">
        <f>IF(B669="", "", IF('Lighting Inventory (Ref only)'!I680="", "Light Switch",Inventory!H677))</f>
        <v/>
      </c>
      <c r="X669" s="298" t="str">
        <f>IF(B669="", "", 'Lighting Inventory (Ref only)'!Q680)</f>
        <v/>
      </c>
      <c r="AA669" s="298" t="str">
        <f>IF(B669="", "",'Lighting Inventory (Ref only)'!R680/1000)</f>
        <v/>
      </c>
      <c r="AB669" s="298" t="str">
        <f>IF(B669="", "", Inventory!M677)</f>
        <v/>
      </c>
      <c r="AC669" s="298" t="str">
        <f>IF(B669="", "", 'Lighting Inventory (Ref only)'!T680)</f>
        <v/>
      </c>
      <c r="AD669" s="298" t="str">
        <f>IF(C669="", "", 'Lighting Inventory (Ref only)'!AA680)</f>
        <v/>
      </c>
      <c r="AE669" s="298" t="str">
        <f>IF(B669="", "", 'Lighting Inventory (Ref only)'!U680)</f>
        <v/>
      </c>
      <c r="AF669" s="298" t="str">
        <f>IF(B669="", "",'Lighting Inventory (Ref only)'!W680)</f>
        <v/>
      </c>
      <c r="AH669" s="298" t="str">
        <f>IF(B669="", "",'Lighting Inventory (Ref only)'!Z680)</f>
        <v/>
      </c>
      <c r="AI669" s="298" t="str">
        <f>IF(B669="", "", 'Lighting Inventory (Ref only)'!Y680)</f>
        <v/>
      </c>
      <c r="AJ669" s="298" t="str">
        <f>IF(C669="", "",'Lighting Inventory (Ref only)'!AB680)</f>
        <v/>
      </c>
      <c r="AK669" s="375" t="str">
        <f>IF(B669="", "", 'Lighting Inventory (Ref only)'!AG680)</f>
        <v/>
      </c>
      <c r="AL669" s="375" t="str">
        <f>IF(B669="", "", 'Lighting Inventory (Ref only)'!AD680)</f>
        <v/>
      </c>
      <c r="AM669" s="375" t="str">
        <f>IF(B669="", "", 'Lighting Inventory (Ref only)'!AE680)</f>
        <v/>
      </c>
      <c r="AN669" s="375" t="str">
        <f>IF(B669="", "", 'Lighting Inventory (Ref only)'!AF680)</f>
        <v/>
      </c>
      <c r="AO669" s="375" t="str">
        <f>IF(B669="", "", 'Lighting Inventory (Ref only)'!AG680)</f>
        <v/>
      </c>
    </row>
    <row r="670" spans="1:41">
      <c r="A670" s="298" t="str">
        <f>IF(G670="", "", Lookups!BF672)</f>
        <v/>
      </c>
      <c r="B670" s="298" t="str">
        <f>IF('Lighting Inventory (Ref only)'!Q681="", "", 'Lighting Inventory (Ref only)'!Q681)</f>
        <v/>
      </c>
      <c r="C670" s="298" t="str">
        <f>IF(A670="", "", 'Lighting Inventory (Ref only)'!AO681)</f>
        <v/>
      </c>
      <c r="D670" s="298" t="str">
        <f>IF(B670= "","", Inventory!S678)</f>
        <v/>
      </c>
      <c r="F670" s="298" t="str">
        <f>IF(B670="", "", 'Version Log'!$B$34)</f>
        <v/>
      </c>
      <c r="G670" s="298" t="str">
        <f t="shared" si="40"/>
        <v/>
      </c>
      <c r="H670" s="298" t="str">
        <f t="shared" si="41"/>
        <v/>
      </c>
      <c r="I670" s="298" t="str">
        <f>IF(B670="", "",Inventory!D678)</f>
        <v/>
      </c>
      <c r="J670" s="298" t="str">
        <f>IF(B670="","",IF(Inventory!C678="N","Interior","Exterior"))</f>
        <v/>
      </c>
      <c r="K670" s="298" t="str">
        <f t="shared" si="42"/>
        <v/>
      </c>
      <c r="L670" s="298" t="str">
        <f>IF(B670="", "", Inventory!E678)</f>
        <v/>
      </c>
      <c r="M670" s="298" t="str">
        <f>IF(B670="","",IF(Cool_Type=Lookups!$L$9,Cool_Type,IF(Cool_Type=Lookups!$L$10,Cool_Type,IF(Cool_Type=Lookups!$L$11,Cool_Type,IF(Cool_Type=Lookups!L680,Cool_Type,IF('Project Info and Summary'!$C$20="Electric",CONCATENATE(Cool_Type," ",Heating_Type," Heat"),IF('Project Info and Summary'!$C$20="Non-Electric",CONCATENATE(Cool_Type," ",Heating_Type," Heat"),CONCATENATE(Cool_Type," ",Heating_Type))))))))</f>
        <v/>
      </c>
      <c r="N670" s="298" t="str">
        <f t="shared" si="43"/>
        <v/>
      </c>
      <c r="O670" s="298" t="str">
        <f>IF(B670="", "", 'Lighting Inventory (Ref only)'!G681)</f>
        <v/>
      </c>
      <c r="P670" s="298" t="str">
        <f>IF(B670="", "", 'Lighting Inventory (Ref only)'!E681)</f>
        <v/>
      </c>
      <c r="Q670" s="298" t="str">
        <f>IF(B670="", "", 'Lighting Inventory (Ref only)'!J681)</f>
        <v/>
      </c>
      <c r="R670" s="298" t="str">
        <f>IF(B670="", "",'Lighting Inventory (Ref only)'!K681)</f>
        <v/>
      </c>
      <c r="S670" s="372" t="str">
        <f>IF(B670="", "", 'Lighting Inventory (Ref only)'!G681*'Lighting Inventory (Ref only)'!K681/1000)</f>
        <v/>
      </c>
      <c r="T670" s="298" t="str">
        <f>IF(B670="", "", IF('Lighting Inventory (Ref only)'!I681="", "Light Switch",Inventory!H678))</f>
        <v/>
      </c>
      <c r="X670" s="298" t="str">
        <f>IF(B670="", "", 'Lighting Inventory (Ref only)'!Q681)</f>
        <v/>
      </c>
      <c r="AA670" s="298" t="str">
        <f>IF(B670="", "",'Lighting Inventory (Ref only)'!R681/1000)</f>
        <v/>
      </c>
      <c r="AB670" s="298" t="str">
        <f>IF(B670="", "", Inventory!M678)</f>
        <v/>
      </c>
      <c r="AC670" s="298" t="str">
        <f>IF(B670="", "", 'Lighting Inventory (Ref only)'!T681)</f>
        <v/>
      </c>
      <c r="AD670" s="298" t="str">
        <f>IF(C670="", "", 'Lighting Inventory (Ref only)'!AA681)</f>
        <v/>
      </c>
      <c r="AE670" s="298" t="str">
        <f>IF(B670="", "", 'Lighting Inventory (Ref only)'!U681)</f>
        <v/>
      </c>
      <c r="AF670" s="298" t="str">
        <f>IF(B670="", "",'Lighting Inventory (Ref only)'!W681)</f>
        <v/>
      </c>
      <c r="AH670" s="298" t="str">
        <f>IF(B670="", "",'Lighting Inventory (Ref only)'!Z681)</f>
        <v/>
      </c>
      <c r="AI670" s="298" t="str">
        <f>IF(B670="", "", 'Lighting Inventory (Ref only)'!Y681)</f>
        <v/>
      </c>
      <c r="AJ670" s="298" t="str">
        <f>IF(C670="", "",'Lighting Inventory (Ref only)'!AB681)</f>
        <v/>
      </c>
      <c r="AK670" s="375" t="str">
        <f>IF(B670="", "", 'Lighting Inventory (Ref only)'!AG681)</f>
        <v/>
      </c>
      <c r="AL670" s="375" t="str">
        <f>IF(B670="", "", 'Lighting Inventory (Ref only)'!AD681)</f>
        <v/>
      </c>
      <c r="AM670" s="375" t="str">
        <f>IF(B670="", "", 'Lighting Inventory (Ref only)'!AE681)</f>
        <v/>
      </c>
      <c r="AN670" s="375" t="str">
        <f>IF(B670="", "", 'Lighting Inventory (Ref only)'!AF681)</f>
        <v/>
      </c>
      <c r="AO670" s="375" t="str">
        <f>IF(B670="", "", 'Lighting Inventory (Ref only)'!AG681)</f>
        <v/>
      </c>
    </row>
    <row r="671" spans="1:41">
      <c r="A671" s="298" t="str">
        <f>IF(G671="", "", Lookups!BF673)</f>
        <v/>
      </c>
      <c r="B671" s="298" t="str">
        <f>IF('Lighting Inventory (Ref only)'!Q682="", "", 'Lighting Inventory (Ref only)'!Q682)</f>
        <v/>
      </c>
      <c r="C671" s="298" t="str">
        <f>IF(A671="", "", 'Lighting Inventory (Ref only)'!AO682)</f>
        <v/>
      </c>
      <c r="D671" s="298" t="str">
        <f>IF(B671= "","", Inventory!S679)</f>
        <v/>
      </c>
      <c r="F671" s="298" t="str">
        <f>IF(B671="", "", 'Version Log'!$B$34)</f>
        <v/>
      </c>
      <c r="G671" s="298" t="str">
        <f t="shared" si="40"/>
        <v/>
      </c>
      <c r="H671" s="298" t="str">
        <f t="shared" si="41"/>
        <v/>
      </c>
      <c r="I671" s="298" t="str">
        <f>IF(B671="", "",Inventory!D679)</f>
        <v/>
      </c>
      <c r="J671" s="298" t="str">
        <f>IF(B671="","",IF(Inventory!C679="N","Interior","Exterior"))</f>
        <v/>
      </c>
      <c r="K671" s="298" t="str">
        <f t="shared" si="42"/>
        <v/>
      </c>
      <c r="L671" s="298" t="str">
        <f>IF(B671="", "", Inventory!E679)</f>
        <v/>
      </c>
      <c r="M671" s="298" t="str">
        <f>IF(B671="","",IF(Cool_Type=Lookups!$L$9,Cool_Type,IF(Cool_Type=Lookups!$L$10,Cool_Type,IF(Cool_Type=Lookups!$L$11,Cool_Type,IF(Cool_Type=Lookups!L681,Cool_Type,IF('Project Info and Summary'!$C$20="Electric",CONCATENATE(Cool_Type," ",Heating_Type," Heat"),IF('Project Info and Summary'!$C$20="Non-Electric",CONCATENATE(Cool_Type," ",Heating_Type," Heat"),CONCATENATE(Cool_Type," ",Heating_Type))))))))</f>
        <v/>
      </c>
      <c r="N671" s="298" t="str">
        <f t="shared" si="43"/>
        <v/>
      </c>
      <c r="O671" s="298" t="str">
        <f>IF(B671="", "", 'Lighting Inventory (Ref only)'!G682)</f>
        <v/>
      </c>
      <c r="P671" s="298" t="str">
        <f>IF(B671="", "", 'Lighting Inventory (Ref only)'!E682)</f>
        <v/>
      </c>
      <c r="Q671" s="298" t="str">
        <f>IF(B671="", "", 'Lighting Inventory (Ref only)'!J682)</f>
        <v/>
      </c>
      <c r="R671" s="298" t="str">
        <f>IF(B671="", "",'Lighting Inventory (Ref only)'!K682)</f>
        <v/>
      </c>
      <c r="S671" s="372" t="str">
        <f>IF(B671="", "", 'Lighting Inventory (Ref only)'!G682*'Lighting Inventory (Ref only)'!K682/1000)</f>
        <v/>
      </c>
      <c r="T671" s="298" t="str">
        <f>IF(B671="", "", IF('Lighting Inventory (Ref only)'!I682="", "Light Switch",Inventory!H679))</f>
        <v/>
      </c>
      <c r="X671" s="298" t="str">
        <f>IF(B671="", "", 'Lighting Inventory (Ref only)'!Q682)</f>
        <v/>
      </c>
      <c r="AA671" s="298" t="str">
        <f>IF(B671="", "",'Lighting Inventory (Ref only)'!R682/1000)</f>
        <v/>
      </c>
      <c r="AB671" s="298" t="str">
        <f>IF(B671="", "", Inventory!M679)</f>
        <v/>
      </c>
      <c r="AC671" s="298" t="str">
        <f>IF(B671="", "", 'Lighting Inventory (Ref only)'!T682)</f>
        <v/>
      </c>
      <c r="AD671" s="298" t="str">
        <f>IF(C671="", "", 'Lighting Inventory (Ref only)'!AA682)</f>
        <v/>
      </c>
      <c r="AE671" s="298" t="str">
        <f>IF(B671="", "", 'Lighting Inventory (Ref only)'!U682)</f>
        <v/>
      </c>
      <c r="AF671" s="298" t="str">
        <f>IF(B671="", "",'Lighting Inventory (Ref only)'!W682)</f>
        <v/>
      </c>
      <c r="AH671" s="298" t="str">
        <f>IF(B671="", "",'Lighting Inventory (Ref only)'!Z682)</f>
        <v/>
      </c>
      <c r="AI671" s="298" t="str">
        <f>IF(B671="", "", 'Lighting Inventory (Ref only)'!Y682)</f>
        <v/>
      </c>
      <c r="AJ671" s="298" t="str">
        <f>IF(C671="", "",'Lighting Inventory (Ref only)'!AB682)</f>
        <v/>
      </c>
      <c r="AK671" s="375" t="str">
        <f>IF(B671="", "", 'Lighting Inventory (Ref only)'!AG682)</f>
        <v/>
      </c>
      <c r="AL671" s="375" t="str">
        <f>IF(B671="", "", 'Lighting Inventory (Ref only)'!AD682)</f>
        <v/>
      </c>
      <c r="AM671" s="375" t="str">
        <f>IF(B671="", "", 'Lighting Inventory (Ref only)'!AE682)</f>
        <v/>
      </c>
      <c r="AN671" s="375" t="str">
        <f>IF(B671="", "", 'Lighting Inventory (Ref only)'!AF682)</f>
        <v/>
      </c>
      <c r="AO671" s="375" t="str">
        <f>IF(B671="", "", 'Lighting Inventory (Ref only)'!AG682)</f>
        <v/>
      </c>
    </row>
    <row r="672" spans="1:41">
      <c r="A672" s="298" t="str">
        <f>IF(G672="", "", Lookups!BF674)</f>
        <v/>
      </c>
      <c r="B672" s="298" t="str">
        <f>IF('Lighting Inventory (Ref only)'!Q683="", "", 'Lighting Inventory (Ref only)'!Q683)</f>
        <v/>
      </c>
      <c r="C672" s="298" t="str">
        <f>IF(A672="", "", 'Lighting Inventory (Ref only)'!AO683)</f>
        <v/>
      </c>
      <c r="D672" s="298" t="str">
        <f>IF(B672= "","", Inventory!S680)</f>
        <v/>
      </c>
      <c r="F672" s="298" t="str">
        <f>IF(B672="", "", 'Version Log'!$B$34)</f>
        <v/>
      </c>
      <c r="G672" s="298" t="str">
        <f t="shared" si="40"/>
        <v/>
      </c>
      <c r="H672" s="298" t="str">
        <f t="shared" si="41"/>
        <v/>
      </c>
      <c r="I672" s="298" t="str">
        <f>IF(B672="", "",Inventory!D680)</f>
        <v/>
      </c>
      <c r="J672" s="298" t="str">
        <f>IF(B672="","",IF(Inventory!C680="N","Interior","Exterior"))</f>
        <v/>
      </c>
      <c r="K672" s="298" t="str">
        <f t="shared" si="42"/>
        <v/>
      </c>
      <c r="L672" s="298" t="str">
        <f>IF(B672="", "", Inventory!E680)</f>
        <v/>
      </c>
      <c r="M672" s="298" t="str">
        <f>IF(B672="","",IF(Cool_Type=Lookups!$L$9,Cool_Type,IF(Cool_Type=Lookups!$L$10,Cool_Type,IF(Cool_Type=Lookups!$L$11,Cool_Type,IF(Cool_Type=Lookups!L682,Cool_Type,IF('Project Info and Summary'!$C$20="Electric",CONCATENATE(Cool_Type," ",Heating_Type," Heat"),IF('Project Info and Summary'!$C$20="Non-Electric",CONCATENATE(Cool_Type," ",Heating_Type," Heat"),CONCATENATE(Cool_Type," ",Heating_Type))))))))</f>
        <v/>
      </c>
      <c r="N672" s="298" t="str">
        <f t="shared" si="43"/>
        <v/>
      </c>
      <c r="O672" s="298" t="str">
        <f>IF(B672="", "", 'Lighting Inventory (Ref only)'!G683)</f>
        <v/>
      </c>
      <c r="P672" s="298" t="str">
        <f>IF(B672="", "", 'Lighting Inventory (Ref only)'!E683)</f>
        <v/>
      </c>
      <c r="Q672" s="298" t="str">
        <f>IF(B672="", "", 'Lighting Inventory (Ref only)'!J683)</f>
        <v/>
      </c>
      <c r="R672" s="298" t="str">
        <f>IF(B672="", "",'Lighting Inventory (Ref only)'!K683)</f>
        <v/>
      </c>
      <c r="S672" s="372" t="str">
        <f>IF(B672="", "", 'Lighting Inventory (Ref only)'!G683*'Lighting Inventory (Ref only)'!K683/1000)</f>
        <v/>
      </c>
      <c r="T672" s="298" t="str">
        <f>IF(B672="", "", IF('Lighting Inventory (Ref only)'!I683="", "Light Switch",Inventory!H680))</f>
        <v/>
      </c>
      <c r="X672" s="298" t="str">
        <f>IF(B672="", "", 'Lighting Inventory (Ref only)'!Q683)</f>
        <v/>
      </c>
      <c r="AA672" s="298" t="str">
        <f>IF(B672="", "",'Lighting Inventory (Ref only)'!R683/1000)</f>
        <v/>
      </c>
      <c r="AB672" s="298" t="str">
        <f>IF(B672="", "", Inventory!M680)</f>
        <v/>
      </c>
      <c r="AC672" s="298" t="str">
        <f>IF(B672="", "", 'Lighting Inventory (Ref only)'!T683)</f>
        <v/>
      </c>
      <c r="AD672" s="298" t="str">
        <f>IF(C672="", "", 'Lighting Inventory (Ref only)'!AA683)</f>
        <v/>
      </c>
      <c r="AE672" s="298" t="str">
        <f>IF(B672="", "", 'Lighting Inventory (Ref only)'!U683)</f>
        <v/>
      </c>
      <c r="AF672" s="298" t="str">
        <f>IF(B672="", "",'Lighting Inventory (Ref only)'!W683)</f>
        <v/>
      </c>
      <c r="AH672" s="298" t="str">
        <f>IF(B672="", "",'Lighting Inventory (Ref only)'!Z683)</f>
        <v/>
      </c>
      <c r="AI672" s="298" t="str">
        <f>IF(B672="", "", 'Lighting Inventory (Ref only)'!Y683)</f>
        <v/>
      </c>
      <c r="AJ672" s="298" t="str">
        <f>IF(C672="", "",'Lighting Inventory (Ref only)'!AB683)</f>
        <v/>
      </c>
      <c r="AK672" s="375" t="str">
        <f>IF(B672="", "", 'Lighting Inventory (Ref only)'!AG683)</f>
        <v/>
      </c>
      <c r="AL672" s="375" t="str">
        <f>IF(B672="", "", 'Lighting Inventory (Ref only)'!AD683)</f>
        <v/>
      </c>
      <c r="AM672" s="375" t="str">
        <f>IF(B672="", "", 'Lighting Inventory (Ref only)'!AE683)</f>
        <v/>
      </c>
      <c r="AN672" s="375" t="str">
        <f>IF(B672="", "", 'Lighting Inventory (Ref only)'!AF683)</f>
        <v/>
      </c>
      <c r="AO672" s="375" t="str">
        <f>IF(B672="", "", 'Lighting Inventory (Ref only)'!AG683)</f>
        <v/>
      </c>
    </row>
    <row r="673" spans="1:41">
      <c r="A673" s="298" t="str">
        <f>IF(G673="", "", Lookups!BF675)</f>
        <v/>
      </c>
      <c r="B673" s="298" t="str">
        <f>IF('Lighting Inventory (Ref only)'!Q684="", "", 'Lighting Inventory (Ref only)'!Q684)</f>
        <v/>
      </c>
      <c r="C673" s="298" t="str">
        <f>IF(A673="", "", 'Lighting Inventory (Ref only)'!AO684)</f>
        <v/>
      </c>
      <c r="D673" s="298" t="str">
        <f>IF(B673= "","", Inventory!S681)</f>
        <v/>
      </c>
      <c r="F673" s="298" t="str">
        <f>IF(B673="", "", 'Version Log'!$B$34)</f>
        <v/>
      </c>
      <c r="G673" s="298" t="str">
        <f t="shared" si="40"/>
        <v/>
      </c>
      <c r="H673" s="298" t="str">
        <f t="shared" si="41"/>
        <v/>
      </c>
      <c r="I673" s="298" t="str">
        <f>IF(B673="", "",Inventory!D681)</f>
        <v/>
      </c>
      <c r="J673" s="298" t="str">
        <f>IF(B673="","",IF(Inventory!C681="N","Interior","Exterior"))</f>
        <v/>
      </c>
      <c r="K673" s="298" t="str">
        <f t="shared" si="42"/>
        <v/>
      </c>
      <c r="L673" s="298" t="str">
        <f>IF(B673="", "", Inventory!E681)</f>
        <v/>
      </c>
      <c r="M673" s="298" t="str">
        <f>IF(B673="","",IF(Cool_Type=Lookups!$L$9,Cool_Type,IF(Cool_Type=Lookups!$L$10,Cool_Type,IF(Cool_Type=Lookups!$L$11,Cool_Type,IF(Cool_Type=Lookups!L683,Cool_Type,IF('Project Info and Summary'!$C$20="Electric",CONCATENATE(Cool_Type," ",Heating_Type," Heat"),IF('Project Info and Summary'!$C$20="Non-Electric",CONCATENATE(Cool_Type," ",Heating_Type," Heat"),CONCATENATE(Cool_Type," ",Heating_Type))))))))</f>
        <v/>
      </c>
      <c r="N673" s="298" t="str">
        <f t="shared" si="43"/>
        <v/>
      </c>
      <c r="O673" s="298" t="str">
        <f>IF(B673="", "", 'Lighting Inventory (Ref only)'!G684)</f>
        <v/>
      </c>
      <c r="P673" s="298" t="str">
        <f>IF(B673="", "", 'Lighting Inventory (Ref only)'!E684)</f>
        <v/>
      </c>
      <c r="Q673" s="298" t="str">
        <f>IF(B673="", "", 'Lighting Inventory (Ref only)'!J684)</f>
        <v/>
      </c>
      <c r="R673" s="298" t="str">
        <f>IF(B673="", "",'Lighting Inventory (Ref only)'!K684)</f>
        <v/>
      </c>
      <c r="S673" s="372" t="str">
        <f>IF(B673="", "", 'Lighting Inventory (Ref only)'!G684*'Lighting Inventory (Ref only)'!K684/1000)</f>
        <v/>
      </c>
      <c r="T673" s="298" t="str">
        <f>IF(B673="", "", IF('Lighting Inventory (Ref only)'!I684="", "Light Switch",Inventory!H681))</f>
        <v/>
      </c>
      <c r="X673" s="298" t="str">
        <f>IF(B673="", "", 'Lighting Inventory (Ref only)'!Q684)</f>
        <v/>
      </c>
      <c r="AA673" s="298" t="str">
        <f>IF(B673="", "",'Lighting Inventory (Ref only)'!R684/1000)</f>
        <v/>
      </c>
      <c r="AB673" s="298" t="str">
        <f>IF(B673="", "", Inventory!M681)</f>
        <v/>
      </c>
      <c r="AC673" s="298" t="str">
        <f>IF(B673="", "", 'Lighting Inventory (Ref only)'!T684)</f>
        <v/>
      </c>
      <c r="AD673" s="298" t="str">
        <f>IF(C673="", "", 'Lighting Inventory (Ref only)'!AA684)</f>
        <v/>
      </c>
      <c r="AE673" s="298" t="str">
        <f>IF(B673="", "", 'Lighting Inventory (Ref only)'!U684)</f>
        <v/>
      </c>
      <c r="AF673" s="298" t="str">
        <f>IF(B673="", "",'Lighting Inventory (Ref only)'!W684)</f>
        <v/>
      </c>
      <c r="AH673" s="298" t="str">
        <f>IF(B673="", "",'Lighting Inventory (Ref only)'!Z684)</f>
        <v/>
      </c>
      <c r="AI673" s="298" t="str">
        <f>IF(B673="", "", 'Lighting Inventory (Ref only)'!Y684)</f>
        <v/>
      </c>
      <c r="AJ673" s="298" t="str">
        <f>IF(C673="", "",'Lighting Inventory (Ref only)'!AB684)</f>
        <v/>
      </c>
      <c r="AK673" s="375" t="str">
        <f>IF(B673="", "", 'Lighting Inventory (Ref only)'!AG684)</f>
        <v/>
      </c>
      <c r="AL673" s="375" t="str">
        <f>IF(B673="", "", 'Lighting Inventory (Ref only)'!AD684)</f>
        <v/>
      </c>
      <c r="AM673" s="375" t="str">
        <f>IF(B673="", "", 'Lighting Inventory (Ref only)'!AE684)</f>
        <v/>
      </c>
      <c r="AN673" s="375" t="str">
        <f>IF(B673="", "", 'Lighting Inventory (Ref only)'!AF684)</f>
        <v/>
      </c>
      <c r="AO673" s="375" t="str">
        <f>IF(B673="", "", 'Lighting Inventory (Ref only)'!AG684)</f>
        <v/>
      </c>
    </row>
    <row r="674" spans="1:41">
      <c r="A674" s="298" t="str">
        <f>IF(G674="", "", Lookups!BF676)</f>
        <v/>
      </c>
      <c r="B674" s="298" t="str">
        <f>IF('Lighting Inventory (Ref only)'!Q685="", "", 'Lighting Inventory (Ref only)'!Q685)</f>
        <v/>
      </c>
      <c r="C674" s="298" t="str">
        <f>IF(A674="", "", 'Lighting Inventory (Ref only)'!AO685)</f>
        <v/>
      </c>
      <c r="D674" s="298" t="str">
        <f>IF(B674= "","", Inventory!S682)</f>
        <v/>
      </c>
      <c r="F674" s="298" t="str">
        <f>IF(B674="", "", 'Version Log'!$B$34)</f>
        <v/>
      </c>
      <c r="G674" s="298" t="str">
        <f t="shared" si="40"/>
        <v/>
      </c>
      <c r="H674" s="298" t="str">
        <f t="shared" si="41"/>
        <v/>
      </c>
      <c r="I674" s="298" t="str">
        <f>IF(B674="", "",Inventory!D682)</f>
        <v/>
      </c>
      <c r="J674" s="298" t="str">
        <f>IF(B674="","",IF(Inventory!C682="N","Interior","Exterior"))</f>
        <v/>
      </c>
      <c r="K674" s="298" t="str">
        <f t="shared" si="42"/>
        <v/>
      </c>
      <c r="L674" s="298" t="str">
        <f>IF(B674="", "", Inventory!E682)</f>
        <v/>
      </c>
      <c r="M674" s="298" t="str">
        <f>IF(B674="","",IF(Cool_Type=Lookups!$L$9,Cool_Type,IF(Cool_Type=Lookups!$L$10,Cool_Type,IF(Cool_Type=Lookups!$L$11,Cool_Type,IF(Cool_Type=Lookups!L684,Cool_Type,IF('Project Info and Summary'!$C$20="Electric",CONCATENATE(Cool_Type," ",Heating_Type," Heat"),IF('Project Info and Summary'!$C$20="Non-Electric",CONCATENATE(Cool_Type," ",Heating_Type," Heat"),CONCATENATE(Cool_Type," ",Heating_Type))))))))</f>
        <v/>
      </c>
      <c r="N674" s="298" t="str">
        <f t="shared" si="43"/>
        <v/>
      </c>
      <c r="O674" s="298" t="str">
        <f>IF(B674="", "", 'Lighting Inventory (Ref only)'!G685)</f>
        <v/>
      </c>
      <c r="P674" s="298" t="str">
        <f>IF(B674="", "", 'Lighting Inventory (Ref only)'!E685)</f>
        <v/>
      </c>
      <c r="Q674" s="298" t="str">
        <f>IF(B674="", "", 'Lighting Inventory (Ref only)'!J685)</f>
        <v/>
      </c>
      <c r="R674" s="298" t="str">
        <f>IF(B674="", "",'Lighting Inventory (Ref only)'!K685)</f>
        <v/>
      </c>
      <c r="S674" s="372" t="str">
        <f>IF(B674="", "", 'Lighting Inventory (Ref only)'!G685*'Lighting Inventory (Ref only)'!K685/1000)</f>
        <v/>
      </c>
      <c r="T674" s="298" t="str">
        <f>IF(B674="", "", IF('Lighting Inventory (Ref only)'!I685="", "Light Switch",Inventory!H682))</f>
        <v/>
      </c>
      <c r="X674" s="298" t="str">
        <f>IF(B674="", "", 'Lighting Inventory (Ref only)'!Q685)</f>
        <v/>
      </c>
      <c r="AA674" s="298" t="str">
        <f>IF(B674="", "",'Lighting Inventory (Ref only)'!R685/1000)</f>
        <v/>
      </c>
      <c r="AB674" s="298" t="str">
        <f>IF(B674="", "", Inventory!M682)</f>
        <v/>
      </c>
      <c r="AC674" s="298" t="str">
        <f>IF(B674="", "", 'Lighting Inventory (Ref only)'!T685)</f>
        <v/>
      </c>
      <c r="AD674" s="298" t="str">
        <f>IF(C674="", "", 'Lighting Inventory (Ref only)'!AA685)</f>
        <v/>
      </c>
      <c r="AE674" s="298" t="str">
        <f>IF(B674="", "", 'Lighting Inventory (Ref only)'!U685)</f>
        <v/>
      </c>
      <c r="AF674" s="298" t="str">
        <f>IF(B674="", "",'Lighting Inventory (Ref only)'!W685)</f>
        <v/>
      </c>
      <c r="AH674" s="298" t="str">
        <f>IF(B674="", "",'Lighting Inventory (Ref only)'!Z685)</f>
        <v/>
      </c>
      <c r="AI674" s="298" t="str">
        <f>IF(B674="", "", 'Lighting Inventory (Ref only)'!Y685)</f>
        <v/>
      </c>
      <c r="AJ674" s="298" t="str">
        <f>IF(C674="", "",'Lighting Inventory (Ref only)'!AB685)</f>
        <v/>
      </c>
      <c r="AK674" s="375" t="str">
        <f>IF(B674="", "", 'Lighting Inventory (Ref only)'!AG685)</f>
        <v/>
      </c>
      <c r="AL674" s="375" t="str">
        <f>IF(B674="", "", 'Lighting Inventory (Ref only)'!AD685)</f>
        <v/>
      </c>
      <c r="AM674" s="375" t="str">
        <f>IF(B674="", "", 'Lighting Inventory (Ref only)'!AE685)</f>
        <v/>
      </c>
      <c r="AN674" s="375" t="str">
        <f>IF(B674="", "", 'Lighting Inventory (Ref only)'!AF685)</f>
        <v/>
      </c>
      <c r="AO674" s="375" t="str">
        <f>IF(B674="", "", 'Lighting Inventory (Ref only)'!AG685)</f>
        <v/>
      </c>
    </row>
    <row r="675" spans="1:41">
      <c r="A675" s="298" t="str">
        <f>IF(G675="", "", Lookups!BF677)</f>
        <v/>
      </c>
      <c r="B675" s="298" t="str">
        <f>IF('Lighting Inventory (Ref only)'!Q686="", "", 'Lighting Inventory (Ref only)'!Q686)</f>
        <v/>
      </c>
      <c r="C675" s="298" t="str">
        <f>IF(A675="", "", 'Lighting Inventory (Ref only)'!AO686)</f>
        <v/>
      </c>
      <c r="D675" s="298" t="str">
        <f>IF(B675= "","", Inventory!S683)</f>
        <v/>
      </c>
      <c r="F675" s="298" t="str">
        <f>IF(B675="", "", 'Version Log'!$B$34)</f>
        <v/>
      </c>
      <c r="G675" s="298" t="str">
        <f t="shared" si="40"/>
        <v/>
      </c>
      <c r="H675" s="298" t="str">
        <f t="shared" si="41"/>
        <v/>
      </c>
      <c r="I675" s="298" t="str">
        <f>IF(B675="", "",Inventory!D683)</f>
        <v/>
      </c>
      <c r="J675" s="298" t="str">
        <f>IF(B675="","",IF(Inventory!C683="N","Interior","Exterior"))</f>
        <v/>
      </c>
      <c r="K675" s="298" t="str">
        <f t="shared" si="42"/>
        <v/>
      </c>
      <c r="L675" s="298" t="str">
        <f>IF(B675="", "", Inventory!E683)</f>
        <v/>
      </c>
      <c r="M675" s="298" t="str">
        <f>IF(B675="","",IF(Cool_Type=Lookups!$L$9,Cool_Type,IF(Cool_Type=Lookups!$L$10,Cool_Type,IF(Cool_Type=Lookups!$L$11,Cool_Type,IF(Cool_Type=Lookups!L685,Cool_Type,IF('Project Info and Summary'!$C$20="Electric",CONCATENATE(Cool_Type," ",Heating_Type," Heat"),IF('Project Info and Summary'!$C$20="Non-Electric",CONCATENATE(Cool_Type," ",Heating_Type," Heat"),CONCATENATE(Cool_Type," ",Heating_Type))))))))</f>
        <v/>
      </c>
      <c r="N675" s="298" t="str">
        <f t="shared" si="43"/>
        <v/>
      </c>
      <c r="O675" s="298" t="str">
        <f>IF(B675="", "", 'Lighting Inventory (Ref only)'!G686)</f>
        <v/>
      </c>
      <c r="P675" s="298" t="str">
        <f>IF(B675="", "", 'Lighting Inventory (Ref only)'!E686)</f>
        <v/>
      </c>
      <c r="Q675" s="298" t="str">
        <f>IF(B675="", "", 'Lighting Inventory (Ref only)'!J686)</f>
        <v/>
      </c>
      <c r="R675" s="298" t="str">
        <f>IF(B675="", "",'Lighting Inventory (Ref only)'!K686)</f>
        <v/>
      </c>
      <c r="S675" s="372" t="str">
        <f>IF(B675="", "", 'Lighting Inventory (Ref only)'!G686*'Lighting Inventory (Ref only)'!K686/1000)</f>
        <v/>
      </c>
      <c r="T675" s="298" t="str">
        <f>IF(B675="", "", IF('Lighting Inventory (Ref only)'!I686="", "Light Switch",Inventory!H683))</f>
        <v/>
      </c>
      <c r="X675" s="298" t="str">
        <f>IF(B675="", "", 'Lighting Inventory (Ref only)'!Q686)</f>
        <v/>
      </c>
      <c r="AA675" s="298" t="str">
        <f>IF(B675="", "",'Lighting Inventory (Ref only)'!R686/1000)</f>
        <v/>
      </c>
      <c r="AB675" s="298" t="str">
        <f>IF(B675="", "", Inventory!M683)</f>
        <v/>
      </c>
      <c r="AC675" s="298" t="str">
        <f>IF(B675="", "", 'Lighting Inventory (Ref only)'!T686)</f>
        <v/>
      </c>
      <c r="AD675" s="298" t="str">
        <f>IF(C675="", "", 'Lighting Inventory (Ref only)'!AA686)</f>
        <v/>
      </c>
      <c r="AE675" s="298" t="str">
        <f>IF(B675="", "", 'Lighting Inventory (Ref only)'!U686)</f>
        <v/>
      </c>
      <c r="AF675" s="298" t="str">
        <f>IF(B675="", "",'Lighting Inventory (Ref only)'!W686)</f>
        <v/>
      </c>
      <c r="AH675" s="298" t="str">
        <f>IF(B675="", "",'Lighting Inventory (Ref only)'!Z686)</f>
        <v/>
      </c>
      <c r="AI675" s="298" t="str">
        <f>IF(B675="", "", 'Lighting Inventory (Ref only)'!Y686)</f>
        <v/>
      </c>
      <c r="AJ675" s="298" t="str">
        <f>IF(C675="", "",'Lighting Inventory (Ref only)'!AB686)</f>
        <v/>
      </c>
      <c r="AK675" s="375" t="str">
        <f>IF(B675="", "", 'Lighting Inventory (Ref only)'!AG686)</f>
        <v/>
      </c>
      <c r="AL675" s="375" t="str">
        <f>IF(B675="", "", 'Lighting Inventory (Ref only)'!AD686)</f>
        <v/>
      </c>
      <c r="AM675" s="375" t="str">
        <f>IF(B675="", "", 'Lighting Inventory (Ref only)'!AE686)</f>
        <v/>
      </c>
      <c r="AN675" s="375" t="str">
        <f>IF(B675="", "", 'Lighting Inventory (Ref only)'!AF686)</f>
        <v/>
      </c>
      <c r="AO675" s="375" t="str">
        <f>IF(B675="", "", 'Lighting Inventory (Ref only)'!AG686)</f>
        <v/>
      </c>
    </row>
    <row r="676" spans="1:41">
      <c r="A676" s="298" t="str">
        <f>IF(G676="", "", Lookups!BF678)</f>
        <v/>
      </c>
      <c r="B676" s="298" t="str">
        <f>IF('Lighting Inventory (Ref only)'!Q687="", "", 'Lighting Inventory (Ref only)'!Q687)</f>
        <v/>
      </c>
      <c r="C676" s="298" t="str">
        <f>IF(A676="", "", 'Lighting Inventory (Ref only)'!AO687)</f>
        <v/>
      </c>
      <c r="D676" s="298" t="str">
        <f>IF(B676= "","", Inventory!S684)</f>
        <v/>
      </c>
      <c r="F676" s="298" t="str">
        <f>IF(B676="", "", 'Version Log'!$B$34)</f>
        <v/>
      </c>
      <c r="G676" s="298" t="str">
        <f t="shared" si="40"/>
        <v/>
      </c>
      <c r="H676" s="298" t="str">
        <f t="shared" si="41"/>
        <v/>
      </c>
      <c r="I676" s="298" t="str">
        <f>IF(B676="", "",Inventory!D684)</f>
        <v/>
      </c>
      <c r="J676" s="298" t="str">
        <f>IF(B676="","",IF(Inventory!C684="N","Interior","Exterior"))</f>
        <v/>
      </c>
      <c r="K676" s="298" t="str">
        <f t="shared" si="42"/>
        <v/>
      </c>
      <c r="L676" s="298" t="str">
        <f>IF(B676="", "", Inventory!E684)</f>
        <v/>
      </c>
      <c r="M676" s="298" t="str">
        <f>IF(B676="","",IF(Cool_Type=Lookups!$L$9,Cool_Type,IF(Cool_Type=Lookups!$L$10,Cool_Type,IF(Cool_Type=Lookups!$L$11,Cool_Type,IF(Cool_Type=Lookups!L686,Cool_Type,IF('Project Info and Summary'!$C$20="Electric",CONCATENATE(Cool_Type," ",Heating_Type," Heat"),IF('Project Info and Summary'!$C$20="Non-Electric",CONCATENATE(Cool_Type," ",Heating_Type," Heat"),CONCATENATE(Cool_Type," ",Heating_Type))))))))</f>
        <v/>
      </c>
      <c r="N676" s="298" t="str">
        <f t="shared" si="43"/>
        <v/>
      </c>
      <c r="O676" s="298" t="str">
        <f>IF(B676="", "", 'Lighting Inventory (Ref only)'!G687)</f>
        <v/>
      </c>
      <c r="P676" s="298" t="str">
        <f>IF(B676="", "", 'Lighting Inventory (Ref only)'!E687)</f>
        <v/>
      </c>
      <c r="Q676" s="298" t="str">
        <f>IF(B676="", "", 'Lighting Inventory (Ref only)'!J687)</f>
        <v/>
      </c>
      <c r="R676" s="298" t="str">
        <f>IF(B676="", "",'Lighting Inventory (Ref only)'!K687)</f>
        <v/>
      </c>
      <c r="S676" s="372" t="str">
        <f>IF(B676="", "", 'Lighting Inventory (Ref only)'!G687*'Lighting Inventory (Ref only)'!K687/1000)</f>
        <v/>
      </c>
      <c r="T676" s="298" t="str">
        <f>IF(B676="", "", IF('Lighting Inventory (Ref only)'!I687="", "Light Switch",Inventory!H684))</f>
        <v/>
      </c>
      <c r="X676" s="298" t="str">
        <f>IF(B676="", "", 'Lighting Inventory (Ref only)'!Q687)</f>
        <v/>
      </c>
      <c r="AA676" s="298" t="str">
        <f>IF(B676="", "",'Lighting Inventory (Ref only)'!R687/1000)</f>
        <v/>
      </c>
      <c r="AB676" s="298" t="str">
        <f>IF(B676="", "", Inventory!M684)</f>
        <v/>
      </c>
      <c r="AC676" s="298" t="str">
        <f>IF(B676="", "", 'Lighting Inventory (Ref only)'!T687)</f>
        <v/>
      </c>
      <c r="AD676" s="298" t="str">
        <f>IF(C676="", "", 'Lighting Inventory (Ref only)'!AA687)</f>
        <v/>
      </c>
      <c r="AE676" s="298" t="str">
        <f>IF(B676="", "", 'Lighting Inventory (Ref only)'!U687)</f>
        <v/>
      </c>
      <c r="AF676" s="298" t="str">
        <f>IF(B676="", "",'Lighting Inventory (Ref only)'!W687)</f>
        <v/>
      </c>
      <c r="AH676" s="298" t="str">
        <f>IF(B676="", "",'Lighting Inventory (Ref only)'!Z687)</f>
        <v/>
      </c>
      <c r="AI676" s="298" t="str">
        <f>IF(B676="", "", 'Lighting Inventory (Ref only)'!Y687)</f>
        <v/>
      </c>
      <c r="AJ676" s="298" t="str">
        <f>IF(C676="", "",'Lighting Inventory (Ref only)'!AB687)</f>
        <v/>
      </c>
      <c r="AK676" s="375" t="str">
        <f>IF(B676="", "", 'Lighting Inventory (Ref only)'!AG687)</f>
        <v/>
      </c>
      <c r="AL676" s="375" t="str">
        <f>IF(B676="", "", 'Lighting Inventory (Ref only)'!AD687)</f>
        <v/>
      </c>
      <c r="AM676" s="375" t="str">
        <f>IF(B676="", "", 'Lighting Inventory (Ref only)'!AE687)</f>
        <v/>
      </c>
      <c r="AN676" s="375" t="str">
        <f>IF(B676="", "", 'Lighting Inventory (Ref only)'!AF687)</f>
        <v/>
      </c>
      <c r="AO676" s="375" t="str">
        <f>IF(B676="", "", 'Lighting Inventory (Ref only)'!AG687)</f>
        <v/>
      </c>
    </row>
    <row r="677" spans="1:41">
      <c r="A677" s="298" t="str">
        <f>IF(G677="", "", Lookups!BF679)</f>
        <v/>
      </c>
      <c r="B677" s="298" t="str">
        <f>IF('Lighting Inventory (Ref only)'!Q688="", "", 'Lighting Inventory (Ref only)'!Q688)</f>
        <v/>
      </c>
      <c r="C677" s="298" t="str">
        <f>IF(A677="", "", 'Lighting Inventory (Ref only)'!AO688)</f>
        <v/>
      </c>
      <c r="D677" s="298" t="str">
        <f>IF(B677= "","", Inventory!S685)</f>
        <v/>
      </c>
      <c r="F677" s="298" t="str">
        <f>IF(B677="", "", 'Version Log'!$B$34)</f>
        <v/>
      </c>
      <c r="G677" s="298" t="str">
        <f t="shared" si="40"/>
        <v/>
      </c>
      <c r="H677" s="298" t="str">
        <f t="shared" si="41"/>
        <v/>
      </c>
      <c r="I677" s="298" t="str">
        <f>IF(B677="", "",Inventory!D685)</f>
        <v/>
      </c>
      <c r="J677" s="298" t="str">
        <f>IF(B677="","",IF(Inventory!C685="N","Interior","Exterior"))</f>
        <v/>
      </c>
      <c r="K677" s="298" t="str">
        <f t="shared" si="42"/>
        <v/>
      </c>
      <c r="L677" s="298" t="str">
        <f>IF(B677="", "", Inventory!E685)</f>
        <v/>
      </c>
      <c r="M677" s="298" t="str">
        <f>IF(B677="","",IF(Cool_Type=Lookups!$L$9,Cool_Type,IF(Cool_Type=Lookups!$L$10,Cool_Type,IF(Cool_Type=Lookups!$L$11,Cool_Type,IF(Cool_Type=Lookups!L687,Cool_Type,IF('Project Info and Summary'!$C$20="Electric",CONCATENATE(Cool_Type," ",Heating_Type," Heat"),IF('Project Info and Summary'!$C$20="Non-Electric",CONCATENATE(Cool_Type," ",Heating_Type," Heat"),CONCATENATE(Cool_Type," ",Heating_Type))))))))</f>
        <v/>
      </c>
      <c r="N677" s="298" t="str">
        <f t="shared" si="43"/>
        <v/>
      </c>
      <c r="O677" s="298" t="str">
        <f>IF(B677="", "", 'Lighting Inventory (Ref only)'!G688)</f>
        <v/>
      </c>
      <c r="P677" s="298" t="str">
        <f>IF(B677="", "", 'Lighting Inventory (Ref only)'!E688)</f>
        <v/>
      </c>
      <c r="Q677" s="298" t="str">
        <f>IF(B677="", "", 'Lighting Inventory (Ref only)'!J688)</f>
        <v/>
      </c>
      <c r="R677" s="298" t="str">
        <f>IF(B677="", "",'Lighting Inventory (Ref only)'!K688)</f>
        <v/>
      </c>
      <c r="S677" s="372" t="str">
        <f>IF(B677="", "", 'Lighting Inventory (Ref only)'!G688*'Lighting Inventory (Ref only)'!K688/1000)</f>
        <v/>
      </c>
      <c r="T677" s="298" t="str">
        <f>IF(B677="", "", IF('Lighting Inventory (Ref only)'!I688="", "Light Switch",Inventory!H685))</f>
        <v/>
      </c>
      <c r="X677" s="298" t="str">
        <f>IF(B677="", "", 'Lighting Inventory (Ref only)'!Q688)</f>
        <v/>
      </c>
      <c r="AA677" s="298" t="str">
        <f>IF(B677="", "",'Lighting Inventory (Ref only)'!R688/1000)</f>
        <v/>
      </c>
      <c r="AB677" s="298" t="str">
        <f>IF(B677="", "", Inventory!M685)</f>
        <v/>
      </c>
      <c r="AC677" s="298" t="str">
        <f>IF(B677="", "", 'Lighting Inventory (Ref only)'!T688)</f>
        <v/>
      </c>
      <c r="AD677" s="298" t="str">
        <f>IF(C677="", "", 'Lighting Inventory (Ref only)'!AA688)</f>
        <v/>
      </c>
      <c r="AE677" s="298" t="str">
        <f>IF(B677="", "", 'Lighting Inventory (Ref only)'!U688)</f>
        <v/>
      </c>
      <c r="AF677" s="298" t="str">
        <f>IF(B677="", "",'Lighting Inventory (Ref only)'!W688)</f>
        <v/>
      </c>
      <c r="AH677" s="298" t="str">
        <f>IF(B677="", "",'Lighting Inventory (Ref only)'!Z688)</f>
        <v/>
      </c>
      <c r="AI677" s="298" t="str">
        <f>IF(B677="", "", 'Lighting Inventory (Ref only)'!Y688)</f>
        <v/>
      </c>
      <c r="AJ677" s="298" t="str">
        <f>IF(C677="", "",'Lighting Inventory (Ref only)'!AB688)</f>
        <v/>
      </c>
      <c r="AK677" s="375" t="str">
        <f>IF(B677="", "", 'Lighting Inventory (Ref only)'!AG688)</f>
        <v/>
      </c>
      <c r="AL677" s="375" t="str">
        <f>IF(B677="", "", 'Lighting Inventory (Ref only)'!AD688)</f>
        <v/>
      </c>
      <c r="AM677" s="375" t="str">
        <f>IF(B677="", "", 'Lighting Inventory (Ref only)'!AE688)</f>
        <v/>
      </c>
      <c r="AN677" s="375" t="str">
        <f>IF(B677="", "", 'Lighting Inventory (Ref only)'!AF688)</f>
        <v/>
      </c>
      <c r="AO677" s="375" t="str">
        <f>IF(B677="", "", 'Lighting Inventory (Ref only)'!AG688)</f>
        <v/>
      </c>
    </row>
    <row r="678" spans="1:41">
      <c r="A678" s="298" t="str">
        <f>IF(G678="", "", Lookups!BF680)</f>
        <v/>
      </c>
      <c r="B678" s="298" t="str">
        <f>IF('Lighting Inventory (Ref only)'!Q689="", "", 'Lighting Inventory (Ref only)'!Q689)</f>
        <v/>
      </c>
      <c r="C678" s="298" t="str">
        <f>IF(A678="", "", 'Lighting Inventory (Ref only)'!AO689)</f>
        <v/>
      </c>
      <c r="D678" s="298" t="str">
        <f>IF(B678= "","", Inventory!S686)</f>
        <v/>
      </c>
      <c r="F678" s="298" t="str">
        <f>IF(B678="", "", 'Version Log'!$B$34)</f>
        <v/>
      </c>
      <c r="G678" s="298" t="str">
        <f t="shared" si="40"/>
        <v/>
      </c>
      <c r="H678" s="298" t="str">
        <f t="shared" si="41"/>
        <v/>
      </c>
      <c r="I678" s="298" t="str">
        <f>IF(B678="", "",Inventory!D686)</f>
        <v/>
      </c>
      <c r="J678" s="298" t="str">
        <f>IF(B678="","",IF(Inventory!C686="N","Interior","Exterior"))</f>
        <v/>
      </c>
      <c r="K678" s="298" t="str">
        <f t="shared" si="42"/>
        <v/>
      </c>
      <c r="L678" s="298" t="str">
        <f>IF(B678="", "", Inventory!E686)</f>
        <v/>
      </c>
      <c r="M678" s="298" t="str">
        <f>IF(B678="","",IF(Cool_Type=Lookups!$L$9,Cool_Type,IF(Cool_Type=Lookups!$L$10,Cool_Type,IF(Cool_Type=Lookups!$L$11,Cool_Type,IF(Cool_Type=Lookups!L688,Cool_Type,IF('Project Info and Summary'!$C$20="Electric",CONCATENATE(Cool_Type," ",Heating_Type," Heat"),IF('Project Info and Summary'!$C$20="Non-Electric",CONCATENATE(Cool_Type," ",Heating_Type," Heat"),CONCATENATE(Cool_Type," ",Heating_Type))))))))</f>
        <v/>
      </c>
      <c r="N678" s="298" t="str">
        <f t="shared" si="43"/>
        <v/>
      </c>
      <c r="O678" s="298" t="str">
        <f>IF(B678="", "", 'Lighting Inventory (Ref only)'!G689)</f>
        <v/>
      </c>
      <c r="P678" s="298" t="str">
        <f>IF(B678="", "", 'Lighting Inventory (Ref only)'!E689)</f>
        <v/>
      </c>
      <c r="Q678" s="298" t="str">
        <f>IF(B678="", "", 'Lighting Inventory (Ref only)'!J689)</f>
        <v/>
      </c>
      <c r="R678" s="298" t="str">
        <f>IF(B678="", "",'Lighting Inventory (Ref only)'!K689)</f>
        <v/>
      </c>
      <c r="S678" s="372" t="str">
        <f>IF(B678="", "", 'Lighting Inventory (Ref only)'!G689*'Lighting Inventory (Ref only)'!K689/1000)</f>
        <v/>
      </c>
      <c r="T678" s="298" t="str">
        <f>IF(B678="", "", IF('Lighting Inventory (Ref only)'!I689="", "Light Switch",Inventory!H686))</f>
        <v/>
      </c>
      <c r="X678" s="298" t="str">
        <f>IF(B678="", "", 'Lighting Inventory (Ref only)'!Q689)</f>
        <v/>
      </c>
      <c r="AA678" s="298" t="str">
        <f>IF(B678="", "",'Lighting Inventory (Ref only)'!R689/1000)</f>
        <v/>
      </c>
      <c r="AB678" s="298" t="str">
        <f>IF(B678="", "", Inventory!M686)</f>
        <v/>
      </c>
      <c r="AC678" s="298" t="str">
        <f>IF(B678="", "", 'Lighting Inventory (Ref only)'!T689)</f>
        <v/>
      </c>
      <c r="AD678" s="298" t="str">
        <f>IF(C678="", "", 'Lighting Inventory (Ref only)'!AA689)</f>
        <v/>
      </c>
      <c r="AE678" s="298" t="str">
        <f>IF(B678="", "", 'Lighting Inventory (Ref only)'!U689)</f>
        <v/>
      </c>
      <c r="AF678" s="298" t="str">
        <f>IF(B678="", "",'Lighting Inventory (Ref only)'!W689)</f>
        <v/>
      </c>
      <c r="AH678" s="298" t="str">
        <f>IF(B678="", "",'Lighting Inventory (Ref only)'!Z689)</f>
        <v/>
      </c>
      <c r="AI678" s="298" t="str">
        <f>IF(B678="", "", 'Lighting Inventory (Ref only)'!Y689)</f>
        <v/>
      </c>
      <c r="AJ678" s="298" t="str">
        <f>IF(C678="", "",'Lighting Inventory (Ref only)'!AB689)</f>
        <v/>
      </c>
      <c r="AK678" s="375" t="str">
        <f>IF(B678="", "", 'Lighting Inventory (Ref only)'!AG689)</f>
        <v/>
      </c>
      <c r="AL678" s="375" t="str">
        <f>IF(B678="", "", 'Lighting Inventory (Ref only)'!AD689)</f>
        <v/>
      </c>
      <c r="AM678" s="375" t="str">
        <f>IF(B678="", "", 'Lighting Inventory (Ref only)'!AE689)</f>
        <v/>
      </c>
      <c r="AN678" s="375" t="str">
        <f>IF(B678="", "", 'Lighting Inventory (Ref only)'!AF689)</f>
        <v/>
      </c>
      <c r="AO678" s="375" t="str">
        <f>IF(B678="", "", 'Lighting Inventory (Ref only)'!AG689)</f>
        <v/>
      </c>
    </row>
    <row r="679" spans="1:41">
      <c r="A679" s="298" t="str">
        <f>IF(G679="", "", Lookups!BF681)</f>
        <v/>
      </c>
      <c r="B679" s="298" t="str">
        <f>IF('Lighting Inventory (Ref only)'!Q690="", "", 'Lighting Inventory (Ref only)'!Q690)</f>
        <v/>
      </c>
      <c r="C679" s="298" t="str">
        <f>IF(A679="", "", 'Lighting Inventory (Ref only)'!AO690)</f>
        <v/>
      </c>
      <c r="D679" s="298" t="str">
        <f>IF(B679= "","", Inventory!S687)</f>
        <v/>
      </c>
      <c r="F679" s="298" t="str">
        <f>IF(B679="", "", 'Version Log'!$B$34)</f>
        <v/>
      </c>
      <c r="G679" s="298" t="str">
        <f t="shared" si="40"/>
        <v/>
      </c>
      <c r="H679" s="298" t="str">
        <f t="shared" si="41"/>
        <v/>
      </c>
      <c r="I679" s="298" t="str">
        <f>IF(B679="", "",Inventory!D687)</f>
        <v/>
      </c>
      <c r="J679" s="298" t="str">
        <f>IF(B679="","",IF(Inventory!C687="N","Interior","Exterior"))</f>
        <v/>
      </c>
      <c r="K679" s="298" t="str">
        <f t="shared" si="42"/>
        <v/>
      </c>
      <c r="L679" s="298" t="str">
        <f>IF(B679="", "", Inventory!E687)</f>
        <v/>
      </c>
      <c r="M679" s="298" t="str">
        <f>IF(B679="","",IF(Cool_Type=Lookups!$L$9,Cool_Type,IF(Cool_Type=Lookups!$L$10,Cool_Type,IF(Cool_Type=Lookups!$L$11,Cool_Type,IF(Cool_Type=Lookups!L689,Cool_Type,IF('Project Info and Summary'!$C$20="Electric",CONCATENATE(Cool_Type," ",Heating_Type," Heat"),IF('Project Info and Summary'!$C$20="Non-Electric",CONCATENATE(Cool_Type," ",Heating_Type," Heat"),CONCATENATE(Cool_Type," ",Heating_Type))))))))</f>
        <v/>
      </c>
      <c r="N679" s="298" t="str">
        <f t="shared" si="43"/>
        <v/>
      </c>
      <c r="O679" s="298" t="str">
        <f>IF(B679="", "", 'Lighting Inventory (Ref only)'!G690)</f>
        <v/>
      </c>
      <c r="P679" s="298" t="str">
        <f>IF(B679="", "", 'Lighting Inventory (Ref only)'!E690)</f>
        <v/>
      </c>
      <c r="Q679" s="298" t="str">
        <f>IF(B679="", "", 'Lighting Inventory (Ref only)'!J690)</f>
        <v/>
      </c>
      <c r="R679" s="298" t="str">
        <f>IF(B679="", "",'Lighting Inventory (Ref only)'!K690)</f>
        <v/>
      </c>
      <c r="S679" s="372" t="str">
        <f>IF(B679="", "", 'Lighting Inventory (Ref only)'!G690*'Lighting Inventory (Ref only)'!K690/1000)</f>
        <v/>
      </c>
      <c r="T679" s="298" t="str">
        <f>IF(B679="", "", IF('Lighting Inventory (Ref only)'!I690="", "Light Switch",Inventory!H687))</f>
        <v/>
      </c>
      <c r="X679" s="298" t="str">
        <f>IF(B679="", "", 'Lighting Inventory (Ref only)'!Q690)</f>
        <v/>
      </c>
      <c r="AA679" s="298" t="str">
        <f>IF(B679="", "",'Lighting Inventory (Ref only)'!R690/1000)</f>
        <v/>
      </c>
      <c r="AB679" s="298" t="str">
        <f>IF(B679="", "", Inventory!M687)</f>
        <v/>
      </c>
      <c r="AC679" s="298" t="str">
        <f>IF(B679="", "", 'Lighting Inventory (Ref only)'!T690)</f>
        <v/>
      </c>
      <c r="AD679" s="298" t="str">
        <f>IF(C679="", "", 'Lighting Inventory (Ref only)'!AA690)</f>
        <v/>
      </c>
      <c r="AE679" s="298" t="str">
        <f>IF(B679="", "", 'Lighting Inventory (Ref only)'!U690)</f>
        <v/>
      </c>
      <c r="AF679" s="298" t="str">
        <f>IF(B679="", "",'Lighting Inventory (Ref only)'!W690)</f>
        <v/>
      </c>
      <c r="AH679" s="298" t="str">
        <f>IF(B679="", "",'Lighting Inventory (Ref only)'!Z690)</f>
        <v/>
      </c>
      <c r="AI679" s="298" t="str">
        <f>IF(B679="", "", 'Lighting Inventory (Ref only)'!Y690)</f>
        <v/>
      </c>
      <c r="AJ679" s="298" t="str">
        <f>IF(C679="", "",'Lighting Inventory (Ref only)'!AB690)</f>
        <v/>
      </c>
      <c r="AK679" s="375" t="str">
        <f>IF(B679="", "", 'Lighting Inventory (Ref only)'!AG690)</f>
        <v/>
      </c>
      <c r="AL679" s="375" t="str">
        <f>IF(B679="", "", 'Lighting Inventory (Ref only)'!AD690)</f>
        <v/>
      </c>
      <c r="AM679" s="375" t="str">
        <f>IF(B679="", "", 'Lighting Inventory (Ref only)'!AE690)</f>
        <v/>
      </c>
      <c r="AN679" s="375" t="str">
        <f>IF(B679="", "", 'Lighting Inventory (Ref only)'!AF690)</f>
        <v/>
      </c>
      <c r="AO679" s="375" t="str">
        <f>IF(B679="", "", 'Lighting Inventory (Ref only)'!AG690)</f>
        <v/>
      </c>
    </row>
    <row r="680" spans="1:41">
      <c r="A680" s="298" t="str">
        <f>IF(G680="", "", Lookups!BF682)</f>
        <v/>
      </c>
      <c r="B680" s="298" t="str">
        <f>IF('Lighting Inventory (Ref only)'!Q691="", "", 'Lighting Inventory (Ref only)'!Q691)</f>
        <v/>
      </c>
      <c r="C680" s="298" t="str">
        <f>IF(A680="", "", 'Lighting Inventory (Ref only)'!AO691)</f>
        <v/>
      </c>
      <c r="D680" s="298" t="str">
        <f>IF(B680= "","", Inventory!S688)</f>
        <v/>
      </c>
      <c r="F680" s="298" t="str">
        <f>IF(B680="", "", 'Version Log'!$B$34)</f>
        <v/>
      </c>
      <c r="G680" s="298" t="str">
        <f t="shared" si="40"/>
        <v/>
      </c>
      <c r="H680" s="298" t="str">
        <f t="shared" si="41"/>
        <v/>
      </c>
      <c r="I680" s="298" t="str">
        <f>IF(B680="", "",Inventory!D688)</f>
        <v/>
      </c>
      <c r="J680" s="298" t="str">
        <f>IF(B680="","",IF(Inventory!C688="N","Interior","Exterior"))</f>
        <v/>
      </c>
      <c r="K680" s="298" t="str">
        <f t="shared" si="42"/>
        <v/>
      </c>
      <c r="L680" s="298" t="str">
        <f>IF(B680="", "", Inventory!E688)</f>
        <v/>
      </c>
      <c r="M680" s="298" t="str">
        <f>IF(B680="","",IF(Cool_Type=Lookups!$L$9,Cool_Type,IF(Cool_Type=Lookups!$L$10,Cool_Type,IF(Cool_Type=Lookups!$L$11,Cool_Type,IF(Cool_Type=Lookups!L690,Cool_Type,IF('Project Info and Summary'!$C$20="Electric",CONCATENATE(Cool_Type," ",Heating_Type," Heat"),IF('Project Info and Summary'!$C$20="Non-Electric",CONCATENATE(Cool_Type," ",Heating_Type," Heat"),CONCATENATE(Cool_Type," ",Heating_Type))))))))</f>
        <v/>
      </c>
      <c r="N680" s="298" t="str">
        <f t="shared" si="43"/>
        <v/>
      </c>
      <c r="O680" s="298" t="str">
        <f>IF(B680="", "", 'Lighting Inventory (Ref only)'!G691)</f>
        <v/>
      </c>
      <c r="P680" s="298" t="str">
        <f>IF(B680="", "", 'Lighting Inventory (Ref only)'!E691)</f>
        <v/>
      </c>
      <c r="Q680" s="298" t="str">
        <f>IF(B680="", "", 'Lighting Inventory (Ref only)'!J691)</f>
        <v/>
      </c>
      <c r="R680" s="298" t="str">
        <f>IF(B680="", "",'Lighting Inventory (Ref only)'!K691)</f>
        <v/>
      </c>
      <c r="S680" s="372" t="str">
        <f>IF(B680="", "", 'Lighting Inventory (Ref only)'!G691*'Lighting Inventory (Ref only)'!K691/1000)</f>
        <v/>
      </c>
      <c r="T680" s="298" t="str">
        <f>IF(B680="", "", IF('Lighting Inventory (Ref only)'!I691="", "Light Switch",Inventory!H688))</f>
        <v/>
      </c>
      <c r="X680" s="298" t="str">
        <f>IF(B680="", "", 'Lighting Inventory (Ref only)'!Q691)</f>
        <v/>
      </c>
      <c r="AA680" s="298" t="str">
        <f>IF(B680="", "",'Lighting Inventory (Ref only)'!R691/1000)</f>
        <v/>
      </c>
      <c r="AB680" s="298" t="str">
        <f>IF(B680="", "", Inventory!M688)</f>
        <v/>
      </c>
      <c r="AC680" s="298" t="str">
        <f>IF(B680="", "", 'Lighting Inventory (Ref only)'!T691)</f>
        <v/>
      </c>
      <c r="AD680" s="298" t="str">
        <f>IF(C680="", "", 'Lighting Inventory (Ref only)'!AA691)</f>
        <v/>
      </c>
      <c r="AE680" s="298" t="str">
        <f>IF(B680="", "", 'Lighting Inventory (Ref only)'!U691)</f>
        <v/>
      </c>
      <c r="AF680" s="298" t="str">
        <f>IF(B680="", "",'Lighting Inventory (Ref only)'!W691)</f>
        <v/>
      </c>
      <c r="AH680" s="298" t="str">
        <f>IF(B680="", "",'Lighting Inventory (Ref only)'!Z691)</f>
        <v/>
      </c>
      <c r="AI680" s="298" t="str">
        <f>IF(B680="", "", 'Lighting Inventory (Ref only)'!Y691)</f>
        <v/>
      </c>
      <c r="AJ680" s="298" t="str">
        <f>IF(C680="", "",'Lighting Inventory (Ref only)'!AB691)</f>
        <v/>
      </c>
      <c r="AK680" s="375" t="str">
        <f>IF(B680="", "", 'Lighting Inventory (Ref only)'!AG691)</f>
        <v/>
      </c>
      <c r="AL680" s="375" t="str">
        <f>IF(B680="", "", 'Lighting Inventory (Ref only)'!AD691)</f>
        <v/>
      </c>
      <c r="AM680" s="375" t="str">
        <f>IF(B680="", "", 'Lighting Inventory (Ref only)'!AE691)</f>
        <v/>
      </c>
      <c r="AN680" s="375" t="str">
        <f>IF(B680="", "", 'Lighting Inventory (Ref only)'!AF691)</f>
        <v/>
      </c>
      <c r="AO680" s="375" t="str">
        <f>IF(B680="", "", 'Lighting Inventory (Ref only)'!AG691)</f>
        <v/>
      </c>
    </row>
    <row r="681" spans="1:41">
      <c r="A681" s="298" t="str">
        <f>IF(G681="", "", Lookups!BF683)</f>
        <v/>
      </c>
      <c r="B681" s="298" t="str">
        <f>IF('Lighting Inventory (Ref only)'!Q692="", "", 'Lighting Inventory (Ref only)'!Q692)</f>
        <v/>
      </c>
      <c r="C681" s="298" t="str">
        <f>IF(A681="", "", 'Lighting Inventory (Ref only)'!AO692)</f>
        <v/>
      </c>
      <c r="D681" s="298" t="str">
        <f>IF(B681= "","", Inventory!S689)</f>
        <v/>
      </c>
      <c r="F681" s="298" t="str">
        <f>IF(B681="", "", 'Version Log'!$B$34)</f>
        <v/>
      </c>
      <c r="G681" s="298" t="str">
        <f t="shared" si="40"/>
        <v/>
      </c>
      <c r="H681" s="298" t="str">
        <f t="shared" si="41"/>
        <v/>
      </c>
      <c r="I681" s="298" t="str">
        <f>IF(B681="", "",Inventory!D689)</f>
        <v/>
      </c>
      <c r="J681" s="298" t="str">
        <f>IF(B681="","",IF(Inventory!C689="N","Interior","Exterior"))</f>
        <v/>
      </c>
      <c r="K681" s="298" t="str">
        <f t="shared" si="42"/>
        <v/>
      </c>
      <c r="L681" s="298" t="str">
        <f>IF(B681="", "", Inventory!E689)</f>
        <v/>
      </c>
      <c r="M681" s="298" t="str">
        <f>IF(B681="","",IF(Cool_Type=Lookups!$L$9,Cool_Type,IF(Cool_Type=Lookups!$L$10,Cool_Type,IF(Cool_Type=Lookups!$L$11,Cool_Type,IF(Cool_Type=Lookups!L691,Cool_Type,IF('Project Info and Summary'!$C$20="Electric",CONCATENATE(Cool_Type," ",Heating_Type," Heat"),IF('Project Info and Summary'!$C$20="Non-Electric",CONCATENATE(Cool_Type," ",Heating_Type," Heat"),CONCATENATE(Cool_Type," ",Heating_Type))))))))</f>
        <v/>
      </c>
      <c r="N681" s="298" t="str">
        <f t="shared" si="43"/>
        <v/>
      </c>
      <c r="O681" s="298" t="str">
        <f>IF(B681="", "", 'Lighting Inventory (Ref only)'!G692)</f>
        <v/>
      </c>
      <c r="P681" s="298" t="str">
        <f>IF(B681="", "", 'Lighting Inventory (Ref only)'!E692)</f>
        <v/>
      </c>
      <c r="Q681" s="298" t="str">
        <f>IF(B681="", "", 'Lighting Inventory (Ref only)'!J692)</f>
        <v/>
      </c>
      <c r="R681" s="298" t="str">
        <f>IF(B681="", "",'Lighting Inventory (Ref only)'!K692)</f>
        <v/>
      </c>
      <c r="S681" s="372" t="str">
        <f>IF(B681="", "", 'Lighting Inventory (Ref only)'!G692*'Lighting Inventory (Ref only)'!K692/1000)</f>
        <v/>
      </c>
      <c r="T681" s="298" t="str">
        <f>IF(B681="", "", IF('Lighting Inventory (Ref only)'!I692="", "Light Switch",Inventory!H689))</f>
        <v/>
      </c>
      <c r="X681" s="298" t="str">
        <f>IF(B681="", "", 'Lighting Inventory (Ref only)'!Q692)</f>
        <v/>
      </c>
      <c r="AA681" s="298" t="str">
        <f>IF(B681="", "",'Lighting Inventory (Ref only)'!R692/1000)</f>
        <v/>
      </c>
      <c r="AB681" s="298" t="str">
        <f>IF(B681="", "", Inventory!M689)</f>
        <v/>
      </c>
      <c r="AC681" s="298" t="str">
        <f>IF(B681="", "", 'Lighting Inventory (Ref only)'!T692)</f>
        <v/>
      </c>
      <c r="AD681" s="298" t="str">
        <f>IF(C681="", "", 'Lighting Inventory (Ref only)'!AA692)</f>
        <v/>
      </c>
      <c r="AE681" s="298" t="str">
        <f>IF(B681="", "", 'Lighting Inventory (Ref only)'!U692)</f>
        <v/>
      </c>
      <c r="AF681" s="298" t="str">
        <f>IF(B681="", "",'Lighting Inventory (Ref only)'!W692)</f>
        <v/>
      </c>
      <c r="AH681" s="298" t="str">
        <f>IF(B681="", "",'Lighting Inventory (Ref only)'!Z692)</f>
        <v/>
      </c>
      <c r="AI681" s="298" t="str">
        <f>IF(B681="", "", 'Lighting Inventory (Ref only)'!Y692)</f>
        <v/>
      </c>
      <c r="AJ681" s="298" t="str">
        <f>IF(C681="", "",'Lighting Inventory (Ref only)'!AB692)</f>
        <v/>
      </c>
      <c r="AK681" s="375" t="str">
        <f>IF(B681="", "", 'Lighting Inventory (Ref only)'!AG692)</f>
        <v/>
      </c>
      <c r="AL681" s="375" t="str">
        <f>IF(B681="", "", 'Lighting Inventory (Ref only)'!AD692)</f>
        <v/>
      </c>
      <c r="AM681" s="375" t="str">
        <f>IF(B681="", "", 'Lighting Inventory (Ref only)'!AE692)</f>
        <v/>
      </c>
      <c r="AN681" s="375" t="str">
        <f>IF(B681="", "", 'Lighting Inventory (Ref only)'!AF692)</f>
        <v/>
      </c>
      <c r="AO681" s="375" t="str">
        <f>IF(B681="", "", 'Lighting Inventory (Ref only)'!AG692)</f>
        <v/>
      </c>
    </row>
    <row r="682" spans="1:41">
      <c r="A682" s="298" t="str">
        <f>IF(G682="", "", Lookups!BF684)</f>
        <v/>
      </c>
      <c r="B682" s="298" t="str">
        <f>IF('Lighting Inventory (Ref only)'!Q693="", "", 'Lighting Inventory (Ref only)'!Q693)</f>
        <v/>
      </c>
      <c r="C682" s="298" t="str">
        <f>IF(A682="", "", 'Lighting Inventory (Ref only)'!AO693)</f>
        <v/>
      </c>
      <c r="D682" s="298" t="str">
        <f>IF(B682= "","", Inventory!S690)</f>
        <v/>
      </c>
      <c r="F682" s="298" t="str">
        <f>IF(B682="", "", 'Version Log'!$B$34)</f>
        <v/>
      </c>
      <c r="G682" s="298" t="str">
        <f t="shared" si="40"/>
        <v/>
      </c>
      <c r="H682" s="298" t="str">
        <f t="shared" si="41"/>
        <v/>
      </c>
      <c r="I682" s="298" t="str">
        <f>IF(B682="", "",Inventory!D690)</f>
        <v/>
      </c>
      <c r="J682" s="298" t="str">
        <f>IF(B682="","",IF(Inventory!C690="N","Interior","Exterior"))</f>
        <v/>
      </c>
      <c r="K682" s="298" t="str">
        <f t="shared" si="42"/>
        <v/>
      </c>
      <c r="L682" s="298" t="str">
        <f>IF(B682="", "", Inventory!E690)</f>
        <v/>
      </c>
      <c r="M682" s="298" t="str">
        <f>IF(B682="","",IF(Cool_Type=Lookups!$L$9,Cool_Type,IF(Cool_Type=Lookups!$L$10,Cool_Type,IF(Cool_Type=Lookups!$L$11,Cool_Type,IF(Cool_Type=Lookups!L692,Cool_Type,IF('Project Info and Summary'!$C$20="Electric",CONCATENATE(Cool_Type," ",Heating_Type," Heat"),IF('Project Info and Summary'!$C$20="Non-Electric",CONCATENATE(Cool_Type," ",Heating_Type," Heat"),CONCATENATE(Cool_Type," ",Heating_Type))))))))</f>
        <v/>
      </c>
      <c r="N682" s="298" t="str">
        <f t="shared" si="43"/>
        <v/>
      </c>
      <c r="O682" s="298" t="str">
        <f>IF(B682="", "", 'Lighting Inventory (Ref only)'!G693)</f>
        <v/>
      </c>
      <c r="P682" s="298" t="str">
        <f>IF(B682="", "", 'Lighting Inventory (Ref only)'!E693)</f>
        <v/>
      </c>
      <c r="Q682" s="298" t="str">
        <f>IF(B682="", "", 'Lighting Inventory (Ref only)'!J693)</f>
        <v/>
      </c>
      <c r="R682" s="298" t="str">
        <f>IF(B682="", "",'Lighting Inventory (Ref only)'!K693)</f>
        <v/>
      </c>
      <c r="S682" s="372" t="str">
        <f>IF(B682="", "", 'Lighting Inventory (Ref only)'!G693*'Lighting Inventory (Ref only)'!K693/1000)</f>
        <v/>
      </c>
      <c r="T682" s="298" t="str">
        <f>IF(B682="", "", IF('Lighting Inventory (Ref only)'!I693="", "Light Switch",Inventory!H690))</f>
        <v/>
      </c>
      <c r="X682" s="298" t="str">
        <f>IF(B682="", "", 'Lighting Inventory (Ref only)'!Q693)</f>
        <v/>
      </c>
      <c r="AA682" s="298" t="str">
        <f>IF(B682="", "",'Lighting Inventory (Ref only)'!R693/1000)</f>
        <v/>
      </c>
      <c r="AB682" s="298" t="str">
        <f>IF(B682="", "", Inventory!M690)</f>
        <v/>
      </c>
      <c r="AC682" s="298" t="str">
        <f>IF(B682="", "", 'Lighting Inventory (Ref only)'!T693)</f>
        <v/>
      </c>
      <c r="AD682" s="298" t="str">
        <f>IF(C682="", "", 'Lighting Inventory (Ref only)'!AA693)</f>
        <v/>
      </c>
      <c r="AE682" s="298" t="str">
        <f>IF(B682="", "", 'Lighting Inventory (Ref only)'!U693)</f>
        <v/>
      </c>
      <c r="AF682" s="298" t="str">
        <f>IF(B682="", "",'Lighting Inventory (Ref only)'!W693)</f>
        <v/>
      </c>
      <c r="AH682" s="298" t="str">
        <f>IF(B682="", "",'Lighting Inventory (Ref only)'!Z693)</f>
        <v/>
      </c>
      <c r="AI682" s="298" t="str">
        <f>IF(B682="", "", 'Lighting Inventory (Ref only)'!Y693)</f>
        <v/>
      </c>
      <c r="AJ682" s="298" t="str">
        <f>IF(C682="", "",'Lighting Inventory (Ref only)'!AB693)</f>
        <v/>
      </c>
      <c r="AK682" s="375" t="str">
        <f>IF(B682="", "", 'Lighting Inventory (Ref only)'!AG693)</f>
        <v/>
      </c>
      <c r="AL682" s="375" t="str">
        <f>IF(B682="", "", 'Lighting Inventory (Ref only)'!AD693)</f>
        <v/>
      </c>
      <c r="AM682" s="375" t="str">
        <f>IF(B682="", "", 'Lighting Inventory (Ref only)'!AE693)</f>
        <v/>
      </c>
      <c r="AN682" s="375" t="str">
        <f>IF(B682="", "", 'Lighting Inventory (Ref only)'!AF693)</f>
        <v/>
      </c>
      <c r="AO682" s="375" t="str">
        <f>IF(B682="", "", 'Lighting Inventory (Ref only)'!AG693)</f>
        <v/>
      </c>
    </row>
    <row r="683" spans="1:41">
      <c r="A683" s="298" t="str">
        <f>IF(G683="", "", Lookups!BF685)</f>
        <v/>
      </c>
      <c r="B683" s="298" t="str">
        <f>IF('Lighting Inventory (Ref only)'!Q694="", "", 'Lighting Inventory (Ref only)'!Q694)</f>
        <v/>
      </c>
      <c r="C683" s="298" t="str">
        <f>IF(A683="", "", 'Lighting Inventory (Ref only)'!AO694)</f>
        <v/>
      </c>
      <c r="D683" s="298" t="str">
        <f>IF(B683= "","", Inventory!S691)</f>
        <v/>
      </c>
      <c r="F683" s="298" t="str">
        <f>IF(B683="", "", 'Version Log'!$B$34)</f>
        <v/>
      </c>
      <c r="G683" s="298" t="str">
        <f t="shared" si="40"/>
        <v/>
      </c>
      <c r="H683" s="298" t="str">
        <f t="shared" si="41"/>
        <v/>
      </c>
      <c r="I683" s="298" t="str">
        <f>IF(B683="", "",Inventory!D691)</f>
        <v/>
      </c>
      <c r="J683" s="298" t="str">
        <f>IF(B683="","",IF(Inventory!C691="N","Interior","Exterior"))</f>
        <v/>
      </c>
      <c r="K683" s="298" t="str">
        <f t="shared" si="42"/>
        <v/>
      </c>
      <c r="L683" s="298" t="str">
        <f>IF(B683="", "", Inventory!E691)</f>
        <v/>
      </c>
      <c r="M683" s="298" t="str">
        <f>IF(B683="","",IF(Cool_Type=Lookups!$L$9,Cool_Type,IF(Cool_Type=Lookups!$L$10,Cool_Type,IF(Cool_Type=Lookups!$L$11,Cool_Type,IF(Cool_Type=Lookups!L693,Cool_Type,IF('Project Info and Summary'!$C$20="Electric",CONCATENATE(Cool_Type," ",Heating_Type," Heat"),IF('Project Info and Summary'!$C$20="Non-Electric",CONCATENATE(Cool_Type," ",Heating_Type," Heat"),CONCATENATE(Cool_Type," ",Heating_Type))))))))</f>
        <v/>
      </c>
      <c r="N683" s="298" t="str">
        <f t="shared" si="43"/>
        <v/>
      </c>
      <c r="O683" s="298" t="str">
        <f>IF(B683="", "", 'Lighting Inventory (Ref only)'!G694)</f>
        <v/>
      </c>
      <c r="P683" s="298" t="str">
        <f>IF(B683="", "", 'Lighting Inventory (Ref only)'!E694)</f>
        <v/>
      </c>
      <c r="Q683" s="298" t="str">
        <f>IF(B683="", "", 'Lighting Inventory (Ref only)'!J694)</f>
        <v/>
      </c>
      <c r="R683" s="298" t="str">
        <f>IF(B683="", "",'Lighting Inventory (Ref only)'!K694)</f>
        <v/>
      </c>
      <c r="S683" s="372" t="str">
        <f>IF(B683="", "", 'Lighting Inventory (Ref only)'!G694*'Lighting Inventory (Ref only)'!K694/1000)</f>
        <v/>
      </c>
      <c r="T683" s="298" t="str">
        <f>IF(B683="", "", IF('Lighting Inventory (Ref only)'!I694="", "Light Switch",Inventory!H691))</f>
        <v/>
      </c>
      <c r="X683" s="298" t="str">
        <f>IF(B683="", "", 'Lighting Inventory (Ref only)'!Q694)</f>
        <v/>
      </c>
      <c r="AA683" s="298" t="str">
        <f>IF(B683="", "",'Lighting Inventory (Ref only)'!R694/1000)</f>
        <v/>
      </c>
      <c r="AB683" s="298" t="str">
        <f>IF(B683="", "", Inventory!M691)</f>
        <v/>
      </c>
      <c r="AC683" s="298" t="str">
        <f>IF(B683="", "", 'Lighting Inventory (Ref only)'!T694)</f>
        <v/>
      </c>
      <c r="AD683" s="298" t="str">
        <f>IF(C683="", "", 'Lighting Inventory (Ref only)'!AA694)</f>
        <v/>
      </c>
      <c r="AE683" s="298" t="str">
        <f>IF(B683="", "", 'Lighting Inventory (Ref only)'!U694)</f>
        <v/>
      </c>
      <c r="AF683" s="298" t="str">
        <f>IF(B683="", "",'Lighting Inventory (Ref only)'!W694)</f>
        <v/>
      </c>
      <c r="AH683" s="298" t="str">
        <f>IF(B683="", "",'Lighting Inventory (Ref only)'!Z694)</f>
        <v/>
      </c>
      <c r="AI683" s="298" t="str">
        <f>IF(B683="", "", 'Lighting Inventory (Ref only)'!Y694)</f>
        <v/>
      </c>
      <c r="AJ683" s="298" t="str">
        <f>IF(C683="", "",'Lighting Inventory (Ref only)'!AB694)</f>
        <v/>
      </c>
      <c r="AK683" s="375" t="str">
        <f>IF(B683="", "", 'Lighting Inventory (Ref only)'!AG694)</f>
        <v/>
      </c>
      <c r="AL683" s="375" t="str">
        <f>IF(B683="", "", 'Lighting Inventory (Ref only)'!AD694)</f>
        <v/>
      </c>
      <c r="AM683" s="375" t="str">
        <f>IF(B683="", "", 'Lighting Inventory (Ref only)'!AE694)</f>
        <v/>
      </c>
      <c r="AN683" s="375" t="str">
        <f>IF(B683="", "", 'Lighting Inventory (Ref only)'!AF694)</f>
        <v/>
      </c>
      <c r="AO683" s="375" t="str">
        <f>IF(B683="", "", 'Lighting Inventory (Ref only)'!AG694)</f>
        <v/>
      </c>
    </row>
    <row r="684" spans="1:41">
      <c r="A684" s="298" t="str">
        <f>IF(G684="", "", Lookups!BF686)</f>
        <v/>
      </c>
      <c r="B684" s="298" t="str">
        <f>IF('Lighting Inventory (Ref only)'!Q695="", "", 'Lighting Inventory (Ref only)'!Q695)</f>
        <v/>
      </c>
      <c r="C684" s="298" t="str">
        <f>IF(A684="", "", 'Lighting Inventory (Ref only)'!AO695)</f>
        <v/>
      </c>
      <c r="D684" s="298" t="str">
        <f>IF(B684= "","", Inventory!S692)</f>
        <v/>
      </c>
      <c r="F684" s="298" t="str">
        <f>IF(B684="", "", 'Version Log'!$B$34)</f>
        <v/>
      </c>
      <c r="G684" s="298" t="str">
        <f t="shared" si="40"/>
        <v/>
      </c>
      <c r="H684" s="298" t="str">
        <f t="shared" si="41"/>
        <v/>
      </c>
      <c r="I684" s="298" t="str">
        <f>IF(B684="", "",Inventory!D692)</f>
        <v/>
      </c>
      <c r="J684" s="298" t="str">
        <f>IF(B684="","",IF(Inventory!C692="N","Interior","Exterior"))</f>
        <v/>
      </c>
      <c r="K684" s="298" t="str">
        <f t="shared" si="42"/>
        <v/>
      </c>
      <c r="L684" s="298" t="str">
        <f>IF(B684="", "", Inventory!E692)</f>
        <v/>
      </c>
      <c r="M684" s="298" t="str">
        <f>IF(B684="","",IF(Cool_Type=Lookups!$L$9,Cool_Type,IF(Cool_Type=Lookups!$L$10,Cool_Type,IF(Cool_Type=Lookups!$L$11,Cool_Type,IF(Cool_Type=Lookups!L694,Cool_Type,IF('Project Info and Summary'!$C$20="Electric",CONCATENATE(Cool_Type," ",Heating_Type," Heat"),IF('Project Info and Summary'!$C$20="Non-Electric",CONCATENATE(Cool_Type," ",Heating_Type," Heat"),CONCATENATE(Cool_Type," ",Heating_Type))))))))</f>
        <v/>
      </c>
      <c r="N684" s="298" t="str">
        <f t="shared" si="43"/>
        <v/>
      </c>
      <c r="O684" s="298" t="str">
        <f>IF(B684="", "", 'Lighting Inventory (Ref only)'!G695)</f>
        <v/>
      </c>
      <c r="P684" s="298" t="str">
        <f>IF(B684="", "", 'Lighting Inventory (Ref only)'!E695)</f>
        <v/>
      </c>
      <c r="Q684" s="298" t="str">
        <f>IF(B684="", "", 'Lighting Inventory (Ref only)'!J695)</f>
        <v/>
      </c>
      <c r="R684" s="298" t="str">
        <f>IF(B684="", "",'Lighting Inventory (Ref only)'!K695)</f>
        <v/>
      </c>
      <c r="S684" s="372" t="str">
        <f>IF(B684="", "", 'Lighting Inventory (Ref only)'!G695*'Lighting Inventory (Ref only)'!K695/1000)</f>
        <v/>
      </c>
      <c r="T684" s="298" t="str">
        <f>IF(B684="", "", IF('Lighting Inventory (Ref only)'!I695="", "Light Switch",Inventory!H692))</f>
        <v/>
      </c>
      <c r="X684" s="298" t="str">
        <f>IF(B684="", "", 'Lighting Inventory (Ref only)'!Q695)</f>
        <v/>
      </c>
      <c r="AA684" s="298" t="str">
        <f>IF(B684="", "",'Lighting Inventory (Ref only)'!R695/1000)</f>
        <v/>
      </c>
      <c r="AB684" s="298" t="str">
        <f>IF(B684="", "", Inventory!M692)</f>
        <v/>
      </c>
      <c r="AC684" s="298" t="str">
        <f>IF(B684="", "", 'Lighting Inventory (Ref only)'!T695)</f>
        <v/>
      </c>
      <c r="AD684" s="298" t="str">
        <f>IF(C684="", "", 'Lighting Inventory (Ref only)'!AA695)</f>
        <v/>
      </c>
      <c r="AE684" s="298" t="str">
        <f>IF(B684="", "", 'Lighting Inventory (Ref only)'!U695)</f>
        <v/>
      </c>
      <c r="AF684" s="298" t="str">
        <f>IF(B684="", "",'Lighting Inventory (Ref only)'!W695)</f>
        <v/>
      </c>
      <c r="AH684" s="298" t="str">
        <f>IF(B684="", "",'Lighting Inventory (Ref only)'!Z695)</f>
        <v/>
      </c>
      <c r="AI684" s="298" t="str">
        <f>IF(B684="", "", 'Lighting Inventory (Ref only)'!Y695)</f>
        <v/>
      </c>
      <c r="AJ684" s="298" t="str">
        <f>IF(C684="", "",'Lighting Inventory (Ref only)'!AB695)</f>
        <v/>
      </c>
      <c r="AK684" s="375" t="str">
        <f>IF(B684="", "", 'Lighting Inventory (Ref only)'!AG695)</f>
        <v/>
      </c>
      <c r="AL684" s="375" t="str">
        <f>IF(B684="", "", 'Lighting Inventory (Ref only)'!AD695)</f>
        <v/>
      </c>
      <c r="AM684" s="375" t="str">
        <f>IF(B684="", "", 'Lighting Inventory (Ref only)'!AE695)</f>
        <v/>
      </c>
      <c r="AN684" s="375" t="str">
        <f>IF(B684="", "", 'Lighting Inventory (Ref only)'!AF695)</f>
        <v/>
      </c>
      <c r="AO684" s="375" t="str">
        <f>IF(B684="", "", 'Lighting Inventory (Ref only)'!AG695)</f>
        <v/>
      </c>
    </row>
    <row r="685" spans="1:41">
      <c r="A685" s="298" t="str">
        <f>IF(G685="", "", Lookups!BF687)</f>
        <v/>
      </c>
      <c r="B685" s="298" t="str">
        <f>IF('Lighting Inventory (Ref only)'!Q696="", "", 'Lighting Inventory (Ref only)'!Q696)</f>
        <v/>
      </c>
      <c r="C685" s="298" t="str">
        <f>IF(A685="", "", 'Lighting Inventory (Ref only)'!AO696)</f>
        <v/>
      </c>
      <c r="D685" s="298" t="str">
        <f>IF(B685= "","", Inventory!S693)</f>
        <v/>
      </c>
      <c r="F685" s="298" t="str">
        <f>IF(B685="", "", 'Version Log'!$B$34)</f>
        <v/>
      </c>
      <c r="G685" s="298" t="str">
        <f t="shared" si="40"/>
        <v/>
      </c>
      <c r="H685" s="298" t="str">
        <f t="shared" si="41"/>
        <v/>
      </c>
      <c r="I685" s="298" t="str">
        <f>IF(B685="", "",Inventory!D693)</f>
        <v/>
      </c>
      <c r="J685" s="298" t="str">
        <f>IF(B685="","",IF(Inventory!C693="N","Interior","Exterior"))</f>
        <v/>
      </c>
      <c r="K685" s="298" t="str">
        <f t="shared" si="42"/>
        <v/>
      </c>
      <c r="L685" s="298" t="str">
        <f>IF(B685="", "", Inventory!E693)</f>
        <v/>
      </c>
      <c r="M685" s="298" t="str">
        <f>IF(B685="","",IF(Cool_Type=Lookups!$L$9,Cool_Type,IF(Cool_Type=Lookups!$L$10,Cool_Type,IF(Cool_Type=Lookups!$L$11,Cool_Type,IF(Cool_Type=Lookups!L695,Cool_Type,IF('Project Info and Summary'!$C$20="Electric",CONCATENATE(Cool_Type," ",Heating_Type," Heat"),IF('Project Info and Summary'!$C$20="Non-Electric",CONCATENATE(Cool_Type," ",Heating_Type," Heat"),CONCATENATE(Cool_Type," ",Heating_Type))))))))</f>
        <v/>
      </c>
      <c r="N685" s="298" t="str">
        <f t="shared" si="43"/>
        <v/>
      </c>
      <c r="O685" s="298" t="str">
        <f>IF(B685="", "", 'Lighting Inventory (Ref only)'!G696)</f>
        <v/>
      </c>
      <c r="P685" s="298" t="str">
        <f>IF(B685="", "", 'Lighting Inventory (Ref only)'!E696)</f>
        <v/>
      </c>
      <c r="Q685" s="298" t="str">
        <f>IF(B685="", "", 'Lighting Inventory (Ref only)'!J696)</f>
        <v/>
      </c>
      <c r="R685" s="298" t="str">
        <f>IF(B685="", "",'Lighting Inventory (Ref only)'!K696)</f>
        <v/>
      </c>
      <c r="S685" s="372" t="str">
        <f>IF(B685="", "", 'Lighting Inventory (Ref only)'!G696*'Lighting Inventory (Ref only)'!K696/1000)</f>
        <v/>
      </c>
      <c r="T685" s="298" t="str">
        <f>IF(B685="", "", IF('Lighting Inventory (Ref only)'!I696="", "Light Switch",Inventory!H693))</f>
        <v/>
      </c>
      <c r="X685" s="298" t="str">
        <f>IF(B685="", "", 'Lighting Inventory (Ref only)'!Q696)</f>
        <v/>
      </c>
      <c r="AA685" s="298" t="str">
        <f>IF(B685="", "",'Lighting Inventory (Ref only)'!R696/1000)</f>
        <v/>
      </c>
      <c r="AB685" s="298" t="str">
        <f>IF(B685="", "", Inventory!M693)</f>
        <v/>
      </c>
      <c r="AC685" s="298" t="str">
        <f>IF(B685="", "", 'Lighting Inventory (Ref only)'!T696)</f>
        <v/>
      </c>
      <c r="AD685" s="298" t="str">
        <f>IF(C685="", "", 'Lighting Inventory (Ref only)'!AA696)</f>
        <v/>
      </c>
      <c r="AE685" s="298" t="str">
        <f>IF(B685="", "", 'Lighting Inventory (Ref only)'!U696)</f>
        <v/>
      </c>
      <c r="AF685" s="298" t="str">
        <f>IF(B685="", "",'Lighting Inventory (Ref only)'!W696)</f>
        <v/>
      </c>
      <c r="AH685" s="298" t="str">
        <f>IF(B685="", "",'Lighting Inventory (Ref only)'!Z696)</f>
        <v/>
      </c>
      <c r="AI685" s="298" t="str">
        <f>IF(B685="", "", 'Lighting Inventory (Ref only)'!Y696)</f>
        <v/>
      </c>
      <c r="AJ685" s="298" t="str">
        <f>IF(C685="", "",'Lighting Inventory (Ref only)'!AB696)</f>
        <v/>
      </c>
      <c r="AK685" s="375" t="str">
        <f>IF(B685="", "", 'Lighting Inventory (Ref only)'!AG696)</f>
        <v/>
      </c>
      <c r="AL685" s="375" t="str">
        <f>IF(B685="", "", 'Lighting Inventory (Ref only)'!AD696)</f>
        <v/>
      </c>
      <c r="AM685" s="375" t="str">
        <f>IF(B685="", "", 'Lighting Inventory (Ref only)'!AE696)</f>
        <v/>
      </c>
      <c r="AN685" s="375" t="str">
        <f>IF(B685="", "", 'Lighting Inventory (Ref only)'!AF696)</f>
        <v/>
      </c>
      <c r="AO685" s="375" t="str">
        <f>IF(B685="", "", 'Lighting Inventory (Ref only)'!AG696)</f>
        <v/>
      </c>
    </row>
    <row r="686" spans="1:41">
      <c r="A686" s="298" t="str">
        <f>IF(G686="", "", Lookups!BF688)</f>
        <v/>
      </c>
      <c r="B686" s="298" t="str">
        <f>IF('Lighting Inventory (Ref only)'!Q697="", "", 'Lighting Inventory (Ref only)'!Q697)</f>
        <v/>
      </c>
      <c r="C686" s="298" t="str">
        <f>IF(A686="", "", 'Lighting Inventory (Ref only)'!AO697)</f>
        <v/>
      </c>
      <c r="D686" s="298" t="str">
        <f>IF(B686= "","", Inventory!S694)</f>
        <v/>
      </c>
      <c r="F686" s="298" t="str">
        <f>IF(B686="", "", 'Version Log'!$B$34)</f>
        <v/>
      </c>
      <c r="G686" s="298" t="str">
        <f t="shared" si="40"/>
        <v/>
      </c>
      <c r="H686" s="298" t="str">
        <f t="shared" si="41"/>
        <v/>
      </c>
      <c r="I686" s="298" t="str">
        <f>IF(B686="", "",Inventory!D694)</f>
        <v/>
      </c>
      <c r="J686" s="298" t="str">
        <f>IF(B686="","",IF(Inventory!C694="N","Interior","Exterior"))</f>
        <v/>
      </c>
      <c r="K686" s="298" t="str">
        <f t="shared" si="42"/>
        <v/>
      </c>
      <c r="L686" s="298" t="str">
        <f>IF(B686="", "", Inventory!E694)</f>
        <v/>
      </c>
      <c r="M686" s="298" t="str">
        <f>IF(B686="","",IF(Cool_Type=Lookups!$L$9,Cool_Type,IF(Cool_Type=Lookups!$L$10,Cool_Type,IF(Cool_Type=Lookups!$L$11,Cool_Type,IF(Cool_Type=Lookups!L696,Cool_Type,IF('Project Info and Summary'!$C$20="Electric",CONCATENATE(Cool_Type," ",Heating_Type," Heat"),IF('Project Info and Summary'!$C$20="Non-Electric",CONCATENATE(Cool_Type," ",Heating_Type," Heat"),CONCATENATE(Cool_Type," ",Heating_Type))))))))</f>
        <v/>
      </c>
      <c r="N686" s="298" t="str">
        <f t="shared" si="43"/>
        <v/>
      </c>
      <c r="O686" s="298" t="str">
        <f>IF(B686="", "", 'Lighting Inventory (Ref only)'!G697)</f>
        <v/>
      </c>
      <c r="P686" s="298" t="str">
        <f>IF(B686="", "", 'Lighting Inventory (Ref only)'!E697)</f>
        <v/>
      </c>
      <c r="Q686" s="298" t="str">
        <f>IF(B686="", "", 'Lighting Inventory (Ref only)'!J697)</f>
        <v/>
      </c>
      <c r="R686" s="298" t="str">
        <f>IF(B686="", "",'Lighting Inventory (Ref only)'!K697)</f>
        <v/>
      </c>
      <c r="S686" s="372" t="str">
        <f>IF(B686="", "", 'Lighting Inventory (Ref only)'!G697*'Lighting Inventory (Ref only)'!K697/1000)</f>
        <v/>
      </c>
      <c r="T686" s="298" t="str">
        <f>IF(B686="", "", IF('Lighting Inventory (Ref only)'!I697="", "Light Switch",Inventory!H694))</f>
        <v/>
      </c>
      <c r="X686" s="298" t="str">
        <f>IF(B686="", "", 'Lighting Inventory (Ref only)'!Q697)</f>
        <v/>
      </c>
      <c r="AA686" s="298" t="str">
        <f>IF(B686="", "",'Lighting Inventory (Ref only)'!R697/1000)</f>
        <v/>
      </c>
      <c r="AB686" s="298" t="str">
        <f>IF(B686="", "", Inventory!M694)</f>
        <v/>
      </c>
      <c r="AC686" s="298" t="str">
        <f>IF(B686="", "", 'Lighting Inventory (Ref only)'!T697)</f>
        <v/>
      </c>
      <c r="AD686" s="298" t="str">
        <f>IF(C686="", "", 'Lighting Inventory (Ref only)'!AA697)</f>
        <v/>
      </c>
      <c r="AE686" s="298" t="str">
        <f>IF(B686="", "", 'Lighting Inventory (Ref only)'!U697)</f>
        <v/>
      </c>
      <c r="AF686" s="298" t="str">
        <f>IF(B686="", "",'Lighting Inventory (Ref only)'!W697)</f>
        <v/>
      </c>
      <c r="AH686" s="298" t="str">
        <f>IF(B686="", "",'Lighting Inventory (Ref only)'!Z697)</f>
        <v/>
      </c>
      <c r="AI686" s="298" t="str">
        <f>IF(B686="", "", 'Lighting Inventory (Ref only)'!Y697)</f>
        <v/>
      </c>
      <c r="AJ686" s="298" t="str">
        <f>IF(C686="", "",'Lighting Inventory (Ref only)'!AB697)</f>
        <v/>
      </c>
      <c r="AK686" s="375" t="str">
        <f>IF(B686="", "", 'Lighting Inventory (Ref only)'!AG697)</f>
        <v/>
      </c>
      <c r="AL686" s="375" t="str">
        <f>IF(B686="", "", 'Lighting Inventory (Ref only)'!AD697)</f>
        <v/>
      </c>
      <c r="AM686" s="375" t="str">
        <f>IF(B686="", "", 'Lighting Inventory (Ref only)'!AE697)</f>
        <v/>
      </c>
      <c r="AN686" s="375" t="str">
        <f>IF(B686="", "", 'Lighting Inventory (Ref only)'!AF697)</f>
        <v/>
      </c>
      <c r="AO686" s="375" t="str">
        <f>IF(B686="", "", 'Lighting Inventory (Ref only)'!AG697)</f>
        <v/>
      </c>
    </row>
    <row r="687" spans="1:41">
      <c r="A687" s="298" t="str">
        <f>IF(G687="", "", Lookups!BF689)</f>
        <v/>
      </c>
      <c r="B687" s="298" t="str">
        <f>IF('Lighting Inventory (Ref only)'!Q698="", "", 'Lighting Inventory (Ref only)'!Q698)</f>
        <v/>
      </c>
      <c r="C687" s="298" t="str">
        <f>IF(A687="", "", 'Lighting Inventory (Ref only)'!AO698)</f>
        <v/>
      </c>
      <c r="D687" s="298" t="str">
        <f>IF(B687= "","", Inventory!S695)</f>
        <v/>
      </c>
      <c r="F687" s="298" t="str">
        <f>IF(B687="", "", 'Version Log'!$B$34)</f>
        <v/>
      </c>
      <c r="G687" s="298" t="str">
        <f t="shared" si="40"/>
        <v/>
      </c>
      <c r="H687" s="298" t="str">
        <f t="shared" si="41"/>
        <v/>
      </c>
      <c r="I687" s="298" t="str">
        <f>IF(B687="", "",Inventory!D695)</f>
        <v/>
      </c>
      <c r="J687" s="298" t="str">
        <f>IF(B687="","",IF(Inventory!C695="N","Interior","Exterior"))</f>
        <v/>
      </c>
      <c r="K687" s="298" t="str">
        <f t="shared" si="42"/>
        <v/>
      </c>
      <c r="L687" s="298" t="str">
        <f>IF(B687="", "", Inventory!E695)</f>
        <v/>
      </c>
      <c r="M687" s="298" t="str">
        <f>IF(B687="","",IF(Cool_Type=Lookups!$L$9,Cool_Type,IF(Cool_Type=Lookups!$L$10,Cool_Type,IF(Cool_Type=Lookups!$L$11,Cool_Type,IF(Cool_Type=Lookups!L697,Cool_Type,IF('Project Info and Summary'!$C$20="Electric",CONCATENATE(Cool_Type," ",Heating_Type," Heat"),IF('Project Info and Summary'!$C$20="Non-Electric",CONCATENATE(Cool_Type," ",Heating_Type," Heat"),CONCATENATE(Cool_Type," ",Heating_Type))))))))</f>
        <v/>
      </c>
      <c r="N687" s="298" t="str">
        <f t="shared" si="43"/>
        <v/>
      </c>
      <c r="O687" s="298" t="str">
        <f>IF(B687="", "", 'Lighting Inventory (Ref only)'!G698)</f>
        <v/>
      </c>
      <c r="P687" s="298" t="str">
        <f>IF(B687="", "", 'Lighting Inventory (Ref only)'!E698)</f>
        <v/>
      </c>
      <c r="Q687" s="298" t="str">
        <f>IF(B687="", "", 'Lighting Inventory (Ref only)'!J698)</f>
        <v/>
      </c>
      <c r="R687" s="298" t="str">
        <f>IF(B687="", "",'Lighting Inventory (Ref only)'!K698)</f>
        <v/>
      </c>
      <c r="S687" s="372" t="str">
        <f>IF(B687="", "", 'Lighting Inventory (Ref only)'!G698*'Lighting Inventory (Ref only)'!K698/1000)</f>
        <v/>
      </c>
      <c r="T687" s="298" t="str">
        <f>IF(B687="", "", IF('Lighting Inventory (Ref only)'!I698="", "Light Switch",Inventory!H695))</f>
        <v/>
      </c>
      <c r="X687" s="298" t="str">
        <f>IF(B687="", "", 'Lighting Inventory (Ref only)'!Q698)</f>
        <v/>
      </c>
      <c r="AA687" s="298" t="str">
        <f>IF(B687="", "",'Lighting Inventory (Ref only)'!R698/1000)</f>
        <v/>
      </c>
      <c r="AB687" s="298" t="str">
        <f>IF(B687="", "", Inventory!M695)</f>
        <v/>
      </c>
      <c r="AC687" s="298" t="str">
        <f>IF(B687="", "", 'Lighting Inventory (Ref only)'!T698)</f>
        <v/>
      </c>
      <c r="AD687" s="298" t="str">
        <f>IF(C687="", "", 'Lighting Inventory (Ref only)'!AA698)</f>
        <v/>
      </c>
      <c r="AE687" s="298" t="str">
        <f>IF(B687="", "", 'Lighting Inventory (Ref only)'!U698)</f>
        <v/>
      </c>
      <c r="AF687" s="298" t="str">
        <f>IF(B687="", "",'Lighting Inventory (Ref only)'!W698)</f>
        <v/>
      </c>
      <c r="AH687" s="298" t="str">
        <f>IF(B687="", "",'Lighting Inventory (Ref only)'!Z698)</f>
        <v/>
      </c>
      <c r="AI687" s="298" t="str">
        <f>IF(B687="", "", 'Lighting Inventory (Ref only)'!Y698)</f>
        <v/>
      </c>
      <c r="AJ687" s="298" t="str">
        <f>IF(C687="", "",'Lighting Inventory (Ref only)'!AB698)</f>
        <v/>
      </c>
      <c r="AK687" s="375" t="str">
        <f>IF(B687="", "", 'Lighting Inventory (Ref only)'!AG698)</f>
        <v/>
      </c>
      <c r="AL687" s="375" t="str">
        <f>IF(B687="", "", 'Lighting Inventory (Ref only)'!AD698)</f>
        <v/>
      </c>
      <c r="AM687" s="375" t="str">
        <f>IF(B687="", "", 'Lighting Inventory (Ref only)'!AE698)</f>
        <v/>
      </c>
      <c r="AN687" s="375" t="str">
        <f>IF(B687="", "", 'Lighting Inventory (Ref only)'!AF698)</f>
        <v/>
      </c>
      <c r="AO687" s="375" t="str">
        <f>IF(B687="", "", 'Lighting Inventory (Ref only)'!AG698)</f>
        <v/>
      </c>
    </row>
    <row r="688" spans="1:41">
      <c r="A688" s="298" t="str">
        <f>IF(G688="", "", Lookups!BF690)</f>
        <v/>
      </c>
      <c r="B688" s="298" t="str">
        <f>IF('Lighting Inventory (Ref only)'!Q699="", "", 'Lighting Inventory (Ref only)'!Q699)</f>
        <v/>
      </c>
      <c r="C688" s="298" t="str">
        <f>IF(A688="", "", 'Lighting Inventory (Ref only)'!AO699)</f>
        <v/>
      </c>
      <c r="D688" s="298" t="str">
        <f>IF(B688= "","", Inventory!S696)</f>
        <v/>
      </c>
      <c r="F688" s="298" t="str">
        <f>IF(B688="", "", 'Version Log'!$B$34)</f>
        <v/>
      </c>
      <c r="G688" s="298" t="str">
        <f t="shared" si="40"/>
        <v/>
      </c>
      <c r="H688" s="298" t="str">
        <f t="shared" si="41"/>
        <v/>
      </c>
      <c r="I688" s="298" t="str">
        <f>IF(B688="", "",Inventory!D696)</f>
        <v/>
      </c>
      <c r="J688" s="298" t="str">
        <f>IF(B688="","",IF(Inventory!C696="N","Interior","Exterior"))</f>
        <v/>
      </c>
      <c r="K688" s="298" t="str">
        <f t="shared" si="42"/>
        <v/>
      </c>
      <c r="L688" s="298" t="str">
        <f>IF(B688="", "", Inventory!E696)</f>
        <v/>
      </c>
      <c r="M688" s="298" t="str">
        <f>IF(B688="","",IF(Cool_Type=Lookups!$L$9,Cool_Type,IF(Cool_Type=Lookups!$L$10,Cool_Type,IF(Cool_Type=Lookups!$L$11,Cool_Type,IF(Cool_Type=Lookups!L698,Cool_Type,IF('Project Info and Summary'!$C$20="Electric",CONCATENATE(Cool_Type," ",Heating_Type," Heat"),IF('Project Info and Summary'!$C$20="Non-Electric",CONCATENATE(Cool_Type," ",Heating_Type," Heat"),CONCATENATE(Cool_Type," ",Heating_Type))))))))</f>
        <v/>
      </c>
      <c r="N688" s="298" t="str">
        <f t="shared" si="43"/>
        <v/>
      </c>
      <c r="O688" s="298" t="str">
        <f>IF(B688="", "", 'Lighting Inventory (Ref only)'!G699)</f>
        <v/>
      </c>
      <c r="P688" s="298" t="str">
        <f>IF(B688="", "", 'Lighting Inventory (Ref only)'!E699)</f>
        <v/>
      </c>
      <c r="Q688" s="298" t="str">
        <f>IF(B688="", "", 'Lighting Inventory (Ref only)'!J699)</f>
        <v/>
      </c>
      <c r="R688" s="298" t="str">
        <f>IF(B688="", "",'Lighting Inventory (Ref only)'!K699)</f>
        <v/>
      </c>
      <c r="S688" s="372" t="str">
        <f>IF(B688="", "", 'Lighting Inventory (Ref only)'!G699*'Lighting Inventory (Ref only)'!K699/1000)</f>
        <v/>
      </c>
      <c r="T688" s="298" t="str">
        <f>IF(B688="", "", IF('Lighting Inventory (Ref only)'!I699="", "Light Switch",Inventory!H696))</f>
        <v/>
      </c>
      <c r="X688" s="298" t="str">
        <f>IF(B688="", "", 'Lighting Inventory (Ref only)'!Q699)</f>
        <v/>
      </c>
      <c r="AA688" s="298" t="str">
        <f>IF(B688="", "",'Lighting Inventory (Ref only)'!R699/1000)</f>
        <v/>
      </c>
      <c r="AB688" s="298" t="str">
        <f>IF(B688="", "", Inventory!M696)</f>
        <v/>
      </c>
      <c r="AC688" s="298" t="str">
        <f>IF(B688="", "", 'Lighting Inventory (Ref only)'!T699)</f>
        <v/>
      </c>
      <c r="AD688" s="298" t="str">
        <f>IF(C688="", "", 'Lighting Inventory (Ref only)'!AA699)</f>
        <v/>
      </c>
      <c r="AE688" s="298" t="str">
        <f>IF(B688="", "", 'Lighting Inventory (Ref only)'!U699)</f>
        <v/>
      </c>
      <c r="AF688" s="298" t="str">
        <f>IF(B688="", "",'Lighting Inventory (Ref only)'!W699)</f>
        <v/>
      </c>
      <c r="AH688" s="298" t="str">
        <f>IF(B688="", "",'Lighting Inventory (Ref only)'!Z699)</f>
        <v/>
      </c>
      <c r="AI688" s="298" t="str">
        <f>IF(B688="", "", 'Lighting Inventory (Ref only)'!Y699)</f>
        <v/>
      </c>
      <c r="AJ688" s="298" t="str">
        <f>IF(C688="", "",'Lighting Inventory (Ref only)'!AB699)</f>
        <v/>
      </c>
      <c r="AK688" s="375" t="str">
        <f>IF(B688="", "", 'Lighting Inventory (Ref only)'!AG699)</f>
        <v/>
      </c>
      <c r="AL688" s="375" t="str">
        <f>IF(B688="", "", 'Lighting Inventory (Ref only)'!AD699)</f>
        <v/>
      </c>
      <c r="AM688" s="375" t="str">
        <f>IF(B688="", "", 'Lighting Inventory (Ref only)'!AE699)</f>
        <v/>
      </c>
      <c r="AN688" s="375" t="str">
        <f>IF(B688="", "", 'Lighting Inventory (Ref only)'!AF699)</f>
        <v/>
      </c>
      <c r="AO688" s="375" t="str">
        <f>IF(B688="", "", 'Lighting Inventory (Ref only)'!AG699)</f>
        <v/>
      </c>
    </row>
    <row r="689" spans="1:41">
      <c r="A689" s="298" t="str">
        <f>IF(G689="", "", Lookups!BF691)</f>
        <v/>
      </c>
      <c r="B689" s="298" t="str">
        <f>IF('Lighting Inventory (Ref only)'!Q700="", "", 'Lighting Inventory (Ref only)'!Q700)</f>
        <v/>
      </c>
      <c r="C689" s="298" t="str">
        <f>IF(A689="", "", 'Lighting Inventory (Ref only)'!AO700)</f>
        <v/>
      </c>
      <c r="D689" s="298" t="str">
        <f>IF(B689= "","", Inventory!S697)</f>
        <v/>
      </c>
      <c r="F689" s="298" t="str">
        <f>IF(B689="", "", 'Version Log'!$B$34)</f>
        <v/>
      </c>
      <c r="G689" s="298" t="str">
        <f t="shared" si="40"/>
        <v/>
      </c>
      <c r="H689" s="298" t="str">
        <f t="shared" si="41"/>
        <v/>
      </c>
      <c r="I689" s="298" t="str">
        <f>IF(B689="", "",Inventory!D697)</f>
        <v/>
      </c>
      <c r="J689" s="298" t="str">
        <f>IF(B689="","",IF(Inventory!C697="N","Interior","Exterior"))</f>
        <v/>
      </c>
      <c r="K689" s="298" t="str">
        <f t="shared" si="42"/>
        <v/>
      </c>
      <c r="L689" s="298" t="str">
        <f>IF(B689="", "", Inventory!E697)</f>
        <v/>
      </c>
      <c r="M689" s="298" t="str">
        <f>IF(B689="","",IF(Cool_Type=Lookups!$L$9,Cool_Type,IF(Cool_Type=Lookups!$L$10,Cool_Type,IF(Cool_Type=Lookups!$L$11,Cool_Type,IF(Cool_Type=Lookups!L699,Cool_Type,IF('Project Info and Summary'!$C$20="Electric",CONCATENATE(Cool_Type," ",Heating_Type," Heat"),IF('Project Info and Summary'!$C$20="Non-Electric",CONCATENATE(Cool_Type," ",Heating_Type," Heat"),CONCATENATE(Cool_Type," ",Heating_Type))))))))</f>
        <v/>
      </c>
      <c r="N689" s="298" t="str">
        <f t="shared" si="43"/>
        <v/>
      </c>
      <c r="O689" s="298" t="str">
        <f>IF(B689="", "", 'Lighting Inventory (Ref only)'!G700)</f>
        <v/>
      </c>
      <c r="P689" s="298" t="str">
        <f>IF(B689="", "", 'Lighting Inventory (Ref only)'!E700)</f>
        <v/>
      </c>
      <c r="Q689" s="298" t="str">
        <f>IF(B689="", "", 'Lighting Inventory (Ref only)'!J700)</f>
        <v/>
      </c>
      <c r="R689" s="298" t="str">
        <f>IF(B689="", "",'Lighting Inventory (Ref only)'!K700)</f>
        <v/>
      </c>
      <c r="S689" s="372" t="str">
        <f>IF(B689="", "", 'Lighting Inventory (Ref only)'!G700*'Lighting Inventory (Ref only)'!K700/1000)</f>
        <v/>
      </c>
      <c r="T689" s="298" t="str">
        <f>IF(B689="", "", IF('Lighting Inventory (Ref only)'!I700="", "Light Switch",Inventory!H697))</f>
        <v/>
      </c>
      <c r="X689" s="298" t="str">
        <f>IF(B689="", "", 'Lighting Inventory (Ref only)'!Q700)</f>
        <v/>
      </c>
      <c r="AA689" s="298" t="str">
        <f>IF(B689="", "",'Lighting Inventory (Ref only)'!R700/1000)</f>
        <v/>
      </c>
      <c r="AB689" s="298" t="str">
        <f>IF(B689="", "", Inventory!M697)</f>
        <v/>
      </c>
      <c r="AC689" s="298" t="str">
        <f>IF(B689="", "", 'Lighting Inventory (Ref only)'!T700)</f>
        <v/>
      </c>
      <c r="AD689" s="298" t="str">
        <f>IF(C689="", "", 'Lighting Inventory (Ref only)'!AA700)</f>
        <v/>
      </c>
      <c r="AE689" s="298" t="str">
        <f>IF(B689="", "", 'Lighting Inventory (Ref only)'!U700)</f>
        <v/>
      </c>
      <c r="AF689" s="298" t="str">
        <f>IF(B689="", "",'Lighting Inventory (Ref only)'!W700)</f>
        <v/>
      </c>
      <c r="AH689" s="298" t="str">
        <f>IF(B689="", "",'Lighting Inventory (Ref only)'!Z700)</f>
        <v/>
      </c>
      <c r="AI689" s="298" t="str">
        <f>IF(B689="", "", 'Lighting Inventory (Ref only)'!Y700)</f>
        <v/>
      </c>
      <c r="AJ689" s="298" t="str">
        <f>IF(C689="", "",'Lighting Inventory (Ref only)'!AB700)</f>
        <v/>
      </c>
      <c r="AK689" s="375" t="str">
        <f>IF(B689="", "", 'Lighting Inventory (Ref only)'!AG700)</f>
        <v/>
      </c>
      <c r="AL689" s="375" t="str">
        <f>IF(B689="", "", 'Lighting Inventory (Ref only)'!AD700)</f>
        <v/>
      </c>
      <c r="AM689" s="375" t="str">
        <f>IF(B689="", "", 'Lighting Inventory (Ref only)'!AE700)</f>
        <v/>
      </c>
      <c r="AN689" s="375" t="str">
        <f>IF(B689="", "", 'Lighting Inventory (Ref only)'!AF700)</f>
        <v/>
      </c>
      <c r="AO689" s="375" t="str">
        <f>IF(B689="", "", 'Lighting Inventory (Ref only)'!AG700)</f>
        <v/>
      </c>
    </row>
    <row r="690" spans="1:41">
      <c r="A690" s="298" t="str">
        <f>IF(G690="", "", Lookups!BF692)</f>
        <v/>
      </c>
      <c r="B690" s="298" t="str">
        <f>IF('Lighting Inventory (Ref only)'!Q701="", "", 'Lighting Inventory (Ref only)'!Q701)</f>
        <v/>
      </c>
      <c r="C690" s="298" t="str">
        <f>IF(A690="", "", 'Lighting Inventory (Ref only)'!AO701)</f>
        <v/>
      </c>
      <c r="D690" s="298" t="str">
        <f>IF(B690= "","", Inventory!S698)</f>
        <v/>
      </c>
      <c r="F690" s="298" t="str">
        <f>IF(B690="", "", 'Version Log'!$B$34)</f>
        <v/>
      </c>
      <c r="G690" s="298" t="str">
        <f t="shared" si="40"/>
        <v/>
      </c>
      <c r="H690" s="298" t="str">
        <f t="shared" si="41"/>
        <v/>
      </c>
      <c r="I690" s="298" t="str">
        <f>IF(B690="", "",Inventory!D698)</f>
        <v/>
      </c>
      <c r="J690" s="298" t="str">
        <f>IF(B690="","",IF(Inventory!C698="N","Interior","Exterior"))</f>
        <v/>
      </c>
      <c r="K690" s="298" t="str">
        <f t="shared" si="42"/>
        <v/>
      </c>
      <c r="L690" s="298" t="str">
        <f>IF(B690="", "", Inventory!E698)</f>
        <v/>
      </c>
      <c r="M690" s="298" t="str">
        <f>IF(B690="","",IF(Cool_Type=Lookups!$L$9,Cool_Type,IF(Cool_Type=Lookups!$L$10,Cool_Type,IF(Cool_Type=Lookups!$L$11,Cool_Type,IF(Cool_Type=Lookups!L700,Cool_Type,IF('Project Info and Summary'!$C$20="Electric",CONCATENATE(Cool_Type," ",Heating_Type," Heat"),IF('Project Info and Summary'!$C$20="Non-Electric",CONCATENATE(Cool_Type," ",Heating_Type," Heat"),CONCATENATE(Cool_Type," ",Heating_Type))))))))</f>
        <v/>
      </c>
      <c r="N690" s="298" t="str">
        <f t="shared" si="43"/>
        <v/>
      </c>
      <c r="O690" s="298" t="str">
        <f>IF(B690="", "", 'Lighting Inventory (Ref only)'!G701)</f>
        <v/>
      </c>
      <c r="P690" s="298" t="str">
        <f>IF(B690="", "", 'Lighting Inventory (Ref only)'!E701)</f>
        <v/>
      </c>
      <c r="Q690" s="298" t="str">
        <f>IF(B690="", "", 'Lighting Inventory (Ref only)'!J701)</f>
        <v/>
      </c>
      <c r="R690" s="298" t="str">
        <f>IF(B690="", "",'Lighting Inventory (Ref only)'!K701)</f>
        <v/>
      </c>
      <c r="S690" s="372" t="str">
        <f>IF(B690="", "", 'Lighting Inventory (Ref only)'!G701*'Lighting Inventory (Ref only)'!K701/1000)</f>
        <v/>
      </c>
      <c r="T690" s="298" t="str">
        <f>IF(B690="", "", IF('Lighting Inventory (Ref only)'!I701="", "Light Switch",Inventory!H698))</f>
        <v/>
      </c>
      <c r="X690" s="298" t="str">
        <f>IF(B690="", "", 'Lighting Inventory (Ref only)'!Q701)</f>
        <v/>
      </c>
      <c r="AA690" s="298" t="str">
        <f>IF(B690="", "",'Lighting Inventory (Ref only)'!R701/1000)</f>
        <v/>
      </c>
      <c r="AB690" s="298" t="str">
        <f>IF(B690="", "", Inventory!M698)</f>
        <v/>
      </c>
      <c r="AC690" s="298" t="str">
        <f>IF(B690="", "", 'Lighting Inventory (Ref only)'!T701)</f>
        <v/>
      </c>
      <c r="AD690" s="298" t="str">
        <f>IF(C690="", "", 'Lighting Inventory (Ref only)'!AA701)</f>
        <v/>
      </c>
      <c r="AE690" s="298" t="str">
        <f>IF(B690="", "", 'Lighting Inventory (Ref only)'!U701)</f>
        <v/>
      </c>
      <c r="AF690" s="298" t="str">
        <f>IF(B690="", "",'Lighting Inventory (Ref only)'!W701)</f>
        <v/>
      </c>
      <c r="AH690" s="298" t="str">
        <f>IF(B690="", "",'Lighting Inventory (Ref only)'!Z701)</f>
        <v/>
      </c>
      <c r="AI690" s="298" t="str">
        <f>IF(B690="", "", 'Lighting Inventory (Ref only)'!Y701)</f>
        <v/>
      </c>
      <c r="AJ690" s="298" t="str">
        <f>IF(C690="", "",'Lighting Inventory (Ref only)'!AB701)</f>
        <v/>
      </c>
      <c r="AK690" s="375" t="str">
        <f>IF(B690="", "", 'Lighting Inventory (Ref only)'!AG701)</f>
        <v/>
      </c>
      <c r="AL690" s="375" t="str">
        <f>IF(B690="", "", 'Lighting Inventory (Ref only)'!AD701)</f>
        <v/>
      </c>
      <c r="AM690" s="375" t="str">
        <f>IF(B690="", "", 'Lighting Inventory (Ref only)'!AE701)</f>
        <v/>
      </c>
      <c r="AN690" s="375" t="str">
        <f>IF(B690="", "", 'Lighting Inventory (Ref only)'!AF701)</f>
        <v/>
      </c>
      <c r="AO690" s="375" t="str">
        <f>IF(B690="", "", 'Lighting Inventory (Ref only)'!AG701)</f>
        <v/>
      </c>
    </row>
    <row r="691" spans="1:41">
      <c r="A691" s="298" t="str">
        <f>IF(G691="", "", Lookups!BF693)</f>
        <v/>
      </c>
      <c r="B691" s="298" t="str">
        <f>IF('Lighting Inventory (Ref only)'!Q702="", "", 'Lighting Inventory (Ref only)'!Q702)</f>
        <v/>
      </c>
      <c r="C691" s="298" t="str">
        <f>IF(A691="", "", 'Lighting Inventory (Ref only)'!AO702)</f>
        <v/>
      </c>
      <c r="D691" s="298" t="str">
        <f>IF(B691= "","", Inventory!S699)</f>
        <v/>
      </c>
      <c r="F691" s="298" t="str">
        <f>IF(B691="", "", 'Version Log'!$B$34)</f>
        <v/>
      </c>
      <c r="G691" s="298" t="str">
        <f t="shared" si="40"/>
        <v/>
      </c>
      <c r="H691" s="298" t="str">
        <f t="shared" si="41"/>
        <v/>
      </c>
      <c r="I691" s="298" t="str">
        <f>IF(B691="", "",Inventory!D699)</f>
        <v/>
      </c>
      <c r="J691" s="298" t="str">
        <f>IF(B691="","",IF(Inventory!C699="N","Interior","Exterior"))</f>
        <v/>
      </c>
      <c r="K691" s="298" t="str">
        <f t="shared" si="42"/>
        <v/>
      </c>
      <c r="L691" s="298" t="str">
        <f>IF(B691="", "", Inventory!E699)</f>
        <v/>
      </c>
      <c r="M691" s="298" t="str">
        <f>IF(B691="","",IF(Cool_Type=Lookups!$L$9,Cool_Type,IF(Cool_Type=Lookups!$L$10,Cool_Type,IF(Cool_Type=Lookups!$L$11,Cool_Type,IF(Cool_Type=Lookups!L701,Cool_Type,IF('Project Info and Summary'!$C$20="Electric",CONCATENATE(Cool_Type," ",Heating_Type," Heat"),IF('Project Info and Summary'!$C$20="Non-Electric",CONCATENATE(Cool_Type," ",Heating_Type," Heat"),CONCATENATE(Cool_Type," ",Heating_Type))))))))</f>
        <v/>
      </c>
      <c r="N691" s="298" t="str">
        <f t="shared" si="43"/>
        <v/>
      </c>
      <c r="O691" s="298" t="str">
        <f>IF(B691="", "", 'Lighting Inventory (Ref only)'!G702)</f>
        <v/>
      </c>
      <c r="P691" s="298" t="str">
        <f>IF(B691="", "", 'Lighting Inventory (Ref only)'!E702)</f>
        <v/>
      </c>
      <c r="Q691" s="298" t="str">
        <f>IF(B691="", "", 'Lighting Inventory (Ref only)'!J702)</f>
        <v/>
      </c>
      <c r="R691" s="298" t="str">
        <f>IF(B691="", "",'Lighting Inventory (Ref only)'!K702)</f>
        <v/>
      </c>
      <c r="S691" s="372" t="str">
        <f>IF(B691="", "", 'Lighting Inventory (Ref only)'!G702*'Lighting Inventory (Ref only)'!K702/1000)</f>
        <v/>
      </c>
      <c r="T691" s="298" t="str">
        <f>IF(B691="", "", IF('Lighting Inventory (Ref only)'!I702="", "Light Switch",Inventory!H699))</f>
        <v/>
      </c>
      <c r="X691" s="298" t="str">
        <f>IF(B691="", "", 'Lighting Inventory (Ref only)'!Q702)</f>
        <v/>
      </c>
      <c r="AA691" s="298" t="str">
        <f>IF(B691="", "",'Lighting Inventory (Ref only)'!R702/1000)</f>
        <v/>
      </c>
      <c r="AB691" s="298" t="str">
        <f>IF(B691="", "", Inventory!M699)</f>
        <v/>
      </c>
      <c r="AC691" s="298" t="str">
        <f>IF(B691="", "", 'Lighting Inventory (Ref only)'!T702)</f>
        <v/>
      </c>
      <c r="AD691" s="298" t="str">
        <f>IF(C691="", "", 'Lighting Inventory (Ref only)'!AA702)</f>
        <v/>
      </c>
      <c r="AE691" s="298" t="str">
        <f>IF(B691="", "", 'Lighting Inventory (Ref only)'!U702)</f>
        <v/>
      </c>
      <c r="AF691" s="298" t="str">
        <f>IF(B691="", "",'Lighting Inventory (Ref only)'!W702)</f>
        <v/>
      </c>
      <c r="AH691" s="298" t="str">
        <f>IF(B691="", "",'Lighting Inventory (Ref only)'!Z702)</f>
        <v/>
      </c>
      <c r="AI691" s="298" t="str">
        <f>IF(B691="", "", 'Lighting Inventory (Ref only)'!Y702)</f>
        <v/>
      </c>
      <c r="AJ691" s="298" t="str">
        <f>IF(C691="", "",'Lighting Inventory (Ref only)'!AB702)</f>
        <v/>
      </c>
      <c r="AK691" s="375" t="str">
        <f>IF(B691="", "", 'Lighting Inventory (Ref only)'!AG702)</f>
        <v/>
      </c>
      <c r="AL691" s="375" t="str">
        <f>IF(B691="", "", 'Lighting Inventory (Ref only)'!AD702)</f>
        <v/>
      </c>
      <c r="AM691" s="375" t="str">
        <f>IF(B691="", "", 'Lighting Inventory (Ref only)'!AE702)</f>
        <v/>
      </c>
      <c r="AN691" s="375" t="str">
        <f>IF(B691="", "", 'Lighting Inventory (Ref only)'!AF702)</f>
        <v/>
      </c>
      <c r="AO691" s="375" t="str">
        <f>IF(B691="", "", 'Lighting Inventory (Ref only)'!AG702)</f>
        <v/>
      </c>
    </row>
    <row r="692" spans="1:41">
      <c r="A692" s="298" t="str">
        <f>IF(G692="", "", Lookups!BF694)</f>
        <v/>
      </c>
      <c r="B692" s="298" t="str">
        <f>IF('Lighting Inventory (Ref only)'!Q703="", "", 'Lighting Inventory (Ref only)'!Q703)</f>
        <v/>
      </c>
      <c r="C692" s="298" t="str">
        <f>IF(A692="", "", 'Lighting Inventory (Ref only)'!AO703)</f>
        <v/>
      </c>
      <c r="D692" s="298" t="str">
        <f>IF(B692= "","", Inventory!S700)</f>
        <v/>
      </c>
      <c r="F692" s="298" t="str">
        <f>IF(B692="", "", 'Version Log'!$B$34)</f>
        <v/>
      </c>
      <c r="G692" s="298" t="str">
        <f t="shared" si="40"/>
        <v/>
      </c>
      <c r="H692" s="298" t="str">
        <f t="shared" si="41"/>
        <v/>
      </c>
      <c r="I692" s="298" t="str">
        <f>IF(B692="", "",Inventory!D700)</f>
        <v/>
      </c>
      <c r="J692" s="298" t="str">
        <f>IF(B692="","",IF(Inventory!C700="N","Interior","Exterior"))</f>
        <v/>
      </c>
      <c r="K692" s="298" t="str">
        <f t="shared" si="42"/>
        <v/>
      </c>
      <c r="L692" s="298" t="str">
        <f>IF(B692="", "", Inventory!E700)</f>
        <v/>
      </c>
      <c r="M692" s="298" t="str">
        <f>IF(B692="","",IF(Cool_Type=Lookups!$L$9,Cool_Type,IF(Cool_Type=Lookups!$L$10,Cool_Type,IF(Cool_Type=Lookups!$L$11,Cool_Type,IF(Cool_Type=Lookups!L702,Cool_Type,IF('Project Info and Summary'!$C$20="Electric",CONCATENATE(Cool_Type," ",Heating_Type," Heat"),IF('Project Info and Summary'!$C$20="Non-Electric",CONCATENATE(Cool_Type," ",Heating_Type," Heat"),CONCATENATE(Cool_Type," ",Heating_Type))))))))</f>
        <v/>
      </c>
      <c r="N692" s="298" t="str">
        <f t="shared" si="43"/>
        <v/>
      </c>
      <c r="O692" s="298" t="str">
        <f>IF(B692="", "", 'Lighting Inventory (Ref only)'!G703)</f>
        <v/>
      </c>
      <c r="P692" s="298" t="str">
        <f>IF(B692="", "", 'Lighting Inventory (Ref only)'!E703)</f>
        <v/>
      </c>
      <c r="Q692" s="298" t="str">
        <f>IF(B692="", "", 'Lighting Inventory (Ref only)'!J703)</f>
        <v/>
      </c>
      <c r="R692" s="298" t="str">
        <f>IF(B692="", "",'Lighting Inventory (Ref only)'!K703)</f>
        <v/>
      </c>
      <c r="S692" s="372" t="str">
        <f>IF(B692="", "", 'Lighting Inventory (Ref only)'!G703*'Lighting Inventory (Ref only)'!K703/1000)</f>
        <v/>
      </c>
      <c r="T692" s="298" t="str">
        <f>IF(B692="", "", IF('Lighting Inventory (Ref only)'!I703="", "Light Switch",Inventory!H700))</f>
        <v/>
      </c>
      <c r="X692" s="298" t="str">
        <f>IF(B692="", "", 'Lighting Inventory (Ref only)'!Q703)</f>
        <v/>
      </c>
      <c r="AA692" s="298" t="str">
        <f>IF(B692="", "",'Lighting Inventory (Ref only)'!R703/1000)</f>
        <v/>
      </c>
      <c r="AB692" s="298" t="str">
        <f>IF(B692="", "", Inventory!M700)</f>
        <v/>
      </c>
      <c r="AC692" s="298" t="str">
        <f>IF(B692="", "", 'Lighting Inventory (Ref only)'!T703)</f>
        <v/>
      </c>
      <c r="AD692" s="298" t="str">
        <f>IF(C692="", "", 'Lighting Inventory (Ref only)'!AA703)</f>
        <v/>
      </c>
      <c r="AE692" s="298" t="str">
        <f>IF(B692="", "", 'Lighting Inventory (Ref only)'!U703)</f>
        <v/>
      </c>
      <c r="AF692" s="298" t="str">
        <f>IF(B692="", "",'Lighting Inventory (Ref only)'!W703)</f>
        <v/>
      </c>
      <c r="AH692" s="298" t="str">
        <f>IF(B692="", "",'Lighting Inventory (Ref only)'!Z703)</f>
        <v/>
      </c>
      <c r="AI692" s="298" t="str">
        <f>IF(B692="", "", 'Lighting Inventory (Ref only)'!Y703)</f>
        <v/>
      </c>
      <c r="AJ692" s="298" t="str">
        <f>IF(C692="", "",'Lighting Inventory (Ref only)'!AB703)</f>
        <v/>
      </c>
      <c r="AK692" s="375" t="str">
        <f>IF(B692="", "", 'Lighting Inventory (Ref only)'!AG703)</f>
        <v/>
      </c>
      <c r="AL692" s="375" t="str">
        <f>IF(B692="", "", 'Lighting Inventory (Ref only)'!AD703)</f>
        <v/>
      </c>
      <c r="AM692" s="375" t="str">
        <f>IF(B692="", "", 'Lighting Inventory (Ref only)'!AE703)</f>
        <v/>
      </c>
      <c r="AN692" s="375" t="str">
        <f>IF(B692="", "", 'Lighting Inventory (Ref only)'!AF703)</f>
        <v/>
      </c>
      <c r="AO692" s="375" t="str">
        <f>IF(B692="", "", 'Lighting Inventory (Ref only)'!AG703)</f>
        <v/>
      </c>
    </row>
    <row r="693" spans="1:41">
      <c r="A693" s="298" t="str">
        <f>IF(G693="", "", Lookups!BF695)</f>
        <v/>
      </c>
      <c r="B693" s="298" t="str">
        <f>IF('Lighting Inventory (Ref only)'!Q704="", "", 'Lighting Inventory (Ref only)'!Q704)</f>
        <v/>
      </c>
      <c r="C693" s="298" t="str">
        <f>IF(A693="", "", 'Lighting Inventory (Ref only)'!AO704)</f>
        <v/>
      </c>
      <c r="D693" s="298" t="str">
        <f>IF(B693= "","", Inventory!S701)</f>
        <v/>
      </c>
      <c r="F693" s="298" t="str">
        <f>IF(B693="", "", 'Version Log'!$B$34)</f>
        <v/>
      </c>
      <c r="G693" s="298" t="str">
        <f t="shared" si="40"/>
        <v/>
      </c>
      <c r="H693" s="298" t="str">
        <f t="shared" si="41"/>
        <v/>
      </c>
      <c r="I693" s="298" t="str">
        <f>IF(B693="", "",Inventory!D701)</f>
        <v/>
      </c>
      <c r="J693" s="298" t="str">
        <f>IF(B693="","",IF(Inventory!C701="N","Interior","Exterior"))</f>
        <v/>
      </c>
      <c r="K693" s="298" t="str">
        <f t="shared" si="42"/>
        <v/>
      </c>
      <c r="L693" s="298" t="str">
        <f>IF(B693="", "", Inventory!E701)</f>
        <v/>
      </c>
      <c r="M693" s="298" t="str">
        <f>IF(B693="","",IF(Cool_Type=Lookups!$L$9,Cool_Type,IF(Cool_Type=Lookups!$L$10,Cool_Type,IF(Cool_Type=Lookups!$L$11,Cool_Type,IF(Cool_Type=Lookups!L703,Cool_Type,IF('Project Info and Summary'!$C$20="Electric",CONCATENATE(Cool_Type," ",Heating_Type," Heat"),IF('Project Info and Summary'!$C$20="Non-Electric",CONCATENATE(Cool_Type," ",Heating_Type," Heat"),CONCATENATE(Cool_Type," ",Heating_Type))))))))</f>
        <v/>
      </c>
      <c r="N693" s="298" t="str">
        <f t="shared" si="43"/>
        <v/>
      </c>
      <c r="O693" s="298" t="str">
        <f>IF(B693="", "", 'Lighting Inventory (Ref only)'!G704)</f>
        <v/>
      </c>
      <c r="P693" s="298" t="str">
        <f>IF(B693="", "", 'Lighting Inventory (Ref only)'!E704)</f>
        <v/>
      </c>
      <c r="Q693" s="298" t="str">
        <f>IF(B693="", "", 'Lighting Inventory (Ref only)'!J704)</f>
        <v/>
      </c>
      <c r="R693" s="298" t="str">
        <f>IF(B693="", "",'Lighting Inventory (Ref only)'!K704)</f>
        <v/>
      </c>
      <c r="S693" s="372" t="str">
        <f>IF(B693="", "", 'Lighting Inventory (Ref only)'!G704*'Lighting Inventory (Ref only)'!K704/1000)</f>
        <v/>
      </c>
      <c r="T693" s="298" t="str">
        <f>IF(B693="", "", IF('Lighting Inventory (Ref only)'!I704="", "Light Switch",Inventory!H701))</f>
        <v/>
      </c>
      <c r="X693" s="298" t="str">
        <f>IF(B693="", "", 'Lighting Inventory (Ref only)'!Q704)</f>
        <v/>
      </c>
      <c r="AA693" s="298" t="str">
        <f>IF(B693="", "",'Lighting Inventory (Ref only)'!R704/1000)</f>
        <v/>
      </c>
      <c r="AB693" s="298" t="str">
        <f>IF(B693="", "", Inventory!M701)</f>
        <v/>
      </c>
      <c r="AC693" s="298" t="str">
        <f>IF(B693="", "", 'Lighting Inventory (Ref only)'!T704)</f>
        <v/>
      </c>
      <c r="AD693" s="298" t="str">
        <f>IF(C693="", "", 'Lighting Inventory (Ref only)'!AA704)</f>
        <v/>
      </c>
      <c r="AE693" s="298" t="str">
        <f>IF(B693="", "", 'Lighting Inventory (Ref only)'!U704)</f>
        <v/>
      </c>
      <c r="AF693" s="298" t="str">
        <f>IF(B693="", "",'Lighting Inventory (Ref only)'!W704)</f>
        <v/>
      </c>
      <c r="AH693" s="298" t="str">
        <f>IF(B693="", "",'Lighting Inventory (Ref only)'!Z704)</f>
        <v/>
      </c>
      <c r="AI693" s="298" t="str">
        <f>IF(B693="", "", 'Lighting Inventory (Ref only)'!Y704)</f>
        <v/>
      </c>
      <c r="AJ693" s="298" t="str">
        <f>IF(C693="", "",'Lighting Inventory (Ref only)'!AB704)</f>
        <v/>
      </c>
      <c r="AK693" s="375" t="str">
        <f>IF(B693="", "", 'Lighting Inventory (Ref only)'!AG704)</f>
        <v/>
      </c>
      <c r="AL693" s="375" t="str">
        <f>IF(B693="", "", 'Lighting Inventory (Ref only)'!AD704)</f>
        <v/>
      </c>
      <c r="AM693" s="375" t="str">
        <f>IF(B693="", "", 'Lighting Inventory (Ref only)'!AE704)</f>
        <v/>
      </c>
      <c r="AN693" s="375" t="str">
        <f>IF(B693="", "", 'Lighting Inventory (Ref only)'!AF704)</f>
        <v/>
      </c>
      <c r="AO693" s="375" t="str">
        <f>IF(B693="", "", 'Lighting Inventory (Ref only)'!AG704)</f>
        <v/>
      </c>
    </row>
    <row r="694" spans="1:41">
      <c r="A694" s="298" t="str">
        <f>IF(G694="", "", Lookups!BF696)</f>
        <v/>
      </c>
      <c r="B694" s="298" t="str">
        <f>IF('Lighting Inventory (Ref only)'!Q705="", "", 'Lighting Inventory (Ref only)'!Q705)</f>
        <v/>
      </c>
      <c r="C694" s="298" t="str">
        <f>IF(A694="", "", 'Lighting Inventory (Ref only)'!AO705)</f>
        <v/>
      </c>
      <c r="D694" s="298" t="str">
        <f>IF(B694= "","", Inventory!S702)</f>
        <v/>
      </c>
      <c r="F694" s="298" t="str">
        <f>IF(B694="", "", 'Version Log'!$B$34)</f>
        <v/>
      </c>
      <c r="G694" s="298" t="str">
        <f t="shared" ref="G694:G757" si="44">IF(B694="", "", PRJ_Type)</f>
        <v/>
      </c>
      <c r="H694" s="298" t="str">
        <f t="shared" ref="H694:H757" si="45">IF(B694="", "", SqFt)</f>
        <v/>
      </c>
      <c r="I694" s="298" t="str">
        <f>IF(B694="", "",Inventory!D702)</f>
        <v/>
      </c>
      <c r="J694" s="298" t="str">
        <f>IF(B694="","",IF(Inventory!C702="N","Interior","Exterior"))</f>
        <v/>
      </c>
      <c r="K694" s="298" t="str">
        <f t="shared" ref="K694:K757" si="46">IF(B694="", "", Building_Type)</f>
        <v/>
      </c>
      <c r="L694" s="298" t="str">
        <f>IF(B694="", "", Inventory!E702)</f>
        <v/>
      </c>
      <c r="M694" s="298" t="str">
        <f>IF(B694="","",IF(Cool_Type=Lookups!$L$9,Cool_Type,IF(Cool_Type=Lookups!$L$10,Cool_Type,IF(Cool_Type=Lookups!$L$11,Cool_Type,IF(Cool_Type=Lookups!L704,Cool_Type,IF('Project Info and Summary'!$C$20="Electric",CONCATENATE(Cool_Type," ",Heating_Type," Heat"),IF('Project Info and Summary'!$C$20="Non-Electric",CONCATENATE(Cool_Type," ",Heating_Type," Heat"),CONCATENATE(Cool_Type," ",Heating_Type))))))))</f>
        <v/>
      </c>
      <c r="N694" s="298" t="str">
        <f t="shared" ref="N694:N757" si="47">IF(B694="", "",Heating_Type)</f>
        <v/>
      </c>
      <c r="O694" s="298" t="str">
        <f>IF(B694="", "", 'Lighting Inventory (Ref only)'!G705)</f>
        <v/>
      </c>
      <c r="P694" s="298" t="str">
        <f>IF(B694="", "", 'Lighting Inventory (Ref only)'!E705)</f>
        <v/>
      </c>
      <c r="Q694" s="298" t="str">
        <f>IF(B694="", "", 'Lighting Inventory (Ref only)'!J705)</f>
        <v/>
      </c>
      <c r="R694" s="298" t="str">
        <f>IF(B694="", "",'Lighting Inventory (Ref only)'!K705)</f>
        <v/>
      </c>
      <c r="S694" s="372" t="str">
        <f>IF(B694="", "", 'Lighting Inventory (Ref only)'!G705*'Lighting Inventory (Ref only)'!K705/1000)</f>
        <v/>
      </c>
      <c r="T694" s="298" t="str">
        <f>IF(B694="", "", IF('Lighting Inventory (Ref only)'!I705="", "Light Switch",Inventory!H702))</f>
        <v/>
      </c>
      <c r="X694" s="298" t="str">
        <f>IF(B694="", "", 'Lighting Inventory (Ref only)'!Q705)</f>
        <v/>
      </c>
      <c r="AA694" s="298" t="str">
        <f>IF(B694="", "",'Lighting Inventory (Ref only)'!R705/1000)</f>
        <v/>
      </c>
      <c r="AB694" s="298" t="str">
        <f>IF(B694="", "", Inventory!M702)</f>
        <v/>
      </c>
      <c r="AC694" s="298" t="str">
        <f>IF(B694="", "", 'Lighting Inventory (Ref only)'!T705)</f>
        <v/>
      </c>
      <c r="AD694" s="298" t="str">
        <f>IF(C694="", "", 'Lighting Inventory (Ref only)'!AA705)</f>
        <v/>
      </c>
      <c r="AE694" s="298" t="str">
        <f>IF(B694="", "", 'Lighting Inventory (Ref only)'!U705)</f>
        <v/>
      </c>
      <c r="AF694" s="298" t="str">
        <f>IF(B694="", "",'Lighting Inventory (Ref only)'!W705)</f>
        <v/>
      </c>
      <c r="AH694" s="298" t="str">
        <f>IF(B694="", "",'Lighting Inventory (Ref only)'!Z705)</f>
        <v/>
      </c>
      <c r="AI694" s="298" t="str">
        <f>IF(B694="", "", 'Lighting Inventory (Ref only)'!Y705)</f>
        <v/>
      </c>
      <c r="AJ694" s="298" t="str">
        <f>IF(C694="", "",'Lighting Inventory (Ref only)'!AB705)</f>
        <v/>
      </c>
      <c r="AK694" s="375" t="str">
        <f>IF(B694="", "", 'Lighting Inventory (Ref only)'!AG705)</f>
        <v/>
      </c>
      <c r="AL694" s="375" t="str">
        <f>IF(B694="", "", 'Lighting Inventory (Ref only)'!AD705)</f>
        <v/>
      </c>
      <c r="AM694" s="375" t="str">
        <f>IF(B694="", "", 'Lighting Inventory (Ref only)'!AE705)</f>
        <v/>
      </c>
      <c r="AN694" s="375" t="str">
        <f>IF(B694="", "", 'Lighting Inventory (Ref only)'!AF705)</f>
        <v/>
      </c>
      <c r="AO694" s="375" t="str">
        <f>IF(B694="", "", 'Lighting Inventory (Ref only)'!AG705)</f>
        <v/>
      </c>
    </row>
    <row r="695" spans="1:41">
      <c r="A695" s="298" t="str">
        <f>IF(G695="", "", Lookups!BF697)</f>
        <v/>
      </c>
      <c r="B695" s="298" t="str">
        <f>IF('Lighting Inventory (Ref only)'!Q706="", "", 'Lighting Inventory (Ref only)'!Q706)</f>
        <v/>
      </c>
      <c r="C695" s="298" t="str">
        <f>IF(A695="", "", 'Lighting Inventory (Ref only)'!AO706)</f>
        <v/>
      </c>
      <c r="D695" s="298" t="str">
        <f>IF(B695= "","", Inventory!S703)</f>
        <v/>
      </c>
      <c r="F695" s="298" t="str">
        <f>IF(B695="", "", 'Version Log'!$B$34)</f>
        <v/>
      </c>
      <c r="G695" s="298" t="str">
        <f t="shared" si="44"/>
        <v/>
      </c>
      <c r="H695" s="298" t="str">
        <f t="shared" si="45"/>
        <v/>
      </c>
      <c r="I695" s="298" t="str">
        <f>IF(B695="", "",Inventory!D703)</f>
        <v/>
      </c>
      <c r="J695" s="298" t="str">
        <f>IF(B695="","",IF(Inventory!C703="N","Interior","Exterior"))</f>
        <v/>
      </c>
      <c r="K695" s="298" t="str">
        <f t="shared" si="46"/>
        <v/>
      </c>
      <c r="L695" s="298" t="str">
        <f>IF(B695="", "", Inventory!E703)</f>
        <v/>
      </c>
      <c r="M695" s="298" t="str">
        <f>IF(B695="","",IF(Cool_Type=Lookups!$L$9,Cool_Type,IF(Cool_Type=Lookups!$L$10,Cool_Type,IF(Cool_Type=Lookups!$L$11,Cool_Type,IF(Cool_Type=Lookups!L705,Cool_Type,IF('Project Info and Summary'!$C$20="Electric",CONCATENATE(Cool_Type," ",Heating_Type," Heat"),IF('Project Info and Summary'!$C$20="Non-Electric",CONCATENATE(Cool_Type," ",Heating_Type," Heat"),CONCATENATE(Cool_Type," ",Heating_Type))))))))</f>
        <v/>
      </c>
      <c r="N695" s="298" t="str">
        <f t="shared" si="47"/>
        <v/>
      </c>
      <c r="O695" s="298" t="str">
        <f>IF(B695="", "", 'Lighting Inventory (Ref only)'!G706)</f>
        <v/>
      </c>
      <c r="P695" s="298" t="str">
        <f>IF(B695="", "", 'Lighting Inventory (Ref only)'!E706)</f>
        <v/>
      </c>
      <c r="Q695" s="298" t="str">
        <f>IF(B695="", "", 'Lighting Inventory (Ref only)'!J706)</f>
        <v/>
      </c>
      <c r="R695" s="298" t="str">
        <f>IF(B695="", "",'Lighting Inventory (Ref only)'!K706)</f>
        <v/>
      </c>
      <c r="S695" s="372" t="str">
        <f>IF(B695="", "", 'Lighting Inventory (Ref only)'!G706*'Lighting Inventory (Ref only)'!K706/1000)</f>
        <v/>
      </c>
      <c r="T695" s="298" t="str">
        <f>IF(B695="", "", IF('Lighting Inventory (Ref only)'!I706="", "Light Switch",Inventory!H703))</f>
        <v/>
      </c>
      <c r="X695" s="298" t="str">
        <f>IF(B695="", "", 'Lighting Inventory (Ref only)'!Q706)</f>
        <v/>
      </c>
      <c r="AA695" s="298" t="str">
        <f>IF(B695="", "",'Lighting Inventory (Ref only)'!R706/1000)</f>
        <v/>
      </c>
      <c r="AB695" s="298" t="str">
        <f>IF(B695="", "", Inventory!M703)</f>
        <v/>
      </c>
      <c r="AC695" s="298" t="str">
        <f>IF(B695="", "", 'Lighting Inventory (Ref only)'!T706)</f>
        <v/>
      </c>
      <c r="AD695" s="298" t="str">
        <f>IF(C695="", "", 'Lighting Inventory (Ref only)'!AA706)</f>
        <v/>
      </c>
      <c r="AE695" s="298" t="str">
        <f>IF(B695="", "", 'Lighting Inventory (Ref only)'!U706)</f>
        <v/>
      </c>
      <c r="AF695" s="298" t="str">
        <f>IF(B695="", "",'Lighting Inventory (Ref only)'!W706)</f>
        <v/>
      </c>
      <c r="AH695" s="298" t="str">
        <f>IF(B695="", "",'Lighting Inventory (Ref only)'!Z706)</f>
        <v/>
      </c>
      <c r="AI695" s="298" t="str">
        <f>IF(B695="", "", 'Lighting Inventory (Ref only)'!Y706)</f>
        <v/>
      </c>
      <c r="AJ695" s="298" t="str">
        <f>IF(C695="", "",'Lighting Inventory (Ref only)'!AB706)</f>
        <v/>
      </c>
      <c r="AK695" s="375" t="str">
        <f>IF(B695="", "", 'Lighting Inventory (Ref only)'!AG706)</f>
        <v/>
      </c>
      <c r="AL695" s="375" t="str">
        <f>IF(B695="", "", 'Lighting Inventory (Ref only)'!AD706)</f>
        <v/>
      </c>
      <c r="AM695" s="375" t="str">
        <f>IF(B695="", "", 'Lighting Inventory (Ref only)'!AE706)</f>
        <v/>
      </c>
      <c r="AN695" s="375" t="str">
        <f>IF(B695="", "", 'Lighting Inventory (Ref only)'!AF706)</f>
        <v/>
      </c>
      <c r="AO695" s="375" t="str">
        <f>IF(B695="", "", 'Lighting Inventory (Ref only)'!AG706)</f>
        <v/>
      </c>
    </row>
    <row r="696" spans="1:41">
      <c r="A696" s="298" t="str">
        <f>IF(G696="", "", Lookups!BF698)</f>
        <v/>
      </c>
      <c r="B696" s="298" t="str">
        <f>IF('Lighting Inventory (Ref only)'!Q707="", "", 'Lighting Inventory (Ref only)'!Q707)</f>
        <v/>
      </c>
      <c r="C696" s="298" t="str">
        <f>IF(A696="", "", 'Lighting Inventory (Ref only)'!AO707)</f>
        <v/>
      </c>
      <c r="D696" s="298" t="str">
        <f>IF(B696= "","", Inventory!S704)</f>
        <v/>
      </c>
      <c r="F696" s="298" t="str">
        <f>IF(B696="", "", 'Version Log'!$B$34)</f>
        <v/>
      </c>
      <c r="G696" s="298" t="str">
        <f t="shared" si="44"/>
        <v/>
      </c>
      <c r="H696" s="298" t="str">
        <f t="shared" si="45"/>
        <v/>
      </c>
      <c r="I696" s="298" t="str">
        <f>IF(B696="", "",Inventory!D704)</f>
        <v/>
      </c>
      <c r="J696" s="298" t="str">
        <f>IF(B696="","",IF(Inventory!C704="N","Interior","Exterior"))</f>
        <v/>
      </c>
      <c r="K696" s="298" t="str">
        <f t="shared" si="46"/>
        <v/>
      </c>
      <c r="L696" s="298" t="str">
        <f>IF(B696="", "", Inventory!E704)</f>
        <v/>
      </c>
      <c r="M696" s="298" t="str">
        <f>IF(B696="","",IF(Cool_Type=Lookups!$L$9,Cool_Type,IF(Cool_Type=Lookups!$L$10,Cool_Type,IF(Cool_Type=Lookups!$L$11,Cool_Type,IF(Cool_Type=Lookups!L706,Cool_Type,IF('Project Info and Summary'!$C$20="Electric",CONCATENATE(Cool_Type," ",Heating_Type," Heat"),IF('Project Info and Summary'!$C$20="Non-Electric",CONCATENATE(Cool_Type," ",Heating_Type," Heat"),CONCATENATE(Cool_Type," ",Heating_Type))))))))</f>
        <v/>
      </c>
      <c r="N696" s="298" t="str">
        <f t="shared" si="47"/>
        <v/>
      </c>
      <c r="O696" s="298" t="str">
        <f>IF(B696="", "", 'Lighting Inventory (Ref only)'!G707)</f>
        <v/>
      </c>
      <c r="P696" s="298" t="str">
        <f>IF(B696="", "", 'Lighting Inventory (Ref only)'!E707)</f>
        <v/>
      </c>
      <c r="Q696" s="298" t="str">
        <f>IF(B696="", "", 'Lighting Inventory (Ref only)'!J707)</f>
        <v/>
      </c>
      <c r="R696" s="298" t="str">
        <f>IF(B696="", "",'Lighting Inventory (Ref only)'!K707)</f>
        <v/>
      </c>
      <c r="S696" s="372" t="str">
        <f>IF(B696="", "", 'Lighting Inventory (Ref only)'!G707*'Lighting Inventory (Ref only)'!K707/1000)</f>
        <v/>
      </c>
      <c r="T696" s="298" t="str">
        <f>IF(B696="", "", IF('Lighting Inventory (Ref only)'!I707="", "Light Switch",Inventory!H704))</f>
        <v/>
      </c>
      <c r="X696" s="298" t="str">
        <f>IF(B696="", "", 'Lighting Inventory (Ref only)'!Q707)</f>
        <v/>
      </c>
      <c r="AA696" s="298" t="str">
        <f>IF(B696="", "",'Lighting Inventory (Ref only)'!R707/1000)</f>
        <v/>
      </c>
      <c r="AB696" s="298" t="str">
        <f>IF(B696="", "", Inventory!M704)</f>
        <v/>
      </c>
      <c r="AC696" s="298" t="str">
        <f>IF(B696="", "", 'Lighting Inventory (Ref only)'!T707)</f>
        <v/>
      </c>
      <c r="AD696" s="298" t="str">
        <f>IF(C696="", "", 'Lighting Inventory (Ref only)'!AA707)</f>
        <v/>
      </c>
      <c r="AE696" s="298" t="str">
        <f>IF(B696="", "", 'Lighting Inventory (Ref only)'!U707)</f>
        <v/>
      </c>
      <c r="AF696" s="298" t="str">
        <f>IF(B696="", "",'Lighting Inventory (Ref only)'!W707)</f>
        <v/>
      </c>
      <c r="AH696" s="298" t="str">
        <f>IF(B696="", "",'Lighting Inventory (Ref only)'!Z707)</f>
        <v/>
      </c>
      <c r="AI696" s="298" t="str">
        <f>IF(B696="", "", 'Lighting Inventory (Ref only)'!Y707)</f>
        <v/>
      </c>
      <c r="AJ696" s="298" t="str">
        <f>IF(C696="", "",'Lighting Inventory (Ref only)'!AB707)</f>
        <v/>
      </c>
      <c r="AK696" s="375" t="str">
        <f>IF(B696="", "", 'Lighting Inventory (Ref only)'!AG707)</f>
        <v/>
      </c>
      <c r="AL696" s="375" t="str">
        <f>IF(B696="", "", 'Lighting Inventory (Ref only)'!AD707)</f>
        <v/>
      </c>
      <c r="AM696" s="375" t="str">
        <f>IF(B696="", "", 'Lighting Inventory (Ref only)'!AE707)</f>
        <v/>
      </c>
      <c r="AN696" s="375" t="str">
        <f>IF(B696="", "", 'Lighting Inventory (Ref only)'!AF707)</f>
        <v/>
      </c>
      <c r="AO696" s="375" t="str">
        <f>IF(B696="", "", 'Lighting Inventory (Ref only)'!AG707)</f>
        <v/>
      </c>
    </row>
    <row r="697" spans="1:41">
      <c r="A697" s="298" t="str">
        <f>IF(G697="", "", Lookups!BF699)</f>
        <v/>
      </c>
      <c r="B697" s="298" t="str">
        <f>IF('Lighting Inventory (Ref only)'!Q708="", "", 'Lighting Inventory (Ref only)'!Q708)</f>
        <v/>
      </c>
      <c r="C697" s="298" t="str">
        <f>IF(A697="", "", 'Lighting Inventory (Ref only)'!AO708)</f>
        <v/>
      </c>
      <c r="D697" s="298" t="str">
        <f>IF(B697= "","", Inventory!S705)</f>
        <v/>
      </c>
      <c r="F697" s="298" t="str">
        <f>IF(B697="", "", 'Version Log'!$B$34)</f>
        <v/>
      </c>
      <c r="G697" s="298" t="str">
        <f t="shared" si="44"/>
        <v/>
      </c>
      <c r="H697" s="298" t="str">
        <f t="shared" si="45"/>
        <v/>
      </c>
      <c r="I697" s="298" t="str">
        <f>IF(B697="", "",Inventory!D705)</f>
        <v/>
      </c>
      <c r="J697" s="298" t="str">
        <f>IF(B697="","",IF(Inventory!C705="N","Interior","Exterior"))</f>
        <v/>
      </c>
      <c r="K697" s="298" t="str">
        <f t="shared" si="46"/>
        <v/>
      </c>
      <c r="L697" s="298" t="str">
        <f>IF(B697="", "", Inventory!E705)</f>
        <v/>
      </c>
      <c r="M697" s="298" t="str">
        <f>IF(B697="","",IF(Cool_Type=Lookups!$L$9,Cool_Type,IF(Cool_Type=Lookups!$L$10,Cool_Type,IF(Cool_Type=Lookups!$L$11,Cool_Type,IF(Cool_Type=Lookups!L707,Cool_Type,IF('Project Info and Summary'!$C$20="Electric",CONCATENATE(Cool_Type," ",Heating_Type," Heat"),IF('Project Info and Summary'!$C$20="Non-Electric",CONCATENATE(Cool_Type," ",Heating_Type," Heat"),CONCATENATE(Cool_Type," ",Heating_Type))))))))</f>
        <v/>
      </c>
      <c r="N697" s="298" t="str">
        <f t="shared" si="47"/>
        <v/>
      </c>
      <c r="O697" s="298" t="str">
        <f>IF(B697="", "", 'Lighting Inventory (Ref only)'!G708)</f>
        <v/>
      </c>
      <c r="P697" s="298" t="str">
        <f>IF(B697="", "", 'Lighting Inventory (Ref only)'!E708)</f>
        <v/>
      </c>
      <c r="Q697" s="298" t="str">
        <f>IF(B697="", "", 'Lighting Inventory (Ref only)'!J708)</f>
        <v/>
      </c>
      <c r="R697" s="298" t="str">
        <f>IF(B697="", "",'Lighting Inventory (Ref only)'!K708)</f>
        <v/>
      </c>
      <c r="S697" s="372" t="str">
        <f>IF(B697="", "", 'Lighting Inventory (Ref only)'!G708*'Lighting Inventory (Ref only)'!K708/1000)</f>
        <v/>
      </c>
      <c r="T697" s="298" t="str">
        <f>IF(B697="", "", IF('Lighting Inventory (Ref only)'!I708="", "Light Switch",Inventory!H705))</f>
        <v/>
      </c>
      <c r="X697" s="298" t="str">
        <f>IF(B697="", "", 'Lighting Inventory (Ref only)'!Q708)</f>
        <v/>
      </c>
      <c r="AA697" s="298" t="str">
        <f>IF(B697="", "",'Lighting Inventory (Ref only)'!R708/1000)</f>
        <v/>
      </c>
      <c r="AB697" s="298" t="str">
        <f>IF(B697="", "", Inventory!M705)</f>
        <v/>
      </c>
      <c r="AC697" s="298" t="str">
        <f>IF(B697="", "", 'Lighting Inventory (Ref only)'!T708)</f>
        <v/>
      </c>
      <c r="AD697" s="298" t="str">
        <f>IF(C697="", "", 'Lighting Inventory (Ref only)'!AA708)</f>
        <v/>
      </c>
      <c r="AE697" s="298" t="str">
        <f>IF(B697="", "", 'Lighting Inventory (Ref only)'!U708)</f>
        <v/>
      </c>
      <c r="AF697" s="298" t="str">
        <f>IF(B697="", "",'Lighting Inventory (Ref only)'!W708)</f>
        <v/>
      </c>
      <c r="AH697" s="298" t="str">
        <f>IF(B697="", "",'Lighting Inventory (Ref only)'!Z708)</f>
        <v/>
      </c>
      <c r="AI697" s="298" t="str">
        <f>IF(B697="", "", 'Lighting Inventory (Ref only)'!Y708)</f>
        <v/>
      </c>
      <c r="AJ697" s="298" t="str">
        <f>IF(C697="", "",'Lighting Inventory (Ref only)'!AB708)</f>
        <v/>
      </c>
      <c r="AK697" s="375" t="str">
        <f>IF(B697="", "", 'Lighting Inventory (Ref only)'!AG708)</f>
        <v/>
      </c>
      <c r="AL697" s="375" t="str">
        <f>IF(B697="", "", 'Lighting Inventory (Ref only)'!AD708)</f>
        <v/>
      </c>
      <c r="AM697" s="375" t="str">
        <f>IF(B697="", "", 'Lighting Inventory (Ref only)'!AE708)</f>
        <v/>
      </c>
      <c r="AN697" s="375" t="str">
        <f>IF(B697="", "", 'Lighting Inventory (Ref only)'!AF708)</f>
        <v/>
      </c>
      <c r="AO697" s="375" t="str">
        <f>IF(B697="", "", 'Lighting Inventory (Ref only)'!AG708)</f>
        <v/>
      </c>
    </row>
    <row r="698" spans="1:41">
      <c r="A698" s="298" t="str">
        <f>IF(G698="", "", Lookups!BF700)</f>
        <v/>
      </c>
      <c r="B698" s="298" t="str">
        <f>IF('Lighting Inventory (Ref only)'!Q709="", "", 'Lighting Inventory (Ref only)'!Q709)</f>
        <v/>
      </c>
      <c r="C698" s="298" t="str">
        <f>IF(A698="", "", 'Lighting Inventory (Ref only)'!AO709)</f>
        <v/>
      </c>
      <c r="D698" s="298" t="str">
        <f>IF(B698= "","", Inventory!S706)</f>
        <v/>
      </c>
      <c r="F698" s="298" t="str">
        <f>IF(B698="", "", 'Version Log'!$B$34)</f>
        <v/>
      </c>
      <c r="G698" s="298" t="str">
        <f t="shared" si="44"/>
        <v/>
      </c>
      <c r="H698" s="298" t="str">
        <f t="shared" si="45"/>
        <v/>
      </c>
      <c r="I698" s="298" t="str">
        <f>IF(B698="", "",Inventory!D706)</f>
        <v/>
      </c>
      <c r="J698" s="298" t="str">
        <f>IF(B698="","",IF(Inventory!C706="N","Interior","Exterior"))</f>
        <v/>
      </c>
      <c r="K698" s="298" t="str">
        <f t="shared" si="46"/>
        <v/>
      </c>
      <c r="L698" s="298" t="str">
        <f>IF(B698="", "", Inventory!E706)</f>
        <v/>
      </c>
      <c r="M698" s="298" t="str">
        <f>IF(B698="","",IF(Cool_Type=Lookups!$L$9,Cool_Type,IF(Cool_Type=Lookups!$L$10,Cool_Type,IF(Cool_Type=Lookups!$L$11,Cool_Type,IF(Cool_Type=Lookups!L708,Cool_Type,IF('Project Info and Summary'!$C$20="Electric",CONCATENATE(Cool_Type," ",Heating_Type," Heat"),IF('Project Info and Summary'!$C$20="Non-Electric",CONCATENATE(Cool_Type," ",Heating_Type," Heat"),CONCATENATE(Cool_Type," ",Heating_Type))))))))</f>
        <v/>
      </c>
      <c r="N698" s="298" t="str">
        <f t="shared" si="47"/>
        <v/>
      </c>
      <c r="O698" s="298" t="str">
        <f>IF(B698="", "", 'Lighting Inventory (Ref only)'!G709)</f>
        <v/>
      </c>
      <c r="P698" s="298" t="str">
        <f>IF(B698="", "", 'Lighting Inventory (Ref only)'!E709)</f>
        <v/>
      </c>
      <c r="Q698" s="298" t="str">
        <f>IF(B698="", "", 'Lighting Inventory (Ref only)'!J709)</f>
        <v/>
      </c>
      <c r="R698" s="298" t="str">
        <f>IF(B698="", "",'Lighting Inventory (Ref only)'!K709)</f>
        <v/>
      </c>
      <c r="S698" s="372" t="str">
        <f>IF(B698="", "", 'Lighting Inventory (Ref only)'!G709*'Lighting Inventory (Ref only)'!K709/1000)</f>
        <v/>
      </c>
      <c r="T698" s="298" t="str">
        <f>IF(B698="", "", IF('Lighting Inventory (Ref only)'!I709="", "Light Switch",Inventory!H706))</f>
        <v/>
      </c>
      <c r="X698" s="298" t="str">
        <f>IF(B698="", "", 'Lighting Inventory (Ref only)'!Q709)</f>
        <v/>
      </c>
      <c r="AA698" s="298" t="str">
        <f>IF(B698="", "",'Lighting Inventory (Ref only)'!R709/1000)</f>
        <v/>
      </c>
      <c r="AB698" s="298" t="str">
        <f>IF(B698="", "", Inventory!M706)</f>
        <v/>
      </c>
      <c r="AC698" s="298" t="str">
        <f>IF(B698="", "", 'Lighting Inventory (Ref only)'!T709)</f>
        <v/>
      </c>
      <c r="AD698" s="298" t="str">
        <f>IF(C698="", "", 'Lighting Inventory (Ref only)'!AA709)</f>
        <v/>
      </c>
      <c r="AE698" s="298" t="str">
        <f>IF(B698="", "", 'Lighting Inventory (Ref only)'!U709)</f>
        <v/>
      </c>
      <c r="AF698" s="298" t="str">
        <f>IF(B698="", "",'Lighting Inventory (Ref only)'!W709)</f>
        <v/>
      </c>
      <c r="AH698" s="298" t="str">
        <f>IF(B698="", "",'Lighting Inventory (Ref only)'!Z709)</f>
        <v/>
      </c>
      <c r="AI698" s="298" t="str">
        <f>IF(B698="", "", 'Lighting Inventory (Ref only)'!Y709)</f>
        <v/>
      </c>
      <c r="AJ698" s="298" t="str">
        <f>IF(C698="", "",'Lighting Inventory (Ref only)'!AB709)</f>
        <v/>
      </c>
      <c r="AK698" s="375" t="str">
        <f>IF(B698="", "", 'Lighting Inventory (Ref only)'!AG709)</f>
        <v/>
      </c>
      <c r="AL698" s="375" t="str">
        <f>IF(B698="", "", 'Lighting Inventory (Ref only)'!AD709)</f>
        <v/>
      </c>
      <c r="AM698" s="375" t="str">
        <f>IF(B698="", "", 'Lighting Inventory (Ref only)'!AE709)</f>
        <v/>
      </c>
      <c r="AN698" s="375" t="str">
        <f>IF(B698="", "", 'Lighting Inventory (Ref only)'!AF709)</f>
        <v/>
      </c>
      <c r="AO698" s="375" t="str">
        <f>IF(B698="", "", 'Lighting Inventory (Ref only)'!AG709)</f>
        <v/>
      </c>
    </row>
    <row r="699" spans="1:41">
      <c r="A699" s="298" t="str">
        <f>IF(G699="", "", Lookups!BF701)</f>
        <v/>
      </c>
      <c r="B699" s="298" t="str">
        <f>IF('Lighting Inventory (Ref only)'!Q710="", "", 'Lighting Inventory (Ref only)'!Q710)</f>
        <v/>
      </c>
      <c r="C699" s="298" t="str">
        <f>IF(A699="", "", 'Lighting Inventory (Ref only)'!AO710)</f>
        <v/>
      </c>
      <c r="D699" s="298" t="str">
        <f>IF(B699= "","", Inventory!S707)</f>
        <v/>
      </c>
      <c r="F699" s="298" t="str">
        <f>IF(B699="", "", 'Version Log'!$B$34)</f>
        <v/>
      </c>
      <c r="G699" s="298" t="str">
        <f t="shared" si="44"/>
        <v/>
      </c>
      <c r="H699" s="298" t="str">
        <f t="shared" si="45"/>
        <v/>
      </c>
      <c r="I699" s="298" t="str">
        <f>IF(B699="", "",Inventory!D707)</f>
        <v/>
      </c>
      <c r="J699" s="298" t="str">
        <f>IF(B699="","",IF(Inventory!C707="N","Interior","Exterior"))</f>
        <v/>
      </c>
      <c r="K699" s="298" t="str">
        <f t="shared" si="46"/>
        <v/>
      </c>
      <c r="L699" s="298" t="str">
        <f>IF(B699="", "", Inventory!E707)</f>
        <v/>
      </c>
      <c r="M699" s="298" t="str">
        <f>IF(B699="","",IF(Cool_Type=Lookups!$L$9,Cool_Type,IF(Cool_Type=Lookups!$L$10,Cool_Type,IF(Cool_Type=Lookups!$L$11,Cool_Type,IF(Cool_Type=Lookups!L709,Cool_Type,IF('Project Info and Summary'!$C$20="Electric",CONCATENATE(Cool_Type," ",Heating_Type," Heat"),IF('Project Info and Summary'!$C$20="Non-Electric",CONCATENATE(Cool_Type," ",Heating_Type," Heat"),CONCATENATE(Cool_Type," ",Heating_Type))))))))</f>
        <v/>
      </c>
      <c r="N699" s="298" t="str">
        <f t="shared" si="47"/>
        <v/>
      </c>
      <c r="O699" s="298" t="str">
        <f>IF(B699="", "", 'Lighting Inventory (Ref only)'!G710)</f>
        <v/>
      </c>
      <c r="P699" s="298" t="str">
        <f>IF(B699="", "", 'Lighting Inventory (Ref only)'!E710)</f>
        <v/>
      </c>
      <c r="Q699" s="298" t="str">
        <f>IF(B699="", "", 'Lighting Inventory (Ref only)'!J710)</f>
        <v/>
      </c>
      <c r="R699" s="298" t="str">
        <f>IF(B699="", "",'Lighting Inventory (Ref only)'!K710)</f>
        <v/>
      </c>
      <c r="S699" s="372" t="str">
        <f>IF(B699="", "", 'Lighting Inventory (Ref only)'!G710*'Lighting Inventory (Ref only)'!K710/1000)</f>
        <v/>
      </c>
      <c r="T699" s="298" t="str">
        <f>IF(B699="", "", IF('Lighting Inventory (Ref only)'!I710="", "Light Switch",Inventory!H707))</f>
        <v/>
      </c>
      <c r="X699" s="298" t="str">
        <f>IF(B699="", "", 'Lighting Inventory (Ref only)'!Q710)</f>
        <v/>
      </c>
      <c r="AA699" s="298" t="str">
        <f>IF(B699="", "",'Lighting Inventory (Ref only)'!R710/1000)</f>
        <v/>
      </c>
      <c r="AB699" s="298" t="str">
        <f>IF(B699="", "", Inventory!M707)</f>
        <v/>
      </c>
      <c r="AC699" s="298" t="str">
        <f>IF(B699="", "", 'Lighting Inventory (Ref only)'!T710)</f>
        <v/>
      </c>
      <c r="AD699" s="298" t="str">
        <f>IF(C699="", "", 'Lighting Inventory (Ref only)'!AA710)</f>
        <v/>
      </c>
      <c r="AE699" s="298" t="str">
        <f>IF(B699="", "", 'Lighting Inventory (Ref only)'!U710)</f>
        <v/>
      </c>
      <c r="AF699" s="298" t="str">
        <f>IF(B699="", "",'Lighting Inventory (Ref only)'!W710)</f>
        <v/>
      </c>
      <c r="AH699" s="298" t="str">
        <f>IF(B699="", "",'Lighting Inventory (Ref only)'!Z710)</f>
        <v/>
      </c>
      <c r="AI699" s="298" t="str">
        <f>IF(B699="", "", 'Lighting Inventory (Ref only)'!Y710)</f>
        <v/>
      </c>
      <c r="AJ699" s="298" t="str">
        <f>IF(C699="", "",'Lighting Inventory (Ref only)'!AB710)</f>
        <v/>
      </c>
      <c r="AK699" s="375" t="str">
        <f>IF(B699="", "", 'Lighting Inventory (Ref only)'!AG710)</f>
        <v/>
      </c>
      <c r="AL699" s="375" t="str">
        <f>IF(B699="", "", 'Lighting Inventory (Ref only)'!AD710)</f>
        <v/>
      </c>
      <c r="AM699" s="375" t="str">
        <f>IF(B699="", "", 'Lighting Inventory (Ref only)'!AE710)</f>
        <v/>
      </c>
      <c r="AN699" s="375" t="str">
        <f>IF(B699="", "", 'Lighting Inventory (Ref only)'!AF710)</f>
        <v/>
      </c>
      <c r="AO699" s="375" t="str">
        <f>IF(B699="", "", 'Lighting Inventory (Ref only)'!AG710)</f>
        <v/>
      </c>
    </row>
    <row r="700" spans="1:41">
      <c r="A700" s="298" t="str">
        <f>IF(G700="", "", Lookups!BF702)</f>
        <v/>
      </c>
      <c r="B700" s="298" t="str">
        <f>IF('Lighting Inventory (Ref only)'!Q711="", "", 'Lighting Inventory (Ref only)'!Q711)</f>
        <v/>
      </c>
      <c r="C700" s="298" t="str">
        <f>IF(A700="", "", 'Lighting Inventory (Ref only)'!AO711)</f>
        <v/>
      </c>
      <c r="D700" s="298" t="str">
        <f>IF(B700= "","", Inventory!S708)</f>
        <v/>
      </c>
      <c r="F700" s="298" t="str">
        <f>IF(B700="", "", 'Version Log'!$B$34)</f>
        <v/>
      </c>
      <c r="G700" s="298" t="str">
        <f t="shared" si="44"/>
        <v/>
      </c>
      <c r="H700" s="298" t="str">
        <f t="shared" si="45"/>
        <v/>
      </c>
      <c r="I700" s="298" t="str">
        <f>IF(B700="", "",Inventory!D708)</f>
        <v/>
      </c>
      <c r="J700" s="298" t="str">
        <f>IF(B700="","",IF(Inventory!C708="N","Interior","Exterior"))</f>
        <v/>
      </c>
      <c r="K700" s="298" t="str">
        <f t="shared" si="46"/>
        <v/>
      </c>
      <c r="L700" s="298" t="str">
        <f>IF(B700="", "", Inventory!E708)</f>
        <v/>
      </c>
      <c r="M700" s="298" t="str">
        <f>IF(B700="","",IF(Cool_Type=Lookups!$L$9,Cool_Type,IF(Cool_Type=Lookups!$L$10,Cool_Type,IF(Cool_Type=Lookups!$L$11,Cool_Type,IF(Cool_Type=Lookups!L710,Cool_Type,IF('Project Info and Summary'!$C$20="Electric",CONCATENATE(Cool_Type," ",Heating_Type," Heat"),IF('Project Info and Summary'!$C$20="Non-Electric",CONCATENATE(Cool_Type," ",Heating_Type," Heat"),CONCATENATE(Cool_Type," ",Heating_Type))))))))</f>
        <v/>
      </c>
      <c r="N700" s="298" t="str">
        <f t="shared" si="47"/>
        <v/>
      </c>
      <c r="O700" s="298" t="str">
        <f>IF(B700="", "", 'Lighting Inventory (Ref only)'!G711)</f>
        <v/>
      </c>
      <c r="P700" s="298" t="str">
        <f>IF(B700="", "", 'Lighting Inventory (Ref only)'!E711)</f>
        <v/>
      </c>
      <c r="Q700" s="298" t="str">
        <f>IF(B700="", "", 'Lighting Inventory (Ref only)'!J711)</f>
        <v/>
      </c>
      <c r="R700" s="298" t="str">
        <f>IF(B700="", "",'Lighting Inventory (Ref only)'!K711)</f>
        <v/>
      </c>
      <c r="S700" s="372" t="str">
        <f>IF(B700="", "", 'Lighting Inventory (Ref only)'!G711*'Lighting Inventory (Ref only)'!K711/1000)</f>
        <v/>
      </c>
      <c r="T700" s="298" t="str">
        <f>IF(B700="", "", IF('Lighting Inventory (Ref only)'!I711="", "Light Switch",Inventory!H708))</f>
        <v/>
      </c>
      <c r="X700" s="298" t="str">
        <f>IF(B700="", "", 'Lighting Inventory (Ref only)'!Q711)</f>
        <v/>
      </c>
      <c r="AA700" s="298" t="str">
        <f>IF(B700="", "",'Lighting Inventory (Ref only)'!R711/1000)</f>
        <v/>
      </c>
      <c r="AB700" s="298" t="str">
        <f>IF(B700="", "", Inventory!M708)</f>
        <v/>
      </c>
      <c r="AC700" s="298" t="str">
        <f>IF(B700="", "", 'Lighting Inventory (Ref only)'!T711)</f>
        <v/>
      </c>
      <c r="AD700" s="298" t="str">
        <f>IF(C700="", "", 'Lighting Inventory (Ref only)'!AA711)</f>
        <v/>
      </c>
      <c r="AE700" s="298" t="str">
        <f>IF(B700="", "", 'Lighting Inventory (Ref only)'!U711)</f>
        <v/>
      </c>
      <c r="AF700" s="298" t="str">
        <f>IF(B700="", "",'Lighting Inventory (Ref only)'!W711)</f>
        <v/>
      </c>
      <c r="AH700" s="298" t="str">
        <f>IF(B700="", "",'Lighting Inventory (Ref only)'!Z711)</f>
        <v/>
      </c>
      <c r="AI700" s="298" t="str">
        <f>IF(B700="", "", 'Lighting Inventory (Ref only)'!Y711)</f>
        <v/>
      </c>
      <c r="AJ700" s="298" t="str">
        <f>IF(C700="", "",'Lighting Inventory (Ref only)'!AB711)</f>
        <v/>
      </c>
      <c r="AK700" s="375" t="str">
        <f>IF(B700="", "", 'Lighting Inventory (Ref only)'!AG711)</f>
        <v/>
      </c>
      <c r="AL700" s="375" t="str">
        <f>IF(B700="", "", 'Lighting Inventory (Ref only)'!AD711)</f>
        <v/>
      </c>
      <c r="AM700" s="375" t="str">
        <f>IF(B700="", "", 'Lighting Inventory (Ref only)'!AE711)</f>
        <v/>
      </c>
      <c r="AN700" s="375" t="str">
        <f>IF(B700="", "", 'Lighting Inventory (Ref only)'!AF711)</f>
        <v/>
      </c>
      <c r="AO700" s="375" t="str">
        <f>IF(B700="", "", 'Lighting Inventory (Ref only)'!AG711)</f>
        <v/>
      </c>
    </row>
    <row r="701" spans="1:41">
      <c r="A701" s="298" t="str">
        <f>IF(G701="", "", Lookups!BF703)</f>
        <v/>
      </c>
      <c r="B701" s="298" t="str">
        <f>IF('Lighting Inventory (Ref only)'!Q712="", "", 'Lighting Inventory (Ref only)'!Q712)</f>
        <v/>
      </c>
      <c r="C701" s="298" t="str">
        <f>IF(A701="", "", 'Lighting Inventory (Ref only)'!AO712)</f>
        <v/>
      </c>
      <c r="D701" s="298" t="str">
        <f>IF(B701= "","", Inventory!S709)</f>
        <v/>
      </c>
      <c r="F701" s="298" t="str">
        <f>IF(B701="", "", 'Version Log'!$B$34)</f>
        <v/>
      </c>
      <c r="G701" s="298" t="str">
        <f t="shared" si="44"/>
        <v/>
      </c>
      <c r="H701" s="298" t="str">
        <f t="shared" si="45"/>
        <v/>
      </c>
      <c r="I701" s="298" t="str">
        <f>IF(B701="", "",Inventory!D709)</f>
        <v/>
      </c>
      <c r="J701" s="298" t="str">
        <f>IF(B701="","",IF(Inventory!C709="N","Interior","Exterior"))</f>
        <v/>
      </c>
      <c r="K701" s="298" t="str">
        <f t="shared" si="46"/>
        <v/>
      </c>
      <c r="L701" s="298" t="str">
        <f>IF(B701="", "", Inventory!E709)</f>
        <v/>
      </c>
      <c r="M701" s="298" t="str">
        <f>IF(B701="","",IF(Cool_Type=Lookups!$L$9,Cool_Type,IF(Cool_Type=Lookups!$L$10,Cool_Type,IF(Cool_Type=Lookups!$L$11,Cool_Type,IF(Cool_Type=Lookups!L711,Cool_Type,IF('Project Info and Summary'!$C$20="Electric",CONCATENATE(Cool_Type," ",Heating_Type," Heat"),IF('Project Info and Summary'!$C$20="Non-Electric",CONCATENATE(Cool_Type," ",Heating_Type," Heat"),CONCATENATE(Cool_Type," ",Heating_Type))))))))</f>
        <v/>
      </c>
      <c r="N701" s="298" t="str">
        <f t="shared" si="47"/>
        <v/>
      </c>
      <c r="O701" s="298" t="str">
        <f>IF(B701="", "", 'Lighting Inventory (Ref only)'!G712)</f>
        <v/>
      </c>
      <c r="P701" s="298" t="str">
        <f>IF(B701="", "", 'Lighting Inventory (Ref only)'!E712)</f>
        <v/>
      </c>
      <c r="Q701" s="298" t="str">
        <f>IF(B701="", "", 'Lighting Inventory (Ref only)'!J712)</f>
        <v/>
      </c>
      <c r="R701" s="298" t="str">
        <f>IF(B701="", "",'Lighting Inventory (Ref only)'!K712)</f>
        <v/>
      </c>
      <c r="S701" s="372" t="str">
        <f>IF(B701="", "", 'Lighting Inventory (Ref only)'!G712*'Lighting Inventory (Ref only)'!K712/1000)</f>
        <v/>
      </c>
      <c r="T701" s="298" t="str">
        <f>IF(B701="", "", IF('Lighting Inventory (Ref only)'!I712="", "Light Switch",Inventory!H709))</f>
        <v/>
      </c>
      <c r="X701" s="298" t="str">
        <f>IF(B701="", "", 'Lighting Inventory (Ref only)'!Q712)</f>
        <v/>
      </c>
      <c r="AA701" s="298" t="str">
        <f>IF(B701="", "",'Lighting Inventory (Ref only)'!R712/1000)</f>
        <v/>
      </c>
      <c r="AB701" s="298" t="str">
        <f>IF(B701="", "", Inventory!M709)</f>
        <v/>
      </c>
      <c r="AC701" s="298" t="str">
        <f>IF(B701="", "", 'Lighting Inventory (Ref only)'!T712)</f>
        <v/>
      </c>
      <c r="AD701" s="298" t="str">
        <f>IF(C701="", "", 'Lighting Inventory (Ref only)'!AA712)</f>
        <v/>
      </c>
      <c r="AE701" s="298" t="str">
        <f>IF(B701="", "", 'Lighting Inventory (Ref only)'!U712)</f>
        <v/>
      </c>
      <c r="AF701" s="298" t="str">
        <f>IF(B701="", "",'Lighting Inventory (Ref only)'!W712)</f>
        <v/>
      </c>
      <c r="AH701" s="298" t="str">
        <f>IF(B701="", "",'Lighting Inventory (Ref only)'!Z712)</f>
        <v/>
      </c>
      <c r="AI701" s="298" t="str">
        <f>IF(B701="", "", 'Lighting Inventory (Ref only)'!Y712)</f>
        <v/>
      </c>
      <c r="AJ701" s="298" t="str">
        <f>IF(C701="", "",'Lighting Inventory (Ref only)'!AB712)</f>
        <v/>
      </c>
      <c r="AK701" s="375" t="str">
        <f>IF(B701="", "", 'Lighting Inventory (Ref only)'!AG712)</f>
        <v/>
      </c>
      <c r="AL701" s="375" t="str">
        <f>IF(B701="", "", 'Lighting Inventory (Ref only)'!AD712)</f>
        <v/>
      </c>
      <c r="AM701" s="375" t="str">
        <f>IF(B701="", "", 'Lighting Inventory (Ref only)'!AE712)</f>
        <v/>
      </c>
      <c r="AN701" s="375" t="str">
        <f>IF(B701="", "", 'Lighting Inventory (Ref only)'!AF712)</f>
        <v/>
      </c>
      <c r="AO701" s="375" t="str">
        <f>IF(B701="", "", 'Lighting Inventory (Ref only)'!AG712)</f>
        <v/>
      </c>
    </row>
    <row r="702" spans="1:41">
      <c r="A702" s="298" t="str">
        <f>IF(G702="", "", Lookups!BF704)</f>
        <v/>
      </c>
      <c r="B702" s="298" t="str">
        <f>IF('Lighting Inventory (Ref only)'!Q713="", "", 'Lighting Inventory (Ref only)'!Q713)</f>
        <v/>
      </c>
      <c r="C702" s="298" t="str">
        <f>IF(A702="", "", 'Lighting Inventory (Ref only)'!AO713)</f>
        <v/>
      </c>
      <c r="D702" s="298" t="str">
        <f>IF(B702= "","", Inventory!S710)</f>
        <v/>
      </c>
      <c r="F702" s="298" t="str">
        <f>IF(B702="", "", 'Version Log'!$B$34)</f>
        <v/>
      </c>
      <c r="G702" s="298" t="str">
        <f t="shared" si="44"/>
        <v/>
      </c>
      <c r="H702" s="298" t="str">
        <f t="shared" si="45"/>
        <v/>
      </c>
      <c r="I702" s="298" t="str">
        <f>IF(B702="", "",Inventory!D710)</f>
        <v/>
      </c>
      <c r="J702" s="298" t="str">
        <f>IF(B702="","",IF(Inventory!C710="N","Interior","Exterior"))</f>
        <v/>
      </c>
      <c r="K702" s="298" t="str">
        <f t="shared" si="46"/>
        <v/>
      </c>
      <c r="L702" s="298" t="str">
        <f>IF(B702="", "", Inventory!E710)</f>
        <v/>
      </c>
      <c r="M702" s="298" t="str">
        <f>IF(B702="","",IF(Cool_Type=Lookups!$L$9,Cool_Type,IF(Cool_Type=Lookups!$L$10,Cool_Type,IF(Cool_Type=Lookups!$L$11,Cool_Type,IF(Cool_Type=Lookups!L712,Cool_Type,IF('Project Info and Summary'!$C$20="Electric",CONCATENATE(Cool_Type," ",Heating_Type," Heat"),IF('Project Info and Summary'!$C$20="Non-Electric",CONCATENATE(Cool_Type," ",Heating_Type," Heat"),CONCATENATE(Cool_Type," ",Heating_Type))))))))</f>
        <v/>
      </c>
      <c r="N702" s="298" t="str">
        <f t="shared" si="47"/>
        <v/>
      </c>
      <c r="O702" s="298" t="str">
        <f>IF(B702="", "", 'Lighting Inventory (Ref only)'!G713)</f>
        <v/>
      </c>
      <c r="P702" s="298" t="str">
        <f>IF(B702="", "", 'Lighting Inventory (Ref only)'!E713)</f>
        <v/>
      </c>
      <c r="Q702" s="298" t="str">
        <f>IF(B702="", "", 'Lighting Inventory (Ref only)'!J713)</f>
        <v/>
      </c>
      <c r="R702" s="298" t="str">
        <f>IF(B702="", "",'Lighting Inventory (Ref only)'!K713)</f>
        <v/>
      </c>
      <c r="S702" s="372" t="str">
        <f>IF(B702="", "", 'Lighting Inventory (Ref only)'!G713*'Lighting Inventory (Ref only)'!K713/1000)</f>
        <v/>
      </c>
      <c r="T702" s="298" t="str">
        <f>IF(B702="", "", IF('Lighting Inventory (Ref only)'!I713="", "Light Switch",Inventory!H710))</f>
        <v/>
      </c>
      <c r="X702" s="298" t="str">
        <f>IF(B702="", "", 'Lighting Inventory (Ref only)'!Q713)</f>
        <v/>
      </c>
      <c r="AA702" s="298" t="str">
        <f>IF(B702="", "",'Lighting Inventory (Ref only)'!R713/1000)</f>
        <v/>
      </c>
      <c r="AB702" s="298" t="str">
        <f>IF(B702="", "", Inventory!M710)</f>
        <v/>
      </c>
      <c r="AC702" s="298" t="str">
        <f>IF(B702="", "", 'Lighting Inventory (Ref only)'!T713)</f>
        <v/>
      </c>
      <c r="AD702" s="298" t="str">
        <f>IF(C702="", "", 'Lighting Inventory (Ref only)'!AA713)</f>
        <v/>
      </c>
      <c r="AE702" s="298" t="str">
        <f>IF(B702="", "", 'Lighting Inventory (Ref only)'!U713)</f>
        <v/>
      </c>
      <c r="AF702" s="298" t="str">
        <f>IF(B702="", "",'Lighting Inventory (Ref only)'!W713)</f>
        <v/>
      </c>
      <c r="AH702" s="298" t="str">
        <f>IF(B702="", "",'Lighting Inventory (Ref only)'!Z713)</f>
        <v/>
      </c>
      <c r="AI702" s="298" t="str">
        <f>IF(B702="", "", 'Lighting Inventory (Ref only)'!Y713)</f>
        <v/>
      </c>
      <c r="AJ702" s="298" t="str">
        <f>IF(C702="", "",'Lighting Inventory (Ref only)'!AB713)</f>
        <v/>
      </c>
      <c r="AK702" s="375" t="str">
        <f>IF(B702="", "", 'Lighting Inventory (Ref only)'!AG713)</f>
        <v/>
      </c>
      <c r="AL702" s="375" t="str">
        <f>IF(B702="", "", 'Lighting Inventory (Ref only)'!AD713)</f>
        <v/>
      </c>
      <c r="AM702" s="375" t="str">
        <f>IF(B702="", "", 'Lighting Inventory (Ref only)'!AE713)</f>
        <v/>
      </c>
      <c r="AN702" s="375" t="str">
        <f>IF(B702="", "", 'Lighting Inventory (Ref only)'!AF713)</f>
        <v/>
      </c>
      <c r="AO702" s="375" t="str">
        <f>IF(B702="", "", 'Lighting Inventory (Ref only)'!AG713)</f>
        <v/>
      </c>
    </row>
    <row r="703" spans="1:41">
      <c r="A703" s="298" t="str">
        <f>IF(G703="", "", Lookups!BF705)</f>
        <v/>
      </c>
      <c r="B703" s="298" t="str">
        <f>IF('Lighting Inventory (Ref only)'!Q714="", "", 'Lighting Inventory (Ref only)'!Q714)</f>
        <v/>
      </c>
      <c r="C703" s="298" t="str">
        <f>IF(A703="", "", 'Lighting Inventory (Ref only)'!AO714)</f>
        <v/>
      </c>
      <c r="D703" s="298" t="str">
        <f>IF(B703= "","", Inventory!S711)</f>
        <v/>
      </c>
      <c r="F703" s="298" t="str">
        <f>IF(B703="", "", 'Version Log'!$B$34)</f>
        <v/>
      </c>
      <c r="G703" s="298" t="str">
        <f t="shared" si="44"/>
        <v/>
      </c>
      <c r="H703" s="298" t="str">
        <f t="shared" si="45"/>
        <v/>
      </c>
      <c r="I703" s="298" t="str">
        <f>IF(B703="", "",Inventory!D711)</f>
        <v/>
      </c>
      <c r="J703" s="298" t="str">
        <f>IF(B703="","",IF(Inventory!C711="N","Interior","Exterior"))</f>
        <v/>
      </c>
      <c r="K703" s="298" t="str">
        <f t="shared" si="46"/>
        <v/>
      </c>
      <c r="L703" s="298" t="str">
        <f>IF(B703="", "", Inventory!E711)</f>
        <v/>
      </c>
      <c r="M703" s="298" t="str">
        <f>IF(B703="","",IF(Cool_Type=Lookups!$L$9,Cool_Type,IF(Cool_Type=Lookups!$L$10,Cool_Type,IF(Cool_Type=Lookups!$L$11,Cool_Type,IF(Cool_Type=Lookups!L713,Cool_Type,IF('Project Info and Summary'!$C$20="Electric",CONCATENATE(Cool_Type," ",Heating_Type," Heat"),IF('Project Info and Summary'!$C$20="Non-Electric",CONCATENATE(Cool_Type," ",Heating_Type," Heat"),CONCATENATE(Cool_Type," ",Heating_Type))))))))</f>
        <v/>
      </c>
      <c r="N703" s="298" t="str">
        <f t="shared" si="47"/>
        <v/>
      </c>
      <c r="O703" s="298" t="str">
        <f>IF(B703="", "", 'Lighting Inventory (Ref only)'!G714)</f>
        <v/>
      </c>
      <c r="P703" s="298" t="str">
        <f>IF(B703="", "", 'Lighting Inventory (Ref only)'!E714)</f>
        <v/>
      </c>
      <c r="Q703" s="298" t="str">
        <f>IF(B703="", "", 'Lighting Inventory (Ref only)'!J714)</f>
        <v/>
      </c>
      <c r="R703" s="298" t="str">
        <f>IF(B703="", "",'Lighting Inventory (Ref only)'!K714)</f>
        <v/>
      </c>
      <c r="S703" s="372" t="str">
        <f>IF(B703="", "", 'Lighting Inventory (Ref only)'!G714*'Lighting Inventory (Ref only)'!K714/1000)</f>
        <v/>
      </c>
      <c r="T703" s="298" t="str">
        <f>IF(B703="", "", IF('Lighting Inventory (Ref only)'!I714="", "Light Switch",Inventory!H711))</f>
        <v/>
      </c>
      <c r="X703" s="298" t="str">
        <f>IF(B703="", "", 'Lighting Inventory (Ref only)'!Q714)</f>
        <v/>
      </c>
      <c r="AA703" s="298" t="str">
        <f>IF(B703="", "",'Lighting Inventory (Ref only)'!R714/1000)</f>
        <v/>
      </c>
      <c r="AB703" s="298" t="str">
        <f>IF(B703="", "", Inventory!M711)</f>
        <v/>
      </c>
      <c r="AC703" s="298" t="str">
        <f>IF(B703="", "", 'Lighting Inventory (Ref only)'!T714)</f>
        <v/>
      </c>
      <c r="AD703" s="298" t="str">
        <f>IF(C703="", "", 'Lighting Inventory (Ref only)'!AA714)</f>
        <v/>
      </c>
      <c r="AE703" s="298" t="str">
        <f>IF(B703="", "", 'Lighting Inventory (Ref only)'!U714)</f>
        <v/>
      </c>
      <c r="AF703" s="298" t="str">
        <f>IF(B703="", "",'Lighting Inventory (Ref only)'!W714)</f>
        <v/>
      </c>
      <c r="AH703" s="298" t="str">
        <f>IF(B703="", "",'Lighting Inventory (Ref only)'!Z714)</f>
        <v/>
      </c>
      <c r="AI703" s="298" t="str">
        <f>IF(B703="", "", 'Lighting Inventory (Ref only)'!Y714)</f>
        <v/>
      </c>
      <c r="AJ703" s="298" t="str">
        <f>IF(C703="", "",'Lighting Inventory (Ref only)'!AB714)</f>
        <v/>
      </c>
      <c r="AK703" s="375" t="str">
        <f>IF(B703="", "", 'Lighting Inventory (Ref only)'!AG714)</f>
        <v/>
      </c>
      <c r="AL703" s="375" t="str">
        <f>IF(B703="", "", 'Lighting Inventory (Ref only)'!AD714)</f>
        <v/>
      </c>
      <c r="AM703" s="375" t="str">
        <f>IF(B703="", "", 'Lighting Inventory (Ref only)'!AE714)</f>
        <v/>
      </c>
      <c r="AN703" s="375" t="str">
        <f>IF(B703="", "", 'Lighting Inventory (Ref only)'!AF714)</f>
        <v/>
      </c>
      <c r="AO703" s="375" t="str">
        <f>IF(B703="", "", 'Lighting Inventory (Ref only)'!AG714)</f>
        <v/>
      </c>
    </row>
    <row r="704" spans="1:41">
      <c r="A704" s="298" t="str">
        <f>IF(G704="", "", Lookups!BF706)</f>
        <v/>
      </c>
      <c r="B704" s="298" t="str">
        <f>IF('Lighting Inventory (Ref only)'!Q715="", "", 'Lighting Inventory (Ref only)'!Q715)</f>
        <v/>
      </c>
      <c r="C704" s="298" t="str">
        <f>IF(A704="", "", 'Lighting Inventory (Ref only)'!AO715)</f>
        <v/>
      </c>
      <c r="D704" s="298" t="str">
        <f>IF(B704= "","", Inventory!S712)</f>
        <v/>
      </c>
      <c r="F704" s="298" t="str">
        <f>IF(B704="", "", 'Version Log'!$B$34)</f>
        <v/>
      </c>
      <c r="G704" s="298" t="str">
        <f t="shared" si="44"/>
        <v/>
      </c>
      <c r="H704" s="298" t="str">
        <f t="shared" si="45"/>
        <v/>
      </c>
      <c r="I704" s="298" t="str">
        <f>IF(B704="", "",Inventory!D712)</f>
        <v/>
      </c>
      <c r="J704" s="298" t="str">
        <f>IF(B704="","",IF(Inventory!C712="N","Interior","Exterior"))</f>
        <v/>
      </c>
      <c r="K704" s="298" t="str">
        <f t="shared" si="46"/>
        <v/>
      </c>
      <c r="L704" s="298" t="str">
        <f>IF(B704="", "", Inventory!E712)</f>
        <v/>
      </c>
      <c r="M704" s="298" t="str">
        <f>IF(B704="","",IF(Cool_Type=Lookups!$L$9,Cool_Type,IF(Cool_Type=Lookups!$L$10,Cool_Type,IF(Cool_Type=Lookups!$L$11,Cool_Type,IF(Cool_Type=Lookups!L714,Cool_Type,IF('Project Info and Summary'!$C$20="Electric",CONCATENATE(Cool_Type," ",Heating_Type," Heat"),IF('Project Info and Summary'!$C$20="Non-Electric",CONCATENATE(Cool_Type," ",Heating_Type," Heat"),CONCATENATE(Cool_Type," ",Heating_Type))))))))</f>
        <v/>
      </c>
      <c r="N704" s="298" t="str">
        <f t="shared" si="47"/>
        <v/>
      </c>
      <c r="O704" s="298" t="str">
        <f>IF(B704="", "", 'Lighting Inventory (Ref only)'!G715)</f>
        <v/>
      </c>
      <c r="P704" s="298" t="str">
        <f>IF(B704="", "", 'Lighting Inventory (Ref only)'!E715)</f>
        <v/>
      </c>
      <c r="Q704" s="298" t="str">
        <f>IF(B704="", "", 'Lighting Inventory (Ref only)'!J715)</f>
        <v/>
      </c>
      <c r="R704" s="298" t="str">
        <f>IF(B704="", "",'Lighting Inventory (Ref only)'!K715)</f>
        <v/>
      </c>
      <c r="S704" s="372" t="str">
        <f>IF(B704="", "", 'Lighting Inventory (Ref only)'!G715*'Lighting Inventory (Ref only)'!K715/1000)</f>
        <v/>
      </c>
      <c r="T704" s="298" t="str">
        <f>IF(B704="", "", IF('Lighting Inventory (Ref only)'!I715="", "Light Switch",Inventory!H712))</f>
        <v/>
      </c>
      <c r="X704" s="298" t="str">
        <f>IF(B704="", "", 'Lighting Inventory (Ref only)'!Q715)</f>
        <v/>
      </c>
      <c r="AA704" s="298" t="str">
        <f>IF(B704="", "",'Lighting Inventory (Ref only)'!R715/1000)</f>
        <v/>
      </c>
      <c r="AB704" s="298" t="str">
        <f>IF(B704="", "", Inventory!M712)</f>
        <v/>
      </c>
      <c r="AC704" s="298" t="str">
        <f>IF(B704="", "", 'Lighting Inventory (Ref only)'!T715)</f>
        <v/>
      </c>
      <c r="AD704" s="298" t="str">
        <f>IF(C704="", "", 'Lighting Inventory (Ref only)'!AA715)</f>
        <v/>
      </c>
      <c r="AE704" s="298" t="str">
        <f>IF(B704="", "", 'Lighting Inventory (Ref only)'!U715)</f>
        <v/>
      </c>
      <c r="AF704" s="298" t="str">
        <f>IF(B704="", "",'Lighting Inventory (Ref only)'!W715)</f>
        <v/>
      </c>
      <c r="AH704" s="298" t="str">
        <f>IF(B704="", "",'Lighting Inventory (Ref only)'!Z715)</f>
        <v/>
      </c>
      <c r="AI704" s="298" t="str">
        <f>IF(B704="", "", 'Lighting Inventory (Ref only)'!Y715)</f>
        <v/>
      </c>
      <c r="AJ704" s="298" t="str">
        <f>IF(C704="", "",'Lighting Inventory (Ref only)'!AB715)</f>
        <v/>
      </c>
      <c r="AK704" s="375" t="str">
        <f>IF(B704="", "", 'Lighting Inventory (Ref only)'!AG715)</f>
        <v/>
      </c>
      <c r="AL704" s="375" t="str">
        <f>IF(B704="", "", 'Lighting Inventory (Ref only)'!AD715)</f>
        <v/>
      </c>
      <c r="AM704" s="375" t="str">
        <f>IF(B704="", "", 'Lighting Inventory (Ref only)'!AE715)</f>
        <v/>
      </c>
      <c r="AN704" s="375" t="str">
        <f>IF(B704="", "", 'Lighting Inventory (Ref only)'!AF715)</f>
        <v/>
      </c>
      <c r="AO704" s="375" t="str">
        <f>IF(B704="", "", 'Lighting Inventory (Ref only)'!AG715)</f>
        <v/>
      </c>
    </row>
    <row r="705" spans="1:41">
      <c r="A705" s="298" t="str">
        <f>IF(G705="", "", Lookups!BF707)</f>
        <v/>
      </c>
      <c r="B705" s="298" t="str">
        <f>IF('Lighting Inventory (Ref only)'!Q716="", "", 'Lighting Inventory (Ref only)'!Q716)</f>
        <v/>
      </c>
      <c r="C705" s="298" t="str">
        <f>IF(A705="", "", 'Lighting Inventory (Ref only)'!AO716)</f>
        <v/>
      </c>
      <c r="D705" s="298" t="str">
        <f>IF(B705= "","", Inventory!S713)</f>
        <v/>
      </c>
      <c r="F705" s="298" t="str">
        <f>IF(B705="", "", 'Version Log'!$B$34)</f>
        <v/>
      </c>
      <c r="G705" s="298" t="str">
        <f t="shared" si="44"/>
        <v/>
      </c>
      <c r="H705" s="298" t="str">
        <f t="shared" si="45"/>
        <v/>
      </c>
      <c r="I705" s="298" t="str">
        <f>IF(B705="", "",Inventory!D713)</f>
        <v/>
      </c>
      <c r="J705" s="298" t="str">
        <f>IF(B705="","",IF(Inventory!C713="N","Interior","Exterior"))</f>
        <v/>
      </c>
      <c r="K705" s="298" t="str">
        <f t="shared" si="46"/>
        <v/>
      </c>
      <c r="L705" s="298" t="str">
        <f>IF(B705="", "", Inventory!E713)</f>
        <v/>
      </c>
      <c r="M705" s="298" t="str">
        <f>IF(B705="","",IF(Cool_Type=Lookups!$L$9,Cool_Type,IF(Cool_Type=Lookups!$L$10,Cool_Type,IF(Cool_Type=Lookups!$L$11,Cool_Type,IF(Cool_Type=Lookups!L715,Cool_Type,IF('Project Info and Summary'!$C$20="Electric",CONCATENATE(Cool_Type," ",Heating_Type," Heat"),IF('Project Info and Summary'!$C$20="Non-Electric",CONCATENATE(Cool_Type," ",Heating_Type," Heat"),CONCATENATE(Cool_Type," ",Heating_Type))))))))</f>
        <v/>
      </c>
      <c r="N705" s="298" t="str">
        <f t="shared" si="47"/>
        <v/>
      </c>
      <c r="O705" s="298" t="str">
        <f>IF(B705="", "", 'Lighting Inventory (Ref only)'!G716)</f>
        <v/>
      </c>
      <c r="P705" s="298" t="str">
        <f>IF(B705="", "", 'Lighting Inventory (Ref only)'!E716)</f>
        <v/>
      </c>
      <c r="Q705" s="298" t="str">
        <f>IF(B705="", "", 'Lighting Inventory (Ref only)'!J716)</f>
        <v/>
      </c>
      <c r="R705" s="298" t="str">
        <f>IF(B705="", "",'Lighting Inventory (Ref only)'!K716)</f>
        <v/>
      </c>
      <c r="S705" s="372" t="str">
        <f>IF(B705="", "", 'Lighting Inventory (Ref only)'!G716*'Lighting Inventory (Ref only)'!K716/1000)</f>
        <v/>
      </c>
      <c r="T705" s="298" t="str">
        <f>IF(B705="", "", IF('Lighting Inventory (Ref only)'!I716="", "Light Switch",Inventory!H713))</f>
        <v/>
      </c>
      <c r="X705" s="298" t="str">
        <f>IF(B705="", "", 'Lighting Inventory (Ref only)'!Q716)</f>
        <v/>
      </c>
      <c r="AA705" s="298" t="str">
        <f>IF(B705="", "",'Lighting Inventory (Ref only)'!R716/1000)</f>
        <v/>
      </c>
      <c r="AB705" s="298" t="str">
        <f>IF(B705="", "", Inventory!M713)</f>
        <v/>
      </c>
      <c r="AC705" s="298" t="str">
        <f>IF(B705="", "", 'Lighting Inventory (Ref only)'!T716)</f>
        <v/>
      </c>
      <c r="AD705" s="298" t="str">
        <f>IF(C705="", "", 'Lighting Inventory (Ref only)'!AA716)</f>
        <v/>
      </c>
      <c r="AE705" s="298" t="str">
        <f>IF(B705="", "", 'Lighting Inventory (Ref only)'!U716)</f>
        <v/>
      </c>
      <c r="AF705" s="298" t="str">
        <f>IF(B705="", "",'Lighting Inventory (Ref only)'!W716)</f>
        <v/>
      </c>
      <c r="AH705" s="298" t="str">
        <f>IF(B705="", "",'Lighting Inventory (Ref only)'!Z716)</f>
        <v/>
      </c>
      <c r="AI705" s="298" t="str">
        <f>IF(B705="", "", 'Lighting Inventory (Ref only)'!Y716)</f>
        <v/>
      </c>
      <c r="AJ705" s="298" t="str">
        <f>IF(C705="", "",'Lighting Inventory (Ref only)'!AB716)</f>
        <v/>
      </c>
      <c r="AK705" s="375" t="str">
        <f>IF(B705="", "", 'Lighting Inventory (Ref only)'!AG716)</f>
        <v/>
      </c>
      <c r="AL705" s="375" t="str">
        <f>IF(B705="", "", 'Lighting Inventory (Ref only)'!AD716)</f>
        <v/>
      </c>
      <c r="AM705" s="375" t="str">
        <f>IF(B705="", "", 'Lighting Inventory (Ref only)'!AE716)</f>
        <v/>
      </c>
      <c r="AN705" s="375" t="str">
        <f>IF(B705="", "", 'Lighting Inventory (Ref only)'!AF716)</f>
        <v/>
      </c>
      <c r="AO705" s="375" t="str">
        <f>IF(B705="", "", 'Lighting Inventory (Ref only)'!AG716)</f>
        <v/>
      </c>
    </row>
    <row r="706" spans="1:41">
      <c r="A706" s="298" t="str">
        <f>IF(G706="", "", Lookups!BF708)</f>
        <v/>
      </c>
      <c r="B706" s="298" t="str">
        <f>IF('Lighting Inventory (Ref only)'!Q717="", "", 'Lighting Inventory (Ref only)'!Q717)</f>
        <v/>
      </c>
      <c r="C706" s="298" t="str">
        <f>IF(A706="", "", 'Lighting Inventory (Ref only)'!AO717)</f>
        <v/>
      </c>
      <c r="D706" s="298" t="str">
        <f>IF(B706= "","", Inventory!S714)</f>
        <v/>
      </c>
      <c r="F706" s="298" t="str">
        <f>IF(B706="", "", 'Version Log'!$B$34)</f>
        <v/>
      </c>
      <c r="G706" s="298" t="str">
        <f t="shared" si="44"/>
        <v/>
      </c>
      <c r="H706" s="298" t="str">
        <f t="shared" si="45"/>
        <v/>
      </c>
      <c r="I706" s="298" t="str">
        <f>IF(B706="", "",Inventory!D714)</f>
        <v/>
      </c>
      <c r="J706" s="298" t="str">
        <f>IF(B706="","",IF(Inventory!C714="N","Interior","Exterior"))</f>
        <v/>
      </c>
      <c r="K706" s="298" t="str">
        <f t="shared" si="46"/>
        <v/>
      </c>
      <c r="L706" s="298" t="str">
        <f>IF(B706="", "", Inventory!E714)</f>
        <v/>
      </c>
      <c r="M706" s="298" t="str">
        <f>IF(B706="","",IF(Cool_Type=Lookups!$L$9,Cool_Type,IF(Cool_Type=Lookups!$L$10,Cool_Type,IF(Cool_Type=Lookups!$L$11,Cool_Type,IF(Cool_Type=Lookups!L716,Cool_Type,IF('Project Info and Summary'!$C$20="Electric",CONCATENATE(Cool_Type," ",Heating_Type," Heat"),IF('Project Info and Summary'!$C$20="Non-Electric",CONCATENATE(Cool_Type," ",Heating_Type," Heat"),CONCATENATE(Cool_Type," ",Heating_Type))))))))</f>
        <v/>
      </c>
      <c r="N706" s="298" t="str">
        <f t="shared" si="47"/>
        <v/>
      </c>
      <c r="O706" s="298" t="str">
        <f>IF(B706="", "", 'Lighting Inventory (Ref only)'!G717)</f>
        <v/>
      </c>
      <c r="P706" s="298" t="str">
        <f>IF(B706="", "", 'Lighting Inventory (Ref only)'!E717)</f>
        <v/>
      </c>
      <c r="Q706" s="298" t="str">
        <f>IF(B706="", "", 'Lighting Inventory (Ref only)'!J717)</f>
        <v/>
      </c>
      <c r="R706" s="298" t="str">
        <f>IF(B706="", "",'Lighting Inventory (Ref only)'!K717)</f>
        <v/>
      </c>
      <c r="S706" s="372" t="str">
        <f>IF(B706="", "", 'Lighting Inventory (Ref only)'!G717*'Lighting Inventory (Ref only)'!K717/1000)</f>
        <v/>
      </c>
      <c r="T706" s="298" t="str">
        <f>IF(B706="", "", IF('Lighting Inventory (Ref only)'!I717="", "Light Switch",Inventory!H714))</f>
        <v/>
      </c>
      <c r="X706" s="298" t="str">
        <f>IF(B706="", "", 'Lighting Inventory (Ref only)'!Q717)</f>
        <v/>
      </c>
      <c r="AA706" s="298" t="str">
        <f>IF(B706="", "",'Lighting Inventory (Ref only)'!R717/1000)</f>
        <v/>
      </c>
      <c r="AB706" s="298" t="str">
        <f>IF(B706="", "", Inventory!M714)</f>
        <v/>
      </c>
      <c r="AC706" s="298" t="str">
        <f>IF(B706="", "", 'Lighting Inventory (Ref only)'!T717)</f>
        <v/>
      </c>
      <c r="AD706" s="298" t="str">
        <f>IF(C706="", "", 'Lighting Inventory (Ref only)'!AA717)</f>
        <v/>
      </c>
      <c r="AE706" s="298" t="str">
        <f>IF(B706="", "", 'Lighting Inventory (Ref only)'!U717)</f>
        <v/>
      </c>
      <c r="AF706" s="298" t="str">
        <f>IF(B706="", "",'Lighting Inventory (Ref only)'!W717)</f>
        <v/>
      </c>
      <c r="AH706" s="298" t="str">
        <f>IF(B706="", "",'Lighting Inventory (Ref only)'!Z717)</f>
        <v/>
      </c>
      <c r="AI706" s="298" t="str">
        <f>IF(B706="", "", 'Lighting Inventory (Ref only)'!Y717)</f>
        <v/>
      </c>
      <c r="AJ706" s="298" t="str">
        <f>IF(C706="", "",'Lighting Inventory (Ref only)'!AB717)</f>
        <v/>
      </c>
      <c r="AK706" s="375" t="str">
        <f>IF(B706="", "", 'Lighting Inventory (Ref only)'!AG717)</f>
        <v/>
      </c>
      <c r="AL706" s="375" t="str">
        <f>IF(B706="", "", 'Lighting Inventory (Ref only)'!AD717)</f>
        <v/>
      </c>
      <c r="AM706" s="375" t="str">
        <f>IF(B706="", "", 'Lighting Inventory (Ref only)'!AE717)</f>
        <v/>
      </c>
      <c r="AN706" s="375" t="str">
        <f>IF(B706="", "", 'Lighting Inventory (Ref only)'!AF717)</f>
        <v/>
      </c>
      <c r="AO706" s="375" t="str">
        <f>IF(B706="", "", 'Lighting Inventory (Ref only)'!AG717)</f>
        <v/>
      </c>
    </row>
    <row r="707" spans="1:41">
      <c r="A707" s="298" t="str">
        <f>IF(G707="", "", Lookups!BF709)</f>
        <v/>
      </c>
      <c r="B707" s="298" t="str">
        <f>IF('Lighting Inventory (Ref only)'!Q718="", "", 'Lighting Inventory (Ref only)'!Q718)</f>
        <v/>
      </c>
      <c r="C707" s="298" t="str">
        <f>IF(A707="", "", 'Lighting Inventory (Ref only)'!AO718)</f>
        <v/>
      </c>
      <c r="D707" s="298" t="str">
        <f>IF(B707= "","", Inventory!S715)</f>
        <v/>
      </c>
      <c r="F707" s="298" t="str">
        <f>IF(B707="", "", 'Version Log'!$B$34)</f>
        <v/>
      </c>
      <c r="G707" s="298" t="str">
        <f t="shared" si="44"/>
        <v/>
      </c>
      <c r="H707" s="298" t="str">
        <f t="shared" si="45"/>
        <v/>
      </c>
      <c r="I707" s="298" t="str">
        <f>IF(B707="", "",Inventory!D715)</f>
        <v/>
      </c>
      <c r="J707" s="298" t="str">
        <f>IF(B707="","",IF(Inventory!C715="N","Interior","Exterior"))</f>
        <v/>
      </c>
      <c r="K707" s="298" t="str">
        <f t="shared" si="46"/>
        <v/>
      </c>
      <c r="L707" s="298" t="str">
        <f>IF(B707="", "", Inventory!E715)</f>
        <v/>
      </c>
      <c r="M707" s="298" t="str">
        <f>IF(B707="","",IF(Cool_Type=Lookups!$L$9,Cool_Type,IF(Cool_Type=Lookups!$L$10,Cool_Type,IF(Cool_Type=Lookups!$L$11,Cool_Type,IF(Cool_Type=Lookups!L717,Cool_Type,IF('Project Info and Summary'!$C$20="Electric",CONCATENATE(Cool_Type," ",Heating_Type," Heat"),IF('Project Info and Summary'!$C$20="Non-Electric",CONCATENATE(Cool_Type," ",Heating_Type," Heat"),CONCATENATE(Cool_Type," ",Heating_Type))))))))</f>
        <v/>
      </c>
      <c r="N707" s="298" t="str">
        <f t="shared" si="47"/>
        <v/>
      </c>
      <c r="O707" s="298" t="str">
        <f>IF(B707="", "", 'Lighting Inventory (Ref only)'!G718)</f>
        <v/>
      </c>
      <c r="P707" s="298" t="str">
        <f>IF(B707="", "", 'Lighting Inventory (Ref only)'!E718)</f>
        <v/>
      </c>
      <c r="Q707" s="298" t="str">
        <f>IF(B707="", "", 'Lighting Inventory (Ref only)'!J718)</f>
        <v/>
      </c>
      <c r="R707" s="298" t="str">
        <f>IF(B707="", "",'Lighting Inventory (Ref only)'!K718)</f>
        <v/>
      </c>
      <c r="S707" s="372" t="str">
        <f>IF(B707="", "", 'Lighting Inventory (Ref only)'!G718*'Lighting Inventory (Ref only)'!K718/1000)</f>
        <v/>
      </c>
      <c r="T707" s="298" t="str">
        <f>IF(B707="", "", IF('Lighting Inventory (Ref only)'!I718="", "Light Switch",Inventory!H715))</f>
        <v/>
      </c>
      <c r="X707" s="298" t="str">
        <f>IF(B707="", "", 'Lighting Inventory (Ref only)'!Q718)</f>
        <v/>
      </c>
      <c r="AA707" s="298" t="str">
        <f>IF(B707="", "",'Lighting Inventory (Ref only)'!R718/1000)</f>
        <v/>
      </c>
      <c r="AB707" s="298" t="str">
        <f>IF(B707="", "", Inventory!M715)</f>
        <v/>
      </c>
      <c r="AC707" s="298" t="str">
        <f>IF(B707="", "", 'Lighting Inventory (Ref only)'!T718)</f>
        <v/>
      </c>
      <c r="AD707" s="298" t="str">
        <f>IF(C707="", "", 'Lighting Inventory (Ref only)'!AA718)</f>
        <v/>
      </c>
      <c r="AE707" s="298" t="str">
        <f>IF(B707="", "", 'Lighting Inventory (Ref only)'!U718)</f>
        <v/>
      </c>
      <c r="AF707" s="298" t="str">
        <f>IF(B707="", "",'Lighting Inventory (Ref only)'!W718)</f>
        <v/>
      </c>
      <c r="AH707" s="298" t="str">
        <f>IF(B707="", "",'Lighting Inventory (Ref only)'!Z718)</f>
        <v/>
      </c>
      <c r="AI707" s="298" t="str">
        <f>IF(B707="", "", 'Lighting Inventory (Ref only)'!Y718)</f>
        <v/>
      </c>
      <c r="AJ707" s="298" t="str">
        <f>IF(C707="", "",'Lighting Inventory (Ref only)'!AB718)</f>
        <v/>
      </c>
      <c r="AK707" s="375" t="str">
        <f>IF(B707="", "", 'Lighting Inventory (Ref only)'!AG718)</f>
        <v/>
      </c>
      <c r="AL707" s="375" t="str">
        <f>IF(B707="", "", 'Lighting Inventory (Ref only)'!AD718)</f>
        <v/>
      </c>
      <c r="AM707" s="375" t="str">
        <f>IF(B707="", "", 'Lighting Inventory (Ref only)'!AE718)</f>
        <v/>
      </c>
      <c r="AN707" s="375" t="str">
        <f>IF(B707="", "", 'Lighting Inventory (Ref only)'!AF718)</f>
        <v/>
      </c>
      <c r="AO707" s="375" t="str">
        <f>IF(B707="", "", 'Lighting Inventory (Ref only)'!AG718)</f>
        <v/>
      </c>
    </row>
    <row r="708" spans="1:41">
      <c r="A708" s="298" t="str">
        <f>IF(G708="", "", Lookups!BF710)</f>
        <v/>
      </c>
      <c r="B708" s="298" t="str">
        <f>IF('Lighting Inventory (Ref only)'!Q719="", "", 'Lighting Inventory (Ref only)'!Q719)</f>
        <v/>
      </c>
      <c r="C708" s="298" t="str">
        <f>IF(A708="", "", 'Lighting Inventory (Ref only)'!AO719)</f>
        <v/>
      </c>
      <c r="D708" s="298" t="str">
        <f>IF(B708= "","", Inventory!S716)</f>
        <v/>
      </c>
      <c r="F708" s="298" t="str">
        <f>IF(B708="", "", 'Version Log'!$B$34)</f>
        <v/>
      </c>
      <c r="G708" s="298" t="str">
        <f t="shared" si="44"/>
        <v/>
      </c>
      <c r="H708" s="298" t="str">
        <f t="shared" si="45"/>
        <v/>
      </c>
      <c r="I708" s="298" t="str">
        <f>IF(B708="", "",Inventory!D716)</f>
        <v/>
      </c>
      <c r="J708" s="298" t="str">
        <f>IF(B708="","",IF(Inventory!C716="N","Interior","Exterior"))</f>
        <v/>
      </c>
      <c r="K708" s="298" t="str">
        <f t="shared" si="46"/>
        <v/>
      </c>
      <c r="L708" s="298" t="str">
        <f>IF(B708="", "", Inventory!E716)</f>
        <v/>
      </c>
      <c r="M708" s="298" t="str">
        <f>IF(B708="","",IF(Cool_Type=Lookups!$L$9,Cool_Type,IF(Cool_Type=Lookups!$L$10,Cool_Type,IF(Cool_Type=Lookups!$L$11,Cool_Type,IF(Cool_Type=Lookups!L718,Cool_Type,IF('Project Info and Summary'!$C$20="Electric",CONCATENATE(Cool_Type," ",Heating_Type," Heat"),IF('Project Info and Summary'!$C$20="Non-Electric",CONCATENATE(Cool_Type," ",Heating_Type," Heat"),CONCATENATE(Cool_Type," ",Heating_Type))))))))</f>
        <v/>
      </c>
      <c r="N708" s="298" t="str">
        <f t="shared" si="47"/>
        <v/>
      </c>
      <c r="O708" s="298" t="str">
        <f>IF(B708="", "", 'Lighting Inventory (Ref only)'!G719)</f>
        <v/>
      </c>
      <c r="P708" s="298" t="str">
        <f>IF(B708="", "", 'Lighting Inventory (Ref only)'!E719)</f>
        <v/>
      </c>
      <c r="Q708" s="298" t="str">
        <f>IF(B708="", "", 'Lighting Inventory (Ref only)'!J719)</f>
        <v/>
      </c>
      <c r="R708" s="298" t="str">
        <f>IF(B708="", "",'Lighting Inventory (Ref only)'!K719)</f>
        <v/>
      </c>
      <c r="S708" s="372" t="str">
        <f>IF(B708="", "", 'Lighting Inventory (Ref only)'!G719*'Lighting Inventory (Ref only)'!K719/1000)</f>
        <v/>
      </c>
      <c r="T708" s="298" t="str">
        <f>IF(B708="", "", IF('Lighting Inventory (Ref only)'!I719="", "Light Switch",Inventory!H716))</f>
        <v/>
      </c>
      <c r="X708" s="298" t="str">
        <f>IF(B708="", "", 'Lighting Inventory (Ref only)'!Q719)</f>
        <v/>
      </c>
      <c r="AA708" s="298" t="str">
        <f>IF(B708="", "",'Lighting Inventory (Ref only)'!R719/1000)</f>
        <v/>
      </c>
      <c r="AB708" s="298" t="str">
        <f>IF(B708="", "", Inventory!M716)</f>
        <v/>
      </c>
      <c r="AC708" s="298" t="str">
        <f>IF(B708="", "", 'Lighting Inventory (Ref only)'!T719)</f>
        <v/>
      </c>
      <c r="AD708" s="298" t="str">
        <f>IF(C708="", "", 'Lighting Inventory (Ref only)'!AA719)</f>
        <v/>
      </c>
      <c r="AE708" s="298" t="str">
        <f>IF(B708="", "", 'Lighting Inventory (Ref only)'!U719)</f>
        <v/>
      </c>
      <c r="AF708" s="298" t="str">
        <f>IF(B708="", "",'Lighting Inventory (Ref only)'!W719)</f>
        <v/>
      </c>
      <c r="AH708" s="298" t="str">
        <f>IF(B708="", "",'Lighting Inventory (Ref only)'!Z719)</f>
        <v/>
      </c>
      <c r="AI708" s="298" t="str">
        <f>IF(B708="", "", 'Lighting Inventory (Ref only)'!Y719)</f>
        <v/>
      </c>
      <c r="AJ708" s="298" t="str">
        <f>IF(C708="", "",'Lighting Inventory (Ref only)'!AB719)</f>
        <v/>
      </c>
      <c r="AK708" s="375" t="str">
        <f>IF(B708="", "", 'Lighting Inventory (Ref only)'!AG719)</f>
        <v/>
      </c>
      <c r="AL708" s="375" t="str">
        <f>IF(B708="", "", 'Lighting Inventory (Ref only)'!AD719)</f>
        <v/>
      </c>
      <c r="AM708" s="375" t="str">
        <f>IF(B708="", "", 'Lighting Inventory (Ref only)'!AE719)</f>
        <v/>
      </c>
      <c r="AN708" s="375" t="str">
        <f>IF(B708="", "", 'Lighting Inventory (Ref only)'!AF719)</f>
        <v/>
      </c>
      <c r="AO708" s="375" t="str">
        <f>IF(B708="", "", 'Lighting Inventory (Ref only)'!AG719)</f>
        <v/>
      </c>
    </row>
    <row r="709" spans="1:41">
      <c r="A709" s="298" t="str">
        <f>IF(G709="", "", Lookups!BF711)</f>
        <v/>
      </c>
      <c r="B709" s="298" t="str">
        <f>IF('Lighting Inventory (Ref only)'!Q720="", "", 'Lighting Inventory (Ref only)'!Q720)</f>
        <v/>
      </c>
      <c r="C709" s="298" t="str">
        <f>IF(A709="", "", 'Lighting Inventory (Ref only)'!AO720)</f>
        <v/>
      </c>
      <c r="D709" s="298" t="str">
        <f>IF(B709= "","", Inventory!S717)</f>
        <v/>
      </c>
      <c r="F709" s="298" t="str">
        <f>IF(B709="", "", 'Version Log'!$B$34)</f>
        <v/>
      </c>
      <c r="G709" s="298" t="str">
        <f t="shared" si="44"/>
        <v/>
      </c>
      <c r="H709" s="298" t="str">
        <f t="shared" si="45"/>
        <v/>
      </c>
      <c r="I709" s="298" t="str">
        <f>IF(B709="", "",Inventory!D717)</f>
        <v/>
      </c>
      <c r="J709" s="298" t="str">
        <f>IF(B709="","",IF(Inventory!C717="N","Interior","Exterior"))</f>
        <v/>
      </c>
      <c r="K709" s="298" t="str">
        <f t="shared" si="46"/>
        <v/>
      </c>
      <c r="L709" s="298" t="str">
        <f>IF(B709="", "", Inventory!E717)</f>
        <v/>
      </c>
      <c r="M709" s="298" t="str">
        <f>IF(B709="","",IF(Cool_Type=Lookups!$L$9,Cool_Type,IF(Cool_Type=Lookups!$L$10,Cool_Type,IF(Cool_Type=Lookups!$L$11,Cool_Type,IF(Cool_Type=Lookups!L719,Cool_Type,IF('Project Info and Summary'!$C$20="Electric",CONCATENATE(Cool_Type," ",Heating_Type," Heat"),IF('Project Info and Summary'!$C$20="Non-Electric",CONCATENATE(Cool_Type," ",Heating_Type," Heat"),CONCATENATE(Cool_Type," ",Heating_Type))))))))</f>
        <v/>
      </c>
      <c r="N709" s="298" t="str">
        <f t="shared" si="47"/>
        <v/>
      </c>
      <c r="O709" s="298" t="str">
        <f>IF(B709="", "", 'Lighting Inventory (Ref only)'!G720)</f>
        <v/>
      </c>
      <c r="P709" s="298" t="str">
        <f>IF(B709="", "", 'Lighting Inventory (Ref only)'!E720)</f>
        <v/>
      </c>
      <c r="Q709" s="298" t="str">
        <f>IF(B709="", "", 'Lighting Inventory (Ref only)'!J720)</f>
        <v/>
      </c>
      <c r="R709" s="298" t="str">
        <f>IF(B709="", "",'Lighting Inventory (Ref only)'!K720)</f>
        <v/>
      </c>
      <c r="S709" s="372" t="str">
        <f>IF(B709="", "", 'Lighting Inventory (Ref only)'!G720*'Lighting Inventory (Ref only)'!K720/1000)</f>
        <v/>
      </c>
      <c r="T709" s="298" t="str">
        <f>IF(B709="", "", IF('Lighting Inventory (Ref only)'!I720="", "Light Switch",Inventory!H717))</f>
        <v/>
      </c>
      <c r="X709" s="298" t="str">
        <f>IF(B709="", "", 'Lighting Inventory (Ref only)'!Q720)</f>
        <v/>
      </c>
      <c r="AA709" s="298" t="str">
        <f>IF(B709="", "",'Lighting Inventory (Ref only)'!R720/1000)</f>
        <v/>
      </c>
      <c r="AB709" s="298" t="str">
        <f>IF(B709="", "", Inventory!M717)</f>
        <v/>
      </c>
      <c r="AC709" s="298" t="str">
        <f>IF(B709="", "", 'Lighting Inventory (Ref only)'!T720)</f>
        <v/>
      </c>
      <c r="AD709" s="298" t="str">
        <f>IF(C709="", "", 'Lighting Inventory (Ref only)'!AA720)</f>
        <v/>
      </c>
      <c r="AE709" s="298" t="str">
        <f>IF(B709="", "", 'Lighting Inventory (Ref only)'!U720)</f>
        <v/>
      </c>
      <c r="AF709" s="298" t="str">
        <f>IF(B709="", "",'Lighting Inventory (Ref only)'!W720)</f>
        <v/>
      </c>
      <c r="AH709" s="298" t="str">
        <f>IF(B709="", "",'Lighting Inventory (Ref only)'!Z720)</f>
        <v/>
      </c>
      <c r="AI709" s="298" t="str">
        <f>IF(B709="", "", 'Lighting Inventory (Ref only)'!Y720)</f>
        <v/>
      </c>
      <c r="AJ709" s="298" t="str">
        <f>IF(C709="", "",'Lighting Inventory (Ref only)'!AB720)</f>
        <v/>
      </c>
      <c r="AK709" s="375" t="str">
        <f>IF(B709="", "", 'Lighting Inventory (Ref only)'!AG720)</f>
        <v/>
      </c>
      <c r="AL709" s="375" t="str">
        <f>IF(B709="", "", 'Lighting Inventory (Ref only)'!AD720)</f>
        <v/>
      </c>
      <c r="AM709" s="375" t="str">
        <f>IF(B709="", "", 'Lighting Inventory (Ref only)'!AE720)</f>
        <v/>
      </c>
      <c r="AN709" s="375" t="str">
        <f>IF(B709="", "", 'Lighting Inventory (Ref only)'!AF720)</f>
        <v/>
      </c>
      <c r="AO709" s="375" t="str">
        <f>IF(B709="", "", 'Lighting Inventory (Ref only)'!AG720)</f>
        <v/>
      </c>
    </row>
    <row r="710" spans="1:41">
      <c r="A710" s="298" t="str">
        <f>IF(G710="", "", Lookups!BF712)</f>
        <v/>
      </c>
      <c r="B710" s="298" t="str">
        <f>IF('Lighting Inventory (Ref only)'!Q721="", "", 'Lighting Inventory (Ref only)'!Q721)</f>
        <v/>
      </c>
      <c r="C710" s="298" t="str">
        <f>IF(A710="", "", 'Lighting Inventory (Ref only)'!AO721)</f>
        <v/>
      </c>
      <c r="D710" s="298" t="str">
        <f>IF(B710= "","", Inventory!S718)</f>
        <v/>
      </c>
      <c r="F710" s="298" t="str">
        <f>IF(B710="", "", 'Version Log'!$B$34)</f>
        <v/>
      </c>
      <c r="G710" s="298" t="str">
        <f t="shared" si="44"/>
        <v/>
      </c>
      <c r="H710" s="298" t="str">
        <f t="shared" si="45"/>
        <v/>
      </c>
      <c r="I710" s="298" t="str">
        <f>IF(B710="", "",Inventory!D718)</f>
        <v/>
      </c>
      <c r="J710" s="298" t="str">
        <f>IF(B710="","",IF(Inventory!C718="N","Interior","Exterior"))</f>
        <v/>
      </c>
      <c r="K710" s="298" t="str">
        <f t="shared" si="46"/>
        <v/>
      </c>
      <c r="L710" s="298" t="str">
        <f>IF(B710="", "", Inventory!E718)</f>
        <v/>
      </c>
      <c r="M710" s="298" t="str">
        <f>IF(B710="","",IF(Cool_Type=Lookups!$L$9,Cool_Type,IF(Cool_Type=Lookups!$L$10,Cool_Type,IF(Cool_Type=Lookups!$L$11,Cool_Type,IF(Cool_Type=Lookups!L720,Cool_Type,IF('Project Info and Summary'!$C$20="Electric",CONCATENATE(Cool_Type," ",Heating_Type," Heat"),IF('Project Info and Summary'!$C$20="Non-Electric",CONCATENATE(Cool_Type," ",Heating_Type," Heat"),CONCATENATE(Cool_Type," ",Heating_Type))))))))</f>
        <v/>
      </c>
      <c r="N710" s="298" t="str">
        <f t="shared" si="47"/>
        <v/>
      </c>
      <c r="O710" s="298" t="str">
        <f>IF(B710="", "", 'Lighting Inventory (Ref only)'!G721)</f>
        <v/>
      </c>
      <c r="P710" s="298" t="str">
        <f>IF(B710="", "", 'Lighting Inventory (Ref only)'!E721)</f>
        <v/>
      </c>
      <c r="Q710" s="298" t="str">
        <f>IF(B710="", "", 'Lighting Inventory (Ref only)'!J721)</f>
        <v/>
      </c>
      <c r="R710" s="298" t="str">
        <f>IF(B710="", "",'Lighting Inventory (Ref only)'!K721)</f>
        <v/>
      </c>
      <c r="S710" s="372" t="str">
        <f>IF(B710="", "", 'Lighting Inventory (Ref only)'!G721*'Lighting Inventory (Ref only)'!K721/1000)</f>
        <v/>
      </c>
      <c r="T710" s="298" t="str">
        <f>IF(B710="", "", IF('Lighting Inventory (Ref only)'!I721="", "Light Switch",Inventory!H718))</f>
        <v/>
      </c>
      <c r="X710" s="298" t="str">
        <f>IF(B710="", "", 'Lighting Inventory (Ref only)'!Q721)</f>
        <v/>
      </c>
      <c r="AA710" s="298" t="str">
        <f>IF(B710="", "",'Lighting Inventory (Ref only)'!R721/1000)</f>
        <v/>
      </c>
      <c r="AB710" s="298" t="str">
        <f>IF(B710="", "", Inventory!M718)</f>
        <v/>
      </c>
      <c r="AC710" s="298" t="str">
        <f>IF(B710="", "", 'Lighting Inventory (Ref only)'!T721)</f>
        <v/>
      </c>
      <c r="AD710" s="298" t="str">
        <f>IF(C710="", "", 'Lighting Inventory (Ref only)'!AA721)</f>
        <v/>
      </c>
      <c r="AE710" s="298" t="str">
        <f>IF(B710="", "", 'Lighting Inventory (Ref only)'!U721)</f>
        <v/>
      </c>
      <c r="AF710" s="298" t="str">
        <f>IF(B710="", "",'Lighting Inventory (Ref only)'!W721)</f>
        <v/>
      </c>
      <c r="AH710" s="298" t="str">
        <f>IF(B710="", "",'Lighting Inventory (Ref only)'!Z721)</f>
        <v/>
      </c>
      <c r="AI710" s="298" t="str">
        <f>IF(B710="", "", 'Lighting Inventory (Ref only)'!Y721)</f>
        <v/>
      </c>
      <c r="AJ710" s="298" t="str">
        <f>IF(C710="", "",'Lighting Inventory (Ref only)'!AB721)</f>
        <v/>
      </c>
      <c r="AK710" s="375" t="str">
        <f>IF(B710="", "", 'Lighting Inventory (Ref only)'!AG721)</f>
        <v/>
      </c>
      <c r="AL710" s="375" t="str">
        <f>IF(B710="", "", 'Lighting Inventory (Ref only)'!AD721)</f>
        <v/>
      </c>
      <c r="AM710" s="375" t="str">
        <f>IF(B710="", "", 'Lighting Inventory (Ref only)'!AE721)</f>
        <v/>
      </c>
      <c r="AN710" s="375" t="str">
        <f>IF(B710="", "", 'Lighting Inventory (Ref only)'!AF721)</f>
        <v/>
      </c>
      <c r="AO710" s="375" t="str">
        <f>IF(B710="", "", 'Lighting Inventory (Ref only)'!AG721)</f>
        <v/>
      </c>
    </row>
    <row r="711" spans="1:41">
      <c r="A711" s="298" t="str">
        <f>IF(G711="", "", Lookups!BF713)</f>
        <v/>
      </c>
      <c r="B711" s="298" t="str">
        <f>IF('Lighting Inventory (Ref only)'!Q722="", "", 'Lighting Inventory (Ref only)'!Q722)</f>
        <v/>
      </c>
      <c r="C711" s="298" t="str">
        <f>IF(A711="", "", 'Lighting Inventory (Ref only)'!AO722)</f>
        <v/>
      </c>
      <c r="D711" s="298" t="str">
        <f>IF(B711= "","", Inventory!S719)</f>
        <v/>
      </c>
      <c r="F711" s="298" t="str">
        <f>IF(B711="", "", 'Version Log'!$B$34)</f>
        <v/>
      </c>
      <c r="G711" s="298" t="str">
        <f t="shared" si="44"/>
        <v/>
      </c>
      <c r="H711" s="298" t="str">
        <f t="shared" si="45"/>
        <v/>
      </c>
      <c r="I711" s="298" t="str">
        <f>IF(B711="", "",Inventory!D719)</f>
        <v/>
      </c>
      <c r="J711" s="298" t="str">
        <f>IF(B711="","",IF(Inventory!C719="N","Interior","Exterior"))</f>
        <v/>
      </c>
      <c r="K711" s="298" t="str">
        <f t="shared" si="46"/>
        <v/>
      </c>
      <c r="L711" s="298" t="str">
        <f>IF(B711="", "", Inventory!E719)</f>
        <v/>
      </c>
      <c r="M711" s="298" t="str">
        <f>IF(B711="","",IF(Cool_Type=Lookups!$L$9,Cool_Type,IF(Cool_Type=Lookups!$L$10,Cool_Type,IF(Cool_Type=Lookups!$L$11,Cool_Type,IF(Cool_Type=Lookups!L721,Cool_Type,IF('Project Info and Summary'!$C$20="Electric",CONCATENATE(Cool_Type," ",Heating_Type," Heat"),IF('Project Info and Summary'!$C$20="Non-Electric",CONCATENATE(Cool_Type," ",Heating_Type," Heat"),CONCATENATE(Cool_Type," ",Heating_Type))))))))</f>
        <v/>
      </c>
      <c r="N711" s="298" t="str">
        <f t="shared" si="47"/>
        <v/>
      </c>
      <c r="O711" s="298" t="str">
        <f>IF(B711="", "", 'Lighting Inventory (Ref only)'!G722)</f>
        <v/>
      </c>
      <c r="P711" s="298" t="str">
        <f>IF(B711="", "", 'Lighting Inventory (Ref only)'!E722)</f>
        <v/>
      </c>
      <c r="Q711" s="298" t="str">
        <f>IF(B711="", "", 'Lighting Inventory (Ref only)'!J722)</f>
        <v/>
      </c>
      <c r="R711" s="298" t="str">
        <f>IF(B711="", "",'Lighting Inventory (Ref only)'!K722)</f>
        <v/>
      </c>
      <c r="S711" s="372" t="str">
        <f>IF(B711="", "", 'Lighting Inventory (Ref only)'!G722*'Lighting Inventory (Ref only)'!K722/1000)</f>
        <v/>
      </c>
      <c r="T711" s="298" t="str">
        <f>IF(B711="", "", IF('Lighting Inventory (Ref only)'!I722="", "Light Switch",Inventory!H719))</f>
        <v/>
      </c>
      <c r="X711" s="298" t="str">
        <f>IF(B711="", "", 'Lighting Inventory (Ref only)'!Q722)</f>
        <v/>
      </c>
      <c r="AA711" s="298" t="str">
        <f>IF(B711="", "",'Lighting Inventory (Ref only)'!R722/1000)</f>
        <v/>
      </c>
      <c r="AB711" s="298" t="str">
        <f>IF(B711="", "", Inventory!M719)</f>
        <v/>
      </c>
      <c r="AC711" s="298" t="str">
        <f>IF(B711="", "", 'Lighting Inventory (Ref only)'!T722)</f>
        <v/>
      </c>
      <c r="AD711" s="298" t="str">
        <f>IF(C711="", "", 'Lighting Inventory (Ref only)'!AA722)</f>
        <v/>
      </c>
      <c r="AE711" s="298" t="str">
        <f>IF(B711="", "", 'Lighting Inventory (Ref only)'!U722)</f>
        <v/>
      </c>
      <c r="AF711" s="298" t="str">
        <f>IF(B711="", "",'Lighting Inventory (Ref only)'!W722)</f>
        <v/>
      </c>
      <c r="AH711" s="298" t="str">
        <f>IF(B711="", "",'Lighting Inventory (Ref only)'!Z722)</f>
        <v/>
      </c>
      <c r="AI711" s="298" t="str">
        <f>IF(B711="", "", 'Lighting Inventory (Ref only)'!Y722)</f>
        <v/>
      </c>
      <c r="AJ711" s="298" t="str">
        <f>IF(C711="", "",'Lighting Inventory (Ref only)'!AB722)</f>
        <v/>
      </c>
      <c r="AK711" s="375" t="str">
        <f>IF(B711="", "", 'Lighting Inventory (Ref only)'!AG722)</f>
        <v/>
      </c>
      <c r="AL711" s="375" t="str">
        <f>IF(B711="", "", 'Lighting Inventory (Ref only)'!AD722)</f>
        <v/>
      </c>
      <c r="AM711" s="375" t="str">
        <f>IF(B711="", "", 'Lighting Inventory (Ref only)'!AE722)</f>
        <v/>
      </c>
      <c r="AN711" s="375" t="str">
        <f>IF(B711="", "", 'Lighting Inventory (Ref only)'!AF722)</f>
        <v/>
      </c>
      <c r="AO711" s="375" t="str">
        <f>IF(B711="", "", 'Lighting Inventory (Ref only)'!AG722)</f>
        <v/>
      </c>
    </row>
    <row r="712" spans="1:41">
      <c r="A712" s="298" t="str">
        <f>IF(G712="", "", Lookups!BF714)</f>
        <v/>
      </c>
      <c r="B712" s="298" t="str">
        <f>IF('Lighting Inventory (Ref only)'!Q723="", "", 'Lighting Inventory (Ref only)'!Q723)</f>
        <v/>
      </c>
      <c r="C712" s="298" t="str">
        <f>IF(A712="", "", 'Lighting Inventory (Ref only)'!AO723)</f>
        <v/>
      </c>
      <c r="D712" s="298" t="str">
        <f>IF(B712= "","", Inventory!S720)</f>
        <v/>
      </c>
      <c r="F712" s="298" t="str">
        <f>IF(B712="", "", 'Version Log'!$B$34)</f>
        <v/>
      </c>
      <c r="G712" s="298" t="str">
        <f t="shared" si="44"/>
        <v/>
      </c>
      <c r="H712" s="298" t="str">
        <f t="shared" si="45"/>
        <v/>
      </c>
      <c r="I712" s="298" t="str">
        <f>IF(B712="", "",Inventory!D720)</f>
        <v/>
      </c>
      <c r="J712" s="298" t="str">
        <f>IF(B712="","",IF(Inventory!C720="N","Interior","Exterior"))</f>
        <v/>
      </c>
      <c r="K712" s="298" t="str">
        <f t="shared" si="46"/>
        <v/>
      </c>
      <c r="L712" s="298" t="str">
        <f>IF(B712="", "", Inventory!E720)</f>
        <v/>
      </c>
      <c r="M712" s="298" t="str">
        <f>IF(B712="","",IF(Cool_Type=Lookups!$L$9,Cool_Type,IF(Cool_Type=Lookups!$L$10,Cool_Type,IF(Cool_Type=Lookups!$L$11,Cool_Type,IF(Cool_Type=Lookups!L722,Cool_Type,IF('Project Info and Summary'!$C$20="Electric",CONCATENATE(Cool_Type," ",Heating_Type," Heat"),IF('Project Info and Summary'!$C$20="Non-Electric",CONCATENATE(Cool_Type," ",Heating_Type," Heat"),CONCATENATE(Cool_Type," ",Heating_Type))))))))</f>
        <v/>
      </c>
      <c r="N712" s="298" t="str">
        <f t="shared" si="47"/>
        <v/>
      </c>
      <c r="O712" s="298" t="str">
        <f>IF(B712="", "", 'Lighting Inventory (Ref only)'!G723)</f>
        <v/>
      </c>
      <c r="P712" s="298" t="str">
        <f>IF(B712="", "", 'Lighting Inventory (Ref only)'!E723)</f>
        <v/>
      </c>
      <c r="Q712" s="298" t="str">
        <f>IF(B712="", "", 'Lighting Inventory (Ref only)'!J723)</f>
        <v/>
      </c>
      <c r="R712" s="298" t="str">
        <f>IF(B712="", "",'Lighting Inventory (Ref only)'!K723)</f>
        <v/>
      </c>
      <c r="S712" s="372" t="str">
        <f>IF(B712="", "", 'Lighting Inventory (Ref only)'!G723*'Lighting Inventory (Ref only)'!K723/1000)</f>
        <v/>
      </c>
      <c r="T712" s="298" t="str">
        <f>IF(B712="", "", IF('Lighting Inventory (Ref only)'!I723="", "Light Switch",Inventory!H720))</f>
        <v/>
      </c>
      <c r="X712" s="298" t="str">
        <f>IF(B712="", "", 'Lighting Inventory (Ref only)'!Q723)</f>
        <v/>
      </c>
      <c r="AA712" s="298" t="str">
        <f>IF(B712="", "",'Lighting Inventory (Ref only)'!R723/1000)</f>
        <v/>
      </c>
      <c r="AB712" s="298" t="str">
        <f>IF(B712="", "", Inventory!M720)</f>
        <v/>
      </c>
      <c r="AC712" s="298" t="str">
        <f>IF(B712="", "", 'Lighting Inventory (Ref only)'!T723)</f>
        <v/>
      </c>
      <c r="AD712" s="298" t="str">
        <f>IF(C712="", "", 'Lighting Inventory (Ref only)'!AA723)</f>
        <v/>
      </c>
      <c r="AE712" s="298" t="str">
        <f>IF(B712="", "", 'Lighting Inventory (Ref only)'!U723)</f>
        <v/>
      </c>
      <c r="AF712" s="298" t="str">
        <f>IF(B712="", "",'Lighting Inventory (Ref only)'!W723)</f>
        <v/>
      </c>
      <c r="AH712" s="298" t="str">
        <f>IF(B712="", "",'Lighting Inventory (Ref only)'!Z723)</f>
        <v/>
      </c>
      <c r="AI712" s="298" t="str">
        <f>IF(B712="", "", 'Lighting Inventory (Ref only)'!Y723)</f>
        <v/>
      </c>
      <c r="AJ712" s="298" t="str">
        <f>IF(C712="", "",'Lighting Inventory (Ref only)'!AB723)</f>
        <v/>
      </c>
      <c r="AK712" s="375" t="str">
        <f>IF(B712="", "", 'Lighting Inventory (Ref only)'!AG723)</f>
        <v/>
      </c>
      <c r="AL712" s="375" t="str">
        <f>IF(B712="", "", 'Lighting Inventory (Ref only)'!AD723)</f>
        <v/>
      </c>
      <c r="AM712" s="375" t="str">
        <f>IF(B712="", "", 'Lighting Inventory (Ref only)'!AE723)</f>
        <v/>
      </c>
      <c r="AN712" s="375" t="str">
        <f>IF(B712="", "", 'Lighting Inventory (Ref only)'!AF723)</f>
        <v/>
      </c>
      <c r="AO712" s="375" t="str">
        <f>IF(B712="", "", 'Lighting Inventory (Ref only)'!AG723)</f>
        <v/>
      </c>
    </row>
    <row r="713" spans="1:41">
      <c r="A713" s="298" t="str">
        <f>IF(G713="", "", Lookups!BF715)</f>
        <v/>
      </c>
      <c r="B713" s="298" t="str">
        <f>IF('Lighting Inventory (Ref only)'!Q724="", "", 'Lighting Inventory (Ref only)'!Q724)</f>
        <v/>
      </c>
      <c r="C713" s="298" t="str">
        <f>IF(A713="", "", 'Lighting Inventory (Ref only)'!AO724)</f>
        <v/>
      </c>
      <c r="D713" s="298" t="str">
        <f>IF(B713= "","", Inventory!S721)</f>
        <v/>
      </c>
      <c r="F713" s="298" t="str">
        <f>IF(B713="", "", 'Version Log'!$B$34)</f>
        <v/>
      </c>
      <c r="G713" s="298" t="str">
        <f t="shared" si="44"/>
        <v/>
      </c>
      <c r="H713" s="298" t="str">
        <f t="shared" si="45"/>
        <v/>
      </c>
      <c r="I713" s="298" t="str">
        <f>IF(B713="", "",Inventory!D721)</f>
        <v/>
      </c>
      <c r="J713" s="298" t="str">
        <f>IF(B713="","",IF(Inventory!C721="N","Interior","Exterior"))</f>
        <v/>
      </c>
      <c r="K713" s="298" t="str">
        <f t="shared" si="46"/>
        <v/>
      </c>
      <c r="L713" s="298" t="str">
        <f>IF(B713="", "", Inventory!E721)</f>
        <v/>
      </c>
      <c r="M713" s="298" t="str">
        <f>IF(B713="","",IF(Cool_Type=Lookups!$L$9,Cool_Type,IF(Cool_Type=Lookups!$L$10,Cool_Type,IF(Cool_Type=Lookups!$L$11,Cool_Type,IF(Cool_Type=Lookups!L723,Cool_Type,IF('Project Info and Summary'!$C$20="Electric",CONCATENATE(Cool_Type," ",Heating_Type," Heat"),IF('Project Info and Summary'!$C$20="Non-Electric",CONCATENATE(Cool_Type," ",Heating_Type," Heat"),CONCATENATE(Cool_Type," ",Heating_Type))))))))</f>
        <v/>
      </c>
      <c r="N713" s="298" t="str">
        <f t="shared" si="47"/>
        <v/>
      </c>
      <c r="O713" s="298" t="str">
        <f>IF(B713="", "", 'Lighting Inventory (Ref only)'!G724)</f>
        <v/>
      </c>
      <c r="P713" s="298" t="str">
        <f>IF(B713="", "", 'Lighting Inventory (Ref only)'!E724)</f>
        <v/>
      </c>
      <c r="Q713" s="298" t="str">
        <f>IF(B713="", "", 'Lighting Inventory (Ref only)'!J724)</f>
        <v/>
      </c>
      <c r="R713" s="298" t="str">
        <f>IF(B713="", "",'Lighting Inventory (Ref only)'!K724)</f>
        <v/>
      </c>
      <c r="S713" s="372" t="str">
        <f>IF(B713="", "", 'Lighting Inventory (Ref only)'!G724*'Lighting Inventory (Ref only)'!K724/1000)</f>
        <v/>
      </c>
      <c r="T713" s="298" t="str">
        <f>IF(B713="", "", IF('Lighting Inventory (Ref only)'!I724="", "Light Switch",Inventory!H721))</f>
        <v/>
      </c>
      <c r="X713" s="298" t="str">
        <f>IF(B713="", "", 'Lighting Inventory (Ref only)'!Q724)</f>
        <v/>
      </c>
      <c r="AA713" s="298" t="str">
        <f>IF(B713="", "",'Lighting Inventory (Ref only)'!R724/1000)</f>
        <v/>
      </c>
      <c r="AB713" s="298" t="str">
        <f>IF(B713="", "", Inventory!M721)</f>
        <v/>
      </c>
      <c r="AC713" s="298" t="str">
        <f>IF(B713="", "", 'Lighting Inventory (Ref only)'!T724)</f>
        <v/>
      </c>
      <c r="AD713" s="298" t="str">
        <f>IF(C713="", "", 'Lighting Inventory (Ref only)'!AA724)</f>
        <v/>
      </c>
      <c r="AE713" s="298" t="str">
        <f>IF(B713="", "", 'Lighting Inventory (Ref only)'!U724)</f>
        <v/>
      </c>
      <c r="AF713" s="298" t="str">
        <f>IF(B713="", "",'Lighting Inventory (Ref only)'!W724)</f>
        <v/>
      </c>
      <c r="AH713" s="298" t="str">
        <f>IF(B713="", "",'Lighting Inventory (Ref only)'!Z724)</f>
        <v/>
      </c>
      <c r="AI713" s="298" t="str">
        <f>IF(B713="", "", 'Lighting Inventory (Ref only)'!Y724)</f>
        <v/>
      </c>
      <c r="AJ713" s="298" t="str">
        <f>IF(C713="", "",'Lighting Inventory (Ref only)'!AB724)</f>
        <v/>
      </c>
      <c r="AK713" s="375" t="str">
        <f>IF(B713="", "", 'Lighting Inventory (Ref only)'!AG724)</f>
        <v/>
      </c>
      <c r="AL713" s="375" t="str">
        <f>IF(B713="", "", 'Lighting Inventory (Ref only)'!AD724)</f>
        <v/>
      </c>
      <c r="AM713" s="375" t="str">
        <f>IF(B713="", "", 'Lighting Inventory (Ref only)'!AE724)</f>
        <v/>
      </c>
      <c r="AN713" s="375" t="str">
        <f>IF(B713="", "", 'Lighting Inventory (Ref only)'!AF724)</f>
        <v/>
      </c>
      <c r="AO713" s="375" t="str">
        <f>IF(B713="", "", 'Lighting Inventory (Ref only)'!AG724)</f>
        <v/>
      </c>
    </row>
    <row r="714" spans="1:41">
      <c r="A714" s="298" t="str">
        <f>IF(G714="", "", Lookups!BF716)</f>
        <v/>
      </c>
      <c r="B714" s="298" t="str">
        <f>IF('Lighting Inventory (Ref only)'!Q725="", "", 'Lighting Inventory (Ref only)'!Q725)</f>
        <v/>
      </c>
      <c r="C714" s="298" t="str">
        <f>IF(A714="", "", 'Lighting Inventory (Ref only)'!AO725)</f>
        <v/>
      </c>
      <c r="D714" s="298" t="str">
        <f>IF(B714= "","", Inventory!S722)</f>
        <v/>
      </c>
      <c r="F714" s="298" t="str">
        <f>IF(B714="", "", 'Version Log'!$B$34)</f>
        <v/>
      </c>
      <c r="G714" s="298" t="str">
        <f t="shared" si="44"/>
        <v/>
      </c>
      <c r="H714" s="298" t="str">
        <f t="shared" si="45"/>
        <v/>
      </c>
      <c r="I714" s="298" t="str">
        <f>IF(B714="", "",Inventory!D722)</f>
        <v/>
      </c>
      <c r="J714" s="298" t="str">
        <f>IF(B714="","",IF(Inventory!C722="N","Interior","Exterior"))</f>
        <v/>
      </c>
      <c r="K714" s="298" t="str">
        <f t="shared" si="46"/>
        <v/>
      </c>
      <c r="L714" s="298" t="str">
        <f>IF(B714="", "", Inventory!E722)</f>
        <v/>
      </c>
      <c r="M714" s="298" t="str">
        <f>IF(B714="","",IF(Cool_Type=Lookups!$L$9,Cool_Type,IF(Cool_Type=Lookups!$L$10,Cool_Type,IF(Cool_Type=Lookups!$L$11,Cool_Type,IF(Cool_Type=Lookups!L724,Cool_Type,IF('Project Info and Summary'!$C$20="Electric",CONCATENATE(Cool_Type," ",Heating_Type," Heat"),IF('Project Info and Summary'!$C$20="Non-Electric",CONCATENATE(Cool_Type," ",Heating_Type," Heat"),CONCATENATE(Cool_Type," ",Heating_Type))))))))</f>
        <v/>
      </c>
      <c r="N714" s="298" t="str">
        <f t="shared" si="47"/>
        <v/>
      </c>
      <c r="O714" s="298" t="str">
        <f>IF(B714="", "", 'Lighting Inventory (Ref only)'!G725)</f>
        <v/>
      </c>
      <c r="P714" s="298" t="str">
        <f>IF(B714="", "", 'Lighting Inventory (Ref only)'!E725)</f>
        <v/>
      </c>
      <c r="Q714" s="298" t="str">
        <f>IF(B714="", "", 'Lighting Inventory (Ref only)'!J725)</f>
        <v/>
      </c>
      <c r="R714" s="298" t="str">
        <f>IF(B714="", "",'Lighting Inventory (Ref only)'!K725)</f>
        <v/>
      </c>
      <c r="S714" s="372" t="str">
        <f>IF(B714="", "", 'Lighting Inventory (Ref only)'!G725*'Lighting Inventory (Ref only)'!K725/1000)</f>
        <v/>
      </c>
      <c r="T714" s="298" t="str">
        <f>IF(B714="", "", IF('Lighting Inventory (Ref only)'!I725="", "Light Switch",Inventory!H722))</f>
        <v/>
      </c>
      <c r="X714" s="298" t="str">
        <f>IF(B714="", "", 'Lighting Inventory (Ref only)'!Q725)</f>
        <v/>
      </c>
      <c r="AA714" s="298" t="str">
        <f>IF(B714="", "",'Lighting Inventory (Ref only)'!R725/1000)</f>
        <v/>
      </c>
      <c r="AB714" s="298" t="str">
        <f>IF(B714="", "", Inventory!M722)</f>
        <v/>
      </c>
      <c r="AC714" s="298" t="str">
        <f>IF(B714="", "", 'Lighting Inventory (Ref only)'!T725)</f>
        <v/>
      </c>
      <c r="AD714" s="298" t="str">
        <f>IF(C714="", "", 'Lighting Inventory (Ref only)'!AA725)</f>
        <v/>
      </c>
      <c r="AE714" s="298" t="str">
        <f>IF(B714="", "", 'Lighting Inventory (Ref only)'!U725)</f>
        <v/>
      </c>
      <c r="AF714" s="298" t="str">
        <f>IF(B714="", "",'Lighting Inventory (Ref only)'!W725)</f>
        <v/>
      </c>
      <c r="AH714" s="298" t="str">
        <f>IF(B714="", "",'Lighting Inventory (Ref only)'!Z725)</f>
        <v/>
      </c>
      <c r="AI714" s="298" t="str">
        <f>IF(B714="", "", 'Lighting Inventory (Ref only)'!Y725)</f>
        <v/>
      </c>
      <c r="AJ714" s="298" t="str">
        <f>IF(C714="", "",'Lighting Inventory (Ref only)'!AB725)</f>
        <v/>
      </c>
      <c r="AK714" s="375" t="str">
        <f>IF(B714="", "", 'Lighting Inventory (Ref only)'!AG725)</f>
        <v/>
      </c>
      <c r="AL714" s="375" t="str">
        <f>IF(B714="", "", 'Lighting Inventory (Ref only)'!AD725)</f>
        <v/>
      </c>
      <c r="AM714" s="375" t="str">
        <f>IF(B714="", "", 'Lighting Inventory (Ref only)'!AE725)</f>
        <v/>
      </c>
      <c r="AN714" s="375" t="str">
        <f>IF(B714="", "", 'Lighting Inventory (Ref only)'!AF725)</f>
        <v/>
      </c>
      <c r="AO714" s="375" t="str">
        <f>IF(B714="", "", 'Lighting Inventory (Ref only)'!AG725)</f>
        <v/>
      </c>
    </row>
    <row r="715" spans="1:41">
      <c r="A715" s="298" t="str">
        <f>IF(G715="", "", Lookups!BF717)</f>
        <v/>
      </c>
      <c r="B715" s="298" t="str">
        <f>IF('Lighting Inventory (Ref only)'!Q726="", "", 'Lighting Inventory (Ref only)'!Q726)</f>
        <v/>
      </c>
      <c r="C715" s="298" t="str">
        <f>IF(A715="", "", 'Lighting Inventory (Ref only)'!AO726)</f>
        <v/>
      </c>
      <c r="D715" s="298" t="str">
        <f>IF(B715= "","", Inventory!S723)</f>
        <v/>
      </c>
      <c r="F715" s="298" t="str">
        <f>IF(B715="", "", 'Version Log'!$B$34)</f>
        <v/>
      </c>
      <c r="G715" s="298" t="str">
        <f t="shared" si="44"/>
        <v/>
      </c>
      <c r="H715" s="298" t="str">
        <f t="shared" si="45"/>
        <v/>
      </c>
      <c r="I715" s="298" t="str">
        <f>IF(B715="", "",Inventory!D723)</f>
        <v/>
      </c>
      <c r="J715" s="298" t="str">
        <f>IF(B715="","",IF(Inventory!C723="N","Interior","Exterior"))</f>
        <v/>
      </c>
      <c r="K715" s="298" t="str">
        <f t="shared" si="46"/>
        <v/>
      </c>
      <c r="L715" s="298" t="str">
        <f>IF(B715="", "", Inventory!E723)</f>
        <v/>
      </c>
      <c r="M715" s="298" t="str">
        <f>IF(B715="","",IF(Cool_Type=Lookups!$L$9,Cool_Type,IF(Cool_Type=Lookups!$L$10,Cool_Type,IF(Cool_Type=Lookups!$L$11,Cool_Type,IF(Cool_Type=Lookups!L725,Cool_Type,IF('Project Info and Summary'!$C$20="Electric",CONCATENATE(Cool_Type," ",Heating_Type," Heat"),IF('Project Info and Summary'!$C$20="Non-Electric",CONCATENATE(Cool_Type," ",Heating_Type," Heat"),CONCATENATE(Cool_Type," ",Heating_Type))))))))</f>
        <v/>
      </c>
      <c r="N715" s="298" t="str">
        <f t="shared" si="47"/>
        <v/>
      </c>
      <c r="O715" s="298" t="str">
        <f>IF(B715="", "", 'Lighting Inventory (Ref only)'!G726)</f>
        <v/>
      </c>
      <c r="P715" s="298" t="str">
        <f>IF(B715="", "", 'Lighting Inventory (Ref only)'!E726)</f>
        <v/>
      </c>
      <c r="Q715" s="298" t="str">
        <f>IF(B715="", "", 'Lighting Inventory (Ref only)'!J726)</f>
        <v/>
      </c>
      <c r="R715" s="298" t="str">
        <f>IF(B715="", "",'Lighting Inventory (Ref only)'!K726)</f>
        <v/>
      </c>
      <c r="S715" s="372" t="str">
        <f>IF(B715="", "", 'Lighting Inventory (Ref only)'!G726*'Lighting Inventory (Ref only)'!K726/1000)</f>
        <v/>
      </c>
      <c r="T715" s="298" t="str">
        <f>IF(B715="", "", IF('Lighting Inventory (Ref only)'!I726="", "Light Switch",Inventory!H723))</f>
        <v/>
      </c>
      <c r="X715" s="298" t="str">
        <f>IF(B715="", "", 'Lighting Inventory (Ref only)'!Q726)</f>
        <v/>
      </c>
      <c r="AA715" s="298" t="str">
        <f>IF(B715="", "",'Lighting Inventory (Ref only)'!R726/1000)</f>
        <v/>
      </c>
      <c r="AB715" s="298" t="str">
        <f>IF(B715="", "", Inventory!M723)</f>
        <v/>
      </c>
      <c r="AC715" s="298" t="str">
        <f>IF(B715="", "", 'Lighting Inventory (Ref only)'!T726)</f>
        <v/>
      </c>
      <c r="AD715" s="298" t="str">
        <f>IF(C715="", "", 'Lighting Inventory (Ref only)'!AA726)</f>
        <v/>
      </c>
      <c r="AE715" s="298" t="str">
        <f>IF(B715="", "", 'Lighting Inventory (Ref only)'!U726)</f>
        <v/>
      </c>
      <c r="AF715" s="298" t="str">
        <f>IF(B715="", "",'Lighting Inventory (Ref only)'!W726)</f>
        <v/>
      </c>
      <c r="AH715" s="298" t="str">
        <f>IF(B715="", "",'Lighting Inventory (Ref only)'!Z726)</f>
        <v/>
      </c>
      <c r="AI715" s="298" t="str">
        <f>IF(B715="", "", 'Lighting Inventory (Ref only)'!Y726)</f>
        <v/>
      </c>
      <c r="AJ715" s="298" t="str">
        <f>IF(C715="", "",'Lighting Inventory (Ref only)'!AB726)</f>
        <v/>
      </c>
      <c r="AK715" s="375" t="str">
        <f>IF(B715="", "", 'Lighting Inventory (Ref only)'!AG726)</f>
        <v/>
      </c>
      <c r="AL715" s="375" t="str">
        <f>IF(B715="", "", 'Lighting Inventory (Ref only)'!AD726)</f>
        <v/>
      </c>
      <c r="AM715" s="375" t="str">
        <f>IF(B715="", "", 'Lighting Inventory (Ref only)'!AE726)</f>
        <v/>
      </c>
      <c r="AN715" s="375" t="str">
        <f>IF(B715="", "", 'Lighting Inventory (Ref only)'!AF726)</f>
        <v/>
      </c>
      <c r="AO715" s="375" t="str">
        <f>IF(B715="", "", 'Lighting Inventory (Ref only)'!AG726)</f>
        <v/>
      </c>
    </row>
    <row r="716" spans="1:41">
      <c r="A716" s="298" t="str">
        <f>IF(G716="", "", Lookups!BF718)</f>
        <v/>
      </c>
      <c r="B716" s="298" t="str">
        <f>IF('Lighting Inventory (Ref only)'!Q727="", "", 'Lighting Inventory (Ref only)'!Q727)</f>
        <v/>
      </c>
      <c r="C716" s="298" t="str">
        <f>IF(A716="", "", 'Lighting Inventory (Ref only)'!AO727)</f>
        <v/>
      </c>
      <c r="D716" s="298" t="str">
        <f>IF(B716= "","", Inventory!S724)</f>
        <v/>
      </c>
      <c r="F716" s="298" t="str">
        <f>IF(B716="", "", 'Version Log'!$B$34)</f>
        <v/>
      </c>
      <c r="G716" s="298" t="str">
        <f t="shared" si="44"/>
        <v/>
      </c>
      <c r="H716" s="298" t="str">
        <f t="shared" si="45"/>
        <v/>
      </c>
      <c r="I716" s="298" t="str">
        <f>IF(B716="", "",Inventory!D724)</f>
        <v/>
      </c>
      <c r="J716" s="298" t="str">
        <f>IF(B716="","",IF(Inventory!C724="N","Interior","Exterior"))</f>
        <v/>
      </c>
      <c r="K716" s="298" t="str">
        <f t="shared" si="46"/>
        <v/>
      </c>
      <c r="L716" s="298" t="str">
        <f>IF(B716="", "", Inventory!E724)</f>
        <v/>
      </c>
      <c r="M716" s="298" t="str">
        <f>IF(B716="","",IF(Cool_Type=Lookups!$L$9,Cool_Type,IF(Cool_Type=Lookups!$L$10,Cool_Type,IF(Cool_Type=Lookups!$L$11,Cool_Type,IF(Cool_Type=Lookups!L726,Cool_Type,IF('Project Info and Summary'!$C$20="Electric",CONCATENATE(Cool_Type," ",Heating_Type," Heat"),IF('Project Info and Summary'!$C$20="Non-Electric",CONCATENATE(Cool_Type," ",Heating_Type," Heat"),CONCATENATE(Cool_Type," ",Heating_Type))))))))</f>
        <v/>
      </c>
      <c r="N716" s="298" t="str">
        <f t="shared" si="47"/>
        <v/>
      </c>
      <c r="O716" s="298" t="str">
        <f>IF(B716="", "", 'Lighting Inventory (Ref only)'!G727)</f>
        <v/>
      </c>
      <c r="P716" s="298" t="str">
        <f>IF(B716="", "", 'Lighting Inventory (Ref only)'!E727)</f>
        <v/>
      </c>
      <c r="Q716" s="298" t="str">
        <f>IF(B716="", "", 'Lighting Inventory (Ref only)'!J727)</f>
        <v/>
      </c>
      <c r="R716" s="298" t="str">
        <f>IF(B716="", "",'Lighting Inventory (Ref only)'!K727)</f>
        <v/>
      </c>
      <c r="S716" s="372" t="str">
        <f>IF(B716="", "", 'Lighting Inventory (Ref only)'!G727*'Lighting Inventory (Ref only)'!K727/1000)</f>
        <v/>
      </c>
      <c r="T716" s="298" t="str">
        <f>IF(B716="", "", IF('Lighting Inventory (Ref only)'!I727="", "Light Switch",Inventory!H724))</f>
        <v/>
      </c>
      <c r="X716" s="298" t="str">
        <f>IF(B716="", "", 'Lighting Inventory (Ref only)'!Q727)</f>
        <v/>
      </c>
      <c r="AA716" s="298" t="str">
        <f>IF(B716="", "",'Lighting Inventory (Ref only)'!R727/1000)</f>
        <v/>
      </c>
      <c r="AB716" s="298" t="str">
        <f>IF(B716="", "", Inventory!M724)</f>
        <v/>
      </c>
      <c r="AC716" s="298" t="str">
        <f>IF(B716="", "", 'Lighting Inventory (Ref only)'!T727)</f>
        <v/>
      </c>
      <c r="AD716" s="298" t="str">
        <f>IF(C716="", "", 'Lighting Inventory (Ref only)'!AA727)</f>
        <v/>
      </c>
      <c r="AE716" s="298" t="str">
        <f>IF(B716="", "", 'Lighting Inventory (Ref only)'!U727)</f>
        <v/>
      </c>
      <c r="AF716" s="298" t="str">
        <f>IF(B716="", "",'Lighting Inventory (Ref only)'!W727)</f>
        <v/>
      </c>
      <c r="AH716" s="298" t="str">
        <f>IF(B716="", "",'Lighting Inventory (Ref only)'!Z727)</f>
        <v/>
      </c>
      <c r="AI716" s="298" t="str">
        <f>IF(B716="", "", 'Lighting Inventory (Ref only)'!Y727)</f>
        <v/>
      </c>
      <c r="AJ716" s="298" t="str">
        <f>IF(C716="", "",'Lighting Inventory (Ref only)'!AB727)</f>
        <v/>
      </c>
      <c r="AK716" s="375" t="str">
        <f>IF(B716="", "", 'Lighting Inventory (Ref only)'!AG727)</f>
        <v/>
      </c>
      <c r="AL716" s="375" t="str">
        <f>IF(B716="", "", 'Lighting Inventory (Ref only)'!AD727)</f>
        <v/>
      </c>
      <c r="AM716" s="375" t="str">
        <f>IF(B716="", "", 'Lighting Inventory (Ref only)'!AE727)</f>
        <v/>
      </c>
      <c r="AN716" s="375" t="str">
        <f>IF(B716="", "", 'Lighting Inventory (Ref only)'!AF727)</f>
        <v/>
      </c>
      <c r="AO716" s="375" t="str">
        <f>IF(B716="", "", 'Lighting Inventory (Ref only)'!AG727)</f>
        <v/>
      </c>
    </row>
    <row r="717" spans="1:41">
      <c r="A717" s="298" t="str">
        <f>IF(G717="", "", Lookups!BF719)</f>
        <v/>
      </c>
      <c r="B717" s="298" t="str">
        <f>IF('Lighting Inventory (Ref only)'!Q728="", "", 'Lighting Inventory (Ref only)'!Q728)</f>
        <v/>
      </c>
      <c r="C717" s="298" t="str">
        <f>IF(A717="", "", 'Lighting Inventory (Ref only)'!AO728)</f>
        <v/>
      </c>
      <c r="D717" s="298" t="str">
        <f>IF(B717= "","", Inventory!S725)</f>
        <v/>
      </c>
      <c r="F717" s="298" t="str">
        <f>IF(B717="", "", 'Version Log'!$B$34)</f>
        <v/>
      </c>
      <c r="G717" s="298" t="str">
        <f t="shared" si="44"/>
        <v/>
      </c>
      <c r="H717" s="298" t="str">
        <f t="shared" si="45"/>
        <v/>
      </c>
      <c r="I717" s="298" t="str">
        <f>IF(B717="", "",Inventory!D725)</f>
        <v/>
      </c>
      <c r="J717" s="298" t="str">
        <f>IF(B717="","",IF(Inventory!C725="N","Interior","Exterior"))</f>
        <v/>
      </c>
      <c r="K717" s="298" t="str">
        <f t="shared" si="46"/>
        <v/>
      </c>
      <c r="L717" s="298" t="str">
        <f>IF(B717="", "", Inventory!E725)</f>
        <v/>
      </c>
      <c r="M717" s="298" t="str">
        <f>IF(B717="","",IF(Cool_Type=Lookups!$L$9,Cool_Type,IF(Cool_Type=Lookups!$L$10,Cool_Type,IF(Cool_Type=Lookups!$L$11,Cool_Type,IF(Cool_Type=Lookups!L727,Cool_Type,IF('Project Info and Summary'!$C$20="Electric",CONCATENATE(Cool_Type," ",Heating_Type," Heat"),IF('Project Info and Summary'!$C$20="Non-Electric",CONCATENATE(Cool_Type," ",Heating_Type," Heat"),CONCATENATE(Cool_Type," ",Heating_Type))))))))</f>
        <v/>
      </c>
      <c r="N717" s="298" t="str">
        <f t="shared" si="47"/>
        <v/>
      </c>
      <c r="O717" s="298" t="str">
        <f>IF(B717="", "", 'Lighting Inventory (Ref only)'!G728)</f>
        <v/>
      </c>
      <c r="P717" s="298" t="str">
        <f>IF(B717="", "", 'Lighting Inventory (Ref only)'!E728)</f>
        <v/>
      </c>
      <c r="Q717" s="298" t="str">
        <f>IF(B717="", "", 'Lighting Inventory (Ref only)'!J728)</f>
        <v/>
      </c>
      <c r="R717" s="298" t="str">
        <f>IF(B717="", "",'Lighting Inventory (Ref only)'!K728)</f>
        <v/>
      </c>
      <c r="S717" s="372" t="str">
        <f>IF(B717="", "", 'Lighting Inventory (Ref only)'!G728*'Lighting Inventory (Ref only)'!K728/1000)</f>
        <v/>
      </c>
      <c r="T717" s="298" t="str">
        <f>IF(B717="", "", IF('Lighting Inventory (Ref only)'!I728="", "Light Switch",Inventory!H725))</f>
        <v/>
      </c>
      <c r="X717" s="298" t="str">
        <f>IF(B717="", "", 'Lighting Inventory (Ref only)'!Q728)</f>
        <v/>
      </c>
      <c r="AA717" s="298" t="str">
        <f>IF(B717="", "",'Lighting Inventory (Ref only)'!R728/1000)</f>
        <v/>
      </c>
      <c r="AB717" s="298" t="str">
        <f>IF(B717="", "", Inventory!M725)</f>
        <v/>
      </c>
      <c r="AC717" s="298" t="str">
        <f>IF(B717="", "", 'Lighting Inventory (Ref only)'!T728)</f>
        <v/>
      </c>
      <c r="AD717" s="298" t="str">
        <f>IF(C717="", "", 'Lighting Inventory (Ref only)'!AA728)</f>
        <v/>
      </c>
      <c r="AE717" s="298" t="str">
        <f>IF(B717="", "", 'Lighting Inventory (Ref only)'!U728)</f>
        <v/>
      </c>
      <c r="AF717" s="298" t="str">
        <f>IF(B717="", "",'Lighting Inventory (Ref only)'!W728)</f>
        <v/>
      </c>
      <c r="AH717" s="298" t="str">
        <f>IF(B717="", "",'Lighting Inventory (Ref only)'!Z728)</f>
        <v/>
      </c>
      <c r="AI717" s="298" t="str">
        <f>IF(B717="", "", 'Lighting Inventory (Ref only)'!Y728)</f>
        <v/>
      </c>
      <c r="AJ717" s="298" t="str">
        <f>IF(C717="", "",'Lighting Inventory (Ref only)'!AB728)</f>
        <v/>
      </c>
      <c r="AK717" s="375" t="str">
        <f>IF(B717="", "", 'Lighting Inventory (Ref only)'!AG728)</f>
        <v/>
      </c>
      <c r="AL717" s="375" t="str">
        <f>IF(B717="", "", 'Lighting Inventory (Ref only)'!AD728)</f>
        <v/>
      </c>
      <c r="AM717" s="375" t="str">
        <f>IF(B717="", "", 'Lighting Inventory (Ref only)'!AE728)</f>
        <v/>
      </c>
      <c r="AN717" s="375" t="str">
        <f>IF(B717="", "", 'Lighting Inventory (Ref only)'!AF728)</f>
        <v/>
      </c>
      <c r="AO717" s="375" t="str">
        <f>IF(B717="", "", 'Lighting Inventory (Ref only)'!AG728)</f>
        <v/>
      </c>
    </row>
    <row r="718" spans="1:41">
      <c r="A718" s="298" t="str">
        <f>IF(G718="", "", Lookups!BF720)</f>
        <v/>
      </c>
      <c r="B718" s="298" t="str">
        <f>IF('Lighting Inventory (Ref only)'!Q729="", "", 'Lighting Inventory (Ref only)'!Q729)</f>
        <v/>
      </c>
      <c r="C718" s="298" t="str">
        <f>IF(A718="", "", 'Lighting Inventory (Ref only)'!AO729)</f>
        <v/>
      </c>
      <c r="D718" s="298" t="str">
        <f>IF(B718= "","", Inventory!S726)</f>
        <v/>
      </c>
      <c r="F718" s="298" t="str">
        <f>IF(B718="", "", 'Version Log'!$B$34)</f>
        <v/>
      </c>
      <c r="G718" s="298" t="str">
        <f t="shared" si="44"/>
        <v/>
      </c>
      <c r="H718" s="298" t="str">
        <f t="shared" si="45"/>
        <v/>
      </c>
      <c r="I718" s="298" t="str">
        <f>IF(B718="", "",Inventory!D726)</f>
        <v/>
      </c>
      <c r="J718" s="298" t="str">
        <f>IF(B718="","",IF(Inventory!C726="N","Interior","Exterior"))</f>
        <v/>
      </c>
      <c r="K718" s="298" t="str">
        <f t="shared" si="46"/>
        <v/>
      </c>
      <c r="L718" s="298" t="str">
        <f>IF(B718="", "", Inventory!E726)</f>
        <v/>
      </c>
      <c r="M718" s="298" t="str">
        <f>IF(B718="","",IF(Cool_Type=Lookups!$L$9,Cool_Type,IF(Cool_Type=Lookups!$L$10,Cool_Type,IF(Cool_Type=Lookups!$L$11,Cool_Type,IF(Cool_Type=Lookups!L728,Cool_Type,IF('Project Info and Summary'!$C$20="Electric",CONCATENATE(Cool_Type," ",Heating_Type," Heat"),IF('Project Info and Summary'!$C$20="Non-Electric",CONCATENATE(Cool_Type," ",Heating_Type," Heat"),CONCATENATE(Cool_Type," ",Heating_Type))))))))</f>
        <v/>
      </c>
      <c r="N718" s="298" t="str">
        <f t="shared" si="47"/>
        <v/>
      </c>
      <c r="O718" s="298" t="str">
        <f>IF(B718="", "", 'Lighting Inventory (Ref only)'!G729)</f>
        <v/>
      </c>
      <c r="P718" s="298" t="str">
        <f>IF(B718="", "", 'Lighting Inventory (Ref only)'!E729)</f>
        <v/>
      </c>
      <c r="Q718" s="298" t="str">
        <f>IF(B718="", "", 'Lighting Inventory (Ref only)'!J729)</f>
        <v/>
      </c>
      <c r="R718" s="298" t="str">
        <f>IF(B718="", "",'Lighting Inventory (Ref only)'!K729)</f>
        <v/>
      </c>
      <c r="S718" s="372" t="str">
        <f>IF(B718="", "", 'Lighting Inventory (Ref only)'!G729*'Lighting Inventory (Ref only)'!K729/1000)</f>
        <v/>
      </c>
      <c r="T718" s="298" t="str">
        <f>IF(B718="", "", IF('Lighting Inventory (Ref only)'!I729="", "Light Switch",Inventory!H726))</f>
        <v/>
      </c>
      <c r="X718" s="298" t="str">
        <f>IF(B718="", "", 'Lighting Inventory (Ref only)'!Q729)</f>
        <v/>
      </c>
      <c r="AA718" s="298" t="str">
        <f>IF(B718="", "",'Lighting Inventory (Ref only)'!R729/1000)</f>
        <v/>
      </c>
      <c r="AB718" s="298" t="str">
        <f>IF(B718="", "", Inventory!M726)</f>
        <v/>
      </c>
      <c r="AC718" s="298" t="str">
        <f>IF(B718="", "", 'Lighting Inventory (Ref only)'!T729)</f>
        <v/>
      </c>
      <c r="AD718" s="298" t="str">
        <f>IF(C718="", "", 'Lighting Inventory (Ref only)'!AA729)</f>
        <v/>
      </c>
      <c r="AE718" s="298" t="str">
        <f>IF(B718="", "", 'Lighting Inventory (Ref only)'!U729)</f>
        <v/>
      </c>
      <c r="AF718" s="298" t="str">
        <f>IF(B718="", "",'Lighting Inventory (Ref only)'!W729)</f>
        <v/>
      </c>
      <c r="AH718" s="298" t="str">
        <f>IF(B718="", "",'Lighting Inventory (Ref only)'!Z729)</f>
        <v/>
      </c>
      <c r="AI718" s="298" t="str">
        <f>IF(B718="", "", 'Lighting Inventory (Ref only)'!Y729)</f>
        <v/>
      </c>
      <c r="AJ718" s="298" t="str">
        <f>IF(C718="", "",'Lighting Inventory (Ref only)'!AB729)</f>
        <v/>
      </c>
      <c r="AK718" s="375" t="str">
        <f>IF(B718="", "", 'Lighting Inventory (Ref only)'!AG729)</f>
        <v/>
      </c>
      <c r="AL718" s="375" t="str">
        <f>IF(B718="", "", 'Lighting Inventory (Ref only)'!AD729)</f>
        <v/>
      </c>
      <c r="AM718" s="375" t="str">
        <f>IF(B718="", "", 'Lighting Inventory (Ref only)'!AE729)</f>
        <v/>
      </c>
      <c r="AN718" s="375" t="str">
        <f>IF(B718="", "", 'Lighting Inventory (Ref only)'!AF729)</f>
        <v/>
      </c>
      <c r="AO718" s="375" t="str">
        <f>IF(B718="", "", 'Lighting Inventory (Ref only)'!AG729)</f>
        <v/>
      </c>
    </row>
    <row r="719" spans="1:41">
      <c r="A719" s="298" t="str">
        <f>IF(G719="", "", Lookups!BF721)</f>
        <v/>
      </c>
      <c r="B719" s="298" t="str">
        <f>IF('Lighting Inventory (Ref only)'!Q730="", "", 'Lighting Inventory (Ref only)'!Q730)</f>
        <v/>
      </c>
      <c r="C719" s="298" t="str">
        <f>IF(A719="", "", 'Lighting Inventory (Ref only)'!AO730)</f>
        <v/>
      </c>
      <c r="D719" s="298" t="str">
        <f>IF(B719= "","", Inventory!S727)</f>
        <v/>
      </c>
      <c r="F719" s="298" t="str">
        <f>IF(B719="", "", 'Version Log'!$B$34)</f>
        <v/>
      </c>
      <c r="G719" s="298" t="str">
        <f t="shared" si="44"/>
        <v/>
      </c>
      <c r="H719" s="298" t="str">
        <f t="shared" si="45"/>
        <v/>
      </c>
      <c r="I719" s="298" t="str">
        <f>IF(B719="", "",Inventory!D727)</f>
        <v/>
      </c>
      <c r="J719" s="298" t="str">
        <f>IF(B719="","",IF(Inventory!C727="N","Interior","Exterior"))</f>
        <v/>
      </c>
      <c r="K719" s="298" t="str">
        <f t="shared" si="46"/>
        <v/>
      </c>
      <c r="L719" s="298" t="str">
        <f>IF(B719="", "", Inventory!E727)</f>
        <v/>
      </c>
      <c r="M719" s="298" t="str">
        <f>IF(B719="","",IF(Cool_Type=Lookups!$L$9,Cool_Type,IF(Cool_Type=Lookups!$L$10,Cool_Type,IF(Cool_Type=Lookups!$L$11,Cool_Type,IF(Cool_Type=Lookups!L729,Cool_Type,IF('Project Info and Summary'!$C$20="Electric",CONCATENATE(Cool_Type," ",Heating_Type," Heat"),IF('Project Info and Summary'!$C$20="Non-Electric",CONCATENATE(Cool_Type," ",Heating_Type," Heat"),CONCATENATE(Cool_Type," ",Heating_Type))))))))</f>
        <v/>
      </c>
      <c r="N719" s="298" t="str">
        <f t="shared" si="47"/>
        <v/>
      </c>
      <c r="O719" s="298" t="str">
        <f>IF(B719="", "", 'Lighting Inventory (Ref only)'!G730)</f>
        <v/>
      </c>
      <c r="P719" s="298" t="str">
        <f>IF(B719="", "", 'Lighting Inventory (Ref only)'!E730)</f>
        <v/>
      </c>
      <c r="Q719" s="298" t="str">
        <f>IF(B719="", "", 'Lighting Inventory (Ref only)'!J730)</f>
        <v/>
      </c>
      <c r="R719" s="298" t="str">
        <f>IF(B719="", "",'Lighting Inventory (Ref only)'!K730)</f>
        <v/>
      </c>
      <c r="S719" s="372" t="str">
        <f>IF(B719="", "", 'Lighting Inventory (Ref only)'!G730*'Lighting Inventory (Ref only)'!K730/1000)</f>
        <v/>
      </c>
      <c r="T719" s="298" t="str">
        <f>IF(B719="", "", IF('Lighting Inventory (Ref only)'!I730="", "Light Switch",Inventory!H727))</f>
        <v/>
      </c>
      <c r="X719" s="298" t="str">
        <f>IF(B719="", "", 'Lighting Inventory (Ref only)'!Q730)</f>
        <v/>
      </c>
      <c r="AA719" s="298" t="str">
        <f>IF(B719="", "",'Lighting Inventory (Ref only)'!R730/1000)</f>
        <v/>
      </c>
      <c r="AB719" s="298" t="str">
        <f>IF(B719="", "", Inventory!M727)</f>
        <v/>
      </c>
      <c r="AC719" s="298" t="str">
        <f>IF(B719="", "", 'Lighting Inventory (Ref only)'!T730)</f>
        <v/>
      </c>
      <c r="AD719" s="298" t="str">
        <f>IF(C719="", "", 'Lighting Inventory (Ref only)'!AA730)</f>
        <v/>
      </c>
      <c r="AE719" s="298" t="str">
        <f>IF(B719="", "", 'Lighting Inventory (Ref only)'!U730)</f>
        <v/>
      </c>
      <c r="AF719" s="298" t="str">
        <f>IF(B719="", "",'Lighting Inventory (Ref only)'!W730)</f>
        <v/>
      </c>
      <c r="AH719" s="298" t="str">
        <f>IF(B719="", "",'Lighting Inventory (Ref only)'!Z730)</f>
        <v/>
      </c>
      <c r="AI719" s="298" t="str">
        <f>IF(B719="", "", 'Lighting Inventory (Ref only)'!Y730)</f>
        <v/>
      </c>
      <c r="AJ719" s="298" t="str">
        <f>IF(C719="", "",'Lighting Inventory (Ref only)'!AB730)</f>
        <v/>
      </c>
      <c r="AK719" s="375" t="str">
        <f>IF(B719="", "", 'Lighting Inventory (Ref only)'!AG730)</f>
        <v/>
      </c>
      <c r="AL719" s="375" t="str">
        <f>IF(B719="", "", 'Lighting Inventory (Ref only)'!AD730)</f>
        <v/>
      </c>
      <c r="AM719" s="375" t="str">
        <f>IF(B719="", "", 'Lighting Inventory (Ref only)'!AE730)</f>
        <v/>
      </c>
      <c r="AN719" s="375" t="str">
        <f>IF(B719="", "", 'Lighting Inventory (Ref only)'!AF730)</f>
        <v/>
      </c>
      <c r="AO719" s="375" t="str">
        <f>IF(B719="", "", 'Lighting Inventory (Ref only)'!AG730)</f>
        <v/>
      </c>
    </row>
    <row r="720" spans="1:41">
      <c r="A720" s="298" t="str">
        <f>IF(G720="", "", Lookups!BF722)</f>
        <v/>
      </c>
      <c r="B720" s="298" t="str">
        <f>IF('Lighting Inventory (Ref only)'!Q731="", "", 'Lighting Inventory (Ref only)'!Q731)</f>
        <v/>
      </c>
      <c r="C720" s="298" t="str">
        <f>IF(A720="", "", 'Lighting Inventory (Ref only)'!AO731)</f>
        <v/>
      </c>
      <c r="D720" s="298" t="str">
        <f>IF(B720= "","", Inventory!S728)</f>
        <v/>
      </c>
      <c r="F720" s="298" t="str">
        <f>IF(B720="", "", 'Version Log'!$B$34)</f>
        <v/>
      </c>
      <c r="G720" s="298" t="str">
        <f t="shared" si="44"/>
        <v/>
      </c>
      <c r="H720" s="298" t="str">
        <f t="shared" si="45"/>
        <v/>
      </c>
      <c r="I720" s="298" t="str">
        <f>IF(B720="", "",Inventory!D728)</f>
        <v/>
      </c>
      <c r="J720" s="298" t="str">
        <f>IF(B720="","",IF(Inventory!C728="N","Interior","Exterior"))</f>
        <v/>
      </c>
      <c r="K720" s="298" t="str">
        <f t="shared" si="46"/>
        <v/>
      </c>
      <c r="L720" s="298" t="str">
        <f>IF(B720="", "", Inventory!E728)</f>
        <v/>
      </c>
      <c r="M720" s="298" t="str">
        <f>IF(B720="","",IF(Cool_Type=Lookups!$L$9,Cool_Type,IF(Cool_Type=Lookups!$L$10,Cool_Type,IF(Cool_Type=Lookups!$L$11,Cool_Type,IF(Cool_Type=Lookups!L730,Cool_Type,IF('Project Info and Summary'!$C$20="Electric",CONCATENATE(Cool_Type," ",Heating_Type," Heat"),IF('Project Info and Summary'!$C$20="Non-Electric",CONCATENATE(Cool_Type," ",Heating_Type," Heat"),CONCATENATE(Cool_Type," ",Heating_Type))))))))</f>
        <v/>
      </c>
      <c r="N720" s="298" t="str">
        <f t="shared" si="47"/>
        <v/>
      </c>
      <c r="O720" s="298" t="str">
        <f>IF(B720="", "", 'Lighting Inventory (Ref only)'!G731)</f>
        <v/>
      </c>
      <c r="P720" s="298" t="str">
        <f>IF(B720="", "", 'Lighting Inventory (Ref only)'!E731)</f>
        <v/>
      </c>
      <c r="Q720" s="298" t="str">
        <f>IF(B720="", "", 'Lighting Inventory (Ref only)'!J731)</f>
        <v/>
      </c>
      <c r="R720" s="298" t="str">
        <f>IF(B720="", "",'Lighting Inventory (Ref only)'!K731)</f>
        <v/>
      </c>
      <c r="S720" s="372" t="str">
        <f>IF(B720="", "", 'Lighting Inventory (Ref only)'!G731*'Lighting Inventory (Ref only)'!K731/1000)</f>
        <v/>
      </c>
      <c r="T720" s="298" t="str">
        <f>IF(B720="", "", IF('Lighting Inventory (Ref only)'!I731="", "Light Switch",Inventory!H728))</f>
        <v/>
      </c>
      <c r="X720" s="298" t="str">
        <f>IF(B720="", "", 'Lighting Inventory (Ref only)'!Q731)</f>
        <v/>
      </c>
      <c r="AA720" s="298" t="str">
        <f>IF(B720="", "",'Lighting Inventory (Ref only)'!R731/1000)</f>
        <v/>
      </c>
      <c r="AB720" s="298" t="str">
        <f>IF(B720="", "", Inventory!M728)</f>
        <v/>
      </c>
      <c r="AC720" s="298" t="str">
        <f>IF(B720="", "", 'Lighting Inventory (Ref only)'!T731)</f>
        <v/>
      </c>
      <c r="AD720" s="298" t="str">
        <f>IF(C720="", "", 'Lighting Inventory (Ref only)'!AA731)</f>
        <v/>
      </c>
      <c r="AE720" s="298" t="str">
        <f>IF(B720="", "", 'Lighting Inventory (Ref only)'!U731)</f>
        <v/>
      </c>
      <c r="AF720" s="298" t="str">
        <f>IF(B720="", "",'Lighting Inventory (Ref only)'!W731)</f>
        <v/>
      </c>
      <c r="AH720" s="298" t="str">
        <f>IF(B720="", "",'Lighting Inventory (Ref only)'!Z731)</f>
        <v/>
      </c>
      <c r="AI720" s="298" t="str">
        <f>IF(B720="", "", 'Lighting Inventory (Ref only)'!Y731)</f>
        <v/>
      </c>
      <c r="AJ720" s="298" t="str">
        <f>IF(C720="", "",'Lighting Inventory (Ref only)'!AB731)</f>
        <v/>
      </c>
      <c r="AK720" s="375" t="str">
        <f>IF(B720="", "", 'Lighting Inventory (Ref only)'!AG731)</f>
        <v/>
      </c>
      <c r="AL720" s="375" t="str">
        <f>IF(B720="", "", 'Lighting Inventory (Ref only)'!AD731)</f>
        <v/>
      </c>
      <c r="AM720" s="375" t="str">
        <f>IF(B720="", "", 'Lighting Inventory (Ref only)'!AE731)</f>
        <v/>
      </c>
      <c r="AN720" s="375" t="str">
        <f>IF(B720="", "", 'Lighting Inventory (Ref only)'!AF731)</f>
        <v/>
      </c>
      <c r="AO720" s="375" t="str">
        <f>IF(B720="", "", 'Lighting Inventory (Ref only)'!AG731)</f>
        <v/>
      </c>
    </row>
    <row r="721" spans="1:41">
      <c r="A721" s="298" t="str">
        <f>IF(G721="", "", Lookups!BF723)</f>
        <v/>
      </c>
      <c r="B721" s="298" t="str">
        <f>IF('Lighting Inventory (Ref only)'!Q732="", "", 'Lighting Inventory (Ref only)'!Q732)</f>
        <v/>
      </c>
      <c r="C721" s="298" t="str">
        <f>IF(A721="", "", 'Lighting Inventory (Ref only)'!AO732)</f>
        <v/>
      </c>
      <c r="D721" s="298" t="str">
        <f>IF(B721= "","", Inventory!S729)</f>
        <v/>
      </c>
      <c r="F721" s="298" t="str">
        <f>IF(B721="", "", 'Version Log'!$B$34)</f>
        <v/>
      </c>
      <c r="G721" s="298" t="str">
        <f t="shared" si="44"/>
        <v/>
      </c>
      <c r="H721" s="298" t="str">
        <f t="shared" si="45"/>
        <v/>
      </c>
      <c r="I721" s="298" t="str">
        <f>IF(B721="", "",Inventory!D729)</f>
        <v/>
      </c>
      <c r="J721" s="298" t="str">
        <f>IF(B721="","",IF(Inventory!C729="N","Interior","Exterior"))</f>
        <v/>
      </c>
      <c r="K721" s="298" t="str">
        <f t="shared" si="46"/>
        <v/>
      </c>
      <c r="L721" s="298" t="str">
        <f>IF(B721="", "", Inventory!E729)</f>
        <v/>
      </c>
      <c r="M721" s="298" t="str">
        <f>IF(B721="","",IF(Cool_Type=Lookups!$L$9,Cool_Type,IF(Cool_Type=Lookups!$L$10,Cool_Type,IF(Cool_Type=Lookups!$L$11,Cool_Type,IF(Cool_Type=Lookups!L731,Cool_Type,IF('Project Info and Summary'!$C$20="Electric",CONCATENATE(Cool_Type," ",Heating_Type," Heat"),IF('Project Info and Summary'!$C$20="Non-Electric",CONCATENATE(Cool_Type," ",Heating_Type," Heat"),CONCATENATE(Cool_Type," ",Heating_Type))))))))</f>
        <v/>
      </c>
      <c r="N721" s="298" t="str">
        <f t="shared" si="47"/>
        <v/>
      </c>
      <c r="O721" s="298" t="str">
        <f>IF(B721="", "", 'Lighting Inventory (Ref only)'!G732)</f>
        <v/>
      </c>
      <c r="P721" s="298" t="str">
        <f>IF(B721="", "", 'Lighting Inventory (Ref only)'!E732)</f>
        <v/>
      </c>
      <c r="Q721" s="298" t="str">
        <f>IF(B721="", "", 'Lighting Inventory (Ref only)'!J732)</f>
        <v/>
      </c>
      <c r="R721" s="298" t="str">
        <f>IF(B721="", "",'Lighting Inventory (Ref only)'!K732)</f>
        <v/>
      </c>
      <c r="S721" s="372" t="str">
        <f>IF(B721="", "", 'Lighting Inventory (Ref only)'!G732*'Lighting Inventory (Ref only)'!K732/1000)</f>
        <v/>
      </c>
      <c r="T721" s="298" t="str">
        <f>IF(B721="", "", IF('Lighting Inventory (Ref only)'!I732="", "Light Switch",Inventory!H729))</f>
        <v/>
      </c>
      <c r="X721" s="298" t="str">
        <f>IF(B721="", "", 'Lighting Inventory (Ref only)'!Q732)</f>
        <v/>
      </c>
      <c r="AA721" s="298" t="str">
        <f>IF(B721="", "",'Lighting Inventory (Ref only)'!R732/1000)</f>
        <v/>
      </c>
      <c r="AB721" s="298" t="str">
        <f>IF(B721="", "", Inventory!M729)</f>
        <v/>
      </c>
      <c r="AC721" s="298" t="str">
        <f>IF(B721="", "", 'Lighting Inventory (Ref only)'!T732)</f>
        <v/>
      </c>
      <c r="AD721" s="298" t="str">
        <f>IF(C721="", "", 'Lighting Inventory (Ref only)'!AA732)</f>
        <v/>
      </c>
      <c r="AE721" s="298" t="str">
        <f>IF(B721="", "", 'Lighting Inventory (Ref only)'!U732)</f>
        <v/>
      </c>
      <c r="AF721" s="298" t="str">
        <f>IF(B721="", "",'Lighting Inventory (Ref only)'!W732)</f>
        <v/>
      </c>
      <c r="AH721" s="298" t="str">
        <f>IF(B721="", "",'Lighting Inventory (Ref only)'!Z732)</f>
        <v/>
      </c>
      <c r="AI721" s="298" t="str">
        <f>IF(B721="", "", 'Lighting Inventory (Ref only)'!Y732)</f>
        <v/>
      </c>
      <c r="AJ721" s="298" t="str">
        <f>IF(C721="", "",'Lighting Inventory (Ref only)'!AB732)</f>
        <v/>
      </c>
      <c r="AK721" s="375" t="str">
        <f>IF(B721="", "", 'Lighting Inventory (Ref only)'!AG732)</f>
        <v/>
      </c>
      <c r="AL721" s="375" t="str">
        <f>IF(B721="", "", 'Lighting Inventory (Ref only)'!AD732)</f>
        <v/>
      </c>
      <c r="AM721" s="375" t="str">
        <f>IF(B721="", "", 'Lighting Inventory (Ref only)'!AE732)</f>
        <v/>
      </c>
      <c r="AN721" s="375" t="str">
        <f>IF(B721="", "", 'Lighting Inventory (Ref only)'!AF732)</f>
        <v/>
      </c>
      <c r="AO721" s="375" t="str">
        <f>IF(B721="", "", 'Lighting Inventory (Ref only)'!AG732)</f>
        <v/>
      </c>
    </row>
    <row r="722" spans="1:41">
      <c r="A722" s="298" t="str">
        <f>IF(G722="", "", Lookups!BF724)</f>
        <v/>
      </c>
      <c r="B722" s="298" t="str">
        <f>IF('Lighting Inventory (Ref only)'!Q733="", "", 'Lighting Inventory (Ref only)'!Q733)</f>
        <v/>
      </c>
      <c r="C722" s="298" t="str">
        <f>IF(A722="", "", 'Lighting Inventory (Ref only)'!AO733)</f>
        <v/>
      </c>
      <c r="D722" s="298" t="str">
        <f>IF(B722= "","", Inventory!S730)</f>
        <v/>
      </c>
      <c r="F722" s="298" t="str">
        <f>IF(B722="", "", 'Version Log'!$B$34)</f>
        <v/>
      </c>
      <c r="G722" s="298" t="str">
        <f t="shared" si="44"/>
        <v/>
      </c>
      <c r="H722" s="298" t="str">
        <f t="shared" si="45"/>
        <v/>
      </c>
      <c r="I722" s="298" t="str">
        <f>IF(B722="", "",Inventory!D730)</f>
        <v/>
      </c>
      <c r="J722" s="298" t="str">
        <f>IF(B722="","",IF(Inventory!C730="N","Interior","Exterior"))</f>
        <v/>
      </c>
      <c r="K722" s="298" t="str">
        <f t="shared" si="46"/>
        <v/>
      </c>
      <c r="L722" s="298" t="str">
        <f>IF(B722="", "", Inventory!E730)</f>
        <v/>
      </c>
      <c r="M722" s="298" t="str">
        <f>IF(B722="","",IF(Cool_Type=Lookups!$L$9,Cool_Type,IF(Cool_Type=Lookups!$L$10,Cool_Type,IF(Cool_Type=Lookups!$L$11,Cool_Type,IF(Cool_Type=Lookups!L732,Cool_Type,IF('Project Info and Summary'!$C$20="Electric",CONCATENATE(Cool_Type," ",Heating_Type," Heat"),IF('Project Info and Summary'!$C$20="Non-Electric",CONCATENATE(Cool_Type," ",Heating_Type," Heat"),CONCATENATE(Cool_Type," ",Heating_Type))))))))</f>
        <v/>
      </c>
      <c r="N722" s="298" t="str">
        <f t="shared" si="47"/>
        <v/>
      </c>
      <c r="O722" s="298" t="str">
        <f>IF(B722="", "", 'Lighting Inventory (Ref only)'!G733)</f>
        <v/>
      </c>
      <c r="P722" s="298" t="str">
        <f>IF(B722="", "", 'Lighting Inventory (Ref only)'!E733)</f>
        <v/>
      </c>
      <c r="Q722" s="298" t="str">
        <f>IF(B722="", "", 'Lighting Inventory (Ref only)'!J733)</f>
        <v/>
      </c>
      <c r="R722" s="298" t="str">
        <f>IF(B722="", "",'Lighting Inventory (Ref only)'!K733)</f>
        <v/>
      </c>
      <c r="S722" s="372" t="str">
        <f>IF(B722="", "", 'Lighting Inventory (Ref only)'!G733*'Lighting Inventory (Ref only)'!K733/1000)</f>
        <v/>
      </c>
      <c r="T722" s="298" t="str">
        <f>IF(B722="", "", IF('Lighting Inventory (Ref only)'!I733="", "Light Switch",Inventory!H730))</f>
        <v/>
      </c>
      <c r="X722" s="298" t="str">
        <f>IF(B722="", "", 'Lighting Inventory (Ref only)'!Q733)</f>
        <v/>
      </c>
      <c r="AA722" s="298" t="str">
        <f>IF(B722="", "",'Lighting Inventory (Ref only)'!R733/1000)</f>
        <v/>
      </c>
      <c r="AB722" s="298" t="str">
        <f>IF(B722="", "", Inventory!M730)</f>
        <v/>
      </c>
      <c r="AC722" s="298" t="str">
        <f>IF(B722="", "", 'Lighting Inventory (Ref only)'!T733)</f>
        <v/>
      </c>
      <c r="AD722" s="298" t="str">
        <f>IF(C722="", "", 'Lighting Inventory (Ref only)'!AA733)</f>
        <v/>
      </c>
      <c r="AE722" s="298" t="str">
        <f>IF(B722="", "", 'Lighting Inventory (Ref only)'!U733)</f>
        <v/>
      </c>
      <c r="AF722" s="298" t="str">
        <f>IF(B722="", "",'Lighting Inventory (Ref only)'!W733)</f>
        <v/>
      </c>
      <c r="AH722" s="298" t="str">
        <f>IF(B722="", "",'Lighting Inventory (Ref only)'!Z733)</f>
        <v/>
      </c>
      <c r="AI722" s="298" t="str">
        <f>IF(B722="", "", 'Lighting Inventory (Ref only)'!Y733)</f>
        <v/>
      </c>
      <c r="AJ722" s="298" t="str">
        <f>IF(C722="", "",'Lighting Inventory (Ref only)'!AB733)</f>
        <v/>
      </c>
      <c r="AK722" s="375" t="str">
        <f>IF(B722="", "", 'Lighting Inventory (Ref only)'!AG733)</f>
        <v/>
      </c>
      <c r="AL722" s="375" t="str">
        <f>IF(B722="", "", 'Lighting Inventory (Ref only)'!AD733)</f>
        <v/>
      </c>
      <c r="AM722" s="375" t="str">
        <f>IF(B722="", "", 'Lighting Inventory (Ref only)'!AE733)</f>
        <v/>
      </c>
      <c r="AN722" s="375" t="str">
        <f>IF(B722="", "", 'Lighting Inventory (Ref only)'!AF733)</f>
        <v/>
      </c>
      <c r="AO722" s="375" t="str">
        <f>IF(B722="", "", 'Lighting Inventory (Ref only)'!AG733)</f>
        <v/>
      </c>
    </row>
    <row r="723" spans="1:41">
      <c r="A723" s="298" t="str">
        <f>IF(G723="", "", Lookups!BF725)</f>
        <v/>
      </c>
      <c r="B723" s="298" t="str">
        <f>IF('Lighting Inventory (Ref only)'!Q734="", "", 'Lighting Inventory (Ref only)'!Q734)</f>
        <v/>
      </c>
      <c r="C723" s="298" t="str">
        <f>IF(A723="", "", 'Lighting Inventory (Ref only)'!AO734)</f>
        <v/>
      </c>
      <c r="D723" s="298" t="str">
        <f>IF(B723= "","", Inventory!S731)</f>
        <v/>
      </c>
      <c r="F723" s="298" t="str">
        <f>IF(B723="", "", 'Version Log'!$B$34)</f>
        <v/>
      </c>
      <c r="G723" s="298" t="str">
        <f t="shared" si="44"/>
        <v/>
      </c>
      <c r="H723" s="298" t="str">
        <f t="shared" si="45"/>
        <v/>
      </c>
      <c r="I723" s="298" t="str">
        <f>IF(B723="", "",Inventory!D731)</f>
        <v/>
      </c>
      <c r="J723" s="298" t="str">
        <f>IF(B723="","",IF(Inventory!C731="N","Interior","Exterior"))</f>
        <v/>
      </c>
      <c r="K723" s="298" t="str">
        <f t="shared" si="46"/>
        <v/>
      </c>
      <c r="L723" s="298" t="str">
        <f>IF(B723="", "", Inventory!E731)</f>
        <v/>
      </c>
      <c r="M723" s="298" t="str">
        <f>IF(B723="","",IF(Cool_Type=Lookups!$L$9,Cool_Type,IF(Cool_Type=Lookups!$L$10,Cool_Type,IF(Cool_Type=Lookups!$L$11,Cool_Type,IF(Cool_Type=Lookups!L733,Cool_Type,IF('Project Info and Summary'!$C$20="Electric",CONCATENATE(Cool_Type," ",Heating_Type," Heat"),IF('Project Info and Summary'!$C$20="Non-Electric",CONCATENATE(Cool_Type," ",Heating_Type," Heat"),CONCATENATE(Cool_Type," ",Heating_Type))))))))</f>
        <v/>
      </c>
      <c r="N723" s="298" t="str">
        <f t="shared" si="47"/>
        <v/>
      </c>
      <c r="O723" s="298" t="str">
        <f>IF(B723="", "", 'Lighting Inventory (Ref only)'!G734)</f>
        <v/>
      </c>
      <c r="P723" s="298" t="str">
        <f>IF(B723="", "", 'Lighting Inventory (Ref only)'!E734)</f>
        <v/>
      </c>
      <c r="Q723" s="298" t="str">
        <f>IF(B723="", "", 'Lighting Inventory (Ref only)'!J734)</f>
        <v/>
      </c>
      <c r="R723" s="298" t="str">
        <f>IF(B723="", "",'Lighting Inventory (Ref only)'!K734)</f>
        <v/>
      </c>
      <c r="S723" s="372" t="str">
        <f>IF(B723="", "", 'Lighting Inventory (Ref only)'!G734*'Lighting Inventory (Ref only)'!K734/1000)</f>
        <v/>
      </c>
      <c r="T723" s="298" t="str">
        <f>IF(B723="", "", IF('Lighting Inventory (Ref only)'!I734="", "Light Switch",Inventory!H731))</f>
        <v/>
      </c>
      <c r="X723" s="298" t="str">
        <f>IF(B723="", "", 'Lighting Inventory (Ref only)'!Q734)</f>
        <v/>
      </c>
      <c r="AA723" s="298" t="str">
        <f>IF(B723="", "",'Lighting Inventory (Ref only)'!R734/1000)</f>
        <v/>
      </c>
      <c r="AB723" s="298" t="str">
        <f>IF(B723="", "", Inventory!M731)</f>
        <v/>
      </c>
      <c r="AC723" s="298" t="str">
        <f>IF(B723="", "", 'Lighting Inventory (Ref only)'!T734)</f>
        <v/>
      </c>
      <c r="AD723" s="298" t="str">
        <f>IF(C723="", "", 'Lighting Inventory (Ref only)'!AA734)</f>
        <v/>
      </c>
      <c r="AE723" s="298" t="str">
        <f>IF(B723="", "", 'Lighting Inventory (Ref only)'!U734)</f>
        <v/>
      </c>
      <c r="AF723" s="298" t="str">
        <f>IF(B723="", "",'Lighting Inventory (Ref only)'!W734)</f>
        <v/>
      </c>
      <c r="AH723" s="298" t="str">
        <f>IF(B723="", "",'Lighting Inventory (Ref only)'!Z734)</f>
        <v/>
      </c>
      <c r="AI723" s="298" t="str">
        <f>IF(B723="", "", 'Lighting Inventory (Ref only)'!Y734)</f>
        <v/>
      </c>
      <c r="AJ723" s="298" t="str">
        <f>IF(C723="", "",'Lighting Inventory (Ref only)'!AB734)</f>
        <v/>
      </c>
      <c r="AK723" s="375" t="str">
        <f>IF(B723="", "", 'Lighting Inventory (Ref only)'!AG734)</f>
        <v/>
      </c>
      <c r="AL723" s="375" t="str">
        <f>IF(B723="", "", 'Lighting Inventory (Ref only)'!AD734)</f>
        <v/>
      </c>
      <c r="AM723" s="375" t="str">
        <f>IF(B723="", "", 'Lighting Inventory (Ref only)'!AE734)</f>
        <v/>
      </c>
      <c r="AN723" s="375" t="str">
        <f>IF(B723="", "", 'Lighting Inventory (Ref only)'!AF734)</f>
        <v/>
      </c>
      <c r="AO723" s="375" t="str">
        <f>IF(B723="", "", 'Lighting Inventory (Ref only)'!AG734)</f>
        <v/>
      </c>
    </row>
    <row r="724" spans="1:41">
      <c r="A724" s="298" t="str">
        <f>IF(G724="", "", Lookups!BF726)</f>
        <v/>
      </c>
      <c r="B724" s="298" t="str">
        <f>IF('Lighting Inventory (Ref only)'!Q735="", "", 'Lighting Inventory (Ref only)'!Q735)</f>
        <v/>
      </c>
      <c r="C724" s="298" t="str">
        <f>IF(A724="", "", 'Lighting Inventory (Ref only)'!AO735)</f>
        <v/>
      </c>
      <c r="D724" s="298" t="str">
        <f>IF(B724= "","", Inventory!S732)</f>
        <v/>
      </c>
      <c r="F724" s="298" t="str">
        <f>IF(B724="", "", 'Version Log'!$B$34)</f>
        <v/>
      </c>
      <c r="G724" s="298" t="str">
        <f t="shared" si="44"/>
        <v/>
      </c>
      <c r="H724" s="298" t="str">
        <f t="shared" si="45"/>
        <v/>
      </c>
      <c r="I724" s="298" t="str">
        <f>IF(B724="", "",Inventory!D732)</f>
        <v/>
      </c>
      <c r="J724" s="298" t="str">
        <f>IF(B724="","",IF(Inventory!C732="N","Interior","Exterior"))</f>
        <v/>
      </c>
      <c r="K724" s="298" t="str">
        <f t="shared" si="46"/>
        <v/>
      </c>
      <c r="L724" s="298" t="str">
        <f>IF(B724="", "", Inventory!E732)</f>
        <v/>
      </c>
      <c r="M724" s="298" t="str">
        <f>IF(B724="","",IF(Cool_Type=Lookups!$L$9,Cool_Type,IF(Cool_Type=Lookups!$L$10,Cool_Type,IF(Cool_Type=Lookups!$L$11,Cool_Type,IF(Cool_Type=Lookups!L734,Cool_Type,IF('Project Info and Summary'!$C$20="Electric",CONCATENATE(Cool_Type," ",Heating_Type," Heat"),IF('Project Info and Summary'!$C$20="Non-Electric",CONCATENATE(Cool_Type," ",Heating_Type," Heat"),CONCATENATE(Cool_Type," ",Heating_Type))))))))</f>
        <v/>
      </c>
      <c r="N724" s="298" t="str">
        <f t="shared" si="47"/>
        <v/>
      </c>
      <c r="O724" s="298" t="str">
        <f>IF(B724="", "", 'Lighting Inventory (Ref only)'!G735)</f>
        <v/>
      </c>
      <c r="P724" s="298" t="str">
        <f>IF(B724="", "", 'Lighting Inventory (Ref only)'!E735)</f>
        <v/>
      </c>
      <c r="Q724" s="298" t="str">
        <f>IF(B724="", "", 'Lighting Inventory (Ref only)'!J735)</f>
        <v/>
      </c>
      <c r="R724" s="298" t="str">
        <f>IF(B724="", "",'Lighting Inventory (Ref only)'!K735)</f>
        <v/>
      </c>
      <c r="S724" s="372" t="str">
        <f>IF(B724="", "", 'Lighting Inventory (Ref only)'!G735*'Lighting Inventory (Ref only)'!K735/1000)</f>
        <v/>
      </c>
      <c r="T724" s="298" t="str">
        <f>IF(B724="", "", IF('Lighting Inventory (Ref only)'!I735="", "Light Switch",Inventory!H732))</f>
        <v/>
      </c>
      <c r="X724" s="298" t="str">
        <f>IF(B724="", "", 'Lighting Inventory (Ref only)'!Q735)</f>
        <v/>
      </c>
      <c r="AA724" s="298" t="str">
        <f>IF(B724="", "",'Lighting Inventory (Ref only)'!R735/1000)</f>
        <v/>
      </c>
      <c r="AB724" s="298" t="str">
        <f>IF(B724="", "", Inventory!M732)</f>
        <v/>
      </c>
      <c r="AC724" s="298" t="str">
        <f>IF(B724="", "", 'Lighting Inventory (Ref only)'!T735)</f>
        <v/>
      </c>
      <c r="AD724" s="298" t="str">
        <f>IF(C724="", "", 'Lighting Inventory (Ref only)'!AA735)</f>
        <v/>
      </c>
      <c r="AE724" s="298" t="str">
        <f>IF(B724="", "", 'Lighting Inventory (Ref only)'!U735)</f>
        <v/>
      </c>
      <c r="AF724" s="298" t="str">
        <f>IF(B724="", "",'Lighting Inventory (Ref only)'!W735)</f>
        <v/>
      </c>
      <c r="AH724" s="298" t="str">
        <f>IF(B724="", "",'Lighting Inventory (Ref only)'!Z735)</f>
        <v/>
      </c>
      <c r="AI724" s="298" t="str">
        <f>IF(B724="", "", 'Lighting Inventory (Ref only)'!Y735)</f>
        <v/>
      </c>
      <c r="AJ724" s="298" t="str">
        <f>IF(C724="", "",'Lighting Inventory (Ref only)'!AB735)</f>
        <v/>
      </c>
      <c r="AK724" s="375" t="str">
        <f>IF(B724="", "", 'Lighting Inventory (Ref only)'!AG735)</f>
        <v/>
      </c>
      <c r="AL724" s="375" t="str">
        <f>IF(B724="", "", 'Lighting Inventory (Ref only)'!AD735)</f>
        <v/>
      </c>
      <c r="AM724" s="375" t="str">
        <f>IF(B724="", "", 'Lighting Inventory (Ref only)'!AE735)</f>
        <v/>
      </c>
      <c r="AN724" s="375" t="str">
        <f>IF(B724="", "", 'Lighting Inventory (Ref only)'!AF735)</f>
        <v/>
      </c>
      <c r="AO724" s="375" t="str">
        <f>IF(B724="", "", 'Lighting Inventory (Ref only)'!AG735)</f>
        <v/>
      </c>
    </row>
    <row r="725" spans="1:41">
      <c r="A725" s="298" t="str">
        <f>IF(G725="", "", Lookups!BF727)</f>
        <v/>
      </c>
      <c r="B725" s="298" t="str">
        <f>IF('Lighting Inventory (Ref only)'!Q736="", "", 'Lighting Inventory (Ref only)'!Q736)</f>
        <v/>
      </c>
      <c r="C725" s="298" t="str">
        <f>IF(A725="", "", 'Lighting Inventory (Ref only)'!AO736)</f>
        <v/>
      </c>
      <c r="D725" s="298" t="str">
        <f>IF(B725= "","", Inventory!S733)</f>
        <v/>
      </c>
      <c r="F725" s="298" t="str">
        <f>IF(B725="", "", 'Version Log'!$B$34)</f>
        <v/>
      </c>
      <c r="G725" s="298" t="str">
        <f t="shared" si="44"/>
        <v/>
      </c>
      <c r="H725" s="298" t="str">
        <f t="shared" si="45"/>
        <v/>
      </c>
      <c r="I725" s="298" t="str">
        <f>IF(B725="", "",Inventory!D733)</f>
        <v/>
      </c>
      <c r="J725" s="298" t="str">
        <f>IF(B725="","",IF(Inventory!C733="N","Interior","Exterior"))</f>
        <v/>
      </c>
      <c r="K725" s="298" t="str">
        <f t="shared" si="46"/>
        <v/>
      </c>
      <c r="L725" s="298" t="str">
        <f>IF(B725="", "", Inventory!E733)</f>
        <v/>
      </c>
      <c r="M725" s="298" t="str">
        <f>IF(B725="","",IF(Cool_Type=Lookups!$L$9,Cool_Type,IF(Cool_Type=Lookups!$L$10,Cool_Type,IF(Cool_Type=Lookups!$L$11,Cool_Type,IF(Cool_Type=Lookups!L735,Cool_Type,IF('Project Info and Summary'!$C$20="Electric",CONCATENATE(Cool_Type," ",Heating_Type," Heat"),IF('Project Info and Summary'!$C$20="Non-Electric",CONCATENATE(Cool_Type," ",Heating_Type," Heat"),CONCATENATE(Cool_Type," ",Heating_Type))))))))</f>
        <v/>
      </c>
      <c r="N725" s="298" t="str">
        <f t="shared" si="47"/>
        <v/>
      </c>
      <c r="O725" s="298" t="str">
        <f>IF(B725="", "", 'Lighting Inventory (Ref only)'!G736)</f>
        <v/>
      </c>
      <c r="P725" s="298" t="str">
        <f>IF(B725="", "", 'Lighting Inventory (Ref only)'!E736)</f>
        <v/>
      </c>
      <c r="Q725" s="298" t="str">
        <f>IF(B725="", "", 'Lighting Inventory (Ref only)'!J736)</f>
        <v/>
      </c>
      <c r="R725" s="298" t="str">
        <f>IF(B725="", "",'Lighting Inventory (Ref only)'!K736)</f>
        <v/>
      </c>
      <c r="S725" s="372" t="str">
        <f>IF(B725="", "", 'Lighting Inventory (Ref only)'!G736*'Lighting Inventory (Ref only)'!K736/1000)</f>
        <v/>
      </c>
      <c r="T725" s="298" t="str">
        <f>IF(B725="", "", IF('Lighting Inventory (Ref only)'!I736="", "Light Switch",Inventory!H733))</f>
        <v/>
      </c>
      <c r="X725" s="298" t="str">
        <f>IF(B725="", "", 'Lighting Inventory (Ref only)'!Q736)</f>
        <v/>
      </c>
      <c r="AA725" s="298" t="str">
        <f>IF(B725="", "",'Lighting Inventory (Ref only)'!R736/1000)</f>
        <v/>
      </c>
      <c r="AB725" s="298" t="str">
        <f>IF(B725="", "", Inventory!M733)</f>
        <v/>
      </c>
      <c r="AC725" s="298" t="str">
        <f>IF(B725="", "", 'Lighting Inventory (Ref only)'!T736)</f>
        <v/>
      </c>
      <c r="AD725" s="298" t="str">
        <f>IF(C725="", "", 'Lighting Inventory (Ref only)'!AA736)</f>
        <v/>
      </c>
      <c r="AE725" s="298" t="str">
        <f>IF(B725="", "", 'Lighting Inventory (Ref only)'!U736)</f>
        <v/>
      </c>
      <c r="AF725" s="298" t="str">
        <f>IF(B725="", "",'Lighting Inventory (Ref only)'!W736)</f>
        <v/>
      </c>
      <c r="AH725" s="298" t="str">
        <f>IF(B725="", "",'Lighting Inventory (Ref only)'!Z736)</f>
        <v/>
      </c>
      <c r="AI725" s="298" t="str">
        <f>IF(B725="", "", 'Lighting Inventory (Ref only)'!Y736)</f>
        <v/>
      </c>
      <c r="AJ725" s="298" t="str">
        <f>IF(C725="", "",'Lighting Inventory (Ref only)'!AB736)</f>
        <v/>
      </c>
      <c r="AK725" s="375" t="str">
        <f>IF(B725="", "", 'Lighting Inventory (Ref only)'!AG736)</f>
        <v/>
      </c>
      <c r="AL725" s="375" t="str">
        <f>IF(B725="", "", 'Lighting Inventory (Ref only)'!AD736)</f>
        <v/>
      </c>
      <c r="AM725" s="375" t="str">
        <f>IF(B725="", "", 'Lighting Inventory (Ref only)'!AE736)</f>
        <v/>
      </c>
      <c r="AN725" s="375" t="str">
        <f>IF(B725="", "", 'Lighting Inventory (Ref only)'!AF736)</f>
        <v/>
      </c>
      <c r="AO725" s="375" t="str">
        <f>IF(B725="", "", 'Lighting Inventory (Ref only)'!AG736)</f>
        <v/>
      </c>
    </row>
    <row r="726" spans="1:41">
      <c r="A726" s="298" t="str">
        <f>IF(G726="", "", Lookups!BF728)</f>
        <v/>
      </c>
      <c r="B726" s="298" t="str">
        <f>IF('Lighting Inventory (Ref only)'!Q737="", "", 'Lighting Inventory (Ref only)'!Q737)</f>
        <v/>
      </c>
      <c r="C726" s="298" t="str">
        <f>IF(A726="", "", 'Lighting Inventory (Ref only)'!AO737)</f>
        <v/>
      </c>
      <c r="D726" s="298" t="str">
        <f>IF(B726= "","", Inventory!S734)</f>
        <v/>
      </c>
      <c r="F726" s="298" t="str">
        <f>IF(B726="", "", 'Version Log'!$B$34)</f>
        <v/>
      </c>
      <c r="G726" s="298" t="str">
        <f t="shared" si="44"/>
        <v/>
      </c>
      <c r="H726" s="298" t="str">
        <f t="shared" si="45"/>
        <v/>
      </c>
      <c r="I726" s="298" t="str">
        <f>IF(B726="", "",Inventory!D734)</f>
        <v/>
      </c>
      <c r="J726" s="298" t="str">
        <f>IF(B726="","",IF(Inventory!C734="N","Interior","Exterior"))</f>
        <v/>
      </c>
      <c r="K726" s="298" t="str">
        <f t="shared" si="46"/>
        <v/>
      </c>
      <c r="L726" s="298" t="str">
        <f>IF(B726="", "", Inventory!E734)</f>
        <v/>
      </c>
      <c r="M726" s="298" t="str">
        <f>IF(B726="","",IF(Cool_Type=Lookups!$L$9,Cool_Type,IF(Cool_Type=Lookups!$L$10,Cool_Type,IF(Cool_Type=Lookups!$L$11,Cool_Type,IF(Cool_Type=Lookups!L736,Cool_Type,IF('Project Info and Summary'!$C$20="Electric",CONCATENATE(Cool_Type," ",Heating_Type," Heat"),IF('Project Info and Summary'!$C$20="Non-Electric",CONCATENATE(Cool_Type," ",Heating_Type," Heat"),CONCATENATE(Cool_Type," ",Heating_Type))))))))</f>
        <v/>
      </c>
      <c r="N726" s="298" t="str">
        <f t="shared" si="47"/>
        <v/>
      </c>
      <c r="O726" s="298" t="str">
        <f>IF(B726="", "", 'Lighting Inventory (Ref only)'!G737)</f>
        <v/>
      </c>
      <c r="P726" s="298" t="str">
        <f>IF(B726="", "", 'Lighting Inventory (Ref only)'!E737)</f>
        <v/>
      </c>
      <c r="Q726" s="298" t="str">
        <f>IF(B726="", "", 'Lighting Inventory (Ref only)'!J737)</f>
        <v/>
      </c>
      <c r="R726" s="298" t="str">
        <f>IF(B726="", "",'Lighting Inventory (Ref only)'!K737)</f>
        <v/>
      </c>
      <c r="S726" s="372" t="str">
        <f>IF(B726="", "", 'Lighting Inventory (Ref only)'!G737*'Lighting Inventory (Ref only)'!K737/1000)</f>
        <v/>
      </c>
      <c r="T726" s="298" t="str">
        <f>IF(B726="", "", IF('Lighting Inventory (Ref only)'!I737="", "Light Switch",Inventory!H734))</f>
        <v/>
      </c>
      <c r="X726" s="298" t="str">
        <f>IF(B726="", "", 'Lighting Inventory (Ref only)'!Q737)</f>
        <v/>
      </c>
      <c r="AA726" s="298" t="str">
        <f>IF(B726="", "",'Lighting Inventory (Ref only)'!R737/1000)</f>
        <v/>
      </c>
      <c r="AB726" s="298" t="str">
        <f>IF(B726="", "", Inventory!M734)</f>
        <v/>
      </c>
      <c r="AC726" s="298" t="str">
        <f>IF(B726="", "", 'Lighting Inventory (Ref only)'!T737)</f>
        <v/>
      </c>
      <c r="AD726" s="298" t="str">
        <f>IF(C726="", "", 'Lighting Inventory (Ref only)'!AA737)</f>
        <v/>
      </c>
      <c r="AE726" s="298" t="str">
        <f>IF(B726="", "", 'Lighting Inventory (Ref only)'!U737)</f>
        <v/>
      </c>
      <c r="AF726" s="298" t="str">
        <f>IF(B726="", "",'Lighting Inventory (Ref only)'!W737)</f>
        <v/>
      </c>
      <c r="AH726" s="298" t="str">
        <f>IF(B726="", "",'Lighting Inventory (Ref only)'!Z737)</f>
        <v/>
      </c>
      <c r="AI726" s="298" t="str">
        <f>IF(B726="", "", 'Lighting Inventory (Ref only)'!Y737)</f>
        <v/>
      </c>
      <c r="AJ726" s="298" t="str">
        <f>IF(C726="", "",'Lighting Inventory (Ref only)'!AB737)</f>
        <v/>
      </c>
      <c r="AK726" s="375" t="str">
        <f>IF(B726="", "", 'Lighting Inventory (Ref only)'!AG737)</f>
        <v/>
      </c>
      <c r="AL726" s="375" t="str">
        <f>IF(B726="", "", 'Lighting Inventory (Ref only)'!AD737)</f>
        <v/>
      </c>
      <c r="AM726" s="375" t="str">
        <f>IF(B726="", "", 'Lighting Inventory (Ref only)'!AE737)</f>
        <v/>
      </c>
      <c r="AN726" s="375" t="str">
        <f>IF(B726="", "", 'Lighting Inventory (Ref only)'!AF737)</f>
        <v/>
      </c>
      <c r="AO726" s="375" t="str">
        <f>IF(B726="", "", 'Lighting Inventory (Ref only)'!AG737)</f>
        <v/>
      </c>
    </row>
    <row r="727" spans="1:41">
      <c r="A727" s="298" t="str">
        <f>IF(G727="", "", Lookups!BF729)</f>
        <v/>
      </c>
      <c r="B727" s="298" t="str">
        <f>IF('Lighting Inventory (Ref only)'!Q738="", "", 'Lighting Inventory (Ref only)'!Q738)</f>
        <v/>
      </c>
      <c r="C727" s="298" t="str">
        <f>IF(A727="", "", 'Lighting Inventory (Ref only)'!AO738)</f>
        <v/>
      </c>
      <c r="D727" s="298" t="str">
        <f>IF(B727= "","", Inventory!S735)</f>
        <v/>
      </c>
      <c r="F727" s="298" t="str">
        <f>IF(B727="", "", 'Version Log'!$B$34)</f>
        <v/>
      </c>
      <c r="G727" s="298" t="str">
        <f t="shared" si="44"/>
        <v/>
      </c>
      <c r="H727" s="298" t="str">
        <f t="shared" si="45"/>
        <v/>
      </c>
      <c r="I727" s="298" t="str">
        <f>IF(B727="", "",Inventory!D735)</f>
        <v/>
      </c>
      <c r="J727" s="298" t="str">
        <f>IF(B727="","",IF(Inventory!C735="N","Interior","Exterior"))</f>
        <v/>
      </c>
      <c r="K727" s="298" t="str">
        <f t="shared" si="46"/>
        <v/>
      </c>
      <c r="L727" s="298" t="str">
        <f>IF(B727="", "", Inventory!E735)</f>
        <v/>
      </c>
      <c r="M727" s="298" t="str">
        <f>IF(B727="","",IF(Cool_Type=Lookups!$L$9,Cool_Type,IF(Cool_Type=Lookups!$L$10,Cool_Type,IF(Cool_Type=Lookups!$L$11,Cool_Type,IF(Cool_Type=Lookups!L737,Cool_Type,IF('Project Info and Summary'!$C$20="Electric",CONCATENATE(Cool_Type," ",Heating_Type," Heat"),IF('Project Info and Summary'!$C$20="Non-Electric",CONCATENATE(Cool_Type," ",Heating_Type," Heat"),CONCATENATE(Cool_Type," ",Heating_Type))))))))</f>
        <v/>
      </c>
      <c r="N727" s="298" t="str">
        <f t="shared" si="47"/>
        <v/>
      </c>
      <c r="O727" s="298" t="str">
        <f>IF(B727="", "", 'Lighting Inventory (Ref only)'!G738)</f>
        <v/>
      </c>
      <c r="P727" s="298" t="str">
        <f>IF(B727="", "", 'Lighting Inventory (Ref only)'!E738)</f>
        <v/>
      </c>
      <c r="Q727" s="298" t="str">
        <f>IF(B727="", "", 'Lighting Inventory (Ref only)'!J738)</f>
        <v/>
      </c>
      <c r="R727" s="298" t="str">
        <f>IF(B727="", "",'Lighting Inventory (Ref only)'!K738)</f>
        <v/>
      </c>
      <c r="S727" s="372" t="str">
        <f>IF(B727="", "", 'Lighting Inventory (Ref only)'!G738*'Lighting Inventory (Ref only)'!K738/1000)</f>
        <v/>
      </c>
      <c r="T727" s="298" t="str">
        <f>IF(B727="", "", IF('Lighting Inventory (Ref only)'!I738="", "Light Switch",Inventory!H735))</f>
        <v/>
      </c>
      <c r="X727" s="298" t="str">
        <f>IF(B727="", "", 'Lighting Inventory (Ref only)'!Q738)</f>
        <v/>
      </c>
      <c r="AA727" s="298" t="str">
        <f>IF(B727="", "",'Lighting Inventory (Ref only)'!R738/1000)</f>
        <v/>
      </c>
      <c r="AB727" s="298" t="str">
        <f>IF(B727="", "", Inventory!M735)</f>
        <v/>
      </c>
      <c r="AC727" s="298" t="str">
        <f>IF(B727="", "", 'Lighting Inventory (Ref only)'!T738)</f>
        <v/>
      </c>
      <c r="AD727" s="298" t="str">
        <f>IF(C727="", "", 'Lighting Inventory (Ref only)'!AA738)</f>
        <v/>
      </c>
      <c r="AE727" s="298" t="str">
        <f>IF(B727="", "", 'Lighting Inventory (Ref only)'!U738)</f>
        <v/>
      </c>
      <c r="AF727" s="298" t="str">
        <f>IF(B727="", "",'Lighting Inventory (Ref only)'!W738)</f>
        <v/>
      </c>
      <c r="AH727" s="298" t="str">
        <f>IF(B727="", "",'Lighting Inventory (Ref only)'!Z738)</f>
        <v/>
      </c>
      <c r="AI727" s="298" t="str">
        <f>IF(B727="", "", 'Lighting Inventory (Ref only)'!Y738)</f>
        <v/>
      </c>
      <c r="AJ727" s="298" t="str">
        <f>IF(C727="", "",'Lighting Inventory (Ref only)'!AB738)</f>
        <v/>
      </c>
      <c r="AK727" s="375" t="str">
        <f>IF(B727="", "", 'Lighting Inventory (Ref only)'!AG738)</f>
        <v/>
      </c>
      <c r="AL727" s="375" t="str">
        <f>IF(B727="", "", 'Lighting Inventory (Ref only)'!AD738)</f>
        <v/>
      </c>
      <c r="AM727" s="375" t="str">
        <f>IF(B727="", "", 'Lighting Inventory (Ref only)'!AE738)</f>
        <v/>
      </c>
      <c r="AN727" s="375" t="str">
        <f>IF(B727="", "", 'Lighting Inventory (Ref only)'!AF738)</f>
        <v/>
      </c>
      <c r="AO727" s="375" t="str">
        <f>IF(B727="", "", 'Lighting Inventory (Ref only)'!AG738)</f>
        <v/>
      </c>
    </row>
    <row r="728" spans="1:41">
      <c r="A728" s="298" t="str">
        <f>IF(G728="", "", Lookups!BF730)</f>
        <v/>
      </c>
      <c r="B728" s="298" t="str">
        <f>IF('Lighting Inventory (Ref only)'!Q739="", "", 'Lighting Inventory (Ref only)'!Q739)</f>
        <v/>
      </c>
      <c r="C728" s="298" t="str">
        <f>IF(A728="", "", 'Lighting Inventory (Ref only)'!AO739)</f>
        <v/>
      </c>
      <c r="D728" s="298" t="str">
        <f>IF(B728= "","", Inventory!S736)</f>
        <v/>
      </c>
      <c r="F728" s="298" t="str">
        <f>IF(B728="", "", 'Version Log'!$B$34)</f>
        <v/>
      </c>
      <c r="G728" s="298" t="str">
        <f t="shared" si="44"/>
        <v/>
      </c>
      <c r="H728" s="298" t="str">
        <f t="shared" si="45"/>
        <v/>
      </c>
      <c r="I728" s="298" t="str">
        <f>IF(B728="", "",Inventory!D736)</f>
        <v/>
      </c>
      <c r="J728" s="298" t="str">
        <f>IF(B728="","",IF(Inventory!C736="N","Interior","Exterior"))</f>
        <v/>
      </c>
      <c r="K728" s="298" t="str">
        <f t="shared" si="46"/>
        <v/>
      </c>
      <c r="L728" s="298" t="str">
        <f>IF(B728="", "", Inventory!E736)</f>
        <v/>
      </c>
      <c r="M728" s="298" t="str">
        <f>IF(B728="","",IF(Cool_Type=Lookups!$L$9,Cool_Type,IF(Cool_Type=Lookups!$L$10,Cool_Type,IF(Cool_Type=Lookups!$L$11,Cool_Type,IF(Cool_Type=Lookups!L738,Cool_Type,IF('Project Info and Summary'!$C$20="Electric",CONCATENATE(Cool_Type," ",Heating_Type," Heat"),IF('Project Info and Summary'!$C$20="Non-Electric",CONCATENATE(Cool_Type," ",Heating_Type," Heat"),CONCATENATE(Cool_Type," ",Heating_Type))))))))</f>
        <v/>
      </c>
      <c r="N728" s="298" t="str">
        <f t="shared" si="47"/>
        <v/>
      </c>
      <c r="O728" s="298" t="str">
        <f>IF(B728="", "", 'Lighting Inventory (Ref only)'!G739)</f>
        <v/>
      </c>
      <c r="P728" s="298" t="str">
        <f>IF(B728="", "", 'Lighting Inventory (Ref only)'!E739)</f>
        <v/>
      </c>
      <c r="Q728" s="298" t="str">
        <f>IF(B728="", "", 'Lighting Inventory (Ref only)'!J739)</f>
        <v/>
      </c>
      <c r="R728" s="298" t="str">
        <f>IF(B728="", "",'Lighting Inventory (Ref only)'!K739)</f>
        <v/>
      </c>
      <c r="S728" s="372" t="str">
        <f>IF(B728="", "", 'Lighting Inventory (Ref only)'!G739*'Lighting Inventory (Ref only)'!K739/1000)</f>
        <v/>
      </c>
      <c r="T728" s="298" t="str">
        <f>IF(B728="", "", IF('Lighting Inventory (Ref only)'!I739="", "Light Switch",Inventory!H736))</f>
        <v/>
      </c>
      <c r="X728" s="298" t="str">
        <f>IF(B728="", "", 'Lighting Inventory (Ref only)'!Q739)</f>
        <v/>
      </c>
      <c r="AA728" s="298" t="str">
        <f>IF(B728="", "",'Lighting Inventory (Ref only)'!R739/1000)</f>
        <v/>
      </c>
      <c r="AB728" s="298" t="str">
        <f>IF(B728="", "", Inventory!M736)</f>
        <v/>
      </c>
      <c r="AC728" s="298" t="str">
        <f>IF(B728="", "", 'Lighting Inventory (Ref only)'!T739)</f>
        <v/>
      </c>
      <c r="AD728" s="298" t="str">
        <f>IF(C728="", "", 'Lighting Inventory (Ref only)'!AA739)</f>
        <v/>
      </c>
      <c r="AE728" s="298" t="str">
        <f>IF(B728="", "", 'Lighting Inventory (Ref only)'!U739)</f>
        <v/>
      </c>
      <c r="AF728" s="298" t="str">
        <f>IF(B728="", "",'Lighting Inventory (Ref only)'!W739)</f>
        <v/>
      </c>
      <c r="AH728" s="298" t="str">
        <f>IF(B728="", "",'Lighting Inventory (Ref only)'!Z739)</f>
        <v/>
      </c>
      <c r="AI728" s="298" t="str">
        <f>IF(B728="", "", 'Lighting Inventory (Ref only)'!Y739)</f>
        <v/>
      </c>
      <c r="AJ728" s="298" t="str">
        <f>IF(C728="", "",'Lighting Inventory (Ref only)'!AB739)</f>
        <v/>
      </c>
      <c r="AK728" s="375" t="str">
        <f>IF(B728="", "", 'Lighting Inventory (Ref only)'!AG739)</f>
        <v/>
      </c>
      <c r="AL728" s="375" t="str">
        <f>IF(B728="", "", 'Lighting Inventory (Ref only)'!AD739)</f>
        <v/>
      </c>
      <c r="AM728" s="375" t="str">
        <f>IF(B728="", "", 'Lighting Inventory (Ref only)'!AE739)</f>
        <v/>
      </c>
      <c r="AN728" s="375" t="str">
        <f>IF(B728="", "", 'Lighting Inventory (Ref only)'!AF739)</f>
        <v/>
      </c>
      <c r="AO728" s="375" t="str">
        <f>IF(B728="", "", 'Lighting Inventory (Ref only)'!AG739)</f>
        <v/>
      </c>
    </row>
    <row r="729" spans="1:41">
      <c r="A729" s="298" t="str">
        <f>IF(G729="", "", Lookups!BF731)</f>
        <v/>
      </c>
      <c r="B729" s="298" t="str">
        <f>IF('Lighting Inventory (Ref only)'!Q740="", "", 'Lighting Inventory (Ref only)'!Q740)</f>
        <v/>
      </c>
      <c r="C729" s="298" t="str">
        <f>IF(A729="", "", 'Lighting Inventory (Ref only)'!AO740)</f>
        <v/>
      </c>
      <c r="D729" s="298" t="str">
        <f>IF(B729= "","", Inventory!S737)</f>
        <v/>
      </c>
      <c r="F729" s="298" t="str">
        <f>IF(B729="", "", 'Version Log'!$B$34)</f>
        <v/>
      </c>
      <c r="G729" s="298" t="str">
        <f t="shared" si="44"/>
        <v/>
      </c>
      <c r="H729" s="298" t="str">
        <f t="shared" si="45"/>
        <v/>
      </c>
      <c r="I729" s="298" t="str">
        <f>IF(B729="", "",Inventory!D737)</f>
        <v/>
      </c>
      <c r="J729" s="298" t="str">
        <f>IF(B729="","",IF(Inventory!C737="N","Interior","Exterior"))</f>
        <v/>
      </c>
      <c r="K729" s="298" t="str">
        <f t="shared" si="46"/>
        <v/>
      </c>
      <c r="L729" s="298" t="str">
        <f>IF(B729="", "", Inventory!E737)</f>
        <v/>
      </c>
      <c r="M729" s="298" t="str">
        <f>IF(B729="","",IF(Cool_Type=Lookups!$L$9,Cool_Type,IF(Cool_Type=Lookups!$L$10,Cool_Type,IF(Cool_Type=Lookups!$L$11,Cool_Type,IF(Cool_Type=Lookups!L739,Cool_Type,IF('Project Info and Summary'!$C$20="Electric",CONCATENATE(Cool_Type," ",Heating_Type," Heat"),IF('Project Info and Summary'!$C$20="Non-Electric",CONCATENATE(Cool_Type," ",Heating_Type," Heat"),CONCATENATE(Cool_Type," ",Heating_Type))))))))</f>
        <v/>
      </c>
      <c r="N729" s="298" t="str">
        <f t="shared" si="47"/>
        <v/>
      </c>
      <c r="O729" s="298" t="str">
        <f>IF(B729="", "", 'Lighting Inventory (Ref only)'!G740)</f>
        <v/>
      </c>
      <c r="P729" s="298" t="str">
        <f>IF(B729="", "", 'Lighting Inventory (Ref only)'!E740)</f>
        <v/>
      </c>
      <c r="Q729" s="298" t="str">
        <f>IF(B729="", "", 'Lighting Inventory (Ref only)'!J740)</f>
        <v/>
      </c>
      <c r="R729" s="298" t="str">
        <f>IF(B729="", "",'Lighting Inventory (Ref only)'!K740)</f>
        <v/>
      </c>
      <c r="S729" s="372" t="str">
        <f>IF(B729="", "", 'Lighting Inventory (Ref only)'!G740*'Lighting Inventory (Ref only)'!K740/1000)</f>
        <v/>
      </c>
      <c r="T729" s="298" t="str">
        <f>IF(B729="", "", IF('Lighting Inventory (Ref only)'!I740="", "Light Switch",Inventory!H737))</f>
        <v/>
      </c>
      <c r="X729" s="298" t="str">
        <f>IF(B729="", "", 'Lighting Inventory (Ref only)'!Q740)</f>
        <v/>
      </c>
      <c r="AA729" s="298" t="str">
        <f>IF(B729="", "",'Lighting Inventory (Ref only)'!R740/1000)</f>
        <v/>
      </c>
      <c r="AB729" s="298" t="str">
        <f>IF(B729="", "", Inventory!M737)</f>
        <v/>
      </c>
      <c r="AC729" s="298" t="str">
        <f>IF(B729="", "", 'Lighting Inventory (Ref only)'!T740)</f>
        <v/>
      </c>
      <c r="AD729" s="298" t="str">
        <f>IF(C729="", "", 'Lighting Inventory (Ref only)'!AA740)</f>
        <v/>
      </c>
      <c r="AE729" s="298" t="str">
        <f>IF(B729="", "", 'Lighting Inventory (Ref only)'!U740)</f>
        <v/>
      </c>
      <c r="AF729" s="298" t="str">
        <f>IF(B729="", "",'Lighting Inventory (Ref only)'!W740)</f>
        <v/>
      </c>
      <c r="AH729" s="298" t="str">
        <f>IF(B729="", "",'Lighting Inventory (Ref only)'!Z740)</f>
        <v/>
      </c>
      <c r="AI729" s="298" t="str">
        <f>IF(B729="", "", 'Lighting Inventory (Ref only)'!Y740)</f>
        <v/>
      </c>
      <c r="AJ729" s="298" t="str">
        <f>IF(C729="", "",'Lighting Inventory (Ref only)'!AB740)</f>
        <v/>
      </c>
      <c r="AK729" s="375" t="str">
        <f>IF(B729="", "", 'Lighting Inventory (Ref only)'!AG740)</f>
        <v/>
      </c>
      <c r="AL729" s="375" t="str">
        <f>IF(B729="", "", 'Lighting Inventory (Ref only)'!AD740)</f>
        <v/>
      </c>
      <c r="AM729" s="375" t="str">
        <f>IF(B729="", "", 'Lighting Inventory (Ref only)'!AE740)</f>
        <v/>
      </c>
      <c r="AN729" s="375" t="str">
        <f>IF(B729="", "", 'Lighting Inventory (Ref only)'!AF740)</f>
        <v/>
      </c>
      <c r="AO729" s="375" t="str">
        <f>IF(B729="", "", 'Lighting Inventory (Ref only)'!AG740)</f>
        <v/>
      </c>
    </row>
    <row r="730" spans="1:41">
      <c r="A730" s="298" t="str">
        <f>IF(G730="", "", Lookups!BF732)</f>
        <v/>
      </c>
      <c r="B730" s="298" t="str">
        <f>IF('Lighting Inventory (Ref only)'!Q741="", "", 'Lighting Inventory (Ref only)'!Q741)</f>
        <v/>
      </c>
      <c r="C730" s="298" t="str">
        <f>IF(A730="", "", 'Lighting Inventory (Ref only)'!AO741)</f>
        <v/>
      </c>
      <c r="D730" s="298" t="str">
        <f>IF(B730= "","", Inventory!S738)</f>
        <v/>
      </c>
      <c r="F730" s="298" t="str">
        <f>IF(B730="", "", 'Version Log'!$B$34)</f>
        <v/>
      </c>
      <c r="G730" s="298" t="str">
        <f t="shared" si="44"/>
        <v/>
      </c>
      <c r="H730" s="298" t="str">
        <f t="shared" si="45"/>
        <v/>
      </c>
      <c r="I730" s="298" t="str">
        <f>IF(B730="", "",Inventory!D738)</f>
        <v/>
      </c>
      <c r="J730" s="298" t="str">
        <f>IF(B730="","",IF(Inventory!C738="N","Interior","Exterior"))</f>
        <v/>
      </c>
      <c r="K730" s="298" t="str">
        <f t="shared" si="46"/>
        <v/>
      </c>
      <c r="L730" s="298" t="str">
        <f>IF(B730="", "", Inventory!E738)</f>
        <v/>
      </c>
      <c r="M730" s="298" t="str">
        <f>IF(B730="","",IF(Cool_Type=Lookups!$L$9,Cool_Type,IF(Cool_Type=Lookups!$L$10,Cool_Type,IF(Cool_Type=Lookups!$L$11,Cool_Type,IF(Cool_Type=Lookups!L740,Cool_Type,IF('Project Info and Summary'!$C$20="Electric",CONCATENATE(Cool_Type," ",Heating_Type," Heat"),IF('Project Info and Summary'!$C$20="Non-Electric",CONCATENATE(Cool_Type," ",Heating_Type," Heat"),CONCATENATE(Cool_Type," ",Heating_Type))))))))</f>
        <v/>
      </c>
      <c r="N730" s="298" t="str">
        <f t="shared" si="47"/>
        <v/>
      </c>
      <c r="O730" s="298" t="str">
        <f>IF(B730="", "", 'Lighting Inventory (Ref only)'!G741)</f>
        <v/>
      </c>
      <c r="P730" s="298" t="str">
        <f>IF(B730="", "", 'Lighting Inventory (Ref only)'!E741)</f>
        <v/>
      </c>
      <c r="Q730" s="298" t="str">
        <f>IF(B730="", "", 'Lighting Inventory (Ref only)'!J741)</f>
        <v/>
      </c>
      <c r="R730" s="298" t="str">
        <f>IF(B730="", "",'Lighting Inventory (Ref only)'!K741)</f>
        <v/>
      </c>
      <c r="S730" s="372" t="str">
        <f>IF(B730="", "", 'Lighting Inventory (Ref only)'!G741*'Lighting Inventory (Ref only)'!K741/1000)</f>
        <v/>
      </c>
      <c r="T730" s="298" t="str">
        <f>IF(B730="", "", IF('Lighting Inventory (Ref only)'!I741="", "Light Switch",Inventory!H738))</f>
        <v/>
      </c>
      <c r="X730" s="298" t="str">
        <f>IF(B730="", "", 'Lighting Inventory (Ref only)'!Q741)</f>
        <v/>
      </c>
      <c r="AA730" s="298" t="str">
        <f>IF(B730="", "",'Lighting Inventory (Ref only)'!R741/1000)</f>
        <v/>
      </c>
      <c r="AB730" s="298" t="str">
        <f>IF(B730="", "", Inventory!M738)</f>
        <v/>
      </c>
      <c r="AC730" s="298" t="str">
        <f>IF(B730="", "", 'Lighting Inventory (Ref only)'!T741)</f>
        <v/>
      </c>
      <c r="AD730" s="298" t="str">
        <f>IF(C730="", "", 'Lighting Inventory (Ref only)'!AA741)</f>
        <v/>
      </c>
      <c r="AE730" s="298" t="str">
        <f>IF(B730="", "", 'Lighting Inventory (Ref only)'!U741)</f>
        <v/>
      </c>
      <c r="AF730" s="298" t="str">
        <f>IF(B730="", "",'Lighting Inventory (Ref only)'!W741)</f>
        <v/>
      </c>
      <c r="AH730" s="298" t="str">
        <f>IF(B730="", "",'Lighting Inventory (Ref only)'!Z741)</f>
        <v/>
      </c>
      <c r="AI730" s="298" t="str">
        <f>IF(B730="", "", 'Lighting Inventory (Ref only)'!Y741)</f>
        <v/>
      </c>
      <c r="AJ730" s="298" t="str">
        <f>IF(C730="", "",'Lighting Inventory (Ref only)'!AB741)</f>
        <v/>
      </c>
      <c r="AK730" s="375" t="str">
        <f>IF(B730="", "", 'Lighting Inventory (Ref only)'!AG741)</f>
        <v/>
      </c>
      <c r="AL730" s="375" t="str">
        <f>IF(B730="", "", 'Lighting Inventory (Ref only)'!AD741)</f>
        <v/>
      </c>
      <c r="AM730" s="375" t="str">
        <f>IF(B730="", "", 'Lighting Inventory (Ref only)'!AE741)</f>
        <v/>
      </c>
      <c r="AN730" s="375" t="str">
        <f>IF(B730="", "", 'Lighting Inventory (Ref only)'!AF741)</f>
        <v/>
      </c>
      <c r="AO730" s="375" t="str">
        <f>IF(B730="", "", 'Lighting Inventory (Ref only)'!AG741)</f>
        <v/>
      </c>
    </row>
    <row r="731" spans="1:41">
      <c r="A731" s="298" t="str">
        <f>IF(G731="", "", Lookups!BF733)</f>
        <v/>
      </c>
      <c r="B731" s="298" t="str">
        <f>IF('Lighting Inventory (Ref only)'!Q742="", "", 'Lighting Inventory (Ref only)'!Q742)</f>
        <v/>
      </c>
      <c r="C731" s="298" t="str">
        <f>IF(A731="", "", 'Lighting Inventory (Ref only)'!AO742)</f>
        <v/>
      </c>
      <c r="D731" s="298" t="str">
        <f>IF(B731= "","", Inventory!S739)</f>
        <v/>
      </c>
      <c r="F731" s="298" t="str">
        <f>IF(B731="", "", 'Version Log'!$B$34)</f>
        <v/>
      </c>
      <c r="G731" s="298" t="str">
        <f t="shared" si="44"/>
        <v/>
      </c>
      <c r="H731" s="298" t="str">
        <f t="shared" si="45"/>
        <v/>
      </c>
      <c r="I731" s="298" t="str">
        <f>IF(B731="", "",Inventory!D739)</f>
        <v/>
      </c>
      <c r="J731" s="298" t="str">
        <f>IF(B731="","",IF(Inventory!C739="N","Interior","Exterior"))</f>
        <v/>
      </c>
      <c r="K731" s="298" t="str">
        <f t="shared" si="46"/>
        <v/>
      </c>
      <c r="L731" s="298" t="str">
        <f>IF(B731="", "", Inventory!E739)</f>
        <v/>
      </c>
      <c r="M731" s="298" t="str">
        <f>IF(B731="","",IF(Cool_Type=Lookups!$L$9,Cool_Type,IF(Cool_Type=Lookups!$L$10,Cool_Type,IF(Cool_Type=Lookups!$L$11,Cool_Type,IF(Cool_Type=Lookups!L741,Cool_Type,IF('Project Info and Summary'!$C$20="Electric",CONCATENATE(Cool_Type," ",Heating_Type," Heat"),IF('Project Info and Summary'!$C$20="Non-Electric",CONCATENATE(Cool_Type," ",Heating_Type," Heat"),CONCATENATE(Cool_Type," ",Heating_Type))))))))</f>
        <v/>
      </c>
      <c r="N731" s="298" t="str">
        <f t="shared" si="47"/>
        <v/>
      </c>
      <c r="O731" s="298" t="str">
        <f>IF(B731="", "", 'Lighting Inventory (Ref only)'!G742)</f>
        <v/>
      </c>
      <c r="P731" s="298" t="str">
        <f>IF(B731="", "", 'Lighting Inventory (Ref only)'!E742)</f>
        <v/>
      </c>
      <c r="Q731" s="298" t="str">
        <f>IF(B731="", "", 'Lighting Inventory (Ref only)'!J742)</f>
        <v/>
      </c>
      <c r="R731" s="298" t="str">
        <f>IF(B731="", "",'Lighting Inventory (Ref only)'!K742)</f>
        <v/>
      </c>
      <c r="S731" s="372" t="str">
        <f>IF(B731="", "", 'Lighting Inventory (Ref only)'!G742*'Lighting Inventory (Ref only)'!K742/1000)</f>
        <v/>
      </c>
      <c r="T731" s="298" t="str">
        <f>IF(B731="", "", IF('Lighting Inventory (Ref only)'!I742="", "Light Switch",Inventory!H739))</f>
        <v/>
      </c>
      <c r="X731" s="298" t="str">
        <f>IF(B731="", "", 'Lighting Inventory (Ref only)'!Q742)</f>
        <v/>
      </c>
      <c r="AA731" s="298" t="str">
        <f>IF(B731="", "",'Lighting Inventory (Ref only)'!R742/1000)</f>
        <v/>
      </c>
      <c r="AB731" s="298" t="str">
        <f>IF(B731="", "", Inventory!M739)</f>
        <v/>
      </c>
      <c r="AC731" s="298" t="str">
        <f>IF(B731="", "", 'Lighting Inventory (Ref only)'!T742)</f>
        <v/>
      </c>
      <c r="AD731" s="298" t="str">
        <f>IF(C731="", "", 'Lighting Inventory (Ref only)'!AA742)</f>
        <v/>
      </c>
      <c r="AE731" s="298" t="str">
        <f>IF(B731="", "", 'Lighting Inventory (Ref only)'!U742)</f>
        <v/>
      </c>
      <c r="AF731" s="298" t="str">
        <f>IF(B731="", "",'Lighting Inventory (Ref only)'!W742)</f>
        <v/>
      </c>
      <c r="AH731" s="298" t="str">
        <f>IF(B731="", "",'Lighting Inventory (Ref only)'!Z742)</f>
        <v/>
      </c>
      <c r="AI731" s="298" t="str">
        <f>IF(B731="", "", 'Lighting Inventory (Ref only)'!Y742)</f>
        <v/>
      </c>
      <c r="AJ731" s="298" t="str">
        <f>IF(C731="", "",'Lighting Inventory (Ref only)'!AB742)</f>
        <v/>
      </c>
      <c r="AK731" s="375" t="str">
        <f>IF(B731="", "", 'Lighting Inventory (Ref only)'!AG742)</f>
        <v/>
      </c>
      <c r="AL731" s="375" t="str">
        <f>IF(B731="", "", 'Lighting Inventory (Ref only)'!AD742)</f>
        <v/>
      </c>
      <c r="AM731" s="375" t="str">
        <f>IF(B731="", "", 'Lighting Inventory (Ref only)'!AE742)</f>
        <v/>
      </c>
      <c r="AN731" s="375" t="str">
        <f>IF(B731="", "", 'Lighting Inventory (Ref only)'!AF742)</f>
        <v/>
      </c>
      <c r="AO731" s="375" t="str">
        <f>IF(B731="", "", 'Lighting Inventory (Ref only)'!AG742)</f>
        <v/>
      </c>
    </row>
    <row r="732" spans="1:41">
      <c r="A732" s="298" t="str">
        <f>IF(G732="", "", Lookups!BF734)</f>
        <v/>
      </c>
      <c r="B732" s="298" t="str">
        <f>IF('Lighting Inventory (Ref only)'!Q743="", "", 'Lighting Inventory (Ref only)'!Q743)</f>
        <v/>
      </c>
      <c r="C732" s="298" t="str">
        <f>IF(A732="", "", 'Lighting Inventory (Ref only)'!AO743)</f>
        <v/>
      </c>
      <c r="D732" s="298" t="str">
        <f>IF(B732= "","", Inventory!S740)</f>
        <v/>
      </c>
      <c r="F732" s="298" t="str">
        <f>IF(B732="", "", 'Version Log'!$B$34)</f>
        <v/>
      </c>
      <c r="G732" s="298" t="str">
        <f t="shared" si="44"/>
        <v/>
      </c>
      <c r="H732" s="298" t="str">
        <f t="shared" si="45"/>
        <v/>
      </c>
      <c r="I732" s="298" t="str">
        <f>IF(B732="", "",Inventory!D740)</f>
        <v/>
      </c>
      <c r="J732" s="298" t="str">
        <f>IF(B732="","",IF(Inventory!C740="N","Interior","Exterior"))</f>
        <v/>
      </c>
      <c r="K732" s="298" t="str">
        <f t="shared" si="46"/>
        <v/>
      </c>
      <c r="L732" s="298" t="str">
        <f>IF(B732="", "", Inventory!E740)</f>
        <v/>
      </c>
      <c r="M732" s="298" t="str">
        <f>IF(B732="","",IF(Cool_Type=Lookups!$L$9,Cool_Type,IF(Cool_Type=Lookups!$L$10,Cool_Type,IF(Cool_Type=Lookups!$L$11,Cool_Type,IF(Cool_Type=Lookups!L742,Cool_Type,IF('Project Info and Summary'!$C$20="Electric",CONCATENATE(Cool_Type," ",Heating_Type," Heat"),IF('Project Info and Summary'!$C$20="Non-Electric",CONCATENATE(Cool_Type," ",Heating_Type," Heat"),CONCATENATE(Cool_Type," ",Heating_Type))))))))</f>
        <v/>
      </c>
      <c r="N732" s="298" t="str">
        <f t="shared" si="47"/>
        <v/>
      </c>
      <c r="O732" s="298" t="str">
        <f>IF(B732="", "", 'Lighting Inventory (Ref only)'!G743)</f>
        <v/>
      </c>
      <c r="P732" s="298" t="str">
        <f>IF(B732="", "", 'Lighting Inventory (Ref only)'!E743)</f>
        <v/>
      </c>
      <c r="Q732" s="298" t="str">
        <f>IF(B732="", "", 'Lighting Inventory (Ref only)'!J743)</f>
        <v/>
      </c>
      <c r="R732" s="298" t="str">
        <f>IF(B732="", "",'Lighting Inventory (Ref only)'!K743)</f>
        <v/>
      </c>
      <c r="S732" s="372" t="str">
        <f>IF(B732="", "", 'Lighting Inventory (Ref only)'!G743*'Lighting Inventory (Ref only)'!K743/1000)</f>
        <v/>
      </c>
      <c r="T732" s="298" t="str">
        <f>IF(B732="", "", IF('Lighting Inventory (Ref only)'!I743="", "Light Switch",Inventory!H740))</f>
        <v/>
      </c>
      <c r="X732" s="298" t="str">
        <f>IF(B732="", "", 'Lighting Inventory (Ref only)'!Q743)</f>
        <v/>
      </c>
      <c r="AA732" s="298" t="str">
        <f>IF(B732="", "",'Lighting Inventory (Ref only)'!R743/1000)</f>
        <v/>
      </c>
      <c r="AB732" s="298" t="str">
        <f>IF(B732="", "", Inventory!M740)</f>
        <v/>
      </c>
      <c r="AC732" s="298" t="str">
        <f>IF(B732="", "", 'Lighting Inventory (Ref only)'!T743)</f>
        <v/>
      </c>
      <c r="AD732" s="298" t="str">
        <f>IF(C732="", "", 'Lighting Inventory (Ref only)'!AA743)</f>
        <v/>
      </c>
      <c r="AE732" s="298" t="str">
        <f>IF(B732="", "", 'Lighting Inventory (Ref only)'!U743)</f>
        <v/>
      </c>
      <c r="AF732" s="298" t="str">
        <f>IF(B732="", "",'Lighting Inventory (Ref only)'!W743)</f>
        <v/>
      </c>
      <c r="AH732" s="298" t="str">
        <f>IF(B732="", "",'Lighting Inventory (Ref only)'!Z743)</f>
        <v/>
      </c>
      <c r="AI732" s="298" t="str">
        <f>IF(B732="", "", 'Lighting Inventory (Ref only)'!Y743)</f>
        <v/>
      </c>
      <c r="AJ732" s="298" t="str">
        <f>IF(C732="", "",'Lighting Inventory (Ref only)'!AB743)</f>
        <v/>
      </c>
      <c r="AK732" s="375" t="str">
        <f>IF(B732="", "", 'Lighting Inventory (Ref only)'!AG743)</f>
        <v/>
      </c>
      <c r="AL732" s="375" t="str">
        <f>IF(B732="", "", 'Lighting Inventory (Ref only)'!AD743)</f>
        <v/>
      </c>
      <c r="AM732" s="375" t="str">
        <f>IF(B732="", "", 'Lighting Inventory (Ref only)'!AE743)</f>
        <v/>
      </c>
      <c r="AN732" s="375" t="str">
        <f>IF(B732="", "", 'Lighting Inventory (Ref only)'!AF743)</f>
        <v/>
      </c>
      <c r="AO732" s="375" t="str">
        <f>IF(B732="", "", 'Lighting Inventory (Ref only)'!AG743)</f>
        <v/>
      </c>
    </row>
    <row r="733" spans="1:41">
      <c r="A733" s="298" t="str">
        <f>IF(G733="", "", Lookups!BF735)</f>
        <v/>
      </c>
      <c r="B733" s="298" t="str">
        <f>IF('Lighting Inventory (Ref only)'!Q744="", "", 'Lighting Inventory (Ref only)'!Q744)</f>
        <v/>
      </c>
      <c r="C733" s="298" t="str">
        <f>IF(A733="", "", 'Lighting Inventory (Ref only)'!AO744)</f>
        <v/>
      </c>
      <c r="D733" s="298" t="str">
        <f>IF(B733= "","", Inventory!S741)</f>
        <v/>
      </c>
      <c r="F733" s="298" t="str">
        <f>IF(B733="", "", 'Version Log'!$B$34)</f>
        <v/>
      </c>
      <c r="G733" s="298" t="str">
        <f t="shared" si="44"/>
        <v/>
      </c>
      <c r="H733" s="298" t="str">
        <f t="shared" si="45"/>
        <v/>
      </c>
      <c r="I733" s="298" t="str">
        <f>IF(B733="", "",Inventory!D741)</f>
        <v/>
      </c>
      <c r="J733" s="298" t="str">
        <f>IF(B733="","",IF(Inventory!C741="N","Interior","Exterior"))</f>
        <v/>
      </c>
      <c r="K733" s="298" t="str">
        <f t="shared" si="46"/>
        <v/>
      </c>
      <c r="L733" s="298" t="str">
        <f>IF(B733="", "", Inventory!E741)</f>
        <v/>
      </c>
      <c r="M733" s="298" t="str">
        <f>IF(B733="","",IF(Cool_Type=Lookups!$L$9,Cool_Type,IF(Cool_Type=Lookups!$L$10,Cool_Type,IF(Cool_Type=Lookups!$L$11,Cool_Type,IF(Cool_Type=Lookups!L743,Cool_Type,IF('Project Info and Summary'!$C$20="Electric",CONCATENATE(Cool_Type," ",Heating_Type," Heat"),IF('Project Info and Summary'!$C$20="Non-Electric",CONCATENATE(Cool_Type," ",Heating_Type," Heat"),CONCATENATE(Cool_Type," ",Heating_Type))))))))</f>
        <v/>
      </c>
      <c r="N733" s="298" t="str">
        <f t="shared" si="47"/>
        <v/>
      </c>
      <c r="O733" s="298" t="str">
        <f>IF(B733="", "", 'Lighting Inventory (Ref only)'!G744)</f>
        <v/>
      </c>
      <c r="P733" s="298" t="str">
        <f>IF(B733="", "", 'Lighting Inventory (Ref only)'!E744)</f>
        <v/>
      </c>
      <c r="Q733" s="298" t="str">
        <f>IF(B733="", "", 'Lighting Inventory (Ref only)'!J744)</f>
        <v/>
      </c>
      <c r="R733" s="298" t="str">
        <f>IF(B733="", "",'Lighting Inventory (Ref only)'!K744)</f>
        <v/>
      </c>
      <c r="S733" s="372" t="str">
        <f>IF(B733="", "", 'Lighting Inventory (Ref only)'!G744*'Lighting Inventory (Ref only)'!K744/1000)</f>
        <v/>
      </c>
      <c r="T733" s="298" t="str">
        <f>IF(B733="", "", IF('Lighting Inventory (Ref only)'!I744="", "Light Switch",Inventory!H741))</f>
        <v/>
      </c>
      <c r="X733" s="298" t="str">
        <f>IF(B733="", "", 'Lighting Inventory (Ref only)'!Q744)</f>
        <v/>
      </c>
      <c r="AA733" s="298" t="str">
        <f>IF(B733="", "",'Lighting Inventory (Ref only)'!R744/1000)</f>
        <v/>
      </c>
      <c r="AB733" s="298" t="str">
        <f>IF(B733="", "", Inventory!M741)</f>
        <v/>
      </c>
      <c r="AC733" s="298" t="str">
        <f>IF(B733="", "", 'Lighting Inventory (Ref only)'!T744)</f>
        <v/>
      </c>
      <c r="AD733" s="298" t="str">
        <f>IF(C733="", "", 'Lighting Inventory (Ref only)'!AA744)</f>
        <v/>
      </c>
      <c r="AE733" s="298" t="str">
        <f>IF(B733="", "", 'Lighting Inventory (Ref only)'!U744)</f>
        <v/>
      </c>
      <c r="AF733" s="298" t="str">
        <f>IF(B733="", "",'Lighting Inventory (Ref only)'!W744)</f>
        <v/>
      </c>
      <c r="AH733" s="298" t="str">
        <f>IF(B733="", "",'Lighting Inventory (Ref only)'!Z744)</f>
        <v/>
      </c>
      <c r="AI733" s="298" t="str">
        <f>IF(B733="", "", 'Lighting Inventory (Ref only)'!Y744)</f>
        <v/>
      </c>
      <c r="AJ733" s="298" t="str">
        <f>IF(C733="", "",'Lighting Inventory (Ref only)'!AB744)</f>
        <v/>
      </c>
      <c r="AK733" s="375" t="str">
        <f>IF(B733="", "", 'Lighting Inventory (Ref only)'!AG744)</f>
        <v/>
      </c>
      <c r="AL733" s="375" t="str">
        <f>IF(B733="", "", 'Lighting Inventory (Ref only)'!AD744)</f>
        <v/>
      </c>
      <c r="AM733" s="375" t="str">
        <f>IF(B733="", "", 'Lighting Inventory (Ref only)'!AE744)</f>
        <v/>
      </c>
      <c r="AN733" s="375" t="str">
        <f>IF(B733="", "", 'Lighting Inventory (Ref only)'!AF744)</f>
        <v/>
      </c>
      <c r="AO733" s="375" t="str">
        <f>IF(B733="", "", 'Lighting Inventory (Ref only)'!AG744)</f>
        <v/>
      </c>
    </row>
    <row r="734" spans="1:41">
      <c r="A734" s="298" t="str">
        <f>IF(G734="", "", Lookups!BF736)</f>
        <v/>
      </c>
      <c r="B734" s="298" t="str">
        <f>IF('Lighting Inventory (Ref only)'!Q745="", "", 'Lighting Inventory (Ref only)'!Q745)</f>
        <v/>
      </c>
      <c r="C734" s="298" t="str">
        <f>IF(A734="", "", 'Lighting Inventory (Ref only)'!AO745)</f>
        <v/>
      </c>
      <c r="D734" s="298" t="str">
        <f>IF(B734= "","", Inventory!S742)</f>
        <v/>
      </c>
      <c r="F734" s="298" t="str">
        <f>IF(B734="", "", 'Version Log'!$B$34)</f>
        <v/>
      </c>
      <c r="G734" s="298" t="str">
        <f t="shared" si="44"/>
        <v/>
      </c>
      <c r="H734" s="298" t="str">
        <f t="shared" si="45"/>
        <v/>
      </c>
      <c r="I734" s="298" t="str">
        <f>IF(B734="", "",Inventory!D742)</f>
        <v/>
      </c>
      <c r="J734" s="298" t="str">
        <f>IF(B734="","",IF(Inventory!C742="N","Interior","Exterior"))</f>
        <v/>
      </c>
      <c r="K734" s="298" t="str">
        <f t="shared" si="46"/>
        <v/>
      </c>
      <c r="L734" s="298" t="str">
        <f>IF(B734="", "", Inventory!E742)</f>
        <v/>
      </c>
      <c r="M734" s="298" t="str">
        <f>IF(B734="","",IF(Cool_Type=Lookups!$L$9,Cool_Type,IF(Cool_Type=Lookups!$L$10,Cool_Type,IF(Cool_Type=Lookups!$L$11,Cool_Type,IF(Cool_Type=Lookups!L744,Cool_Type,IF('Project Info and Summary'!$C$20="Electric",CONCATENATE(Cool_Type," ",Heating_Type," Heat"),IF('Project Info and Summary'!$C$20="Non-Electric",CONCATENATE(Cool_Type," ",Heating_Type," Heat"),CONCATENATE(Cool_Type," ",Heating_Type))))))))</f>
        <v/>
      </c>
      <c r="N734" s="298" t="str">
        <f t="shared" si="47"/>
        <v/>
      </c>
      <c r="O734" s="298" t="str">
        <f>IF(B734="", "", 'Lighting Inventory (Ref only)'!G745)</f>
        <v/>
      </c>
      <c r="P734" s="298" t="str">
        <f>IF(B734="", "", 'Lighting Inventory (Ref only)'!E745)</f>
        <v/>
      </c>
      <c r="Q734" s="298" t="str">
        <f>IF(B734="", "", 'Lighting Inventory (Ref only)'!J745)</f>
        <v/>
      </c>
      <c r="R734" s="298" t="str">
        <f>IF(B734="", "",'Lighting Inventory (Ref only)'!K745)</f>
        <v/>
      </c>
      <c r="S734" s="372" t="str">
        <f>IF(B734="", "", 'Lighting Inventory (Ref only)'!G745*'Lighting Inventory (Ref only)'!K745/1000)</f>
        <v/>
      </c>
      <c r="T734" s="298" t="str">
        <f>IF(B734="", "", IF('Lighting Inventory (Ref only)'!I745="", "Light Switch",Inventory!H742))</f>
        <v/>
      </c>
      <c r="X734" s="298" t="str">
        <f>IF(B734="", "", 'Lighting Inventory (Ref only)'!Q745)</f>
        <v/>
      </c>
      <c r="AA734" s="298" t="str">
        <f>IF(B734="", "",'Lighting Inventory (Ref only)'!R745/1000)</f>
        <v/>
      </c>
      <c r="AB734" s="298" t="str">
        <f>IF(B734="", "", Inventory!M742)</f>
        <v/>
      </c>
      <c r="AC734" s="298" t="str">
        <f>IF(B734="", "", 'Lighting Inventory (Ref only)'!T745)</f>
        <v/>
      </c>
      <c r="AD734" s="298" t="str">
        <f>IF(C734="", "", 'Lighting Inventory (Ref only)'!AA745)</f>
        <v/>
      </c>
      <c r="AE734" s="298" t="str">
        <f>IF(B734="", "", 'Lighting Inventory (Ref only)'!U745)</f>
        <v/>
      </c>
      <c r="AF734" s="298" t="str">
        <f>IF(B734="", "",'Lighting Inventory (Ref only)'!W745)</f>
        <v/>
      </c>
      <c r="AH734" s="298" t="str">
        <f>IF(B734="", "",'Lighting Inventory (Ref only)'!Z745)</f>
        <v/>
      </c>
      <c r="AI734" s="298" t="str">
        <f>IF(B734="", "", 'Lighting Inventory (Ref only)'!Y745)</f>
        <v/>
      </c>
      <c r="AJ734" s="298" t="str">
        <f>IF(C734="", "",'Lighting Inventory (Ref only)'!AB745)</f>
        <v/>
      </c>
      <c r="AK734" s="375" t="str">
        <f>IF(B734="", "", 'Lighting Inventory (Ref only)'!AG745)</f>
        <v/>
      </c>
      <c r="AL734" s="375" t="str">
        <f>IF(B734="", "", 'Lighting Inventory (Ref only)'!AD745)</f>
        <v/>
      </c>
      <c r="AM734" s="375" t="str">
        <f>IF(B734="", "", 'Lighting Inventory (Ref only)'!AE745)</f>
        <v/>
      </c>
      <c r="AN734" s="375" t="str">
        <f>IF(B734="", "", 'Lighting Inventory (Ref only)'!AF745)</f>
        <v/>
      </c>
      <c r="AO734" s="375" t="str">
        <f>IF(B734="", "", 'Lighting Inventory (Ref only)'!AG745)</f>
        <v/>
      </c>
    </row>
    <row r="735" spans="1:41">
      <c r="A735" s="298" t="str">
        <f>IF(G735="", "", Lookups!BF737)</f>
        <v/>
      </c>
      <c r="B735" s="298" t="str">
        <f>IF('Lighting Inventory (Ref only)'!Q746="", "", 'Lighting Inventory (Ref only)'!Q746)</f>
        <v/>
      </c>
      <c r="C735" s="298" t="str">
        <f>IF(A735="", "", 'Lighting Inventory (Ref only)'!AO746)</f>
        <v/>
      </c>
      <c r="D735" s="298" t="str">
        <f>IF(B735= "","", Inventory!S743)</f>
        <v/>
      </c>
      <c r="F735" s="298" t="str">
        <f>IF(B735="", "", 'Version Log'!$B$34)</f>
        <v/>
      </c>
      <c r="G735" s="298" t="str">
        <f t="shared" si="44"/>
        <v/>
      </c>
      <c r="H735" s="298" t="str">
        <f t="shared" si="45"/>
        <v/>
      </c>
      <c r="I735" s="298" t="str">
        <f>IF(B735="", "",Inventory!D743)</f>
        <v/>
      </c>
      <c r="J735" s="298" t="str">
        <f>IF(B735="","",IF(Inventory!C743="N","Interior","Exterior"))</f>
        <v/>
      </c>
      <c r="K735" s="298" t="str">
        <f t="shared" si="46"/>
        <v/>
      </c>
      <c r="L735" s="298" t="str">
        <f>IF(B735="", "", Inventory!E743)</f>
        <v/>
      </c>
      <c r="M735" s="298" t="str">
        <f>IF(B735="","",IF(Cool_Type=Lookups!$L$9,Cool_Type,IF(Cool_Type=Lookups!$L$10,Cool_Type,IF(Cool_Type=Lookups!$L$11,Cool_Type,IF(Cool_Type=Lookups!L745,Cool_Type,IF('Project Info and Summary'!$C$20="Electric",CONCATENATE(Cool_Type," ",Heating_Type," Heat"),IF('Project Info and Summary'!$C$20="Non-Electric",CONCATENATE(Cool_Type," ",Heating_Type," Heat"),CONCATENATE(Cool_Type," ",Heating_Type))))))))</f>
        <v/>
      </c>
      <c r="N735" s="298" t="str">
        <f t="shared" si="47"/>
        <v/>
      </c>
      <c r="O735" s="298" t="str">
        <f>IF(B735="", "", 'Lighting Inventory (Ref only)'!G746)</f>
        <v/>
      </c>
      <c r="P735" s="298" t="str">
        <f>IF(B735="", "", 'Lighting Inventory (Ref only)'!E746)</f>
        <v/>
      </c>
      <c r="Q735" s="298" t="str">
        <f>IF(B735="", "", 'Lighting Inventory (Ref only)'!J746)</f>
        <v/>
      </c>
      <c r="R735" s="298" t="str">
        <f>IF(B735="", "",'Lighting Inventory (Ref only)'!K746)</f>
        <v/>
      </c>
      <c r="S735" s="372" t="str">
        <f>IF(B735="", "", 'Lighting Inventory (Ref only)'!G746*'Lighting Inventory (Ref only)'!K746/1000)</f>
        <v/>
      </c>
      <c r="T735" s="298" t="str">
        <f>IF(B735="", "", IF('Lighting Inventory (Ref only)'!I746="", "Light Switch",Inventory!H743))</f>
        <v/>
      </c>
      <c r="X735" s="298" t="str">
        <f>IF(B735="", "", 'Lighting Inventory (Ref only)'!Q746)</f>
        <v/>
      </c>
      <c r="AA735" s="298" t="str">
        <f>IF(B735="", "",'Lighting Inventory (Ref only)'!R746/1000)</f>
        <v/>
      </c>
      <c r="AB735" s="298" t="str">
        <f>IF(B735="", "", Inventory!M743)</f>
        <v/>
      </c>
      <c r="AC735" s="298" t="str">
        <f>IF(B735="", "", 'Lighting Inventory (Ref only)'!T746)</f>
        <v/>
      </c>
      <c r="AD735" s="298" t="str">
        <f>IF(C735="", "", 'Lighting Inventory (Ref only)'!AA746)</f>
        <v/>
      </c>
      <c r="AE735" s="298" t="str">
        <f>IF(B735="", "", 'Lighting Inventory (Ref only)'!U746)</f>
        <v/>
      </c>
      <c r="AF735" s="298" t="str">
        <f>IF(B735="", "",'Lighting Inventory (Ref only)'!W746)</f>
        <v/>
      </c>
      <c r="AH735" s="298" t="str">
        <f>IF(B735="", "",'Lighting Inventory (Ref only)'!Z746)</f>
        <v/>
      </c>
      <c r="AI735" s="298" t="str">
        <f>IF(B735="", "", 'Lighting Inventory (Ref only)'!Y746)</f>
        <v/>
      </c>
      <c r="AJ735" s="298" t="str">
        <f>IF(C735="", "",'Lighting Inventory (Ref only)'!AB746)</f>
        <v/>
      </c>
      <c r="AK735" s="375" t="str">
        <f>IF(B735="", "", 'Lighting Inventory (Ref only)'!AG746)</f>
        <v/>
      </c>
      <c r="AL735" s="375" t="str">
        <f>IF(B735="", "", 'Lighting Inventory (Ref only)'!AD746)</f>
        <v/>
      </c>
      <c r="AM735" s="375" t="str">
        <f>IF(B735="", "", 'Lighting Inventory (Ref only)'!AE746)</f>
        <v/>
      </c>
      <c r="AN735" s="375" t="str">
        <f>IF(B735="", "", 'Lighting Inventory (Ref only)'!AF746)</f>
        <v/>
      </c>
      <c r="AO735" s="375" t="str">
        <f>IF(B735="", "", 'Lighting Inventory (Ref only)'!AG746)</f>
        <v/>
      </c>
    </row>
    <row r="736" spans="1:41">
      <c r="A736" s="298" t="str">
        <f>IF(G736="", "", Lookups!BF738)</f>
        <v/>
      </c>
      <c r="B736" s="298" t="str">
        <f>IF('Lighting Inventory (Ref only)'!Q747="", "", 'Lighting Inventory (Ref only)'!Q747)</f>
        <v/>
      </c>
      <c r="C736" s="298" t="str">
        <f>IF(A736="", "", 'Lighting Inventory (Ref only)'!AO747)</f>
        <v/>
      </c>
      <c r="D736" s="298" t="str">
        <f>IF(B736= "","", Inventory!S744)</f>
        <v/>
      </c>
      <c r="F736" s="298" t="str">
        <f>IF(B736="", "", 'Version Log'!$B$34)</f>
        <v/>
      </c>
      <c r="G736" s="298" t="str">
        <f t="shared" si="44"/>
        <v/>
      </c>
      <c r="H736" s="298" t="str">
        <f t="shared" si="45"/>
        <v/>
      </c>
      <c r="I736" s="298" t="str">
        <f>IF(B736="", "",Inventory!D744)</f>
        <v/>
      </c>
      <c r="J736" s="298" t="str">
        <f>IF(B736="","",IF(Inventory!C744="N","Interior","Exterior"))</f>
        <v/>
      </c>
      <c r="K736" s="298" t="str">
        <f t="shared" si="46"/>
        <v/>
      </c>
      <c r="L736" s="298" t="str">
        <f>IF(B736="", "", Inventory!E744)</f>
        <v/>
      </c>
      <c r="M736" s="298" t="str">
        <f>IF(B736="","",IF(Cool_Type=Lookups!$L$9,Cool_Type,IF(Cool_Type=Lookups!$L$10,Cool_Type,IF(Cool_Type=Lookups!$L$11,Cool_Type,IF(Cool_Type=Lookups!L746,Cool_Type,IF('Project Info and Summary'!$C$20="Electric",CONCATENATE(Cool_Type," ",Heating_Type," Heat"),IF('Project Info and Summary'!$C$20="Non-Electric",CONCATENATE(Cool_Type," ",Heating_Type," Heat"),CONCATENATE(Cool_Type," ",Heating_Type))))))))</f>
        <v/>
      </c>
      <c r="N736" s="298" t="str">
        <f t="shared" si="47"/>
        <v/>
      </c>
      <c r="O736" s="298" t="str">
        <f>IF(B736="", "", 'Lighting Inventory (Ref only)'!G747)</f>
        <v/>
      </c>
      <c r="P736" s="298" t="str">
        <f>IF(B736="", "", 'Lighting Inventory (Ref only)'!E747)</f>
        <v/>
      </c>
      <c r="Q736" s="298" t="str">
        <f>IF(B736="", "", 'Lighting Inventory (Ref only)'!J747)</f>
        <v/>
      </c>
      <c r="R736" s="298" t="str">
        <f>IF(B736="", "",'Lighting Inventory (Ref only)'!K747)</f>
        <v/>
      </c>
      <c r="S736" s="372" t="str">
        <f>IF(B736="", "", 'Lighting Inventory (Ref only)'!G747*'Lighting Inventory (Ref only)'!K747/1000)</f>
        <v/>
      </c>
      <c r="T736" s="298" t="str">
        <f>IF(B736="", "", IF('Lighting Inventory (Ref only)'!I747="", "Light Switch",Inventory!H744))</f>
        <v/>
      </c>
      <c r="X736" s="298" t="str">
        <f>IF(B736="", "", 'Lighting Inventory (Ref only)'!Q747)</f>
        <v/>
      </c>
      <c r="AA736" s="298" t="str">
        <f>IF(B736="", "",'Lighting Inventory (Ref only)'!R747/1000)</f>
        <v/>
      </c>
      <c r="AB736" s="298" t="str">
        <f>IF(B736="", "", Inventory!M744)</f>
        <v/>
      </c>
      <c r="AC736" s="298" t="str">
        <f>IF(B736="", "", 'Lighting Inventory (Ref only)'!T747)</f>
        <v/>
      </c>
      <c r="AD736" s="298" t="str">
        <f>IF(C736="", "", 'Lighting Inventory (Ref only)'!AA747)</f>
        <v/>
      </c>
      <c r="AE736" s="298" t="str">
        <f>IF(B736="", "", 'Lighting Inventory (Ref only)'!U747)</f>
        <v/>
      </c>
      <c r="AF736" s="298" t="str">
        <f>IF(B736="", "",'Lighting Inventory (Ref only)'!W747)</f>
        <v/>
      </c>
      <c r="AH736" s="298" t="str">
        <f>IF(B736="", "",'Lighting Inventory (Ref only)'!Z747)</f>
        <v/>
      </c>
      <c r="AI736" s="298" t="str">
        <f>IF(B736="", "", 'Lighting Inventory (Ref only)'!Y747)</f>
        <v/>
      </c>
      <c r="AJ736" s="298" t="str">
        <f>IF(C736="", "",'Lighting Inventory (Ref only)'!AB747)</f>
        <v/>
      </c>
      <c r="AK736" s="375" t="str">
        <f>IF(B736="", "", 'Lighting Inventory (Ref only)'!AG747)</f>
        <v/>
      </c>
      <c r="AL736" s="375" t="str">
        <f>IF(B736="", "", 'Lighting Inventory (Ref only)'!AD747)</f>
        <v/>
      </c>
      <c r="AM736" s="375" t="str">
        <f>IF(B736="", "", 'Lighting Inventory (Ref only)'!AE747)</f>
        <v/>
      </c>
      <c r="AN736" s="375" t="str">
        <f>IF(B736="", "", 'Lighting Inventory (Ref only)'!AF747)</f>
        <v/>
      </c>
      <c r="AO736" s="375" t="str">
        <f>IF(B736="", "", 'Lighting Inventory (Ref only)'!AG747)</f>
        <v/>
      </c>
    </row>
    <row r="737" spans="1:41">
      <c r="A737" s="298" t="str">
        <f>IF(G737="", "", Lookups!BF739)</f>
        <v/>
      </c>
      <c r="B737" s="298" t="str">
        <f>IF('Lighting Inventory (Ref only)'!Q748="", "", 'Lighting Inventory (Ref only)'!Q748)</f>
        <v/>
      </c>
      <c r="C737" s="298" t="str">
        <f>IF(A737="", "", 'Lighting Inventory (Ref only)'!AO748)</f>
        <v/>
      </c>
      <c r="D737" s="298" t="str">
        <f>IF(B737= "","", Inventory!S745)</f>
        <v/>
      </c>
      <c r="F737" s="298" t="str">
        <f>IF(B737="", "", 'Version Log'!$B$34)</f>
        <v/>
      </c>
      <c r="G737" s="298" t="str">
        <f t="shared" si="44"/>
        <v/>
      </c>
      <c r="H737" s="298" t="str">
        <f t="shared" si="45"/>
        <v/>
      </c>
      <c r="I737" s="298" t="str">
        <f>IF(B737="", "",Inventory!D745)</f>
        <v/>
      </c>
      <c r="J737" s="298" t="str">
        <f>IF(B737="","",IF(Inventory!C745="N","Interior","Exterior"))</f>
        <v/>
      </c>
      <c r="K737" s="298" t="str">
        <f t="shared" si="46"/>
        <v/>
      </c>
      <c r="L737" s="298" t="str">
        <f>IF(B737="", "", Inventory!E745)</f>
        <v/>
      </c>
      <c r="M737" s="298" t="str">
        <f>IF(B737="","",IF(Cool_Type=Lookups!$L$9,Cool_Type,IF(Cool_Type=Lookups!$L$10,Cool_Type,IF(Cool_Type=Lookups!$L$11,Cool_Type,IF(Cool_Type=Lookups!L747,Cool_Type,IF('Project Info and Summary'!$C$20="Electric",CONCATENATE(Cool_Type," ",Heating_Type," Heat"),IF('Project Info and Summary'!$C$20="Non-Electric",CONCATENATE(Cool_Type," ",Heating_Type," Heat"),CONCATENATE(Cool_Type," ",Heating_Type))))))))</f>
        <v/>
      </c>
      <c r="N737" s="298" t="str">
        <f t="shared" si="47"/>
        <v/>
      </c>
      <c r="O737" s="298" t="str">
        <f>IF(B737="", "", 'Lighting Inventory (Ref only)'!G748)</f>
        <v/>
      </c>
      <c r="P737" s="298" t="str">
        <f>IF(B737="", "", 'Lighting Inventory (Ref only)'!E748)</f>
        <v/>
      </c>
      <c r="Q737" s="298" t="str">
        <f>IF(B737="", "", 'Lighting Inventory (Ref only)'!J748)</f>
        <v/>
      </c>
      <c r="R737" s="298" t="str">
        <f>IF(B737="", "",'Lighting Inventory (Ref only)'!K748)</f>
        <v/>
      </c>
      <c r="S737" s="372" t="str">
        <f>IF(B737="", "", 'Lighting Inventory (Ref only)'!G748*'Lighting Inventory (Ref only)'!K748/1000)</f>
        <v/>
      </c>
      <c r="T737" s="298" t="str">
        <f>IF(B737="", "", IF('Lighting Inventory (Ref only)'!I748="", "Light Switch",Inventory!H745))</f>
        <v/>
      </c>
      <c r="X737" s="298" t="str">
        <f>IF(B737="", "", 'Lighting Inventory (Ref only)'!Q748)</f>
        <v/>
      </c>
      <c r="AA737" s="298" t="str">
        <f>IF(B737="", "",'Lighting Inventory (Ref only)'!R748/1000)</f>
        <v/>
      </c>
      <c r="AB737" s="298" t="str">
        <f>IF(B737="", "", Inventory!M745)</f>
        <v/>
      </c>
      <c r="AC737" s="298" t="str">
        <f>IF(B737="", "", 'Lighting Inventory (Ref only)'!T748)</f>
        <v/>
      </c>
      <c r="AD737" s="298" t="str">
        <f>IF(C737="", "", 'Lighting Inventory (Ref only)'!AA748)</f>
        <v/>
      </c>
      <c r="AE737" s="298" t="str">
        <f>IF(B737="", "", 'Lighting Inventory (Ref only)'!U748)</f>
        <v/>
      </c>
      <c r="AF737" s="298" t="str">
        <f>IF(B737="", "",'Lighting Inventory (Ref only)'!W748)</f>
        <v/>
      </c>
      <c r="AH737" s="298" t="str">
        <f>IF(B737="", "",'Lighting Inventory (Ref only)'!Z748)</f>
        <v/>
      </c>
      <c r="AI737" s="298" t="str">
        <f>IF(B737="", "", 'Lighting Inventory (Ref only)'!Y748)</f>
        <v/>
      </c>
      <c r="AJ737" s="298" t="str">
        <f>IF(C737="", "",'Lighting Inventory (Ref only)'!AB748)</f>
        <v/>
      </c>
      <c r="AK737" s="375" t="str">
        <f>IF(B737="", "", 'Lighting Inventory (Ref only)'!AG748)</f>
        <v/>
      </c>
      <c r="AL737" s="375" t="str">
        <f>IF(B737="", "", 'Lighting Inventory (Ref only)'!AD748)</f>
        <v/>
      </c>
      <c r="AM737" s="375" t="str">
        <f>IF(B737="", "", 'Lighting Inventory (Ref only)'!AE748)</f>
        <v/>
      </c>
      <c r="AN737" s="375" t="str">
        <f>IF(B737="", "", 'Lighting Inventory (Ref only)'!AF748)</f>
        <v/>
      </c>
      <c r="AO737" s="375" t="str">
        <f>IF(B737="", "", 'Lighting Inventory (Ref only)'!AG748)</f>
        <v/>
      </c>
    </row>
    <row r="738" spans="1:41">
      <c r="A738" s="298" t="str">
        <f>IF(G738="", "", Lookups!BF740)</f>
        <v/>
      </c>
      <c r="B738" s="298" t="str">
        <f>IF('Lighting Inventory (Ref only)'!Q749="", "", 'Lighting Inventory (Ref only)'!Q749)</f>
        <v/>
      </c>
      <c r="C738" s="298" t="str">
        <f>IF(A738="", "", 'Lighting Inventory (Ref only)'!AO749)</f>
        <v/>
      </c>
      <c r="D738" s="298" t="str">
        <f>IF(B738= "","", Inventory!S746)</f>
        <v/>
      </c>
      <c r="F738" s="298" t="str">
        <f>IF(B738="", "", 'Version Log'!$B$34)</f>
        <v/>
      </c>
      <c r="G738" s="298" t="str">
        <f t="shared" si="44"/>
        <v/>
      </c>
      <c r="H738" s="298" t="str">
        <f t="shared" si="45"/>
        <v/>
      </c>
      <c r="I738" s="298" t="str">
        <f>IF(B738="", "",Inventory!D746)</f>
        <v/>
      </c>
      <c r="J738" s="298" t="str">
        <f>IF(B738="","",IF(Inventory!C746="N","Interior","Exterior"))</f>
        <v/>
      </c>
      <c r="K738" s="298" t="str">
        <f t="shared" si="46"/>
        <v/>
      </c>
      <c r="L738" s="298" t="str">
        <f>IF(B738="", "", Inventory!E746)</f>
        <v/>
      </c>
      <c r="M738" s="298" t="str">
        <f>IF(B738="","",IF(Cool_Type=Lookups!$L$9,Cool_Type,IF(Cool_Type=Lookups!$L$10,Cool_Type,IF(Cool_Type=Lookups!$L$11,Cool_Type,IF(Cool_Type=Lookups!L748,Cool_Type,IF('Project Info and Summary'!$C$20="Electric",CONCATENATE(Cool_Type," ",Heating_Type," Heat"),IF('Project Info and Summary'!$C$20="Non-Electric",CONCATENATE(Cool_Type," ",Heating_Type," Heat"),CONCATENATE(Cool_Type," ",Heating_Type))))))))</f>
        <v/>
      </c>
      <c r="N738" s="298" t="str">
        <f t="shared" si="47"/>
        <v/>
      </c>
      <c r="O738" s="298" t="str">
        <f>IF(B738="", "", 'Lighting Inventory (Ref only)'!G749)</f>
        <v/>
      </c>
      <c r="P738" s="298" t="str">
        <f>IF(B738="", "", 'Lighting Inventory (Ref only)'!E749)</f>
        <v/>
      </c>
      <c r="Q738" s="298" t="str">
        <f>IF(B738="", "", 'Lighting Inventory (Ref only)'!J749)</f>
        <v/>
      </c>
      <c r="R738" s="298" t="str">
        <f>IF(B738="", "",'Lighting Inventory (Ref only)'!K749)</f>
        <v/>
      </c>
      <c r="S738" s="372" t="str">
        <f>IF(B738="", "", 'Lighting Inventory (Ref only)'!G749*'Lighting Inventory (Ref only)'!K749/1000)</f>
        <v/>
      </c>
      <c r="T738" s="298" t="str">
        <f>IF(B738="", "", IF('Lighting Inventory (Ref only)'!I749="", "Light Switch",Inventory!H746))</f>
        <v/>
      </c>
      <c r="X738" s="298" t="str">
        <f>IF(B738="", "", 'Lighting Inventory (Ref only)'!Q749)</f>
        <v/>
      </c>
      <c r="AA738" s="298" t="str">
        <f>IF(B738="", "",'Lighting Inventory (Ref only)'!R749/1000)</f>
        <v/>
      </c>
      <c r="AB738" s="298" t="str">
        <f>IF(B738="", "", Inventory!M746)</f>
        <v/>
      </c>
      <c r="AC738" s="298" t="str">
        <f>IF(B738="", "", 'Lighting Inventory (Ref only)'!T749)</f>
        <v/>
      </c>
      <c r="AD738" s="298" t="str">
        <f>IF(C738="", "", 'Lighting Inventory (Ref only)'!AA749)</f>
        <v/>
      </c>
      <c r="AE738" s="298" t="str">
        <f>IF(B738="", "", 'Lighting Inventory (Ref only)'!U749)</f>
        <v/>
      </c>
      <c r="AF738" s="298" t="str">
        <f>IF(B738="", "",'Lighting Inventory (Ref only)'!W749)</f>
        <v/>
      </c>
      <c r="AH738" s="298" t="str">
        <f>IF(B738="", "",'Lighting Inventory (Ref only)'!Z749)</f>
        <v/>
      </c>
      <c r="AI738" s="298" t="str">
        <f>IF(B738="", "", 'Lighting Inventory (Ref only)'!Y749)</f>
        <v/>
      </c>
      <c r="AJ738" s="298" t="str">
        <f>IF(C738="", "",'Lighting Inventory (Ref only)'!AB749)</f>
        <v/>
      </c>
      <c r="AK738" s="375" t="str">
        <f>IF(B738="", "", 'Lighting Inventory (Ref only)'!AG749)</f>
        <v/>
      </c>
      <c r="AL738" s="375" t="str">
        <f>IF(B738="", "", 'Lighting Inventory (Ref only)'!AD749)</f>
        <v/>
      </c>
      <c r="AM738" s="375" t="str">
        <f>IF(B738="", "", 'Lighting Inventory (Ref only)'!AE749)</f>
        <v/>
      </c>
      <c r="AN738" s="375" t="str">
        <f>IF(B738="", "", 'Lighting Inventory (Ref only)'!AF749)</f>
        <v/>
      </c>
      <c r="AO738" s="375" t="str">
        <f>IF(B738="", "", 'Lighting Inventory (Ref only)'!AG749)</f>
        <v/>
      </c>
    </row>
    <row r="739" spans="1:41">
      <c r="A739" s="298" t="str">
        <f>IF(G739="", "", Lookups!BF741)</f>
        <v/>
      </c>
      <c r="B739" s="298" t="str">
        <f>IF('Lighting Inventory (Ref only)'!Q750="", "", 'Lighting Inventory (Ref only)'!Q750)</f>
        <v/>
      </c>
      <c r="C739" s="298" t="str">
        <f>IF(A739="", "", 'Lighting Inventory (Ref only)'!AO750)</f>
        <v/>
      </c>
      <c r="D739" s="298" t="str">
        <f>IF(B739= "","", Inventory!S747)</f>
        <v/>
      </c>
      <c r="F739" s="298" t="str">
        <f>IF(B739="", "", 'Version Log'!$B$34)</f>
        <v/>
      </c>
      <c r="G739" s="298" t="str">
        <f t="shared" si="44"/>
        <v/>
      </c>
      <c r="H739" s="298" t="str">
        <f t="shared" si="45"/>
        <v/>
      </c>
      <c r="I739" s="298" t="str">
        <f>IF(B739="", "",Inventory!D747)</f>
        <v/>
      </c>
      <c r="J739" s="298" t="str">
        <f>IF(B739="","",IF(Inventory!C747="N","Interior","Exterior"))</f>
        <v/>
      </c>
      <c r="K739" s="298" t="str">
        <f t="shared" si="46"/>
        <v/>
      </c>
      <c r="L739" s="298" t="str">
        <f>IF(B739="", "", Inventory!E747)</f>
        <v/>
      </c>
      <c r="M739" s="298" t="str">
        <f>IF(B739="","",IF(Cool_Type=Lookups!$L$9,Cool_Type,IF(Cool_Type=Lookups!$L$10,Cool_Type,IF(Cool_Type=Lookups!$L$11,Cool_Type,IF(Cool_Type=Lookups!L749,Cool_Type,IF('Project Info and Summary'!$C$20="Electric",CONCATENATE(Cool_Type," ",Heating_Type," Heat"),IF('Project Info and Summary'!$C$20="Non-Electric",CONCATENATE(Cool_Type," ",Heating_Type," Heat"),CONCATENATE(Cool_Type," ",Heating_Type))))))))</f>
        <v/>
      </c>
      <c r="N739" s="298" t="str">
        <f t="shared" si="47"/>
        <v/>
      </c>
      <c r="O739" s="298" t="str">
        <f>IF(B739="", "", 'Lighting Inventory (Ref only)'!G750)</f>
        <v/>
      </c>
      <c r="P739" s="298" t="str">
        <f>IF(B739="", "", 'Lighting Inventory (Ref only)'!E750)</f>
        <v/>
      </c>
      <c r="Q739" s="298" t="str">
        <f>IF(B739="", "", 'Lighting Inventory (Ref only)'!J750)</f>
        <v/>
      </c>
      <c r="R739" s="298" t="str">
        <f>IF(B739="", "",'Lighting Inventory (Ref only)'!K750)</f>
        <v/>
      </c>
      <c r="S739" s="372" t="str">
        <f>IF(B739="", "", 'Lighting Inventory (Ref only)'!G750*'Lighting Inventory (Ref only)'!K750/1000)</f>
        <v/>
      </c>
      <c r="T739" s="298" t="str">
        <f>IF(B739="", "", IF('Lighting Inventory (Ref only)'!I750="", "Light Switch",Inventory!H747))</f>
        <v/>
      </c>
      <c r="X739" s="298" t="str">
        <f>IF(B739="", "", 'Lighting Inventory (Ref only)'!Q750)</f>
        <v/>
      </c>
      <c r="AA739" s="298" t="str">
        <f>IF(B739="", "",'Lighting Inventory (Ref only)'!R750/1000)</f>
        <v/>
      </c>
      <c r="AB739" s="298" t="str">
        <f>IF(B739="", "", Inventory!M747)</f>
        <v/>
      </c>
      <c r="AC739" s="298" t="str">
        <f>IF(B739="", "", 'Lighting Inventory (Ref only)'!T750)</f>
        <v/>
      </c>
      <c r="AD739" s="298" t="str">
        <f>IF(C739="", "", 'Lighting Inventory (Ref only)'!AA750)</f>
        <v/>
      </c>
      <c r="AE739" s="298" t="str">
        <f>IF(B739="", "", 'Lighting Inventory (Ref only)'!U750)</f>
        <v/>
      </c>
      <c r="AF739" s="298" t="str">
        <f>IF(B739="", "",'Lighting Inventory (Ref only)'!W750)</f>
        <v/>
      </c>
      <c r="AH739" s="298" t="str">
        <f>IF(B739="", "",'Lighting Inventory (Ref only)'!Z750)</f>
        <v/>
      </c>
      <c r="AI739" s="298" t="str">
        <f>IF(B739="", "", 'Lighting Inventory (Ref only)'!Y750)</f>
        <v/>
      </c>
      <c r="AJ739" s="298" t="str">
        <f>IF(C739="", "",'Lighting Inventory (Ref only)'!AB750)</f>
        <v/>
      </c>
      <c r="AK739" s="375" t="str">
        <f>IF(B739="", "", 'Lighting Inventory (Ref only)'!AG750)</f>
        <v/>
      </c>
      <c r="AL739" s="375" t="str">
        <f>IF(B739="", "", 'Lighting Inventory (Ref only)'!AD750)</f>
        <v/>
      </c>
      <c r="AM739" s="375" t="str">
        <f>IF(B739="", "", 'Lighting Inventory (Ref only)'!AE750)</f>
        <v/>
      </c>
      <c r="AN739" s="375" t="str">
        <f>IF(B739="", "", 'Lighting Inventory (Ref only)'!AF750)</f>
        <v/>
      </c>
      <c r="AO739" s="375" t="str">
        <f>IF(B739="", "", 'Lighting Inventory (Ref only)'!AG750)</f>
        <v/>
      </c>
    </row>
    <row r="740" spans="1:41">
      <c r="A740" s="298" t="str">
        <f>IF(G740="", "", Lookups!BF742)</f>
        <v/>
      </c>
      <c r="B740" s="298" t="str">
        <f>IF('Lighting Inventory (Ref only)'!Q751="", "", 'Lighting Inventory (Ref only)'!Q751)</f>
        <v/>
      </c>
      <c r="C740" s="298" t="str">
        <f>IF(A740="", "", 'Lighting Inventory (Ref only)'!AO751)</f>
        <v/>
      </c>
      <c r="D740" s="298" t="str">
        <f>IF(B740= "","", Inventory!S748)</f>
        <v/>
      </c>
      <c r="F740" s="298" t="str">
        <f>IF(B740="", "", 'Version Log'!$B$34)</f>
        <v/>
      </c>
      <c r="G740" s="298" t="str">
        <f t="shared" si="44"/>
        <v/>
      </c>
      <c r="H740" s="298" t="str">
        <f t="shared" si="45"/>
        <v/>
      </c>
      <c r="I740" s="298" t="str">
        <f>IF(B740="", "",Inventory!D748)</f>
        <v/>
      </c>
      <c r="J740" s="298" t="str">
        <f>IF(B740="","",IF(Inventory!C748="N","Interior","Exterior"))</f>
        <v/>
      </c>
      <c r="K740" s="298" t="str">
        <f t="shared" si="46"/>
        <v/>
      </c>
      <c r="L740" s="298" t="str">
        <f>IF(B740="", "", Inventory!E748)</f>
        <v/>
      </c>
      <c r="M740" s="298" t="str">
        <f>IF(B740="","",IF(Cool_Type=Lookups!$L$9,Cool_Type,IF(Cool_Type=Lookups!$L$10,Cool_Type,IF(Cool_Type=Lookups!$L$11,Cool_Type,IF(Cool_Type=Lookups!L750,Cool_Type,IF('Project Info and Summary'!$C$20="Electric",CONCATENATE(Cool_Type," ",Heating_Type," Heat"),IF('Project Info and Summary'!$C$20="Non-Electric",CONCATENATE(Cool_Type," ",Heating_Type," Heat"),CONCATENATE(Cool_Type," ",Heating_Type))))))))</f>
        <v/>
      </c>
      <c r="N740" s="298" t="str">
        <f t="shared" si="47"/>
        <v/>
      </c>
      <c r="O740" s="298" t="str">
        <f>IF(B740="", "", 'Lighting Inventory (Ref only)'!G751)</f>
        <v/>
      </c>
      <c r="P740" s="298" t="str">
        <f>IF(B740="", "", 'Lighting Inventory (Ref only)'!E751)</f>
        <v/>
      </c>
      <c r="Q740" s="298" t="str">
        <f>IF(B740="", "", 'Lighting Inventory (Ref only)'!J751)</f>
        <v/>
      </c>
      <c r="R740" s="298" t="str">
        <f>IF(B740="", "",'Lighting Inventory (Ref only)'!K751)</f>
        <v/>
      </c>
      <c r="S740" s="372" t="str">
        <f>IF(B740="", "", 'Lighting Inventory (Ref only)'!G751*'Lighting Inventory (Ref only)'!K751/1000)</f>
        <v/>
      </c>
      <c r="T740" s="298" t="str">
        <f>IF(B740="", "", IF('Lighting Inventory (Ref only)'!I751="", "Light Switch",Inventory!H748))</f>
        <v/>
      </c>
      <c r="X740" s="298" t="str">
        <f>IF(B740="", "", 'Lighting Inventory (Ref only)'!Q751)</f>
        <v/>
      </c>
      <c r="AA740" s="298" t="str">
        <f>IF(B740="", "",'Lighting Inventory (Ref only)'!R751/1000)</f>
        <v/>
      </c>
      <c r="AB740" s="298" t="str">
        <f>IF(B740="", "", Inventory!M748)</f>
        <v/>
      </c>
      <c r="AC740" s="298" t="str">
        <f>IF(B740="", "", 'Lighting Inventory (Ref only)'!T751)</f>
        <v/>
      </c>
      <c r="AD740" s="298" t="str">
        <f>IF(C740="", "", 'Lighting Inventory (Ref only)'!AA751)</f>
        <v/>
      </c>
      <c r="AE740" s="298" t="str">
        <f>IF(B740="", "", 'Lighting Inventory (Ref only)'!U751)</f>
        <v/>
      </c>
      <c r="AF740" s="298" t="str">
        <f>IF(B740="", "",'Lighting Inventory (Ref only)'!W751)</f>
        <v/>
      </c>
      <c r="AH740" s="298" t="str">
        <f>IF(B740="", "",'Lighting Inventory (Ref only)'!Z751)</f>
        <v/>
      </c>
      <c r="AI740" s="298" t="str">
        <f>IF(B740="", "", 'Lighting Inventory (Ref only)'!Y751)</f>
        <v/>
      </c>
      <c r="AJ740" s="298" t="str">
        <f>IF(C740="", "",'Lighting Inventory (Ref only)'!AB751)</f>
        <v/>
      </c>
      <c r="AK740" s="375" t="str">
        <f>IF(B740="", "", 'Lighting Inventory (Ref only)'!AG751)</f>
        <v/>
      </c>
      <c r="AL740" s="375" t="str">
        <f>IF(B740="", "", 'Lighting Inventory (Ref only)'!AD751)</f>
        <v/>
      </c>
      <c r="AM740" s="375" t="str">
        <f>IF(B740="", "", 'Lighting Inventory (Ref only)'!AE751)</f>
        <v/>
      </c>
      <c r="AN740" s="375" t="str">
        <f>IF(B740="", "", 'Lighting Inventory (Ref only)'!AF751)</f>
        <v/>
      </c>
      <c r="AO740" s="375" t="str">
        <f>IF(B740="", "", 'Lighting Inventory (Ref only)'!AG751)</f>
        <v/>
      </c>
    </row>
    <row r="741" spans="1:41">
      <c r="A741" s="298" t="str">
        <f>IF(G741="", "", Lookups!BF743)</f>
        <v/>
      </c>
      <c r="B741" s="298" t="str">
        <f>IF('Lighting Inventory (Ref only)'!Q752="", "", 'Lighting Inventory (Ref only)'!Q752)</f>
        <v/>
      </c>
      <c r="C741" s="298" t="str">
        <f>IF(A741="", "", 'Lighting Inventory (Ref only)'!AO752)</f>
        <v/>
      </c>
      <c r="D741" s="298" t="str">
        <f>IF(B741= "","", Inventory!S749)</f>
        <v/>
      </c>
      <c r="F741" s="298" t="str">
        <f>IF(B741="", "", 'Version Log'!$B$34)</f>
        <v/>
      </c>
      <c r="G741" s="298" t="str">
        <f t="shared" si="44"/>
        <v/>
      </c>
      <c r="H741" s="298" t="str">
        <f t="shared" si="45"/>
        <v/>
      </c>
      <c r="I741" s="298" t="str">
        <f>IF(B741="", "",Inventory!D749)</f>
        <v/>
      </c>
      <c r="J741" s="298" t="str">
        <f>IF(B741="","",IF(Inventory!C749="N","Interior","Exterior"))</f>
        <v/>
      </c>
      <c r="K741" s="298" t="str">
        <f t="shared" si="46"/>
        <v/>
      </c>
      <c r="L741" s="298" t="str">
        <f>IF(B741="", "", Inventory!E749)</f>
        <v/>
      </c>
      <c r="M741" s="298" t="str">
        <f>IF(B741="","",IF(Cool_Type=Lookups!$L$9,Cool_Type,IF(Cool_Type=Lookups!$L$10,Cool_Type,IF(Cool_Type=Lookups!$L$11,Cool_Type,IF(Cool_Type=Lookups!L751,Cool_Type,IF('Project Info and Summary'!$C$20="Electric",CONCATENATE(Cool_Type," ",Heating_Type," Heat"),IF('Project Info and Summary'!$C$20="Non-Electric",CONCATENATE(Cool_Type," ",Heating_Type," Heat"),CONCATENATE(Cool_Type," ",Heating_Type))))))))</f>
        <v/>
      </c>
      <c r="N741" s="298" t="str">
        <f t="shared" si="47"/>
        <v/>
      </c>
      <c r="O741" s="298" t="str">
        <f>IF(B741="", "", 'Lighting Inventory (Ref only)'!G752)</f>
        <v/>
      </c>
      <c r="P741" s="298" t="str">
        <f>IF(B741="", "", 'Lighting Inventory (Ref only)'!E752)</f>
        <v/>
      </c>
      <c r="Q741" s="298" t="str">
        <f>IF(B741="", "", 'Lighting Inventory (Ref only)'!J752)</f>
        <v/>
      </c>
      <c r="R741" s="298" t="str">
        <f>IF(B741="", "",'Lighting Inventory (Ref only)'!K752)</f>
        <v/>
      </c>
      <c r="S741" s="372" t="str">
        <f>IF(B741="", "", 'Lighting Inventory (Ref only)'!G752*'Lighting Inventory (Ref only)'!K752/1000)</f>
        <v/>
      </c>
      <c r="T741" s="298" t="str">
        <f>IF(B741="", "", IF('Lighting Inventory (Ref only)'!I752="", "Light Switch",Inventory!H749))</f>
        <v/>
      </c>
      <c r="X741" s="298" t="str">
        <f>IF(B741="", "", 'Lighting Inventory (Ref only)'!Q752)</f>
        <v/>
      </c>
      <c r="AA741" s="298" t="str">
        <f>IF(B741="", "",'Lighting Inventory (Ref only)'!R752/1000)</f>
        <v/>
      </c>
      <c r="AB741" s="298" t="str">
        <f>IF(B741="", "", Inventory!M749)</f>
        <v/>
      </c>
      <c r="AC741" s="298" t="str">
        <f>IF(B741="", "", 'Lighting Inventory (Ref only)'!T752)</f>
        <v/>
      </c>
      <c r="AD741" s="298" t="str">
        <f>IF(C741="", "", 'Lighting Inventory (Ref only)'!AA752)</f>
        <v/>
      </c>
      <c r="AE741" s="298" t="str">
        <f>IF(B741="", "", 'Lighting Inventory (Ref only)'!U752)</f>
        <v/>
      </c>
      <c r="AF741" s="298" t="str">
        <f>IF(B741="", "",'Lighting Inventory (Ref only)'!W752)</f>
        <v/>
      </c>
      <c r="AH741" s="298" t="str">
        <f>IF(B741="", "",'Lighting Inventory (Ref only)'!Z752)</f>
        <v/>
      </c>
      <c r="AI741" s="298" t="str">
        <f>IF(B741="", "", 'Lighting Inventory (Ref only)'!Y752)</f>
        <v/>
      </c>
      <c r="AJ741" s="298" t="str">
        <f>IF(C741="", "",'Lighting Inventory (Ref only)'!AB752)</f>
        <v/>
      </c>
      <c r="AK741" s="375" t="str">
        <f>IF(B741="", "", 'Lighting Inventory (Ref only)'!AG752)</f>
        <v/>
      </c>
      <c r="AL741" s="375" t="str">
        <f>IF(B741="", "", 'Lighting Inventory (Ref only)'!AD752)</f>
        <v/>
      </c>
      <c r="AM741" s="375" t="str">
        <f>IF(B741="", "", 'Lighting Inventory (Ref only)'!AE752)</f>
        <v/>
      </c>
      <c r="AN741" s="375" t="str">
        <f>IF(B741="", "", 'Lighting Inventory (Ref only)'!AF752)</f>
        <v/>
      </c>
      <c r="AO741" s="375" t="str">
        <f>IF(B741="", "", 'Lighting Inventory (Ref only)'!AG752)</f>
        <v/>
      </c>
    </row>
    <row r="742" spans="1:41">
      <c r="A742" s="298" t="str">
        <f>IF(G742="", "", Lookups!BF744)</f>
        <v/>
      </c>
      <c r="B742" s="298" t="str">
        <f>IF('Lighting Inventory (Ref only)'!Q753="", "", 'Lighting Inventory (Ref only)'!Q753)</f>
        <v/>
      </c>
      <c r="C742" s="298" t="str">
        <f>IF(A742="", "", 'Lighting Inventory (Ref only)'!AO753)</f>
        <v/>
      </c>
      <c r="D742" s="298" t="str">
        <f>IF(B742= "","", Inventory!S750)</f>
        <v/>
      </c>
      <c r="F742" s="298" t="str">
        <f>IF(B742="", "", 'Version Log'!$B$34)</f>
        <v/>
      </c>
      <c r="G742" s="298" t="str">
        <f t="shared" si="44"/>
        <v/>
      </c>
      <c r="H742" s="298" t="str">
        <f t="shared" si="45"/>
        <v/>
      </c>
      <c r="I742" s="298" t="str">
        <f>IF(B742="", "",Inventory!D750)</f>
        <v/>
      </c>
      <c r="J742" s="298" t="str">
        <f>IF(B742="","",IF(Inventory!C750="N","Interior","Exterior"))</f>
        <v/>
      </c>
      <c r="K742" s="298" t="str">
        <f t="shared" si="46"/>
        <v/>
      </c>
      <c r="L742" s="298" t="str">
        <f>IF(B742="", "", Inventory!E750)</f>
        <v/>
      </c>
      <c r="M742" s="298" t="str">
        <f>IF(B742="","",IF(Cool_Type=Lookups!$L$9,Cool_Type,IF(Cool_Type=Lookups!$L$10,Cool_Type,IF(Cool_Type=Lookups!$L$11,Cool_Type,IF(Cool_Type=Lookups!L752,Cool_Type,IF('Project Info and Summary'!$C$20="Electric",CONCATENATE(Cool_Type," ",Heating_Type," Heat"),IF('Project Info and Summary'!$C$20="Non-Electric",CONCATENATE(Cool_Type," ",Heating_Type," Heat"),CONCATENATE(Cool_Type," ",Heating_Type))))))))</f>
        <v/>
      </c>
      <c r="N742" s="298" t="str">
        <f t="shared" si="47"/>
        <v/>
      </c>
      <c r="O742" s="298" t="str">
        <f>IF(B742="", "", 'Lighting Inventory (Ref only)'!G753)</f>
        <v/>
      </c>
      <c r="P742" s="298" t="str">
        <f>IF(B742="", "", 'Lighting Inventory (Ref only)'!E753)</f>
        <v/>
      </c>
      <c r="Q742" s="298" t="str">
        <f>IF(B742="", "", 'Lighting Inventory (Ref only)'!J753)</f>
        <v/>
      </c>
      <c r="R742" s="298" t="str">
        <f>IF(B742="", "",'Lighting Inventory (Ref only)'!K753)</f>
        <v/>
      </c>
      <c r="S742" s="372" t="str">
        <f>IF(B742="", "", 'Lighting Inventory (Ref only)'!G753*'Lighting Inventory (Ref only)'!K753/1000)</f>
        <v/>
      </c>
      <c r="T742" s="298" t="str">
        <f>IF(B742="", "", IF('Lighting Inventory (Ref only)'!I753="", "Light Switch",Inventory!H750))</f>
        <v/>
      </c>
      <c r="X742" s="298" t="str">
        <f>IF(B742="", "", 'Lighting Inventory (Ref only)'!Q753)</f>
        <v/>
      </c>
      <c r="AA742" s="298" t="str">
        <f>IF(B742="", "",'Lighting Inventory (Ref only)'!R753/1000)</f>
        <v/>
      </c>
      <c r="AB742" s="298" t="str">
        <f>IF(B742="", "", Inventory!M750)</f>
        <v/>
      </c>
      <c r="AC742" s="298" t="str">
        <f>IF(B742="", "", 'Lighting Inventory (Ref only)'!T753)</f>
        <v/>
      </c>
      <c r="AD742" s="298" t="str">
        <f>IF(C742="", "", 'Lighting Inventory (Ref only)'!AA753)</f>
        <v/>
      </c>
      <c r="AE742" s="298" t="str">
        <f>IF(B742="", "", 'Lighting Inventory (Ref only)'!U753)</f>
        <v/>
      </c>
      <c r="AF742" s="298" t="str">
        <f>IF(B742="", "",'Lighting Inventory (Ref only)'!W753)</f>
        <v/>
      </c>
      <c r="AH742" s="298" t="str">
        <f>IF(B742="", "",'Lighting Inventory (Ref only)'!Z753)</f>
        <v/>
      </c>
      <c r="AI742" s="298" t="str">
        <f>IF(B742="", "", 'Lighting Inventory (Ref only)'!Y753)</f>
        <v/>
      </c>
      <c r="AJ742" s="298" t="str">
        <f>IF(C742="", "",'Lighting Inventory (Ref only)'!AB753)</f>
        <v/>
      </c>
      <c r="AK742" s="375" t="str">
        <f>IF(B742="", "", 'Lighting Inventory (Ref only)'!AG753)</f>
        <v/>
      </c>
      <c r="AL742" s="375" t="str">
        <f>IF(B742="", "", 'Lighting Inventory (Ref only)'!AD753)</f>
        <v/>
      </c>
      <c r="AM742" s="375" t="str">
        <f>IF(B742="", "", 'Lighting Inventory (Ref only)'!AE753)</f>
        <v/>
      </c>
      <c r="AN742" s="375" t="str">
        <f>IF(B742="", "", 'Lighting Inventory (Ref only)'!AF753)</f>
        <v/>
      </c>
      <c r="AO742" s="375" t="str">
        <f>IF(B742="", "", 'Lighting Inventory (Ref only)'!AG753)</f>
        <v/>
      </c>
    </row>
    <row r="743" spans="1:41">
      <c r="A743" s="298" t="str">
        <f>IF(G743="", "", Lookups!BF745)</f>
        <v/>
      </c>
      <c r="B743" s="298" t="str">
        <f>IF('Lighting Inventory (Ref only)'!Q754="", "", 'Lighting Inventory (Ref only)'!Q754)</f>
        <v/>
      </c>
      <c r="C743" s="298" t="str">
        <f>IF(A743="", "", 'Lighting Inventory (Ref only)'!AO754)</f>
        <v/>
      </c>
      <c r="D743" s="298" t="str">
        <f>IF(B743= "","", Inventory!S751)</f>
        <v/>
      </c>
      <c r="F743" s="298" t="str">
        <f>IF(B743="", "", 'Version Log'!$B$34)</f>
        <v/>
      </c>
      <c r="G743" s="298" t="str">
        <f t="shared" si="44"/>
        <v/>
      </c>
      <c r="H743" s="298" t="str">
        <f t="shared" si="45"/>
        <v/>
      </c>
      <c r="I743" s="298" t="str">
        <f>IF(B743="", "",Inventory!D751)</f>
        <v/>
      </c>
      <c r="J743" s="298" t="str">
        <f>IF(B743="","",IF(Inventory!C751="N","Interior","Exterior"))</f>
        <v/>
      </c>
      <c r="K743" s="298" t="str">
        <f t="shared" si="46"/>
        <v/>
      </c>
      <c r="L743" s="298" t="str">
        <f>IF(B743="", "", Inventory!E751)</f>
        <v/>
      </c>
      <c r="M743" s="298" t="str">
        <f>IF(B743="","",IF(Cool_Type=Lookups!$L$9,Cool_Type,IF(Cool_Type=Lookups!$L$10,Cool_Type,IF(Cool_Type=Lookups!$L$11,Cool_Type,IF(Cool_Type=Lookups!L753,Cool_Type,IF('Project Info and Summary'!$C$20="Electric",CONCATENATE(Cool_Type," ",Heating_Type," Heat"),IF('Project Info and Summary'!$C$20="Non-Electric",CONCATENATE(Cool_Type," ",Heating_Type," Heat"),CONCATENATE(Cool_Type," ",Heating_Type))))))))</f>
        <v/>
      </c>
      <c r="N743" s="298" t="str">
        <f t="shared" si="47"/>
        <v/>
      </c>
      <c r="O743" s="298" t="str">
        <f>IF(B743="", "", 'Lighting Inventory (Ref only)'!G754)</f>
        <v/>
      </c>
      <c r="P743" s="298" t="str">
        <f>IF(B743="", "", 'Lighting Inventory (Ref only)'!E754)</f>
        <v/>
      </c>
      <c r="Q743" s="298" t="str">
        <f>IF(B743="", "", 'Lighting Inventory (Ref only)'!J754)</f>
        <v/>
      </c>
      <c r="R743" s="298" t="str">
        <f>IF(B743="", "",'Lighting Inventory (Ref only)'!K754)</f>
        <v/>
      </c>
      <c r="S743" s="372" t="str">
        <f>IF(B743="", "", 'Lighting Inventory (Ref only)'!G754*'Lighting Inventory (Ref only)'!K754/1000)</f>
        <v/>
      </c>
      <c r="T743" s="298" t="str">
        <f>IF(B743="", "", IF('Lighting Inventory (Ref only)'!I754="", "Light Switch",Inventory!H751))</f>
        <v/>
      </c>
      <c r="X743" s="298" t="str">
        <f>IF(B743="", "", 'Lighting Inventory (Ref only)'!Q754)</f>
        <v/>
      </c>
      <c r="AA743" s="298" t="str">
        <f>IF(B743="", "",'Lighting Inventory (Ref only)'!R754/1000)</f>
        <v/>
      </c>
      <c r="AB743" s="298" t="str">
        <f>IF(B743="", "", Inventory!M751)</f>
        <v/>
      </c>
      <c r="AC743" s="298" t="str">
        <f>IF(B743="", "", 'Lighting Inventory (Ref only)'!T754)</f>
        <v/>
      </c>
      <c r="AD743" s="298" t="str">
        <f>IF(C743="", "", 'Lighting Inventory (Ref only)'!AA754)</f>
        <v/>
      </c>
      <c r="AE743" s="298" t="str">
        <f>IF(B743="", "", 'Lighting Inventory (Ref only)'!U754)</f>
        <v/>
      </c>
      <c r="AF743" s="298" t="str">
        <f>IF(B743="", "",'Lighting Inventory (Ref only)'!W754)</f>
        <v/>
      </c>
      <c r="AH743" s="298" t="str">
        <f>IF(B743="", "",'Lighting Inventory (Ref only)'!Z754)</f>
        <v/>
      </c>
      <c r="AI743" s="298" t="str">
        <f>IF(B743="", "", 'Lighting Inventory (Ref only)'!Y754)</f>
        <v/>
      </c>
      <c r="AJ743" s="298" t="str">
        <f>IF(C743="", "",'Lighting Inventory (Ref only)'!AB754)</f>
        <v/>
      </c>
      <c r="AK743" s="375" t="str">
        <f>IF(B743="", "", 'Lighting Inventory (Ref only)'!AG754)</f>
        <v/>
      </c>
      <c r="AL743" s="375" t="str">
        <f>IF(B743="", "", 'Lighting Inventory (Ref only)'!AD754)</f>
        <v/>
      </c>
      <c r="AM743" s="375" t="str">
        <f>IF(B743="", "", 'Lighting Inventory (Ref only)'!AE754)</f>
        <v/>
      </c>
      <c r="AN743" s="375" t="str">
        <f>IF(B743="", "", 'Lighting Inventory (Ref only)'!AF754)</f>
        <v/>
      </c>
      <c r="AO743" s="375" t="str">
        <f>IF(B743="", "", 'Lighting Inventory (Ref only)'!AG754)</f>
        <v/>
      </c>
    </row>
    <row r="744" spans="1:41">
      <c r="A744" s="298" t="str">
        <f>IF(G744="", "", Lookups!BF746)</f>
        <v/>
      </c>
      <c r="B744" s="298" t="str">
        <f>IF('Lighting Inventory (Ref only)'!Q755="", "", 'Lighting Inventory (Ref only)'!Q755)</f>
        <v/>
      </c>
      <c r="C744" s="298" t="str">
        <f>IF(A744="", "", 'Lighting Inventory (Ref only)'!AO755)</f>
        <v/>
      </c>
      <c r="D744" s="298" t="str">
        <f>IF(B744= "","", Inventory!S752)</f>
        <v/>
      </c>
      <c r="F744" s="298" t="str">
        <f>IF(B744="", "", 'Version Log'!$B$34)</f>
        <v/>
      </c>
      <c r="G744" s="298" t="str">
        <f t="shared" si="44"/>
        <v/>
      </c>
      <c r="H744" s="298" t="str">
        <f t="shared" si="45"/>
        <v/>
      </c>
      <c r="I744" s="298" t="str">
        <f>IF(B744="", "",Inventory!D752)</f>
        <v/>
      </c>
      <c r="J744" s="298" t="str">
        <f>IF(B744="","",IF(Inventory!C752="N","Interior","Exterior"))</f>
        <v/>
      </c>
      <c r="K744" s="298" t="str">
        <f t="shared" si="46"/>
        <v/>
      </c>
      <c r="L744" s="298" t="str">
        <f>IF(B744="", "", Inventory!E752)</f>
        <v/>
      </c>
      <c r="M744" s="298" t="str">
        <f>IF(B744="","",IF(Cool_Type=Lookups!$L$9,Cool_Type,IF(Cool_Type=Lookups!$L$10,Cool_Type,IF(Cool_Type=Lookups!$L$11,Cool_Type,IF(Cool_Type=Lookups!L754,Cool_Type,IF('Project Info and Summary'!$C$20="Electric",CONCATENATE(Cool_Type," ",Heating_Type," Heat"),IF('Project Info and Summary'!$C$20="Non-Electric",CONCATENATE(Cool_Type," ",Heating_Type," Heat"),CONCATENATE(Cool_Type," ",Heating_Type))))))))</f>
        <v/>
      </c>
      <c r="N744" s="298" t="str">
        <f t="shared" si="47"/>
        <v/>
      </c>
      <c r="O744" s="298" t="str">
        <f>IF(B744="", "", 'Lighting Inventory (Ref only)'!G755)</f>
        <v/>
      </c>
      <c r="P744" s="298" t="str">
        <f>IF(B744="", "", 'Lighting Inventory (Ref only)'!E755)</f>
        <v/>
      </c>
      <c r="Q744" s="298" t="str">
        <f>IF(B744="", "", 'Lighting Inventory (Ref only)'!J755)</f>
        <v/>
      </c>
      <c r="R744" s="298" t="str">
        <f>IF(B744="", "",'Lighting Inventory (Ref only)'!K755)</f>
        <v/>
      </c>
      <c r="S744" s="372" t="str">
        <f>IF(B744="", "", 'Lighting Inventory (Ref only)'!G755*'Lighting Inventory (Ref only)'!K755/1000)</f>
        <v/>
      </c>
      <c r="T744" s="298" t="str">
        <f>IF(B744="", "", IF('Lighting Inventory (Ref only)'!I755="", "Light Switch",Inventory!H752))</f>
        <v/>
      </c>
      <c r="X744" s="298" t="str">
        <f>IF(B744="", "", 'Lighting Inventory (Ref only)'!Q755)</f>
        <v/>
      </c>
      <c r="AA744" s="298" t="str">
        <f>IF(B744="", "",'Lighting Inventory (Ref only)'!R755/1000)</f>
        <v/>
      </c>
      <c r="AB744" s="298" t="str">
        <f>IF(B744="", "", Inventory!M752)</f>
        <v/>
      </c>
      <c r="AC744" s="298" t="str">
        <f>IF(B744="", "", 'Lighting Inventory (Ref only)'!T755)</f>
        <v/>
      </c>
      <c r="AD744" s="298" t="str">
        <f>IF(C744="", "", 'Lighting Inventory (Ref only)'!AA755)</f>
        <v/>
      </c>
      <c r="AE744" s="298" t="str">
        <f>IF(B744="", "", 'Lighting Inventory (Ref only)'!U755)</f>
        <v/>
      </c>
      <c r="AF744" s="298" t="str">
        <f>IF(B744="", "",'Lighting Inventory (Ref only)'!W755)</f>
        <v/>
      </c>
      <c r="AH744" s="298" t="str">
        <f>IF(B744="", "",'Lighting Inventory (Ref only)'!Z755)</f>
        <v/>
      </c>
      <c r="AI744" s="298" t="str">
        <f>IF(B744="", "", 'Lighting Inventory (Ref only)'!Y755)</f>
        <v/>
      </c>
      <c r="AJ744" s="298" t="str">
        <f>IF(C744="", "",'Lighting Inventory (Ref only)'!AB755)</f>
        <v/>
      </c>
      <c r="AK744" s="375" t="str">
        <f>IF(B744="", "", 'Lighting Inventory (Ref only)'!AG755)</f>
        <v/>
      </c>
      <c r="AL744" s="375" t="str">
        <f>IF(B744="", "", 'Lighting Inventory (Ref only)'!AD755)</f>
        <v/>
      </c>
      <c r="AM744" s="375" t="str">
        <f>IF(B744="", "", 'Lighting Inventory (Ref only)'!AE755)</f>
        <v/>
      </c>
      <c r="AN744" s="375" t="str">
        <f>IF(B744="", "", 'Lighting Inventory (Ref only)'!AF755)</f>
        <v/>
      </c>
      <c r="AO744" s="375" t="str">
        <f>IF(B744="", "", 'Lighting Inventory (Ref only)'!AG755)</f>
        <v/>
      </c>
    </row>
    <row r="745" spans="1:41">
      <c r="A745" s="298" t="str">
        <f>IF(G745="", "", Lookups!BF747)</f>
        <v/>
      </c>
      <c r="B745" s="298" t="str">
        <f>IF('Lighting Inventory (Ref only)'!Q756="", "", 'Lighting Inventory (Ref only)'!Q756)</f>
        <v/>
      </c>
      <c r="C745" s="298" t="str">
        <f>IF(A745="", "", 'Lighting Inventory (Ref only)'!AO756)</f>
        <v/>
      </c>
      <c r="D745" s="298" t="str">
        <f>IF(B745= "","", Inventory!S753)</f>
        <v/>
      </c>
      <c r="F745" s="298" t="str">
        <f>IF(B745="", "", 'Version Log'!$B$34)</f>
        <v/>
      </c>
      <c r="G745" s="298" t="str">
        <f t="shared" si="44"/>
        <v/>
      </c>
      <c r="H745" s="298" t="str">
        <f t="shared" si="45"/>
        <v/>
      </c>
      <c r="I745" s="298" t="str">
        <f>IF(B745="", "",Inventory!D753)</f>
        <v/>
      </c>
      <c r="J745" s="298" t="str">
        <f>IF(B745="","",IF(Inventory!C753="N","Interior","Exterior"))</f>
        <v/>
      </c>
      <c r="K745" s="298" t="str">
        <f t="shared" si="46"/>
        <v/>
      </c>
      <c r="L745" s="298" t="str">
        <f>IF(B745="", "", Inventory!E753)</f>
        <v/>
      </c>
      <c r="M745" s="298" t="str">
        <f>IF(B745="","",IF(Cool_Type=Lookups!$L$9,Cool_Type,IF(Cool_Type=Lookups!$L$10,Cool_Type,IF(Cool_Type=Lookups!$L$11,Cool_Type,IF(Cool_Type=Lookups!L755,Cool_Type,IF('Project Info and Summary'!$C$20="Electric",CONCATENATE(Cool_Type," ",Heating_Type," Heat"),IF('Project Info and Summary'!$C$20="Non-Electric",CONCATENATE(Cool_Type," ",Heating_Type," Heat"),CONCATENATE(Cool_Type," ",Heating_Type))))))))</f>
        <v/>
      </c>
      <c r="N745" s="298" t="str">
        <f t="shared" si="47"/>
        <v/>
      </c>
      <c r="O745" s="298" t="str">
        <f>IF(B745="", "", 'Lighting Inventory (Ref only)'!G756)</f>
        <v/>
      </c>
      <c r="P745" s="298" t="str">
        <f>IF(B745="", "", 'Lighting Inventory (Ref only)'!E756)</f>
        <v/>
      </c>
      <c r="Q745" s="298" t="str">
        <f>IF(B745="", "", 'Lighting Inventory (Ref only)'!J756)</f>
        <v/>
      </c>
      <c r="R745" s="298" t="str">
        <f>IF(B745="", "",'Lighting Inventory (Ref only)'!K756)</f>
        <v/>
      </c>
      <c r="S745" s="372" t="str">
        <f>IF(B745="", "", 'Lighting Inventory (Ref only)'!G756*'Lighting Inventory (Ref only)'!K756/1000)</f>
        <v/>
      </c>
      <c r="T745" s="298" t="str">
        <f>IF(B745="", "", IF('Lighting Inventory (Ref only)'!I756="", "Light Switch",Inventory!H753))</f>
        <v/>
      </c>
      <c r="X745" s="298" t="str">
        <f>IF(B745="", "", 'Lighting Inventory (Ref only)'!Q756)</f>
        <v/>
      </c>
      <c r="AA745" s="298" t="str">
        <f>IF(B745="", "",'Lighting Inventory (Ref only)'!R756/1000)</f>
        <v/>
      </c>
      <c r="AB745" s="298" t="str">
        <f>IF(B745="", "", Inventory!M753)</f>
        <v/>
      </c>
      <c r="AC745" s="298" t="str">
        <f>IF(B745="", "", 'Lighting Inventory (Ref only)'!T756)</f>
        <v/>
      </c>
      <c r="AD745" s="298" t="str">
        <f>IF(C745="", "", 'Lighting Inventory (Ref only)'!AA756)</f>
        <v/>
      </c>
      <c r="AE745" s="298" t="str">
        <f>IF(B745="", "", 'Lighting Inventory (Ref only)'!U756)</f>
        <v/>
      </c>
      <c r="AF745" s="298" t="str">
        <f>IF(B745="", "",'Lighting Inventory (Ref only)'!W756)</f>
        <v/>
      </c>
      <c r="AH745" s="298" t="str">
        <f>IF(B745="", "",'Lighting Inventory (Ref only)'!Z756)</f>
        <v/>
      </c>
      <c r="AI745" s="298" t="str">
        <f>IF(B745="", "", 'Lighting Inventory (Ref only)'!Y756)</f>
        <v/>
      </c>
      <c r="AJ745" s="298" t="str">
        <f>IF(C745="", "",'Lighting Inventory (Ref only)'!AB756)</f>
        <v/>
      </c>
      <c r="AK745" s="375" t="str">
        <f>IF(B745="", "", 'Lighting Inventory (Ref only)'!AG756)</f>
        <v/>
      </c>
      <c r="AL745" s="375" t="str">
        <f>IF(B745="", "", 'Lighting Inventory (Ref only)'!AD756)</f>
        <v/>
      </c>
      <c r="AM745" s="375" t="str">
        <f>IF(B745="", "", 'Lighting Inventory (Ref only)'!AE756)</f>
        <v/>
      </c>
      <c r="AN745" s="375" t="str">
        <f>IF(B745="", "", 'Lighting Inventory (Ref only)'!AF756)</f>
        <v/>
      </c>
      <c r="AO745" s="375" t="str">
        <f>IF(B745="", "", 'Lighting Inventory (Ref only)'!AG756)</f>
        <v/>
      </c>
    </row>
    <row r="746" spans="1:41">
      <c r="A746" s="298" t="str">
        <f>IF(G746="", "", Lookups!BF748)</f>
        <v/>
      </c>
      <c r="B746" s="298" t="str">
        <f>IF('Lighting Inventory (Ref only)'!Q757="", "", 'Lighting Inventory (Ref only)'!Q757)</f>
        <v/>
      </c>
      <c r="C746" s="298" t="str">
        <f>IF(A746="", "", 'Lighting Inventory (Ref only)'!AO757)</f>
        <v/>
      </c>
      <c r="D746" s="298" t="str">
        <f>IF(B746= "","", Inventory!S754)</f>
        <v/>
      </c>
      <c r="F746" s="298" t="str">
        <f>IF(B746="", "", 'Version Log'!$B$34)</f>
        <v/>
      </c>
      <c r="G746" s="298" t="str">
        <f t="shared" si="44"/>
        <v/>
      </c>
      <c r="H746" s="298" t="str">
        <f t="shared" si="45"/>
        <v/>
      </c>
      <c r="I746" s="298" t="str">
        <f>IF(B746="", "",Inventory!D754)</f>
        <v/>
      </c>
      <c r="J746" s="298" t="str">
        <f>IF(B746="","",IF(Inventory!C754="N","Interior","Exterior"))</f>
        <v/>
      </c>
      <c r="K746" s="298" t="str">
        <f t="shared" si="46"/>
        <v/>
      </c>
      <c r="L746" s="298" t="str">
        <f>IF(B746="", "", Inventory!E754)</f>
        <v/>
      </c>
      <c r="M746" s="298" t="str">
        <f>IF(B746="","",IF(Cool_Type=Lookups!$L$9,Cool_Type,IF(Cool_Type=Lookups!$L$10,Cool_Type,IF(Cool_Type=Lookups!$L$11,Cool_Type,IF(Cool_Type=Lookups!L756,Cool_Type,IF('Project Info and Summary'!$C$20="Electric",CONCATENATE(Cool_Type," ",Heating_Type," Heat"),IF('Project Info and Summary'!$C$20="Non-Electric",CONCATENATE(Cool_Type," ",Heating_Type," Heat"),CONCATENATE(Cool_Type," ",Heating_Type))))))))</f>
        <v/>
      </c>
      <c r="N746" s="298" t="str">
        <f t="shared" si="47"/>
        <v/>
      </c>
      <c r="O746" s="298" t="str">
        <f>IF(B746="", "", 'Lighting Inventory (Ref only)'!G757)</f>
        <v/>
      </c>
      <c r="P746" s="298" t="str">
        <f>IF(B746="", "", 'Lighting Inventory (Ref only)'!E757)</f>
        <v/>
      </c>
      <c r="Q746" s="298" t="str">
        <f>IF(B746="", "", 'Lighting Inventory (Ref only)'!J757)</f>
        <v/>
      </c>
      <c r="R746" s="298" t="str">
        <f>IF(B746="", "",'Lighting Inventory (Ref only)'!K757)</f>
        <v/>
      </c>
      <c r="S746" s="372" t="str">
        <f>IF(B746="", "", 'Lighting Inventory (Ref only)'!G757*'Lighting Inventory (Ref only)'!K757/1000)</f>
        <v/>
      </c>
      <c r="T746" s="298" t="str">
        <f>IF(B746="", "", IF('Lighting Inventory (Ref only)'!I757="", "Light Switch",Inventory!H754))</f>
        <v/>
      </c>
      <c r="X746" s="298" t="str">
        <f>IF(B746="", "", 'Lighting Inventory (Ref only)'!Q757)</f>
        <v/>
      </c>
      <c r="AA746" s="298" t="str">
        <f>IF(B746="", "",'Lighting Inventory (Ref only)'!R757/1000)</f>
        <v/>
      </c>
      <c r="AB746" s="298" t="str">
        <f>IF(B746="", "", Inventory!M754)</f>
        <v/>
      </c>
      <c r="AC746" s="298" t="str">
        <f>IF(B746="", "", 'Lighting Inventory (Ref only)'!T757)</f>
        <v/>
      </c>
      <c r="AD746" s="298" t="str">
        <f>IF(C746="", "", 'Lighting Inventory (Ref only)'!AA757)</f>
        <v/>
      </c>
      <c r="AE746" s="298" t="str">
        <f>IF(B746="", "", 'Lighting Inventory (Ref only)'!U757)</f>
        <v/>
      </c>
      <c r="AF746" s="298" t="str">
        <f>IF(B746="", "",'Lighting Inventory (Ref only)'!W757)</f>
        <v/>
      </c>
      <c r="AH746" s="298" t="str">
        <f>IF(B746="", "",'Lighting Inventory (Ref only)'!Z757)</f>
        <v/>
      </c>
      <c r="AI746" s="298" t="str">
        <f>IF(B746="", "", 'Lighting Inventory (Ref only)'!Y757)</f>
        <v/>
      </c>
      <c r="AJ746" s="298" t="str">
        <f>IF(C746="", "",'Lighting Inventory (Ref only)'!AB757)</f>
        <v/>
      </c>
      <c r="AK746" s="375" t="str">
        <f>IF(B746="", "", 'Lighting Inventory (Ref only)'!AG757)</f>
        <v/>
      </c>
      <c r="AL746" s="375" t="str">
        <f>IF(B746="", "", 'Lighting Inventory (Ref only)'!AD757)</f>
        <v/>
      </c>
      <c r="AM746" s="375" t="str">
        <f>IF(B746="", "", 'Lighting Inventory (Ref only)'!AE757)</f>
        <v/>
      </c>
      <c r="AN746" s="375" t="str">
        <f>IF(B746="", "", 'Lighting Inventory (Ref only)'!AF757)</f>
        <v/>
      </c>
      <c r="AO746" s="375" t="str">
        <f>IF(B746="", "", 'Lighting Inventory (Ref only)'!AG757)</f>
        <v/>
      </c>
    </row>
    <row r="747" spans="1:41">
      <c r="A747" s="298" t="str">
        <f>IF(G747="", "", Lookups!BF749)</f>
        <v/>
      </c>
      <c r="B747" s="298" t="str">
        <f>IF('Lighting Inventory (Ref only)'!Q758="", "", 'Lighting Inventory (Ref only)'!Q758)</f>
        <v/>
      </c>
      <c r="C747" s="298" t="str">
        <f>IF(A747="", "", 'Lighting Inventory (Ref only)'!AO758)</f>
        <v/>
      </c>
      <c r="D747" s="298" t="str">
        <f>IF(B747= "","", Inventory!S755)</f>
        <v/>
      </c>
      <c r="F747" s="298" t="str">
        <f>IF(B747="", "", 'Version Log'!$B$34)</f>
        <v/>
      </c>
      <c r="G747" s="298" t="str">
        <f t="shared" si="44"/>
        <v/>
      </c>
      <c r="H747" s="298" t="str">
        <f t="shared" si="45"/>
        <v/>
      </c>
      <c r="I747" s="298" t="str">
        <f>IF(B747="", "",Inventory!D755)</f>
        <v/>
      </c>
      <c r="J747" s="298" t="str">
        <f>IF(B747="","",IF(Inventory!C755="N","Interior","Exterior"))</f>
        <v/>
      </c>
      <c r="K747" s="298" t="str">
        <f t="shared" si="46"/>
        <v/>
      </c>
      <c r="L747" s="298" t="str">
        <f>IF(B747="", "", Inventory!E755)</f>
        <v/>
      </c>
      <c r="M747" s="298" t="str">
        <f>IF(B747="","",IF(Cool_Type=Lookups!$L$9,Cool_Type,IF(Cool_Type=Lookups!$L$10,Cool_Type,IF(Cool_Type=Lookups!$L$11,Cool_Type,IF(Cool_Type=Lookups!L757,Cool_Type,IF('Project Info and Summary'!$C$20="Electric",CONCATENATE(Cool_Type," ",Heating_Type," Heat"),IF('Project Info and Summary'!$C$20="Non-Electric",CONCATENATE(Cool_Type," ",Heating_Type," Heat"),CONCATENATE(Cool_Type," ",Heating_Type))))))))</f>
        <v/>
      </c>
      <c r="N747" s="298" t="str">
        <f t="shared" si="47"/>
        <v/>
      </c>
      <c r="O747" s="298" t="str">
        <f>IF(B747="", "", 'Lighting Inventory (Ref only)'!G758)</f>
        <v/>
      </c>
      <c r="P747" s="298" t="str">
        <f>IF(B747="", "", 'Lighting Inventory (Ref only)'!E758)</f>
        <v/>
      </c>
      <c r="Q747" s="298" t="str">
        <f>IF(B747="", "", 'Lighting Inventory (Ref only)'!J758)</f>
        <v/>
      </c>
      <c r="R747" s="298" t="str">
        <f>IF(B747="", "",'Lighting Inventory (Ref only)'!K758)</f>
        <v/>
      </c>
      <c r="S747" s="372" t="str">
        <f>IF(B747="", "", 'Lighting Inventory (Ref only)'!G758*'Lighting Inventory (Ref only)'!K758/1000)</f>
        <v/>
      </c>
      <c r="T747" s="298" t="str">
        <f>IF(B747="", "", IF('Lighting Inventory (Ref only)'!I758="", "Light Switch",Inventory!H755))</f>
        <v/>
      </c>
      <c r="X747" s="298" t="str">
        <f>IF(B747="", "", 'Lighting Inventory (Ref only)'!Q758)</f>
        <v/>
      </c>
      <c r="AA747" s="298" t="str">
        <f>IF(B747="", "",'Lighting Inventory (Ref only)'!R758/1000)</f>
        <v/>
      </c>
      <c r="AB747" s="298" t="str">
        <f>IF(B747="", "", Inventory!M755)</f>
        <v/>
      </c>
      <c r="AC747" s="298" t="str">
        <f>IF(B747="", "", 'Lighting Inventory (Ref only)'!T758)</f>
        <v/>
      </c>
      <c r="AD747" s="298" t="str">
        <f>IF(C747="", "", 'Lighting Inventory (Ref only)'!AA758)</f>
        <v/>
      </c>
      <c r="AE747" s="298" t="str">
        <f>IF(B747="", "", 'Lighting Inventory (Ref only)'!U758)</f>
        <v/>
      </c>
      <c r="AF747" s="298" t="str">
        <f>IF(B747="", "",'Lighting Inventory (Ref only)'!W758)</f>
        <v/>
      </c>
      <c r="AH747" s="298" t="str">
        <f>IF(B747="", "",'Lighting Inventory (Ref only)'!Z758)</f>
        <v/>
      </c>
      <c r="AI747" s="298" t="str">
        <f>IF(B747="", "", 'Lighting Inventory (Ref only)'!Y758)</f>
        <v/>
      </c>
      <c r="AJ747" s="298" t="str">
        <f>IF(C747="", "",'Lighting Inventory (Ref only)'!AB758)</f>
        <v/>
      </c>
      <c r="AK747" s="375" t="str">
        <f>IF(B747="", "", 'Lighting Inventory (Ref only)'!AG758)</f>
        <v/>
      </c>
      <c r="AL747" s="375" t="str">
        <f>IF(B747="", "", 'Lighting Inventory (Ref only)'!AD758)</f>
        <v/>
      </c>
      <c r="AM747" s="375" t="str">
        <f>IF(B747="", "", 'Lighting Inventory (Ref only)'!AE758)</f>
        <v/>
      </c>
      <c r="AN747" s="375" t="str">
        <f>IF(B747="", "", 'Lighting Inventory (Ref only)'!AF758)</f>
        <v/>
      </c>
      <c r="AO747" s="375" t="str">
        <f>IF(B747="", "", 'Lighting Inventory (Ref only)'!AG758)</f>
        <v/>
      </c>
    </row>
    <row r="748" spans="1:41">
      <c r="A748" s="298" t="str">
        <f>IF(G748="", "", Lookups!BF750)</f>
        <v/>
      </c>
      <c r="B748" s="298" t="str">
        <f>IF('Lighting Inventory (Ref only)'!Q759="", "", 'Lighting Inventory (Ref only)'!Q759)</f>
        <v/>
      </c>
      <c r="C748" s="298" t="str">
        <f>IF(A748="", "", 'Lighting Inventory (Ref only)'!AO759)</f>
        <v/>
      </c>
      <c r="D748" s="298" t="str">
        <f>IF(B748= "","", Inventory!S756)</f>
        <v/>
      </c>
      <c r="F748" s="298" t="str">
        <f>IF(B748="", "", 'Version Log'!$B$34)</f>
        <v/>
      </c>
      <c r="G748" s="298" t="str">
        <f t="shared" si="44"/>
        <v/>
      </c>
      <c r="H748" s="298" t="str">
        <f t="shared" si="45"/>
        <v/>
      </c>
      <c r="I748" s="298" t="str">
        <f>IF(B748="", "",Inventory!D756)</f>
        <v/>
      </c>
      <c r="J748" s="298" t="str">
        <f>IF(B748="","",IF(Inventory!C756="N","Interior","Exterior"))</f>
        <v/>
      </c>
      <c r="K748" s="298" t="str">
        <f t="shared" si="46"/>
        <v/>
      </c>
      <c r="L748" s="298" t="str">
        <f>IF(B748="", "", Inventory!E756)</f>
        <v/>
      </c>
      <c r="M748" s="298" t="str">
        <f>IF(B748="","",IF(Cool_Type=Lookups!$L$9,Cool_Type,IF(Cool_Type=Lookups!$L$10,Cool_Type,IF(Cool_Type=Lookups!$L$11,Cool_Type,IF(Cool_Type=Lookups!L758,Cool_Type,IF('Project Info and Summary'!$C$20="Electric",CONCATENATE(Cool_Type," ",Heating_Type," Heat"),IF('Project Info and Summary'!$C$20="Non-Electric",CONCATENATE(Cool_Type," ",Heating_Type," Heat"),CONCATENATE(Cool_Type," ",Heating_Type))))))))</f>
        <v/>
      </c>
      <c r="N748" s="298" t="str">
        <f t="shared" si="47"/>
        <v/>
      </c>
      <c r="O748" s="298" t="str">
        <f>IF(B748="", "", 'Lighting Inventory (Ref only)'!G759)</f>
        <v/>
      </c>
      <c r="P748" s="298" t="str">
        <f>IF(B748="", "", 'Lighting Inventory (Ref only)'!E759)</f>
        <v/>
      </c>
      <c r="Q748" s="298" t="str">
        <f>IF(B748="", "", 'Lighting Inventory (Ref only)'!J759)</f>
        <v/>
      </c>
      <c r="R748" s="298" t="str">
        <f>IF(B748="", "",'Lighting Inventory (Ref only)'!K759)</f>
        <v/>
      </c>
      <c r="S748" s="372" t="str">
        <f>IF(B748="", "", 'Lighting Inventory (Ref only)'!G759*'Lighting Inventory (Ref only)'!K759/1000)</f>
        <v/>
      </c>
      <c r="T748" s="298" t="str">
        <f>IF(B748="", "", IF('Lighting Inventory (Ref only)'!I759="", "Light Switch",Inventory!H756))</f>
        <v/>
      </c>
      <c r="X748" s="298" t="str">
        <f>IF(B748="", "", 'Lighting Inventory (Ref only)'!Q759)</f>
        <v/>
      </c>
      <c r="AA748" s="298" t="str">
        <f>IF(B748="", "",'Lighting Inventory (Ref only)'!R759/1000)</f>
        <v/>
      </c>
      <c r="AB748" s="298" t="str">
        <f>IF(B748="", "", Inventory!M756)</f>
        <v/>
      </c>
      <c r="AC748" s="298" t="str">
        <f>IF(B748="", "", 'Lighting Inventory (Ref only)'!T759)</f>
        <v/>
      </c>
      <c r="AD748" s="298" t="str">
        <f>IF(C748="", "", 'Lighting Inventory (Ref only)'!AA759)</f>
        <v/>
      </c>
      <c r="AE748" s="298" t="str">
        <f>IF(B748="", "", 'Lighting Inventory (Ref only)'!U759)</f>
        <v/>
      </c>
      <c r="AF748" s="298" t="str">
        <f>IF(B748="", "",'Lighting Inventory (Ref only)'!W759)</f>
        <v/>
      </c>
      <c r="AH748" s="298" t="str">
        <f>IF(B748="", "",'Lighting Inventory (Ref only)'!Z759)</f>
        <v/>
      </c>
      <c r="AI748" s="298" t="str">
        <f>IF(B748="", "", 'Lighting Inventory (Ref only)'!Y759)</f>
        <v/>
      </c>
      <c r="AJ748" s="298" t="str">
        <f>IF(C748="", "",'Lighting Inventory (Ref only)'!AB759)</f>
        <v/>
      </c>
      <c r="AK748" s="375" t="str">
        <f>IF(B748="", "", 'Lighting Inventory (Ref only)'!AG759)</f>
        <v/>
      </c>
      <c r="AL748" s="375" t="str">
        <f>IF(B748="", "", 'Lighting Inventory (Ref only)'!AD759)</f>
        <v/>
      </c>
      <c r="AM748" s="375" t="str">
        <f>IF(B748="", "", 'Lighting Inventory (Ref only)'!AE759)</f>
        <v/>
      </c>
      <c r="AN748" s="375" t="str">
        <f>IF(B748="", "", 'Lighting Inventory (Ref only)'!AF759)</f>
        <v/>
      </c>
      <c r="AO748" s="375" t="str">
        <f>IF(B748="", "", 'Lighting Inventory (Ref only)'!AG759)</f>
        <v/>
      </c>
    </row>
    <row r="749" spans="1:41">
      <c r="A749" s="298" t="str">
        <f>IF(G749="", "", Lookups!BF751)</f>
        <v/>
      </c>
      <c r="B749" s="298" t="str">
        <f>IF('Lighting Inventory (Ref only)'!Q760="", "", 'Lighting Inventory (Ref only)'!Q760)</f>
        <v/>
      </c>
      <c r="C749" s="298" t="str">
        <f>IF(A749="", "", 'Lighting Inventory (Ref only)'!AO760)</f>
        <v/>
      </c>
      <c r="D749" s="298" t="str">
        <f>IF(B749= "","", Inventory!S757)</f>
        <v/>
      </c>
      <c r="F749" s="298" t="str">
        <f>IF(B749="", "", 'Version Log'!$B$34)</f>
        <v/>
      </c>
      <c r="G749" s="298" t="str">
        <f t="shared" si="44"/>
        <v/>
      </c>
      <c r="H749" s="298" t="str">
        <f t="shared" si="45"/>
        <v/>
      </c>
      <c r="I749" s="298" t="str">
        <f>IF(B749="", "",Inventory!D757)</f>
        <v/>
      </c>
      <c r="J749" s="298" t="str">
        <f>IF(B749="","",IF(Inventory!C757="N","Interior","Exterior"))</f>
        <v/>
      </c>
      <c r="K749" s="298" t="str">
        <f t="shared" si="46"/>
        <v/>
      </c>
      <c r="L749" s="298" t="str">
        <f>IF(B749="", "", Inventory!E757)</f>
        <v/>
      </c>
      <c r="M749" s="298" t="str">
        <f>IF(B749="","",IF(Cool_Type=Lookups!$L$9,Cool_Type,IF(Cool_Type=Lookups!$L$10,Cool_Type,IF(Cool_Type=Lookups!$L$11,Cool_Type,IF(Cool_Type=Lookups!L759,Cool_Type,IF('Project Info and Summary'!$C$20="Electric",CONCATENATE(Cool_Type," ",Heating_Type," Heat"),IF('Project Info and Summary'!$C$20="Non-Electric",CONCATENATE(Cool_Type," ",Heating_Type," Heat"),CONCATENATE(Cool_Type," ",Heating_Type))))))))</f>
        <v/>
      </c>
      <c r="N749" s="298" t="str">
        <f t="shared" si="47"/>
        <v/>
      </c>
      <c r="O749" s="298" t="str">
        <f>IF(B749="", "", 'Lighting Inventory (Ref only)'!G760)</f>
        <v/>
      </c>
      <c r="P749" s="298" t="str">
        <f>IF(B749="", "", 'Lighting Inventory (Ref only)'!E760)</f>
        <v/>
      </c>
      <c r="Q749" s="298" t="str">
        <f>IF(B749="", "", 'Lighting Inventory (Ref only)'!J760)</f>
        <v/>
      </c>
      <c r="R749" s="298" t="str">
        <f>IF(B749="", "",'Lighting Inventory (Ref only)'!K760)</f>
        <v/>
      </c>
      <c r="S749" s="372" t="str">
        <f>IF(B749="", "", 'Lighting Inventory (Ref only)'!G760*'Lighting Inventory (Ref only)'!K760/1000)</f>
        <v/>
      </c>
      <c r="T749" s="298" t="str">
        <f>IF(B749="", "", IF('Lighting Inventory (Ref only)'!I760="", "Light Switch",Inventory!H757))</f>
        <v/>
      </c>
      <c r="X749" s="298" t="str">
        <f>IF(B749="", "", 'Lighting Inventory (Ref only)'!Q760)</f>
        <v/>
      </c>
      <c r="AA749" s="298" t="str">
        <f>IF(B749="", "",'Lighting Inventory (Ref only)'!R760/1000)</f>
        <v/>
      </c>
      <c r="AB749" s="298" t="str">
        <f>IF(B749="", "", Inventory!M757)</f>
        <v/>
      </c>
      <c r="AC749" s="298" t="str">
        <f>IF(B749="", "", 'Lighting Inventory (Ref only)'!T760)</f>
        <v/>
      </c>
      <c r="AD749" s="298" t="str">
        <f>IF(C749="", "", 'Lighting Inventory (Ref only)'!AA760)</f>
        <v/>
      </c>
      <c r="AE749" s="298" t="str">
        <f>IF(B749="", "", 'Lighting Inventory (Ref only)'!U760)</f>
        <v/>
      </c>
      <c r="AF749" s="298" t="str">
        <f>IF(B749="", "",'Lighting Inventory (Ref only)'!W760)</f>
        <v/>
      </c>
      <c r="AH749" s="298" t="str">
        <f>IF(B749="", "",'Lighting Inventory (Ref only)'!Z760)</f>
        <v/>
      </c>
      <c r="AI749" s="298" t="str">
        <f>IF(B749="", "", 'Lighting Inventory (Ref only)'!Y760)</f>
        <v/>
      </c>
      <c r="AJ749" s="298" t="str">
        <f>IF(C749="", "",'Lighting Inventory (Ref only)'!AB760)</f>
        <v/>
      </c>
      <c r="AK749" s="375" t="str">
        <f>IF(B749="", "", 'Lighting Inventory (Ref only)'!AG760)</f>
        <v/>
      </c>
      <c r="AL749" s="375" t="str">
        <f>IF(B749="", "", 'Lighting Inventory (Ref only)'!AD760)</f>
        <v/>
      </c>
      <c r="AM749" s="375" t="str">
        <f>IF(B749="", "", 'Lighting Inventory (Ref only)'!AE760)</f>
        <v/>
      </c>
      <c r="AN749" s="375" t="str">
        <f>IF(B749="", "", 'Lighting Inventory (Ref only)'!AF760)</f>
        <v/>
      </c>
      <c r="AO749" s="375" t="str">
        <f>IF(B749="", "", 'Lighting Inventory (Ref only)'!AG760)</f>
        <v/>
      </c>
    </row>
    <row r="750" spans="1:41">
      <c r="A750" s="298" t="str">
        <f>IF(G750="", "", Lookups!BF752)</f>
        <v/>
      </c>
      <c r="B750" s="298" t="str">
        <f>IF('Lighting Inventory (Ref only)'!Q761="", "", 'Lighting Inventory (Ref only)'!Q761)</f>
        <v/>
      </c>
      <c r="C750" s="298" t="str">
        <f>IF(A750="", "", 'Lighting Inventory (Ref only)'!AO761)</f>
        <v/>
      </c>
      <c r="D750" s="298" t="str">
        <f>IF(B750= "","", Inventory!S758)</f>
        <v/>
      </c>
      <c r="F750" s="298" t="str">
        <f>IF(B750="", "", 'Version Log'!$B$34)</f>
        <v/>
      </c>
      <c r="G750" s="298" t="str">
        <f t="shared" si="44"/>
        <v/>
      </c>
      <c r="H750" s="298" t="str">
        <f t="shared" si="45"/>
        <v/>
      </c>
      <c r="I750" s="298" t="str">
        <f>IF(B750="", "",Inventory!D758)</f>
        <v/>
      </c>
      <c r="J750" s="298" t="str">
        <f>IF(B750="","",IF(Inventory!C758="N","Interior","Exterior"))</f>
        <v/>
      </c>
      <c r="K750" s="298" t="str">
        <f t="shared" si="46"/>
        <v/>
      </c>
      <c r="L750" s="298" t="str">
        <f>IF(B750="", "", Inventory!E758)</f>
        <v/>
      </c>
      <c r="M750" s="298" t="str">
        <f>IF(B750="","",IF(Cool_Type=Lookups!$L$9,Cool_Type,IF(Cool_Type=Lookups!$L$10,Cool_Type,IF(Cool_Type=Lookups!$L$11,Cool_Type,IF(Cool_Type=Lookups!L760,Cool_Type,IF('Project Info and Summary'!$C$20="Electric",CONCATENATE(Cool_Type," ",Heating_Type," Heat"),IF('Project Info and Summary'!$C$20="Non-Electric",CONCATENATE(Cool_Type," ",Heating_Type," Heat"),CONCATENATE(Cool_Type," ",Heating_Type))))))))</f>
        <v/>
      </c>
      <c r="N750" s="298" t="str">
        <f t="shared" si="47"/>
        <v/>
      </c>
      <c r="O750" s="298" t="str">
        <f>IF(B750="", "", 'Lighting Inventory (Ref only)'!G761)</f>
        <v/>
      </c>
      <c r="P750" s="298" t="str">
        <f>IF(B750="", "", 'Lighting Inventory (Ref only)'!E761)</f>
        <v/>
      </c>
      <c r="Q750" s="298" t="str">
        <f>IF(B750="", "", 'Lighting Inventory (Ref only)'!J761)</f>
        <v/>
      </c>
      <c r="R750" s="298" t="str">
        <f>IF(B750="", "",'Lighting Inventory (Ref only)'!K761)</f>
        <v/>
      </c>
      <c r="S750" s="372" t="str">
        <f>IF(B750="", "", 'Lighting Inventory (Ref only)'!G761*'Lighting Inventory (Ref only)'!K761/1000)</f>
        <v/>
      </c>
      <c r="T750" s="298" t="str">
        <f>IF(B750="", "", IF('Lighting Inventory (Ref only)'!I761="", "Light Switch",Inventory!H758))</f>
        <v/>
      </c>
      <c r="X750" s="298" t="str">
        <f>IF(B750="", "", 'Lighting Inventory (Ref only)'!Q761)</f>
        <v/>
      </c>
      <c r="AA750" s="298" t="str">
        <f>IF(B750="", "",'Lighting Inventory (Ref only)'!R761/1000)</f>
        <v/>
      </c>
      <c r="AB750" s="298" t="str">
        <f>IF(B750="", "", Inventory!M758)</f>
        <v/>
      </c>
      <c r="AC750" s="298" t="str">
        <f>IF(B750="", "", 'Lighting Inventory (Ref only)'!T761)</f>
        <v/>
      </c>
      <c r="AD750" s="298" t="str">
        <f>IF(C750="", "", 'Lighting Inventory (Ref only)'!AA761)</f>
        <v/>
      </c>
      <c r="AE750" s="298" t="str">
        <f>IF(B750="", "", 'Lighting Inventory (Ref only)'!U761)</f>
        <v/>
      </c>
      <c r="AF750" s="298" t="str">
        <f>IF(B750="", "",'Lighting Inventory (Ref only)'!W761)</f>
        <v/>
      </c>
      <c r="AH750" s="298" t="str">
        <f>IF(B750="", "",'Lighting Inventory (Ref only)'!Z761)</f>
        <v/>
      </c>
      <c r="AI750" s="298" t="str">
        <f>IF(B750="", "", 'Lighting Inventory (Ref only)'!Y761)</f>
        <v/>
      </c>
      <c r="AJ750" s="298" t="str">
        <f>IF(C750="", "",'Lighting Inventory (Ref only)'!AB761)</f>
        <v/>
      </c>
      <c r="AK750" s="375" t="str">
        <f>IF(B750="", "", 'Lighting Inventory (Ref only)'!AG761)</f>
        <v/>
      </c>
      <c r="AL750" s="375" t="str">
        <f>IF(B750="", "", 'Lighting Inventory (Ref only)'!AD761)</f>
        <v/>
      </c>
      <c r="AM750" s="375" t="str">
        <f>IF(B750="", "", 'Lighting Inventory (Ref only)'!AE761)</f>
        <v/>
      </c>
      <c r="AN750" s="375" t="str">
        <f>IF(B750="", "", 'Lighting Inventory (Ref only)'!AF761)</f>
        <v/>
      </c>
      <c r="AO750" s="375" t="str">
        <f>IF(B750="", "", 'Lighting Inventory (Ref only)'!AG761)</f>
        <v/>
      </c>
    </row>
    <row r="751" spans="1:41">
      <c r="A751" s="298" t="str">
        <f>IF(G751="", "", Lookups!BF753)</f>
        <v/>
      </c>
      <c r="B751" s="298" t="str">
        <f>IF('Lighting Inventory (Ref only)'!Q762="", "", 'Lighting Inventory (Ref only)'!Q762)</f>
        <v/>
      </c>
      <c r="C751" s="298" t="str">
        <f>IF(A751="", "", 'Lighting Inventory (Ref only)'!AO762)</f>
        <v/>
      </c>
      <c r="D751" s="298" t="str">
        <f>IF(B751= "","", Inventory!S759)</f>
        <v/>
      </c>
      <c r="F751" s="298" t="str">
        <f>IF(B751="", "", 'Version Log'!$B$34)</f>
        <v/>
      </c>
      <c r="G751" s="298" t="str">
        <f t="shared" si="44"/>
        <v/>
      </c>
      <c r="H751" s="298" t="str">
        <f t="shared" si="45"/>
        <v/>
      </c>
      <c r="I751" s="298" t="str">
        <f>IF(B751="", "",Inventory!D759)</f>
        <v/>
      </c>
      <c r="J751" s="298" t="str">
        <f>IF(B751="","",IF(Inventory!C759="N","Interior","Exterior"))</f>
        <v/>
      </c>
      <c r="K751" s="298" t="str">
        <f t="shared" si="46"/>
        <v/>
      </c>
      <c r="L751" s="298" t="str">
        <f>IF(B751="", "", Inventory!E759)</f>
        <v/>
      </c>
      <c r="M751" s="298" t="str">
        <f>IF(B751="","",IF(Cool_Type=Lookups!$L$9,Cool_Type,IF(Cool_Type=Lookups!$L$10,Cool_Type,IF(Cool_Type=Lookups!$L$11,Cool_Type,IF(Cool_Type=Lookups!L761,Cool_Type,IF('Project Info and Summary'!$C$20="Electric",CONCATENATE(Cool_Type," ",Heating_Type," Heat"),IF('Project Info and Summary'!$C$20="Non-Electric",CONCATENATE(Cool_Type," ",Heating_Type," Heat"),CONCATENATE(Cool_Type," ",Heating_Type))))))))</f>
        <v/>
      </c>
      <c r="N751" s="298" t="str">
        <f t="shared" si="47"/>
        <v/>
      </c>
      <c r="O751" s="298" t="str">
        <f>IF(B751="", "", 'Lighting Inventory (Ref only)'!G762)</f>
        <v/>
      </c>
      <c r="P751" s="298" t="str">
        <f>IF(B751="", "", 'Lighting Inventory (Ref only)'!E762)</f>
        <v/>
      </c>
      <c r="Q751" s="298" t="str">
        <f>IF(B751="", "", 'Lighting Inventory (Ref only)'!J762)</f>
        <v/>
      </c>
      <c r="R751" s="298" t="str">
        <f>IF(B751="", "",'Lighting Inventory (Ref only)'!K762)</f>
        <v/>
      </c>
      <c r="S751" s="372" t="str">
        <f>IF(B751="", "", 'Lighting Inventory (Ref only)'!G762*'Lighting Inventory (Ref only)'!K762/1000)</f>
        <v/>
      </c>
      <c r="T751" s="298" t="str">
        <f>IF(B751="", "", IF('Lighting Inventory (Ref only)'!I762="", "Light Switch",Inventory!H759))</f>
        <v/>
      </c>
      <c r="X751" s="298" t="str">
        <f>IF(B751="", "", 'Lighting Inventory (Ref only)'!Q762)</f>
        <v/>
      </c>
      <c r="AA751" s="298" t="str">
        <f>IF(B751="", "",'Lighting Inventory (Ref only)'!R762/1000)</f>
        <v/>
      </c>
      <c r="AB751" s="298" t="str">
        <f>IF(B751="", "", Inventory!M759)</f>
        <v/>
      </c>
      <c r="AC751" s="298" t="str">
        <f>IF(B751="", "", 'Lighting Inventory (Ref only)'!T762)</f>
        <v/>
      </c>
      <c r="AD751" s="298" t="str">
        <f>IF(C751="", "", 'Lighting Inventory (Ref only)'!AA762)</f>
        <v/>
      </c>
      <c r="AE751" s="298" t="str">
        <f>IF(B751="", "", 'Lighting Inventory (Ref only)'!U762)</f>
        <v/>
      </c>
      <c r="AF751" s="298" t="str">
        <f>IF(B751="", "",'Lighting Inventory (Ref only)'!W762)</f>
        <v/>
      </c>
      <c r="AH751" s="298" t="str">
        <f>IF(B751="", "",'Lighting Inventory (Ref only)'!Z762)</f>
        <v/>
      </c>
      <c r="AI751" s="298" t="str">
        <f>IF(B751="", "", 'Lighting Inventory (Ref only)'!Y762)</f>
        <v/>
      </c>
      <c r="AJ751" s="298" t="str">
        <f>IF(C751="", "",'Lighting Inventory (Ref only)'!AB762)</f>
        <v/>
      </c>
      <c r="AK751" s="375" t="str">
        <f>IF(B751="", "", 'Lighting Inventory (Ref only)'!AG762)</f>
        <v/>
      </c>
      <c r="AL751" s="375" t="str">
        <f>IF(B751="", "", 'Lighting Inventory (Ref only)'!AD762)</f>
        <v/>
      </c>
      <c r="AM751" s="375" t="str">
        <f>IF(B751="", "", 'Lighting Inventory (Ref only)'!AE762)</f>
        <v/>
      </c>
      <c r="AN751" s="375" t="str">
        <f>IF(B751="", "", 'Lighting Inventory (Ref only)'!AF762)</f>
        <v/>
      </c>
      <c r="AO751" s="375" t="str">
        <f>IF(B751="", "", 'Lighting Inventory (Ref only)'!AG762)</f>
        <v/>
      </c>
    </row>
    <row r="752" spans="1:41">
      <c r="A752" s="298" t="str">
        <f>IF(G752="", "", Lookups!BF754)</f>
        <v/>
      </c>
      <c r="B752" s="298" t="str">
        <f>IF('Lighting Inventory (Ref only)'!Q763="", "", 'Lighting Inventory (Ref only)'!Q763)</f>
        <v/>
      </c>
      <c r="C752" s="298" t="str">
        <f>IF(A752="", "", 'Lighting Inventory (Ref only)'!AO763)</f>
        <v/>
      </c>
      <c r="D752" s="298" t="str">
        <f>IF(B752= "","", Inventory!S760)</f>
        <v/>
      </c>
      <c r="F752" s="298" t="str">
        <f>IF(B752="", "", 'Version Log'!$B$34)</f>
        <v/>
      </c>
      <c r="G752" s="298" t="str">
        <f t="shared" si="44"/>
        <v/>
      </c>
      <c r="H752" s="298" t="str">
        <f t="shared" si="45"/>
        <v/>
      </c>
      <c r="I752" s="298" t="str">
        <f>IF(B752="", "",Inventory!D760)</f>
        <v/>
      </c>
      <c r="J752" s="298" t="str">
        <f>IF(B752="","",IF(Inventory!C760="N","Interior","Exterior"))</f>
        <v/>
      </c>
      <c r="K752" s="298" t="str">
        <f t="shared" si="46"/>
        <v/>
      </c>
      <c r="L752" s="298" t="str">
        <f>IF(B752="", "", Inventory!E760)</f>
        <v/>
      </c>
      <c r="M752" s="298" t="str">
        <f>IF(B752="","",IF(Cool_Type=Lookups!$L$9,Cool_Type,IF(Cool_Type=Lookups!$L$10,Cool_Type,IF(Cool_Type=Lookups!$L$11,Cool_Type,IF(Cool_Type=Lookups!L762,Cool_Type,IF('Project Info and Summary'!$C$20="Electric",CONCATENATE(Cool_Type," ",Heating_Type," Heat"),IF('Project Info and Summary'!$C$20="Non-Electric",CONCATENATE(Cool_Type," ",Heating_Type," Heat"),CONCATENATE(Cool_Type," ",Heating_Type))))))))</f>
        <v/>
      </c>
      <c r="N752" s="298" t="str">
        <f t="shared" si="47"/>
        <v/>
      </c>
      <c r="O752" s="298" t="str">
        <f>IF(B752="", "", 'Lighting Inventory (Ref only)'!G763)</f>
        <v/>
      </c>
      <c r="P752" s="298" t="str">
        <f>IF(B752="", "", 'Lighting Inventory (Ref only)'!E763)</f>
        <v/>
      </c>
      <c r="Q752" s="298" t="str">
        <f>IF(B752="", "", 'Lighting Inventory (Ref only)'!J763)</f>
        <v/>
      </c>
      <c r="R752" s="298" t="str">
        <f>IF(B752="", "",'Lighting Inventory (Ref only)'!K763)</f>
        <v/>
      </c>
      <c r="S752" s="372" t="str">
        <f>IF(B752="", "", 'Lighting Inventory (Ref only)'!G763*'Lighting Inventory (Ref only)'!K763/1000)</f>
        <v/>
      </c>
      <c r="T752" s="298" t="str">
        <f>IF(B752="", "", IF('Lighting Inventory (Ref only)'!I763="", "Light Switch",Inventory!H760))</f>
        <v/>
      </c>
      <c r="X752" s="298" t="str">
        <f>IF(B752="", "", 'Lighting Inventory (Ref only)'!Q763)</f>
        <v/>
      </c>
      <c r="AA752" s="298" t="str">
        <f>IF(B752="", "",'Lighting Inventory (Ref only)'!R763/1000)</f>
        <v/>
      </c>
      <c r="AB752" s="298" t="str">
        <f>IF(B752="", "", Inventory!M760)</f>
        <v/>
      </c>
      <c r="AC752" s="298" t="str">
        <f>IF(B752="", "", 'Lighting Inventory (Ref only)'!T763)</f>
        <v/>
      </c>
      <c r="AD752" s="298" t="str">
        <f>IF(C752="", "", 'Lighting Inventory (Ref only)'!AA763)</f>
        <v/>
      </c>
      <c r="AE752" s="298" t="str">
        <f>IF(B752="", "", 'Lighting Inventory (Ref only)'!U763)</f>
        <v/>
      </c>
      <c r="AF752" s="298" t="str">
        <f>IF(B752="", "",'Lighting Inventory (Ref only)'!W763)</f>
        <v/>
      </c>
      <c r="AH752" s="298" t="str">
        <f>IF(B752="", "",'Lighting Inventory (Ref only)'!Z763)</f>
        <v/>
      </c>
      <c r="AI752" s="298" t="str">
        <f>IF(B752="", "", 'Lighting Inventory (Ref only)'!Y763)</f>
        <v/>
      </c>
      <c r="AJ752" s="298" t="str">
        <f>IF(C752="", "",'Lighting Inventory (Ref only)'!AB763)</f>
        <v/>
      </c>
      <c r="AK752" s="375" t="str">
        <f>IF(B752="", "", 'Lighting Inventory (Ref only)'!AG763)</f>
        <v/>
      </c>
      <c r="AL752" s="375" t="str">
        <f>IF(B752="", "", 'Lighting Inventory (Ref only)'!AD763)</f>
        <v/>
      </c>
      <c r="AM752" s="375" t="str">
        <f>IF(B752="", "", 'Lighting Inventory (Ref only)'!AE763)</f>
        <v/>
      </c>
      <c r="AN752" s="375" t="str">
        <f>IF(B752="", "", 'Lighting Inventory (Ref only)'!AF763)</f>
        <v/>
      </c>
      <c r="AO752" s="375" t="str">
        <f>IF(B752="", "", 'Lighting Inventory (Ref only)'!AG763)</f>
        <v/>
      </c>
    </row>
    <row r="753" spans="1:41">
      <c r="A753" s="298" t="str">
        <f>IF(G753="", "", Lookups!BF755)</f>
        <v/>
      </c>
      <c r="B753" s="298" t="str">
        <f>IF('Lighting Inventory (Ref only)'!Q764="", "", 'Lighting Inventory (Ref only)'!Q764)</f>
        <v/>
      </c>
      <c r="C753" s="298" t="str">
        <f>IF(A753="", "", 'Lighting Inventory (Ref only)'!AO764)</f>
        <v/>
      </c>
      <c r="D753" s="298" t="str">
        <f>IF(B753= "","", Inventory!S761)</f>
        <v/>
      </c>
      <c r="F753" s="298" t="str">
        <f>IF(B753="", "", 'Version Log'!$B$34)</f>
        <v/>
      </c>
      <c r="G753" s="298" t="str">
        <f t="shared" si="44"/>
        <v/>
      </c>
      <c r="H753" s="298" t="str">
        <f t="shared" si="45"/>
        <v/>
      </c>
      <c r="I753" s="298" t="str">
        <f>IF(B753="", "",Inventory!D761)</f>
        <v/>
      </c>
      <c r="J753" s="298" t="str">
        <f>IF(B753="","",IF(Inventory!C761="N","Interior","Exterior"))</f>
        <v/>
      </c>
      <c r="K753" s="298" t="str">
        <f t="shared" si="46"/>
        <v/>
      </c>
      <c r="L753" s="298" t="str">
        <f>IF(B753="", "", Inventory!E761)</f>
        <v/>
      </c>
      <c r="M753" s="298" t="str">
        <f>IF(B753="","",IF(Cool_Type=Lookups!$L$9,Cool_Type,IF(Cool_Type=Lookups!$L$10,Cool_Type,IF(Cool_Type=Lookups!$L$11,Cool_Type,IF(Cool_Type=Lookups!L763,Cool_Type,IF('Project Info and Summary'!$C$20="Electric",CONCATENATE(Cool_Type," ",Heating_Type," Heat"),IF('Project Info and Summary'!$C$20="Non-Electric",CONCATENATE(Cool_Type," ",Heating_Type," Heat"),CONCATENATE(Cool_Type," ",Heating_Type))))))))</f>
        <v/>
      </c>
      <c r="N753" s="298" t="str">
        <f t="shared" si="47"/>
        <v/>
      </c>
      <c r="O753" s="298" t="str">
        <f>IF(B753="", "", 'Lighting Inventory (Ref only)'!G764)</f>
        <v/>
      </c>
      <c r="P753" s="298" t="str">
        <f>IF(B753="", "", 'Lighting Inventory (Ref only)'!E764)</f>
        <v/>
      </c>
      <c r="Q753" s="298" t="str">
        <f>IF(B753="", "", 'Lighting Inventory (Ref only)'!J764)</f>
        <v/>
      </c>
      <c r="R753" s="298" t="str">
        <f>IF(B753="", "",'Lighting Inventory (Ref only)'!K764)</f>
        <v/>
      </c>
      <c r="S753" s="372" t="str">
        <f>IF(B753="", "", 'Lighting Inventory (Ref only)'!G764*'Lighting Inventory (Ref only)'!K764/1000)</f>
        <v/>
      </c>
      <c r="T753" s="298" t="str">
        <f>IF(B753="", "", IF('Lighting Inventory (Ref only)'!I764="", "Light Switch",Inventory!H761))</f>
        <v/>
      </c>
      <c r="X753" s="298" t="str">
        <f>IF(B753="", "", 'Lighting Inventory (Ref only)'!Q764)</f>
        <v/>
      </c>
      <c r="AA753" s="298" t="str">
        <f>IF(B753="", "",'Lighting Inventory (Ref only)'!R764/1000)</f>
        <v/>
      </c>
      <c r="AB753" s="298" t="str">
        <f>IF(B753="", "", Inventory!M761)</f>
        <v/>
      </c>
      <c r="AC753" s="298" t="str">
        <f>IF(B753="", "", 'Lighting Inventory (Ref only)'!T764)</f>
        <v/>
      </c>
      <c r="AD753" s="298" t="str">
        <f>IF(C753="", "", 'Lighting Inventory (Ref only)'!AA764)</f>
        <v/>
      </c>
      <c r="AE753" s="298" t="str">
        <f>IF(B753="", "", 'Lighting Inventory (Ref only)'!U764)</f>
        <v/>
      </c>
      <c r="AF753" s="298" t="str">
        <f>IF(B753="", "",'Lighting Inventory (Ref only)'!W764)</f>
        <v/>
      </c>
      <c r="AH753" s="298" t="str">
        <f>IF(B753="", "",'Lighting Inventory (Ref only)'!Z764)</f>
        <v/>
      </c>
      <c r="AI753" s="298" t="str">
        <f>IF(B753="", "", 'Lighting Inventory (Ref only)'!Y764)</f>
        <v/>
      </c>
      <c r="AJ753" s="298" t="str">
        <f>IF(C753="", "",'Lighting Inventory (Ref only)'!AB764)</f>
        <v/>
      </c>
      <c r="AK753" s="375" t="str">
        <f>IF(B753="", "", 'Lighting Inventory (Ref only)'!AG764)</f>
        <v/>
      </c>
      <c r="AL753" s="375" t="str">
        <f>IF(B753="", "", 'Lighting Inventory (Ref only)'!AD764)</f>
        <v/>
      </c>
      <c r="AM753" s="375" t="str">
        <f>IF(B753="", "", 'Lighting Inventory (Ref only)'!AE764)</f>
        <v/>
      </c>
      <c r="AN753" s="375" t="str">
        <f>IF(B753="", "", 'Lighting Inventory (Ref only)'!AF764)</f>
        <v/>
      </c>
      <c r="AO753" s="375" t="str">
        <f>IF(B753="", "", 'Lighting Inventory (Ref only)'!AG764)</f>
        <v/>
      </c>
    </row>
    <row r="754" spans="1:41">
      <c r="A754" s="298" t="str">
        <f>IF(G754="", "", Lookups!BF756)</f>
        <v/>
      </c>
      <c r="B754" s="298" t="str">
        <f>IF('Lighting Inventory (Ref only)'!Q765="", "", 'Lighting Inventory (Ref only)'!Q765)</f>
        <v/>
      </c>
      <c r="C754" s="298" t="str">
        <f>IF(A754="", "", 'Lighting Inventory (Ref only)'!AO765)</f>
        <v/>
      </c>
      <c r="D754" s="298" t="str">
        <f>IF(B754= "","", Inventory!S762)</f>
        <v/>
      </c>
      <c r="F754" s="298" t="str">
        <f>IF(B754="", "", 'Version Log'!$B$34)</f>
        <v/>
      </c>
      <c r="G754" s="298" t="str">
        <f t="shared" si="44"/>
        <v/>
      </c>
      <c r="H754" s="298" t="str">
        <f t="shared" si="45"/>
        <v/>
      </c>
      <c r="I754" s="298" t="str">
        <f>IF(B754="", "",Inventory!D762)</f>
        <v/>
      </c>
      <c r="J754" s="298" t="str">
        <f>IF(B754="","",IF(Inventory!C762="N","Interior","Exterior"))</f>
        <v/>
      </c>
      <c r="K754" s="298" t="str">
        <f t="shared" si="46"/>
        <v/>
      </c>
      <c r="L754" s="298" t="str">
        <f>IF(B754="", "", Inventory!E762)</f>
        <v/>
      </c>
      <c r="M754" s="298" t="str">
        <f>IF(B754="","",IF(Cool_Type=Lookups!$L$9,Cool_Type,IF(Cool_Type=Lookups!$L$10,Cool_Type,IF(Cool_Type=Lookups!$L$11,Cool_Type,IF(Cool_Type=Lookups!L764,Cool_Type,IF('Project Info and Summary'!$C$20="Electric",CONCATENATE(Cool_Type," ",Heating_Type," Heat"),IF('Project Info and Summary'!$C$20="Non-Electric",CONCATENATE(Cool_Type," ",Heating_Type," Heat"),CONCATENATE(Cool_Type," ",Heating_Type))))))))</f>
        <v/>
      </c>
      <c r="N754" s="298" t="str">
        <f t="shared" si="47"/>
        <v/>
      </c>
      <c r="O754" s="298" t="str">
        <f>IF(B754="", "", 'Lighting Inventory (Ref only)'!G765)</f>
        <v/>
      </c>
      <c r="P754" s="298" t="str">
        <f>IF(B754="", "", 'Lighting Inventory (Ref only)'!E765)</f>
        <v/>
      </c>
      <c r="Q754" s="298" t="str">
        <f>IF(B754="", "", 'Lighting Inventory (Ref only)'!J765)</f>
        <v/>
      </c>
      <c r="R754" s="298" t="str">
        <f>IF(B754="", "",'Lighting Inventory (Ref only)'!K765)</f>
        <v/>
      </c>
      <c r="S754" s="372" t="str">
        <f>IF(B754="", "", 'Lighting Inventory (Ref only)'!G765*'Lighting Inventory (Ref only)'!K765/1000)</f>
        <v/>
      </c>
      <c r="T754" s="298" t="str">
        <f>IF(B754="", "", IF('Lighting Inventory (Ref only)'!I765="", "Light Switch",Inventory!H762))</f>
        <v/>
      </c>
      <c r="X754" s="298" t="str">
        <f>IF(B754="", "", 'Lighting Inventory (Ref only)'!Q765)</f>
        <v/>
      </c>
      <c r="AA754" s="298" t="str">
        <f>IF(B754="", "",'Lighting Inventory (Ref only)'!R765/1000)</f>
        <v/>
      </c>
      <c r="AB754" s="298" t="str">
        <f>IF(B754="", "", Inventory!M762)</f>
        <v/>
      </c>
      <c r="AC754" s="298" t="str">
        <f>IF(B754="", "", 'Lighting Inventory (Ref only)'!T765)</f>
        <v/>
      </c>
      <c r="AD754" s="298" t="str">
        <f>IF(C754="", "", 'Lighting Inventory (Ref only)'!AA765)</f>
        <v/>
      </c>
      <c r="AE754" s="298" t="str">
        <f>IF(B754="", "", 'Lighting Inventory (Ref only)'!U765)</f>
        <v/>
      </c>
      <c r="AF754" s="298" t="str">
        <f>IF(B754="", "",'Lighting Inventory (Ref only)'!W765)</f>
        <v/>
      </c>
      <c r="AH754" s="298" t="str">
        <f>IF(B754="", "",'Lighting Inventory (Ref only)'!Z765)</f>
        <v/>
      </c>
      <c r="AI754" s="298" t="str">
        <f>IF(B754="", "", 'Lighting Inventory (Ref only)'!Y765)</f>
        <v/>
      </c>
      <c r="AJ754" s="298" t="str">
        <f>IF(C754="", "",'Lighting Inventory (Ref only)'!AB765)</f>
        <v/>
      </c>
      <c r="AK754" s="375" t="str">
        <f>IF(B754="", "", 'Lighting Inventory (Ref only)'!AG765)</f>
        <v/>
      </c>
      <c r="AL754" s="375" t="str">
        <f>IF(B754="", "", 'Lighting Inventory (Ref only)'!AD765)</f>
        <v/>
      </c>
      <c r="AM754" s="375" t="str">
        <f>IF(B754="", "", 'Lighting Inventory (Ref only)'!AE765)</f>
        <v/>
      </c>
      <c r="AN754" s="375" t="str">
        <f>IF(B754="", "", 'Lighting Inventory (Ref only)'!AF765)</f>
        <v/>
      </c>
      <c r="AO754" s="375" t="str">
        <f>IF(B754="", "", 'Lighting Inventory (Ref only)'!AG765)</f>
        <v/>
      </c>
    </row>
    <row r="755" spans="1:41">
      <c r="A755" s="298" t="str">
        <f>IF(G755="", "", Lookups!BF757)</f>
        <v/>
      </c>
      <c r="B755" s="298" t="str">
        <f>IF('Lighting Inventory (Ref only)'!Q766="", "", 'Lighting Inventory (Ref only)'!Q766)</f>
        <v/>
      </c>
      <c r="C755" s="298" t="str">
        <f>IF(A755="", "", 'Lighting Inventory (Ref only)'!AO766)</f>
        <v/>
      </c>
      <c r="D755" s="298" t="str">
        <f>IF(B755= "","", Inventory!S763)</f>
        <v/>
      </c>
      <c r="F755" s="298" t="str">
        <f>IF(B755="", "", 'Version Log'!$B$34)</f>
        <v/>
      </c>
      <c r="G755" s="298" t="str">
        <f t="shared" si="44"/>
        <v/>
      </c>
      <c r="H755" s="298" t="str">
        <f t="shared" si="45"/>
        <v/>
      </c>
      <c r="I755" s="298" t="str">
        <f>IF(B755="", "",Inventory!D763)</f>
        <v/>
      </c>
      <c r="J755" s="298" t="str">
        <f>IF(B755="","",IF(Inventory!C763="N","Interior","Exterior"))</f>
        <v/>
      </c>
      <c r="K755" s="298" t="str">
        <f t="shared" si="46"/>
        <v/>
      </c>
      <c r="L755" s="298" t="str">
        <f>IF(B755="", "", Inventory!E763)</f>
        <v/>
      </c>
      <c r="M755" s="298" t="str">
        <f>IF(B755="","",IF(Cool_Type=Lookups!$L$9,Cool_Type,IF(Cool_Type=Lookups!$L$10,Cool_Type,IF(Cool_Type=Lookups!$L$11,Cool_Type,IF(Cool_Type=Lookups!L765,Cool_Type,IF('Project Info and Summary'!$C$20="Electric",CONCATENATE(Cool_Type," ",Heating_Type," Heat"),IF('Project Info and Summary'!$C$20="Non-Electric",CONCATENATE(Cool_Type," ",Heating_Type," Heat"),CONCATENATE(Cool_Type," ",Heating_Type))))))))</f>
        <v/>
      </c>
      <c r="N755" s="298" t="str">
        <f t="shared" si="47"/>
        <v/>
      </c>
      <c r="O755" s="298" t="str">
        <f>IF(B755="", "", 'Lighting Inventory (Ref only)'!G766)</f>
        <v/>
      </c>
      <c r="P755" s="298" t="str">
        <f>IF(B755="", "", 'Lighting Inventory (Ref only)'!E766)</f>
        <v/>
      </c>
      <c r="Q755" s="298" t="str">
        <f>IF(B755="", "", 'Lighting Inventory (Ref only)'!J766)</f>
        <v/>
      </c>
      <c r="R755" s="298" t="str">
        <f>IF(B755="", "",'Lighting Inventory (Ref only)'!K766)</f>
        <v/>
      </c>
      <c r="S755" s="372" t="str">
        <f>IF(B755="", "", 'Lighting Inventory (Ref only)'!G766*'Lighting Inventory (Ref only)'!K766/1000)</f>
        <v/>
      </c>
      <c r="T755" s="298" t="str">
        <f>IF(B755="", "", IF('Lighting Inventory (Ref only)'!I766="", "Light Switch",Inventory!H763))</f>
        <v/>
      </c>
      <c r="X755" s="298" t="str">
        <f>IF(B755="", "", 'Lighting Inventory (Ref only)'!Q766)</f>
        <v/>
      </c>
      <c r="AA755" s="298" t="str">
        <f>IF(B755="", "",'Lighting Inventory (Ref only)'!R766/1000)</f>
        <v/>
      </c>
      <c r="AB755" s="298" t="str">
        <f>IF(B755="", "", Inventory!M763)</f>
        <v/>
      </c>
      <c r="AC755" s="298" t="str">
        <f>IF(B755="", "", 'Lighting Inventory (Ref only)'!T766)</f>
        <v/>
      </c>
      <c r="AD755" s="298" t="str">
        <f>IF(C755="", "", 'Lighting Inventory (Ref only)'!AA766)</f>
        <v/>
      </c>
      <c r="AE755" s="298" t="str">
        <f>IF(B755="", "", 'Lighting Inventory (Ref only)'!U766)</f>
        <v/>
      </c>
      <c r="AF755" s="298" t="str">
        <f>IF(B755="", "",'Lighting Inventory (Ref only)'!W766)</f>
        <v/>
      </c>
      <c r="AH755" s="298" t="str">
        <f>IF(B755="", "",'Lighting Inventory (Ref only)'!Z766)</f>
        <v/>
      </c>
      <c r="AI755" s="298" t="str">
        <f>IF(B755="", "", 'Lighting Inventory (Ref only)'!Y766)</f>
        <v/>
      </c>
      <c r="AJ755" s="298" t="str">
        <f>IF(C755="", "",'Lighting Inventory (Ref only)'!AB766)</f>
        <v/>
      </c>
      <c r="AK755" s="375" t="str">
        <f>IF(B755="", "", 'Lighting Inventory (Ref only)'!AG766)</f>
        <v/>
      </c>
      <c r="AL755" s="375" t="str">
        <f>IF(B755="", "", 'Lighting Inventory (Ref only)'!AD766)</f>
        <v/>
      </c>
      <c r="AM755" s="375" t="str">
        <f>IF(B755="", "", 'Lighting Inventory (Ref only)'!AE766)</f>
        <v/>
      </c>
      <c r="AN755" s="375" t="str">
        <f>IF(B755="", "", 'Lighting Inventory (Ref only)'!AF766)</f>
        <v/>
      </c>
      <c r="AO755" s="375" t="str">
        <f>IF(B755="", "", 'Lighting Inventory (Ref only)'!AG766)</f>
        <v/>
      </c>
    </row>
    <row r="756" spans="1:41">
      <c r="A756" s="298" t="str">
        <f>IF(G756="", "", Lookups!BF758)</f>
        <v/>
      </c>
      <c r="B756" s="298" t="str">
        <f>IF('Lighting Inventory (Ref only)'!Q767="", "", 'Lighting Inventory (Ref only)'!Q767)</f>
        <v/>
      </c>
      <c r="C756" s="298" t="str">
        <f>IF(A756="", "", 'Lighting Inventory (Ref only)'!AO767)</f>
        <v/>
      </c>
      <c r="D756" s="298" t="str">
        <f>IF(B756= "","", Inventory!S764)</f>
        <v/>
      </c>
      <c r="F756" s="298" t="str">
        <f>IF(B756="", "", 'Version Log'!$B$34)</f>
        <v/>
      </c>
      <c r="G756" s="298" t="str">
        <f t="shared" si="44"/>
        <v/>
      </c>
      <c r="H756" s="298" t="str">
        <f t="shared" si="45"/>
        <v/>
      </c>
      <c r="I756" s="298" t="str">
        <f>IF(B756="", "",Inventory!D764)</f>
        <v/>
      </c>
      <c r="J756" s="298" t="str">
        <f>IF(B756="","",IF(Inventory!C764="N","Interior","Exterior"))</f>
        <v/>
      </c>
      <c r="K756" s="298" t="str">
        <f t="shared" si="46"/>
        <v/>
      </c>
      <c r="L756" s="298" t="str">
        <f>IF(B756="", "", Inventory!E764)</f>
        <v/>
      </c>
      <c r="M756" s="298" t="str">
        <f>IF(B756="","",IF(Cool_Type=Lookups!$L$9,Cool_Type,IF(Cool_Type=Lookups!$L$10,Cool_Type,IF(Cool_Type=Lookups!$L$11,Cool_Type,IF(Cool_Type=Lookups!L766,Cool_Type,IF('Project Info and Summary'!$C$20="Electric",CONCATENATE(Cool_Type," ",Heating_Type," Heat"),IF('Project Info and Summary'!$C$20="Non-Electric",CONCATENATE(Cool_Type," ",Heating_Type," Heat"),CONCATENATE(Cool_Type," ",Heating_Type))))))))</f>
        <v/>
      </c>
      <c r="N756" s="298" t="str">
        <f t="shared" si="47"/>
        <v/>
      </c>
      <c r="O756" s="298" t="str">
        <f>IF(B756="", "", 'Lighting Inventory (Ref only)'!G767)</f>
        <v/>
      </c>
      <c r="P756" s="298" t="str">
        <f>IF(B756="", "", 'Lighting Inventory (Ref only)'!E767)</f>
        <v/>
      </c>
      <c r="Q756" s="298" t="str">
        <f>IF(B756="", "", 'Lighting Inventory (Ref only)'!J767)</f>
        <v/>
      </c>
      <c r="R756" s="298" t="str">
        <f>IF(B756="", "",'Lighting Inventory (Ref only)'!K767)</f>
        <v/>
      </c>
      <c r="S756" s="372" t="str">
        <f>IF(B756="", "", 'Lighting Inventory (Ref only)'!G767*'Lighting Inventory (Ref only)'!K767/1000)</f>
        <v/>
      </c>
      <c r="T756" s="298" t="str">
        <f>IF(B756="", "", IF('Lighting Inventory (Ref only)'!I767="", "Light Switch",Inventory!H764))</f>
        <v/>
      </c>
      <c r="X756" s="298" t="str">
        <f>IF(B756="", "", 'Lighting Inventory (Ref only)'!Q767)</f>
        <v/>
      </c>
      <c r="AA756" s="298" t="str">
        <f>IF(B756="", "",'Lighting Inventory (Ref only)'!R767/1000)</f>
        <v/>
      </c>
      <c r="AB756" s="298" t="str">
        <f>IF(B756="", "", Inventory!M764)</f>
        <v/>
      </c>
      <c r="AC756" s="298" t="str">
        <f>IF(B756="", "", 'Lighting Inventory (Ref only)'!T767)</f>
        <v/>
      </c>
      <c r="AD756" s="298" t="str">
        <f>IF(C756="", "", 'Lighting Inventory (Ref only)'!AA767)</f>
        <v/>
      </c>
      <c r="AE756" s="298" t="str">
        <f>IF(B756="", "", 'Lighting Inventory (Ref only)'!U767)</f>
        <v/>
      </c>
      <c r="AF756" s="298" t="str">
        <f>IF(B756="", "",'Lighting Inventory (Ref only)'!W767)</f>
        <v/>
      </c>
      <c r="AH756" s="298" t="str">
        <f>IF(B756="", "",'Lighting Inventory (Ref only)'!Z767)</f>
        <v/>
      </c>
      <c r="AI756" s="298" t="str">
        <f>IF(B756="", "", 'Lighting Inventory (Ref only)'!Y767)</f>
        <v/>
      </c>
      <c r="AJ756" s="298" t="str">
        <f>IF(C756="", "",'Lighting Inventory (Ref only)'!AB767)</f>
        <v/>
      </c>
      <c r="AK756" s="375" t="str">
        <f>IF(B756="", "", 'Lighting Inventory (Ref only)'!AG767)</f>
        <v/>
      </c>
      <c r="AL756" s="375" t="str">
        <f>IF(B756="", "", 'Lighting Inventory (Ref only)'!AD767)</f>
        <v/>
      </c>
      <c r="AM756" s="375" t="str">
        <f>IF(B756="", "", 'Lighting Inventory (Ref only)'!AE767)</f>
        <v/>
      </c>
      <c r="AN756" s="375" t="str">
        <f>IF(B756="", "", 'Lighting Inventory (Ref only)'!AF767)</f>
        <v/>
      </c>
      <c r="AO756" s="375" t="str">
        <f>IF(B756="", "", 'Lighting Inventory (Ref only)'!AG767)</f>
        <v/>
      </c>
    </row>
    <row r="757" spans="1:41">
      <c r="A757" s="298" t="str">
        <f>IF(G757="", "", Lookups!BF759)</f>
        <v/>
      </c>
      <c r="B757" s="298" t="str">
        <f>IF('Lighting Inventory (Ref only)'!Q768="", "", 'Lighting Inventory (Ref only)'!Q768)</f>
        <v/>
      </c>
      <c r="C757" s="298" t="str">
        <f>IF(A757="", "", 'Lighting Inventory (Ref only)'!AO768)</f>
        <v/>
      </c>
      <c r="D757" s="298" t="str">
        <f>IF(B757= "","", Inventory!S765)</f>
        <v/>
      </c>
      <c r="F757" s="298" t="str">
        <f>IF(B757="", "", 'Version Log'!$B$34)</f>
        <v/>
      </c>
      <c r="G757" s="298" t="str">
        <f t="shared" si="44"/>
        <v/>
      </c>
      <c r="H757" s="298" t="str">
        <f t="shared" si="45"/>
        <v/>
      </c>
      <c r="I757" s="298" t="str">
        <f>IF(B757="", "",Inventory!D765)</f>
        <v/>
      </c>
      <c r="J757" s="298" t="str">
        <f>IF(B757="","",IF(Inventory!C765="N","Interior","Exterior"))</f>
        <v/>
      </c>
      <c r="K757" s="298" t="str">
        <f t="shared" si="46"/>
        <v/>
      </c>
      <c r="L757" s="298" t="str">
        <f>IF(B757="", "", Inventory!E765)</f>
        <v/>
      </c>
      <c r="M757" s="298" t="str">
        <f>IF(B757="","",IF(Cool_Type=Lookups!$L$9,Cool_Type,IF(Cool_Type=Lookups!$L$10,Cool_Type,IF(Cool_Type=Lookups!$L$11,Cool_Type,IF(Cool_Type=Lookups!L767,Cool_Type,IF('Project Info and Summary'!$C$20="Electric",CONCATENATE(Cool_Type," ",Heating_Type," Heat"),IF('Project Info and Summary'!$C$20="Non-Electric",CONCATENATE(Cool_Type," ",Heating_Type," Heat"),CONCATENATE(Cool_Type," ",Heating_Type))))))))</f>
        <v/>
      </c>
      <c r="N757" s="298" t="str">
        <f t="shared" si="47"/>
        <v/>
      </c>
      <c r="O757" s="298" t="str">
        <f>IF(B757="", "", 'Lighting Inventory (Ref only)'!G768)</f>
        <v/>
      </c>
      <c r="P757" s="298" t="str">
        <f>IF(B757="", "", 'Lighting Inventory (Ref only)'!E768)</f>
        <v/>
      </c>
      <c r="Q757" s="298" t="str">
        <f>IF(B757="", "", 'Lighting Inventory (Ref only)'!J768)</f>
        <v/>
      </c>
      <c r="R757" s="298" t="str">
        <f>IF(B757="", "",'Lighting Inventory (Ref only)'!K768)</f>
        <v/>
      </c>
      <c r="S757" s="372" t="str">
        <f>IF(B757="", "", 'Lighting Inventory (Ref only)'!G768*'Lighting Inventory (Ref only)'!K768/1000)</f>
        <v/>
      </c>
      <c r="T757" s="298" t="str">
        <f>IF(B757="", "", IF('Lighting Inventory (Ref only)'!I768="", "Light Switch",Inventory!H765))</f>
        <v/>
      </c>
      <c r="X757" s="298" t="str">
        <f>IF(B757="", "", 'Lighting Inventory (Ref only)'!Q768)</f>
        <v/>
      </c>
      <c r="AA757" s="298" t="str">
        <f>IF(B757="", "",'Lighting Inventory (Ref only)'!R768/1000)</f>
        <v/>
      </c>
      <c r="AB757" s="298" t="str">
        <f>IF(B757="", "", Inventory!M765)</f>
        <v/>
      </c>
      <c r="AC757" s="298" t="str">
        <f>IF(B757="", "", 'Lighting Inventory (Ref only)'!T768)</f>
        <v/>
      </c>
      <c r="AD757" s="298" t="str">
        <f>IF(C757="", "", 'Lighting Inventory (Ref only)'!AA768)</f>
        <v/>
      </c>
      <c r="AE757" s="298" t="str">
        <f>IF(B757="", "", 'Lighting Inventory (Ref only)'!U768)</f>
        <v/>
      </c>
      <c r="AF757" s="298" t="str">
        <f>IF(B757="", "",'Lighting Inventory (Ref only)'!W768)</f>
        <v/>
      </c>
      <c r="AH757" s="298" t="str">
        <f>IF(B757="", "",'Lighting Inventory (Ref only)'!Z768)</f>
        <v/>
      </c>
      <c r="AI757" s="298" t="str">
        <f>IF(B757="", "", 'Lighting Inventory (Ref only)'!Y768)</f>
        <v/>
      </c>
      <c r="AJ757" s="298" t="str">
        <f>IF(C757="", "",'Lighting Inventory (Ref only)'!AB768)</f>
        <v/>
      </c>
      <c r="AK757" s="375" t="str">
        <f>IF(B757="", "", 'Lighting Inventory (Ref only)'!AG768)</f>
        <v/>
      </c>
      <c r="AL757" s="375" t="str">
        <f>IF(B757="", "", 'Lighting Inventory (Ref only)'!AD768)</f>
        <v/>
      </c>
      <c r="AM757" s="375" t="str">
        <f>IF(B757="", "", 'Lighting Inventory (Ref only)'!AE768)</f>
        <v/>
      </c>
      <c r="AN757" s="375" t="str">
        <f>IF(B757="", "", 'Lighting Inventory (Ref only)'!AF768)</f>
        <v/>
      </c>
      <c r="AO757" s="375" t="str">
        <f>IF(B757="", "", 'Lighting Inventory (Ref only)'!AG768)</f>
        <v/>
      </c>
    </row>
    <row r="758" spans="1:41">
      <c r="A758" s="298" t="str">
        <f>IF(G758="", "", Lookups!BF760)</f>
        <v/>
      </c>
      <c r="B758" s="298" t="str">
        <f>IF('Lighting Inventory (Ref only)'!Q769="", "", 'Lighting Inventory (Ref only)'!Q769)</f>
        <v/>
      </c>
      <c r="C758" s="298" t="str">
        <f>IF(A758="", "", 'Lighting Inventory (Ref only)'!AO769)</f>
        <v/>
      </c>
      <c r="D758" s="298" t="str">
        <f>IF(B758= "","", Inventory!S766)</f>
        <v/>
      </c>
      <c r="F758" s="298" t="str">
        <f>IF(B758="", "", 'Version Log'!$B$34)</f>
        <v/>
      </c>
      <c r="G758" s="298" t="str">
        <f t="shared" ref="G758:G821" si="48">IF(B758="", "", PRJ_Type)</f>
        <v/>
      </c>
      <c r="H758" s="298" t="str">
        <f t="shared" ref="H758:H821" si="49">IF(B758="", "", SqFt)</f>
        <v/>
      </c>
      <c r="I758" s="298" t="str">
        <f>IF(B758="", "",Inventory!D766)</f>
        <v/>
      </c>
      <c r="J758" s="298" t="str">
        <f>IF(B758="","",IF(Inventory!C766="N","Interior","Exterior"))</f>
        <v/>
      </c>
      <c r="K758" s="298" t="str">
        <f t="shared" ref="K758:K821" si="50">IF(B758="", "", Building_Type)</f>
        <v/>
      </c>
      <c r="L758" s="298" t="str">
        <f>IF(B758="", "", Inventory!E766)</f>
        <v/>
      </c>
      <c r="M758" s="298" t="str">
        <f>IF(B758="","",IF(Cool_Type=Lookups!$L$9,Cool_Type,IF(Cool_Type=Lookups!$L$10,Cool_Type,IF(Cool_Type=Lookups!$L$11,Cool_Type,IF(Cool_Type=Lookups!L768,Cool_Type,IF('Project Info and Summary'!$C$20="Electric",CONCATENATE(Cool_Type," ",Heating_Type," Heat"),IF('Project Info and Summary'!$C$20="Non-Electric",CONCATENATE(Cool_Type," ",Heating_Type," Heat"),CONCATENATE(Cool_Type," ",Heating_Type))))))))</f>
        <v/>
      </c>
      <c r="N758" s="298" t="str">
        <f t="shared" ref="N758:N821" si="51">IF(B758="", "",Heating_Type)</f>
        <v/>
      </c>
      <c r="O758" s="298" t="str">
        <f>IF(B758="", "", 'Lighting Inventory (Ref only)'!G769)</f>
        <v/>
      </c>
      <c r="P758" s="298" t="str">
        <f>IF(B758="", "", 'Lighting Inventory (Ref only)'!E769)</f>
        <v/>
      </c>
      <c r="Q758" s="298" t="str">
        <f>IF(B758="", "", 'Lighting Inventory (Ref only)'!J769)</f>
        <v/>
      </c>
      <c r="R758" s="298" t="str">
        <f>IF(B758="", "",'Lighting Inventory (Ref only)'!K769)</f>
        <v/>
      </c>
      <c r="S758" s="372" t="str">
        <f>IF(B758="", "", 'Lighting Inventory (Ref only)'!G769*'Lighting Inventory (Ref only)'!K769/1000)</f>
        <v/>
      </c>
      <c r="T758" s="298" t="str">
        <f>IF(B758="", "", IF('Lighting Inventory (Ref only)'!I769="", "Light Switch",Inventory!H766))</f>
        <v/>
      </c>
      <c r="X758" s="298" t="str">
        <f>IF(B758="", "", 'Lighting Inventory (Ref only)'!Q769)</f>
        <v/>
      </c>
      <c r="AA758" s="298" t="str">
        <f>IF(B758="", "",'Lighting Inventory (Ref only)'!R769/1000)</f>
        <v/>
      </c>
      <c r="AB758" s="298" t="str">
        <f>IF(B758="", "", Inventory!M766)</f>
        <v/>
      </c>
      <c r="AC758" s="298" t="str">
        <f>IF(B758="", "", 'Lighting Inventory (Ref only)'!T769)</f>
        <v/>
      </c>
      <c r="AD758" s="298" t="str">
        <f>IF(C758="", "", 'Lighting Inventory (Ref only)'!AA769)</f>
        <v/>
      </c>
      <c r="AE758" s="298" t="str">
        <f>IF(B758="", "", 'Lighting Inventory (Ref only)'!U769)</f>
        <v/>
      </c>
      <c r="AF758" s="298" t="str">
        <f>IF(B758="", "",'Lighting Inventory (Ref only)'!W769)</f>
        <v/>
      </c>
      <c r="AH758" s="298" t="str">
        <f>IF(B758="", "",'Lighting Inventory (Ref only)'!Z769)</f>
        <v/>
      </c>
      <c r="AI758" s="298" t="str">
        <f>IF(B758="", "", 'Lighting Inventory (Ref only)'!Y769)</f>
        <v/>
      </c>
      <c r="AJ758" s="298" t="str">
        <f>IF(C758="", "",'Lighting Inventory (Ref only)'!AB769)</f>
        <v/>
      </c>
      <c r="AK758" s="375" t="str">
        <f>IF(B758="", "", 'Lighting Inventory (Ref only)'!AG769)</f>
        <v/>
      </c>
      <c r="AL758" s="375" t="str">
        <f>IF(B758="", "", 'Lighting Inventory (Ref only)'!AD769)</f>
        <v/>
      </c>
      <c r="AM758" s="375" t="str">
        <f>IF(B758="", "", 'Lighting Inventory (Ref only)'!AE769)</f>
        <v/>
      </c>
      <c r="AN758" s="375" t="str">
        <f>IF(B758="", "", 'Lighting Inventory (Ref only)'!AF769)</f>
        <v/>
      </c>
      <c r="AO758" s="375" t="str">
        <f>IF(B758="", "", 'Lighting Inventory (Ref only)'!AG769)</f>
        <v/>
      </c>
    </row>
    <row r="759" spans="1:41">
      <c r="A759" s="298" t="str">
        <f>IF(G759="", "", Lookups!BF761)</f>
        <v/>
      </c>
      <c r="B759" s="298" t="str">
        <f>IF('Lighting Inventory (Ref only)'!Q770="", "", 'Lighting Inventory (Ref only)'!Q770)</f>
        <v/>
      </c>
      <c r="C759" s="298" t="str">
        <f>IF(A759="", "", 'Lighting Inventory (Ref only)'!AO770)</f>
        <v/>
      </c>
      <c r="D759" s="298" t="str">
        <f>IF(B759= "","", Inventory!S767)</f>
        <v/>
      </c>
      <c r="F759" s="298" t="str">
        <f>IF(B759="", "", 'Version Log'!$B$34)</f>
        <v/>
      </c>
      <c r="G759" s="298" t="str">
        <f t="shared" si="48"/>
        <v/>
      </c>
      <c r="H759" s="298" t="str">
        <f t="shared" si="49"/>
        <v/>
      </c>
      <c r="I759" s="298" t="str">
        <f>IF(B759="", "",Inventory!D767)</f>
        <v/>
      </c>
      <c r="J759" s="298" t="str">
        <f>IF(B759="","",IF(Inventory!C767="N","Interior","Exterior"))</f>
        <v/>
      </c>
      <c r="K759" s="298" t="str">
        <f t="shared" si="50"/>
        <v/>
      </c>
      <c r="L759" s="298" t="str">
        <f>IF(B759="", "", Inventory!E767)</f>
        <v/>
      </c>
      <c r="M759" s="298" t="str">
        <f>IF(B759="","",IF(Cool_Type=Lookups!$L$9,Cool_Type,IF(Cool_Type=Lookups!$L$10,Cool_Type,IF(Cool_Type=Lookups!$L$11,Cool_Type,IF(Cool_Type=Lookups!L769,Cool_Type,IF('Project Info and Summary'!$C$20="Electric",CONCATENATE(Cool_Type," ",Heating_Type," Heat"),IF('Project Info and Summary'!$C$20="Non-Electric",CONCATENATE(Cool_Type," ",Heating_Type," Heat"),CONCATENATE(Cool_Type," ",Heating_Type))))))))</f>
        <v/>
      </c>
      <c r="N759" s="298" t="str">
        <f t="shared" si="51"/>
        <v/>
      </c>
      <c r="O759" s="298" t="str">
        <f>IF(B759="", "", 'Lighting Inventory (Ref only)'!G770)</f>
        <v/>
      </c>
      <c r="P759" s="298" t="str">
        <f>IF(B759="", "", 'Lighting Inventory (Ref only)'!E770)</f>
        <v/>
      </c>
      <c r="Q759" s="298" t="str">
        <f>IF(B759="", "", 'Lighting Inventory (Ref only)'!J770)</f>
        <v/>
      </c>
      <c r="R759" s="298" t="str">
        <f>IF(B759="", "",'Lighting Inventory (Ref only)'!K770)</f>
        <v/>
      </c>
      <c r="S759" s="372" t="str">
        <f>IF(B759="", "", 'Lighting Inventory (Ref only)'!G770*'Lighting Inventory (Ref only)'!K770/1000)</f>
        <v/>
      </c>
      <c r="T759" s="298" t="str">
        <f>IF(B759="", "", IF('Lighting Inventory (Ref only)'!I770="", "Light Switch",Inventory!H767))</f>
        <v/>
      </c>
      <c r="X759" s="298" t="str">
        <f>IF(B759="", "", 'Lighting Inventory (Ref only)'!Q770)</f>
        <v/>
      </c>
      <c r="AA759" s="298" t="str">
        <f>IF(B759="", "",'Lighting Inventory (Ref only)'!R770/1000)</f>
        <v/>
      </c>
      <c r="AB759" s="298" t="str">
        <f>IF(B759="", "", Inventory!M767)</f>
        <v/>
      </c>
      <c r="AC759" s="298" t="str">
        <f>IF(B759="", "", 'Lighting Inventory (Ref only)'!T770)</f>
        <v/>
      </c>
      <c r="AD759" s="298" t="str">
        <f>IF(C759="", "", 'Lighting Inventory (Ref only)'!AA770)</f>
        <v/>
      </c>
      <c r="AE759" s="298" t="str">
        <f>IF(B759="", "", 'Lighting Inventory (Ref only)'!U770)</f>
        <v/>
      </c>
      <c r="AF759" s="298" t="str">
        <f>IF(B759="", "",'Lighting Inventory (Ref only)'!W770)</f>
        <v/>
      </c>
      <c r="AH759" s="298" t="str">
        <f>IF(B759="", "",'Lighting Inventory (Ref only)'!Z770)</f>
        <v/>
      </c>
      <c r="AI759" s="298" t="str">
        <f>IF(B759="", "", 'Lighting Inventory (Ref only)'!Y770)</f>
        <v/>
      </c>
      <c r="AJ759" s="298" t="str">
        <f>IF(C759="", "",'Lighting Inventory (Ref only)'!AB770)</f>
        <v/>
      </c>
      <c r="AK759" s="375" t="str">
        <f>IF(B759="", "", 'Lighting Inventory (Ref only)'!AG770)</f>
        <v/>
      </c>
      <c r="AL759" s="375" t="str">
        <f>IF(B759="", "", 'Lighting Inventory (Ref only)'!AD770)</f>
        <v/>
      </c>
      <c r="AM759" s="375" t="str">
        <f>IF(B759="", "", 'Lighting Inventory (Ref only)'!AE770)</f>
        <v/>
      </c>
      <c r="AN759" s="375" t="str">
        <f>IF(B759="", "", 'Lighting Inventory (Ref only)'!AF770)</f>
        <v/>
      </c>
      <c r="AO759" s="375" t="str">
        <f>IF(B759="", "", 'Lighting Inventory (Ref only)'!AG770)</f>
        <v/>
      </c>
    </row>
    <row r="760" spans="1:41">
      <c r="A760" s="298" t="str">
        <f>IF(G760="", "", Lookups!BF762)</f>
        <v/>
      </c>
      <c r="B760" s="298" t="str">
        <f>IF('Lighting Inventory (Ref only)'!Q771="", "", 'Lighting Inventory (Ref only)'!Q771)</f>
        <v/>
      </c>
      <c r="C760" s="298" t="str">
        <f>IF(A760="", "", 'Lighting Inventory (Ref only)'!AO771)</f>
        <v/>
      </c>
      <c r="D760" s="298" t="str">
        <f>IF(B760= "","", Inventory!S768)</f>
        <v/>
      </c>
      <c r="F760" s="298" t="str">
        <f>IF(B760="", "", 'Version Log'!$B$34)</f>
        <v/>
      </c>
      <c r="G760" s="298" t="str">
        <f t="shared" si="48"/>
        <v/>
      </c>
      <c r="H760" s="298" t="str">
        <f t="shared" si="49"/>
        <v/>
      </c>
      <c r="I760" s="298" t="str">
        <f>IF(B760="", "",Inventory!D768)</f>
        <v/>
      </c>
      <c r="J760" s="298" t="str">
        <f>IF(B760="","",IF(Inventory!C768="N","Interior","Exterior"))</f>
        <v/>
      </c>
      <c r="K760" s="298" t="str">
        <f t="shared" si="50"/>
        <v/>
      </c>
      <c r="L760" s="298" t="str">
        <f>IF(B760="", "", Inventory!E768)</f>
        <v/>
      </c>
      <c r="M760" s="298" t="str">
        <f>IF(B760="","",IF(Cool_Type=Lookups!$L$9,Cool_Type,IF(Cool_Type=Lookups!$L$10,Cool_Type,IF(Cool_Type=Lookups!$L$11,Cool_Type,IF(Cool_Type=Lookups!L770,Cool_Type,IF('Project Info and Summary'!$C$20="Electric",CONCATENATE(Cool_Type," ",Heating_Type," Heat"),IF('Project Info and Summary'!$C$20="Non-Electric",CONCATENATE(Cool_Type," ",Heating_Type," Heat"),CONCATENATE(Cool_Type," ",Heating_Type))))))))</f>
        <v/>
      </c>
      <c r="N760" s="298" t="str">
        <f t="shared" si="51"/>
        <v/>
      </c>
      <c r="O760" s="298" t="str">
        <f>IF(B760="", "", 'Lighting Inventory (Ref only)'!G771)</f>
        <v/>
      </c>
      <c r="P760" s="298" t="str">
        <f>IF(B760="", "", 'Lighting Inventory (Ref only)'!E771)</f>
        <v/>
      </c>
      <c r="Q760" s="298" t="str">
        <f>IF(B760="", "", 'Lighting Inventory (Ref only)'!J771)</f>
        <v/>
      </c>
      <c r="R760" s="298" t="str">
        <f>IF(B760="", "",'Lighting Inventory (Ref only)'!K771)</f>
        <v/>
      </c>
      <c r="S760" s="372" t="str">
        <f>IF(B760="", "", 'Lighting Inventory (Ref only)'!G771*'Lighting Inventory (Ref only)'!K771/1000)</f>
        <v/>
      </c>
      <c r="T760" s="298" t="str">
        <f>IF(B760="", "", IF('Lighting Inventory (Ref only)'!I771="", "Light Switch",Inventory!H768))</f>
        <v/>
      </c>
      <c r="X760" s="298" t="str">
        <f>IF(B760="", "", 'Lighting Inventory (Ref only)'!Q771)</f>
        <v/>
      </c>
      <c r="AA760" s="298" t="str">
        <f>IF(B760="", "",'Lighting Inventory (Ref only)'!R771/1000)</f>
        <v/>
      </c>
      <c r="AB760" s="298" t="str">
        <f>IF(B760="", "", Inventory!M768)</f>
        <v/>
      </c>
      <c r="AC760" s="298" t="str">
        <f>IF(B760="", "", 'Lighting Inventory (Ref only)'!T771)</f>
        <v/>
      </c>
      <c r="AD760" s="298" t="str">
        <f>IF(C760="", "", 'Lighting Inventory (Ref only)'!AA771)</f>
        <v/>
      </c>
      <c r="AE760" s="298" t="str">
        <f>IF(B760="", "", 'Lighting Inventory (Ref only)'!U771)</f>
        <v/>
      </c>
      <c r="AF760" s="298" t="str">
        <f>IF(B760="", "",'Lighting Inventory (Ref only)'!W771)</f>
        <v/>
      </c>
      <c r="AH760" s="298" t="str">
        <f>IF(B760="", "",'Lighting Inventory (Ref only)'!Z771)</f>
        <v/>
      </c>
      <c r="AI760" s="298" t="str">
        <f>IF(B760="", "", 'Lighting Inventory (Ref only)'!Y771)</f>
        <v/>
      </c>
      <c r="AJ760" s="298" t="str">
        <f>IF(C760="", "",'Lighting Inventory (Ref only)'!AB771)</f>
        <v/>
      </c>
      <c r="AK760" s="375" t="str">
        <f>IF(B760="", "", 'Lighting Inventory (Ref only)'!AG771)</f>
        <v/>
      </c>
      <c r="AL760" s="375" t="str">
        <f>IF(B760="", "", 'Lighting Inventory (Ref only)'!AD771)</f>
        <v/>
      </c>
      <c r="AM760" s="375" t="str">
        <f>IF(B760="", "", 'Lighting Inventory (Ref only)'!AE771)</f>
        <v/>
      </c>
      <c r="AN760" s="375" t="str">
        <f>IF(B760="", "", 'Lighting Inventory (Ref only)'!AF771)</f>
        <v/>
      </c>
      <c r="AO760" s="375" t="str">
        <f>IF(B760="", "", 'Lighting Inventory (Ref only)'!AG771)</f>
        <v/>
      </c>
    </row>
    <row r="761" spans="1:41">
      <c r="A761" s="298" t="str">
        <f>IF(G761="", "", Lookups!BF763)</f>
        <v/>
      </c>
      <c r="B761" s="298" t="str">
        <f>IF('Lighting Inventory (Ref only)'!Q772="", "", 'Lighting Inventory (Ref only)'!Q772)</f>
        <v/>
      </c>
      <c r="C761" s="298" t="str">
        <f>IF(A761="", "", 'Lighting Inventory (Ref only)'!AO772)</f>
        <v/>
      </c>
      <c r="D761" s="298" t="str">
        <f>IF(B761= "","", Inventory!S769)</f>
        <v/>
      </c>
      <c r="F761" s="298" t="str">
        <f>IF(B761="", "", 'Version Log'!$B$34)</f>
        <v/>
      </c>
      <c r="G761" s="298" t="str">
        <f t="shared" si="48"/>
        <v/>
      </c>
      <c r="H761" s="298" t="str">
        <f t="shared" si="49"/>
        <v/>
      </c>
      <c r="I761" s="298" t="str">
        <f>IF(B761="", "",Inventory!D769)</f>
        <v/>
      </c>
      <c r="J761" s="298" t="str">
        <f>IF(B761="","",IF(Inventory!C769="N","Interior","Exterior"))</f>
        <v/>
      </c>
      <c r="K761" s="298" t="str">
        <f t="shared" si="50"/>
        <v/>
      </c>
      <c r="L761" s="298" t="str">
        <f>IF(B761="", "", Inventory!E769)</f>
        <v/>
      </c>
      <c r="M761" s="298" t="str">
        <f>IF(B761="","",IF(Cool_Type=Lookups!$L$9,Cool_Type,IF(Cool_Type=Lookups!$L$10,Cool_Type,IF(Cool_Type=Lookups!$L$11,Cool_Type,IF(Cool_Type=Lookups!L771,Cool_Type,IF('Project Info and Summary'!$C$20="Electric",CONCATENATE(Cool_Type," ",Heating_Type," Heat"),IF('Project Info and Summary'!$C$20="Non-Electric",CONCATENATE(Cool_Type," ",Heating_Type," Heat"),CONCATENATE(Cool_Type," ",Heating_Type))))))))</f>
        <v/>
      </c>
      <c r="N761" s="298" t="str">
        <f t="shared" si="51"/>
        <v/>
      </c>
      <c r="O761" s="298" t="str">
        <f>IF(B761="", "", 'Lighting Inventory (Ref only)'!G772)</f>
        <v/>
      </c>
      <c r="P761" s="298" t="str">
        <f>IF(B761="", "", 'Lighting Inventory (Ref only)'!E772)</f>
        <v/>
      </c>
      <c r="Q761" s="298" t="str">
        <f>IF(B761="", "", 'Lighting Inventory (Ref only)'!J772)</f>
        <v/>
      </c>
      <c r="R761" s="298" t="str">
        <f>IF(B761="", "",'Lighting Inventory (Ref only)'!K772)</f>
        <v/>
      </c>
      <c r="S761" s="372" t="str">
        <f>IF(B761="", "", 'Lighting Inventory (Ref only)'!G772*'Lighting Inventory (Ref only)'!K772/1000)</f>
        <v/>
      </c>
      <c r="T761" s="298" t="str">
        <f>IF(B761="", "", IF('Lighting Inventory (Ref only)'!I772="", "Light Switch",Inventory!H769))</f>
        <v/>
      </c>
      <c r="X761" s="298" t="str">
        <f>IF(B761="", "", 'Lighting Inventory (Ref only)'!Q772)</f>
        <v/>
      </c>
      <c r="AA761" s="298" t="str">
        <f>IF(B761="", "",'Lighting Inventory (Ref only)'!R772/1000)</f>
        <v/>
      </c>
      <c r="AB761" s="298" t="str">
        <f>IF(B761="", "", Inventory!M769)</f>
        <v/>
      </c>
      <c r="AC761" s="298" t="str">
        <f>IF(B761="", "", 'Lighting Inventory (Ref only)'!T772)</f>
        <v/>
      </c>
      <c r="AD761" s="298" t="str">
        <f>IF(C761="", "", 'Lighting Inventory (Ref only)'!AA772)</f>
        <v/>
      </c>
      <c r="AE761" s="298" t="str">
        <f>IF(B761="", "", 'Lighting Inventory (Ref only)'!U772)</f>
        <v/>
      </c>
      <c r="AF761" s="298" t="str">
        <f>IF(B761="", "",'Lighting Inventory (Ref only)'!W772)</f>
        <v/>
      </c>
      <c r="AH761" s="298" t="str">
        <f>IF(B761="", "",'Lighting Inventory (Ref only)'!Z772)</f>
        <v/>
      </c>
      <c r="AI761" s="298" t="str">
        <f>IF(B761="", "", 'Lighting Inventory (Ref only)'!Y772)</f>
        <v/>
      </c>
      <c r="AJ761" s="298" t="str">
        <f>IF(C761="", "",'Lighting Inventory (Ref only)'!AB772)</f>
        <v/>
      </c>
      <c r="AK761" s="375" t="str">
        <f>IF(B761="", "", 'Lighting Inventory (Ref only)'!AG772)</f>
        <v/>
      </c>
      <c r="AL761" s="375" t="str">
        <f>IF(B761="", "", 'Lighting Inventory (Ref only)'!AD772)</f>
        <v/>
      </c>
      <c r="AM761" s="375" t="str">
        <f>IF(B761="", "", 'Lighting Inventory (Ref only)'!AE772)</f>
        <v/>
      </c>
      <c r="AN761" s="375" t="str">
        <f>IF(B761="", "", 'Lighting Inventory (Ref only)'!AF772)</f>
        <v/>
      </c>
      <c r="AO761" s="375" t="str">
        <f>IF(B761="", "", 'Lighting Inventory (Ref only)'!AG772)</f>
        <v/>
      </c>
    </row>
    <row r="762" spans="1:41">
      <c r="A762" s="298" t="str">
        <f>IF(G762="", "", Lookups!BF764)</f>
        <v/>
      </c>
      <c r="B762" s="298" t="str">
        <f>IF('Lighting Inventory (Ref only)'!Q773="", "", 'Lighting Inventory (Ref only)'!Q773)</f>
        <v/>
      </c>
      <c r="C762" s="298" t="str">
        <f>IF(A762="", "", 'Lighting Inventory (Ref only)'!AO773)</f>
        <v/>
      </c>
      <c r="D762" s="298" t="str">
        <f>IF(B762= "","", Inventory!S770)</f>
        <v/>
      </c>
      <c r="F762" s="298" t="str">
        <f>IF(B762="", "", 'Version Log'!$B$34)</f>
        <v/>
      </c>
      <c r="G762" s="298" t="str">
        <f t="shared" si="48"/>
        <v/>
      </c>
      <c r="H762" s="298" t="str">
        <f t="shared" si="49"/>
        <v/>
      </c>
      <c r="I762" s="298" t="str">
        <f>IF(B762="", "",Inventory!D770)</f>
        <v/>
      </c>
      <c r="J762" s="298" t="str">
        <f>IF(B762="","",IF(Inventory!C770="N","Interior","Exterior"))</f>
        <v/>
      </c>
      <c r="K762" s="298" t="str">
        <f t="shared" si="50"/>
        <v/>
      </c>
      <c r="L762" s="298" t="str">
        <f>IF(B762="", "", Inventory!E770)</f>
        <v/>
      </c>
      <c r="M762" s="298" t="str">
        <f>IF(B762="","",IF(Cool_Type=Lookups!$L$9,Cool_Type,IF(Cool_Type=Lookups!$L$10,Cool_Type,IF(Cool_Type=Lookups!$L$11,Cool_Type,IF(Cool_Type=Lookups!L772,Cool_Type,IF('Project Info and Summary'!$C$20="Electric",CONCATENATE(Cool_Type," ",Heating_Type," Heat"),IF('Project Info and Summary'!$C$20="Non-Electric",CONCATENATE(Cool_Type," ",Heating_Type," Heat"),CONCATENATE(Cool_Type," ",Heating_Type))))))))</f>
        <v/>
      </c>
      <c r="N762" s="298" t="str">
        <f t="shared" si="51"/>
        <v/>
      </c>
      <c r="O762" s="298" t="str">
        <f>IF(B762="", "", 'Lighting Inventory (Ref only)'!G773)</f>
        <v/>
      </c>
      <c r="P762" s="298" t="str">
        <f>IF(B762="", "", 'Lighting Inventory (Ref only)'!E773)</f>
        <v/>
      </c>
      <c r="Q762" s="298" t="str">
        <f>IF(B762="", "", 'Lighting Inventory (Ref only)'!J773)</f>
        <v/>
      </c>
      <c r="R762" s="298" t="str">
        <f>IF(B762="", "",'Lighting Inventory (Ref only)'!K773)</f>
        <v/>
      </c>
      <c r="S762" s="372" t="str">
        <f>IF(B762="", "", 'Lighting Inventory (Ref only)'!G773*'Lighting Inventory (Ref only)'!K773/1000)</f>
        <v/>
      </c>
      <c r="T762" s="298" t="str">
        <f>IF(B762="", "", IF('Lighting Inventory (Ref only)'!I773="", "Light Switch",Inventory!H770))</f>
        <v/>
      </c>
      <c r="X762" s="298" t="str">
        <f>IF(B762="", "", 'Lighting Inventory (Ref only)'!Q773)</f>
        <v/>
      </c>
      <c r="AA762" s="298" t="str">
        <f>IF(B762="", "",'Lighting Inventory (Ref only)'!R773/1000)</f>
        <v/>
      </c>
      <c r="AB762" s="298" t="str">
        <f>IF(B762="", "", Inventory!M770)</f>
        <v/>
      </c>
      <c r="AC762" s="298" t="str">
        <f>IF(B762="", "", 'Lighting Inventory (Ref only)'!T773)</f>
        <v/>
      </c>
      <c r="AD762" s="298" t="str">
        <f>IF(C762="", "", 'Lighting Inventory (Ref only)'!AA773)</f>
        <v/>
      </c>
      <c r="AE762" s="298" t="str">
        <f>IF(B762="", "", 'Lighting Inventory (Ref only)'!U773)</f>
        <v/>
      </c>
      <c r="AF762" s="298" t="str">
        <f>IF(B762="", "",'Lighting Inventory (Ref only)'!W773)</f>
        <v/>
      </c>
      <c r="AH762" s="298" t="str">
        <f>IF(B762="", "",'Lighting Inventory (Ref only)'!Z773)</f>
        <v/>
      </c>
      <c r="AI762" s="298" t="str">
        <f>IF(B762="", "", 'Lighting Inventory (Ref only)'!Y773)</f>
        <v/>
      </c>
      <c r="AJ762" s="298" t="str">
        <f>IF(C762="", "",'Lighting Inventory (Ref only)'!AB773)</f>
        <v/>
      </c>
      <c r="AK762" s="375" t="str">
        <f>IF(B762="", "", 'Lighting Inventory (Ref only)'!AG773)</f>
        <v/>
      </c>
      <c r="AL762" s="375" t="str">
        <f>IF(B762="", "", 'Lighting Inventory (Ref only)'!AD773)</f>
        <v/>
      </c>
      <c r="AM762" s="375" t="str">
        <f>IF(B762="", "", 'Lighting Inventory (Ref only)'!AE773)</f>
        <v/>
      </c>
      <c r="AN762" s="375" t="str">
        <f>IF(B762="", "", 'Lighting Inventory (Ref only)'!AF773)</f>
        <v/>
      </c>
      <c r="AO762" s="375" t="str">
        <f>IF(B762="", "", 'Lighting Inventory (Ref only)'!AG773)</f>
        <v/>
      </c>
    </row>
    <row r="763" spans="1:41">
      <c r="A763" s="298" t="str">
        <f>IF(G763="", "", Lookups!BF765)</f>
        <v/>
      </c>
      <c r="B763" s="298" t="str">
        <f>IF('Lighting Inventory (Ref only)'!Q774="", "", 'Lighting Inventory (Ref only)'!Q774)</f>
        <v/>
      </c>
      <c r="C763" s="298" t="str">
        <f>IF(A763="", "", 'Lighting Inventory (Ref only)'!AO774)</f>
        <v/>
      </c>
      <c r="D763" s="298" t="str">
        <f>IF(B763= "","", Inventory!S771)</f>
        <v/>
      </c>
      <c r="F763" s="298" t="str">
        <f>IF(B763="", "", 'Version Log'!$B$34)</f>
        <v/>
      </c>
      <c r="G763" s="298" t="str">
        <f t="shared" si="48"/>
        <v/>
      </c>
      <c r="H763" s="298" t="str">
        <f t="shared" si="49"/>
        <v/>
      </c>
      <c r="I763" s="298" t="str">
        <f>IF(B763="", "",Inventory!D771)</f>
        <v/>
      </c>
      <c r="J763" s="298" t="str">
        <f>IF(B763="","",IF(Inventory!C771="N","Interior","Exterior"))</f>
        <v/>
      </c>
      <c r="K763" s="298" t="str">
        <f t="shared" si="50"/>
        <v/>
      </c>
      <c r="L763" s="298" t="str">
        <f>IF(B763="", "", Inventory!E771)</f>
        <v/>
      </c>
      <c r="M763" s="298" t="str">
        <f>IF(B763="","",IF(Cool_Type=Lookups!$L$9,Cool_Type,IF(Cool_Type=Lookups!$L$10,Cool_Type,IF(Cool_Type=Lookups!$L$11,Cool_Type,IF(Cool_Type=Lookups!L773,Cool_Type,IF('Project Info and Summary'!$C$20="Electric",CONCATENATE(Cool_Type," ",Heating_Type," Heat"),IF('Project Info and Summary'!$C$20="Non-Electric",CONCATENATE(Cool_Type," ",Heating_Type," Heat"),CONCATENATE(Cool_Type," ",Heating_Type))))))))</f>
        <v/>
      </c>
      <c r="N763" s="298" t="str">
        <f t="shared" si="51"/>
        <v/>
      </c>
      <c r="O763" s="298" t="str">
        <f>IF(B763="", "", 'Lighting Inventory (Ref only)'!G774)</f>
        <v/>
      </c>
      <c r="P763" s="298" t="str">
        <f>IF(B763="", "", 'Lighting Inventory (Ref only)'!E774)</f>
        <v/>
      </c>
      <c r="Q763" s="298" t="str">
        <f>IF(B763="", "", 'Lighting Inventory (Ref only)'!J774)</f>
        <v/>
      </c>
      <c r="R763" s="298" t="str">
        <f>IF(B763="", "",'Lighting Inventory (Ref only)'!K774)</f>
        <v/>
      </c>
      <c r="S763" s="372" t="str">
        <f>IF(B763="", "", 'Lighting Inventory (Ref only)'!G774*'Lighting Inventory (Ref only)'!K774/1000)</f>
        <v/>
      </c>
      <c r="T763" s="298" t="str">
        <f>IF(B763="", "", IF('Lighting Inventory (Ref only)'!I774="", "Light Switch",Inventory!H771))</f>
        <v/>
      </c>
      <c r="X763" s="298" t="str">
        <f>IF(B763="", "", 'Lighting Inventory (Ref only)'!Q774)</f>
        <v/>
      </c>
      <c r="AA763" s="298" t="str">
        <f>IF(B763="", "",'Lighting Inventory (Ref only)'!R774/1000)</f>
        <v/>
      </c>
      <c r="AB763" s="298" t="str">
        <f>IF(B763="", "", Inventory!M771)</f>
        <v/>
      </c>
      <c r="AC763" s="298" t="str">
        <f>IF(B763="", "", 'Lighting Inventory (Ref only)'!T774)</f>
        <v/>
      </c>
      <c r="AD763" s="298" t="str">
        <f>IF(C763="", "", 'Lighting Inventory (Ref only)'!AA774)</f>
        <v/>
      </c>
      <c r="AE763" s="298" t="str">
        <f>IF(B763="", "", 'Lighting Inventory (Ref only)'!U774)</f>
        <v/>
      </c>
      <c r="AF763" s="298" t="str">
        <f>IF(B763="", "",'Lighting Inventory (Ref only)'!W774)</f>
        <v/>
      </c>
      <c r="AH763" s="298" t="str">
        <f>IF(B763="", "",'Lighting Inventory (Ref only)'!Z774)</f>
        <v/>
      </c>
      <c r="AI763" s="298" t="str">
        <f>IF(B763="", "", 'Lighting Inventory (Ref only)'!Y774)</f>
        <v/>
      </c>
      <c r="AJ763" s="298" t="str">
        <f>IF(C763="", "",'Lighting Inventory (Ref only)'!AB774)</f>
        <v/>
      </c>
      <c r="AK763" s="375" t="str">
        <f>IF(B763="", "", 'Lighting Inventory (Ref only)'!AG774)</f>
        <v/>
      </c>
      <c r="AL763" s="375" t="str">
        <f>IF(B763="", "", 'Lighting Inventory (Ref only)'!AD774)</f>
        <v/>
      </c>
      <c r="AM763" s="375" t="str">
        <f>IF(B763="", "", 'Lighting Inventory (Ref only)'!AE774)</f>
        <v/>
      </c>
      <c r="AN763" s="375" t="str">
        <f>IF(B763="", "", 'Lighting Inventory (Ref only)'!AF774)</f>
        <v/>
      </c>
      <c r="AO763" s="375" t="str">
        <f>IF(B763="", "", 'Lighting Inventory (Ref only)'!AG774)</f>
        <v/>
      </c>
    </row>
    <row r="764" spans="1:41">
      <c r="A764" s="298" t="str">
        <f>IF(G764="", "", Lookups!BF766)</f>
        <v/>
      </c>
      <c r="B764" s="298" t="str">
        <f>IF('Lighting Inventory (Ref only)'!Q775="", "", 'Lighting Inventory (Ref only)'!Q775)</f>
        <v/>
      </c>
      <c r="C764" s="298" t="str">
        <f>IF(A764="", "", 'Lighting Inventory (Ref only)'!AO775)</f>
        <v/>
      </c>
      <c r="D764" s="298" t="str">
        <f>IF(B764= "","", Inventory!S772)</f>
        <v/>
      </c>
      <c r="F764" s="298" t="str">
        <f>IF(B764="", "", 'Version Log'!$B$34)</f>
        <v/>
      </c>
      <c r="G764" s="298" t="str">
        <f t="shared" si="48"/>
        <v/>
      </c>
      <c r="H764" s="298" t="str">
        <f t="shared" si="49"/>
        <v/>
      </c>
      <c r="I764" s="298" t="str">
        <f>IF(B764="", "",Inventory!D772)</f>
        <v/>
      </c>
      <c r="J764" s="298" t="str">
        <f>IF(B764="","",IF(Inventory!C772="N","Interior","Exterior"))</f>
        <v/>
      </c>
      <c r="K764" s="298" t="str">
        <f t="shared" si="50"/>
        <v/>
      </c>
      <c r="L764" s="298" t="str">
        <f>IF(B764="", "", Inventory!E772)</f>
        <v/>
      </c>
      <c r="M764" s="298" t="str">
        <f>IF(B764="","",IF(Cool_Type=Lookups!$L$9,Cool_Type,IF(Cool_Type=Lookups!$L$10,Cool_Type,IF(Cool_Type=Lookups!$L$11,Cool_Type,IF(Cool_Type=Lookups!L774,Cool_Type,IF('Project Info and Summary'!$C$20="Electric",CONCATENATE(Cool_Type," ",Heating_Type," Heat"),IF('Project Info and Summary'!$C$20="Non-Electric",CONCATENATE(Cool_Type," ",Heating_Type," Heat"),CONCATENATE(Cool_Type," ",Heating_Type))))))))</f>
        <v/>
      </c>
      <c r="N764" s="298" t="str">
        <f t="shared" si="51"/>
        <v/>
      </c>
      <c r="O764" s="298" t="str">
        <f>IF(B764="", "", 'Lighting Inventory (Ref only)'!G775)</f>
        <v/>
      </c>
      <c r="P764" s="298" t="str">
        <f>IF(B764="", "", 'Lighting Inventory (Ref only)'!E775)</f>
        <v/>
      </c>
      <c r="Q764" s="298" t="str">
        <f>IF(B764="", "", 'Lighting Inventory (Ref only)'!J775)</f>
        <v/>
      </c>
      <c r="R764" s="298" t="str">
        <f>IF(B764="", "",'Lighting Inventory (Ref only)'!K775)</f>
        <v/>
      </c>
      <c r="S764" s="372" t="str">
        <f>IF(B764="", "", 'Lighting Inventory (Ref only)'!G775*'Lighting Inventory (Ref only)'!K775/1000)</f>
        <v/>
      </c>
      <c r="T764" s="298" t="str">
        <f>IF(B764="", "", IF('Lighting Inventory (Ref only)'!I775="", "Light Switch",Inventory!H772))</f>
        <v/>
      </c>
      <c r="X764" s="298" t="str">
        <f>IF(B764="", "", 'Lighting Inventory (Ref only)'!Q775)</f>
        <v/>
      </c>
      <c r="AA764" s="298" t="str">
        <f>IF(B764="", "",'Lighting Inventory (Ref only)'!R775/1000)</f>
        <v/>
      </c>
      <c r="AB764" s="298" t="str">
        <f>IF(B764="", "", Inventory!M772)</f>
        <v/>
      </c>
      <c r="AC764" s="298" t="str">
        <f>IF(B764="", "", 'Lighting Inventory (Ref only)'!T775)</f>
        <v/>
      </c>
      <c r="AD764" s="298" t="str">
        <f>IF(C764="", "", 'Lighting Inventory (Ref only)'!AA775)</f>
        <v/>
      </c>
      <c r="AE764" s="298" t="str">
        <f>IF(B764="", "", 'Lighting Inventory (Ref only)'!U775)</f>
        <v/>
      </c>
      <c r="AF764" s="298" t="str">
        <f>IF(B764="", "",'Lighting Inventory (Ref only)'!W775)</f>
        <v/>
      </c>
      <c r="AH764" s="298" t="str">
        <f>IF(B764="", "",'Lighting Inventory (Ref only)'!Z775)</f>
        <v/>
      </c>
      <c r="AI764" s="298" t="str">
        <f>IF(B764="", "", 'Lighting Inventory (Ref only)'!Y775)</f>
        <v/>
      </c>
      <c r="AJ764" s="298" t="str">
        <f>IF(C764="", "",'Lighting Inventory (Ref only)'!AB775)</f>
        <v/>
      </c>
      <c r="AK764" s="375" t="str">
        <f>IF(B764="", "", 'Lighting Inventory (Ref only)'!AG775)</f>
        <v/>
      </c>
      <c r="AL764" s="375" t="str">
        <f>IF(B764="", "", 'Lighting Inventory (Ref only)'!AD775)</f>
        <v/>
      </c>
      <c r="AM764" s="375" t="str">
        <f>IF(B764="", "", 'Lighting Inventory (Ref only)'!AE775)</f>
        <v/>
      </c>
      <c r="AN764" s="375" t="str">
        <f>IF(B764="", "", 'Lighting Inventory (Ref only)'!AF775)</f>
        <v/>
      </c>
      <c r="AO764" s="375" t="str">
        <f>IF(B764="", "", 'Lighting Inventory (Ref only)'!AG775)</f>
        <v/>
      </c>
    </row>
    <row r="765" spans="1:41">
      <c r="A765" s="298" t="str">
        <f>IF(G765="", "", Lookups!BF767)</f>
        <v/>
      </c>
      <c r="B765" s="298" t="str">
        <f>IF('Lighting Inventory (Ref only)'!Q776="", "", 'Lighting Inventory (Ref only)'!Q776)</f>
        <v/>
      </c>
      <c r="C765" s="298" t="str">
        <f>IF(A765="", "", 'Lighting Inventory (Ref only)'!AO776)</f>
        <v/>
      </c>
      <c r="D765" s="298" t="str">
        <f>IF(B765= "","", Inventory!S773)</f>
        <v/>
      </c>
      <c r="F765" s="298" t="str">
        <f>IF(B765="", "", 'Version Log'!$B$34)</f>
        <v/>
      </c>
      <c r="G765" s="298" t="str">
        <f t="shared" si="48"/>
        <v/>
      </c>
      <c r="H765" s="298" t="str">
        <f t="shared" si="49"/>
        <v/>
      </c>
      <c r="I765" s="298" t="str">
        <f>IF(B765="", "",Inventory!D773)</f>
        <v/>
      </c>
      <c r="J765" s="298" t="str">
        <f>IF(B765="","",IF(Inventory!C773="N","Interior","Exterior"))</f>
        <v/>
      </c>
      <c r="K765" s="298" t="str">
        <f t="shared" si="50"/>
        <v/>
      </c>
      <c r="L765" s="298" t="str">
        <f>IF(B765="", "", Inventory!E773)</f>
        <v/>
      </c>
      <c r="M765" s="298" t="str">
        <f>IF(B765="","",IF(Cool_Type=Lookups!$L$9,Cool_Type,IF(Cool_Type=Lookups!$L$10,Cool_Type,IF(Cool_Type=Lookups!$L$11,Cool_Type,IF(Cool_Type=Lookups!L775,Cool_Type,IF('Project Info and Summary'!$C$20="Electric",CONCATENATE(Cool_Type," ",Heating_Type," Heat"),IF('Project Info and Summary'!$C$20="Non-Electric",CONCATENATE(Cool_Type," ",Heating_Type," Heat"),CONCATENATE(Cool_Type," ",Heating_Type))))))))</f>
        <v/>
      </c>
      <c r="N765" s="298" t="str">
        <f t="shared" si="51"/>
        <v/>
      </c>
      <c r="O765" s="298" t="str">
        <f>IF(B765="", "", 'Lighting Inventory (Ref only)'!G776)</f>
        <v/>
      </c>
      <c r="P765" s="298" t="str">
        <f>IF(B765="", "", 'Lighting Inventory (Ref only)'!E776)</f>
        <v/>
      </c>
      <c r="Q765" s="298" t="str">
        <f>IF(B765="", "", 'Lighting Inventory (Ref only)'!J776)</f>
        <v/>
      </c>
      <c r="R765" s="298" t="str">
        <f>IF(B765="", "",'Lighting Inventory (Ref only)'!K776)</f>
        <v/>
      </c>
      <c r="S765" s="372" t="str">
        <f>IF(B765="", "", 'Lighting Inventory (Ref only)'!G776*'Lighting Inventory (Ref only)'!K776/1000)</f>
        <v/>
      </c>
      <c r="T765" s="298" t="str">
        <f>IF(B765="", "", IF('Lighting Inventory (Ref only)'!I776="", "Light Switch",Inventory!H773))</f>
        <v/>
      </c>
      <c r="X765" s="298" t="str">
        <f>IF(B765="", "", 'Lighting Inventory (Ref only)'!Q776)</f>
        <v/>
      </c>
      <c r="AA765" s="298" t="str">
        <f>IF(B765="", "",'Lighting Inventory (Ref only)'!R776/1000)</f>
        <v/>
      </c>
      <c r="AB765" s="298" t="str">
        <f>IF(B765="", "", Inventory!M773)</f>
        <v/>
      </c>
      <c r="AC765" s="298" t="str">
        <f>IF(B765="", "", 'Lighting Inventory (Ref only)'!T776)</f>
        <v/>
      </c>
      <c r="AD765" s="298" t="str">
        <f>IF(C765="", "", 'Lighting Inventory (Ref only)'!AA776)</f>
        <v/>
      </c>
      <c r="AE765" s="298" t="str">
        <f>IF(B765="", "", 'Lighting Inventory (Ref only)'!U776)</f>
        <v/>
      </c>
      <c r="AF765" s="298" t="str">
        <f>IF(B765="", "",'Lighting Inventory (Ref only)'!W776)</f>
        <v/>
      </c>
      <c r="AH765" s="298" t="str">
        <f>IF(B765="", "",'Lighting Inventory (Ref only)'!Z776)</f>
        <v/>
      </c>
      <c r="AI765" s="298" t="str">
        <f>IF(B765="", "", 'Lighting Inventory (Ref only)'!Y776)</f>
        <v/>
      </c>
      <c r="AJ765" s="298" t="str">
        <f>IF(C765="", "",'Lighting Inventory (Ref only)'!AB776)</f>
        <v/>
      </c>
      <c r="AK765" s="375" t="str">
        <f>IF(B765="", "", 'Lighting Inventory (Ref only)'!AG776)</f>
        <v/>
      </c>
      <c r="AL765" s="375" t="str">
        <f>IF(B765="", "", 'Lighting Inventory (Ref only)'!AD776)</f>
        <v/>
      </c>
      <c r="AM765" s="375" t="str">
        <f>IF(B765="", "", 'Lighting Inventory (Ref only)'!AE776)</f>
        <v/>
      </c>
      <c r="AN765" s="375" t="str">
        <f>IF(B765="", "", 'Lighting Inventory (Ref only)'!AF776)</f>
        <v/>
      </c>
      <c r="AO765" s="375" t="str">
        <f>IF(B765="", "", 'Lighting Inventory (Ref only)'!AG776)</f>
        <v/>
      </c>
    </row>
    <row r="766" spans="1:41">
      <c r="A766" s="298" t="str">
        <f>IF(G766="", "", Lookups!BF768)</f>
        <v/>
      </c>
      <c r="B766" s="298" t="str">
        <f>IF('Lighting Inventory (Ref only)'!Q777="", "", 'Lighting Inventory (Ref only)'!Q777)</f>
        <v/>
      </c>
      <c r="C766" s="298" t="str">
        <f>IF(A766="", "", 'Lighting Inventory (Ref only)'!AO777)</f>
        <v/>
      </c>
      <c r="D766" s="298" t="str">
        <f>IF(B766= "","", Inventory!S774)</f>
        <v/>
      </c>
      <c r="F766" s="298" t="str">
        <f>IF(B766="", "", 'Version Log'!$B$34)</f>
        <v/>
      </c>
      <c r="G766" s="298" t="str">
        <f t="shared" si="48"/>
        <v/>
      </c>
      <c r="H766" s="298" t="str">
        <f t="shared" si="49"/>
        <v/>
      </c>
      <c r="I766" s="298" t="str">
        <f>IF(B766="", "",Inventory!D774)</f>
        <v/>
      </c>
      <c r="J766" s="298" t="str">
        <f>IF(B766="","",IF(Inventory!C774="N","Interior","Exterior"))</f>
        <v/>
      </c>
      <c r="K766" s="298" t="str">
        <f t="shared" si="50"/>
        <v/>
      </c>
      <c r="L766" s="298" t="str">
        <f>IF(B766="", "", Inventory!E774)</f>
        <v/>
      </c>
      <c r="M766" s="298" t="str">
        <f>IF(B766="","",IF(Cool_Type=Lookups!$L$9,Cool_Type,IF(Cool_Type=Lookups!$L$10,Cool_Type,IF(Cool_Type=Lookups!$L$11,Cool_Type,IF(Cool_Type=Lookups!L776,Cool_Type,IF('Project Info and Summary'!$C$20="Electric",CONCATENATE(Cool_Type," ",Heating_Type," Heat"),IF('Project Info and Summary'!$C$20="Non-Electric",CONCATENATE(Cool_Type," ",Heating_Type," Heat"),CONCATENATE(Cool_Type," ",Heating_Type))))))))</f>
        <v/>
      </c>
      <c r="N766" s="298" t="str">
        <f t="shared" si="51"/>
        <v/>
      </c>
      <c r="O766" s="298" t="str">
        <f>IF(B766="", "", 'Lighting Inventory (Ref only)'!G777)</f>
        <v/>
      </c>
      <c r="P766" s="298" t="str">
        <f>IF(B766="", "", 'Lighting Inventory (Ref only)'!E777)</f>
        <v/>
      </c>
      <c r="Q766" s="298" t="str">
        <f>IF(B766="", "", 'Lighting Inventory (Ref only)'!J777)</f>
        <v/>
      </c>
      <c r="R766" s="298" t="str">
        <f>IF(B766="", "",'Lighting Inventory (Ref only)'!K777)</f>
        <v/>
      </c>
      <c r="S766" s="372" t="str">
        <f>IF(B766="", "", 'Lighting Inventory (Ref only)'!G777*'Lighting Inventory (Ref only)'!K777/1000)</f>
        <v/>
      </c>
      <c r="T766" s="298" t="str">
        <f>IF(B766="", "", IF('Lighting Inventory (Ref only)'!I777="", "Light Switch",Inventory!H774))</f>
        <v/>
      </c>
      <c r="X766" s="298" t="str">
        <f>IF(B766="", "", 'Lighting Inventory (Ref only)'!Q777)</f>
        <v/>
      </c>
      <c r="AA766" s="298" t="str">
        <f>IF(B766="", "",'Lighting Inventory (Ref only)'!R777/1000)</f>
        <v/>
      </c>
      <c r="AB766" s="298" t="str">
        <f>IF(B766="", "", Inventory!M774)</f>
        <v/>
      </c>
      <c r="AC766" s="298" t="str">
        <f>IF(B766="", "", 'Lighting Inventory (Ref only)'!T777)</f>
        <v/>
      </c>
      <c r="AD766" s="298" t="str">
        <f>IF(C766="", "", 'Lighting Inventory (Ref only)'!AA777)</f>
        <v/>
      </c>
      <c r="AE766" s="298" t="str">
        <f>IF(B766="", "", 'Lighting Inventory (Ref only)'!U777)</f>
        <v/>
      </c>
      <c r="AF766" s="298" t="str">
        <f>IF(B766="", "",'Lighting Inventory (Ref only)'!W777)</f>
        <v/>
      </c>
      <c r="AH766" s="298" t="str">
        <f>IF(B766="", "",'Lighting Inventory (Ref only)'!Z777)</f>
        <v/>
      </c>
      <c r="AI766" s="298" t="str">
        <f>IF(B766="", "", 'Lighting Inventory (Ref only)'!Y777)</f>
        <v/>
      </c>
      <c r="AJ766" s="298" t="str">
        <f>IF(C766="", "",'Lighting Inventory (Ref only)'!AB777)</f>
        <v/>
      </c>
      <c r="AK766" s="375" t="str">
        <f>IF(B766="", "", 'Lighting Inventory (Ref only)'!AG777)</f>
        <v/>
      </c>
      <c r="AL766" s="375" t="str">
        <f>IF(B766="", "", 'Lighting Inventory (Ref only)'!AD777)</f>
        <v/>
      </c>
      <c r="AM766" s="375" t="str">
        <f>IF(B766="", "", 'Lighting Inventory (Ref only)'!AE777)</f>
        <v/>
      </c>
      <c r="AN766" s="375" t="str">
        <f>IF(B766="", "", 'Lighting Inventory (Ref only)'!AF777)</f>
        <v/>
      </c>
      <c r="AO766" s="375" t="str">
        <f>IF(B766="", "", 'Lighting Inventory (Ref only)'!AG777)</f>
        <v/>
      </c>
    </row>
    <row r="767" spans="1:41">
      <c r="A767" s="298" t="str">
        <f>IF(G767="", "", Lookups!BF769)</f>
        <v/>
      </c>
      <c r="B767" s="298" t="str">
        <f>IF('Lighting Inventory (Ref only)'!Q778="", "", 'Lighting Inventory (Ref only)'!Q778)</f>
        <v/>
      </c>
      <c r="C767" s="298" t="str">
        <f>IF(A767="", "", 'Lighting Inventory (Ref only)'!AO778)</f>
        <v/>
      </c>
      <c r="D767" s="298" t="str">
        <f>IF(B767= "","", Inventory!S775)</f>
        <v/>
      </c>
      <c r="F767" s="298" t="str">
        <f>IF(B767="", "", 'Version Log'!$B$34)</f>
        <v/>
      </c>
      <c r="G767" s="298" t="str">
        <f t="shared" si="48"/>
        <v/>
      </c>
      <c r="H767" s="298" t="str">
        <f t="shared" si="49"/>
        <v/>
      </c>
      <c r="I767" s="298" t="str">
        <f>IF(B767="", "",Inventory!D775)</f>
        <v/>
      </c>
      <c r="J767" s="298" t="str">
        <f>IF(B767="","",IF(Inventory!C775="N","Interior","Exterior"))</f>
        <v/>
      </c>
      <c r="K767" s="298" t="str">
        <f t="shared" si="50"/>
        <v/>
      </c>
      <c r="L767" s="298" t="str">
        <f>IF(B767="", "", Inventory!E775)</f>
        <v/>
      </c>
      <c r="M767" s="298" t="str">
        <f>IF(B767="","",IF(Cool_Type=Lookups!$L$9,Cool_Type,IF(Cool_Type=Lookups!$L$10,Cool_Type,IF(Cool_Type=Lookups!$L$11,Cool_Type,IF(Cool_Type=Lookups!L777,Cool_Type,IF('Project Info and Summary'!$C$20="Electric",CONCATENATE(Cool_Type," ",Heating_Type," Heat"),IF('Project Info and Summary'!$C$20="Non-Electric",CONCATENATE(Cool_Type," ",Heating_Type," Heat"),CONCATENATE(Cool_Type," ",Heating_Type))))))))</f>
        <v/>
      </c>
      <c r="N767" s="298" t="str">
        <f t="shared" si="51"/>
        <v/>
      </c>
      <c r="O767" s="298" t="str">
        <f>IF(B767="", "", 'Lighting Inventory (Ref only)'!G778)</f>
        <v/>
      </c>
      <c r="P767" s="298" t="str">
        <f>IF(B767="", "", 'Lighting Inventory (Ref only)'!E778)</f>
        <v/>
      </c>
      <c r="Q767" s="298" t="str">
        <f>IF(B767="", "", 'Lighting Inventory (Ref only)'!J778)</f>
        <v/>
      </c>
      <c r="R767" s="298" t="str">
        <f>IF(B767="", "",'Lighting Inventory (Ref only)'!K778)</f>
        <v/>
      </c>
      <c r="S767" s="372" t="str">
        <f>IF(B767="", "", 'Lighting Inventory (Ref only)'!G778*'Lighting Inventory (Ref only)'!K778/1000)</f>
        <v/>
      </c>
      <c r="T767" s="298" t="str">
        <f>IF(B767="", "", IF('Lighting Inventory (Ref only)'!I778="", "Light Switch",Inventory!H775))</f>
        <v/>
      </c>
      <c r="X767" s="298" t="str">
        <f>IF(B767="", "", 'Lighting Inventory (Ref only)'!Q778)</f>
        <v/>
      </c>
      <c r="AA767" s="298" t="str">
        <f>IF(B767="", "",'Lighting Inventory (Ref only)'!R778/1000)</f>
        <v/>
      </c>
      <c r="AB767" s="298" t="str">
        <f>IF(B767="", "", Inventory!M775)</f>
        <v/>
      </c>
      <c r="AC767" s="298" t="str">
        <f>IF(B767="", "", 'Lighting Inventory (Ref only)'!T778)</f>
        <v/>
      </c>
      <c r="AD767" s="298" t="str">
        <f>IF(C767="", "", 'Lighting Inventory (Ref only)'!AA778)</f>
        <v/>
      </c>
      <c r="AE767" s="298" t="str">
        <f>IF(B767="", "", 'Lighting Inventory (Ref only)'!U778)</f>
        <v/>
      </c>
      <c r="AF767" s="298" t="str">
        <f>IF(B767="", "",'Lighting Inventory (Ref only)'!W778)</f>
        <v/>
      </c>
      <c r="AH767" s="298" t="str">
        <f>IF(B767="", "",'Lighting Inventory (Ref only)'!Z778)</f>
        <v/>
      </c>
      <c r="AI767" s="298" t="str">
        <f>IF(B767="", "", 'Lighting Inventory (Ref only)'!Y778)</f>
        <v/>
      </c>
      <c r="AJ767" s="298" t="str">
        <f>IF(C767="", "",'Lighting Inventory (Ref only)'!AB778)</f>
        <v/>
      </c>
      <c r="AK767" s="375" t="str">
        <f>IF(B767="", "", 'Lighting Inventory (Ref only)'!AG778)</f>
        <v/>
      </c>
      <c r="AL767" s="375" t="str">
        <f>IF(B767="", "", 'Lighting Inventory (Ref only)'!AD778)</f>
        <v/>
      </c>
      <c r="AM767" s="375" t="str">
        <f>IF(B767="", "", 'Lighting Inventory (Ref only)'!AE778)</f>
        <v/>
      </c>
      <c r="AN767" s="375" t="str">
        <f>IF(B767="", "", 'Lighting Inventory (Ref only)'!AF778)</f>
        <v/>
      </c>
      <c r="AO767" s="375" t="str">
        <f>IF(B767="", "", 'Lighting Inventory (Ref only)'!AG778)</f>
        <v/>
      </c>
    </row>
    <row r="768" spans="1:41">
      <c r="A768" s="298" t="str">
        <f>IF(G768="", "", Lookups!BF770)</f>
        <v/>
      </c>
      <c r="B768" s="298" t="str">
        <f>IF('Lighting Inventory (Ref only)'!Q779="", "", 'Lighting Inventory (Ref only)'!Q779)</f>
        <v/>
      </c>
      <c r="C768" s="298" t="str">
        <f>IF(A768="", "", 'Lighting Inventory (Ref only)'!AO779)</f>
        <v/>
      </c>
      <c r="D768" s="298" t="str">
        <f>IF(B768= "","", Inventory!S776)</f>
        <v/>
      </c>
      <c r="F768" s="298" t="str">
        <f>IF(B768="", "", 'Version Log'!$B$34)</f>
        <v/>
      </c>
      <c r="G768" s="298" t="str">
        <f t="shared" si="48"/>
        <v/>
      </c>
      <c r="H768" s="298" t="str">
        <f t="shared" si="49"/>
        <v/>
      </c>
      <c r="I768" s="298" t="str">
        <f>IF(B768="", "",Inventory!D776)</f>
        <v/>
      </c>
      <c r="J768" s="298" t="str">
        <f>IF(B768="","",IF(Inventory!C776="N","Interior","Exterior"))</f>
        <v/>
      </c>
      <c r="K768" s="298" t="str">
        <f t="shared" si="50"/>
        <v/>
      </c>
      <c r="L768" s="298" t="str">
        <f>IF(B768="", "", Inventory!E776)</f>
        <v/>
      </c>
      <c r="M768" s="298" t="str">
        <f>IF(B768="","",IF(Cool_Type=Lookups!$L$9,Cool_Type,IF(Cool_Type=Lookups!$L$10,Cool_Type,IF(Cool_Type=Lookups!$L$11,Cool_Type,IF(Cool_Type=Lookups!L778,Cool_Type,IF('Project Info and Summary'!$C$20="Electric",CONCATENATE(Cool_Type," ",Heating_Type," Heat"),IF('Project Info and Summary'!$C$20="Non-Electric",CONCATENATE(Cool_Type," ",Heating_Type," Heat"),CONCATENATE(Cool_Type," ",Heating_Type))))))))</f>
        <v/>
      </c>
      <c r="N768" s="298" t="str">
        <f t="shared" si="51"/>
        <v/>
      </c>
      <c r="O768" s="298" t="str">
        <f>IF(B768="", "", 'Lighting Inventory (Ref only)'!G779)</f>
        <v/>
      </c>
      <c r="P768" s="298" t="str">
        <f>IF(B768="", "", 'Lighting Inventory (Ref only)'!E779)</f>
        <v/>
      </c>
      <c r="Q768" s="298" t="str">
        <f>IF(B768="", "", 'Lighting Inventory (Ref only)'!J779)</f>
        <v/>
      </c>
      <c r="R768" s="298" t="str">
        <f>IF(B768="", "",'Lighting Inventory (Ref only)'!K779)</f>
        <v/>
      </c>
      <c r="S768" s="372" t="str">
        <f>IF(B768="", "", 'Lighting Inventory (Ref only)'!G779*'Lighting Inventory (Ref only)'!K779/1000)</f>
        <v/>
      </c>
      <c r="T768" s="298" t="str">
        <f>IF(B768="", "", IF('Lighting Inventory (Ref only)'!I779="", "Light Switch",Inventory!H776))</f>
        <v/>
      </c>
      <c r="X768" s="298" t="str">
        <f>IF(B768="", "", 'Lighting Inventory (Ref only)'!Q779)</f>
        <v/>
      </c>
      <c r="AA768" s="298" t="str">
        <f>IF(B768="", "",'Lighting Inventory (Ref only)'!R779/1000)</f>
        <v/>
      </c>
      <c r="AB768" s="298" t="str">
        <f>IF(B768="", "", Inventory!M776)</f>
        <v/>
      </c>
      <c r="AC768" s="298" t="str">
        <f>IF(B768="", "", 'Lighting Inventory (Ref only)'!T779)</f>
        <v/>
      </c>
      <c r="AD768" s="298" t="str">
        <f>IF(C768="", "", 'Lighting Inventory (Ref only)'!AA779)</f>
        <v/>
      </c>
      <c r="AE768" s="298" t="str">
        <f>IF(B768="", "", 'Lighting Inventory (Ref only)'!U779)</f>
        <v/>
      </c>
      <c r="AF768" s="298" t="str">
        <f>IF(B768="", "",'Lighting Inventory (Ref only)'!W779)</f>
        <v/>
      </c>
      <c r="AH768" s="298" t="str">
        <f>IF(B768="", "",'Lighting Inventory (Ref only)'!Z779)</f>
        <v/>
      </c>
      <c r="AI768" s="298" t="str">
        <f>IF(B768="", "", 'Lighting Inventory (Ref only)'!Y779)</f>
        <v/>
      </c>
      <c r="AJ768" s="298" t="str">
        <f>IF(C768="", "",'Lighting Inventory (Ref only)'!AB779)</f>
        <v/>
      </c>
      <c r="AK768" s="375" t="str">
        <f>IF(B768="", "", 'Lighting Inventory (Ref only)'!AG779)</f>
        <v/>
      </c>
      <c r="AL768" s="375" t="str">
        <f>IF(B768="", "", 'Lighting Inventory (Ref only)'!AD779)</f>
        <v/>
      </c>
      <c r="AM768" s="375" t="str">
        <f>IF(B768="", "", 'Lighting Inventory (Ref only)'!AE779)</f>
        <v/>
      </c>
      <c r="AN768" s="375" t="str">
        <f>IF(B768="", "", 'Lighting Inventory (Ref only)'!AF779)</f>
        <v/>
      </c>
      <c r="AO768" s="375" t="str">
        <f>IF(B768="", "", 'Lighting Inventory (Ref only)'!AG779)</f>
        <v/>
      </c>
    </row>
    <row r="769" spans="1:41">
      <c r="A769" s="298" t="str">
        <f>IF(G769="", "", Lookups!BF771)</f>
        <v/>
      </c>
      <c r="B769" s="298" t="str">
        <f>IF('Lighting Inventory (Ref only)'!Q780="", "", 'Lighting Inventory (Ref only)'!Q780)</f>
        <v/>
      </c>
      <c r="C769" s="298" t="str">
        <f>IF(A769="", "", 'Lighting Inventory (Ref only)'!AO780)</f>
        <v/>
      </c>
      <c r="D769" s="298" t="str">
        <f>IF(B769= "","", Inventory!S777)</f>
        <v/>
      </c>
      <c r="F769" s="298" t="str">
        <f>IF(B769="", "", 'Version Log'!$B$34)</f>
        <v/>
      </c>
      <c r="G769" s="298" t="str">
        <f t="shared" si="48"/>
        <v/>
      </c>
      <c r="H769" s="298" t="str">
        <f t="shared" si="49"/>
        <v/>
      </c>
      <c r="I769" s="298" t="str">
        <f>IF(B769="", "",Inventory!D777)</f>
        <v/>
      </c>
      <c r="J769" s="298" t="str">
        <f>IF(B769="","",IF(Inventory!C777="N","Interior","Exterior"))</f>
        <v/>
      </c>
      <c r="K769" s="298" t="str">
        <f t="shared" si="50"/>
        <v/>
      </c>
      <c r="L769" s="298" t="str">
        <f>IF(B769="", "", Inventory!E777)</f>
        <v/>
      </c>
      <c r="M769" s="298" t="str">
        <f>IF(B769="","",IF(Cool_Type=Lookups!$L$9,Cool_Type,IF(Cool_Type=Lookups!$L$10,Cool_Type,IF(Cool_Type=Lookups!$L$11,Cool_Type,IF(Cool_Type=Lookups!L779,Cool_Type,IF('Project Info and Summary'!$C$20="Electric",CONCATENATE(Cool_Type," ",Heating_Type," Heat"),IF('Project Info and Summary'!$C$20="Non-Electric",CONCATENATE(Cool_Type," ",Heating_Type," Heat"),CONCATENATE(Cool_Type," ",Heating_Type))))))))</f>
        <v/>
      </c>
      <c r="N769" s="298" t="str">
        <f t="shared" si="51"/>
        <v/>
      </c>
      <c r="O769" s="298" t="str">
        <f>IF(B769="", "", 'Lighting Inventory (Ref only)'!G780)</f>
        <v/>
      </c>
      <c r="P769" s="298" t="str">
        <f>IF(B769="", "", 'Lighting Inventory (Ref only)'!E780)</f>
        <v/>
      </c>
      <c r="Q769" s="298" t="str">
        <f>IF(B769="", "", 'Lighting Inventory (Ref only)'!J780)</f>
        <v/>
      </c>
      <c r="R769" s="298" t="str">
        <f>IF(B769="", "",'Lighting Inventory (Ref only)'!K780)</f>
        <v/>
      </c>
      <c r="S769" s="372" t="str">
        <f>IF(B769="", "", 'Lighting Inventory (Ref only)'!G780*'Lighting Inventory (Ref only)'!K780/1000)</f>
        <v/>
      </c>
      <c r="T769" s="298" t="str">
        <f>IF(B769="", "", IF('Lighting Inventory (Ref only)'!I780="", "Light Switch",Inventory!H777))</f>
        <v/>
      </c>
      <c r="X769" s="298" t="str">
        <f>IF(B769="", "", 'Lighting Inventory (Ref only)'!Q780)</f>
        <v/>
      </c>
      <c r="AA769" s="298" t="str">
        <f>IF(B769="", "",'Lighting Inventory (Ref only)'!R780/1000)</f>
        <v/>
      </c>
      <c r="AB769" s="298" t="str">
        <f>IF(B769="", "", Inventory!M777)</f>
        <v/>
      </c>
      <c r="AC769" s="298" t="str">
        <f>IF(B769="", "", 'Lighting Inventory (Ref only)'!T780)</f>
        <v/>
      </c>
      <c r="AD769" s="298" t="str">
        <f>IF(C769="", "", 'Lighting Inventory (Ref only)'!AA780)</f>
        <v/>
      </c>
      <c r="AE769" s="298" t="str">
        <f>IF(B769="", "", 'Lighting Inventory (Ref only)'!U780)</f>
        <v/>
      </c>
      <c r="AF769" s="298" t="str">
        <f>IF(B769="", "",'Lighting Inventory (Ref only)'!W780)</f>
        <v/>
      </c>
      <c r="AH769" s="298" t="str">
        <f>IF(B769="", "",'Lighting Inventory (Ref only)'!Z780)</f>
        <v/>
      </c>
      <c r="AI769" s="298" t="str">
        <f>IF(B769="", "", 'Lighting Inventory (Ref only)'!Y780)</f>
        <v/>
      </c>
      <c r="AJ769" s="298" t="str">
        <f>IF(C769="", "",'Lighting Inventory (Ref only)'!AB780)</f>
        <v/>
      </c>
      <c r="AK769" s="375" t="str">
        <f>IF(B769="", "", 'Lighting Inventory (Ref only)'!AG780)</f>
        <v/>
      </c>
      <c r="AL769" s="375" t="str">
        <f>IF(B769="", "", 'Lighting Inventory (Ref only)'!AD780)</f>
        <v/>
      </c>
      <c r="AM769" s="375" t="str">
        <f>IF(B769="", "", 'Lighting Inventory (Ref only)'!AE780)</f>
        <v/>
      </c>
      <c r="AN769" s="375" t="str">
        <f>IF(B769="", "", 'Lighting Inventory (Ref only)'!AF780)</f>
        <v/>
      </c>
      <c r="AO769" s="375" t="str">
        <f>IF(B769="", "", 'Lighting Inventory (Ref only)'!AG780)</f>
        <v/>
      </c>
    </row>
    <row r="770" spans="1:41">
      <c r="A770" s="298" t="str">
        <f>IF(G770="", "", Lookups!BF772)</f>
        <v/>
      </c>
      <c r="B770" s="298" t="str">
        <f>IF('Lighting Inventory (Ref only)'!Q781="", "", 'Lighting Inventory (Ref only)'!Q781)</f>
        <v/>
      </c>
      <c r="C770" s="298" t="str">
        <f>IF(A770="", "", 'Lighting Inventory (Ref only)'!AO781)</f>
        <v/>
      </c>
      <c r="D770" s="298" t="str">
        <f>IF(B770= "","", Inventory!S778)</f>
        <v/>
      </c>
      <c r="F770" s="298" t="str">
        <f>IF(B770="", "", 'Version Log'!$B$34)</f>
        <v/>
      </c>
      <c r="G770" s="298" t="str">
        <f t="shared" si="48"/>
        <v/>
      </c>
      <c r="H770" s="298" t="str">
        <f t="shared" si="49"/>
        <v/>
      </c>
      <c r="I770" s="298" t="str">
        <f>IF(B770="", "",Inventory!D778)</f>
        <v/>
      </c>
      <c r="J770" s="298" t="str">
        <f>IF(B770="","",IF(Inventory!C778="N","Interior","Exterior"))</f>
        <v/>
      </c>
      <c r="K770" s="298" t="str">
        <f t="shared" si="50"/>
        <v/>
      </c>
      <c r="L770" s="298" t="str">
        <f>IF(B770="", "", Inventory!E778)</f>
        <v/>
      </c>
      <c r="M770" s="298" t="str">
        <f>IF(B770="","",IF(Cool_Type=Lookups!$L$9,Cool_Type,IF(Cool_Type=Lookups!$L$10,Cool_Type,IF(Cool_Type=Lookups!$L$11,Cool_Type,IF(Cool_Type=Lookups!L780,Cool_Type,IF('Project Info and Summary'!$C$20="Electric",CONCATENATE(Cool_Type," ",Heating_Type," Heat"),IF('Project Info and Summary'!$C$20="Non-Electric",CONCATENATE(Cool_Type," ",Heating_Type," Heat"),CONCATENATE(Cool_Type," ",Heating_Type))))))))</f>
        <v/>
      </c>
      <c r="N770" s="298" t="str">
        <f t="shared" si="51"/>
        <v/>
      </c>
      <c r="O770" s="298" t="str">
        <f>IF(B770="", "", 'Lighting Inventory (Ref only)'!G781)</f>
        <v/>
      </c>
      <c r="P770" s="298" t="str">
        <f>IF(B770="", "", 'Lighting Inventory (Ref only)'!E781)</f>
        <v/>
      </c>
      <c r="Q770" s="298" t="str">
        <f>IF(B770="", "", 'Lighting Inventory (Ref only)'!J781)</f>
        <v/>
      </c>
      <c r="R770" s="298" t="str">
        <f>IF(B770="", "",'Lighting Inventory (Ref only)'!K781)</f>
        <v/>
      </c>
      <c r="S770" s="372" t="str">
        <f>IF(B770="", "", 'Lighting Inventory (Ref only)'!G781*'Lighting Inventory (Ref only)'!K781/1000)</f>
        <v/>
      </c>
      <c r="T770" s="298" t="str">
        <f>IF(B770="", "", IF('Lighting Inventory (Ref only)'!I781="", "Light Switch",Inventory!H778))</f>
        <v/>
      </c>
      <c r="X770" s="298" t="str">
        <f>IF(B770="", "", 'Lighting Inventory (Ref only)'!Q781)</f>
        <v/>
      </c>
      <c r="AA770" s="298" t="str">
        <f>IF(B770="", "",'Lighting Inventory (Ref only)'!R781/1000)</f>
        <v/>
      </c>
      <c r="AB770" s="298" t="str">
        <f>IF(B770="", "", Inventory!M778)</f>
        <v/>
      </c>
      <c r="AC770" s="298" t="str">
        <f>IF(B770="", "", 'Lighting Inventory (Ref only)'!T781)</f>
        <v/>
      </c>
      <c r="AD770" s="298" t="str">
        <f>IF(C770="", "", 'Lighting Inventory (Ref only)'!AA781)</f>
        <v/>
      </c>
      <c r="AE770" s="298" t="str">
        <f>IF(B770="", "", 'Lighting Inventory (Ref only)'!U781)</f>
        <v/>
      </c>
      <c r="AF770" s="298" t="str">
        <f>IF(B770="", "",'Lighting Inventory (Ref only)'!W781)</f>
        <v/>
      </c>
      <c r="AH770" s="298" t="str">
        <f>IF(B770="", "",'Lighting Inventory (Ref only)'!Z781)</f>
        <v/>
      </c>
      <c r="AI770" s="298" t="str">
        <f>IF(B770="", "", 'Lighting Inventory (Ref only)'!Y781)</f>
        <v/>
      </c>
      <c r="AJ770" s="298" t="str">
        <f>IF(C770="", "",'Lighting Inventory (Ref only)'!AB781)</f>
        <v/>
      </c>
      <c r="AK770" s="375" t="str">
        <f>IF(B770="", "", 'Lighting Inventory (Ref only)'!AG781)</f>
        <v/>
      </c>
      <c r="AL770" s="375" t="str">
        <f>IF(B770="", "", 'Lighting Inventory (Ref only)'!AD781)</f>
        <v/>
      </c>
      <c r="AM770" s="375" t="str">
        <f>IF(B770="", "", 'Lighting Inventory (Ref only)'!AE781)</f>
        <v/>
      </c>
      <c r="AN770" s="375" t="str">
        <f>IF(B770="", "", 'Lighting Inventory (Ref only)'!AF781)</f>
        <v/>
      </c>
      <c r="AO770" s="375" t="str">
        <f>IF(B770="", "", 'Lighting Inventory (Ref only)'!AG781)</f>
        <v/>
      </c>
    </row>
    <row r="771" spans="1:41">
      <c r="A771" s="298" t="str">
        <f>IF(G771="", "", Lookups!BF773)</f>
        <v/>
      </c>
      <c r="B771" s="298" t="str">
        <f>IF('Lighting Inventory (Ref only)'!Q782="", "", 'Lighting Inventory (Ref only)'!Q782)</f>
        <v/>
      </c>
      <c r="C771" s="298" t="str">
        <f>IF(A771="", "", 'Lighting Inventory (Ref only)'!AO782)</f>
        <v/>
      </c>
      <c r="D771" s="298" t="str">
        <f>IF(B771= "","", Inventory!S779)</f>
        <v/>
      </c>
      <c r="F771" s="298" t="str">
        <f>IF(B771="", "", 'Version Log'!$B$34)</f>
        <v/>
      </c>
      <c r="G771" s="298" t="str">
        <f t="shared" si="48"/>
        <v/>
      </c>
      <c r="H771" s="298" t="str">
        <f t="shared" si="49"/>
        <v/>
      </c>
      <c r="I771" s="298" t="str">
        <f>IF(B771="", "",Inventory!D779)</f>
        <v/>
      </c>
      <c r="J771" s="298" t="str">
        <f>IF(B771="","",IF(Inventory!C779="N","Interior","Exterior"))</f>
        <v/>
      </c>
      <c r="K771" s="298" t="str">
        <f t="shared" si="50"/>
        <v/>
      </c>
      <c r="L771" s="298" t="str">
        <f>IF(B771="", "", Inventory!E779)</f>
        <v/>
      </c>
      <c r="M771" s="298" t="str">
        <f>IF(B771="","",IF(Cool_Type=Lookups!$L$9,Cool_Type,IF(Cool_Type=Lookups!$L$10,Cool_Type,IF(Cool_Type=Lookups!$L$11,Cool_Type,IF(Cool_Type=Lookups!L781,Cool_Type,IF('Project Info and Summary'!$C$20="Electric",CONCATENATE(Cool_Type," ",Heating_Type," Heat"),IF('Project Info and Summary'!$C$20="Non-Electric",CONCATENATE(Cool_Type," ",Heating_Type," Heat"),CONCATENATE(Cool_Type," ",Heating_Type))))))))</f>
        <v/>
      </c>
      <c r="N771" s="298" t="str">
        <f t="shared" si="51"/>
        <v/>
      </c>
      <c r="O771" s="298" t="str">
        <f>IF(B771="", "", 'Lighting Inventory (Ref only)'!G782)</f>
        <v/>
      </c>
      <c r="P771" s="298" t="str">
        <f>IF(B771="", "", 'Lighting Inventory (Ref only)'!E782)</f>
        <v/>
      </c>
      <c r="Q771" s="298" t="str">
        <f>IF(B771="", "", 'Lighting Inventory (Ref only)'!J782)</f>
        <v/>
      </c>
      <c r="R771" s="298" t="str">
        <f>IF(B771="", "",'Lighting Inventory (Ref only)'!K782)</f>
        <v/>
      </c>
      <c r="S771" s="372" t="str">
        <f>IF(B771="", "", 'Lighting Inventory (Ref only)'!G782*'Lighting Inventory (Ref only)'!K782/1000)</f>
        <v/>
      </c>
      <c r="T771" s="298" t="str">
        <f>IF(B771="", "", IF('Lighting Inventory (Ref only)'!I782="", "Light Switch",Inventory!H779))</f>
        <v/>
      </c>
      <c r="X771" s="298" t="str">
        <f>IF(B771="", "", 'Lighting Inventory (Ref only)'!Q782)</f>
        <v/>
      </c>
      <c r="AA771" s="298" t="str">
        <f>IF(B771="", "",'Lighting Inventory (Ref only)'!R782/1000)</f>
        <v/>
      </c>
      <c r="AB771" s="298" t="str">
        <f>IF(B771="", "", Inventory!M779)</f>
        <v/>
      </c>
      <c r="AC771" s="298" t="str">
        <f>IF(B771="", "", 'Lighting Inventory (Ref only)'!T782)</f>
        <v/>
      </c>
      <c r="AD771" s="298" t="str">
        <f>IF(C771="", "", 'Lighting Inventory (Ref only)'!AA782)</f>
        <v/>
      </c>
      <c r="AE771" s="298" t="str">
        <f>IF(B771="", "", 'Lighting Inventory (Ref only)'!U782)</f>
        <v/>
      </c>
      <c r="AF771" s="298" t="str">
        <f>IF(B771="", "",'Lighting Inventory (Ref only)'!W782)</f>
        <v/>
      </c>
      <c r="AH771" s="298" t="str">
        <f>IF(B771="", "",'Lighting Inventory (Ref only)'!Z782)</f>
        <v/>
      </c>
      <c r="AI771" s="298" t="str">
        <f>IF(B771="", "", 'Lighting Inventory (Ref only)'!Y782)</f>
        <v/>
      </c>
      <c r="AJ771" s="298" t="str">
        <f>IF(C771="", "",'Lighting Inventory (Ref only)'!AB782)</f>
        <v/>
      </c>
      <c r="AK771" s="375" t="str">
        <f>IF(B771="", "", 'Lighting Inventory (Ref only)'!AG782)</f>
        <v/>
      </c>
      <c r="AL771" s="375" t="str">
        <f>IF(B771="", "", 'Lighting Inventory (Ref only)'!AD782)</f>
        <v/>
      </c>
      <c r="AM771" s="375" t="str">
        <f>IF(B771="", "", 'Lighting Inventory (Ref only)'!AE782)</f>
        <v/>
      </c>
      <c r="AN771" s="375" t="str">
        <f>IF(B771="", "", 'Lighting Inventory (Ref only)'!AF782)</f>
        <v/>
      </c>
      <c r="AO771" s="375" t="str">
        <f>IF(B771="", "", 'Lighting Inventory (Ref only)'!AG782)</f>
        <v/>
      </c>
    </row>
    <row r="772" spans="1:41">
      <c r="A772" s="298" t="str">
        <f>IF(G772="", "", Lookups!BF774)</f>
        <v/>
      </c>
      <c r="B772" s="298" t="str">
        <f>IF('Lighting Inventory (Ref only)'!Q783="", "", 'Lighting Inventory (Ref only)'!Q783)</f>
        <v/>
      </c>
      <c r="C772" s="298" t="str">
        <f>IF(A772="", "", 'Lighting Inventory (Ref only)'!AO783)</f>
        <v/>
      </c>
      <c r="D772" s="298" t="str">
        <f>IF(B772= "","", Inventory!S780)</f>
        <v/>
      </c>
      <c r="F772" s="298" t="str">
        <f>IF(B772="", "", 'Version Log'!$B$34)</f>
        <v/>
      </c>
      <c r="G772" s="298" t="str">
        <f t="shared" si="48"/>
        <v/>
      </c>
      <c r="H772" s="298" t="str">
        <f t="shared" si="49"/>
        <v/>
      </c>
      <c r="I772" s="298" t="str">
        <f>IF(B772="", "",Inventory!D780)</f>
        <v/>
      </c>
      <c r="J772" s="298" t="str">
        <f>IF(B772="","",IF(Inventory!C780="N","Interior","Exterior"))</f>
        <v/>
      </c>
      <c r="K772" s="298" t="str">
        <f t="shared" si="50"/>
        <v/>
      </c>
      <c r="L772" s="298" t="str">
        <f>IF(B772="", "", Inventory!E780)</f>
        <v/>
      </c>
      <c r="M772" s="298" t="str">
        <f>IF(B772="","",IF(Cool_Type=Lookups!$L$9,Cool_Type,IF(Cool_Type=Lookups!$L$10,Cool_Type,IF(Cool_Type=Lookups!$L$11,Cool_Type,IF(Cool_Type=Lookups!L782,Cool_Type,IF('Project Info and Summary'!$C$20="Electric",CONCATENATE(Cool_Type," ",Heating_Type," Heat"),IF('Project Info and Summary'!$C$20="Non-Electric",CONCATENATE(Cool_Type," ",Heating_Type," Heat"),CONCATENATE(Cool_Type," ",Heating_Type))))))))</f>
        <v/>
      </c>
      <c r="N772" s="298" t="str">
        <f t="shared" si="51"/>
        <v/>
      </c>
      <c r="O772" s="298" t="str">
        <f>IF(B772="", "", 'Lighting Inventory (Ref only)'!G783)</f>
        <v/>
      </c>
      <c r="P772" s="298" t="str">
        <f>IF(B772="", "", 'Lighting Inventory (Ref only)'!E783)</f>
        <v/>
      </c>
      <c r="Q772" s="298" t="str">
        <f>IF(B772="", "", 'Lighting Inventory (Ref only)'!J783)</f>
        <v/>
      </c>
      <c r="R772" s="298" t="str">
        <f>IF(B772="", "",'Lighting Inventory (Ref only)'!K783)</f>
        <v/>
      </c>
      <c r="S772" s="372" t="str">
        <f>IF(B772="", "", 'Lighting Inventory (Ref only)'!G783*'Lighting Inventory (Ref only)'!K783/1000)</f>
        <v/>
      </c>
      <c r="T772" s="298" t="str">
        <f>IF(B772="", "", IF('Lighting Inventory (Ref only)'!I783="", "Light Switch",Inventory!H780))</f>
        <v/>
      </c>
      <c r="X772" s="298" t="str">
        <f>IF(B772="", "", 'Lighting Inventory (Ref only)'!Q783)</f>
        <v/>
      </c>
      <c r="AA772" s="298" t="str">
        <f>IF(B772="", "",'Lighting Inventory (Ref only)'!R783/1000)</f>
        <v/>
      </c>
      <c r="AB772" s="298" t="str">
        <f>IF(B772="", "", Inventory!M780)</f>
        <v/>
      </c>
      <c r="AC772" s="298" t="str">
        <f>IF(B772="", "", 'Lighting Inventory (Ref only)'!T783)</f>
        <v/>
      </c>
      <c r="AD772" s="298" t="str">
        <f>IF(C772="", "", 'Lighting Inventory (Ref only)'!AA783)</f>
        <v/>
      </c>
      <c r="AE772" s="298" t="str">
        <f>IF(B772="", "", 'Lighting Inventory (Ref only)'!U783)</f>
        <v/>
      </c>
      <c r="AF772" s="298" t="str">
        <f>IF(B772="", "",'Lighting Inventory (Ref only)'!W783)</f>
        <v/>
      </c>
      <c r="AH772" s="298" t="str">
        <f>IF(B772="", "",'Lighting Inventory (Ref only)'!Z783)</f>
        <v/>
      </c>
      <c r="AI772" s="298" t="str">
        <f>IF(B772="", "", 'Lighting Inventory (Ref only)'!Y783)</f>
        <v/>
      </c>
      <c r="AJ772" s="298" t="str">
        <f>IF(C772="", "",'Lighting Inventory (Ref only)'!AB783)</f>
        <v/>
      </c>
      <c r="AK772" s="375" t="str">
        <f>IF(B772="", "", 'Lighting Inventory (Ref only)'!AG783)</f>
        <v/>
      </c>
      <c r="AL772" s="375" t="str">
        <f>IF(B772="", "", 'Lighting Inventory (Ref only)'!AD783)</f>
        <v/>
      </c>
      <c r="AM772" s="375" t="str">
        <f>IF(B772="", "", 'Lighting Inventory (Ref only)'!AE783)</f>
        <v/>
      </c>
      <c r="AN772" s="375" t="str">
        <f>IF(B772="", "", 'Lighting Inventory (Ref only)'!AF783)</f>
        <v/>
      </c>
      <c r="AO772" s="375" t="str">
        <f>IF(B772="", "", 'Lighting Inventory (Ref only)'!AG783)</f>
        <v/>
      </c>
    </row>
    <row r="773" spans="1:41">
      <c r="A773" s="298" t="str">
        <f>IF(G773="", "", Lookups!BF775)</f>
        <v/>
      </c>
      <c r="B773" s="298" t="str">
        <f>IF('Lighting Inventory (Ref only)'!Q784="", "", 'Lighting Inventory (Ref only)'!Q784)</f>
        <v/>
      </c>
      <c r="C773" s="298" t="str">
        <f>IF(A773="", "", 'Lighting Inventory (Ref only)'!AO784)</f>
        <v/>
      </c>
      <c r="D773" s="298" t="str">
        <f>IF(B773= "","", Inventory!S781)</f>
        <v/>
      </c>
      <c r="F773" s="298" t="str">
        <f>IF(B773="", "", 'Version Log'!$B$34)</f>
        <v/>
      </c>
      <c r="G773" s="298" t="str">
        <f t="shared" si="48"/>
        <v/>
      </c>
      <c r="H773" s="298" t="str">
        <f t="shared" si="49"/>
        <v/>
      </c>
      <c r="I773" s="298" t="str">
        <f>IF(B773="", "",Inventory!D781)</f>
        <v/>
      </c>
      <c r="J773" s="298" t="str">
        <f>IF(B773="","",IF(Inventory!C781="N","Interior","Exterior"))</f>
        <v/>
      </c>
      <c r="K773" s="298" t="str">
        <f t="shared" si="50"/>
        <v/>
      </c>
      <c r="L773" s="298" t="str">
        <f>IF(B773="", "", Inventory!E781)</f>
        <v/>
      </c>
      <c r="M773" s="298" t="str">
        <f>IF(B773="","",IF(Cool_Type=Lookups!$L$9,Cool_Type,IF(Cool_Type=Lookups!$L$10,Cool_Type,IF(Cool_Type=Lookups!$L$11,Cool_Type,IF(Cool_Type=Lookups!L783,Cool_Type,IF('Project Info and Summary'!$C$20="Electric",CONCATENATE(Cool_Type," ",Heating_Type," Heat"),IF('Project Info and Summary'!$C$20="Non-Electric",CONCATENATE(Cool_Type," ",Heating_Type," Heat"),CONCATENATE(Cool_Type," ",Heating_Type))))))))</f>
        <v/>
      </c>
      <c r="N773" s="298" t="str">
        <f t="shared" si="51"/>
        <v/>
      </c>
      <c r="O773" s="298" t="str">
        <f>IF(B773="", "", 'Lighting Inventory (Ref only)'!G784)</f>
        <v/>
      </c>
      <c r="P773" s="298" t="str">
        <f>IF(B773="", "", 'Lighting Inventory (Ref only)'!E784)</f>
        <v/>
      </c>
      <c r="Q773" s="298" t="str">
        <f>IF(B773="", "", 'Lighting Inventory (Ref only)'!J784)</f>
        <v/>
      </c>
      <c r="R773" s="298" t="str">
        <f>IF(B773="", "",'Lighting Inventory (Ref only)'!K784)</f>
        <v/>
      </c>
      <c r="S773" s="372" t="str">
        <f>IF(B773="", "", 'Lighting Inventory (Ref only)'!G784*'Lighting Inventory (Ref only)'!K784/1000)</f>
        <v/>
      </c>
      <c r="T773" s="298" t="str">
        <f>IF(B773="", "", IF('Lighting Inventory (Ref only)'!I784="", "Light Switch",Inventory!H781))</f>
        <v/>
      </c>
      <c r="X773" s="298" t="str">
        <f>IF(B773="", "", 'Lighting Inventory (Ref only)'!Q784)</f>
        <v/>
      </c>
      <c r="AA773" s="298" t="str">
        <f>IF(B773="", "",'Lighting Inventory (Ref only)'!R784/1000)</f>
        <v/>
      </c>
      <c r="AB773" s="298" t="str">
        <f>IF(B773="", "", Inventory!M781)</f>
        <v/>
      </c>
      <c r="AC773" s="298" t="str">
        <f>IF(B773="", "", 'Lighting Inventory (Ref only)'!T784)</f>
        <v/>
      </c>
      <c r="AD773" s="298" t="str">
        <f>IF(C773="", "", 'Lighting Inventory (Ref only)'!AA784)</f>
        <v/>
      </c>
      <c r="AE773" s="298" t="str">
        <f>IF(B773="", "", 'Lighting Inventory (Ref only)'!U784)</f>
        <v/>
      </c>
      <c r="AF773" s="298" t="str">
        <f>IF(B773="", "",'Lighting Inventory (Ref only)'!W784)</f>
        <v/>
      </c>
      <c r="AH773" s="298" t="str">
        <f>IF(B773="", "",'Lighting Inventory (Ref only)'!Z784)</f>
        <v/>
      </c>
      <c r="AI773" s="298" t="str">
        <f>IF(B773="", "", 'Lighting Inventory (Ref only)'!Y784)</f>
        <v/>
      </c>
      <c r="AJ773" s="298" t="str">
        <f>IF(C773="", "",'Lighting Inventory (Ref only)'!AB784)</f>
        <v/>
      </c>
      <c r="AK773" s="375" t="str">
        <f>IF(B773="", "", 'Lighting Inventory (Ref only)'!AG784)</f>
        <v/>
      </c>
      <c r="AL773" s="375" t="str">
        <f>IF(B773="", "", 'Lighting Inventory (Ref only)'!AD784)</f>
        <v/>
      </c>
      <c r="AM773" s="375" t="str">
        <f>IF(B773="", "", 'Lighting Inventory (Ref only)'!AE784)</f>
        <v/>
      </c>
      <c r="AN773" s="375" t="str">
        <f>IF(B773="", "", 'Lighting Inventory (Ref only)'!AF784)</f>
        <v/>
      </c>
      <c r="AO773" s="375" t="str">
        <f>IF(B773="", "", 'Lighting Inventory (Ref only)'!AG784)</f>
        <v/>
      </c>
    </row>
    <row r="774" spans="1:41">
      <c r="A774" s="298" t="str">
        <f>IF(G774="", "", Lookups!BF776)</f>
        <v/>
      </c>
      <c r="B774" s="298" t="str">
        <f>IF('Lighting Inventory (Ref only)'!Q785="", "", 'Lighting Inventory (Ref only)'!Q785)</f>
        <v/>
      </c>
      <c r="C774" s="298" t="str">
        <f>IF(A774="", "", 'Lighting Inventory (Ref only)'!AO785)</f>
        <v/>
      </c>
      <c r="D774" s="298" t="str">
        <f>IF(B774= "","", Inventory!S782)</f>
        <v/>
      </c>
      <c r="F774" s="298" t="str">
        <f>IF(B774="", "", 'Version Log'!$B$34)</f>
        <v/>
      </c>
      <c r="G774" s="298" t="str">
        <f t="shared" si="48"/>
        <v/>
      </c>
      <c r="H774" s="298" t="str">
        <f t="shared" si="49"/>
        <v/>
      </c>
      <c r="I774" s="298" t="str">
        <f>IF(B774="", "",Inventory!D782)</f>
        <v/>
      </c>
      <c r="J774" s="298" t="str">
        <f>IF(B774="","",IF(Inventory!C782="N","Interior","Exterior"))</f>
        <v/>
      </c>
      <c r="K774" s="298" t="str">
        <f t="shared" si="50"/>
        <v/>
      </c>
      <c r="L774" s="298" t="str">
        <f>IF(B774="", "", Inventory!E782)</f>
        <v/>
      </c>
      <c r="M774" s="298" t="str">
        <f>IF(B774="","",IF(Cool_Type=Lookups!$L$9,Cool_Type,IF(Cool_Type=Lookups!$L$10,Cool_Type,IF(Cool_Type=Lookups!$L$11,Cool_Type,IF(Cool_Type=Lookups!L784,Cool_Type,IF('Project Info and Summary'!$C$20="Electric",CONCATENATE(Cool_Type," ",Heating_Type," Heat"),IF('Project Info and Summary'!$C$20="Non-Electric",CONCATENATE(Cool_Type," ",Heating_Type," Heat"),CONCATENATE(Cool_Type," ",Heating_Type))))))))</f>
        <v/>
      </c>
      <c r="N774" s="298" t="str">
        <f t="shared" si="51"/>
        <v/>
      </c>
      <c r="O774" s="298" t="str">
        <f>IF(B774="", "", 'Lighting Inventory (Ref only)'!G785)</f>
        <v/>
      </c>
      <c r="P774" s="298" t="str">
        <f>IF(B774="", "", 'Lighting Inventory (Ref only)'!E785)</f>
        <v/>
      </c>
      <c r="Q774" s="298" t="str">
        <f>IF(B774="", "", 'Lighting Inventory (Ref only)'!J785)</f>
        <v/>
      </c>
      <c r="R774" s="298" t="str">
        <f>IF(B774="", "",'Lighting Inventory (Ref only)'!K785)</f>
        <v/>
      </c>
      <c r="S774" s="372" t="str">
        <f>IF(B774="", "", 'Lighting Inventory (Ref only)'!G785*'Lighting Inventory (Ref only)'!K785/1000)</f>
        <v/>
      </c>
      <c r="T774" s="298" t="str">
        <f>IF(B774="", "", IF('Lighting Inventory (Ref only)'!I785="", "Light Switch",Inventory!H782))</f>
        <v/>
      </c>
      <c r="X774" s="298" t="str">
        <f>IF(B774="", "", 'Lighting Inventory (Ref only)'!Q785)</f>
        <v/>
      </c>
      <c r="AA774" s="298" t="str">
        <f>IF(B774="", "",'Lighting Inventory (Ref only)'!R785/1000)</f>
        <v/>
      </c>
      <c r="AB774" s="298" t="str">
        <f>IF(B774="", "", Inventory!M782)</f>
        <v/>
      </c>
      <c r="AC774" s="298" t="str">
        <f>IF(B774="", "", 'Lighting Inventory (Ref only)'!T785)</f>
        <v/>
      </c>
      <c r="AD774" s="298" t="str">
        <f>IF(C774="", "", 'Lighting Inventory (Ref only)'!AA785)</f>
        <v/>
      </c>
      <c r="AE774" s="298" t="str">
        <f>IF(B774="", "", 'Lighting Inventory (Ref only)'!U785)</f>
        <v/>
      </c>
      <c r="AF774" s="298" t="str">
        <f>IF(B774="", "",'Lighting Inventory (Ref only)'!W785)</f>
        <v/>
      </c>
      <c r="AH774" s="298" t="str">
        <f>IF(B774="", "",'Lighting Inventory (Ref only)'!Z785)</f>
        <v/>
      </c>
      <c r="AI774" s="298" t="str">
        <f>IF(B774="", "", 'Lighting Inventory (Ref only)'!Y785)</f>
        <v/>
      </c>
      <c r="AJ774" s="298" t="str">
        <f>IF(C774="", "",'Lighting Inventory (Ref only)'!AB785)</f>
        <v/>
      </c>
      <c r="AK774" s="375" t="str">
        <f>IF(B774="", "", 'Lighting Inventory (Ref only)'!AG785)</f>
        <v/>
      </c>
      <c r="AL774" s="375" t="str">
        <f>IF(B774="", "", 'Lighting Inventory (Ref only)'!AD785)</f>
        <v/>
      </c>
      <c r="AM774" s="375" t="str">
        <f>IF(B774="", "", 'Lighting Inventory (Ref only)'!AE785)</f>
        <v/>
      </c>
      <c r="AN774" s="375" t="str">
        <f>IF(B774="", "", 'Lighting Inventory (Ref only)'!AF785)</f>
        <v/>
      </c>
      <c r="AO774" s="375" t="str">
        <f>IF(B774="", "", 'Lighting Inventory (Ref only)'!AG785)</f>
        <v/>
      </c>
    </row>
    <row r="775" spans="1:41">
      <c r="A775" s="298" t="str">
        <f>IF(G775="", "", Lookups!BF777)</f>
        <v/>
      </c>
      <c r="B775" s="298" t="str">
        <f>IF('Lighting Inventory (Ref only)'!Q786="", "", 'Lighting Inventory (Ref only)'!Q786)</f>
        <v/>
      </c>
      <c r="C775" s="298" t="str">
        <f>IF(A775="", "", 'Lighting Inventory (Ref only)'!AO786)</f>
        <v/>
      </c>
      <c r="D775" s="298" t="str">
        <f>IF(B775= "","", Inventory!S783)</f>
        <v/>
      </c>
      <c r="F775" s="298" t="str">
        <f>IF(B775="", "", 'Version Log'!$B$34)</f>
        <v/>
      </c>
      <c r="G775" s="298" t="str">
        <f t="shared" si="48"/>
        <v/>
      </c>
      <c r="H775" s="298" t="str">
        <f t="shared" si="49"/>
        <v/>
      </c>
      <c r="I775" s="298" t="str">
        <f>IF(B775="", "",Inventory!D783)</f>
        <v/>
      </c>
      <c r="J775" s="298" t="str">
        <f>IF(B775="","",IF(Inventory!C783="N","Interior","Exterior"))</f>
        <v/>
      </c>
      <c r="K775" s="298" t="str">
        <f t="shared" si="50"/>
        <v/>
      </c>
      <c r="L775" s="298" t="str">
        <f>IF(B775="", "", Inventory!E783)</f>
        <v/>
      </c>
      <c r="M775" s="298" t="str">
        <f>IF(B775="","",IF(Cool_Type=Lookups!$L$9,Cool_Type,IF(Cool_Type=Lookups!$L$10,Cool_Type,IF(Cool_Type=Lookups!$L$11,Cool_Type,IF(Cool_Type=Lookups!L785,Cool_Type,IF('Project Info and Summary'!$C$20="Electric",CONCATENATE(Cool_Type," ",Heating_Type," Heat"),IF('Project Info and Summary'!$C$20="Non-Electric",CONCATENATE(Cool_Type," ",Heating_Type," Heat"),CONCATENATE(Cool_Type," ",Heating_Type))))))))</f>
        <v/>
      </c>
      <c r="N775" s="298" t="str">
        <f t="shared" si="51"/>
        <v/>
      </c>
      <c r="O775" s="298" t="str">
        <f>IF(B775="", "", 'Lighting Inventory (Ref only)'!G786)</f>
        <v/>
      </c>
      <c r="P775" s="298" t="str">
        <f>IF(B775="", "", 'Lighting Inventory (Ref only)'!E786)</f>
        <v/>
      </c>
      <c r="Q775" s="298" t="str">
        <f>IF(B775="", "", 'Lighting Inventory (Ref only)'!J786)</f>
        <v/>
      </c>
      <c r="R775" s="298" t="str">
        <f>IF(B775="", "",'Lighting Inventory (Ref only)'!K786)</f>
        <v/>
      </c>
      <c r="S775" s="372" t="str">
        <f>IF(B775="", "", 'Lighting Inventory (Ref only)'!G786*'Lighting Inventory (Ref only)'!K786/1000)</f>
        <v/>
      </c>
      <c r="T775" s="298" t="str">
        <f>IF(B775="", "", IF('Lighting Inventory (Ref only)'!I786="", "Light Switch",Inventory!H783))</f>
        <v/>
      </c>
      <c r="X775" s="298" t="str">
        <f>IF(B775="", "", 'Lighting Inventory (Ref only)'!Q786)</f>
        <v/>
      </c>
      <c r="AA775" s="298" t="str">
        <f>IF(B775="", "",'Lighting Inventory (Ref only)'!R786/1000)</f>
        <v/>
      </c>
      <c r="AB775" s="298" t="str">
        <f>IF(B775="", "", Inventory!M783)</f>
        <v/>
      </c>
      <c r="AC775" s="298" t="str">
        <f>IF(B775="", "", 'Lighting Inventory (Ref only)'!T786)</f>
        <v/>
      </c>
      <c r="AD775" s="298" t="str">
        <f>IF(C775="", "", 'Lighting Inventory (Ref only)'!AA786)</f>
        <v/>
      </c>
      <c r="AE775" s="298" t="str">
        <f>IF(B775="", "", 'Lighting Inventory (Ref only)'!U786)</f>
        <v/>
      </c>
      <c r="AF775" s="298" t="str">
        <f>IF(B775="", "",'Lighting Inventory (Ref only)'!W786)</f>
        <v/>
      </c>
      <c r="AH775" s="298" t="str">
        <f>IF(B775="", "",'Lighting Inventory (Ref only)'!Z786)</f>
        <v/>
      </c>
      <c r="AI775" s="298" t="str">
        <f>IF(B775="", "", 'Lighting Inventory (Ref only)'!Y786)</f>
        <v/>
      </c>
      <c r="AJ775" s="298" t="str">
        <f>IF(C775="", "",'Lighting Inventory (Ref only)'!AB786)</f>
        <v/>
      </c>
      <c r="AK775" s="375" t="str">
        <f>IF(B775="", "", 'Lighting Inventory (Ref only)'!AG786)</f>
        <v/>
      </c>
      <c r="AL775" s="375" t="str">
        <f>IF(B775="", "", 'Lighting Inventory (Ref only)'!AD786)</f>
        <v/>
      </c>
      <c r="AM775" s="375" t="str">
        <f>IF(B775="", "", 'Lighting Inventory (Ref only)'!AE786)</f>
        <v/>
      </c>
      <c r="AN775" s="375" t="str">
        <f>IF(B775="", "", 'Lighting Inventory (Ref only)'!AF786)</f>
        <v/>
      </c>
      <c r="AO775" s="375" t="str">
        <f>IF(B775="", "", 'Lighting Inventory (Ref only)'!AG786)</f>
        <v/>
      </c>
    </row>
    <row r="776" spans="1:41">
      <c r="A776" s="298" t="str">
        <f>IF(G776="", "", Lookups!BF778)</f>
        <v/>
      </c>
      <c r="B776" s="298" t="str">
        <f>IF('Lighting Inventory (Ref only)'!Q787="", "", 'Lighting Inventory (Ref only)'!Q787)</f>
        <v/>
      </c>
      <c r="C776" s="298" t="str">
        <f>IF(A776="", "", 'Lighting Inventory (Ref only)'!AO787)</f>
        <v/>
      </c>
      <c r="D776" s="298" t="str">
        <f>IF(B776= "","", Inventory!S784)</f>
        <v/>
      </c>
      <c r="F776" s="298" t="str">
        <f>IF(B776="", "", 'Version Log'!$B$34)</f>
        <v/>
      </c>
      <c r="G776" s="298" t="str">
        <f t="shared" si="48"/>
        <v/>
      </c>
      <c r="H776" s="298" t="str">
        <f t="shared" si="49"/>
        <v/>
      </c>
      <c r="I776" s="298" t="str">
        <f>IF(B776="", "",Inventory!D784)</f>
        <v/>
      </c>
      <c r="J776" s="298" t="str">
        <f>IF(B776="","",IF(Inventory!C784="N","Interior","Exterior"))</f>
        <v/>
      </c>
      <c r="K776" s="298" t="str">
        <f t="shared" si="50"/>
        <v/>
      </c>
      <c r="L776" s="298" t="str">
        <f>IF(B776="", "", Inventory!E784)</f>
        <v/>
      </c>
      <c r="M776" s="298" t="str">
        <f>IF(B776="","",IF(Cool_Type=Lookups!$L$9,Cool_Type,IF(Cool_Type=Lookups!$L$10,Cool_Type,IF(Cool_Type=Lookups!$L$11,Cool_Type,IF(Cool_Type=Lookups!L786,Cool_Type,IF('Project Info and Summary'!$C$20="Electric",CONCATENATE(Cool_Type," ",Heating_Type," Heat"),IF('Project Info and Summary'!$C$20="Non-Electric",CONCATENATE(Cool_Type," ",Heating_Type," Heat"),CONCATENATE(Cool_Type," ",Heating_Type))))))))</f>
        <v/>
      </c>
      <c r="N776" s="298" t="str">
        <f t="shared" si="51"/>
        <v/>
      </c>
      <c r="O776" s="298" t="str">
        <f>IF(B776="", "", 'Lighting Inventory (Ref only)'!G787)</f>
        <v/>
      </c>
      <c r="P776" s="298" t="str">
        <f>IF(B776="", "", 'Lighting Inventory (Ref only)'!E787)</f>
        <v/>
      </c>
      <c r="Q776" s="298" t="str">
        <f>IF(B776="", "", 'Lighting Inventory (Ref only)'!J787)</f>
        <v/>
      </c>
      <c r="R776" s="298" t="str">
        <f>IF(B776="", "",'Lighting Inventory (Ref only)'!K787)</f>
        <v/>
      </c>
      <c r="S776" s="372" t="str">
        <f>IF(B776="", "", 'Lighting Inventory (Ref only)'!G787*'Lighting Inventory (Ref only)'!K787/1000)</f>
        <v/>
      </c>
      <c r="T776" s="298" t="str">
        <f>IF(B776="", "", IF('Lighting Inventory (Ref only)'!I787="", "Light Switch",Inventory!H784))</f>
        <v/>
      </c>
      <c r="X776" s="298" t="str">
        <f>IF(B776="", "", 'Lighting Inventory (Ref only)'!Q787)</f>
        <v/>
      </c>
      <c r="AA776" s="298" t="str">
        <f>IF(B776="", "",'Lighting Inventory (Ref only)'!R787/1000)</f>
        <v/>
      </c>
      <c r="AB776" s="298" t="str">
        <f>IF(B776="", "", Inventory!M784)</f>
        <v/>
      </c>
      <c r="AC776" s="298" t="str">
        <f>IF(B776="", "", 'Lighting Inventory (Ref only)'!T787)</f>
        <v/>
      </c>
      <c r="AD776" s="298" t="str">
        <f>IF(C776="", "", 'Lighting Inventory (Ref only)'!AA787)</f>
        <v/>
      </c>
      <c r="AE776" s="298" t="str">
        <f>IF(B776="", "", 'Lighting Inventory (Ref only)'!U787)</f>
        <v/>
      </c>
      <c r="AF776" s="298" t="str">
        <f>IF(B776="", "",'Lighting Inventory (Ref only)'!W787)</f>
        <v/>
      </c>
      <c r="AH776" s="298" t="str">
        <f>IF(B776="", "",'Lighting Inventory (Ref only)'!Z787)</f>
        <v/>
      </c>
      <c r="AI776" s="298" t="str">
        <f>IF(B776="", "", 'Lighting Inventory (Ref only)'!Y787)</f>
        <v/>
      </c>
      <c r="AJ776" s="298" t="str">
        <f>IF(C776="", "",'Lighting Inventory (Ref only)'!AB787)</f>
        <v/>
      </c>
      <c r="AK776" s="375" t="str">
        <f>IF(B776="", "", 'Lighting Inventory (Ref only)'!AG787)</f>
        <v/>
      </c>
      <c r="AL776" s="375" t="str">
        <f>IF(B776="", "", 'Lighting Inventory (Ref only)'!AD787)</f>
        <v/>
      </c>
      <c r="AM776" s="375" t="str">
        <f>IF(B776="", "", 'Lighting Inventory (Ref only)'!AE787)</f>
        <v/>
      </c>
      <c r="AN776" s="375" t="str">
        <f>IF(B776="", "", 'Lighting Inventory (Ref only)'!AF787)</f>
        <v/>
      </c>
      <c r="AO776" s="375" t="str">
        <f>IF(B776="", "", 'Lighting Inventory (Ref only)'!AG787)</f>
        <v/>
      </c>
    </row>
    <row r="777" spans="1:41">
      <c r="A777" s="298" t="str">
        <f>IF(G777="", "", Lookups!BF779)</f>
        <v/>
      </c>
      <c r="B777" s="298" t="str">
        <f>IF('Lighting Inventory (Ref only)'!Q788="", "", 'Lighting Inventory (Ref only)'!Q788)</f>
        <v/>
      </c>
      <c r="C777" s="298" t="str">
        <f>IF(A777="", "", 'Lighting Inventory (Ref only)'!AO788)</f>
        <v/>
      </c>
      <c r="D777" s="298" t="str">
        <f>IF(B777= "","", Inventory!S785)</f>
        <v/>
      </c>
      <c r="F777" s="298" t="str">
        <f>IF(B777="", "", 'Version Log'!$B$34)</f>
        <v/>
      </c>
      <c r="G777" s="298" t="str">
        <f t="shared" si="48"/>
        <v/>
      </c>
      <c r="H777" s="298" t="str">
        <f t="shared" si="49"/>
        <v/>
      </c>
      <c r="I777" s="298" t="str">
        <f>IF(B777="", "",Inventory!D785)</f>
        <v/>
      </c>
      <c r="J777" s="298" t="str">
        <f>IF(B777="","",IF(Inventory!C785="N","Interior","Exterior"))</f>
        <v/>
      </c>
      <c r="K777" s="298" t="str">
        <f t="shared" si="50"/>
        <v/>
      </c>
      <c r="L777" s="298" t="str">
        <f>IF(B777="", "", Inventory!E785)</f>
        <v/>
      </c>
      <c r="M777" s="298" t="str">
        <f>IF(B777="","",IF(Cool_Type=Lookups!$L$9,Cool_Type,IF(Cool_Type=Lookups!$L$10,Cool_Type,IF(Cool_Type=Lookups!$L$11,Cool_Type,IF(Cool_Type=Lookups!L787,Cool_Type,IF('Project Info and Summary'!$C$20="Electric",CONCATENATE(Cool_Type," ",Heating_Type," Heat"),IF('Project Info and Summary'!$C$20="Non-Electric",CONCATENATE(Cool_Type," ",Heating_Type," Heat"),CONCATENATE(Cool_Type," ",Heating_Type))))))))</f>
        <v/>
      </c>
      <c r="N777" s="298" t="str">
        <f t="shared" si="51"/>
        <v/>
      </c>
      <c r="O777" s="298" t="str">
        <f>IF(B777="", "", 'Lighting Inventory (Ref only)'!G788)</f>
        <v/>
      </c>
      <c r="P777" s="298" t="str">
        <f>IF(B777="", "", 'Lighting Inventory (Ref only)'!E788)</f>
        <v/>
      </c>
      <c r="Q777" s="298" t="str">
        <f>IF(B777="", "", 'Lighting Inventory (Ref only)'!J788)</f>
        <v/>
      </c>
      <c r="R777" s="298" t="str">
        <f>IF(B777="", "",'Lighting Inventory (Ref only)'!K788)</f>
        <v/>
      </c>
      <c r="S777" s="372" t="str">
        <f>IF(B777="", "", 'Lighting Inventory (Ref only)'!G788*'Lighting Inventory (Ref only)'!K788/1000)</f>
        <v/>
      </c>
      <c r="T777" s="298" t="str">
        <f>IF(B777="", "", IF('Lighting Inventory (Ref only)'!I788="", "Light Switch",Inventory!H785))</f>
        <v/>
      </c>
      <c r="X777" s="298" t="str">
        <f>IF(B777="", "", 'Lighting Inventory (Ref only)'!Q788)</f>
        <v/>
      </c>
      <c r="AA777" s="298" t="str">
        <f>IF(B777="", "",'Lighting Inventory (Ref only)'!R788/1000)</f>
        <v/>
      </c>
      <c r="AB777" s="298" t="str">
        <f>IF(B777="", "", Inventory!M785)</f>
        <v/>
      </c>
      <c r="AC777" s="298" t="str">
        <f>IF(B777="", "", 'Lighting Inventory (Ref only)'!T788)</f>
        <v/>
      </c>
      <c r="AD777" s="298" t="str">
        <f>IF(C777="", "", 'Lighting Inventory (Ref only)'!AA788)</f>
        <v/>
      </c>
      <c r="AE777" s="298" t="str">
        <f>IF(B777="", "", 'Lighting Inventory (Ref only)'!U788)</f>
        <v/>
      </c>
      <c r="AF777" s="298" t="str">
        <f>IF(B777="", "",'Lighting Inventory (Ref only)'!W788)</f>
        <v/>
      </c>
      <c r="AH777" s="298" t="str">
        <f>IF(B777="", "",'Lighting Inventory (Ref only)'!Z788)</f>
        <v/>
      </c>
      <c r="AI777" s="298" t="str">
        <f>IF(B777="", "", 'Lighting Inventory (Ref only)'!Y788)</f>
        <v/>
      </c>
      <c r="AJ777" s="298" t="str">
        <f>IF(C777="", "",'Lighting Inventory (Ref only)'!AB788)</f>
        <v/>
      </c>
      <c r="AK777" s="375" t="str">
        <f>IF(B777="", "", 'Lighting Inventory (Ref only)'!AG788)</f>
        <v/>
      </c>
      <c r="AL777" s="375" t="str">
        <f>IF(B777="", "", 'Lighting Inventory (Ref only)'!AD788)</f>
        <v/>
      </c>
      <c r="AM777" s="375" t="str">
        <f>IF(B777="", "", 'Lighting Inventory (Ref only)'!AE788)</f>
        <v/>
      </c>
      <c r="AN777" s="375" t="str">
        <f>IF(B777="", "", 'Lighting Inventory (Ref only)'!AF788)</f>
        <v/>
      </c>
      <c r="AO777" s="375" t="str">
        <f>IF(B777="", "", 'Lighting Inventory (Ref only)'!AG788)</f>
        <v/>
      </c>
    </row>
    <row r="778" spans="1:41">
      <c r="A778" s="298" t="str">
        <f>IF(G778="", "", Lookups!BF780)</f>
        <v/>
      </c>
      <c r="B778" s="298" t="str">
        <f>IF('Lighting Inventory (Ref only)'!Q789="", "", 'Lighting Inventory (Ref only)'!Q789)</f>
        <v/>
      </c>
      <c r="C778" s="298" t="str">
        <f>IF(A778="", "", 'Lighting Inventory (Ref only)'!AO789)</f>
        <v/>
      </c>
      <c r="D778" s="298" t="str">
        <f>IF(B778= "","", Inventory!S786)</f>
        <v/>
      </c>
      <c r="F778" s="298" t="str">
        <f>IF(B778="", "", 'Version Log'!$B$34)</f>
        <v/>
      </c>
      <c r="G778" s="298" t="str">
        <f t="shared" si="48"/>
        <v/>
      </c>
      <c r="H778" s="298" t="str">
        <f t="shared" si="49"/>
        <v/>
      </c>
      <c r="I778" s="298" t="str">
        <f>IF(B778="", "",Inventory!D786)</f>
        <v/>
      </c>
      <c r="J778" s="298" t="str">
        <f>IF(B778="","",IF(Inventory!C786="N","Interior","Exterior"))</f>
        <v/>
      </c>
      <c r="K778" s="298" t="str">
        <f t="shared" si="50"/>
        <v/>
      </c>
      <c r="L778" s="298" t="str">
        <f>IF(B778="", "", Inventory!E786)</f>
        <v/>
      </c>
      <c r="M778" s="298" t="str">
        <f>IF(B778="","",IF(Cool_Type=Lookups!$L$9,Cool_Type,IF(Cool_Type=Lookups!$L$10,Cool_Type,IF(Cool_Type=Lookups!$L$11,Cool_Type,IF(Cool_Type=Lookups!L788,Cool_Type,IF('Project Info and Summary'!$C$20="Electric",CONCATENATE(Cool_Type," ",Heating_Type," Heat"),IF('Project Info and Summary'!$C$20="Non-Electric",CONCATENATE(Cool_Type," ",Heating_Type," Heat"),CONCATENATE(Cool_Type," ",Heating_Type))))))))</f>
        <v/>
      </c>
      <c r="N778" s="298" t="str">
        <f t="shared" si="51"/>
        <v/>
      </c>
      <c r="O778" s="298" t="str">
        <f>IF(B778="", "", 'Lighting Inventory (Ref only)'!G789)</f>
        <v/>
      </c>
      <c r="P778" s="298" t="str">
        <f>IF(B778="", "", 'Lighting Inventory (Ref only)'!E789)</f>
        <v/>
      </c>
      <c r="Q778" s="298" t="str">
        <f>IF(B778="", "", 'Lighting Inventory (Ref only)'!J789)</f>
        <v/>
      </c>
      <c r="R778" s="298" t="str">
        <f>IF(B778="", "",'Lighting Inventory (Ref only)'!K789)</f>
        <v/>
      </c>
      <c r="S778" s="372" t="str">
        <f>IF(B778="", "", 'Lighting Inventory (Ref only)'!G789*'Lighting Inventory (Ref only)'!K789/1000)</f>
        <v/>
      </c>
      <c r="T778" s="298" t="str">
        <f>IF(B778="", "", IF('Lighting Inventory (Ref only)'!I789="", "Light Switch",Inventory!H786))</f>
        <v/>
      </c>
      <c r="X778" s="298" t="str">
        <f>IF(B778="", "", 'Lighting Inventory (Ref only)'!Q789)</f>
        <v/>
      </c>
      <c r="AA778" s="298" t="str">
        <f>IF(B778="", "",'Lighting Inventory (Ref only)'!R789/1000)</f>
        <v/>
      </c>
      <c r="AB778" s="298" t="str">
        <f>IF(B778="", "", Inventory!M786)</f>
        <v/>
      </c>
      <c r="AC778" s="298" t="str">
        <f>IF(B778="", "", 'Lighting Inventory (Ref only)'!T789)</f>
        <v/>
      </c>
      <c r="AD778" s="298" t="str">
        <f>IF(C778="", "", 'Lighting Inventory (Ref only)'!AA789)</f>
        <v/>
      </c>
      <c r="AE778" s="298" t="str">
        <f>IF(B778="", "", 'Lighting Inventory (Ref only)'!U789)</f>
        <v/>
      </c>
      <c r="AF778" s="298" t="str">
        <f>IF(B778="", "",'Lighting Inventory (Ref only)'!W789)</f>
        <v/>
      </c>
      <c r="AH778" s="298" t="str">
        <f>IF(B778="", "",'Lighting Inventory (Ref only)'!Z789)</f>
        <v/>
      </c>
      <c r="AI778" s="298" t="str">
        <f>IF(B778="", "", 'Lighting Inventory (Ref only)'!Y789)</f>
        <v/>
      </c>
      <c r="AJ778" s="298" t="str">
        <f>IF(C778="", "",'Lighting Inventory (Ref only)'!AB789)</f>
        <v/>
      </c>
      <c r="AK778" s="375" t="str">
        <f>IF(B778="", "", 'Lighting Inventory (Ref only)'!AG789)</f>
        <v/>
      </c>
      <c r="AL778" s="375" t="str">
        <f>IF(B778="", "", 'Lighting Inventory (Ref only)'!AD789)</f>
        <v/>
      </c>
      <c r="AM778" s="375" t="str">
        <f>IF(B778="", "", 'Lighting Inventory (Ref only)'!AE789)</f>
        <v/>
      </c>
      <c r="AN778" s="375" t="str">
        <f>IF(B778="", "", 'Lighting Inventory (Ref only)'!AF789)</f>
        <v/>
      </c>
      <c r="AO778" s="375" t="str">
        <f>IF(B778="", "", 'Lighting Inventory (Ref only)'!AG789)</f>
        <v/>
      </c>
    </row>
    <row r="779" spans="1:41">
      <c r="A779" s="298" t="str">
        <f>IF(G779="", "", Lookups!BF781)</f>
        <v/>
      </c>
      <c r="B779" s="298" t="str">
        <f>IF('Lighting Inventory (Ref only)'!Q790="", "", 'Lighting Inventory (Ref only)'!Q790)</f>
        <v/>
      </c>
      <c r="C779" s="298" t="str">
        <f>IF(A779="", "", 'Lighting Inventory (Ref only)'!AO790)</f>
        <v/>
      </c>
      <c r="D779" s="298" t="str">
        <f>IF(B779= "","", Inventory!S787)</f>
        <v/>
      </c>
      <c r="F779" s="298" t="str">
        <f>IF(B779="", "", 'Version Log'!$B$34)</f>
        <v/>
      </c>
      <c r="G779" s="298" t="str">
        <f t="shared" si="48"/>
        <v/>
      </c>
      <c r="H779" s="298" t="str">
        <f t="shared" si="49"/>
        <v/>
      </c>
      <c r="I779" s="298" t="str">
        <f>IF(B779="", "",Inventory!D787)</f>
        <v/>
      </c>
      <c r="J779" s="298" t="str">
        <f>IF(B779="","",IF(Inventory!C787="N","Interior","Exterior"))</f>
        <v/>
      </c>
      <c r="K779" s="298" t="str">
        <f t="shared" si="50"/>
        <v/>
      </c>
      <c r="L779" s="298" t="str">
        <f>IF(B779="", "", Inventory!E787)</f>
        <v/>
      </c>
      <c r="M779" s="298" t="str">
        <f>IF(B779="","",IF(Cool_Type=Lookups!$L$9,Cool_Type,IF(Cool_Type=Lookups!$L$10,Cool_Type,IF(Cool_Type=Lookups!$L$11,Cool_Type,IF(Cool_Type=Lookups!L789,Cool_Type,IF('Project Info and Summary'!$C$20="Electric",CONCATENATE(Cool_Type," ",Heating_Type," Heat"),IF('Project Info and Summary'!$C$20="Non-Electric",CONCATENATE(Cool_Type," ",Heating_Type," Heat"),CONCATENATE(Cool_Type," ",Heating_Type))))))))</f>
        <v/>
      </c>
      <c r="N779" s="298" t="str">
        <f t="shared" si="51"/>
        <v/>
      </c>
      <c r="O779" s="298" t="str">
        <f>IF(B779="", "", 'Lighting Inventory (Ref only)'!G790)</f>
        <v/>
      </c>
      <c r="P779" s="298" t="str">
        <f>IF(B779="", "", 'Lighting Inventory (Ref only)'!E790)</f>
        <v/>
      </c>
      <c r="Q779" s="298" t="str">
        <f>IF(B779="", "", 'Lighting Inventory (Ref only)'!J790)</f>
        <v/>
      </c>
      <c r="R779" s="298" t="str">
        <f>IF(B779="", "",'Lighting Inventory (Ref only)'!K790)</f>
        <v/>
      </c>
      <c r="S779" s="372" t="str">
        <f>IF(B779="", "", 'Lighting Inventory (Ref only)'!G790*'Lighting Inventory (Ref only)'!K790/1000)</f>
        <v/>
      </c>
      <c r="T779" s="298" t="str">
        <f>IF(B779="", "", IF('Lighting Inventory (Ref only)'!I790="", "Light Switch",Inventory!H787))</f>
        <v/>
      </c>
      <c r="X779" s="298" t="str">
        <f>IF(B779="", "", 'Lighting Inventory (Ref only)'!Q790)</f>
        <v/>
      </c>
      <c r="AA779" s="298" t="str">
        <f>IF(B779="", "",'Lighting Inventory (Ref only)'!R790/1000)</f>
        <v/>
      </c>
      <c r="AB779" s="298" t="str">
        <f>IF(B779="", "", Inventory!M787)</f>
        <v/>
      </c>
      <c r="AC779" s="298" t="str">
        <f>IF(B779="", "", 'Lighting Inventory (Ref only)'!T790)</f>
        <v/>
      </c>
      <c r="AD779" s="298" t="str">
        <f>IF(C779="", "", 'Lighting Inventory (Ref only)'!AA790)</f>
        <v/>
      </c>
      <c r="AE779" s="298" t="str">
        <f>IF(B779="", "", 'Lighting Inventory (Ref only)'!U790)</f>
        <v/>
      </c>
      <c r="AF779" s="298" t="str">
        <f>IF(B779="", "",'Lighting Inventory (Ref only)'!W790)</f>
        <v/>
      </c>
      <c r="AH779" s="298" t="str">
        <f>IF(B779="", "",'Lighting Inventory (Ref only)'!Z790)</f>
        <v/>
      </c>
      <c r="AI779" s="298" t="str">
        <f>IF(B779="", "", 'Lighting Inventory (Ref only)'!Y790)</f>
        <v/>
      </c>
      <c r="AJ779" s="298" t="str">
        <f>IF(C779="", "",'Lighting Inventory (Ref only)'!AB790)</f>
        <v/>
      </c>
      <c r="AK779" s="375" t="str">
        <f>IF(B779="", "", 'Lighting Inventory (Ref only)'!AG790)</f>
        <v/>
      </c>
      <c r="AL779" s="375" t="str">
        <f>IF(B779="", "", 'Lighting Inventory (Ref only)'!AD790)</f>
        <v/>
      </c>
      <c r="AM779" s="375" t="str">
        <f>IF(B779="", "", 'Lighting Inventory (Ref only)'!AE790)</f>
        <v/>
      </c>
      <c r="AN779" s="375" t="str">
        <f>IF(B779="", "", 'Lighting Inventory (Ref only)'!AF790)</f>
        <v/>
      </c>
      <c r="AO779" s="375" t="str">
        <f>IF(B779="", "", 'Lighting Inventory (Ref only)'!AG790)</f>
        <v/>
      </c>
    </row>
    <row r="780" spans="1:41">
      <c r="A780" s="298" t="str">
        <f>IF(G780="", "", Lookups!BF782)</f>
        <v/>
      </c>
      <c r="B780" s="298" t="str">
        <f>IF('Lighting Inventory (Ref only)'!Q791="", "", 'Lighting Inventory (Ref only)'!Q791)</f>
        <v/>
      </c>
      <c r="C780" s="298" t="str">
        <f>IF(A780="", "", 'Lighting Inventory (Ref only)'!AO791)</f>
        <v/>
      </c>
      <c r="D780" s="298" t="str">
        <f>IF(B780= "","", Inventory!S788)</f>
        <v/>
      </c>
      <c r="F780" s="298" t="str">
        <f>IF(B780="", "", 'Version Log'!$B$34)</f>
        <v/>
      </c>
      <c r="G780" s="298" t="str">
        <f t="shared" si="48"/>
        <v/>
      </c>
      <c r="H780" s="298" t="str">
        <f t="shared" si="49"/>
        <v/>
      </c>
      <c r="I780" s="298" t="str">
        <f>IF(B780="", "",Inventory!D788)</f>
        <v/>
      </c>
      <c r="J780" s="298" t="str">
        <f>IF(B780="","",IF(Inventory!C788="N","Interior","Exterior"))</f>
        <v/>
      </c>
      <c r="K780" s="298" t="str">
        <f t="shared" si="50"/>
        <v/>
      </c>
      <c r="L780" s="298" t="str">
        <f>IF(B780="", "", Inventory!E788)</f>
        <v/>
      </c>
      <c r="M780" s="298" t="str">
        <f>IF(B780="","",IF(Cool_Type=Lookups!$L$9,Cool_Type,IF(Cool_Type=Lookups!$L$10,Cool_Type,IF(Cool_Type=Lookups!$L$11,Cool_Type,IF(Cool_Type=Lookups!L790,Cool_Type,IF('Project Info and Summary'!$C$20="Electric",CONCATENATE(Cool_Type," ",Heating_Type," Heat"),IF('Project Info and Summary'!$C$20="Non-Electric",CONCATENATE(Cool_Type," ",Heating_Type," Heat"),CONCATENATE(Cool_Type," ",Heating_Type))))))))</f>
        <v/>
      </c>
      <c r="N780" s="298" t="str">
        <f t="shared" si="51"/>
        <v/>
      </c>
      <c r="O780" s="298" t="str">
        <f>IF(B780="", "", 'Lighting Inventory (Ref only)'!G791)</f>
        <v/>
      </c>
      <c r="P780" s="298" t="str">
        <f>IF(B780="", "", 'Lighting Inventory (Ref only)'!E791)</f>
        <v/>
      </c>
      <c r="Q780" s="298" t="str">
        <f>IF(B780="", "", 'Lighting Inventory (Ref only)'!J791)</f>
        <v/>
      </c>
      <c r="R780" s="298" t="str">
        <f>IF(B780="", "",'Lighting Inventory (Ref only)'!K791)</f>
        <v/>
      </c>
      <c r="S780" s="372" t="str">
        <f>IF(B780="", "", 'Lighting Inventory (Ref only)'!G791*'Lighting Inventory (Ref only)'!K791/1000)</f>
        <v/>
      </c>
      <c r="T780" s="298" t="str">
        <f>IF(B780="", "", IF('Lighting Inventory (Ref only)'!I791="", "Light Switch",Inventory!H788))</f>
        <v/>
      </c>
      <c r="X780" s="298" t="str">
        <f>IF(B780="", "", 'Lighting Inventory (Ref only)'!Q791)</f>
        <v/>
      </c>
      <c r="AA780" s="298" t="str">
        <f>IF(B780="", "",'Lighting Inventory (Ref only)'!R791/1000)</f>
        <v/>
      </c>
      <c r="AB780" s="298" t="str">
        <f>IF(B780="", "", Inventory!M788)</f>
        <v/>
      </c>
      <c r="AC780" s="298" t="str">
        <f>IF(B780="", "", 'Lighting Inventory (Ref only)'!T791)</f>
        <v/>
      </c>
      <c r="AD780" s="298" t="str">
        <f>IF(C780="", "", 'Lighting Inventory (Ref only)'!AA791)</f>
        <v/>
      </c>
      <c r="AE780" s="298" t="str">
        <f>IF(B780="", "", 'Lighting Inventory (Ref only)'!U791)</f>
        <v/>
      </c>
      <c r="AF780" s="298" t="str">
        <f>IF(B780="", "",'Lighting Inventory (Ref only)'!W791)</f>
        <v/>
      </c>
      <c r="AH780" s="298" t="str">
        <f>IF(B780="", "",'Lighting Inventory (Ref only)'!Z791)</f>
        <v/>
      </c>
      <c r="AI780" s="298" t="str">
        <f>IF(B780="", "", 'Lighting Inventory (Ref only)'!Y791)</f>
        <v/>
      </c>
      <c r="AJ780" s="298" t="str">
        <f>IF(C780="", "",'Lighting Inventory (Ref only)'!AB791)</f>
        <v/>
      </c>
      <c r="AK780" s="375" t="str">
        <f>IF(B780="", "", 'Lighting Inventory (Ref only)'!AG791)</f>
        <v/>
      </c>
      <c r="AL780" s="375" t="str">
        <f>IF(B780="", "", 'Lighting Inventory (Ref only)'!AD791)</f>
        <v/>
      </c>
      <c r="AM780" s="375" t="str">
        <f>IF(B780="", "", 'Lighting Inventory (Ref only)'!AE791)</f>
        <v/>
      </c>
      <c r="AN780" s="375" t="str">
        <f>IF(B780="", "", 'Lighting Inventory (Ref only)'!AF791)</f>
        <v/>
      </c>
      <c r="AO780" s="375" t="str">
        <f>IF(B780="", "", 'Lighting Inventory (Ref only)'!AG791)</f>
        <v/>
      </c>
    </row>
    <row r="781" spans="1:41">
      <c r="A781" s="298" t="str">
        <f>IF(G781="", "", Lookups!BF783)</f>
        <v/>
      </c>
      <c r="B781" s="298" t="str">
        <f>IF('Lighting Inventory (Ref only)'!Q792="", "", 'Lighting Inventory (Ref only)'!Q792)</f>
        <v/>
      </c>
      <c r="C781" s="298" t="str">
        <f>IF(A781="", "", 'Lighting Inventory (Ref only)'!AO792)</f>
        <v/>
      </c>
      <c r="D781" s="298" t="str">
        <f>IF(B781= "","", Inventory!S789)</f>
        <v/>
      </c>
      <c r="F781" s="298" t="str">
        <f>IF(B781="", "", 'Version Log'!$B$34)</f>
        <v/>
      </c>
      <c r="G781" s="298" t="str">
        <f t="shared" si="48"/>
        <v/>
      </c>
      <c r="H781" s="298" t="str">
        <f t="shared" si="49"/>
        <v/>
      </c>
      <c r="I781" s="298" t="str">
        <f>IF(B781="", "",Inventory!D789)</f>
        <v/>
      </c>
      <c r="J781" s="298" t="str">
        <f>IF(B781="","",IF(Inventory!C789="N","Interior","Exterior"))</f>
        <v/>
      </c>
      <c r="K781" s="298" t="str">
        <f t="shared" si="50"/>
        <v/>
      </c>
      <c r="L781" s="298" t="str">
        <f>IF(B781="", "", Inventory!E789)</f>
        <v/>
      </c>
      <c r="M781" s="298" t="str">
        <f>IF(B781="","",IF(Cool_Type=Lookups!$L$9,Cool_Type,IF(Cool_Type=Lookups!$L$10,Cool_Type,IF(Cool_Type=Lookups!$L$11,Cool_Type,IF(Cool_Type=Lookups!L791,Cool_Type,IF('Project Info and Summary'!$C$20="Electric",CONCATENATE(Cool_Type," ",Heating_Type," Heat"),IF('Project Info and Summary'!$C$20="Non-Electric",CONCATENATE(Cool_Type," ",Heating_Type," Heat"),CONCATENATE(Cool_Type," ",Heating_Type))))))))</f>
        <v/>
      </c>
      <c r="N781" s="298" t="str">
        <f t="shared" si="51"/>
        <v/>
      </c>
      <c r="O781" s="298" t="str">
        <f>IF(B781="", "", 'Lighting Inventory (Ref only)'!G792)</f>
        <v/>
      </c>
      <c r="P781" s="298" t="str">
        <f>IF(B781="", "", 'Lighting Inventory (Ref only)'!E792)</f>
        <v/>
      </c>
      <c r="Q781" s="298" t="str">
        <f>IF(B781="", "", 'Lighting Inventory (Ref only)'!J792)</f>
        <v/>
      </c>
      <c r="R781" s="298" t="str">
        <f>IF(B781="", "",'Lighting Inventory (Ref only)'!K792)</f>
        <v/>
      </c>
      <c r="S781" s="372" t="str">
        <f>IF(B781="", "", 'Lighting Inventory (Ref only)'!G792*'Lighting Inventory (Ref only)'!K792/1000)</f>
        <v/>
      </c>
      <c r="T781" s="298" t="str">
        <f>IF(B781="", "", IF('Lighting Inventory (Ref only)'!I792="", "Light Switch",Inventory!H789))</f>
        <v/>
      </c>
      <c r="X781" s="298" t="str">
        <f>IF(B781="", "", 'Lighting Inventory (Ref only)'!Q792)</f>
        <v/>
      </c>
      <c r="AA781" s="298" t="str">
        <f>IF(B781="", "",'Lighting Inventory (Ref only)'!R792/1000)</f>
        <v/>
      </c>
      <c r="AB781" s="298" t="str">
        <f>IF(B781="", "", Inventory!M789)</f>
        <v/>
      </c>
      <c r="AC781" s="298" t="str">
        <f>IF(B781="", "", 'Lighting Inventory (Ref only)'!T792)</f>
        <v/>
      </c>
      <c r="AD781" s="298" t="str">
        <f>IF(C781="", "", 'Lighting Inventory (Ref only)'!AA792)</f>
        <v/>
      </c>
      <c r="AE781" s="298" t="str">
        <f>IF(B781="", "", 'Lighting Inventory (Ref only)'!U792)</f>
        <v/>
      </c>
      <c r="AF781" s="298" t="str">
        <f>IF(B781="", "",'Lighting Inventory (Ref only)'!W792)</f>
        <v/>
      </c>
      <c r="AH781" s="298" t="str">
        <f>IF(B781="", "",'Lighting Inventory (Ref only)'!Z792)</f>
        <v/>
      </c>
      <c r="AI781" s="298" t="str">
        <f>IF(B781="", "", 'Lighting Inventory (Ref only)'!Y792)</f>
        <v/>
      </c>
      <c r="AJ781" s="298" t="str">
        <f>IF(C781="", "",'Lighting Inventory (Ref only)'!AB792)</f>
        <v/>
      </c>
      <c r="AK781" s="375" t="str">
        <f>IF(B781="", "", 'Lighting Inventory (Ref only)'!AG792)</f>
        <v/>
      </c>
      <c r="AL781" s="375" t="str">
        <f>IF(B781="", "", 'Lighting Inventory (Ref only)'!AD792)</f>
        <v/>
      </c>
      <c r="AM781" s="375" t="str">
        <f>IF(B781="", "", 'Lighting Inventory (Ref only)'!AE792)</f>
        <v/>
      </c>
      <c r="AN781" s="375" t="str">
        <f>IF(B781="", "", 'Lighting Inventory (Ref only)'!AF792)</f>
        <v/>
      </c>
      <c r="AO781" s="375" t="str">
        <f>IF(B781="", "", 'Lighting Inventory (Ref only)'!AG792)</f>
        <v/>
      </c>
    </row>
    <row r="782" spans="1:41">
      <c r="A782" s="298" t="str">
        <f>IF(G782="", "", Lookups!BF784)</f>
        <v/>
      </c>
      <c r="B782" s="298" t="str">
        <f>IF('Lighting Inventory (Ref only)'!Q793="", "", 'Lighting Inventory (Ref only)'!Q793)</f>
        <v/>
      </c>
      <c r="C782" s="298" t="str">
        <f>IF(A782="", "", 'Lighting Inventory (Ref only)'!AO793)</f>
        <v/>
      </c>
      <c r="D782" s="298" t="str">
        <f>IF(B782= "","", Inventory!S790)</f>
        <v/>
      </c>
      <c r="F782" s="298" t="str">
        <f>IF(B782="", "", 'Version Log'!$B$34)</f>
        <v/>
      </c>
      <c r="G782" s="298" t="str">
        <f t="shared" si="48"/>
        <v/>
      </c>
      <c r="H782" s="298" t="str">
        <f t="shared" si="49"/>
        <v/>
      </c>
      <c r="I782" s="298" t="str">
        <f>IF(B782="", "",Inventory!D790)</f>
        <v/>
      </c>
      <c r="J782" s="298" t="str">
        <f>IF(B782="","",IF(Inventory!C790="N","Interior","Exterior"))</f>
        <v/>
      </c>
      <c r="K782" s="298" t="str">
        <f t="shared" si="50"/>
        <v/>
      </c>
      <c r="L782" s="298" t="str">
        <f>IF(B782="", "", Inventory!E790)</f>
        <v/>
      </c>
      <c r="M782" s="298" t="str">
        <f>IF(B782="","",IF(Cool_Type=Lookups!$L$9,Cool_Type,IF(Cool_Type=Lookups!$L$10,Cool_Type,IF(Cool_Type=Lookups!$L$11,Cool_Type,IF(Cool_Type=Lookups!L792,Cool_Type,IF('Project Info and Summary'!$C$20="Electric",CONCATENATE(Cool_Type," ",Heating_Type," Heat"),IF('Project Info and Summary'!$C$20="Non-Electric",CONCATENATE(Cool_Type," ",Heating_Type," Heat"),CONCATENATE(Cool_Type," ",Heating_Type))))))))</f>
        <v/>
      </c>
      <c r="N782" s="298" t="str">
        <f t="shared" si="51"/>
        <v/>
      </c>
      <c r="O782" s="298" t="str">
        <f>IF(B782="", "", 'Lighting Inventory (Ref only)'!G793)</f>
        <v/>
      </c>
      <c r="P782" s="298" t="str">
        <f>IF(B782="", "", 'Lighting Inventory (Ref only)'!E793)</f>
        <v/>
      </c>
      <c r="Q782" s="298" t="str">
        <f>IF(B782="", "", 'Lighting Inventory (Ref only)'!J793)</f>
        <v/>
      </c>
      <c r="R782" s="298" t="str">
        <f>IF(B782="", "",'Lighting Inventory (Ref only)'!K793)</f>
        <v/>
      </c>
      <c r="S782" s="372" t="str">
        <f>IF(B782="", "", 'Lighting Inventory (Ref only)'!G793*'Lighting Inventory (Ref only)'!K793/1000)</f>
        <v/>
      </c>
      <c r="T782" s="298" t="str">
        <f>IF(B782="", "", IF('Lighting Inventory (Ref only)'!I793="", "Light Switch",Inventory!H790))</f>
        <v/>
      </c>
      <c r="X782" s="298" t="str">
        <f>IF(B782="", "", 'Lighting Inventory (Ref only)'!Q793)</f>
        <v/>
      </c>
      <c r="AA782" s="298" t="str">
        <f>IF(B782="", "",'Lighting Inventory (Ref only)'!R793/1000)</f>
        <v/>
      </c>
      <c r="AB782" s="298" t="str">
        <f>IF(B782="", "", Inventory!M790)</f>
        <v/>
      </c>
      <c r="AC782" s="298" t="str">
        <f>IF(B782="", "", 'Lighting Inventory (Ref only)'!T793)</f>
        <v/>
      </c>
      <c r="AD782" s="298" t="str">
        <f>IF(C782="", "", 'Lighting Inventory (Ref only)'!AA793)</f>
        <v/>
      </c>
      <c r="AE782" s="298" t="str">
        <f>IF(B782="", "", 'Lighting Inventory (Ref only)'!U793)</f>
        <v/>
      </c>
      <c r="AF782" s="298" t="str">
        <f>IF(B782="", "",'Lighting Inventory (Ref only)'!W793)</f>
        <v/>
      </c>
      <c r="AH782" s="298" t="str">
        <f>IF(B782="", "",'Lighting Inventory (Ref only)'!Z793)</f>
        <v/>
      </c>
      <c r="AI782" s="298" t="str">
        <f>IF(B782="", "", 'Lighting Inventory (Ref only)'!Y793)</f>
        <v/>
      </c>
      <c r="AJ782" s="298" t="str">
        <f>IF(C782="", "",'Lighting Inventory (Ref only)'!AB793)</f>
        <v/>
      </c>
      <c r="AK782" s="375" t="str">
        <f>IF(B782="", "", 'Lighting Inventory (Ref only)'!AG793)</f>
        <v/>
      </c>
      <c r="AL782" s="375" t="str">
        <f>IF(B782="", "", 'Lighting Inventory (Ref only)'!AD793)</f>
        <v/>
      </c>
      <c r="AM782" s="375" t="str">
        <f>IF(B782="", "", 'Lighting Inventory (Ref only)'!AE793)</f>
        <v/>
      </c>
      <c r="AN782" s="375" t="str">
        <f>IF(B782="", "", 'Lighting Inventory (Ref only)'!AF793)</f>
        <v/>
      </c>
      <c r="AO782" s="375" t="str">
        <f>IF(B782="", "", 'Lighting Inventory (Ref only)'!AG793)</f>
        <v/>
      </c>
    </row>
    <row r="783" spans="1:41">
      <c r="A783" s="298" t="str">
        <f>IF(G783="", "", Lookups!BF785)</f>
        <v/>
      </c>
      <c r="B783" s="298" t="str">
        <f>IF('Lighting Inventory (Ref only)'!Q794="", "", 'Lighting Inventory (Ref only)'!Q794)</f>
        <v/>
      </c>
      <c r="C783" s="298" t="str">
        <f>IF(A783="", "", 'Lighting Inventory (Ref only)'!AO794)</f>
        <v/>
      </c>
      <c r="D783" s="298" t="str">
        <f>IF(B783= "","", Inventory!S791)</f>
        <v/>
      </c>
      <c r="F783" s="298" t="str">
        <f>IF(B783="", "", 'Version Log'!$B$34)</f>
        <v/>
      </c>
      <c r="G783" s="298" t="str">
        <f t="shared" si="48"/>
        <v/>
      </c>
      <c r="H783" s="298" t="str">
        <f t="shared" si="49"/>
        <v/>
      </c>
      <c r="I783" s="298" t="str">
        <f>IF(B783="", "",Inventory!D791)</f>
        <v/>
      </c>
      <c r="J783" s="298" t="str">
        <f>IF(B783="","",IF(Inventory!C791="N","Interior","Exterior"))</f>
        <v/>
      </c>
      <c r="K783" s="298" t="str">
        <f t="shared" si="50"/>
        <v/>
      </c>
      <c r="L783" s="298" t="str">
        <f>IF(B783="", "", Inventory!E791)</f>
        <v/>
      </c>
      <c r="M783" s="298" t="str">
        <f>IF(B783="","",IF(Cool_Type=Lookups!$L$9,Cool_Type,IF(Cool_Type=Lookups!$L$10,Cool_Type,IF(Cool_Type=Lookups!$L$11,Cool_Type,IF(Cool_Type=Lookups!L793,Cool_Type,IF('Project Info and Summary'!$C$20="Electric",CONCATENATE(Cool_Type," ",Heating_Type," Heat"),IF('Project Info and Summary'!$C$20="Non-Electric",CONCATENATE(Cool_Type," ",Heating_Type," Heat"),CONCATENATE(Cool_Type," ",Heating_Type))))))))</f>
        <v/>
      </c>
      <c r="N783" s="298" t="str">
        <f t="shared" si="51"/>
        <v/>
      </c>
      <c r="O783" s="298" t="str">
        <f>IF(B783="", "", 'Lighting Inventory (Ref only)'!G794)</f>
        <v/>
      </c>
      <c r="P783" s="298" t="str">
        <f>IF(B783="", "", 'Lighting Inventory (Ref only)'!E794)</f>
        <v/>
      </c>
      <c r="Q783" s="298" t="str">
        <f>IF(B783="", "", 'Lighting Inventory (Ref only)'!J794)</f>
        <v/>
      </c>
      <c r="R783" s="298" t="str">
        <f>IF(B783="", "",'Lighting Inventory (Ref only)'!K794)</f>
        <v/>
      </c>
      <c r="S783" s="372" t="str">
        <f>IF(B783="", "", 'Lighting Inventory (Ref only)'!G794*'Lighting Inventory (Ref only)'!K794/1000)</f>
        <v/>
      </c>
      <c r="T783" s="298" t="str">
        <f>IF(B783="", "", IF('Lighting Inventory (Ref only)'!I794="", "Light Switch",Inventory!H791))</f>
        <v/>
      </c>
      <c r="X783" s="298" t="str">
        <f>IF(B783="", "", 'Lighting Inventory (Ref only)'!Q794)</f>
        <v/>
      </c>
      <c r="AA783" s="298" t="str">
        <f>IF(B783="", "",'Lighting Inventory (Ref only)'!R794/1000)</f>
        <v/>
      </c>
      <c r="AB783" s="298" t="str">
        <f>IF(B783="", "", Inventory!M791)</f>
        <v/>
      </c>
      <c r="AC783" s="298" t="str">
        <f>IF(B783="", "", 'Lighting Inventory (Ref only)'!T794)</f>
        <v/>
      </c>
      <c r="AD783" s="298" t="str">
        <f>IF(C783="", "", 'Lighting Inventory (Ref only)'!AA794)</f>
        <v/>
      </c>
      <c r="AE783" s="298" t="str">
        <f>IF(B783="", "", 'Lighting Inventory (Ref only)'!U794)</f>
        <v/>
      </c>
      <c r="AF783" s="298" t="str">
        <f>IF(B783="", "",'Lighting Inventory (Ref only)'!W794)</f>
        <v/>
      </c>
      <c r="AH783" s="298" t="str">
        <f>IF(B783="", "",'Lighting Inventory (Ref only)'!Z794)</f>
        <v/>
      </c>
      <c r="AI783" s="298" t="str">
        <f>IF(B783="", "", 'Lighting Inventory (Ref only)'!Y794)</f>
        <v/>
      </c>
      <c r="AJ783" s="298" t="str">
        <f>IF(C783="", "",'Lighting Inventory (Ref only)'!AB794)</f>
        <v/>
      </c>
      <c r="AK783" s="375" t="str">
        <f>IF(B783="", "", 'Lighting Inventory (Ref only)'!AG794)</f>
        <v/>
      </c>
      <c r="AL783" s="375" t="str">
        <f>IF(B783="", "", 'Lighting Inventory (Ref only)'!AD794)</f>
        <v/>
      </c>
      <c r="AM783" s="375" t="str">
        <f>IF(B783="", "", 'Lighting Inventory (Ref only)'!AE794)</f>
        <v/>
      </c>
      <c r="AN783" s="375" t="str">
        <f>IF(B783="", "", 'Lighting Inventory (Ref only)'!AF794)</f>
        <v/>
      </c>
      <c r="AO783" s="375" t="str">
        <f>IF(B783="", "", 'Lighting Inventory (Ref only)'!AG794)</f>
        <v/>
      </c>
    </row>
    <row r="784" spans="1:41">
      <c r="A784" s="298" t="str">
        <f>IF(G784="", "", Lookups!BF786)</f>
        <v/>
      </c>
      <c r="B784" s="298" t="str">
        <f>IF('Lighting Inventory (Ref only)'!Q795="", "", 'Lighting Inventory (Ref only)'!Q795)</f>
        <v/>
      </c>
      <c r="C784" s="298" t="str">
        <f>IF(A784="", "", 'Lighting Inventory (Ref only)'!AO795)</f>
        <v/>
      </c>
      <c r="D784" s="298" t="str">
        <f>IF(B784= "","", Inventory!S792)</f>
        <v/>
      </c>
      <c r="F784" s="298" t="str">
        <f>IF(B784="", "", 'Version Log'!$B$34)</f>
        <v/>
      </c>
      <c r="G784" s="298" t="str">
        <f t="shared" si="48"/>
        <v/>
      </c>
      <c r="H784" s="298" t="str">
        <f t="shared" si="49"/>
        <v/>
      </c>
      <c r="I784" s="298" t="str">
        <f>IF(B784="", "",Inventory!D792)</f>
        <v/>
      </c>
      <c r="J784" s="298" t="str">
        <f>IF(B784="","",IF(Inventory!C792="N","Interior","Exterior"))</f>
        <v/>
      </c>
      <c r="K784" s="298" t="str">
        <f t="shared" si="50"/>
        <v/>
      </c>
      <c r="L784" s="298" t="str">
        <f>IF(B784="", "", Inventory!E792)</f>
        <v/>
      </c>
      <c r="M784" s="298" t="str">
        <f>IF(B784="","",IF(Cool_Type=Lookups!$L$9,Cool_Type,IF(Cool_Type=Lookups!$L$10,Cool_Type,IF(Cool_Type=Lookups!$L$11,Cool_Type,IF(Cool_Type=Lookups!L794,Cool_Type,IF('Project Info and Summary'!$C$20="Electric",CONCATENATE(Cool_Type," ",Heating_Type," Heat"),IF('Project Info and Summary'!$C$20="Non-Electric",CONCATENATE(Cool_Type," ",Heating_Type," Heat"),CONCATENATE(Cool_Type," ",Heating_Type))))))))</f>
        <v/>
      </c>
      <c r="N784" s="298" t="str">
        <f t="shared" si="51"/>
        <v/>
      </c>
      <c r="O784" s="298" t="str">
        <f>IF(B784="", "", 'Lighting Inventory (Ref only)'!G795)</f>
        <v/>
      </c>
      <c r="P784" s="298" t="str">
        <f>IF(B784="", "", 'Lighting Inventory (Ref only)'!E795)</f>
        <v/>
      </c>
      <c r="Q784" s="298" t="str">
        <f>IF(B784="", "", 'Lighting Inventory (Ref only)'!J795)</f>
        <v/>
      </c>
      <c r="R784" s="298" t="str">
        <f>IF(B784="", "",'Lighting Inventory (Ref only)'!K795)</f>
        <v/>
      </c>
      <c r="S784" s="372" t="str">
        <f>IF(B784="", "", 'Lighting Inventory (Ref only)'!G795*'Lighting Inventory (Ref only)'!K795/1000)</f>
        <v/>
      </c>
      <c r="T784" s="298" t="str">
        <f>IF(B784="", "", IF('Lighting Inventory (Ref only)'!I795="", "Light Switch",Inventory!H792))</f>
        <v/>
      </c>
      <c r="X784" s="298" t="str">
        <f>IF(B784="", "", 'Lighting Inventory (Ref only)'!Q795)</f>
        <v/>
      </c>
      <c r="AA784" s="298" t="str">
        <f>IF(B784="", "",'Lighting Inventory (Ref only)'!R795/1000)</f>
        <v/>
      </c>
      <c r="AB784" s="298" t="str">
        <f>IF(B784="", "", Inventory!M792)</f>
        <v/>
      </c>
      <c r="AC784" s="298" t="str">
        <f>IF(B784="", "", 'Lighting Inventory (Ref only)'!T795)</f>
        <v/>
      </c>
      <c r="AD784" s="298" t="str">
        <f>IF(C784="", "", 'Lighting Inventory (Ref only)'!AA795)</f>
        <v/>
      </c>
      <c r="AE784" s="298" t="str">
        <f>IF(B784="", "", 'Lighting Inventory (Ref only)'!U795)</f>
        <v/>
      </c>
      <c r="AF784" s="298" t="str">
        <f>IF(B784="", "",'Lighting Inventory (Ref only)'!W795)</f>
        <v/>
      </c>
      <c r="AH784" s="298" t="str">
        <f>IF(B784="", "",'Lighting Inventory (Ref only)'!Z795)</f>
        <v/>
      </c>
      <c r="AI784" s="298" t="str">
        <f>IF(B784="", "", 'Lighting Inventory (Ref only)'!Y795)</f>
        <v/>
      </c>
      <c r="AJ784" s="298" t="str">
        <f>IF(C784="", "",'Lighting Inventory (Ref only)'!AB795)</f>
        <v/>
      </c>
      <c r="AK784" s="375" t="str">
        <f>IF(B784="", "", 'Lighting Inventory (Ref only)'!AG795)</f>
        <v/>
      </c>
      <c r="AL784" s="375" t="str">
        <f>IF(B784="", "", 'Lighting Inventory (Ref only)'!AD795)</f>
        <v/>
      </c>
      <c r="AM784" s="375" t="str">
        <f>IF(B784="", "", 'Lighting Inventory (Ref only)'!AE795)</f>
        <v/>
      </c>
      <c r="AN784" s="375" t="str">
        <f>IF(B784="", "", 'Lighting Inventory (Ref only)'!AF795)</f>
        <v/>
      </c>
      <c r="AO784" s="375" t="str">
        <f>IF(B784="", "", 'Lighting Inventory (Ref only)'!AG795)</f>
        <v/>
      </c>
    </row>
    <row r="785" spans="1:41">
      <c r="A785" s="298" t="str">
        <f>IF(G785="", "", Lookups!BF787)</f>
        <v/>
      </c>
      <c r="B785" s="298" t="str">
        <f>IF('Lighting Inventory (Ref only)'!Q796="", "", 'Lighting Inventory (Ref only)'!Q796)</f>
        <v/>
      </c>
      <c r="C785" s="298" t="str">
        <f>IF(A785="", "", 'Lighting Inventory (Ref only)'!AO796)</f>
        <v/>
      </c>
      <c r="D785" s="298" t="str">
        <f>IF(B785= "","", Inventory!S793)</f>
        <v/>
      </c>
      <c r="F785" s="298" t="str">
        <f>IF(B785="", "", 'Version Log'!$B$34)</f>
        <v/>
      </c>
      <c r="G785" s="298" t="str">
        <f t="shared" si="48"/>
        <v/>
      </c>
      <c r="H785" s="298" t="str">
        <f t="shared" si="49"/>
        <v/>
      </c>
      <c r="I785" s="298" t="str">
        <f>IF(B785="", "",Inventory!D793)</f>
        <v/>
      </c>
      <c r="J785" s="298" t="str">
        <f>IF(B785="","",IF(Inventory!C793="N","Interior","Exterior"))</f>
        <v/>
      </c>
      <c r="K785" s="298" t="str">
        <f t="shared" si="50"/>
        <v/>
      </c>
      <c r="L785" s="298" t="str">
        <f>IF(B785="", "", Inventory!E793)</f>
        <v/>
      </c>
      <c r="M785" s="298" t="str">
        <f>IF(B785="","",IF(Cool_Type=Lookups!$L$9,Cool_Type,IF(Cool_Type=Lookups!$L$10,Cool_Type,IF(Cool_Type=Lookups!$L$11,Cool_Type,IF(Cool_Type=Lookups!L795,Cool_Type,IF('Project Info and Summary'!$C$20="Electric",CONCATENATE(Cool_Type," ",Heating_Type," Heat"),IF('Project Info and Summary'!$C$20="Non-Electric",CONCATENATE(Cool_Type," ",Heating_Type," Heat"),CONCATENATE(Cool_Type," ",Heating_Type))))))))</f>
        <v/>
      </c>
      <c r="N785" s="298" t="str">
        <f t="shared" si="51"/>
        <v/>
      </c>
      <c r="O785" s="298" t="str">
        <f>IF(B785="", "", 'Lighting Inventory (Ref only)'!G796)</f>
        <v/>
      </c>
      <c r="P785" s="298" t="str">
        <f>IF(B785="", "", 'Lighting Inventory (Ref only)'!E796)</f>
        <v/>
      </c>
      <c r="Q785" s="298" t="str">
        <f>IF(B785="", "", 'Lighting Inventory (Ref only)'!J796)</f>
        <v/>
      </c>
      <c r="R785" s="298" t="str">
        <f>IF(B785="", "",'Lighting Inventory (Ref only)'!K796)</f>
        <v/>
      </c>
      <c r="S785" s="372" t="str">
        <f>IF(B785="", "", 'Lighting Inventory (Ref only)'!G796*'Lighting Inventory (Ref only)'!K796/1000)</f>
        <v/>
      </c>
      <c r="T785" s="298" t="str">
        <f>IF(B785="", "", IF('Lighting Inventory (Ref only)'!I796="", "Light Switch",Inventory!H793))</f>
        <v/>
      </c>
      <c r="X785" s="298" t="str">
        <f>IF(B785="", "", 'Lighting Inventory (Ref only)'!Q796)</f>
        <v/>
      </c>
      <c r="AA785" s="298" t="str">
        <f>IF(B785="", "",'Lighting Inventory (Ref only)'!R796/1000)</f>
        <v/>
      </c>
      <c r="AB785" s="298" t="str">
        <f>IF(B785="", "", Inventory!M793)</f>
        <v/>
      </c>
      <c r="AC785" s="298" t="str">
        <f>IF(B785="", "", 'Lighting Inventory (Ref only)'!T796)</f>
        <v/>
      </c>
      <c r="AD785" s="298" t="str">
        <f>IF(C785="", "", 'Lighting Inventory (Ref only)'!AA796)</f>
        <v/>
      </c>
      <c r="AE785" s="298" t="str">
        <f>IF(B785="", "", 'Lighting Inventory (Ref only)'!U796)</f>
        <v/>
      </c>
      <c r="AF785" s="298" t="str">
        <f>IF(B785="", "",'Lighting Inventory (Ref only)'!W796)</f>
        <v/>
      </c>
      <c r="AH785" s="298" t="str">
        <f>IF(B785="", "",'Lighting Inventory (Ref only)'!Z796)</f>
        <v/>
      </c>
      <c r="AI785" s="298" t="str">
        <f>IF(B785="", "", 'Lighting Inventory (Ref only)'!Y796)</f>
        <v/>
      </c>
      <c r="AJ785" s="298" t="str">
        <f>IF(C785="", "",'Lighting Inventory (Ref only)'!AB796)</f>
        <v/>
      </c>
      <c r="AK785" s="375" t="str">
        <f>IF(B785="", "", 'Lighting Inventory (Ref only)'!AG796)</f>
        <v/>
      </c>
      <c r="AL785" s="375" t="str">
        <f>IF(B785="", "", 'Lighting Inventory (Ref only)'!AD796)</f>
        <v/>
      </c>
      <c r="AM785" s="375" t="str">
        <f>IF(B785="", "", 'Lighting Inventory (Ref only)'!AE796)</f>
        <v/>
      </c>
      <c r="AN785" s="375" t="str">
        <f>IF(B785="", "", 'Lighting Inventory (Ref only)'!AF796)</f>
        <v/>
      </c>
      <c r="AO785" s="375" t="str">
        <f>IF(B785="", "", 'Lighting Inventory (Ref only)'!AG796)</f>
        <v/>
      </c>
    </row>
    <row r="786" spans="1:41">
      <c r="A786" s="298" t="str">
        <f>IF(G786="", "", Lookups!BF788)</f>
        <v/>
      </c>
      <c r="B786" s="298" t="str">
        <f>IF('Lighting Inventory (Ref only)'!Q797="", "", 'Lighting Inventory (Ref only)'!Q797)</f>
        <v/>
      </c>
      <c r="C786" s="298" t="str">
        <f>IF(A786="", "", 'Lighting Inventory (Ref only)'!AO797)</f>
        <v/>
      </c>
      <c r="D786" s="298" t="str">
        <f>IF(B786= "","", Inventory!S794)</f>
        <v/>
      </c>
      <c r="F786" s="298" t="str">
        <f>IF(B786="", "", 'Version Log'!$B$34)</f>
        <v/>
      </c>
      <c r="G786" s="298" t="str">
        <f t="shared" si="48"/>
        <v/>
      </c>
      <c r="H786" s="298" t="str">
        <f t="shared" si="49"/>
        <v/>
      </c>
      <c r="I786" s="298" t="str">
        <f>IF(B786="", "",Inventory!D794)</f>
        <v/>
      </c>
      <c r="J786" s="298" t="str">
        <f>IF(B786="","",IF(Inventory!C794="N","Interior","Exterior"))</f>
        <v/>
      </c>
      <c r="K786" s="298" t="str">
        <f t="shared" si="50"/>
        <v/>
      </c>
      <c r="L786" s="298" t="str">
        <f>IF(B786="", "", Inventory!E794)</f>
        <v/>
      </c>
      <c r="M786" s="298" t="str">
        <f>IF(B786="","",IF(Cool_Type=Lookups!$L$9,Cool_Type,IF(Cool_Type=Lookups!$L$10,Cool_Type,IF(Cool_Type=Lookups!$L$11,Cool_Type,IF(Cool_Type=Lookups!L796,Cool_Type,IF('Project Info and Summary'!$C$20="Electric",CONCATENATE(Cool_Type," ",Heating_Type," Heat"),IF('Project Info and Summary'!$C$20="Non-Electric",CONCATENATE(Cool_Type," ",Heating_Type," Heat"),CONCATENATE(Cool_Type," ",Heating_Type))))))))</f>
        <v/>
      </c>
      <c r="N786" s="298" t="str">
        <f t="shared" si="51"/>
        <v/>
      </c>
      <c r="O786" s="298" t="str">
        <f>IF(B786="", "", 'Lighting Inventory (Ref only)'!G797)</f>
        <v/>
      </c>
      <c r="P786" s="298" t="str">
        <f>IF(B786="", "", 'Lighting Inventory (Ref only)'!E797)</f>
        <v/>
      </c>
      <c r="Q786" s="298" t="str">
        <f>IF(B786="", "", 'Lighting Inventory (Ref only)'!J797)</f>
        <v/>
      </c>
      <c r="R786" s="298" t="str">
        <f>IF(B786="", "",'Lighting Inventory (Ref only)'!K797)</f>
        <v/>
      </c>
      <c r="S786" s="372" t="str">
        <f>IF(B786="", "", 'Lighting Inventory (Ref only)'!G797*'Lighting Inventory (Ref only)'!K797/1000)</f>
        <v/>
      </c>
      <c r="T786" s="298" t="str">
        <f>IF(B786="", "", IF('Lighting Inventory (Ref only)'!I797="", "Light Switch",Inventory!H794))</f>
        <v/>
      </c>
      <c r="X786" s="298" t="str">
        <f>IF(B786="", "", 'Lighting Inventory (Ref only)'!Q797)</f>
        <v/>
      </c>
      <c r="AA786" s="298" t="str">
        <f>IF(B786="", "",'Lighting Inventory (Ref only)'!R797/1000)</f>
        <v/>
      </c>
      <c r="AB786" s="298" t="str">
        <f>IF(B786="", "", Inventory!M794)</f>
        <v/>
      </c>
      <c r="AC786" s="298" t="str">
        <f>IF(B786="", "", 'Lighting Inventory (Ref only)'!T797)</f>
        <v/>
      </c>
      <c r="AD786" s="298" t="str">
        <f>IF(C786="", "", 'Lighting Inventory (Ref only)'!AA797)</f>
        <v/>
      </c>
      <c r="AE786" s="298" t="str">
        <f>IF(B786="", "", 'Lighting Inventory (Ref only)'!U797)</f>
        <v/>
      </c>
      <c r="AF786" s="298" t="str">
        <f>IF(B786="", "",'Lighting Inventory (Ref only)'!W797)</f>
        <v/>
      </c>
      <c r="AH786" s="298" t="str">
        <f>IF(B786="", "",'Lighting Inventory (Ref only)'!Z797)</f>
        <v/>
      </c>
      <c r="AI786" s="298" t="str">
        <f>IF(B786="", "", 'Lighting Inventory (Ref only)'!Y797)</f>
        <v/>
      </c>
      <c r="AJ786" s="298" t="str">
        <f>IF(C786="", "",'Lighting Inventory (Ref only)'!AB797)</f>
        <v/>
      </c>
      <c r="AK786" s="375" t="str">
        <f>IF(B786="", "", 'Lighting Inventory (Ref only)'!AG797)</f>
        <v/>
      </c>
      <c r="AL786" s="375" t="str">
        <f>IF(B786="", "", 'Lighting Inventory (Ref only)'!AD797)</f>
        <v/>
      </c>
      <c r="AM786" s="375" t="str">
        <f>IF(B786="", "", 'Lighting Inventory (Ref only)'!AE797)</f>
        <v/>
      </c>
      <c r="AN786" s="375" t="str">
        <f>IF(B786="", "", 'Lighting Inventory (Ref only)'!AF797)</f>
        <v/>
      </c>
      <c r="AO786" s="375" t="str">
        <f>IF(B786="", "", 'Lighting Inventory (Ref only)'!AG797)</f>
        <v/>
      </c>
    </row>
    <row r="787" spans="1:41">
      <c r="A787" s="298" t="str">
        <f>IF(G787="", "", Lookups!BF789)</f>
        <v/>
      </c>
      <c r="B787" s="298" t="str">
        <f>IF('Lighting Inventory (Ref only)'!Q798="", "", 'Lighting Inventory (Ref only)'!Q798)</f>
        <v/>
      </c>
      <c r="C787" s="298" t="str">
        <f>IF(A787="", "", 'Lighting Inventory (Ref only)'!AO798)</f>
        <v/>
      </c>
      <c r="D787" s="298" t="str">
        <f>IF(B787= "","", Inventory!S795)</f>
        <v/>
      </c>
      <c r="F787" s="298" t="str">
        <f>IF(B787="", "", 'Version Log'!$B$34)</f>
        <v/>
      </c>
      <c r="G787" s="298" t="str">
        <f t="shared" si="48"/>
        <v/>
      </c>
      <c r="H787" s="298" t="str">
        <f t="shared" si="49"/>
        <v/>
      </c>
      <c r="I787" s="298" t="str">
        <f>IF(B787="", "",Inventory!D795)</f>
        <v/>
      </c>
      <c r="J787" s="298" t="str">
        <f>IF(B787="","",IF(Inventory!C795="N","Interior","Exterior"))</f>
        <v/>
      </c>
      <c r="K787" s="298" t="str">
        <f t="shared" si="50"/>
        <v/>
      </c>
      <c r="L787" s="298" t="str">
        <f>IF(B787="", "", Inventory!E795)</f>
        <v/>
      </c>
      <c r="M787" s="298" t="str">
        <f>IF(B787="","",IF(Cool_Type=Lookups!$L$9,Cool_Type,IF(Cool_Type=Lookups!$L$10,Cool_Type,IF(Cool_Type=Lookups!$L$11,Cool_Type,IF(Cool_Type=Lookups!L797,Cool_Type,IF('Project Info and Summary'!$C$20="Electric",CONCATENATE(Cool_Type," ",Heating_Type," Heat"),IF('Project Info and Summary'!$C$20="Non-Electric",CONCATENATE(Cool_Type," ",Heating_Type," Heat"),CONCATENATE(Cool_Type," ",Heating_Type))))))))</f>
        <v/>
      </c>
      <c r="N787" s="298" t="str">
        <f t="shared" si="51"/>
        <v/>
      </c>
      <c r="O787" s="298" t="str">
        <f>IF(B787="", "", 'Lighting Inventory (Ref only)'!G798)</f>
        <v/>
      </c>
      <c r="P787" s="298" t="str">
        <f>IF(B787="", "", 'Lighting Inventory (Ref only)'!E798)</f>
        <v/>
      </c>
      <c r="Q787" s="298" t="str">
        <f>IF(B787="", "", 'Lighting Inventory (Ref only)'!J798)</f>
        <v/>
      </c>
      <c r="R787" s="298" t="str">
        <f>IF(B787="", "",'Lighting Inventory (Ref only)'!K798)</f>
        <v/>
      </c>
      <c r="S787" s="372" t="str">
        <f>IF(B787="", "", 'Lighting Inventory (Ref only)'!G798*'Lighting Inventory (Ref only)'!K798/1000)</f>
        <v/>
      </c>
      <c r="T787" s="298" t="str">
        <f>IF(B787="", "", IF('Lighting Inventory (Ref only)'!I798="", "Light Switch",Inventory!H795))</f>
        <v/>
      </c>
      <c r="X787" s="298" t="str">
        <f>IF(B787="", "", 'Lighting Inventory (Ref only)'!Q798)</f>
        <v/>
      </c>
      <c r="AA787" s="298" t="str">
        <f>IF(B787="", "",'Lighting Inventory (Ref only)'!R798/1000)</f>
        <v/>
      </c>
      <c r="AB787" s="298" t="str">
        <f>IF(B787="", "", Inventory!M795)</f>
        <v/>
      </c>
      <c r="AC787" s="298" t="str">
        <f>IF(B787="", "", 'Lighting Inventory (Ref only)'!T798)</f>
        <v/>
      </c>
      <c r="AD787" s="298" t="str">
        <f>IF(C787="", "", 'Lighting Inventory (Ref only)'!AA798)</f>
        <v/>
      </c>
      <c r="AE787" s="298" t="str">
        <f>IF(B787="", "", 'Lighting Inventory (Ref only)'!U798)</f>
        <v/>
      </c>
      <c r="AF787" s="298" t="str">
        <f>IF(B787="", "",'Lighting Inventory (Ref only)'!W798)</f>
        <v/>
      </c>
      <c r="AH787" s="298" t="str">
        <f>IF(B787="", "",'Lighting Inventory (Ref only)'!Z798)</f>
        <v/>
      </c>
      <c r="AI787" s="298" t="str">
        <f>IF(B787="", "", 'Lighting Inventory (Ref only)'!Y798)</f>
        <v/>
      </c>
      <c r="AJ787" s="298" t="str">
        <f>IF(C787="", "",'Lighting Inventory (Ref only)'!AB798)</f>
        <v/>
      </c>
      <c r="AK787" s="375" t="str">
        <f>IF(B787="", "", 'Lighting Inventory (Ref only)'!AG798)</f>
        <v/>
      </c>
      <c r="AL787" s="375" t="str">
        <f>IF(B787="", "", 'Lighting Inventory (Ref only)'!AD798)</f>
        <v/>
      </c>
      <c r="AM787" s="375" t="str">
        <f>IF(B787="", "", 'Lighting Inventory (Ref only)'!AE798)</f>
        <v/>
      </c>
      <c r="AN787" s="375" t="str">
        <f>IF(B787="", "", 'Lighting Inventory (Ref only)'!AF798)</f>
        <v/>
      </c>
      <c r="AO787" s="375" t="str">
        <f>IF(B787="", "", 'Lighting Inventory (Ref only)'!AG798)</f>
        <v/>
      </c>
    </row>
    <row r="788" spans="1:41">
      <c r="A788" s="298" t="str">
        <f>IF(G788="", "", Lookups!BF790)</f>
        <v/>
      </c>
      <c r="B788" s="298" t="str">
        <f>IF('Lighting Inventory (Ref only)'!Q799="", "", 'Lighting Inventory (Ref only)'!Q799)</f>
        <v/>
      </c>
      <c r="C788" s="298" t="str">
        <f>IF(A788="", "", 'Lighting Inventory (Ref only)'!AO799)</f>
        <v/>
      </c>
      <c r="D788" s="298" t="str">
        <f>IF(B788= "","", Inventory!S796)</f>
        <v/>
      </c>
      <c r="F788" s="298" t="str">
        <f>IF(B788="", "", 'Version Log'!$B$34)</f>
        <v/>
      </c>
      <c r="G788" s="298" t="str">
        <f t="shared" si="48"/>
        <v/>
      </c>
      <c r="H788" s="298" t="str">
        <f t="shared" si="49"/>
        <v/>
      </c>
      <c r="I788" s="298" t="str">
        <f>IF(B788="", "",Inventory!D796)</f>
        <v/>
      </c>
      <c r="J788" s="298" t="str">
        <f>IF(B788="","",IF(Inventory!C796="N","Interior","Exterior"))</f>
        <v/>
      </c>
      <c r="K788" s="298" t="str">
        <f t="shared" si="50"/>
        <v/>
      </c>
      <c r="L788" s="298" t="str">
        <f>IF(B788="", "", Inventory!E796)</f>
        <v/>
      </c>
      <c r="M788" s="298" t="str">
        <f>IF(B788="","",IF(Cool_Type=Lookups!$L$9,Cool_Type,IF(Cool_Type=Lookups!$L$10,Cool_Type,IF(Cool_Type=Lookups!$L$11,Cool_Type,IF(Cool_Type=Lookups!L798,Cool_Type,IF('Project Info and Summary'!$C$20="Electric",CONCATENATE(Cool_Type," ",Heating_Type," Heat"),IF('Project Info and Summary'!$C$20="Non-Electric",CONCATENATE(Cool_Type," ",Heating_Type," Heat"),CONCATENATE(Cool_Type," ",Heating_Type))))))))</f>
        <v/>
      </c>
      <c r="N788" s="298" t="str">
        <f t="shared" si="51"/>
        <v/>
      </c>
      <c r="O788" s="298" t="str">
        <f>IF(B788="", "", 'Lighting Inventory (Ref only)'!G799)</f>
        <v/>
      </c>
      <c r="P788" s="298" t="str">
        <f>IF(B788="", "", 'Lighting Inventory (Ref only)'!E799)</f>
        <v/>
      </c>
      <c r="Q788" s="298" t="str">
        <f>IF(B788="", "", 'Lighting Inventory (Ref only)'!J799)</f>
        <v/>
      </c>
      <c r="R788" s="298" t="str">
        <f>IF(B788="", "",'Lighting Inventory (Ref only)'!K799)</f>
        <v/>
      </c>
      <c r="S788" s="372" t="str">
        <f>IF(B788="", "", 'Lighting Inventory (Ref only)'!G799*'Lighting Inventory (Ref only)'!K799/1000)</f>
        <v/>
      </c>
      <c r="T788" s="298" t="str">
        <f>IF(B788="", "", IF('Lighting Inventory (Ref only)'!I799="", "Light Switch",Inventory!H796))</f>
        <v/>
      </c>
      <c r="X788" s="298" t="str">
        <f>IF(B788="", "", 'Lighting Inventory (Ref only)'!Q799)</f>
        <v/>
      </c>
      <c r="AA788" s="298" t="str">
        <f>IF(B788="", "",'Lighting Inventory (Ref only)'!R799/1000)</f>
        <v/>
      </c>
      <c r="AB788" s="298" t="str">
        <f>IF(B788="", "", Inventory!M796)</f>
        <v/>
      </c>
      <c r="AC788" s="298" t="str">
        <f>IF(B788="", "", 'Lighting Inventory (Ref only)'!T799)</f>
        <v/>
      </c>
      <c r="AD788" s="298" t="str">
        <f>IF(C788="", "", 'Lighting Inventory (Ref only)'!AA799)</f>
        <v/>
      </c>
      <c r="AE788" s="298" t="str">
        <f>IF(B788="", "", 'Lighting Inventory (Ref only)'!U799)</f>
        <v/>
      </c>
      <c r="AF788" s="298" t="str">
        <f>IF(B788="", "",'Lighting Inventory (Ref only)'!W799)</f>
        <v/>
      </c>
      <c r="AH788" s="298" t="str">
        <f>IF(B788="", "",'Lighting Inventory (Ref only)'!Z799)</f>
        <v/>
      </c>
      <c r="AI788" s="298" t="str">
        <f>IF(B788="", "", 'Lighting Inventory (Ref only)'!Y799)</f>
        <v/>
      </c>
      <c r="AJ788" s="298" t="str">
        <f>IF(C788="", "",'Lighting Inventory (Ref only)'!AB799)</f>
        <v/>
      </c>
      <c r="AK788" s="375" t="str">
        <f>IF(B788="", "", 'Lighting Inventory (Ref only)'!AG799)</f>
        <v/>
      </c>
      <c r="AL788" s="375" t="str">
        <f>IF(B788="", "", 'Lighting Inventory (Ref only)'!AD799)</f>
        <v/>
      </c>
      <c r="AM788" s="375" t="str">
        <f>IF(B788="", "", 'Lighting Inventory (Ref only)'!AE799)</f>
        <v/>
      </c>
      <c r="AN788" s="375" t="str">
        <f>IF(B788="", "", 'Lighting Inventory (Ref only)'!AF799)</f>
        <v/>
      </c>
      <c r="AO788" s="375" t="str">
        <f>IF(B788="", "", 'Lighting Inventory (Ref only)'!AG799)</f>
        <v/>
      </c>
    </row>
    <row r="789" spans="1:41">
      <c r="A789" s="298" t="str">
        <f>IF(G789="", "", Lookups!BF791)</f>
        <v/>
      </c>
      <c r="B789" s="298" t="str">
        <f>IF('Lighting Inventory (Ref only)'!Q800="", "", 'Lighting Inventory (Ref only)'!Q800)</f>
        <v/>
      </c>
      <c r="C789" s="298" t="str">
        <f>IF(A789="", "", 'Lighting Inventory (Ref only)'!AO800)</f>
        <v/>
      </c>
      <c r="D789" s="298" t="str">
        <f>IF(B789= "","", Inventory!S797)</f>
        <v/>
      </c>
      <c r="F789" s="298" t="str">
        <f>IF(B789="", "", 'Version Log'!$B$34)</f>
        <v/>
      </c>
      <c r="G789" s="298" t="str">
        <f t="shared" si="48"/>
        <v/>
      </c>
      <c r="H789" s="298" t="str">
        <f t="shared" si="49"/>
        <v/>
      </c>
      <c r="I789" s="298" t="str">
        <f>IF(B789="", "",Inventory!D797)</f>
        <v/>
      </c>
      <c r="J789" s="298" t="str">
        <f>IF(B789="","",IF(Inventory!C797="N","Interior","Exterior"))</f>
        <v/>
      </c>
      <c r="K789" s="298" t="str">
        <f t="shared" si="50"/>
        <v/>
      </c>
      <c r="L789" s="298" t="str">
        <f>IF(B789="", "", Inventory!E797)</f>
        <v/>
      </c>
      <c r="M789" s="298" t="str">
        <f>IF(B789="","",IF(Cool_Type=Lookups!$L$9,Cool_Type,IF(Cool_Type=Lookups!$L$10,Cool_Type,IF(Cool_Type=Lookups!$L$11,Cool_Type,IF(Cool_Type=Lookups!L799,Cool_Type,IF('Project Info and Summary'!$C$20="Electric",CONCATENATE(Cool_Type," ",Heating_Type," Heat"),IF('Project Info and Summary'!$C$20="Non-Electric",CONCATENATE(Cool_Type," ",Heating_Type," Heat"),CONCATENATE(Cool_Type," ",Heating_Type))))))))</f>
        <v/>
      </c>
      <c r="N789" s="298" t="str">
        <f t="shared" si="51"/>
        <v/>
      </c>
      <c r="O789" s="298" t="str">
        <f>IF(B789="", "", 'Lighting Inventory (Ref only)'!G800)</f>
        <v/>
      </c>
      <c r="P789" s="298" t="str">
        <f>IF(B789="", "", 'Lighting Inventory (Ref only)'!E800)</f>
        <v/>
      </c>
      <c r="Q789" s="298" t="str">
        <f>IF(B789="", "", 'Lighting Inventory (Ref only)'!J800)</f>
        <v/>
      </c>
      <c r="R789" s="298" t="str">
        <f>IF(B789="", "",'Lighting Inventory (Ref only)'!K800)</f>
        <v/>
      </c>
      <c r="S789" s="372" t="str">
        <f>IF(B789="", "", 'Lighting Inventory (Ref only)'!G800*'Lighting Inventory (Ref only)'!K800/1000)</f>
        <v/>
      </c>
      <c r="T789" s="298" t="str">
        <f>IF(B789="", "", IF('Lighting Inventory (Ref only)'!I800="", "Light Switch",Inventory!H797))</f>
        <v/>
      </c>
      <c r="X789" s="298" t="str">
        <f>IF(B789="", "", 'Lighting Inventory (Ref only)'!Q800)</f>
        <v/>
      </c>
      <c r="AA789" s="298" t="str">
        <f>IF(B789="", "",'Lighting Inventory (Ref only)'!R800/1000)</f>
        <v/>
      </c>
      <c r="AB789" s="298" t="str">
        <f>IF(B789="", "", Inventory!M797)</f>
        <v/>
      </c>
      <c r="AC789" s="298" t="str">
        <f>IF(B789="", "", 'Lighting Inventory (Ref only)'!T800)</f>
        <v/>
      </c>
      <c r="AD789" s="298" t="str">
        <f>IF(C789="", "", 'Lighting Inventory (Ref only)'!AA800)</f>
        <v/>
      </c>
      <c r="AE789" s="298" t="str">
        <f>IF(B789="", "", 'Lighting Inventory (Ref only)'!U800)</f>
        <v/>
      </c>
      <c r="AF789" s="298" t="str">
        <f>IF(B789="", "",'Lighting Inventory (Ref only)'!W800)</f>
        <v/>
      </c>
      <c r="AH789" s="298" t="str">
        <f>IF(B789="", "",'Lighting Inventory (Ref only)'!Z800)</f>
        <v/>
      </c>
      <c r="AI789" s="298" t="str">
        <f>IF(B789="", "", 'Lighting Inventory (Ref only)'!Y800)</f>
        <v/>
      </c>
      <c r="AJ789" s="298" t="str">
        <f>IF(C789="", "",'Lighting Inventory (Ref only)'!AB800)</f>
        <v/>
      </c>
      <c r="AK789" s="375" t="str">
        <f>IF(B789="", "", 'Lighting Inventory (Ref only)'!AG800)</f>
        <v/>
      </c>
      <c r="AL789" s="375" t="str">
        <f>IF(B789="", "", 'Lighting Inventory (Ref only)'!AD800)</f>
        <v/>
      </c>
      <c r="AM789" s="375" t="str">
        <f>IF(B789="", "", 'Lighting Inventory (Ref only)'!AE800)</f>
        <v/>
      </c>
      <c r="AN789" s="375" t="str">
        <f>IF(B789="", "", 'Lighting Inventory (Ref only)'!AF800)</f>
        <v/>
      </c>
      <c r="AO789" s="375" t="str">
        <f>IF(B789="", "", 'Lighting Inventory (Ref only)'!AG800)</f>
        <v/>
      </c>
    </row>
    <row r="790" spans="1:41">
      <c r="A790" s="298" t="str">
        <f>IF(G790="", "", Lookups!BF792)</f>
        <v/>
      </c>
      <c r="B790" s="298" t="str">
        <f>IF('Lighting Inventory (Ref only)'!Q801="", "", 'Lighting Inventory (Ref only)'!Q801)</f>
        <v/>
      </c>
      <c r="C790" s="298" t="str">
        <f>IF(A790="", "", 'Lighting Inventory (Ref only)'!AO801)</f>
        <v/>
      </c>
      <c r="D790" s="298" t="str">
        <f>IF(B790= "","", Inventory!S798)</f>
        <v/>
      </c>
      <c r="F790" s="298" t="str">
        <f>IF(B790="", "", 'Version Log'!$B$34)</f>
        <v/>
      </c>
      <c r="G790" s="298" t="str">
        <f t="shared" si="48"/>
        <v/>
      </c>
      <c r="H790" s="298" t="str">
        <f t="shared" si="49"/>
        <v/>
      </c>
      <c r="I790" s="298" t="str">
        <f>IF(B790="", "",Inventory!D798)</f>
        <v/>
      </c>
      <c r="J790" s="298" t="str">
        <f>IF(B790="","",IF(Inventory!C798="N","Interior","Exterior"))</f>
        <v/>
      </c>
      <c r="K790" s="298" t="str">
        <f t="shared" si="50"/>
        <v/>
      </c>
      <c r="L790" s="298" t="str">
        <f>IF(B790="", "", Inventory!E798)</f>
        <v/>
      </c>
      <c r="M790" s="298" t="str">
        <f>IF(B790="","",IF(Cool_Type=Lookups!$L$9,Cool_Type,IF(Cool_Type=Lookups!$L$10,Cool_Type,IF(Cool_Type=Lookups!$L$11,Cool_Type,IF(Cool_Type=Lookups!L800,Cool_Type,IF('Project Info and Summary'!$C$20="Electric",CONCATENATE(Cool_Type," ",Heating_Type," Heat"),IF('Project Info and Summary'!$C$20="Non-Electric",CONCATENATE(Cool_Type," ",Heating_Type," Heat"),CONCATENATE(Cool_Type," ",Heating_Type))))))))</f>
        <v/>
      </c>
      <c r="N790" s="298" t="str">
        <f t="shared" si="51"/>
        <v/>
      </c>
      <c r="O790" s="298" t="str">
        <f>IF(B790="", "", 'Lighting Inventory (Ref only)'!G801)</f>
        <v/>
      </c>
      <c r="P790" s="298" t="str">
        <f>IF(B790="", "", 'Lighting Inventory (Ref only)'!E801)</f>
        <v/>
      </c>
      <c r="Q790" s="298" t="str">
        <f>IF(B790="", "", 'Lighting Inventory (Ref only)'!J801)</f>
        <v/>
      </c>
      <c r="R790" s="298" t="str">
        <f>IF(B790="", "",'Lighting Inventory (Ref only)'!K801)</f>
        <v/>
      </c>
      <c r="S790" s="372" t="str">
        <f>IF(B790="", "", 'Lighting Inventory (Ref only)'!G801*'Lighting Inventory (Ref only)'!K801/1000)</f>
        <v/>
      </c>
      <c r="T790" s="298" t="str">
        <f>IF(B790="", "", IF('Lighting Inventory (Ref only)'!I801="", "Light Switch",Inventory!H798))</f>
        <v/>
      </c>
      <c r="X790" s="298" t="str">
        <f>IF(B790="", "", 'Lighting Inventory (Ref only)'!Q801)</f>
        <v/>
      </c>
      <c r="AA790" s="298" t="str">
        <f>IF(B790="", "",'Lighting Inventory (Ref only)'!R801/1000)</f>
        <v/>
      </c>
      <c r="AB790" s="298" t="str">
        <f>IF(B790="", "", Inventory!M798)</f>
        <v/>
      </c>
      <c r="AC790" s="298" t="str">
        <f>IF(B790="", "", 'Lighting Inventory (Ref only)'!T801)</f>
        <v/>
      </c>
      <c r="AD790" s="298" t="str">
        <f>IF(C790="", "", 'Lighting Inventory (Ref only)'!AA801)</f>
        <v/>
      </c>
      <c r="AE790" s="298" t="str">
        <f>IF(B790="", "", 'Lighting Inventory (Ref only)'!U801)</f>
        <v/>
      </c>
      <c r="AF790" s="298" t="str">
        <f>IF(B790="", "",'Lighting Inventory (Ref only)'!W801)</f>
        <v/>
      </c>
      <c r="AH790" s="298" t="str">
        <f>IF(B790="", "",'Lighting Inventory (Ref only)'!Z801)</f>
        <v/>
      </c>
      <c r="AI790" s="298" t="str">
        <f>IF(B790="", "", 'Lighting Inventory (Ref only)'!Y801)</f>
        <v/>
      </c>
      <c r="AJ790" s="298" t="str">
        <f>IF(C790="", "",'Lighting Inventory (Ref only)'!AB801)</f>
        <v/>
      </c>
      <c r="AK790" s="375" t="str">
        <f>IF(B790="", "", 'Lighting Inventory (Ref only)'!AG801)</f>
        <v/>
      </c>
      <c r="AL790" s="375" t="str">
        <f>IF(B790="", "", 'Lighting Inventory (Ref only)'!AD801)</f>
        <v/>
      </c>
      <c r="AM790" s="375" t="str">
        <f>IF(B790="", "", 'Lighting Inventory (Ref only)'!AE801)</f>
        <v/>
      </c>
      <c r="AN790" s="375" t="str">
        <f>IF(B790="", "", 'Lighting Inventory (Ref only)'!AF801)</f>
        <v/>
      </c>
      <c r="AO790" s="375" t="str">
        <f>IF(B790="", "", 'Lighting Inventory (Ref only)'!AG801)</f>
        <v/>
      </c>
    </row>
    <row r="791" spans="1:41">
      <c r="A791" s="298" t="str">
        <f>IF(G791="", "", Lookups!BF793)</f>
        <v/>
      </c>
      <c r="B791" s="298" t="str">
        <f>IF('Lighting Inventory (Ref only)'!Q802="", "", 'Lighting Inventory (Ref only)'!Q802)</f>
        <v/>
      </c>
      <c r="C791" s="298" t="str">
        <f>IF(A791="", "", 'Lighting Inventory (Ref only)'!AO802)</f>
        <v/>
      </c>
      <c r="D791" s="298" t="str">
        <f>IF(B791= "","", Inventory!S799)</f>
        <v/>
      </c>
      <c r="F791" s="298" t="str">
        <f>IF(B791="", "", 'Version Log'!$B$34)</f>
        <v/>
      </c>
      <c r="G791" s="298" t="str">
        <f t="shared" si="48"/>
        <v/>
      </c>
      <c r="H791" s="298" t="str">
        <f t="shared" si="49"/>
        <v/>
      </c>
      <c r="I791" s="298" t="str">
        <f>IF(B791="", "",Inventory!D799)</f>
        <v/>
      </c>
      <c r="J791" s="298" t="str">
        <f>IF(B791="","",IF(Inventory!C799="N","Interior","Exterior"))</f>
        <v/>
      </c>
      <c r="K791" s="298" t="str">
        <f t="shared" si="50"/>
        <v/>
      </c>
      <c r="L791" s="298" t="str">
        <f>IF(B791="", "", Inventory!E799)</f>
        <v/>
      </c>
      <c r="M791" s="298" t="str">
        <f>IF(B791="","",IF(Cool_Type=Lookups!$L$9,Cool_Type,IF(Cool_Type=Lookups!$L$10,Cool_Type,IF(Cool_Type=Lookups!$L$11,Cool_Type,IF(Cool_Type=Lookups!L801,Cool_Type,IF('Project Info and Summary'!$C$20="Electric",CONCATENATE(Cool_Type," ",Heating_Type," Heat"),IF('Project Info and Summary'!$C$20="Non-Electric",CONCATENATE(Cool_Type," ",Heating_Type," Heat"),CONCATENATE(Cool_Type," ",Heating_Type))))))))</f>
        <v/>
      </c>
      <c r="N791" s="298" t="str">
        <f t="shared" si="51"/>
        <v/>
      </c>
      <c r="O791" s="298" t="str">
        <f>IF(B791="", "", 'Lighting Inventory (Ref only)'!G802)</f>
        <v/>
      </c>
      <c r="P791" s="298" t="str">
        <f>IF(B791="", "", 'Lighting Inventory (Ref only)'!E802)</f>
        <v/>
      </c>
      <c r="Q791" s="298" t="str">
        <f>IF(B791="", "", 'Lighting Inventory (Ref only)'!J802)</f>
        <v/>
      </c>
      <c r="R791" s="298" t="str">
        <f>IF(B791="", "",'Lighting Inventory (Ref only)'!K802)</f>
        <v/>
      </c>
      <c r="S791" s="372" t="str">
        <f>IF(B791="", "", 'Lighting Inventory (Ref only)'!G802*'Lighting Inventory (Ref only)'!K802/1000)</f>
        <v/>
      </c>
      <c r="T791" s="298" t="str">
        <f>IF(B791="", "", IF('Lighting Inventory (Ref only)'!I802="", "Light Switch",Inventory!H799))</f>
        <v/>
      </c>
      <c r="X791" s="298" t="str">
        <f>IF(B791="", "", 'Lighting Inventory (Ref only)'!Q802)</f>
        <v/>
      </c>
      <c r="AA791" s="298" t="str">
        <f>IF(B791="", "",'Lighting Inventory (Ref only)'!R802/1000)</f>
        <v/>
      </c>
      <c r="AB791" s="298" t="str">
        <f>IF(B791="", "", Inventory!M799)</f>
        <v/>
      </c>
      <c r="AC791" s="298" t="str">
        <f>IF(B791="", "", 'Lighting Inventory (Ref only)'!T802)</f>
        <v/>
      </c>
      <c r="AD791" s="298" t="str">
        <f>IF(C791="", "", 'Lighting Inventory (Ref only)'!AA802)</f>
        <v/>
      </c>
      <c r="AE791" s="298" t="str">
        <f>IF(B791="", "", 'Lighting Inventory (Ref only)'!U802)</f>
        <v/>
      </c>
      <c r="AF791" s="298" t="str">
        <f>IF(B791="", "",'Lighting Inventory (Ref only)'!W802)</f>
        <v/>
      </c>
      <c r="AH791" s="298" t="str">
        <f>IF(B791="", "",'Lighting Inventory (Ref only)'!Z802)</f>
        <v/>
      </c>
      <c r="AI791" s="298" t="str">
        <f>IF(B791="", "", 'Lighting Inventory (Ref only)'!Y802)</f>
        <v/>
      </c>
      <c r="AJ791" s="298" t="str">
        <f>IF(C791="", "",'Lighting Inventory (Ref only)'!AB802)</f>
        <v/>
      </c>
      <c r="AK791" s="375" t="str">
        <f>IF(B791="", "", 'Lighting Inventory (Ref only)'!AG802)</f>
        <v/>
      </c>
      <c r="AL791" s="375" t="str">
        <f>IF(B791="", "", 'Lighting Inventory (Ref only)'!AD802)</f>
        <v/>
      </c>
      <c r="AM791" s="375" t="str">
        <f>IF(B791="", "", 'Lighting Inventory (Ref only)'!AE802)</f>
        <v/>
      </c>
      <c r="AN791" s="375" t="str">
        <f>IF(B791="", "", 'Lighting Inventory (Ref only)'!AF802)</f>
        <v/>
      </c>
      <c r="AO791" s="375" t="str">
        <f>IF(B791="", "", 'Lighting Inventory (Ref only)'!AG802)</f>
        <v/>
      </c>
    </row>
    <row r="792" spans="1:41">
      <c r="A792" s="298" t="str">
        <f>IF(G792="", "", Lookups!BF794)</f>
        <v/>
      </c>
      <c r="B792" s="298" t="str">
        <f>IF('Lighting Inventory (Ref only)'!Q803="", "", 'Lighting Inventory (Ref only)'!Q803)</f>
        <v/>
      </c>
      <c r="C792" s="298" t="str">
        <f>IF(A792="", "", 'Lighting Inventory (Ref only)'!AO803)</f>
        <v/>
      </c>
      <c r="D792" s="298" t="str">
        <f>IF(B792= "","", Inventory!S800)</f>
        <v/>
      </c>
      <c r="F792" s="298" t="str">
        <f>IF(B792="", "", 'Version Log'!$B$34)</f>
        <v/>
      </c>
      <c r="G792" s="298" t="str">
        <f t="shared" si="48"/>
        <v/>
      </c>
      <c r="H792" s="298" t="str">
        <f t="shared" si="49"/>
        <v/>
      </c>
      <c r="I792" s="298" t="str">
        <f>IF(B792="", "",Inventory!D800)</f>
        <v/>
      </c>
      <c r="J792" s="298" t="str">
        <f>IF(B792="","",IF(Inventory!C800="N","Interior","Exterior"))</f>
        <v/>
      </c>
      <c r="K792" s="298" t="str">
        <f t="shared" si="50"/>
        <v/>
      </c>
      <c r="L792" s="298" t="str">
        <f>IF(B792="", "", Inventory!E800)</f>
        <v/>
      </c>
      <c r="M792" s="298" t="str">
        <f>IF(B792="","",IF(Cool_Type=Lookups!$L$9,Cool_Type,IF(Cool_Type=Lookups!$L$10,Cool_Type,IF(Cool_Type=Lookups!$L$11,Cool_Type,IF(Cool_Type=Lookups!L802,Cool_Type,IF('Project Info and Summary'!$C$20="Electric",CONCATENATE(Cool_Type," ",Heating_Type," Heat"),IF('Project Info and Summary'!$C$20="Non-Electric",CONCATENATE(Cool_Type," ",Heating_Type," Heat"),CONCATENATE(Cool_Type," ",Heating_Type))))))))</f>
        <v/>
      </c>
      <c r="N792" s="298" t="str">
        <f t="shared" si="51"/>
        <v/>
      </c>
      <c r="O792" s="298" t="str">
        <f>IF(B792="", "", 'Lighting Inventory (Ref only)'!G803)</f>
        <v/>
      </c>
      <c r="P792" s="298" t="str">
        <f>IF(B792="", "", 'Lighting Inventory (Ref only)'!E803)</f>
        <v/>
      </c>
      <c r="Q792" s="298" t="str">
        <f>IF(B792="", "", 'Lighting Inventory (Ref only)'!J803)</f>
        <v/>
      </c>
      <c r="R792" s="298" t="str">
        <f>IF(B792="", "",'Lighting Inventory (Ref only)'!K803)</f>
        <v/>
      </c>
      <c r="S792" s="372" t="str">
        <f>IF(B792="", "", 'Lighting Inventory (Ref only)'!G803*'Lighting Inventory (Ref only)'!K803/1000)</f>
        <v/>
      </c>
      <c r="T792" s="298" t="str">
        <f>IF(B792="", "", IF('Lighting Inventory (Ref only)'!I803="", "Light Switch",Inventory!H800))</f>
        <v/>
      </c>
      <c r="X792" s="298" t="str">
        <f>IF(B792="", "", 'Lighting Inventory (Ref only)'!Q803)</f>
        <v/>
      </c>
      <c r="AA792" s="298" t="str">
        <f>IF(B792="", "",'Lighting Inventory (Ref only)'!R803/1000)</f>
        <v/>
      </c>
      <c r="AB792" s="298" t="str">
        <f>IF(B792="", "", Inventory!M800)</f>
        <v/>
      </c>
      <c r="AC792" s="298" t="str">
        <f>IF(B792="", "", 'Lighting Inventory (Ref only)'!T803)</f>
        <v/>
      </c>
      <c r="AD792" s="298" t="str">
        <f>IF(C792="", "", 'Lighting Inventory (Ref only)'!AA803)</f>
        <v/>
      </c>
      <c r="AE792" s="298" t="str">
        <f>IF(B792="", "", 'Lighting Inventory (Ref only)'!U803)</f>
        <v/>
      </c>
      <c r="AF792" s="298" t="str">
        <f>IF(B792="", "",'Lighting Inventory (Ref only)'!W803)</f>
        <v/>
      </c>
      <c r="AH792" s="298" t="str">
        <f>IF(B792="", "",'Lighting Inventory (Ref only)'!Z803)</f>
        <v/>
      </c>
      <c r="AI792" s="298" t="str">
        <f>IF(B792="", "", 'Lighting Inventory (Ref only)'!Y803)</f>
        <v/>
      </c>
      <c r="AJ792" s="298" t="str">
        <f>IF(C792="", "",'Lighting Inventory (Ref only)'!AB803)</f>
        <v/>
      </c>
      <c r="AK792" s="375" t="str">
        <f>IF(B792="", "", 'Lighting Inventory (Ref only)'!AG803)</f>
        <v/>
      </c>
      <c r="AL792" s="375" t="str">
        <f>IF(B792="", "", 'Lighting Inventory (Ref only)'!AD803)</f>
        <v/>
      </c>
      <c r="AM792" s="375" t="str">
        <f>IF(B792="", "", 'Lighting Inventory (Ref only)'!AE803)</f>
        <v/>
      </c>
      <c r="AN792" s="375" t="str">
        <f>IF(B792="", "", 'Lighting Inventory (Ref only)'!AF803)</f>
        <v/>
      </c>
      <c r="AO792" s="375" t="str">
        <f>IF(B792="", "", 'Lighting Inventory (Ref only)'!AG803)</f>
        <v/>
      </c>
    </row>
    <row r="793" spans="1:41">
      <c r="A793" s="298" t="str">
        <f>IF(G793="", "", Lookups!BF795)</f>
        <v/>
      </c>
      <c r="B793" s="298" t="str">
        <f>IF('Lighting Inventory (Ref only)'!Q804="", "", 'Lighting Inventory (Ref only)'!Q804)</f>
        <v/>
      </c>
      <c r="C793" s="298" t="str">
        <f>IF(A793="", "", 'Lighting Inventory (Ref only)'!AO804)</f>
        <v/>
      </c>
      <c r="D793" s="298" t="str">
        <f>IF(B793= "","", Inventory!S801)</f>
        <v/>
      </c>
      <c r="F793" s="298" t="str">
        <f>IF(B793="", "", 'Version Log'!$B$34)</f>
        <v/>
      </c>
      <c r="G793" s="298" t="str">
        <f t="shared" si="48"/>
        <v/>
      </c>
      <c r="H793" s="298" t="str">
        <f t="shared" si="49"/>
        <v/>
      </c>
      <c r="I793" s="298" t="str">
        <f>IF(B793="", "",Inventory!D801)</f>
        <v/>
      </c>
      <c r="J793" s="298" t="str">
        <f>IF(B793="","",IF(Inventory!C801="N","Interior","Exterior"))</f>
        <v/>
      </c>
      <c r="K793" s="298" t="str">
        <f t="shared" si="50"/>
        <v/>
      </c>
      <c r="L793" s="298" t="str">
        <f>IF(B793="", "", Inventory!E801)</f>
        <v/>
      </c>
      <c r="M793" s="298" t="str">
        <f>IF(B793="","",IF(Cool_Type=Lookups!$L$9,Cool_Type,IF(Cool_Type=Lookups!$L$10,Cool_Type,IF(Cool_Type=Lookups!$L$11,Cool_Type,IF(Cool_Type=Lookups!L803,Cool_Type,IF('Project Info and Summary'!$C$20="Electric",CONCATENATE(Cool_Type," ",Heating_Type," Heat"),IF('Project Info and Summary'!$C$20="Non-Electric",CONCATENATE(Cool_Type," ",Heating_Type," Heat"),CONCATENATE(Cool_Type," ",Heating_Type))))))))</f>
        <v/>
      </c>
      <c r="N793" s="298" t="str">
        <f t="shared" si="51"/>
        <v/>
      </c>
      <c r="O793" s="298" t="str">
        <f>IF(B793="", "", 'Lighting Inventory (Ref only)'!G804)</f>
        <v/>
      </c>
      <c r="P793" s="298" t="str">
        <f>IF(B793="", "", 'Lighting Inventory (Ref only)'!E804)</f>
        <v/>
      </c>
      <c r="Q793" s="298" t="str">
        <f>IF(B793="", "", 'Lighting Inventory (Ref only)'!J804)</f>
        <v/>
      </c>
      <c r="R793" s="298" t="str">
        <f>IF(B793="", "",'Lighting Inventory (Ref only)'!K804)</f>
        <v/>
      </c>
      <c r="S793" s="372" t="str">
        <f>IF(B793="", "", 'Lighting Inventory (Ref only)'!G804*'Lighting Inventory (Ref only)'!K804/1000)</f>
        <v/>
      </c>
      <c r="T793" s="298" t="str">
        <f>IF(B793="", "", IF('Lighting Inventory (Ref only)'!I804="", "Light Switch",Inventory!H801))</f>
        <v/>
      </c>
      <c r="X793" s="298" t="str">
        <f>IF(B793="", "", 'Lighting Inventory (Ref only)'!Q804)</f>
        <v/>
      </c>
      <c r="AA793" s="298" t="str">
        <f>IF(B793="", "",'Lighting Inventory (Ref only)'!R804/1000)</f>
        <v/>
      </c>
      <c r="AB793" s="298" t="str">
        <f>IF(B793="", "", Inventory!M801)</f>
        <v/>
      </c>
      <c r="AC793" s="298" t="str">
        <f>IF(B793="", "", 'Lighting Inventory (Ref only)'!T804)</f>
        <v/>
      </c>
      <c r="AD793" s="298" t="str">
        <f>IF(C793="", "", 'Lighting Inventory (Ref only)'!AA804)</f>
        <v/>
      </c>
      <c r="AE793" s="298" t="str">
        <f>IF(B793="", "", 'Lighting Inventory (Ref only)'!U804)</f>
        <v/>
      </c>
      <c r="AF793" s="298" t="str">
        <f>IF(B793="", "",'Lighting Inventory (Ref only)'!W804)</f>
        <v/>
      </c>
      <c r="AH793" s="298" t="str">
        <f>IF(B793="", "",'Lighting Inventory (Ref only)'!Z804)</f>
        <v/>
      </c>
      <c r="AI793" s="298" t="str">
        <f>IF(B793="", "", 'Lighting Inventory (Ref only)'!Y804)</f>
        <v/>
      </c>
      <c r="AJ793" s="298" t="str">
        <f>IF(C793="", "",'Lighting Inventory (Ref only)'!AB804)</f>
        <v/>
      </c>
      <c r="AK793" s="375" t="str">
        <f>IF(B793="", "", 'Lighting Inventory (Ref only)'!AG804)</f>
        <v/>
      </c>
      <c r="AL793" s="375" t="str">
        <f>IF(B793="", "", 'Lighting Inventory (Ref only)'!AD804)</f>
        <v/>
      </c>
      <c r="AM793" s="375" t="str">
        <f>IF(B793="", "", 'Lighting Inventory (Ref only)'!AE804)</f>
        <v/>
      </c>
      <c r="AN793" s="375" t="str">
        <f>IF(B793="", "", 'Lighting Inventory (Ref only)'!AF804)</f>
        <v/>
      </c>
      <c r="AO793" s="375" t="str">
        <f>IF(B793="", "", 'Lighting Inventory (Ref only)'!AG804)</f>
        <v/>
      </c>
    </row>
    <row r="794" spans="1:41">
      <c r="A794" s="298" t="str">
        <f>IF(G794="", "", Lookups!BF796)</f>
        <v/>
      </c>
      <c r="B794" s="298" t="str">
        <f>IF('Lighting Inventory (Ref only)'!Q805="", "", 'Lighting Inventory (Ref only)'!Q805)</f>
        <v/>
      </c>
      <c r="C794" s="298" t="str">
        <f>IF(A794="", "", 'Lighting Inventory (Ref only)'!AO805)</f>
        <v/>
      </c>
      <c r="D794" s="298" t="str">
        <f>IF(B794= "","", Inventory!S802)</f>
        <v/>
      </c>
      <c r="F794" s="298" t="str">
        <f>IF(B794="", "", 'Version Log'!$B$34)</f>
        <v/>
      </c>
      <c r="G794" s="298" t="str">
        <f t="shared" si="48"/>
        <v/>
      </c>
      <c r="H794" s="298" t="str">
        <f t="shared" si="49"/>
        <v/>
      </c>
      <c r="I794" s="298" t="str">
        <f>IF(B794="", "",Inventory!D802)</f>
        <v/>
      </c>
      <c r="J794" s="298" t="str">
        <f>IF(B794="","",IF(Inventory!C802="N","Interior","Exterior"))</f>
        <v/>
      </c>
      <c r="K794" s="298" t="str">
        <f t="shared" si="50"/>
        <v/>
      </c>
      <c r="L794" s="298" t="str">
        <f>IF(B794="", "", Inventory!E802)</f>
        <v/>
      </c>
      <c r="M794" s="298" t="str">
        <f>IF(B794="","",IF(Cool_Type=Lookups!$L$9,Cool_Type,IF(Cool_Type=Lookups!$L$10,Cool_Type,IF(Cool_Type=Lookups!$L$11,Cool_Type,IF(Cool_Type=Lookups!L804,Cool_Type,IF('Project Info and Summary'!$C$20="Electric",CONCATENATE(Cool_Type," ",Heating_Type," Heat"),IF('Project Info and Summary'!$C$20="Non-Electric",CONCATENATE(Cool_Type," ",Heating_Type," Heat"),CONCATENATE(Cool_Type," ",Heating_Type))))))))</f>
        <v/>
      </c>
      <c r="N794" s="298" t="str">
        <f t="shared" si="51"/>
        <v/>
      </c>
      <c r="O794" s="298" t="str">
        <f>IF(B794="", "", 'Lighting Inventory (Ref only)'!G805)</f>
        <v/>
      </c>
      <c r="P794" s="298" t="str">
        <f>IF(B794="", "", 'Lighting Inventory (Ref only)'!E805)</f>
        <v/>
      </c>
      <c r="Q794" s="298" t="str">
        <f>IF(B794="", "", 'Lighting Inventory (Ref only)'!J805)</f>
        <v/>
      </c>
      <c r="R794" s="298" t="str">
        <f>IF(B794="", "",'Lighting Inventory (Ref only)'!K805)</f>
        <v/>
      </c>
      <c r="S794" s="372" t="str">
        <f>IF(B794="", "", 'Lighting Inventory (Ref only)'!G805*'Lighting Inventory (Ref only)'!K805/1000)</f>
        <v/>
      </c>
      <c r="T794" s="298" t="str">
        <f>IF(B794="", "", IF('Lighting Inventory (Ref only)'!I805="", "Light Switch",Inventory!H802))</f>
        <v/>
      </c>
      <c r="X794" s="298" t="str">
        <f>IF(B794="", "", 'Lighting Inventory (Ref only)'!Q805)</f>
        <v/>
      </c>
      <c r="AA794" s="298" t="str">
        <f>IF(B794="", "",'Lighting Inventory (Ref only)'!R805/1000)</f>
        <v/>
      </c>
      <c r="AB794" s="298" t="str">
        <f>IF(B794="", "", Inventory!M802)</f>
        <v/>
      </c>
      <c r="AC794" s="298" t="str">
        <f>IF(B794="", "", 'Lighting Inventory (Ref only)'!T805)</f>
        <v/>
      </c>
      <c r="AD794" s="298" t="str">
        <f>IF(C794="", "", 'Lighting Inventory (Ref only)'!AA805)</f>
        <v/>
      </c>
      <c r="AE794" s="298" t="str">
        <f>IF(B794="", "", 'Lighting Inventory (Ref only)'!U805)</f>
        <v/>
      </c>
      <c r="AF794" s="298" t="str">
        <f>IF(B794="", "",'Lighting Inventory (Ref only)'!W805)</f>
        <v/>
      </c>
      <c r="AH794" s="298" t="str">
        <f>IF(B794="", "",'Lighting Inventory (Ref only)'!Z805)</f>
        <v/>
      </c>
      <c r="AI794" s="298" t="str">
        <f>IF(B794="", "", 'Lighting Inventory (Ref only)'!Y805)</f>
        <v/>
      </c>
      <c r="AJ794" s="298" t="str">
        <f>IF(C794="", "",'Lighting Inventory (Ref only)'!AB805)</f>
        <v/>
      </c>
      <c r="AK794" s="375" t="str">
        <f>IF(B794="", "", 'Lighting Inventory (Ref only)'!AG805)</f>
        <v/>
      </c>
      <c r="AL794" s="375" t="str">
        <f>IF(B794="", "", 'Lighting Inventory (Ref only)'!AD805)</f>
        <v/>
      </c>
      <c r="AM794" s="375" t="str">
        <f>IF(B794="", "", 'Lighting Inventory (Ref only)'!AE805)</f>
        <v/>
      </c>
      <c r="AN794" s="375" t="str">
        <f>IF(B794="", "", 'Lighting Inventory (Ref only)'!AF805)</f>
        <v/>
      </c>
      <c r="AO794" s="375" t="str">
        <f>IF(B794="", "", 'Lighting Inventory (Ref only)'!AG805)</f>
        <v/>
      </c>
    </row>
    <row r="795" spans="1:41">
      <c r="A795" s="298" t="str">
        <f>IF(G795="", "", Lookups!BF797)</f>
        <v/>
      </c>
      <c r="B795" s="298" t="str">
        <f>IF('Lighting Inventory (Ref only)'!Q806="", "", 'Lighting Inventory (Ref only)'!Q806)</f>
        <v/>
      </c>
      <c r="C795" s="298" t="str">
        <f>IF(A795="", "", 'Lighting Inventory (Ref only)'!AO806)</f>
        <v/>
      </c>
      <c r="D795" s="298" t="str">
        <f>IF(B795= "","", Inventory!S803)</f>
        <v/>
      </c>
      <c r="F795" s="298" t="str">
        <f>IF(B795="", "", 'Version Log'!$B$34)</f>
        <v/>
      </c>
      <c r="G795" s="298" t="str">
        <f t="shared" si="48"/>
        <v/>
      </c>
      <c r="H795" s="298" t="str">
        <f t="shared" si="49"/>
        <v/>
      </c>
      <c r="I795" s="298" t="str">
        <f>IF(B795="", "",Inventory!D803)</f>
        <v/>
      </c>
      <c r="J795" s="298" t="str">
        <f>IF(B795="","",IF(Inventory!C803="N","Interior","Exterior"))</f>
        <v/>
      </c>
      <c r="K795" s="298" t="str">
        <f t="shared" si="50"/>
        <v/>
      </c>
      <c r="L795" s="298" t="str">
        <f>IF(B795="", "", Inventory!E803)</f>
        <v/>
      </c>
      <c r="M795" s="298" t="str">
        <f>IF(B795="","",IF(Cool_Type=Lookups!$L$9,Cool_Type,IF(Cool_Type=Lookups!$L$10,Cool_Type,IF(Cool_Type=Lookups!$L$11,Cool_Type,IF(Cool_Type=Lookups!L805,Cool_Type,IF('Project Info and Summary'!$C$20="Electric",CONCATENATE(Cool_Type," ",Heating_Type," Heat"),IF('Project Info and Summary'!$C$20="Non-Electric",CONCATENATE(Cool_Type," ",Heating_Type," Heat"),CONCATENATE(Cool_Type," ",Heating_Type))))))))</f>
        <v/>
      </c>
      <c r="N795" s="298" t="str">
        <f t="shared" si="51"/>
        <v/>
      </c>
      <c r="O795" s="298" t="str">
        <f>IF(B795="", "", 'Lighting Inventory (Ref only)'!G806)</f>
        <v/>
      </c>
      <c r="P795" s="298" t="str">
        <f>IF(B795="", "", 'Lighting Inventory (Ref only)'!E806)</f>
        <v/>
      </c>
      <c r="Q795" s="298" t="str">
        <f>IF(B795="", "", 'Lighting Inventory (Ref only)'!J806)</f>
        <v/>
      </c>
      <c r="R795" s="298" t="str">
        <f>IF(B795="", "",'Lighting Inventory (Ref only)'!K806)</f>
        <v/>
      </c>
      <c r="S795" s="372" t="str">
        <f>IF(B795="", "", 'Lighting Inventory (Ref only)'!G806*'Lighting Inventory (Ref only)'!K806/1000)</f>
        <v/>
      </c>
      <c r="T795" s="298" t="str">
        <f>IF(B795="", "", IF('Lighting Inventory (Ref only)'!I806="", "Light Switch",Inventory!H803))</f>
        <v/>
      </c>
      <c r="X795" s="298" t="str">
        <f>IF(B795="", "", 'Lighting Inventory (Ref only)'!Q806)</f>
        <v/>
      </c>
      <c r="AA795" s="298" t="str">
        <f>IF(B795="", "",'Lighting Inventory (Ref only)'!R806/1000)</f>
        <v/>
      </c>
      <c r="AB795" s="298" t="str">
        <f>IF(B795="", "", Inventory!M803)</f>
        <v/>
      </c>
      <c r="AC795" s="298" t="str">
        <f>IF(B795="", "", 'Lighting Inventory (Ref only)'!T806)</f>
        <v/>
      </c>
      <c r="AD795" s="298" t="str">
        <f>IF(C795="", "", 'Lighting Inventory (Ref only)'!AA806)</f>
        <v/>
      </c>
      <c r="AE795" s="298" t="str">
        <f>IF(B795="", "", 'Lighting Inventory (Ref only)'!U806)</f>
        <v/>
      </c>
      <c r="AF795" s="298" t="str">
        <f>IF(B795="", "",'Lighting Inventory (Ref only)'!W806)</f>
        <v/>
      </c>
      <c r="AH795" s="298" t="str">
        <f>IF(B795="", "",'Lighting Inventory (Ref only)'!Z806)</f>
        <v/>
      </c>
      <c r="AI795" s="298" t="str">
        <f>IF(B795="", "", 'Lighting Inventory (Ref only)'!Y806)</f>
        <v/>
      </c>
      <c r="AJ795" s="298" t="str">
        <f>IF(C795="", "",'Lighting Inventory (Ref only)'!AB806)</f>
        <v/>
      </c>
      <c r="AK795" s="375" t="str">
        <f>IF(B795="", "", 'Lighting Inventory (Ref only)'!AG806)</f>
        <v/>
      </c>
      <c r="AL795" s="375" t="str">
        <f>IF(B795="", "", 'Lighting Inventory (Ref only)'!AD806)</f>
        <v/>
      </c>
      <c r="AM795" s="375" t="str">
        <f>IF(B795="", "", 'Lighting Inventory (Ref only)'!AE806)</f>
        <v/>
      </c>
      <c r="AN795" s="375" t="str">
        <f>IF(B795="", "", 'Lighting Inventory (Ref only)'!AF806)</f>
        <v/>
      </c>
      <c r="AO795" s="375" t="str">
        <f>IF(B795="", "", 'Lighting Inventory (Ref only)'!AG806)</f>
        <v/>
      </c>
    </row>
    <row r="796" spans="1:41">
      <c r="A796" s="298" t="str">
        <f>IF(G796="", "", Lookups!BF798)</f>
        <v/>
      </c>
      <c r="B796" s="298" t="str">
        <f>IF('Lighting Inventory (Ref only)'!Q807="", "", 'Lighting Inventory (Ref only)'!Q807)</f>
        <v/>
      </c>
      <c r="C796" s="298" t="str">
        <f>IF(A796="", "", 'Lighting Inventory (Ref only)'!AO807)</f>
        <v/>
      </c>
      <c r="D796" s="298" t="str">
        <f>IF(B796= "","", Inventory!S804)</f>
        <v/>
      </c>
      <c r="F796" s="298" t="str">
        <f>IF(B796="", "", 'Version Log'!$B$34)</f>
        <v/>
      </c>
      <c r="G796" s="298" t="str">
        <f t="shared" si="48"/>
        <v/>
      </c>
      <c r="H796" s="298" t="str">
        <f t="shared" si="49"/>
        <v/>
      </c>
      <c r="I796" s="298" t="str">
        <f>IF(B796="", "",Inventory!D804)</f>
        <v/>
      </c>
      <c r="J796" s="298" t="str">
        <f>IF(B796="","",IF(Inventory!C804="N","Interior","Exterior"))</f>
        <v/>
      </c>
      <c r="K796" s="298" t="str">
        <f t="shared" si="50"/>
        <v/>
      </c>
      <c r="L796" s="298" t="str">
        <f>IF(B796="", "", Inventory!E804)</f>
        <v/>
      </c>
      <c r="M796" s="298" t="str">
        <f>IF(B796="","",IF(Cool_Type=Lookups!$L$9,Cool_Type,IF(Cool_Type=Lookups!$L$10,Cool_Type,IF(Cool_Type=Lookups!$L$11,Cool_Type,IF(Cool_Type=Lookups!L806,Cool_Type,IF('Project Info and Summary'!$C$20="Electric",CONCATENATE(Cool_Type," ",Heating_Type," Heat"),IF('Project Info and Summary'!$C$20="Non-Electric",CONCATENATE(Cool_Type," ",Heating_Type," Heat"),CONCATENATE(Cool_Type," ",Heating_Type))))))))</f>
        <v/>
      </c>
      <c r="N796" s="298" t="str">
        <f t="shared" si="51"/>
        <v/>
      </c>
      <c r="O796" s="298" t="str">
        <f>IF(B796="", "", 'Lighting Inventory (Ref only)'!G807)</f>
        <v/>
      </c>
      <c r="P796" s="298" t="str">
        <f>IF(B796="", "", 'Lighting Inventory (Ref only)'!E807)</f>
        <v/>
      </c>
      <c r="Q796" s="298" t="str">
        <f>IF(B796="", "", 'Lighting Inventory (Ref only)'!J807)</f>
        <v/>
      </c>
      <c r="R796" s="298" t="str">
        <f>IF(B796="", "",'Lighting Inventory (Ref only)'!K807)</f>
        <v/>
      </c>
      <c r="S796" s="372" t="str">
        <f>IF(B796="", "", 'Lighting Inventory (Ref only)'!G807*'Lighting Inventory (Ref only)'!K807/1000)</f>
        <v/>
      </c>
      <c r="T796" s="298" t="str">
        <f>IF(B796="", "", IF('Lighting Inventory (Ref only)'!I807="", "Light Switch",Inventory!H804))</f>
        <v/>
      </c>
      <c r="X796" s="298" t="str">
        <f>IF(B796="", "", 'Lighting Inventory (Ref only)'!Q807)</f>
        <v/>
      </c>
      <c r="AA796" s="298" t="str">
        <f>IF(B796="", "",'Lighting Inventory (Ref only)'!R807/1000)</f>
        <v/>
      </c>
      <c r="AB796" s="298" t="str">
        <f>IF(B796="", "", Inventory!M804)</f>
        <v/>
      </c>
      <c r="AC796" s="298" t="str">
        <f>IF(B796="", "", 'Lighting Inventory (Ref only)'!T807)</f>
        <v/>
      </c>
      <c r="AD796" s="298" t="str">
        <f>IF(C796="", "", 'Lighting Inventory (Ref only)'!AA807)</f>
        <v/>
      </c>
      <c r="AE796" s="298" t="str">
        <f>IF(B796="", "", 'Lighting Inventory (Ref only)'!U807)</f>
        <v/>
      </c>
      <c r="AF796" s="298" t="str">
        <f>IF(B796="", "",'Lighting Inventory (Ref only)'!W807)</f>
        <v/>
      </c>
      <c r="AH796" s="298" t="str">
        <f>IF(B796="", "",'Lighting Inventory (Ref only)'!Z807)</f>
        <v/>
      </c>
      <c r="AI796" s="298" t="str">
        <f>IF(B796="", "", 'Lighting Inventory (Ref only)'!Y807)</f>
        <v/>
      </c>
      <c r="AJ796" s="298" t="str">
        <f>IF(C796="", "",'Lighting Inventory (Ref only)'!AB807)</f>
        <v/>
      </c>
      <c r="AK796" s="375" t="str">
        <f>IF(B796="", "", 'Lighting Inventory (Ref only)'!AG807)</f>
        <v/>
      </c>
      <c r="AL796" s="375" t="str">
        <f>IF(B796="", "", 'Lighting Inventory (Ref only)'!AD807)</f>
        <v/>
      </c>
      <c r="AM796" s="375" t="str">
        <f>IF(B796="", "", 'Lighting Inventory (Ref only)'!AE807)</f>
        <v/>
      </c>
      <c r="AN796" s="375" t="str">
        <f>IF(B796="", "", 'Lighting Inventory (Ref only)'!AF807)</f>
        <v/>
      </c>
      <c r="AO796" s="375" t="str">
        <f>IF(B796="", "", 'Lighting Inventory (Ref only)'!AG807)</f>
        <v/>
      </c>
    </row>
    <row r="797" spans="1:41">
      <c r="A797" s="298" t="str">
        <f>IF(G797="", "", Lookups!BF799)</f>
        <v/>
      </c>
      <c r="B797" s="298" t="str">
        <f>IF('Lighting Inventory (Ref only)'!Q808="", "", 'Lighting Inventory (Ref only)'!Q808)</f>
        <v/>
      </c>
      <c r="C797" s="298" t="str">
        <f>IF(A797="", "", 'Lighting Inventory (Ref only)'!AO808)</f>
        <v/>
      </c>
      <c r="D797" s="298" t="str">
        <f>IF(B797= "","", Inventory!S805)</f>
        <v/>
      </c>
      <c r="F797" s="298" t="str">
        <f>IF(B797="", "", 'Version Log'!$B$34)</f>
        <v/>
      </c>
      <c r="G797" s="298" t="str">
        <f t="shared" si="48"/>
        <v/>
      </c>
      <c r="H797" s="298" t="str">
        <f t="shared" si="49"/>
        <v/>
      </c>
      <c r="I797" s="298" t="str">
        <f>IF(B797="", "",Inventory!D805)</f>
        <v/>
      </c>
      <c r="J797" s="298" t="str">
        <f>IF(B797="","",IF(Inventory!C805="N","Interior","Exterior"))</f>
        <v/>
      </c>
      <c r="K797" s="298" t="str">
        <f t="shared" si="50"/>
        <v/>
      </c>
      <c r="L797" s="298" t="str">
        <f>IF(B797="", "", Inventory!E805)</f>
        <v/>
      </c>
      <c r="M797" s="298" t="str">
        <f>IF(B797="","",IF(Cool_Type=Lookups!$L$9,Cool_Type,IF(Cool_Type=Lookups!$L$10,Cool_Type,IF(Cool_Type=Lookups!$L$11,Cool_Type,IF(Cool_Type=Lookups!L807,Cool_Type,IF('Project Info and Summary'!$C$20="Electric",CONCATENATE(Cool_Type," ",Heating_Type," Heat"),IF('Project Info and Summary'!$C$20="Non-Electric",CONCATENATE(Cool_Type," ",Heating_Type," Heat"),CONCATENATE(Cool_Type," ",Heating_Type))))))))</f>
        <v/>
      </c>
      <c r="N797" s="298" t="str">
        <f t="shared" si="51"/>
        <v/>
      </c>
      <c r="O797" s="298" t="str">
        <f>IF(B797="", "", 'Lighting Inventory (Ref only)'!G808)</f>
        <v/>
      </c>
      <c r="P797" s="298" t="str">
        <f>IF(B797="", "", 'Lighting Inventory (Ref only)'!E808)</f>
        <v/>
      </c>
      <c r="Q797" s="298" t="str">
        <f>IF(B797="", "", 'Lighting Inventory (Ref only)'!J808)</f>
        <v/>
      </c>
      <c r="R797" s="298" t="str">
        <f>IF(B797="", "",'Lighting Inventory (Ref only)'!K808)</f>
        <v/>
      </c>
      <c r="S797" s="372" t="str">
        <f>IF(B797="", "", 'Lighting Inventory (Ref only)'!G808*'Lighting Inventory (Ref only)'!K808/1000)</f>
        <v/>
      </c>
      <c r="T797" s="298" t="str">
        <f>IF(B797="", "", IF('Lighting Inventory (Ref only)'!I808="", "Light Switch",Inventory!H805))</f>
        <v/>
      </c>
      <c r="X797" s="298" t="str">
        <f>IF(B797="", "", 'Lighting Inventory (Ref only)'!Q808)</f>
        <v/>
      </c>
      <c r="AA797" s="298" t="str">
        <f>IF(B797="", "",'Lighting Inventory (Ref only)'!R808/1000)</f>
        <v/>
      </c>
      <c r="AB797" s="298" t="str">
        <f>IF(B797="", "", Inventory!M805)</f>
        <v/>
      </c>
      <c r="AC797" s="298" t="str">
        <f>IF(B797="", "", 'Lighting Inventory (Ref only)'!T808)</f>
        <v/>
      </c>
      <c r="AD797" s="298" t="str">
        <f>IF(C797="", "", 'Lighting Inventory (Ref only)'!AA808)</f>
        <v/>
      </c>
      <c r="AE797" s="298" t="str">
        <f>IF(B797="", "", 'Lighting Inventory (Ref only)'!U808)</f>
        <v/>
      </c>
      <c r="AF797" s="298" t="str">
        <f>IF(B797="", "",'Lighting Inventory (Ref only)'!W808)</f>
        <v/>
      </c>
      <c r="AH797" s="298" t="str">
        <f>IF(B797="", "",'Lighting Inventory (Ref only)'!Z808)</f>
        <v/>
      </c>
      <c r="AI797" s="298" t="str">
        <f>IF(B797="", "", 'Lighting Inventory (Ref only)'!Y808)</f>
        <v/>
      </c>
      <c r="AJ797" s="298" t="str">
        <f>IF(C797="", "",'Lighting Inventory (Ref only)'!AB808)</f>
        <v/>
      </c>
      <c r="AK797" s="375" t="str">
        <f>IF(B797="", "", 'Lighting Inventory (Ref only)'!AG808)</f>
        <v/>
      </c>
      <c r="AL797" s="375" t="str">
        <f>IF(B797="", "", 'Lighting Inventory (Ref only)'!AD808)</f>
        <v/>
      </c>
      <c r="AM797" s="375" t="str">
        <f>IF(B797="", "", 'Lighting Inventory (Ref only)'!AE808)</f>
        <v/>
      </c>
      <c r="AN797" s="375" t="str">
        <f>IF(B797="", "", 'Lighting Inventory (Ref only)'!AF808)</f>
        <v/>
      </c>
      <c r="AO797" s="375" t="str">
        <f>IF(B797="", "", 'Lighting Inventory (Ref only)'!AG808)</f>
        <v/>
      </c>
    </row>
    <row r="798" spans="1:41">
      <c r="A798" s="298" t="str">
        <f>IF(G798="", "", Lookups!BF800)</f>
        <v/>
      </c>
      <c r="B798" s="298" t="str">
        <f>IF('Lighting Inventory (Ref only)'!Q809="", "", 'Lighting Inventory (Ref only)'!Q809)</f>
        <v/>
      </c>
      <c r="C798" s="298" t="str">
        <f>IF(A798="", "", 'Lighting Inventory (Ref only)'!AO809)</f>
        <v/>
      </c>
      <c r="D798" s="298" t="str">
        <f>IF(B798= "","", Inventory!S806)</f>
        <v/>
      </c>
      <c r="F798" s="298" t="str">
        <f>IF(B798="", "", 'Version Log'!$B$34)</f>
        <v/>
      </c>
      <c r="G798" s="298" t="str">
        <f t="shared" si="48"/>
        <v/>
      </c>
      <c r="H798" s="298" t="str">
        <f t="shared" si="49"/>
        <v/>
      </c>
      <c r="I798" s="298" t="str">
        <f>IF(B798="", "",Inventory!D806)</f>
        <v/>
      </c>
      <c r="J798" s="298" t="str">
        <f>IF(B798="","",IF(Inventory!C806="N","Interior","Exterior"))</f>
        <v/>
      </c>
      <c r="K798" s="298" t="str">
        <f t="shared" si="50"/>
        <v/>
      </c>
      <c r="L798" s="298" t="str">
        <f>IF(B798="", "", Inventory!E806)</f>
        <v/>
      </c>
      <c r="M798" s="298" t="str">
        <f>IF(B798="","",IF(Cool_Type=Lookups!$L$9,Cool_Type,IF(Cool_Type=Lookups!$L$10,Cool_Type,IF(Cool_Type=Lookups!$L$11,Cool_Type,IF(Cool_Type=Lookups!L808,Cool_Type,IF('Project Info and Summary'!$C$20="Electric",CONCATENATE(Cool_Type," ",Heating_Type," Heat"),IF('Project Info and Summary'!$C$20="Non-Electric",CONCATENATE(Cool_Type," ",Heating_Type," Heat"),CONCATENATE(Cool_Type," ",Heating_Type))))))))</f>
        <v/>
      </c>
      <c r="N798" s="298" t="str">
        <f t="shared" si="51"/>
        <v/>
      </c>
      <c r="O798" s="298" t="str">
        <f>IF(B798="", "", 'Lighting Inventory (Ref only)'!G809)</f>
        <v/>
      </c>
      <c r="P798" s="298" t="str">
        <f>IF(B798="", "", 'Lighting Inventory (Ref only)'!E809)</f>
        <v/>
      </c>
      <c r="Q798" s="298" t="str">
        <f>IF(B798="", "", 'Lighting Inventory (Ref only)'!J809)</f>
        <v/>
      </c>
      <c r="R798" s="298" t="str">
        <f>IF(B798="", "",'Lighting Inventory (Ref only)'!K809)</f>
        <v/>
      </c>
      <c r="S798" s="372" t="str">
        <f>IF(B798="", "", 'Lighting Inventory (Ref only)'!G809*'Lighting Inventory (Ref only)'!K809/1000)</f>
        <v/>
      </c>
      <c r="T798" s="298" t="str">
        <f>IF(B798="", "", IF('Lighting Inventory (Ref only)'!I809="", "Light Switch",Inventory!H806))</f>
        <v/>
      </c>
      <c r="X798" s="298" t="str">
        <f>IF(B798="", "", 'Lighting Inventory (Ref only)'!Q809)</f>
        <v/>
      </c>
      <c r="AA798" s="298" t="str">
        <f>IF(B798="", "",'Lighting Inventory (Ref only)'!R809/1000)</f>
        <v/>
      </c>
      <c r="AB798" s="298" t="str">
        <f>IF(B798="", "", Inventory!M806)</f>
        <v/>
      </c>
      <c r="AC798" s="298" t="str">
        <f>IF(B798="", "", 'Lighting Inventory (Ref only)'!T809)</f>
        <v/>
      </c>
      <c r="AD798" s="298" t="str">
        <f>IF(C798="", "", 'Lighting Inventory (Ref only)'!AA809)</f>
        <v/>
      </c>
      <c r="AE798" s="298" t="str">
        <f>IF(B798="", "", 'Lighting Inventory (Ref only)'!U809)</f>
        <v/>
      </c>
      <c r="AF798" s="298" t="str">
        <f>IF(B798="", "",'Lighting Inventory (Ref only)'!W809)</f>
        <v/>
      </c>
      <c r="AH798" s="298" t="str">
        <f>IF(B798="", "",'Lighting Inventory (Ref only)'!Z809)</f>
        <v/>
      </c>
      <c r="AI798" s="298" t="str">
        <f>IF(B798="", "", 'Lighting Inventory (Ref only)'!Y809)</f>
        <v/>
      </c>
      <c r="AJ798" s="298" t="str">
        <f>IF(C798="", "",'Lighting Inventory (Ref only)'!AB809)</f>
        <v/>
      </c>
      <c r="AK798" s="375" t="str">
        <f>IF(B798="", "", 'Lighting Inventory (Ref only)'!AG809)</f>
        <v/>
      </c>
      <c r="AL798" s="375" t="str">
        <f>IF(B798="", "", 'Lighting Inventory (Ref only)'!AD809)</f>
        <v/>
      </c>
      <c r="AM798" s="375" t="str">
        <f>IF(B798="", "", 'Lighting Inventory (Ref only)'!AE809)</f>
        <v/>
      </c>
      <c r="AN798" s="375" t="str">
        <f>IF(B798="", "", 'Lighting Inventory (Ref only)'!AF809)</f>
        <v/>
      </c>
      <c r="AO798" s="375" t="str">
        <f>IF(B798="", "", 'Lighting Inventory (Ref only)'!AG809)</f>
        <v/>
      </c>
    </row>
    <row r="799" spans="1:41">
      <c r="A799" s="298" t="str">
        <f>IF(G799="", "", Lookups!BF801)</f>
        <v/>
      </c>
      <c r="B799" s="298" t="str">
        <f>IF('Lighting Inventory (Ref only)'!Q810="", "", 'Lighting Inventory (Ref only)'!Q810)</f>
        <v/>
      </c>
      <c r="C799" s="298" t="str">
        <f>IF(A799="", "", 'Lighting Inventory (Ref only)'!AO810)</f>
        <v/>
      </c>
      <c r="D799" s="298" t="str">
        <f>IF(B799= "","", Inventory!S807)</f>
        <v/>
      </c>
      <c r="F799" s="298" t="str">
        <f>IF(B799="", "", 'Version Log'!$B$34)</f>
        <v/>
      </c>
      <c r="G799" s="298" t="str">
        <f t="shared" si="48"/>
        <v/>
      </c>
      <c r="H799" s="298" t="str">
        <f t="shared" si="49"/>
        <v/>
      </c>
      <c r="I799" s="298" t="str">
        <f>IF(B799="", "",Inventory!D807)</f>
        <v/>
      </c>
      <c r="J799" s="298" t="str">
        <f>IF(B799="","",IF(Inventory!C807="N","Interior","Exterior"))</f>
        <v/>
      </c>
      <c r="K799" s="298" t="str">
        <f t="shared" si="50"/>
        <v/>
      </c>
      <c r="L799" s="298" t="str">
        <f>IF(B799="", "", Inventory!E807)</f>
        <v/>
      </c>
      <c r="M799" s="298" t="str">
        <f>IF(B799="","",IF(Cool_Type=Lookups!$L$9,Cool_Type,IF(Cool_Type=Lookups!$L$10,Cool_Type,IF(Cool_Type=Lookups!$L$11,Cool_Type,IF(Cool_Type=Lookups!L809,Cool_Type,IF('Project Info and Summary'!$C$20="Electric",CONCATENATE(Cool_Type," ",Heating_Type," Heat"),IF('Project Info and Summary'!$C$20="Non-Electric",CONCATENATE(Cool_Type," ",Heating_Type," Heat"),CONCATENATE(Cool_Type," ",Heating_Type))))))))</f>
        <v/>
      </c>
      <c r="N799" s="298" t="str">
        <f t="shared" si="51"/>
        <v/>
      </c>
      <c r="O799" s="298" t="str">
        <f>IF(B799="", "", 'Lighting Inventory (Ref only)'!G810)</f>
        <v/>
      </c>
      <c r="P799" s="298" t="str">
        <f>IF(B799="", "", 'Lighting Inventory (Ref only)'!E810)</f>
        <v/>
      </c>
      <c r="Q799" s="298" t="str">
        <f>IF(B799="", "", 'Lighting Inventory (Ref only)'!J810)</f>
        <v/>
      </c>
      <c r="R799" s="298" t="str">
        <f>IF(B799="", "",'Lighting Inventory (Ref only)'!K810)</f>
        <v/>
      </c>
      <c r="S799" s="372" t="str">
        <f>IF(B799="", "", 'Lighting Inventory (Ref only)'!G810*'Lighting Inventory (Ref only)'!K810/1000)</f>
        <v/>
      </c>
      <c r="T799" s="298" t="str">
        <f>IF(B799="", "", IF('Lighting Inventory (Ref only)'!I810="", "Light Switch",Inventory!H807))</f>
        <v/>
      </c>
      <c r="X799" s="298" t="str">
        <f>IF(B799="", "", 'Lighting Inventory (Ref only)'!Q810)</f>
        <v/>
      </c>
      <c r="AA799" s="298" t="str">
        <f>IF(B799="", "",'Lighting Inventory (Ref only)'!R810/1000)</f>
        <v/>
      </c>
      <c r="AB799" s="298" t="str">
        <f>IF(B799="", "", Inventory!M807)</f>
        <v/>
      </c>
      <c r="AC799" s="298" t="str">
        <f>IF(B799="", "", 'Lighting Inventory (Ref only)'!T810)</f>
        <v/>
      </c>
      <c r="AD799" s="298" t="str">
        <f>IF(C799="", "", 'Lighting Inventory (Ref only)'!AA810)</f>
        <v/>
      </c>
      <c r="AE799" s="298" t="str">
        <f>IF(B799="", "", 'Lighting Inventory (Ref only)'!U810)</f>
        <v/>
      </c>
      <c r="AF799" s="298" t="str">
        <f>IF(B799="", "",'Lighting Inventory (Ref only)'!W810)</f>
        <v/>
      </c>
      <c r="AH799" s="298" t="str">
        <f>IF(B799="", "",'Lighting Inventory (Ref only)'!Z810)</f>
        <v/>
      </c>
      <c r="AI799" s="298" t="str">
        <f>IF(B799="", "", 'Lighting Inventory (Ref only)'!Y810)</f>
        <v/>
      </c>
      <c r="AJ799" s="298" t="str">
        <f>IF(C799="", "",'Lighting Inventory (Ref only)'!AB810)</f>
        <v/>
      </c>
      <c r="AK799" s="375" t="str">
        <f>IF(B799="", "", 'Lighting Inventory (Ref only)'!AG810)</f>
        <v/>
      </c>
      <c r="AL799" s="375" t="str">
        <f>IF(B799="", "", 'Lighting Inventory (Ref only)'!AD810)</f>
        <v/>
      </c>
      <c r="AM799" s="375" t="str">
        <f>IF(B799="", "", 'Lighting Inventory (Ref only)'!AE810)</f>
        <v/>
      </c>
      <c r="AN799" s="375" t="str">
        <f>IF(B799="", "", 'Lighting Inventory (Ref only)'!AF810)</f>
        <v/>
      </c>
      <c r="AO799" s="375" t="str">
        <f>IF(B799="", "", 'Lighting Inventory (Ref only)'!AG810)</f>
        <v/>
      </c>
    </row>
    <row r="800" spans="1:41">
      <c r="A800" s="298" t="str">
        <f>IF(G800="", "", Lookups!BF802)</f>
        <v/>
      </c>
      <c r="B800" s="298" t="str">
        <f>IF('Lighting Inventory (Ref only)'!Q811="", "", 'Lighting Inventory (Ref only)'!Q811)</f>
        <v/>
      </c>
      <c r="C800" s="298" t="str">
        <f>IF(A800="", "", 'Lighting Inventory (Ref only)'!AO811)</f>
        <v/>
      </c>
      <c r="D800" s="298" t="str">
        <f>IF(B800= "","", Inventory!S808)</f>
        <v/>
      </c>
      <c r="F800" s="298" t="str">
        <f>IF(B800="", "", 'Version Log'!$B$34)</f>
        <v/>
      </c>
      <c r="G800" s="298" t="str">
        <f t="shared" si="48"/>
        <v/>
      </c>
      <c r="H800" s="298" t="str">
        <f t="shared" si="49"/>
        <v/>
      </c>
      <c r="I800" s="298" t="str">
        <f>IF(B800="", "",Inventory!D808)</f>
        <v/>
      </c>
      <c r="J800" s="298" t="str">
        <f>IF(B800="","",IF(Inventory!C808="N","Interior","Exterior"))</f>
        <v/>
      </c>
      <c r="K800" s="298" t="str">
        <f t="shared" si="50"/>
        <v/>
      </c>
      <c r="L800" s="298" t="str">
        <f>IF(B800="", "", Inventory!E808)</f>
        <v/>
      </c>
      <c r="M800" s="298" t="str">
        <f>IF(B800="","",IF(Cool_Type=Lookups!$L$9,Cool_Type,IF(Cool_Type=Lookups!$L$10,Cool_Type,IF(Cool_Type=Lookups!$L$11,Cool_Type,IF(Cool_Type=Lookups!L810,Cool_Type,IF('Project Info and Summary'!$C$20="Electric",CONCATENATE(Cool_Type," ",Heating_Type," Heat"),IF('Project Info and Summary'!$C$20="Non-Electric",CONCATENATE(Cool_Type," ",Heating_Type," Heat"),CONCATENATE(Cool_Type," ",Heating_Type))))))))</f>
        <v/>
      </c>
      <c r="N800" s="298" t="str">
        <f t="shared" si="51"/>
        <v/>
      </c>
      <c r="O800" s="298" t="str">
        <f>IF(B800="", "", 'Lighting Inventory (Ref only)'!G811)</f>
        <v/>
      </c>
      <c r="P800" s="298" t="str">
        <f>IF(B800="", "", 'Lighting Inventory (Ref only)'!E811)</f>
        <v/>
      </c>
      <c r="Q800" s="298" t="str">
        <f>IF(B800="", "", 'Lighting Inventory (Ref only)'!J811)</f>
        <v/>
      </c>
      <c r="R800" s="298" t="str">
        <f>IF(B800="", "",'Lighting Inventory (Ref only)'!K811)</f>
        <v/>
      </c>
      <c r="S800" s="372" t="str">
        <f>IF(B800="", "", 'Lighting Inventory (Ref only)'!G811*'Lighting Inventory (Ref only)'!K811/1000)</f>
        <v/>
      </c>
      <c r="T800" s="298" t="str">
        <f>IF(B800="", "", IF('Lighting Inventory (Ref only)'!I811="", "Light Switch",Inventory!H808))</f>
        <v/>
      </c>
      <c r="X800" s="298" t="str">
        <f>IF(B800="", "", 'Lighting Inventory (Ref only)'!Q811)</f>
        <v/>
      </c>
      <c r="AA800" s="298" t="str">
        <f>IF(B800="", "",'Lighting Inventory (Ref only)'!R811/1000)</f>
        <v/>
      </c>
      <c r="AB800" s="298" t="str">
        <f>IF(B800="", "", Inventory!M808)</f>
        <v/>
      </c>
      <c r="AC800" s="298" t="str">
        <f>IF(B800="", "", 'Lighting Inventory (Ref only)'!T811)</f>
        <v/>
      </c>
      <c r="AD800" s="298" t="str">
        <f>IF(C800="", "", 'Lighting Inventory (Ref only)'!AA811)</f>
        <v/>
      </c>
      <c r="AE800" s="298" t="str">
        <f>IF(B800="", "", 'Lighting Inventory (Ref only)'!U811)</f>
        <v/>
      </c>
      <c r="AF800" s="298" t="str">
        <f>IF(B800="", "",'Lighting Inventory (Ref only)'!W811)</f>
        <v/>
      </c>
      <c r="AH800" s="298" t="str">
        <f>IF(B800="", "",'Lighting Inventory (Ref only)'!Z811)</f>
        <v/>
      </c>
      <c r="AI800" s="298" t="str">
        <f>IF(B800="", "", 'Lighting Inventory (Ref only)'!Y811)</f>
        <v/>
      </c>
      <c r="AJ800" s="298" t="str">
        <f>IF(C800="", "",'Lighting Inventory (Ref only)'!AB811)</f>
        <v/>
      </c>
      <c r="AK800" s="375" t="str">
        <f>IF(B800="", "", 'Lighting Inventory (Ref only)'!AG811)</f>
        <v/>
      </c>
      <c r="AL800" s="375" t="str">
        <f>IF(B800="", "", 'Lighting Inventory (Ref only)'!AD811)</f>
        <v/>
      </c>
      <c r="AM800" s="375" t="str">
        <f>IF(B800="", "", 'Lighting Inventory (Ref only)'!AE811)</f>
        <v/>
      </c>
      <c r="AN800" s="375" t="str">
        <f>IF(B800="", "", 'Lighting Inventory (Ref only)'!AF811)</f>
        <v/>
      </c>
      <c r="AO800" s="375" t="str">
        <f>IF(B800="", "", 'Lighting Inventory (Ref only)'!AG811)</f>
        <v/>
      </c>
    </row>
    <row r="801" spans="1:41">
      <c r="A801" s="298" t="str">
        <f>IF(G801="", "", Lookups!BF803)</f>
        <v/>
      </c>
      <c r="B801" s="298" t="str">
        <f>IF('Lighting Inventory (Ref only)'!Q812="", "", 'Lighting Inventory (Ref only)'!Q812)</f>
        <v/>
      </c>
      <c r="C801" s="298" t="str">
        <f>IF(A801="", "", 'Lighting Inventory (Ref only)'!AO812)</f>
        <v/>
      </c>
      <c r="D801" s="298" t="str">
        <f>IF(B801= "","", Inventory!S809)</f>
        <v/>
      </c>
      <c r="F801" s="298" t="str">
        <f>IF(B801="", "", 'Version Log'!$B$34)</f>
        <v/>
      </c>
      <c r="G801" s="298" t="str">
        <f t="shared" si="48"/>
        <v/>
      </c>
      <c r="H801" s="298" t="str">
        <f t="shared" si="49"/>
        <v/>
      </c>
      <c r="I801" s="298" t="str">
        <f>IF(B801="", "",Inventory!D809)</f>
        <v/>
      </c>
      <c r="J801" s="298" t="str">
        <f>IF(B801="","",IF(Inventory!C809="N","Interior","Exterior"))</f>
        <v/>
      </c>
      <c r="K801" s="298" t="str">
        <f t="shared" si="50"/>
        <v/>
      </c>
      <c r="L801" s="298" t="str">
        <f>IF(B801="", "", Inventory!E809)</f>
        <v/>
      </c>
      <c r="M801" s="298" t="str">
        <f>IF(B801="","",IF(Cool_Type=Lookups!$L$9,Cool_Type,IF(Cool_Type=Lookups!$L$10,Cool_Type,IF(Cool_Type=Lookups!$L$11,Cool_Type,IF(Cool_Type=Lookups!L811,Cool_Type,IF('Project Info and Summary'!$C$20="Electric",CONCATENATE(Cool_Type," ",Heating_Type," Heat"),IF('Project Info and Summary'!$C$20="Non-Electric",CONCATENATE(Cool_Type," ",Heating_Type," Heat"),CONCATENATE(Cool_Type," ",Heating_Type))))))))</f>
        <v/>
      </c>
      <c r="N801" s="298" t="str">
        <f t="shared" si="51"/>
        <v/>
      </c>
      <c r="O801" s="298" t="str">
        <f>IF(B801="", "", 'Lighting Inventory (Ref only)'!G812)</f>
        <v/>
      </c>
      <c r="P801" s="298" t="str">
        <f>IF(B801="", "", 'Lighting Inventory (Ref only)'!E812)</f>
        <v/>
      </c>
      <c r="Q801" s="298" t="str">
        <f>IF(B801="", "", 'Lighting Inventory (Ref only)'!J812)</f>
        <v/>
      </c>
      <c r="R801" s="298" t="str">
        <f>IF(B801="", "",'Lighting Inventory (Ref only)'!K812)</f>
        <v/>
      </c>
      <c r="S801" s="372" t="str">
        <f>IF(B801="", "", 'Lighting Inventory (Ref only)'!G812*'Lighting Inventory (Ref only)'!K812/1000)</f>
        <v/>
      </c>
      <c r="T801" s="298" t="str">
        <f>IF(B801="", "", IF('Lighting Inventory (Ref only)'!I812="", "Light Switch",Inventory!H809))</f>
        <v/>
      </c>
      <c r="X801" s="298" t="str">
        <f>IF(B801="", "", 'Lighting Inventory (Ref only)'!Q812)</f>
        <v/>
      </c>
      <c r="AA801" s="298" t="str">
        <f>IF(B801="", "",'Lighting Inventory (Ref only)'!R812/1000)</f>
        <v/>
      </c>
      <c r="AB801" s="298" t="str">
        <f>IF(B801="", "", Inventory!M809)</f>
        <v/>
      </c>
      <c r="AC801" s="298" t="str">
        <f>IF(B801="", "", 'Lighting Inventory (Ref only)'!T812)</f>
        <v/>
      </c>
      <c r="AD801" s="298" t="str">
        <f>IF(C801="", "", 'Lighting Inventory (Ref only)'!AA812)</f>
        <v/>
      </c>
      <c r="AE801" s="298" t="str">
        <f>IF(B801="", "", 'Lighting Inventory (Ref only)'!U812)</f>
        <v/>
      </c>
      <c r="AF801" s="298" t="str">
        <f>IF(B801="", "",'Lighting Inventory (Ref only)'!W812)</f>
        <v/>
      </c>
      <c r="AH801" s="298" t="str">
        <f>IF(B801="", "",'Lighting Inventory (Ref only)'!Z812)</f>
        <v/>
      </c>
      <c r="AI801" s="298" t="str">
        <f>IF(B801="", "", 'Lighting Inventory (Ref only)'!Y812)</f>
        <v/>
      </c>
      <c r="AJ801" s="298" t="str">
        <f>IF(C801="", "",'Lighting Inventory (Ref only)'!AB812)</f>
        <v/>
      </c>
      <c r="AK801" s="375" t="str">
        <f>IF(B801="", "", 'Lighting Inventory (Ref only)'!AG812)</f>
        <v/>
      </c>
      <c r="AL801" s="375" t="str">
        <f>IF(B801="", "", 'Lighting Inventory (Ref only)'!AD812)</f>
        <v/>
      </c>
      <c r="AM801" s="375" t="str">
        <f>IF(B801="", "", 'Lighting Inventory (Ref only)'!AE812)</f>
        <v/>
      </c>
      <c r="AN801" s="375" t="str">
        <f>IF(B801="", "", 'Lighting Inventory (Ref only)'!AF812)</f>
        <v/>
      </c>
      <c r="AO801" s="375" t="str">
        <f>IF(B801="", "", 'Lighting Inventory (Ref only)'!AG812)</f>
        <v/>
      </c>
    </row>
    <row r="802" spans="1:41">
      <c r="A802" s="298" t="str">
        <f>IF(G802="", "", Lookups!BF804)</f>
        <v/>
      </c>
      <c r="B802" s="298" t="str">
        <f>IF('Lighting Inventory (Ref only)'!Q813="", "", 'Lighting Inventory (Ref only)'!Q813)</f>
        <v/>
      </c>
      <c r="C802" s="298" t="str">
        <f>IF(A802="", "", 'Lighting Inventory (Ref only)'!AO813)</f>
        <v/>
      </c>
      <c r="D802" s="298" t="str">
        <f>IF(B802= "","", Inventory!S810)</f>
        <v/>
      </c>
      <c r="F802" s="298" t="str">
        <f>IF(B802="", "", 'Version Log'!$B$34)</f>
        <v/>
      </c>
      <c r="G802" s="298" t="str">
        <f t="shared" si="48"/>
        <v/>
      </c>
      <c r="H802" s="298" t="str">
        <f t="shared" si="49"/>
        <v/>
      </c>
      <c r="I802" s="298" t="str">
        <f>IF(B802="", "",Inventory!D810)</f>
        <v/>
      </c>
      <c r="J802" s="298" t="str">
        <f>IF(B802="","",IF(Inventory!C810="N","Interior","Exterior"))</f>
        <v/>
      </c>
      <c r="K802" s="298" t="str">
        <f t="shared" si="50"/>
        <v/>
      </c>
      <c r="L802" s="298" t="str">
        <f>IF(B802="", "", Inventory!E810)</f>
        <v/>
      </c>
      <c r="M802" s="298" t="str">
        <f>IF(B802="","",IF(Cool_Type=Lookups!$L$9,Cool_Type,IF(Cool_Type=Lookups!$L$10,Cool_Type,IF(Cool_Type=Lookups!$L$11,Cool_Type,IF(Cool_Type=Lookups!L812,Cool_Type,IF('Project Info and Summary'!$C$20="Electric",CONCATENATE(Cool_Type," ",Heating_Type," Heat"),IF('Project Info and Summary'!$C$20="Non-Electric",CONCATENATE(Cool_Type," ",Heating_Type," Heat"),CONCATENATE(Cool_Type," ",Heating_Type))))))))</f>
        <v/>
      </c>
      <c r="N802" s="298" t="str">
        <f t="shared" si="51"/>
        <v/>
      </c>
      <c r="O802" s="298" t="str">
        <f>IF(B802="", "", 'Lighting Inventory (Ref only)'!G813)</f>
        <v/>
      </c>
      <c r="P802" s="298" t="str">
        <f>IF(B802="", "", 'Lighting Inventory (Ref only)'!E813)</f>
        <v/>
      </c>
      <c r="Q802" s="298" t="str">
        <f>IF(B802="", "", 'Lighting Inventory (Ref only)'!J813)</f>
        <v/>
      </c>
      <c r="R802" s="298" t="str">
        <f>IF(B802="", "",'Lighting Inventory (Ref only)'!K813)</f>
        <v/>
      </c>
      <c r="S802" s="372" t="str">
        <f>IF(B802="", "", 'Lighting Inventory (Ref only)'!G813*'Lighting Inventory (Ref only)'!K813/1000)</f>
        <v/>
      </c>
      <c r="T802" s="298" t="str">
        <f>IF(B802="", "", IF('Lighting Inventory (Ref only)'!I813="", "Light Switch",Inventory!H810))</f>
        <v/>
      </c>
      <c r="X802" s="298" t="str">
        <f>IF(B802="", "", 'Lighting Inventory (Ref only)'!Q813)</f>
        <v/>
      </c>
      <c r="AA802" s="298" t="str">
        <f>IF(B802="", "",'Lighting Inventory (Ref only)'!R813/1000)</f>
        <v/>
      </c>
      <c r="AB802" s="298" t="str">
        <f>IF(B802="", "", Inventory!M810)</f>
        <v/>
      </c>
      <c r="AC802" s="298" t="str">
        <f>IF(B802="", "", 'Lighting Inventory (Ref only)'!T813)</f>
        <v/>
      </c>
      <c r="AD802" s="298" t="str">
        <f>IF(C802="", "", 'Lighting Inventory (Ref only)'!AA813)</f>
        <v/>
      </c>
      <c r="AE802" s="298" t="str">
        <f>IF(B802="", "", 'Lighting Inventory (Ref only)'!U813)</f>
        <v/>
      </c>
      <c r="AF802" s="298" t="str">
        <f>IF(B802="", "",'Lighting Inventory (Ref only)'!W813)</f>
        <v/>
      </c>
      <c r="AH802" s="298" t="str">
        <f>IF(B802="", "",'Lighting Inventory (Ref only)'!Z813)</f>
        <v/>
      </c>
      <c r="AI802" s="298" t="str">
        <f>IF(B802="", "", 'Lighting Inventory (Ref only)'!Y813)</f>
        <v/>
      </c>
      <c r="AJ802" s="298" t="str">
        <f>IF(C802="", "",'Lighting Inventory (Ref only)'!AB813)</f>
        <v/>
      </c>
      <c r="AK802" s="375" t="str">
        <f>IF(B802="", "", 'Lighting Inventory (Ref only)'!AG813)</f>
        <v/>
      </c>
      <c r="AL802" s="375" t="str">
        <f>IF(B802="", "", 'Lighting Inventory (Ref only)'!AD813)</f>
        <v/>
      </c>
      <c r="AM802" s="375" t="str">
        <f>IF(B802="", "", 'Lighting Inventory (Ref only)'!AE813)</f>
        <v/>
      </c>
      <c r="AN802" s="375" t="str">
        <f>IF(B802="", "", 'Lighting Inventory (Ref only)'!AF813)</f>
        <v/>
      </c>
      <c r="AO802" s="375" t="str">
        <f>IF(B802="", "", 'Lighting Inventory (Ref only)'!AG813)</f>
        <v/>
      </c>
    </row>
    <row r="803" spans="1:41">
      <c r="A803" s="298" t="str">
        <f>IF(G803="", "", Lookups!BF805)</f>
        <v/>
      </c>
      <c r="B803" s="298" t="str">
        <f>IF('Lighting Inventory (Ref only)'!Q814="", "", 'Lighting Inventory (Ref only)'!Q814)</f>
        <v/>
      </c>
      <c r="C803" s="298" t="str">
        <f>IF(A803="", "", 'Lighting Inventory (Ref only)'!AO814)</f>
        <v/>
      </c>
      <c r="D803" s="298" t="str">
        <f>IF(B803= "","", Inventory!S811)</f>
        <v/>
      </c>
      <c r="F803" s="298" t="str">
        <f>IF(B803="", "", 'Version Log'!$B$34)</f>
        <v/>
      </c>
      <c r="G803" s="298" t="str">
        <f t="shared" si="48"/>
        <v/>
      </c>
      <c r="H803" s="298" t="str">
        <f t="shared" si="49"/>
        <v/>
      </c>
      <c r="I803" s="298" t="str">
        <f>IF(B803="", "",Inventory!D811)</f>
        <v/>
      </c>
      <c r="J803" s="298" t="str">
        <f>IF(B803="","",IF(Inventory!C811="N","Interior","Exterior"))</f>
        <v/>
      </c>
      <c r="K803" s="298" t="str">
        <f t="shared" si="50"/>
        <v/>
      </c>
      <c r="L803" s="298" t="str">
        <f>IF(B803="", "", Inventory!E811)</f>
        <v/>
      </c>
      <c r="M803" s="298" t="str">
        <f>IF(B803="","",IF(Cool_Type=Lookups!$L$9,Cool_Type,IF(Cool_Type=Lookups!$L$10,Cool_Type,IF(Cool_Type=Lookups!$L$11,Cool_Type,IF(Cool_Type=Lookups!L813,Cool_Type,IF('Project Info and Summary'!$C$20="Electric",CONCATENATE(Cool_Type," ",Heating_Type," Heat"),IF('Project Info and Summary'!$C$20="Non-Electric",CONCATENATE(Cool_Type," ",Heating_Type," Heat"),CONCATENATE(Cool_Type," ",Heating_Type))))))))</f>
        <v/>
      </c>
      <c r="N803" s="298" t="str">
        <f t="shared" si="51"/>
        <v/>
      </c>
      <c r="O803" s="298" t="str">
        <f>IF(B803="", "", 'Lighting Inventory (Ref only)'!G814)</f>
        <v/>
      </c>
      <c r="P803" s="298" t="str">
        <f>IF(B803="", "", 'Lighting Inventory (Ref only)'!E814)</f>
        <v/>
      </c>
      <c r="Q803" s="298" t="str">
        <f>IF(B803="", "", 'Lighting Inventory (Ref only)'!J814)</f>
        <v/>
      </c>
      <c r="R803" s="298" t="str">
        <f>IF(B803="", "",'Lighting Inventory (Ref only)'!K814)</f>
        <v/>
      </c>
      <c r="S803" s="372" t="str">
        <f>IF(B803="", "", 'Lighting Inventory (Ref only)'!G814*'Lighting Inventory (Ref only)'!K814/1000)</f>
        <v/>
      </c>
      <c r="T803" s="298" t="str">
        <f>IF(B803="", "", IF('Lighting Inventory (Ref only)'!I814="", "Light Switch",Inventory!H811))</f>
        <v/>
      </c>
      <c r="X803" s="298" t="str">
        <f>IF(B803="", "", 'Lighting Inventory (Ref only)'!Q814)</f>
        <v/>
      </c>
      <c r="AA803" s="298" t="str">
        <f>IF(B803="", "",'Lighting Inventory (Ref only)'!R814/1000)</f>
        <v/>
      </c>
      <c r="AB803" s="298" t="str">
        <f>IF(B803="", "", Inventory!M811)</f>
        <v/>
      </c>
      <c r="AC803" s="298" t="str">
        <f>IF(B803="", "", 'Lighting Inventory (Ref only)'!T814)</f>
        <v/>
      </c>
      <c r="AD803" s="298" t="str">
        <f>IF(C803="", "", 'Lighting Inventory (Ref only)'!AA814)</f>
        <v/>
      </c>
      <c r="AE803" s="298" t="str">
        <f>IF(B803="", "", 'Lighting Inventory (Ref only)'!U814)</f>
        <v/>
      </c>
      <c r="AF803" s="298" t="str">
        <f>IF(B803="", "",'Lighting Inventory (Ref only)'!W814)</f>
        <v/>
      </c>
      <c r="AH803" s="298" t="str">
        <f>IF(B803="", "",'Lighting Inventory (Ref only)'!Z814)</f>
        <v/>
      </c>
      <c r="AI803" s="298" t="str">
        <f>IF(B803="", "", 'Lighting Inventory (Ref only)'!Y814)</f>
        <v/>
      </c>
      <c r="AJ803" s="298" t="str">
        <f>IF(C803="", "",'Lighting Inventory (Ref only)'!AB814)</f>
        <v/>
      </c>
      <c r="AK803" s="375" t="str">
        <f>IF(B803="", "", 'Lighting Inventory (Ref only)'!AG814)</f>
        <v/>
      </c>
      <c r="AL803" s="375" t="str">
        <f>IF(B803="", "", 'Lighting Inventory (Ref only)'!AD814)</f>
        <v/>
      </c>
      <c r="AM803" s="375" t="str">
        <f>IF(B803="", "", 'Lighting Inventory (Ref only)'!AE814)</f>
        <v/>
      </c>
      <c r="AN803" s="375" t="str">
        <f>IF(B803="", "", 'Lighting Inventory (Ref only)'!AF814)</f>
        <v/>
      </c>
      <c r="AO803" s="375" t="str">
        <f>IF(B803="", "", 'Lighting Inventory (Ref only)'!AG814)</f>
        <v/>
      </c>
    </row>
    <row r="804" spans="1:41">
      <c r="A804" s="298" t="str">
        <f>IF(G804="", "", Lookups!BF806)</f>
        <v/>
      </c>
      <c r="B804" s="298" t="str">
        <f>IF('Lighting Inventory (Ref only)'!Q815="", "", 'Lighting Inventory (Ref only)'!Q815)</f>
        <v/>
      </c>
      <c r="C804" s="298" t="str">
        <f>IF(A804="", "", 'Lighting Inventory (Ref only)'!AO815)</f>
        <v/>
      </c>
      <c r="D804" s="298" t="str">
        <f>IF(B804= "","", Inventory!S812)</f>
        <v/>
      </c>
      <c r="F804" s="298" t="str">
        <f>IF(B804="", "", 'Version Log'!$B$34)</f>
        <v/>
      </c>
      <c r="G804" s="298" t="str">
        <f t="shared" si="48"/>
        <v/>
      </c>
      <c r="H804" s="298" t="str">
        <f t="shared" si="49"/>
        <v/>
      </c>
      <c r="I804" s="298" t="str">
        <f>IF(B804="", "",Inventory!D812)</f>
        <v/>
      </c>
      <c r="J804" s="298" t="str">
        <f>IF(B804="","",IF(Inventory!C812="N","Interior","Exterior"))</f>
        <v/>
      </c>
      <c r="K804" s="298" t="str">
        <f t="shared" si="50"/>
        <v/>
      </c>
      <c r="L804" s="298" t="str">
        <f>IF(B804="", "", Inventory!E812)</f>
        <v/>
      </c>
      <c r="M804" s="298" t="str">
        <f>IF(B804="","",IF(Cool_Type=Lookups!$L$9,Cool_Type,IF(Cool_Type=Lookups!$L$10,Cool_Type,IF(Cool_Type=Lookups!$L$11,Cool_Type,IF(Cool_Type=Lookups!L814,Cool_Type,IF('Project Info and Summary'!$C$20="Electric",CONCATENATE(Cool_Type," ",Heating_Type," Heat"),IF('Project Info and Summary'!$C$20="Non-Electric",CONCATENATE(Cool_Type," ",Heating_Type," Heat"),CONCATENATE(Cool_Type," ",Heating_Type))))))))</f>
        <v/>
      </c>
      <c r="N804" s="298" t="str">
        <f t="shared" si="51"/>
        <v/>
      </c>
      <c r="O804" s="298" t="str">
        <f>IF(B804="", "", 'Lighting Inventory (Ref only)'!G815)</f>
        <v/>
      </c>
      <c r="P804" s="298" t="str">
        <f>IF(B804="", "", 'Lighting Inventory (Ref only)'!E815)</f>
        <v/>
      </c>
      <c r="Q804" s="298" t="str">
        <f>IF(B804="", "", 'Lighting Inventory (Ref only)'!J815)</f>
        <v/>
      </c>
      <c r="R804" s="298" t="str">
        <f>IF(B804="", "",'Lighting Inventory (Ref only)'!K815)</f>
        <v/>
      </c>
      <c r="S804" s="372" t="str">
        <f>IF(B804="", "", 'Lighting Inventory (Ref only)'!G815*'Lighting Inventory (Ref only)'!K815/1000)</f>
        <v/>
      </c>
      <c r="T804" s="298" t="str">
        <f>IF(B804="", "", IF('Lighting Inventory (Ref only)'!I815="", "Light Switch",Inventory!H812))</f>
        <v/>
      </c>
      <c r="X804" s="298" t="str">
        <f>IF(B804="", "", 'Lighting Inventory (Ref only)'!Q815)</f>
        <v/>
      </c>
      <c r="AA804" s="298" t="str">
        <f>IF(B804="", "",'Lighting Inventory (Ref only)'!R815/1000)</f>
        <v/>
      </c>
      <c r="AB804" s="298" t="str">
        <f>IF(B804="", "", Inventory!M812)</f>
        <v/>
      </c>
      <c r="AC804" s="298" t="str">
        <f>IF(B804="", "", 'Lighting Inventory (Ref only)'!T815)</f>
        <v/>
      </c>
      <c r="AD804" s="298" t="str">
        <f>IF(C804="", "", 'Lighting Inventory (Ref only)'!AA815)</f>
        <v/>
      </c>
      <c r="AE804" s="298" t="str">
        <f>IF(B804="", "", 'Lighting Inventory (Ref only)'!U815)</f>
        <v/>
      </c>
      <c r="AF804" s="298" t="str">
        <f>IF(B804="", "",'Lighting Inventory (Ref only)'!W815)</f>
        <v/>
      </c>
      <c r="AH804" s="298" t="str">
        <f>IF(B804="", "",'Lighting Inventory (Ref only)'!Z815)</f>
        <v/>
      </c>
      <c r="AI804" s="298" t="str">
        <f>IF(B804="", "", 'Lighting Inventory (Ref only)'!Y815)</f>
        <v/>
      </c>
      <c r="AJ804" s="298" t="str">
        <f>IF(C804="", "",'Lighting Inventory (Ref only)'!AB815)</f>
        <v/>
      </c>
      <c r="AK804" s="375" t="str">
        <f>IF(B804="", "", 'Lighting Inventory (Ref only)'!AG815)</f>
        <v/>
      </c>
      <c r="AL804" s="375" t="str">
        <f>IF(B804="", "", 'Lighting Inventory (Ref only)'!AD815)</f>
        <v/>
      </c>
      <c r="AM804" s="375" t="str">
        <f>IF(B804="", "", 'Lighting Inventory (Ref only)'!AE815)</f>
        <v/>
      </c>
      <c r="AN804" s="375" t="str">
        <f>IF(B804="", "", 'Lighting Inventory (Ref only)'!AF815)</f>
        <v/>
      </c>
      <c r="AO804" s="375" t="str">
        <f>IF(B804="", "", 'Lighting Inventory (Ref only)'!AG815)</f>
        <v/>
      </c>
    </row>
    <row r="805" spans="1:41">
      <c r="A805" s="298" t="str">
        <f>IF(G805="", "", Lookups!BF807)</f>
        <v/>
      </c>
      <c r="B805" s="298" t="str">
        <f>IF('Lighting Inventory (Ref only)'!Q816="", "", 'Lighting Inventory (Ref only)'!Q816)</f>
        <v/>
      </c>
      <c r="C805" s="298" t="str">
        <f>IF(A805="", "", 'Lighting Inventory (Ref only)'!AO816)</f>
        <v/>
      </c>
      <c r="D805" s="298" t="str">
        <f>IF(B805= "","", Inventory!S813)</f>
        <v/>
      </c>
      <c r="F805" s="298" t="str">
        <f>IF(B805="", "", 'Version Log'!$B$34)</f>
        <v/>
      </c>
      <c r="G805" s="298" t="str">
        <f t="shared" si="48"/>
        <v/>
      </c>
      <c r="H805" s="298" t="str">
        <f t="shared" si="49"/>
        <v/>
      </c>
      <c r="I805" s="298" t="str">
        <f>IF(B805="", "",Inventory!D813)</f>
        <v/>
      </c>
      <c r="J805" s="298" t="str">
        <f>IF(B805="","",IF(Inventory!C813="N","Interior","Exterior"))</f>
        <v/>
      </c>
      <c r="K805" s="298" t="str">
        <f t="shared" si="50"/>
        <v/>
      </c>
      <c r="L805" s="298" t="str">
        <f>IF(B805="", "", Inventory!E813)</f>
        <v/>
      </c>
      <c r="M805" s="298" t="str">
        <f>IF(B805="","",IF(Cool_Type=Lookups!$L$9,Cool_Type,IF(Cool_Type=Lookups!$L$10,Cool_Type,IF(Cool_Type=Lookups!$L$11,Cool_Type,IF(Cool_Type=Lookups!L815,Cool_Type,IF('Project Info and Summary'!$C$20="Electric",CONCATENATE(Cool_Type," ",Heating_Type," Heat"),IF('Project Info and Summary'!$C$20="Non-Electric",CONCATENATE(Cool_Type," ",Heating_Type," Heat"),CONCATENATE(Cool_Type," ",Heating_Type))))))))</f>
        <v/>
      </c>
      <c r="N805" s="298" t="str">
        <f t="shared" si="51"/>
        <v/>
      </c>
      <c r="O805" s="298" t="str">
        <f>IF(B805="", "", 'Lighting Inventory (Ref only)'!G816)</f>
        <v/>
      </c>
      <c r="P805" s="298" t="str">
        <f>IF(B805="", "", 'Lighting Inventory (Ref only)'!E816)</f>
        <v/>
      </c>
      <c r="Q805" s="298" t="str">
        <f>IF(B805="", "", 'Lighting Inventory (Ref only)'!J816)</f>
        <v/>
      </c>
      <c r="R805" s="298" t="str">
        <f>IF(B805="", "",'Lighting Inventory (Ref only)'!K816)</f>
        <v/>
      </c>
      <c r="S805" s="372" t="str">
        <f>IF(B805="", "", 'Lighting Inventory (Ref only)'!G816*'Lighting Inventory (Ref only)'!K816/1000)</f>
        <v/>
      </c>
      <c r="T805" s="298" t="str">
        <f>IF(B805="", "", IF('Lighting Inventory (Ref only)'!I816="", "Light Switch",Inventory!H813))</f>
        <v/>
      </c>
      <c r="X805" s="298" t="str">
        <f>IF(B805="", "", 'Lighting Inventory (Ref only)'!Q816)</f>
        <v/>
      </c>
      <c r="AA805" s="298" t="str">
        <f>IF(B805="", "",'Lighting Inventory (Ref only)'!R816/1000)</f>
        <v/>
      </c>
      <c r="AB805" s="298" t="str">
        <f>IF(B805="", "", Inventory!M813)</f>
        <v/>
      </c>
      <c r="AC805" s="298" t="str">
        <f>IF(B805="", "", 'Lighting Inventory (Ref only)'!T816)</f>
        <v/>
      </c>
      <c r="AD805" s="298" t="str">
        <f>IF(C805="", "", 'Lighting Inventory (Ref only)'!AA816)</f>
        <v/>
      </c>
      <c r="AE805" s="298" t="str">
        <f>IF(B805="", "", 'Lighting Inventory (Ref only)'!U816)</f>
        <v/>
      </c>
      <c r="AF805" s="298" t="str">
        <f>IF(B805="", "",'Lighting Inventory (Ref only)'!W816)</f>
        <v/>
      </c>
      <c r="AH805" s="298" t="str">
        <f>IF(B805="", "",'Lighting Inventory (Ref only)'!Z816)</f>
        <v/>
      </c>
      <c r="AI805" s="298" t="str">
        <f>IF(B805="", "", 'Lighting Inventory (Ref only)'!Y816)</f>
        <v/>
      </c>
      <c r="AJ805" s="298" t="str">
        <f>IF(C805="", "",'Lighting Inventory (Ref only)'!AB816)</f>
        <v/>
      </c>
      <c r="AK805" s="375" t="str">
        <f>IF(B805="", "", 'Lighting Inventory (Ref only)'!AG816)</f>
        <v/>
      </c>
      <c r="AL805" s="375" t="str">
        <f>IF(B805="", "", 'Lighting Inventory (Ref only)'!AD816)</f>
        <v/>
      </c>
      <c r="AM805" s="375" t="str">
        <f>IF(B805="", "", 'Lighting Inventory (Ref only)'!AE816)</f>
        <v/>
      </c>
      <c r="AN805" s="375" t="str">
        <f>IF(B805="", "", 'Lighting Inventory (Ref only)'!AF816)</f>
        <v/>
      </c>
      <c r="AO805" s="375" t="str">
        <f>IF(B805="", "", 'Lighting Inventory (Ref only)'!AG816)</f>
        <v/>
      </c>
    </row>
    <row r="806" spans="1:41">
      <c r="A806" s="298" t="str">
        <f>IF(G806="", "", Lookups!BF808)</f>
        <v/>
      </c>
      <c r="B806" s="298" t="str">
        <f>IF('Lighting Inventory (Ref only)'!Q817="", "", 'Lighting Inventory (Ref only)'!Q817)</f>
        <v/>
      </c>
      <c r="C806" s="298" t="str">
        <f>IF(A806="", "", 'Lighting Inventory (Ref only)'!AO817)</f>
        <v/>
      </c>
      <c r="D806" s="298" t="str">
        <f>IF(B806= "","", Inventory!S814)</f>
        <v/>
      </c>
      <c r="F806" s="298" t="str">
        <f>IF(B806="", "", 'Version Log'!$B$34)</f>
        <v/>
      </c>
      <c r="G806" s="298" t="str">
        <f t="shared" si="48"/>
        <v/>
      </c>
      <c r="H806" s="298" t="str">
        <f t="shared" si="49"/>
        <v/>
      </c>
      <c r="I806" s="298" t="str">
        <f>IF(B806="", "",Inventory!D814)</f>
        <v/>
      </c>
      <c r="J806" s="298" t="str">
        <f>IF(B806="","",IF(Inventory!C814="N","Interior","Exterior"))</f>
        <v/>
      </c>
      <c r="K806" s="298" t="str">
        <f t="shared" si="50"/>
        <v/>
      </c>
      <c r="L806" s="298" t="str">
        <f>IF(B806="", "", Inventory!E814)</f>
        <v/>
      </c>
      <c r="M806" s="298" t="str">
        <f>IF(B806="","",IF(Cool_Type=Lookups!$L$9,Cool_Type,IF(Cool_Type=Lookups!$L$10,Cool_Type,IF(Cool_Type=Lookups!$L$11,Cool_Type,IF(Cool_Type=Lookups!L816,Cool_Type,IF('Project Info and Summary'!$C$20="Electric",CONCATENATE(Cool_Type," ",Heating_Type," Heat"),IF('Project Info and Summary'!$C$20="Non-Electric",CONCATENATE(Cool_Type," ",Heating_Type," Heat"),CONCATENATE(Cool_Type," ",Heating_Type))))))))</f>
        <v/>
      </c>
      <c r="N806" s="298" t="str">
        <f t="shared" si="51"/>
        <v/>
      </c>
      <c r="O806" s="298" t="str">
        <f>IF(B806="", "", 'Lighting Inventory (Ref only)'!G817)</f>
        <v/>
      </c>
      <c r="P806" s="298" t="str">
        <f>IF(B806="", "", 'Lighting Inventory (Ref only)'!E817)</f>
        <v/>
      </c>
      <c r="Q806" s="298" t="str">
        <f>IF(B806="", "", 'Lighting Inventory (Ref only)'!J817)</f>
        <v/>
      </c>
      <c r="R806" s="298" t="str">
        <f>IF(B806="", "",'Lighting Inventory (Ref only)'!K817)</f>
        <v/>
      </c>
      <c r="S806" s="372" t="str">
        <f>IF(B806="", "", 'Lighting Inventory (Ref only)'!G817*'Lighting Inventory (Ref only)'!K817/1000)</f>
        <v/>
      </c>
      <c r="T806" s="298" t="str">
        <f>IF(B806="", "", IF('Lighting Inventory (Ref only)'!I817="", "Light Switch",Inventory!H814))</f>
        <v/>
      </c>
      <c r="X806" s="298" t="str">
        <f>IF(B806="", "", 'Lighting Inventory (Ref only)'!Q817)</f>
        <v/>
      </c>
      <c r="AA806" s="298" t="str">
        <f>IF(B806="", "",'Lighting Inventory (Ref only)'!R817/1000)</f>
        <v/>
      </c>
      <c r="AB806" s="298" t="str">
        <f>IF(B806="", "", Inventory!M814)</f>
        <v/>
      </c>
      <c r="AC806" s="298" t="str">
        <f>IF(B806="", "", 'Lighting Inventory (Ref only)'!T817)</f>
        <v/>
      </c>
      <c r="AD806" s="298" t="str">
        <f>IF(C806="", "", 'Lighting Inventory (Ref only)'!AA817)</f>
        <v/>
      </c>
      <c r="AE806" s="298" t="str">
        <f>IF(B806="", "", 'Lighting Inventory (Ref only)'!U817)</f>
        <v/>
      </c>
      <c r="AF806" s="298" t="str">
        <f>IF(B806="", "",'Lighting Inventory (Ref only)'!W817)</f>
        <v/>
      </c>
      <c r="AH806" s="298" t="str">
        <f>IF(B806="", "",'Lighting Inventory (Ref only)'!Z817)</f>
        <v/>
      </c>
      <c r="AI806" s="298" t="str">
        <f>IF(B806="", "", 'Lighting Inventory (Ref only)'!Y817)</f>
        <v/>
      </c>
      <c r="AJ806" s="298" t="str">
        <f>IF(C806="", "",'Lighting Inventory (Ref only)'!AB817)</f>
        <v/>
      </c>
      <c r="AK806" s="375" t="str">
        <f>IF(B806="", "", 'Lighting Inventory (Ref only)'!AG817)</f>
        <v/>
      </c>
      <c r="AL806" s="375" t="str">
        <f>IF(B806="", "", 'Lighting Inventory (Ref only)'!AD817)</f>
        <v/>
      </c>
      <c r="AM806" s="375" t="str">
        <f>IF(B806="", "", 'Lighting Inventory (Ref only)'!AE817)</f>
        <v/>
      </c>
      <c r="AN806" s="375" t="str">
        <f>IF(B806="", "", 'Lighting Inventory (Ref only)'!AF817)</f>
        <v/>
      </c>
      <c r="AO806" s="375" t="str">
        <f>IF(B806="", "", 'Lighting Inventory (Ref only)'!AG817)</f>
        <v/>
      </c>
    </row>
    <row r="807" spans="1:41">
      <c r="A807" s="298" t="str">
        <f>IF(G807="", "", Lookups!BF809)</f>
        <v/>
      </c>
      <c r="B807" s="298" t="str">
        <f>IF('Lighting Inventory (Ref only)'!Q818="", "", 'Lighting Inventory (Ref only)'!Q818)</f>
        <v/>
      </c>
      <c r="C807" s="298" t="str">
        <f>IF(A807="", "", 'Lighting Inventory (Ref only)'!AO818)</f>
        <v/>
      </c>
      <c r="D807" s="298" t="str">
        <f>IF(B807= "","", Inventory!S815)</f>
        <v/>
      </c>
      <c r="F807" s="298" t="str">
        <f>IF(B807="", "", 'Version Log'!$B$34)</f>
        <v/>
      </c>
      <c r="G807" s="298" t="str">
        <f t="shared" si="48"/>
        <v/>
      </c>
      <c r="H807" s="298" t="str">
        <f t="shared" si="49"/>
        <v/>
      </c>
      <c r="I807" s="298" t="str">
        <f>IF(B807="", "",Inventory!D815)</f>
        <v/>
      </c>
      <c r="J807" s="298" t="str">
        <f>IF(B807="","",IF(Inventory!C815="N","Interior","Exterior"))</f>
        <v/>
      </c>
      <c r="K807" s="298" t="str">
        <f t="shared" si="50"/>
        <v/>
      </c>
      <c r="L807" s="298" t="str">
        <f>IF(B807="", "", Inventory!E815)</f>
        <v/>
      </c>
      <c r="M807" s="298" t="str">
        <f>IF(B807="","",IF(Cool_Type=Lookups!$L$9,Cool_Type,IF(Cool_Type=Lookups!$L$10,Cool_Type,IF(Cool_Type=Lookups!$L$11,Cool_Type,IF(Cool_Type=Lookups!L817,Cool_Type,IF('Project Info and Summary'!$C$20="Electric",CONCATENATE(Cool_Type," ",Heating_Type," Heat"),IF('Project Info and Summary'!$C$20="Non-Electric",CONCATENATE(Cool_Type," ",Heating_Type," Heat"),CONCATENATE(Cool_Type," ",Heating_Type))))))))</f>
        <v/>
      </c>
      <c r="N807" s="298" t="str">
        <f t="shared" si="51"/>
        <v/>
      </c>
      <c r="O807" s="298" t="str">
        <f>IF(B807="", "", 'Lighting Inventory (Ref only)'!G818)</f>
        <v/>
      </c>
      <c r="P807" s="298" t="str">
        <f>IF(B807="", "", 'Lighting Inventory (Ref only)'!E818)</f>
        <v/>
      </c>
      <c r="Q807" s="298" t="str">
        <f>IF(B807="", "", 'Lighting Inventory (Ref only)'!J818)</f>
        <v/>
      </c>
      <c r="R807" s="298" t="str">
        <f>IF(B807="", "",'Lighting Inventory (Ref only)'!K818)</f>
        <v/>
      </c>
      <c r="S807" s="372" t="str">
        <f>IF(B807="", "", 'Lighting Inventory (Ref only)'!G818*'Lighting Inventory (Ref only)'!K818/1000)</f>
        <v/>
      </c>
      <c r="T807" s="298" t="str">
        <f>IF(B807="", "", IF('Lighting Inventory (Ref only)'!I818="", "Light Switch",Inventory!H815))</f>
        <v/>
      </c>
      <c r="X807" s="298" t="str">
        <f>IF(B807="", "", 'Lighting Inventory (Ref only)'!Q818)</f>
        <v/>
      </c>
      <c r="AA807" s="298" t="str">
        <f>IF(B807="", "",'Lighting Inventory (Ref only)'!R818/1000)</f>
        <v/>
      </c>
      <c r="AB807" s="298" t="str">
        <f>IF(B807="", "", Inventory!M815)</f>
        <v/>
      </c>
      <c r="AC807" s="298" t="str">
        <f>IF(B807="", "", 'Lighting Inventory (Ref only)'!T818)</f>
        <v/>
      </c>
      <c r="AD807" s="298" t="str">
        <f>IF(C807="", "", 'Lighting Inventory (Ref only)'!AA818)</f>
        <v/>
      </c>
      <c r="AE807" s="298" t="str">
        <f>IF(B807="", "", 'Lighting Inventory (Ref only)'!U818)</f>
        <v/>
      </c>
      <c r="AF807" s="298" t="str">
        <f>IF(B807="", "",'Lighting Inventory (Ref only)'!W818)</f>
        <v/>
      </c>
      <c r="AH807" s="298" t="str">
        <f>IF(B807="", "",'Lighting Inventory (Ref only)'!Z818)</f>
        <v/>
      </c>
      <c r="AI807" s="298" t="str">
        <f>IF(B807="", "", 'Lighting Inventory (Ref only)'!Y818)</f>
        <v/>
      </c>
      <c r="AJ807" s="298" t="str">
        <f>IF(C807="", "",'Lighting Inventory (Ref only)'!AB818)</f>
        <v/>
      </c>
      <c r="AK807" s="375" t="str">
        <f>IF(B807="", "", 'Lighting Inventory (Ref only)'!AG818)</f>
        <v/>
      </c>
      <c r="AL807" s="375" t="str">
        <f>IF(B807="", "", 'Lighting Inventory (Ref only)'!AD818)</f>
        <v/>
      </c>
      <c r="AM807" s="375" t="str">
        <f>IF(B807="", "", 'Lighting Inventory (Ref only)'!AE818)</f>
        <v/>
      </c>
      <c r="AN807" s="375" t="str">
        <f>IF(B807="", "", 'Lighting Inventory (Ref only)'!AF818)</f>
        <v/>
      </c>
      <c r="AO807" s="375" t="str">
        <f>IF(B807="", "", 'Lighting Inventory (Ref only)'!AG818)</f>
        <v/>
      </c>
    </row>
    <row r="808" spans="1:41">
      <c r="A808" s="298" t="str">
        <f>IF(G808="", "", Lookups!BF810)</f>
        <v/>
      </c>
      <c r="B808" s="298" t="str">
        <f>IF('Lighting Inventory (Ref only)'!Q819="", "", 'Lighting Inventory (Ref only)'!Q819)</f>
        <v/>
      </c>
      <c r="C808" s="298" t="str">
        <f>IF(A808="", "", 'Lighting Inventory (Ref only)'!AO819)</f>
        <v/>
      </c>
      <c r="D808" s="298" t="str">
        <f>IF(B808= "","", Inventory!S816)</f>
        <v/>
      </c>
      <c r="F808" s="298" t="str">
        <f>IF(B808="", "", 'Version Log'!$B$34)</f>
        <v/>
      </c>
      <c r="G808" s="298" t="str">
        <f t="shared" si="48"/>
        <v/>
      </c>
      <c r="H808" s="298" t="str">
        <f t="shared" si="49"/>
        <v/>
      </c>
      <c r="I808" s="298" t="str">
        <f>IF(B808="", "",Inventory!D816)</f>
        <v/>
      </c>
      <c r="J808" s="298" t="str">
        <f>IF(B808="","",IF(Inventory!C816="N","Interior","Exterior"))</f>
        <v/>
      </c>
      <c r="K808" s="298" t="str">
        <f t="shared" si="50"/>
        <v/>
      </c>
      <c r="L808" s="298" t="str">
        <f>IF(B808="", "", Inventory!E816)</f>
        <v/>
      </c>
      <c r="M808" s="298" t="str">
        <f>IF(B808="","",IF(Cool_Type=Lookups!$L$9,Cool_Type,IF(Cool_Type=Lookups!$L$10,Cool_Type,IF(Cool_Type=Lookups!$L$11,Cool_Type,IF(Cool_Type=Lookups!L818,Cool_Type,IF('Project Info and Summary'!$C$20="Electric",CONCATENATE(Cool_Type," ",Heating_Type," Heat"),IF('Project Info and Summary'!$C$20="Non-Electric",CONCATENATE(Cool_Type," ",Heating_Type," Heat"),CONCATENATE(Cool_Type," ",Heating_Type))))))))</f>
        <v/>
      </c>
      <c r="N808" s="298" t="str">
        <f t="shared" si="51"/>
        <v/>
      </c>
      <c r="O808" s="298" t="str">
        <f>IF(B808="", "", 'Lighting Inventory (Ref only)'!G819)</f>
        <v/>
      </c>
      <c r="P808" s="298" t="str">
        <f>IF(B808="", "", 'Lighting Inventory (Ref only)'!E819)</f>
        <v/>
      </c>
      <c r="Q808" s="298" t="str">
        <f>IF(B808="", "", 'Lighting Inventory (Ref only)'!J819)</f>
        <v/>
      </c>
      <c r="R808" s="298" t="str">
        <f>IF(B808="", "",'Lighting Inventory (Ref only)'!K819)</f>
        <v/>
      </c>
      <c r="S808" s="372" t="str">
        <f>IF(B808="", "", 'Lighting Inventory (Ref only)'!G819*'Lighting Inventory (Ref only)'!K819/1000)</f>
        <v/>
      </c>
      <c r="T808" s="298" t="str">
        <f>IF(B808="", "", IF('Lighting Inventory (Ref only)'!I819="", "Light Switch",Inventory!H816))</f>
        <v/>
      </c>
      <c r="X808" s="298" t="str">
        <f>IF(B808="", "", 'Lighting Inventory (Ref only)'!Q819)</f>
        <v/>
      </c>
      <c r="AA808" s="298" t="str">
        <f>IF(B808="", "",'Lighting Inventory (Ref only)'!R819/1000)</f>
        <v/>
      </c>
      <c r="AB808" s="298" t="str">
        <f>IF(B808="", "", Inventory!M816)</f>
        <v/>
      </c>
      <c r="AC808" s="298" t="str">
        <f>IF(B808="", "", 'Lighting Inventory (Ref only)'!T819)</f>
        <v/>
      </c>
      <c r="AD808" s="298" t="str">
        <f>IF(C808="", "", 'Lighting Inventory (Ref only)'!AA819)</f>
        <v/>
      </c>
      <c r="AE808" s="298" t="str">
        <f>IF(B808="", "", 'Lighting Inventory (Ref only)'!U819)</f>
        <v/>
      </c>
      <c r="AF808" s="298" t="str">
        <f>IF(B808="", "",'Lighting Inventory (Ref only)'!W819)</f>
        <v/>
      </c>
      <c r="AH808" s="298" t="str">
        <f>IF(B808="", "",'Lighting Inventory (Ref only)'!Z819)</f>
        <v/>
      </c>
      <c r="AI808" s="298" t="str">
        <f>IF(B808="", "", 'Lighting Inventory (Ref only)'!Y819)</f>
        <v/>
      </c>
      <c r="AJ808" s="298" t="str">
        <f>IF(C808="", "",'Lighting Inventory (Ref only)'!AB819)</f>
        <v/>
      </c>
      <c r="AK808" s="375" t="str">
        <f>IF(B808="", "", 'Lighting Inventory (Ref only)'!AG819)</f>
        <v/>
      </c>
      <c r="AL808" s="375" t="str">
        <f>IF(B808="", "", 'Lighting Inventory (Ref only)'!AD819)</f>
        <v/>
      </c>
      <c r="AM808" s="375" t="str">
        <f>IF(B808="", "", 'Lighting Inventory (Ref only)'!AE819)</f>
        <v/>
      </c>
      <c r="AN808" s="375" t="str">
        <f>IF(B808="", "", 'Lighting Inventory (Ref only)'!AF819)</f>
        <v/>
      </c>
      <c r="AO808" s="375" t="str">
        <f>IF(B808="", "", 'Lighting Inventory (Ref only)'!AG819)</f>
        <v/>
      </c>
    </row>
    <row r="809" spans="1:41">
      <c r="A809" s="298" t="str">
        <f>IF(G809="", "", Lookups!BF811)</f>
        <v/>
      </c>
      <c r="B809" s="298" t="str">
        <f>IF('Lighting Inventory (Ref only)'!Q820="", "", 'Lighting Inventory (Ref only)'!Q820)</f>
        <v/>
      </c>
      <c r="C809" s="298" t="str">
        <f>IF(A809="", "", 'Lighting Inventory (Ref only)'!AO820)</f>
        <v/>
      </c>
      <c r="D809" s="298" t="str">
        <f>IF(B809= "","", Inventory!S817)</f>
        <v/>
      </c>
      <c r="F809" s="298" t="str">
        <f>IF(B809="", "", 'Version Log'!$B$34)</f>
        <v/>
      </c>
      <c r="G809" s="298" t="str">
        <f t="shared" si="48"/>
        <v/>
      </c>
      <c r="H809" s="298" t="str">
        <f t="shared" si="49"/>
        <v/>
      </c>
      <c r="I809" s="298" t="str">
        <f>IF(B809="", "",Inventory!D817)</f>
        <v/>
      </c>
      <c r="J809" s="298" t="str">
        <f>IF(B809="","",IF(Inventory!C817="N","Interior","Exterior"))</f>
        <v/>
      </c>
      <c r="K809" s="298" t="str">
        <f t="shared" si="50"/>
        <v/>
      </c>
      <c r="L809" s="298" t="str">
        <f>IF(B809="", "", Inventory!E817)</f>
        <v/>
      </c>
      <c r="M809" s="298" t="str">
        <f>IF(B809="","",IF(Cool_Type=Lookups!$L$9,Cool_Type,IF(Cool_Type=Lookups!$L$10,Cool_Type,IF(Cool_Type=Lookups!$L$11,Cool_Type,IF(Cool_Type=Lookups!L819,Cool_Type,IF('Project Info and Summary'!$C$20="Electric",CONCATENATE(Cool_Type," ",Heating_Type," Heat"),IF('Project Info and Summary'!$C$20="Non-Electric",CONCATENATE(Cool_Type," ",Heating_Type," Heat"),CONCATENATE(Cool_Type," ",Heating_Type))))))))</f>
        <v/>
      </c>
      <c r="N809" s="298" t="str">
        <f t="shared" si="51"/>
        <v/>
      </c>
      <c r="O809" s="298" t="str">
        <f>IF(B809="", "", 'Lighting Inventory (Ref only)'!G820)</f>
        <v/>
      </c>
      <c r="P809" s="298" t="str">
        <f>IF(B809="", "", 'Lighting Inventory (Ref only)'!E820)</f>
        <v/>
      </c>
      <c r="Q809" s="298" t="str">
        <f>IF(B809="", "", 'Lighting Inventory (Ref only)'!J820)</f>
        <v/>
      </c>
      <c r="R809" s="298" t="str">
        <f>IF(B809="", "",'Lighting Inventory (Ref only)'!K820)</f>
        <v/>
      </c>
      <c r="S809" s="372" t="str">
        <f>IF(B809="", "", 'Lighting Inventory (Ref only)'!G820*'Lighting Inventory (Ref only)'!K820/1000)</f>
        <v/>
      </c>
      <c r="T809" s="298" t="str">
        <f>IF(B809="", "", IF('Lighting Inventory (Ref only)'!I820="", "Light Switch",Inventory!H817))</f>
        <v/>
      </c>
      <c r="X809" s="298" t="str">
        <f>IF(B809="", "", 'Lighting Inventory (Ref only)'!Q820)</f>
        <v/>
      </c>
      <c r="AA809" s="298" t="str">
        <f>IF(B809="", "",'Lighting Inventory (Ref only)'!R820/1000)</f>
        <v/>
      </c>
      <c r="AB809" s="298" t="str">
        <f>IF(B809="", "", Inventory!M817)</f>
        <v/>
      </c>
      <c r="AC809" s="298" t="str">
        <f>IF(B809="", "", 'Lighting Inventory (Ref only)'!T820)</f>
        <v/>
      </c>
      <c r="AD809" s="298" t="str">
        <f>IF(C809="", "", 'Lighting Inventory (Ref only)'!AA820)</f>
        <v/>
      </c>
      <c r="AE809" s="298" t="str">
        <f>IF(B809="", "", 'Lighting Inventory (Ref only)'!U820)</f>
        <v/>
      </c>
      <c r="AF809" s="298" t="str">
        <f>IF(B809="", "",'Lighting Inventory (Ref only)'!W820)</f>
        <v/>
      </c>
      <c r="AH809" s="298" t="str">
        <f>IF(B809="", "",'Lighting Inventory (Ref only)'!Z820)</f>
        <v/>
      </c>
      <c r="AI809" s="298" t="str">
        <f>IF(B809="", "", 'Lighting Inventory (Ref only)'!Y820)</f>
        <v/>
      </c>
      <c r="AJ809" s="298" t="str">
        <f>IF(C809="", "",'Lighting Inventory (Ref only)'!AB820)</f>
        <v/>
      </c>
      <c r="AK809" s="375" t="str">
        <f>IF(B809="", "", 'Lighting Inventory (Ref only)'!AG820)</f>
        <v/>
      </c>
      <c r="AL809" s="375" t="str">
        <f>IF(B809="", "", 'Lighting Inventory (Ref only)'!AD820)</f>
        <v/>
      </c>
      <c r="AM809" s="375" t="str">
        <f>IF(B809="", "", 'Lighting Inventory (Ref only)'!AE820)</f>
        <v/>
      </c>
      <c r="AN809" s="375" t="str">
        <f>IF(B809="", "", 'Lighting Inventory (Ref only)'!AF820)</f>
        <v/>
      </c>
      <c r="AO809" s="375" t="str">
        <f>IF(B809="", "", 'Lighting Inventory (Ref only)'!AG820)</f>
        <v/>
      </c>
    </row>
    <row r="810" spans="1:41">
      <c r="A810" s="298" t="str">
        <f>IF(G810="", "", Lookups!BF812)</f>
        <v/>
      </c>
      <c r="B810" s="298" t="str">
        <f>IF('Lighting Inventory (Ref only)'!Q821="", "", 'Lighting Inventory (Ref only)'!Q821)</f>
        <v/>
      </c>
      <c r="C810" s="298" t="str">
        <f>IF(A810="", "", 'Lighting Inventory (Ref only)'!AO821)</f>
        <v/>
      </c>
      <c r="D810" s="298" t="str">
        <f>IF(B810= "","", Inventory!S818)</f>
        <v/>
      </c>
      <c r="F810" s="298" t="str">
        <f>IF(B810="", "", 'Version Log'!$B$34)</f>
        <v/>
      </c>
      <c r="G810" s="298" t="str">
        <f t="shared" si="48"/>
        <v/>
      </c>
      <c r="H810" s="298" t="str">
        <f t="shared" si="49"/>
        <v/>
      </c>
      <c r="I810" s="298" t="str">
        <f>IF(B810="", "",Inventory!D818)</f>
        <v/>
      </c>
      <c r="J810" s="298" t="str">
        <f>IF(B810="","",IF(Inventory!C818="N","Interior","Exterior"))</f>
        <v/>
      </c>
      <c r="K810" s="298" t="str">
        <f t="shared" si="50"/>
        <v/>
      </c>
      <c r="L810" s="298" t="str">
        <f>IF(B810="", "", Inventory!E818)</f>
        <v/>
      </c>
      <c r="M810" s="298" t="str">
        <f>IF(B810="","",IF(Cool_Type=Lookups!$L$9,Cool_Type,IF(Cool_Type=Lookups!$L$10,Cool_Type,IF(Cool_Type=Lookups!$L$11,Cool_Type,IF(Cool_Type=Lookups!L820,Cool_Type,IF('Project Info and Summary'!$C$20="Electric",CONCATENATE(Cool_Type," ",Heating_Type," Heat"),IF('Project Info and Summary'!$C$20="Non-Electric",CONCATENATE(Cool_Type," ",Heating_Type," Heat"),CONCATENATE(Cool_Type," ",Heating_Type))))))))</f>
        <v/>
      </c>
      <c r="N810" s="298" t="str">
        <f t="shared" si="51"/>
        <v/>
      </c>
      <c r="O810" s="298" t="str">
        <f>IF(B810="", "", 'Lighting Inventory (Ref only)'!G821)</f>
        <v/>
      </c>
      <c r="P810" s="298" t="str">
        <f>IF(B810="", "", 'Lighting Inventory (Ref only)'!E821)</f>
        <v/>
      </c>
      <c r="Q810" s="298" t="str">
        <f>IF(B810="", "", 'Lighting Inventory (Ref only)'!J821)</f>
        <v/>
      </c>
      <c r="R810" s="298" t="str">
        <f>IF(B810="", "",'Lighting Inventory (Ref only)'!K821)</f>
        <v/>
      </c>
      <c r="S810" s="372" t="str">
        <f>IF(B810="", "", 'Lighting Inventory (Ref only)'!G821*'Lighting Inventory (Ref only)'!K821/1000)</f>
        <v/>
      </c>
      <c r="T810" s="298" t="str">
        <f>IF(B810="", "", IF('Lighting Inventory (Ref only)'!I821="", "Light Switch",Inventory!H818))</f>
        <v/>
      </c>
      <c r="X810" s="298" t="str">
        <f>IF(B810="", "", 'Lighting Inventory (Ref only)'!Q821)</f>
        <v/>
      </c>
      <c r="AA810" s="298" t="str">
        <f>IF(B810="", "",'Lighting Inventory (Ref only)'!R821/1000)</f>
        <v/>
      </c>
      <c r="AB810" s="298" t="str">
        <f>IF(B810="", "", Inventory!M818)</f>
        <v/>
      </c>
      <c r="AC810" s="298" t="str">
        <f>IF(B810="", "", 'Lighting Inventory (Ref only)'!T821)</f>
        <v/>
      </c>
      <c r="AD810" s="298" t="str">
        <f>IF(C810="", "", 'Lighting Inventory (Ref only)'!AA821)</f>
        <v/>
      </c>
      <c r="AE810" s="298" t="str">
        <f>IF(B810="", "", 'Lighting Inventory (Ref only)'!U821)</f>
        <v/>
      </c>
      <c r="AF810" s="298" t="str">
        <f>IF(B810="", "",'Lighting Inventory (Ref only)'!W821)</f>
        <v/>
      </c>
      <c r="AH810" s="298" t="str">
        <f>IF(B810="", "",'Lighting Inventory (Ref only)'!Z821)</f>
        <v/>
      </c>
      <c r="AI810" s="298" t="str">
        <f>IF(B810="", "", 'Lighting Inventory (Ref only)'!Y821)</f>
        <v/>
      </c>
      <c r="AJ810" s="298" t="str">
        <f>IF(C810="", "",'Lighting Inventory (Ref only)'!AB821)</f>
        <v/>
      </c>
      <c r="AK810" s="375" t="str">
        <f>IF(B810="", "", 'Lighting Inventory (Ref only)'!AG821)</f>
        <v/>
      </c>
      <c r="AL810" s="375" t="str">
        <f>IF(B810="", "", 'Lighting Inventory (Ref only)'!AD821)</f>
        <v/>
      </c>
      <c r="AM810" s="375" t="str">
        <f>IF(B810="", "", 'Lighting Inventory (Ref only)'!AE821)</f>
        <v/>
      </c>
      <c r="AN810" s="375" t="str">
        <f>IF(B810="", "", 'Lighting Inventory (Ref only)'!AF821)</f>
        <v/>
      </c>
      <c r="AO810" s="375" t="str">
        <f>IF(B810="", "", 'Lighting Inventory (Ref only)'!AG821)</f>
        <v/>
      </c>
    </row>
    <row r="811" spans="1:41">
      <c r="A811" s="298" t="str">
        <f>IF(G811="", "", Lookups!BF813)</f>
        <v/>
      </c>
      <c r="B811" s="298" t="str">
        <f>IF('Lighting Inventory (Ref only)'!Q822="", "", 'Lighting Inventory (Ref only)'!Q822)</f>
        <v/>
      </c>
      <c r="C811" s="298" t="str">
        <f>IF(A811="", "", 'Lighting Inventory (Ref only)'!AO822)</f>
        <v/>
      </c>
      <c r="D811" s="298" t="str">
        <f>IF(B811= "","", Inventory!S819)</f>
        <v/>
      </c>
      <c r="F811" s="298" t="str">
        <f>IF(B811="", "", 'Version Log'!$B$34)</f>
        <v/>
      </c>
      <c r="G811" s="298" t="str">
        <f t="shared" si="48"/>
        <v/>
      </c>
      <c r="H811" s="298" t="str">
        <f t="shared" si="49"/>
        <v/>
      </c>
      <c r="I811" s="298" t="str">
        <f>IF(B811="", "",Inventory!D819)</f>
        <v/>
      </c>
      <c r="J811" s="298" t="str">
        <f>IF(B811="","",IF(Inventory!C819="N","Interior","Exterior"))</f>
        <v/>
      </c>
      <c r="K811" s="298" t="str">
        <f t="shared" si="50"/>
        <v/>
      </c>
      <c r="L811" s="298" t="str">
        <f>IF(B811="", "", Inventory!E819)</f>
        <v/>
      </c>
      <c r="M811" s="298" t="str">
        <f>IF(B811="","",IF(Cool_Type=Lookups!$L$9,Cool_Type,IF(Cool_Type=Lookups!$L$10,Cool_Type,IF(Cool_Type=Lookups!$L$11,Cool_Type,IF(Cool_Type=Lookups!L821,Cool_Type,IF('Project Info and Summary'!$C$20="Electric",CONCATENATE(Cool_Type," ",Heating_Type," Heat"),IF('Project Info and Summary'!$C$20="Non-Electric",CONCATENATE(Cool_Type," ",Heating_Type," Heat"),CONCATENATE(Cool_Type," ",Heating_Type))))))))</f>
        <v/>
      </c>
      <c r="N811" s="298" t="str">
        <f t="shared" si="51"/>
        <v/>
      </c>
      <c r="O811" s="298" t="str">
        <f>IF(B811="", "", 'Lighting Inventory (Ref only)'!G822)</f>
        <v/>
      </c>
      <c r="P811" s="298" t="str">
        <f>IF(B811="", "", 'Lighting Inventory (Ref only)'!E822)</f>
        <v/>
      </c>
      <c r="Q811" s="298" t="str">
        <f>IF(B811="", "", 'Lighting Inventory (Ref only)'!J822)</f>
        <v/>
      </c>
      <c r="R811" s="298" t="str">
        <f>IF(B811="", "",'Lighting Inventory (Ref only)'!K822)</f>
        <v/>
      </c>
      <c r="S811" s="372" t="str">
        <f>IF(B811="", "", 'Lighting Inventory (Ref only)'!G822*'Lighting Inventory (Ref only)'!K822/1000)</f>
        <v/>
      </c>
      <c r="T811" s="298" t="str">
        <f>IF(B811="", "", IF('Lighting Inventory (Ref only)'!I822="", "Light Switch",Inventory!H819))</f>
        <v/>
      </c>
      <c r="X811" s="298" t="str">
        <f>IF(B811="", "", 'Lighting Inventory (Ref only)'!Q822)</f>
        <v/>
      </c>
      <c r="AA811" s="298" t="str">
        <f>IF(B811="", "",'Lighting Inventory (Ref only)'!R822/1000)</f>
        <v/>
      </c>
      <c r="AB811" s="298" t="str">
        <f>IF(B811="", "", Inventory!M819)</f>
        <v/>
      </c>
      <c r="AC811" s="298" t="str">
        <f>IF(B811="", "", 'Lighting Inventory (Ref only)'!T822)</f>
        <v/>
      </c>
      <c r="AD811" s="298" t="str">
        <f>IF(C811="", "", 'Lighting Inventory (Ref only)'!AA822)</f>
        <v/>
      </c>
      <c r="AE811" s="298" t="str">
        <f>IF(B811="", "", 'Lighting Inventory (Ref only)'!U822)</f>
        <v/>
      </c>
      <c r="AF811" s="298" t="str">
        <f>IF(B811="", "",'Lighting Inventory (Ref only)'!W822)</f>
        <v/>
      </c>
      <c r="AH811" s="298" t="str">
        <f>IF(B811="", "",'Lighting Inventory (Ref only)'!Z822)</f>
        <v/>
      </c>
      <c r="AI811" s="298" t="str">
        <f>IF(B811="", "", 'Lighting Inventory (Ref only)'!Y822)</f>
        <v/>
      </c>
      <c r="AJ811" s="298" t="str">
        <f>IF(C811="", "",'Lighting Inventory (Ref only)'!AB822)</f>
        <v/>
      </c>
      <c r="AK811" s="375" t="str">
        <f>IF(B811="", "", 'Lighting Inventory (Ref only)'!AG822)</f>
        <v/>
      </c>
      <c r="AL811" s="375" t="str">
        <f>IF(B811="", "", 'Lighting Inventory (Ref only)'!AD822)</f>
        <v/>
      </c>
      <c r="AM811" s="375" t="str">
        <f>IF(B811="", "", 'Lighting Inventory (Ref only)'!AE822)</f>
        <v/>
      </c>
      <c r="AN811" s="375" t="str">
        <f>IF(B811="", "", 'Lighting Inventory (Ref only)'!AF822)</f>
        <v/>
      </c>
      <c r="AO811" s="375" t="str">
        <f>IF(B811="", "", 'Lighting Inventory (Ref only)'!AG822)</f>
        <v/>
      </c>
    </row>
    <row r="812" spans="1:41">
      <c r="A812" s="298" t="str">
        <f>IF(G812="", "", Lookups!BF814)</f>
        <v/>
      </c>
      <c r="B812" s="298" t="str">
        <f>IF('Lighting Inventory (Ref only)'!Q823="", "", 'Lighting Inventory (Ref only)'!Q823)</f>
        <v/>
      </c>
      <c r="C812" s="298" t="str">
        <f>IF(A812="", "", 'Lighting Inventory (Ref only)'!AO823)</f>
        <v/>
      </c>
      <c r="D812" s="298" t="str">
        <f>IF(B812= "","", Inventory!S820)</f>
        <v/>
      </c>
      <c r="F812" s="298" t="str">
        <f>IF(B812="", "", 'Version Log'!$B$34)</f>
        <v/>
      </c>
      <c r="G812" s="298" t="str">
        <f t="shared" si="48"/>
        <v/>
      </c>
      <c r="H812" s="298" t="str">
        <f t="shared" si="49"/>
        <v/>
      </c>
      <c r="I812" s="298" t="str">
        <f>IF(B812="", "",Inventory!D820)</f>
        <v/>
      </c>
      <c r="J812" s="298" t="str">
        <f>IF(B812="","",IF(Inventory!C820="N","Interior","Exterior"))</f>
        <v/>
      </c>
      <c r="K812" s="298" t="str">
        <f t="shared" si="50"/>
        <v/>
      </c>
      <c r="L812" s="298" t="str">
        <f>IF(B812="", "", Inventory!E820)</f>
        <v/>
      </c>
      <c r="M812" s="298" t="str">
        <f>IF(B812="","",IF(Cool_Type=Lookups!$L$9,Cool_Type,IF(Cool_Type=Lookups!$L$10,Cool_Type,IF(Cool_Type=Lookups!$L$11,Cool_Type,IF(Cool_Type=Lookups!L822,Cool_Type,IF('Project Info and Summary'!$C$20="Electric",CONCATENATE(Cool_Type," ",Heating_Type," Heat"),IF('Project Info and Summary'!$C$20="Non-Electric",CONCATENATE(Cool_Type," ",Heating_Type," Heat"),CONCATENATE(Cool_Type," ",Heating_Type))))))))</f>
        <v/>
      </c>
      <c r="N812" s="298" t="str">
        <f t="shared" si="51"/>
        <v/>
      </c>
      <c r="O812" s="298" t="str">
        <f>IF(B812="", "", 'Lighting Inventory (Ref only)'!G823)</f>
        <v/>
      </c>
      <c r="P812" s="298" t="str">
        <f>IF(B812="", "", 'Lighting Inventory (Ref only)'!E823)</f>
        <v/>
      </c>
      <c r="Q812" s="298" t="str">
        <f>IF(B812="", "", 'Lighting Inventory (Ref only)'!J823)</f>
        <v/>
      </c>
      <c r="R812" s="298" t="str">
        <f>IF(B812="", "",'Lighting Inventory (Ref only)'!K823)</f>
        <v/>
      </c>
      <c r="S812" s="372" t="str">
        <f>IF(B812="", "", 'Lighting Inventory (Ref only)'!G823*'Lighting Inventory (Ref only)'!K823/1000)</f>
        <v/>
      </c>
      <c r="T812" s="298" t="str">
        <f>IF(B812="", "", IF('Lighting Inventory (Ref only)'!I823="", "Light Switch",Inventory!H820))</f>
        <v/>
      </c>
      <c r="X812" s="298" t="str">
        <f>IF(B812="", "", 'Lighting Inventory (Ref only)'!Q823)</f>
        <v/>
      </c>
      <c r="AA812" s="298" t="str">
        <f>IF(B812="", "",'Lighting Inventory (Ref only)'!R823/1000)</f>
        <v/>
      </c>
      <c r="AB812" s="298" t="str">
        <f>IF(B812="", "", Inventory!M820)</f>
        <v/>
      </c>
      <c r="AC812" s="298" t="str">
        <f>IF(B812="", "", 'Lighting Inventory (Ref only)'!T823)</f>
        <v/>
      </c>
      <c r="AD812" s="298" t="str">
        <f>IF(C812="", "", 'Lighting Inventory (Ref only)'!AA823)</f>
        <v/>
      </c>
      <c r="AE812" s="298" t="str">
        <f>IF(B812="", "", 'Lighting Inventory (Ref only)'!U823)</f>
        <v/>
      </c>
      <c r="AF812" s="298" t="str">
        <f>IF(B812="", "",'Lighting Inventory (Ref only)'!W823)</f>
        <v/>
      </c>
      <c r="AH812" s="298" t="str">
        <f>IF(B812="", "",'Lighting Inventory (Ref only)'!Z823)</f>
        <v/>
      </c>
      <c r="AI812" s="298" t="str">
        <f>IF(B812="", "", 'Lighting Inventory (Ref only)'!Y823)</f>
        <v/>
      </c>
      <c r="AJ812" s="298" t="str">
        <f>IF(C812="", "",'Lighting Inventory (Ref only)'!AB823)</f>
        <v/>
      </c>
      <c r="AK812" s="375" t="str">
        <f>IF(B812="", "", 'Lighting Inventory (Ref only)'!AG823)</f>
        <v/>
      </c>
      <c r="AL812" s="375" t="str">
        <f>IF(B812="", "", 'Lighting Inventory (Ref only)'!AD823)</f>
        <v/>
      </c>
      <c r="AM812" s="375" t="str">
        <f>IF(B812="", "", 'Lighting Inventory (Ref only)'!AE823)</f>
        <v/>
      </c>
      <c r="AN812" s="375" t="str">
        <f>IF(B812="", "", 'Lighting Inventory (Ref only)'!AF823)</f>
        <v/>
      </c>
      <c r="AO812" s="375" t="str">
        <f>IF(B812="", "", 'Lighting Inventory (Ref only)'!AG823)</f>
        <v/>
      </c>
    </row>
    <row r="813" spans="1:41">
      <c r="A813" s="298" t="str">
        <f>IF(G813="", "", Lookups!BF815)</f>
        <v/>
      </c>
      <c r="B813" s="298" t="str">
        <f>IF('Lighting Inventory (Ref only)'!Q824="", "", 'Lighting Inventory (Ref only)'!Q824)</f>
        <v/>
      </c>
      <c r="C813" s="298" t="str">
        <f>IF(A813="", "", 'Lighting Inventory (Ref only)'!AO824)</f>
        <v/>
      </c>
      <c r="D813" s="298" t="str">
        <f>IF(B813= "","", Inventory!S821)</f>
        <v/>
      </c>
      <c r="F813" s="298" t="str">
        <f>IF(B813="", "", 'Version Log'!$B$34)</f>
        <v/>
      </c>
      <c r="G813" s="298" t="str">
        <f t="shared" si="48"/>
        <v/>
      </c>
      <c r="H813" s="298" t="str">
        <f t="shared" si="49"/>
        <v/>
      </c>
      <c r="I813" s="298" t="str">
        <f>IF(B813="", "",Inventory!D821)</f>
        <v/>
      </c>
      <c r="J813" s="298" t="str">
        <f>IF(B813="","",IF(Inventory!C821="N","Interior","Exterior"))</f>
        <v/>
      </c>
      <c r="K813" s="298" t="str">
        <f t="shared" si="50"/>
        <v/>
      </c>
      <c r="L813" s="298" t="str">
        <f>IF(B813="", "", Inventory!E821)</f>
        <v/>
      </c>
      <c r="M813" s="298" t="str">
        <f>IF(B813="","",IF(Cool_Type=Lookups!$L$9,Cool_Type,IF(Cool_Type=Lookups!$L$10,Cool_Type,IF(Cool_Type=Lookups!$L$11,Cool_Type,IF(Cool_Type=Lookups!L823,Cool_Type,IF('Project Info and Summary'!$C$20="Electric",CONCATENATE(Cool_Type," ",Heating_Type," Heat"),IF('Project Info and Summary'!$C$20="Non-Electric",CONCATENATE(Cool_Type," ",Heating_Type," Heat"),CONCATENATE(Cool_Type," ",Heating_Type))))))))</f>
        <v/>
      </c>
      <c r="N813" s="298" t="str">
        <f t="shared" si="51"/>
        <v/>
      </c>
      <c r="O813" s="298" t="str">
        <f>IF(B813="", "", 'Lighting Inventory (Ref only)'!G824)</f>
        <v/>
      </c>
      <c r="P813" s="298" t="str">
        <f>IF(B813="", "", 'Lighting Inventory (Ref only)'!E824)</f>
        <v/>
      </c>
      <c r="Q813" s="298" t="str">
        <f>IF(B813="", "", 'Lighting Inventory (Ref only)'!J824)</f>
        <v/>
      </c>
      <c r="R813" s="298" t="str">
        <f>IF(B813="", "",'Lighting Inventory (Ref only)'!K824)</f>
        <v/>
      </c>
      <c r="S813" s="372" t="str">
        <f>IF(B813="", "", 'Lighting Inventory (Ref only)'!G824*'Lighting Inventory (Ref only)'!K824/1000)</f>
        <v/>
      </c>
      <c r="T813" s="298" t="str">
        <f>IF(B813="", "", IF('Lighting Inventory (Ref only)'!I824="", "Light Switch",Inventory!H821))</f>
        <v/>
      </c>
      <c r="X813" s="298" t="str">
        <f>IF(B813="", "", 'Lighting Inventory (Ref only)'!Q824)</f>
        <v/>
      </c>
      <c r="AA813" s="298" t="str">
        <f>IF(B813="", "",'Lighting Inventory (Ref only)'!R824/1000)</f>
        <v/>
      </c>
      <c r="AB813" s="298" t="str">
        <f>IF(B813="", "", Inventory!M821)</f>
        <v/>
      </c>
      <c r="AC813" s="298" t="str">
        <f>IF(B813="", "", 'Lighting Inventory (Ref only)'!T824)</f>
        <v/>
      </c>
      <c r="AD813" s="298" t="str">
        <f>IF(C813="", "", 'Lighting Inventory (Ref only)'!AA824)</f>
        <v/>
      </c>
      <c r="AE813" s="298" t="str">
        <f>IF(B813="", "", 'Lighting Inventory (Ref only)'!U824)</f>
        <v/>
      </c>
      <c r="AF813" s="298" t="str">
        <f>IF(B813="", "",'Lighting Inventory (Ref only)'!W824)</f>
        <v/>
      </c>
      <c r="AH813" s="298" t="str">
        <f>IF(B813="", "",'Lighting Inventory (Ref only)'!Z824)</f>
        <v/>
      </c>
      <c r="AI813" s="298" t="str">
        <f>IF(B813="", "", 'Lighting Inventory (Ref only)'!Y824)</f>
        <v/>
      </c>
      <c r="AJ813" s="298" t="str">
        <f>IF(C813="", "",'Lighting Inventory (Ref only)'!AB824)</f>
        <v/>
      </c>
      <c r="AK813" s="375" t="str">
        <f>IF(B813="", "", 'Lighting Inventory (Ref only)'!AG824)</f>
        <v/>
      </c>
      <c r="AL813" s="375" t="str">
        <f>IF(B813="", "", 'Lighting Inventory (Ref only)'!AD824)</f>
        <v/>
      </c>
      <c r="AM813" s="375" t="str">
        <f>IF(B813="", "", 'Lighting Inventory (Ref only)'!AE824)</f>
        <v/>
      </c>
      <c r="AN813" s="375" t="str">
        <f>IF(B813="", "", 'Lighting Inventory (Ref only)'!AF824)</f>
        <v/>
      </c>
      <c r="AO813" s="375" t="str">
        <f>IF(B813="", "", 'Lighting Inventory (Ref only)'!AG824)</f>
        <v/>
      </c>
    </row>
    <row r="814" spans="1:41">
      <c r="A814" s="298" t="str">
        <f>IF(G814="", "", Lookups!BF816)</f>
        <v/>
      </c>
      <c r="B814" s="298" t="str">
        <f>IF('Lighting Inventory (Ref only)'!Q825="", "", 'Lighting Inventory (Ref only)'!Q825)</f>
        <v/>
      </c>
      <c r="C814" s="298" t="str">
        <f>IF(A814="", "", 'Lighting Inventory (Ref only)'!AO825)</f>
        <v/>
      </c>
      <c r="D814" s="298" t="str">
        <f>IF(B814= "","", Inventory!S822)</f>
        <v/>
      </c>
      <c r="F814" s="298" t="str">
        <f>IF(B814="", "", 'Version Log'!$B$34)</f>
        <v/>
      </c>
      <c r="G814" s="298" t="str">
        <f t="shared" si="48"/>
        <v/>
      </c>
      <c r="H814" s="298" t="str">
        <f t="shared" si="49"/>
        <v/>
      </c>
      <c r="I814" s="298" t="str">
        <f>IF(B814="", "",Inventory!D822)</f>
        <v/>
      </c>
      <c r="J814" s="298" t="str">
        <f>IF(B814="","",IF(Inventory!C822="N","Interior","Exterior"))</f>
        <v/>
      </c>
      <c r="K814" s="298" t="str">
        <f t="shared" si="50"/>
        <v/>
      </c>
      <c r="L814" s="298" t="str">
        <f>IF(B814="", "", Inventory!E822)</f>
        <v/>
      </c>
      <c r="M814" s="298" t="str">
        <f>IF(B814="","",IF(Cool_Type=Lookups!$L$9,Cool_Type,IF(Cool_Type=Lookups!$L$10,Cool_Type,IF(Cool_Type=Lookups!$L$11,Cool_Type,IF(Cool_Type=Lookups!L824,Cool_Type,IF('Project Info and Summary'!$C$20="Electric",CONCATENATE(Cool_Type," ",Heating_Type," Heat"),IF('Project Info and Summary'!$C$20="Non-Electric",CONCATENATE(Cool_Type," ",Heating_Type," Heat"),CONCATENATE(Cool_Type," ",Heating_Type))))))))</f>
        <v/>
      </c>
      <c r="N814" s="298" t="str">
        <f t="shared" si="51"/>
        <v/>
      </c>
      <c r="O814" s="298" t="str">
        <f>IF(B814="", "", 'Lighting Inventory (Ref only)'!G825)</f>
        <v/>
      </c>
      <c r="P814" s="298" t="str">
        <f>IF(B814="", "", 'Lighting Inventory (Ref only)'!E825)</f>
        <v/>
      </c>
      <c r="Q814" s="298" t="str">
        <f>IF(B814="", "", 'Lighting Inventory (Ref only)'!J825)</f>
        <v/>
      </c>
      <c r="R814" s="298" t="str">
        <f>IF(B814="", "",'Lighting Inventory (Ref only)'!K825)</f>
        <v/>
      </c>
      <c r="S814" s="372" t="str">
        <f>IF(B814="", "", 'Lighting Inventory (Ref only)'!G825*'Lighting Inventory (Ref only)'!K825/1000)</f>
        <v/>
      </c>
      <c r="T814" s="298" t="str">
        <f>IF(B814="", "", IF('Lighting Inventory (Ref only)'!I825="", "Light Switch",Inventory!H822))</f>
        <v/>
      </c>
      <c r="X814" s="298" t="str">
        <f>IF(B814="", "", 'Lighting Inventory (Ref only)'!Q825)</f>
        <v/>
      </c>
      <c r="AA814" s="298" t="str">
        <f>IF(B814="", "",'Lighting Inventory (Ref only)'!R825/1000)</f>
        <v/>
      </c>
      <c r="AB814" s="298" t="str">
        <f>IF(B814="", "", Inventory!M822)</f>
        <v/>
      </c>
      <c r="AC814" s="298" t="str">
        <f>IF(B814="", "", 'Lighting Inventory (Ref only)'!T825)</f>
        <v/>
      </c>
      <c r="AD814" s="298" t="str">
        <f>IF(C814="", "", 'Lighting Inventory (Ref only)'!AA825)</f>
        <v/>
      </c>
      <c r="AE814" s="298" t="str">
        <f>IF(B814="", "", 'Lighting Inventory (Ref only)'!U825)</f>
        <v/>
      </c>
      <c r="AF814" s="298" t="str">
        <f>IF(B814="", "",'Lighting Inventory (Ref only)'!W825)</f>
        <v/>
      </c>
      <c r="AH814" s="298" t="str">
        <f>IF(B814="", "",'Lighting Inventory (Ref only)'!Z825)</f>
        <v/>
      </c>
      <c r="AI814" s="298" t="str">
        <f>IF(B814="", "", 'Lighting Inventory (Ref only)'!Y825)</f>
        <v/>
      </c>
      <c r="AJ814" s="298" t="str">
        <f>IF(C814="", "",'Lighting Inventory (Ref only)'!AB825)</f>
        <v/>
      </c>
      <c r="AK814" s="375" t="str">
        <f>IF(B814="", "", 'Lighting Inventory (Ref only)'!AG825)</f>
        <v/>
      </c>
      <c r="AL814" s="375" t="str">
        <f>IF(B814="", "", 'Lighting Inventory (Ref only)'!AD825)</f>
        <v/>
      </c>
      <c r="AM814" s="375" t="str">
        <f>IF(B814="", "", 'Lighting Inventory (Ref only)'!AE825)</f>
        <v/>
      </c>
      <c r="AN814" s="375" t="str">
        <f>IF(B814="", "", 'Lighting Inventory (Ref only)'!AF825)</f>
        <v/>
      </c>
      <c r="AO814" s="375" t="str">
        <f>IF(B814="", "", 'Lighting Inventory (Ref only)'!AG825)</f>
        <v/>
      </c>
    </row>
    <row r="815" spans="1:41">
      <c r="A815" s="298" t="str">
        <f>IF(G815="", "", Lookups!BF817)</f>
        <v/>
      </c>
      <c r="B815" s="298" t="str">
        <f>IF('Lighting Inventory (Ref only)'!Q826="", "", 'Lighting Inventory (Ref only)'!Q826)</f>
        <v/>
      </c>
      <c r="C815" s="298" t="str">
        <f>IF(A815="", "", 'Lighting Inventory (Ref only)'!AO826)</f>
        <v/>
      </c>
      <c r="D815" s="298" t="str">
        <f>IF(B815= "","", Inventory!S823)</f>
        <v/>
      </c>
      <c r="F815" s="298" t="str">
        <f>IF(B815="", "", 'Version Log'!$B$34)</f>
        <v/>
      </c>
      <c r="G815" s="298" t="str">
        <f t="shared" si="48"/>
        <v/>
      </c>
      <c r="H815" s="298" t="str">
        <f t="shared" si="49"/>
        <v/>
      </c>
      <c r="I815" s="298" t="str">
        <f>IF(B815="", "",Inventory!D823)</f>
        <v/>
      </c>
      <c r="J815" s="298" t="str">
        <f>IF(B815="","",IF(Inventory!C823="N","Interior","Exterior"))</f>
        <v/>
      </c>
      <c r="K815" s="298" t="str">
        <f t="shared" si="50"/>
        <v/>
      </c>
      <c r="L815" s="298" t="str">
        <f>IF(B815="", "", Inventory!E823)</f>
        <v/>
      </c>
      <c r="M815" s="298" t="str">
        <f>IF(B815="","",IF(Cool_Type=Lookups!$L$9,Cool_Type,IF(Cool_Type=Lookups!$L$10,Cool_Type,IF(Cool_Type=Lookups!$L$11,Cool_Type,IF(Cool_Type=Lookups!L825,Cool_Type,IF('Project Info and Summary'!$C$20="Electric",CONCATENATE(Cool_Type," ",Heating_Type," Heat"),IF('Project Info and Summary'!$C$20="Non-Electric",CONCATENATE(Cool_Type," ",Heating_Type," Heat"),CONCATENATE(Cool_Type," ",Heating_Type))))))))</f>
        <v/>
      </c>
      <c r="N815" s="298" t="str">
        <f t="shared" si="51"/>
        <v/>
      </c>
      <c r="O815" s="298" t="str">
        <f>IF(B815="", "", 'Lighting Inventory (Ref only)'!G826)</f>
        <v/>
      </c>
      <c r="P815" s="298" t="str">
        <f>IF(B815="", "", 'Lighting Inventory (Ref only)'!E826)</f>
        <v/>
      </c>
      <c r="Q815" s="298" t="str">
        <f>IF(B815="", "", 'Lighting Inventory (Ref only)'!J826)</f>
        <v/>
      </c>
      <c r="R815" s="298" t="str">
        <f>IF(B815="", "",'Lighting Inventory (Ref only)'!K826)</f>
        <v/>
      </c>
      <c r="S815" s="372" t="str">
        <f>IF(B815="", "", 'Lighting Inventory (Ref only)'!G826*'Lighting Inventory (Ref only)'!K826/1000)</f>
        <v/>
      </c>
      <c r="T815" s="298" t="str">
        <f>IF(B815="", "", IF('Lighting Inventory (Ref only)'!I826="", "Light Switch",Inventory!H823))</f>
        <v/>
      </c>
      <c r="X815" s="298" t="str">
        <f>IF(B815="", "", 'Lighting Inventory (Ref only)'!Q826)</f>
        <v/>
      </c>
      <c r="AA815" s="298" t="str">
        <f>IF(B815="", "",'Lighting Inventory (Ref only)'!R826/1000)</f>
        <v/>
      </c>
      <c r="AB815" s="298" t="str">
        <f>IF(B815="", "", Inventory!M823)</f>
        <v/>
      </c>
      <c r="AC815" s="298" t="str">
        <f>IF(B815="", "", 'Lighting Inventory (Ref only)'!T826)</f>
        <v/>
      </c>
      <c r="AD815" s="298" t="str">
        <f>IF(C815="", "", 'Lighting Inventory (Ref only)'!AA826)</f>
        <v/>
      </c>
      <c r="AE815" s="298" t="str">
        <f>IF(B815="", "", 'Lighting Inventory (Ref only)'!U826)</f>
        <v/>
      </c>
      <c r="AF815" s="298" t="str">
        <f>IF(B815="", "",'Lighting Inventory (Ref only)'!W826)</f>
        <v/>
      </c>
      <c r="AH815" s="298" t="str">
        <f>IF(B815="", "",'Lighting Inventory (Ref only)'!Z826)</f>
        <v/>
      </c>
      <c r="AI815" s="298" t="str">
        <f>IF(B815="", "", 'Lighting Inventory (Ref only)'!Y826)</f>
        <v/>
      </c>
      <c r="AJ815" s="298" t="str">
        <f>IF(C815="", "",'Lighting Inventory (Ref only)'!AB826)</f>
        <v/>
      </c>
      <c r="AK815" s="375" t="str">
        <f>IF(B815="", "", 'Lighting Inventory (Ref only)'!AG826)</f>
        <v/>
      </c>
      <c r="AL815" s="375" t="str">
        <f>IF(B815="", "", 'Lighting Inventory (Ref only)'!AD826)</f>
        <v/>
      </c>
      <c r="AM815" s="375" t="str">
        <f>IF(B815="", "", 'Lighting Inventory (Ref only)'!AE826)</f>
        <v/>
      </c>
      <c r="AN815" s="375" t="str">
        <f>IF(B815="", "", 'Lighting Inventory (Ref only)'!AF826)</f>
        <v/>
      </c>
      <c r="AO815" s="375" t="str">
        <f>IF(B815="", "", 'Lighting Inventory (Ref only)'!AG826)</f>
        <v/>
      </c>
    </row>
    <row r="816" spans="1:41">
      <c r="A816" s="298" t="str">
        <f>IF(G816="", "", Lookups!BF818)</f>
        <v/>
      </c>
      <c r="B816" s="298" t="str">
        <f>IF('Lighting Inventory (Ref only)'!Q827="", "", 'Lighting Inventory (Ref only)'!Q827)</f>
        <v/>
      </c>
      <c r="C816" s="298" t="str">
        <f>IF(A816="", "", 'Lighting Inventory (Ref only)'!AO827)</f>
        <v/>
      </c>
      <c r="D816" s="298" t="str">
        <f>IF(B816= "","", Inventory!S824)</f>
        <v/>
      </c>
      <c r="F816" s="298" t="str">
        <f>IF(B816="", "", 'Version Log'!$B$34)</f>
        <v/>
      </c>
      <c r="G816" s="298" t="str">
        <f t="shared" si="48"/>
        <v/>
      </c>
      <c r="H816" s="298" t="str">
        <f t="shared" si="49"/>
        <v/>
      </c>
      <c r="I816" s="298" t="str">
        <f>IF(B816="", "",Inventory!D824)</f>
        <v/>
      </c>
      <c r="J816" s="298" t="str">
        <f>IF(B816="","",IF(Inventory!C824="N","Interior","Exterior"))</f>
        <v/>
      </c>
      <c r="K816" s="298" t="str">
        <f t="shared" si="50"/>
        <v/>
      </c>
      <c r="L816" s="298" t="str">
        <f>IF(B816="", "", Inventory!E824)</f>
        <v/>
      </c>
      <c r="M816" s="298" t="str">
        <f>IF(B816="","",IF(Cool_Type=Lookups!$L$9,Cool_Type,IF(Cool_Type=Lookups!$L$10,Cool_Type,IF(Cool_Type=Lookups!$L$11,Cool_Type,IF(Cool_Type=Lookups!L826,Cool_Type,IF('Project Info and Summary'!$C$20="Electric",CONCATENATE(Cool_Type," ",Heating_Type," Heat"),IF('Project Info and Summary'!$C$20="Non-Electric",CONCATENATE(Cool_Type," ",Heating_Type," Heat"),CONCATENATE(Cool_Type," ",Heating_Type))))))))</f>
        <v/>
      </c>
      <c r="N816" s="298" t="str">
        <f t="shared" si="51"/>
        <v/>
      </c>
      <c r="O816" s="298" t="str">
        <f>IF(B816="", "", 'Lighting Inventory (Ref only)'!G827)</f>
        <v/>
      </c>
      <c r="P816" s="298" t="str">
        <f>IF(B816="", "", 'Lighting Inventory (Ref only)'!E827)</f>
        <v/>
      </c>
      <c r="Q816" s="298" t="str">
        <f>IF(B816="", "", 'Lighting Inventory (Ref only)'!J827)</f>
        <v/>
      </c>
      <c r="R816" s="298" t="str">
        <f>IF(B816="", "",'Lighting Inventory (Ref only)'!K827)</f>
        <v/>
      </c>
      <c r="S816" s="372" t="str">
        <f>IF(B816="", "", 'Lighting Inventory (Ref only)'!G827*'Lighting Inventory (Ref only)'!K827/1000)</f>
        <v/>
      </c>
      <c r="T816" s="298" t="str">
        <f>IF(B816="", "", IF('Lighting Inventory (Ref only)'!I827="", "Light Switch",Inventory!H824))</f>
        <v/>
      </c>
      <c r="X816" s="298" t="str">
        <f>IF(B816="", "", 'Lighting Inventory (Ref only)'!Q827)</f>
        <v/>
      </c>
      <c r="AA816" s="298" t="str">
        <f>IF(B816="", "",'Lighting Inventory (Ref only)'!R827/1000)</f>
        <v/>
      </c>
      <c r="AB816" s="298" t="str">
        <f>IF(B816="", "", Inventory!M824)</f>
        <v/>
      </c>
      <c r="AC816" s="298" t="str">
        <f>IF(B816="", "", 'Lighting Inventory (Ref only)'!T827)</f>
        <v/>
      </c>
      <c r="AD816" s="298" t="str">
        <f>IF(C816="", "", 'Lighting Inventory (Ref only)'!AA827)</f>
        <v/>
      </c>
      <c r="AE816" s="298" t="str">
        <f>IF(B816="", "", 'Lighting Inventory (Ref only)'!U827)</f>
        <v/>
      </c>
      <c r="AF816" s="298" t="str">
        <f>IF(B816="", "",'Lighting Inventory (Ref only)'!W827)</f>
        <v/>
      </c>
      <c r="AH816" s="298" t="str">
        <f>IF(B816="", "",'Lighting Inventory (Ref only)'!Z827)</f>
        <v/>
      </c>
      <c r="AI816" s="298" t="str">
        <f>IF(B816="", "", 'Lighting Inventory (Ref only)'!Y827)</f>
        <v/>
      </c>
      <c r="AJ816" s="298" t="str">
        <f>IF(C816="", "",'Lighting Inventory (Ref only)'!AB827)</f>
        <v/>
      </c>
      <c r="AK816" s="375" t="str">
        <f>IF(B816="", "", 'Lighting Inventory (Ref only)'!AG827)</f>
        <v/>
      </c>
      <c r="AL816" s="375" t="str">
        <f>IF(B816="", "", 'Lighting Inventory (Ref only)'!AD827)</f>
        <v/>
      </c>
      <c r="AM816" s="375" t="str">
        <f>IF(B816="", "", 'Lighting Inventory (Ref only)'!AE827)</f>
        <v/>
      </c>
      <c r="AN816" s="375" t="str">
        <f>IF(B816="", "", 'Lighting Inventory (Ref only)'!AF827)</f>
        <v/>
      </c>
      <c r="AO816" s="375" t="str">
        <f>IF(B816="", "", 'Lighting Inventory (Ref only)'!AG827)</f>
        <v/>
      </c>
    </row>
    <row r="817" spans="1:41">
      <c r="A817" s="298" t="str">
        <f>IF(G817="", "", Lookups!BF819)</f>
        <v/>
      </c>
      <c r="B817" s="298" t="str">
        <f>IF('Lighting Inventory (Ref only)'!Q828="", "", 'Lighting Inventory (Ref only)'!Q828)</f>
        <v/>
      </c>
      <c r="C817" s="298" t="str">
        <f>IF(A817="", "", 'Lighting Inventory (Ref only)'!AO828)</f>
        <v/>
      </c>
      <c r="D817" s="298" t="str">
        <f>IF(B817= "","", Inventory!S825)</f>
        <v/>
      </c>
      <c r="F817" s="298" t="str">
        <f>IF(B817="", "", 'Version Log'!$B$34)</f>
        <v/>
      </c>
      <c r="G817" s="298" t="str">
        <f t="shared" si="48"/>
        <v/>
      </c>
      <c r="H817" s="298" t="str">
        <f t="shared" si="49"/>
        <v/>
      </c>
      <c r="I817" s="298" t="str">
        <f>IF(B817="", "",Inventory!D825)</f>
        <v/>
      </c>
      <c r="J817" s="298" t="str">
        <f>IF(B817="","",IF(Inventory!C825="N","Interior","Exterior"))</f>
        <v/>
      </c>
      <c r="K817" s="298" t="str">
        <f t="shared" si="50"/>
        <v/>
      </c>
      <c r="L817" s="298" t="str">
        <f>IF(B817="", "", Inventory!E825)</f>
        <v/>
      </c>
      <c r="M817" s="298" t="str">
        <f>IF(B817="","",IF(Cool_Type=Lookups!$L$9,Cool_Type,IF(Cool_Type=Lookups!$L$10,Cool_Type,IF(Cool_Type=Lookups!$L$11,Cool_Type,IF(Cool_Type=Lookups!L827,Cool_Type,IF('Project Info and Summary'!$C$20="Electric",CONCATENATE(Cool_Type," ",Heating_Type," Heat"),IF('Project Info and Summary'!$C$20="Non-Electric",CONCATENATE(Cool_Type," ",Heating_Type," Heat"),CONCATENATE(Cool_Type," ",Heating_Type))))))))</f>
        <v/>
      </c>
      <c r="N817" s="298" t="str">
        <f t="shared" si="51"/>
        <v/>
      </c>
      <c r="O817" s="298" t="str">
        <f>IF(B817="", "", 'Lighting Inventory (Ref only)'!G828)</f>
        <v/>
      </c>
      <c r="P817" s="298" t="str">
        <f>IF(B817="", "", 'Lighting Inventory (Ref only)'!E828)</f>
        <v/>
      </c>
      <c r="Q817" s="298" t="str">
        <f>IF(B817="", "", 'Lighting Inventory (Ref only)'!J828)</f>
        <v/>
      </c>
      <c r="R817" s="298" t="str">
        <f>IF(B817="", "",'Lighting Inventory (Ref only)'!K828)</f>
        <v/>
      </c>
      <c r="S817" s="372" t="str">
        <f>IF(B817="", "", 'Lighting Inventory (Ref only)'!G828*'Lighting Inventory (Ref only)'!K828/1000)</f>
        <v/>
      </c>
      <c r="T817" s="298" t="str">
        <f>IF(B817="", "", IF('Lighting Inventory (Ref only)'!I828="", "Light Switch",Inventory!H825))</f>
        <v/>
      </c>
      <c r="X817" s="298" t="str">
        <f>IF(B817="", "", 'Lighting Inventory (Ref only)'!Q828)</f>
        <v/>
      </c>
      <c r="AA817" s="298" t="str">
        <f>IF(B817="", "",'Lighting Inventory (Ref only)'!R828/1000)</f>
        <v/>
      </c>
      <c r="AB817" s="298" t="str">
        <f>IF(B817="", "", Inventory!M825)</f>
        <v/>
      </c>
      <c r="AC817" s="298" t="str">
        <f>IF(B817="", "", 'Lighting Inventory (Ref only)'!T828)</f>
        <v/>
      </c>
      <c r="AD817" s="298" t="str">
        <f>IF(C817="", "", 'Lighting Inventory (Ref only)'!AA828)</f>
        <v/>
      </c>
      <c r="AE817" s="298" t="str">
        <f>IF(B817="", "", 'Lighting Inventory (Ref only)'!U828)</f>
        <v/>
      </c>
      <c r="AF817" s="298" t="str">
        <f>IF(B817="", "",'Lighting Inventory (Ref only)'!W828)</f>
        <v/>
      </c>
      <c r="AH817" s="298" t="str">
        <f>IF(B817="", "",'Lighting Inventory (Ref only)'!Z828)</f>
        <v/>
      </c>
      <c r="AI817" s="298" t="str">
        <f>IF(B817="", "", 'Lighting Inventory (Ref only)'!Y828)</f>
        <v/>
      </c>
      <c r="AJ817" s="298" t="str">
        <f>IF(C817="", "",'Lighting Inventory (Ref only)'!AB828)</f>
        <v/>
      </c>
      <c r="AK817" s="375" t="str">
        <f>IF(B817="", "", 'Lighting Inventory (Ref only)'!AG828)</f>
        <v/>
      </c>
      <c r="AL817" s="375" t="str">
        <f>IF(B817="", "", 'Lighting Inventory (Ref only)'!AD828)</f>
        <v/>
      </c>
      <c r="AM817" s="375" t="str">
        <f>IF(B817="", "", 'Lighting Inventory (Ref only)'!AE828)</f>
        <v/>
      </c>
      <c r="AN817" s="375" t="str">
        <f>IF(B817="", "", 'Lighting Inventory (Ref only)'!AF828)</f>
        <v/>
      </c>
      <c r="AO817" s="375" t="str">
        <f>IF(B817="", "", 'Lighting Inventory (Ref only)'!AG828)</f>
        <v/>
      </c>
    </row>
    <row r="818" spans="1:41">
      <c r="A818" s="298" t="str">
        <f>IF(G818="", "", Lookups!BF820)</f>
        <v/>
      </c>
      <c r="B818" s="298" t="str">
        <f>IF('Lighting Inventory (Ref only)'!Q829="", "", 'Lighting Inventory (Ref only)'!Q829)</f>
        <v/>
      </c>
      <c r="C818" s="298" t="str">
        <f>IF(A818="", "", 'Lighting Inventory (Ref only)'!AO829)</f>
        <v/>
      </c>
      <c r="D818" s="298" t="str">
        <f>IF(B818= "","", Inventory!S826)</f>
        <v/>
      </c>
      <c r="F818" s="298" t="str">
        <f>IF(B818="", "", 'Version Log'!$B$34)</f>
        <v/>
      </c>
      <c r="G818" s="298" t="str">
        <f t="shared" si="48"/>
        <v/>
      </c>
      <c r="H818" s="298" t="str">
        <f t="shared" si="49"/>
        <v/>
      </c>
      <c r="I818" s="298" t="str">
        <f>IF(B818="", "",Inventory!D826)</f>
        <v/>
      </c>
      <c r="J818" s="298" t="str">
        <f>IF(B818="","",IF(Inventory!C826="N","Interior","Exterior"))</f>
        <v/>
      </c>
      <c r="K818" s="298" t="str">
        <f t="shared" si="50"/>
        <v/>
      </c>
      <c r="L818" s="298" t="str">
        <f>IF(B818="", "", Inventory!E826)</f>
        <v/>
      </c>
      <c r="M818" s="298" t="str">
        <f>IF(B818="","",IF(Cool_Type=Lookups!$L$9,Cool_Type,IF(Cool_Type=Lookups!$L$10,Cool_Type,IF(Cool_Type=Lookups!$L$11,Cool_Type,IF(Cool_Type=Lookups!L828,Cool_Type,IF('Project Info and Summary'!$C$20="Electric",CONCATENATE(Cool_Type," ",Heating_Type," Heat"),IF('Project Info and Summary'!$C$20="Non-Electric",CONCATENATE(Cool_Type," ",Heating_Type," Heat"),CONCATENATE(Cool_Type," ",Heating_Type))))))))</f>
        <v/>
      </c>
      <c r="N818" s="298" t="str">
        <f t="shared" si="51"/>
        <v/>
      </c>
      <c r="O818" s="298" t="str">
        <f>IF(B818="", "", 'Lighting Inventory (Ref only)'!G829)</f>
        <v/>
      </c>
      <c r="P818" s="298" t="str">
        <f>IF(B818="", "", 'Lighting Inventory (Ref only)'!E829)</f>
        <v/>
      </c>
      <c r="Q818" s="298" t="str">
        <f>IF(B818="", "", 'Lighting Inventory (Ref only)'!J829)</f>
        <v/>
      </c>
      <c r="R818" s="298" t="str">
        <f>IF(B818="", "",'Lighting Inventory (Ref only)'!K829)</f>
        <v/>
      </c>
      <c r="S818" s="372" t="str">
        <f>IF(B818="", "", 'Lighting Inventory (Ref only)'!G829*'Lighting Inventory (Ref only)'!K829/1000)</f>
        <v/>
      </c>
      <c r="T818" s="298" t="str">
        <f>IF(B818="", "", IF('Lighting Inventory (Ref only)'!I829="", "Light Switch",Inventory!H826))</f>
        <v/>
      </c>
      <c r="X818" s="298" t="str">
        <f>IF(B818="", "", 'Lighting Inventory (Ref only)'!Q829)</f>
        <v/>
      </c>
      <c r="AA818" s="298" t="str">
        <f>IF(B818="", "",'Lighting Inventory (Ref only)'!R829/1000)</f>
        <v/>
      </c>
      <c r="AB818" s="298" t="str">
        <f>IF(B818="", "", Inventory!M826)</f>
        <v/>
      </c>
      <c r="AC818" s="298" t="str">
        <f>IF(B818="", "", 'Lighting Inventory (Ref only)'!T829)</f>
        <v/>
      </c>
      <c r="AD818" s="298" t="str">
        <f>IF(C818="", "", 'Lighting Inventory (Ref only)'!AA829)</f>
        <v/>
      </c>
      <c r="AE818" s="298" t="str">
        <f>IF(B818="", "", 'Lighting Inventory (Ref only)'!U829)</f>
        <v/>
      </c>
      <c r="AF818" s="298" t="str">
        <f>IF(B818="", "",'Lighting Inventory (Ref only)'!W829)</f>
        <v/>
      </c>
      <c r="AH818" s="298" t="str">
        <f>IF(B818="", "",'Lighting Inventory (Ref only)'!Z829)</f>
        <v/>
      </c>
      <c r="AI818" s="298" t="str">
        <f>IF(B818="", "", 'Lighting Inventory (Ref only)'!Y829)</f>
        <v/>
      </c>
      <c r="AJ818" s="298" t="str">
        <f>IF(C818="", "",'Lighting Inventory (Ref only)'!AB829)</f>
        <v/>
      </c>
      <c r="AK818" s="375" t="str">
        <f>IF(B818="", "", 'Lighting Inventory (Ref only)'!AG829)</f>
        <v/>
      </c>
      <c r="AL818" s="375" t="str">
        <f>IF(B818="", "", 'Lighting Inventory (Ref only)'!AD829)</f>
        <v/>
      </c>
      <c r="AM818" s="375" t="str">
        <f>IF(B818="", "", 'Lighting Inventory (Ref only)'!AE829)</f>
        <v/>
      </c>
      <c r="AN818" s="375" t="str">
        <f>IF(B818="", "", 'Lighting Inventory (Ref only)'!AF829)</f>
        <v/>
      </c>
      <c r="AO818" s="375" t="str">
        <f>IF(B818="", "", 'Lighting Inventory (Ref only)'!AG829)</f>
        <v/>
      </c>
    </row>
    <row r="819" spans="1:41">
      <c r="A819" s="298" t="str">
        <f>IF(G819="", "", Lookups!BF821)</f>
        <v/>
      </c>
      <c r="B819" s="298" t="str">
        <f>IF('Lighting Inventory (Ref only)'!Q830="", "", 'Lighting Inventory (Ref only)'!Q830)</f>
        <v/>
      </c>
      <c r="C819" s="298" t="str">
        <f>IF(A819="", "", 'Lighting Inventory (Ref only)'!AO830)</f>
        <v/>
      </c>
      <c r="D819" s="298" t="str">
        <f>IF(B819= "","", Inventory!S827)</f>
        <v/>
      </c>
      <c r="F819" s="298" t="str">
        <f>IF(B819="", "", 'Version Log'!$B$34)</f>
        <v/>
      </c>
      <c r="G819" s="298" t="str">
        <f t="shared" si="48"/>
        <v/>
      </c>
      <c r="H819" s="298" t="str">
        <f t="shared" si="49"/>
        <v/>
      </c>
      <c r="I819" s="298" t="str">
        <f>IF(B819="", "",Inventory!D827)</f>
        <v/>
      </c>
      <c r="J819" s="298" t="str">
        <f>IF(B819="","",IF(Inventory!C827="N","Interior","Exterior"))</f>
        <v/>
      </c>
      <c r="K819" s="298" t="str">
        <f t="shared" si="50"/>
        <v/>
      </c>
      <c r="L819" s="298" t="str">
        <f>IF(B819="", "", Inventory!E827)</f>
        <v/>
      </c>
      <c r="M819" s="298" t="str">
        <f>IF(B819="","",IF(Cool_Type=Lookups!$L$9,Cool_Type,IF(Cool_Type=Lookups!$L$10,Cool_Type,IF(Cool_Type=Lookups!$L$11,Cool_Type,IF(Cool_Type=Lookups!L829,Cool_Type,IF('Project Info and Summary'!$C$20="Electric",CONCATENATE(Cool_Type," ",Heating_Type," Heat"),IF('Project Info and Summary'!$C$20="Non-Electric",CONCATENATE(Cool_Type," ",Heating_Type," Heat"),CONCATENATE(Cool_Type," ",Heating_Type))))))))</f>
        <v/>
      </c>
      <c r="N819" s="298" t="str">
        <f t="shared" si="51"/>
        <v/>
      </c>
      <c r="O819" s="298" t="str">
        <f>IF(B819="", "", 'Lighting Inventory (Ref only)'!G830)</f>
        <v/>
      </c>
      <c r="P819" s="298" t="str">
        <f>IF(B819="", "", 'Lighting Inventory (Ref only)'!E830)</f>
        <v/>
      </c>
      <c r="Q819" s="298" t="str">
        <f>IF(B819="", "", 'Lighting Inventory (Ref only)'!J830)</f>
        <v/>
      </c>
      <c r="R819" s="298" t="str">
        <f>IF(B819="", "",'Lighting Inventory (Ref only)'!K830)</f>
        <v/>
      </c>
      <c r="S819" s="372" t="str">
        <f>IF(B819="", "", 'Lighting Inventory (Ref only)'!G830*'Lighting Inventory (Ref only)'!K830/1000)</f>
        <v/>
      </c>
      <c r="T819" s="298" t="str">
        <f>IF(B819="", "", IF('Lighting Inventory (Ref only)'!I830="", "Light Switch",Inventory!H827))</f>
        <v/>
      </c>
      <c r="X819" s="298" t="str">
        <f>IF(B819="", "", 'Lighting Inventory (Ref only)'!Q830)</f>
        <v/>
      </c>
      <c r="AA819" s="298" t="str">
        <f>IF(B819="", "",'Lighting Inventory (Ref only)'!R830/1000)</f>
        <v/>
      </c>
      <c r="AB819" s="298" t="str">
        <f>IF(B819="", "", Inventory!M827)</f>
        <v/>
      </c>
      <c r="AC819" s="298" t="str">
        <f>IF(B819="", "", 'Lighting Inventory (Ref only)'!T830)</f>
        <v/>
      </c>
      <c r="AD819" s="298" t="str">
        <f>IF(C819="", "", 'Lighting Inventory (Ref only)'!AA830)</f>
        <v/>
      </c>
      <c r="AE819" s="298" t="str">
        <f>IF(B819="", "", 'Lighting Inventory (Ref only)'!U830)</f>
        <v/>
      </c>
      <c r="AF819" s="298" t="str">
        <f>IF(B819="", "",'Lighting Inventory (Ref only)'!W830)</f>
        <v/>
      </c>
      <c r="AH819" s="298" t="str">
        <f>IF(B819="", "",'Lighting Inventory (Ref only)'!Z830)</f>
        <v/>
      </c>
      <c r="AI819" s="298" t="str">
        <f>IF(B819="", "", 'Lighting Inventory (Ref only)'!Y830)</f>
        <v/>
      </c>
      <c r="AJ819" s="298" t="str">
        <f>IF(C819="", "",'Lighting Inventory (Ref only)'!AB830)</f>
        <v/>
      </c>
      <c r="AK819" s="375" t="str">
        <f>IF(B819="", "", 'Lighting Inventory (Ref only)'!AG830)</f>
        <v/>
      </c>
      <c r="AL819" s="375" t="str">
        <f>IF(B819="", "", 'Lighting Inventory (Ref only)'!AD830)</f>
        <v/>
      </c>
      <c r="AM819" s="375" t="str">
        <f>IF(B819="", "", 'Lighting Inventory (Ref only)'!AE830)</f>
        <v/>
      </c>
      <c r="AN819" s="375" t="str">
        <f>IF(B819="", "", 'Lighting Inventory (Ref only)'!AF830)</f>
        <v/>
      </c>
      <c r="AO819" s="375" t="str">
        <f>IF(B819="", "", 'Lighting Inventory (Ref only)'!AG830)</f>
        <v/>
      </c>
    </row>
    <row r="820" spans="1:41">
      <c r="A820" s="298" t="str">
        <f>IF(G820="", "", Lookups!BF822)</f>
        <v/>
      </c>
      <c r="B820" s="298" t="str">
        <f>IF('Lighting Inventory (Ref only)'!Q831="", "", 'Lighting Inventory (Ref only)'!Q831)</f>
        <v/>
      </c>
      <c r="C820" s="298" t="str">
        <f>IF(A820="", "", 'Lighting Inventory (Ref only)'!AO831)</f>
        <v/>
      </c>
      <c r="D820" s="298" t="str">
        <f>IF(B820= "","", Inventory!S828)</f>
        <v/>
      </c>
      <c r="F820" s="298" t="str">
        <f>IF(B820="", "", 'Version Log'!$B$34)</f>
        <v/>
      </c>
      <c r="G820" s="298" t="str">
        <f t="shared" si="48"/>
        <v/>
      </c>
      <c r="H820" s="298" t="str">
        <f t="shared" si="49"/>
        <v/>
      </c>
      <c r="I820" s="298" t="str">
        <f>IF(B820="", "",Inventory!D828)</f>
        <v/>
      </c>
      <c r="J820" s="298" t="str">
        <f>IF(B820="","",IF(Inventory!C828="N","Interior","Exterior"))</f>
        <v/>
      </c>
      <c r="K820" s="298" t="str">
        <f t="shared" si="50"/>
        <v/>
      </c>
      <c r="L820" s="298" t="str">
        <f>IF(B820="", "", Inventory!E828)</f>
        <v/>
      </c>
      <c r="M820" s="298" t="str">
        <f>IF(B820="","",IF(Cool_Type=Lookups!$L$9,Cool_Type,IF(Cool_Type=Lookups!$L$10,Cool_Type,IF(Cool_Type=Lookups!$L$11,Cool_Type,IF(Cool_Type=Lookups!L830,Cool_Type,IF('Project Info and Summary'!$C$20="Electric",CONCATENATE(Cool_Type," ",Heating_Type," Heat"),IF('Project Info and Summary'!$C$20="Non-Electric",CONCATENATE(Cool_Type," ",Heating_Type," Heat"),CONCATENATE(Cool_Type," ",Heating_Type))))))))</f>
        <v/>
      </c>
      <c r="N820" s="298" t="str">
        <f t="shared" si="51"/>
        <v/>
      </c>
      <c r="O820" s="298" t="str">
        <f>IF(B820="", "", 'Lighting Inventory (Ref only)'!G831)</f>
        <v/>
      </c>
      <c r="P820" s="298" t="str">
        <f>IF(B820="", "", 'Lighting Inventory (Ref only)'!E831)</f>
        <v/>
      </c>
      <c r="Q820" s="298" t="str">
        <f>IF(B820="", "", 'Lighting Inventory (Ref only)'!J831)</f>
        <v/>
      </c>
      <c r="R820" s="298" t="str">
        <f>IF(B820="", "",'Lighting Inventory (Ref only)'!K831)</f>
        <v/>
      </c>
      <c r="S820" s="372" t="str">
        <f>IF(B820="", "", 'Lighting Inventory (Ref only)'!G831*'Lighting Inventory (Ref only)'!K831/1000)</f>
        <v/>
      </c>
      <c r="T820" s="298" t="str">
        <f>IF(B820="", "", IF('Lighting Inventory (Ref only)'!I831="", "Light Switch",Inventory!H828))</f>
        <v/>
      </c>
      <c r="X820" s="298" t="str">
        <f>IF(B820="", "", 'Lighting Inventory (Ref only)'!Q831)</f>
        <v/>
      </c>
      <c r="AA820" s="298" t="str">
        <f>IF(B820="", "",'Lighting Inventory (Ref only)'!R831/1000)</f>
        <v/>
      </c>
      <c r="AB820" s="298" t="str">
        <f>IF(B820="", "", Inventory!M828)</f>
        <v/>
      </c>
      <c r="AC820" s="298" t="str">
        <f>IF(B820="", "", 'Lighting Inventory (Ref only)'!T831)</f>
        <v/>
      </c>
      <c r="AD820" s="298" t="str">
        <f>IF(C820="", "", 'Lighting Inventory (Ref only)'!AA831)</f>
        <v/>
      </c>
      <c r="AE820" s="298" t="str">
        <f>IF(B820="", "", 'Lighting Inventory (Ref only)'!U831)</f>
        <v/>
      </c>
      <c r="AF820" s="298" t="str">
        <f>IF(B820="", "",'Lighting Inventory (Ref only)'!W831)</f>
        <v/>
      </c>
      <c r="AH820" s="298" t="str">
        <f>IF(B820="", "",'Lighting Inventory (Ref only)'!Z831)</f>
        <v/>
      </c>
      <c r="AI820" s="298" t="str">
        <f>IF(B820="", "", 'Lighting Inventory (Ref only)'!Y831)</f>
        <v/>
      </c>
      <c r="AJ820" s="298" t="str">
        <f>IF(C820="", "",'Lighting Inventory (Ref only)'!AB831)</f>
        <v/>
      </c>
      <c r="AK820" s="375" t="str">
        <f>IF(B820="", "", 'Lighting Inventory (Ref only)'!AG831)</f>
        <v/>
      </c>
      <c r="AL820" s="375" t="str">
        <f>IF(B820="", "", 'Lighting Inventory (Ref only)'!AD831)</f>
        <v/>
      </c>
      <c r="AM820" s="375" t="str">
        <f>IF(B820="", "", 'Lighting Inventory (Ref only)'!AE831)</f>
        <v/>
      </c>
      <c r="AN820" s="375" t="str">
        <f>IF(B820="", "", 'Lighting Inventory (Ref only)'!AF831)</f>
        <v/>
      </c>
      <c r="AO820" s="375" t="str">
        <f>IF(B820="", "", 'Lighting Inventory (Ref only)'!AG831)</f>
        <v/>
      </c>
    </row>
    <row r="821" spans="1:41">
      <c r="A821" s="298" t="str">
        <f>IF(G821="", "", Lookups!BF823)</f>
        <v/>
      </c>
      <c r="B821" s="298" t="str">
        <f>IF('Lighting Inventory (Ref only)'!Q832="", "", 'Lighting Inventory (Ref only)'!Q832)</f>
        <v/>
      </c>
      <c r="C821" s="298" t="str">
        <f>IF(A821="", "", 'Lighting Inventory (Ref only)'!AO832)</f>
        <v/>
      </c>
      <c r="D821" s="298" t="str">
        <f>IF(B821= "","", Inventory!S829)</f>
        <v/>
      </c>
      <c r="F821" s="298" t="str">
        <f>IF(B821="", "", 'Version Log'!$B$34)</f>
        <v/>
      </c>
      <c r="G821" s="298" t="str">
        <f t="shared" si="48"/>
        <v/>
      </c>
      <c r="H821" s="298" t="str">
        <f t="shared" si="49"/>
        <v/>
      </c>
      <c r="I821" s="298" t="str">
        <f>IF(B821="", "",Inventory!D829)</f>
        <v/>
      </c>
      <c r="J821" s="298" t="str">
        <f>IF(B821="","",IF(Inventory!C829="N","Interior","Exterior"))</f>
        <v/>
      </c>
      <c r="K821" s="298" t="str">
        <f t="shared" si="50"/>
        <v/>
      </c>
      <c r="L821" s="298" t="str">
        <f>IF(B821="", "", Inventory!E829)</f>
        <v/>
      </c>
      <c r="M821" s="298" t="str">
        <f>IF(B821="","",IF(Cool_Type=Lookups!$L$9,Cool_Type,IF(Cool_Type=Lookups!$L$10,Cool_Type,IF(Cool_Type=Lookups!$L$11,Cool_Type,IF(Cool_Type=Lookups!L831,Cool_Type,IF('Project Info and Summary'!$C$20="Electric",CONCATENATE(Cool_Type," ",Heating_Type," Heat"),IF('Project Info and Summary'!$C$20="Non-Electric",CONCATENATE(Cool_Type," ",Heating_Type," Heat"),CONCATENATE(Cool_Type," ",Heating_Type))))))))</f>
        <v/>
      </c>
      <c r="N821" s="298" t="str">
        <f t="shared" si="51"/>
        <v/>
      </c>
      <c r="O821" s="298" t="str">
        <f>IF(B821="", "", 'Lighting Inventory (Ref only)'!G832)</f>
        <v/>
      </c>
      <c r="P821" s="298" t="str">
        <f>IF(B821="", "", 'Lighting Inventory (Ref only)'!E832)</f>
        <v/>
      </c>
      <c r="Q821" s="298" t="str">
        <f>IF(B821="", "", 'Lighting Inventory (Ref only)'!J832)</f>
        <v/>
      </c>
      <c r="R821" s="298" t="str">
        <f>IF(B821="", "",'Lighting Inventory (Ref only)'!K832)</f>
        <v/>
      </c>
      <c r="S821" s="372" t="str">
        <f>IF(B821="", "", 'Lighting Inventory (Ref only)'!G832*'Lighting Inventory (Ref only)'!K832/1000)</f>
        <v/>
      </c>
      <c r="T821" s="298" t="str">
        <f>IF(B821="", "", IF('Lighting Inventory (Ref only)'!I832="", "Light Switch",Inventory!H829))</f>
        <v/>
      </c>
      <c r="X821" s="298" t="str">
        <f>IF(B821="", "", 'Lighting Inventory (Ref only)'!Q832)</f>
        <v/>
      </c>
      <c r="AA821" s="298" t="str">
        <f>IF(B821="", "",'Lighting Inventory (Ref only)'!R832/1000)</f>
        <v/>
      </c>
      <c r="AB821" s="298" t="str">
        <f>IF(B821="", "", Inventory!M829)</f>
        <v/>
      </c>
      <c r="AC821" s="298" t="str">
        <f>IF(B821="", "", 'Lighting Inventory (Ref only)'!T832)</f>
        <v/>
      </c>
      <c r="AD821" s="298" t="str">
        <f>IF(C821="", "", 'Lighting Inventory (Ref only)'!AA832)</f>
        <v/>
      </c>
      <c r="AE821" s="298" t="str">
        <f>IF(B821="", "", 'Lighting Inventory (Ref only)'!U832)</f>
        <v/>
      </c>
      <c r="AF821" s="298" t="str">
        <f>IF(B821="", "",'Lighting Inventory (Ref only)'!W832)</f>
        <v/>
      </c>
      <c r="AH821" s="298" t="str">
        <f>IF(B821="", "",'Lighting Inventory (Ref only)'!Z832)</f>
        <v/>
      </c>
      <c r="AI821" s="298" t="str">
        <f>IF(B821="", "", 'Lighting Inventory (Ref only)'!Y832)</f>
        <v/>
      </c>
      <c r="AJ821" s="298" t="str">
        <f>IF(C821="", "",'Lighting Inventory (Ref only)'!AB832)</f>
        <v/>
      </c>
      <c r="AK821" s="375" t="str">
        <f>IF(B821="", "", 'Lighting Inventory (Ref only)'!AG832)</f>
        <v/>
      </c>
      <c r="AL821" s="375" t="str">
        <f>IF(B821="", "", 'Lighting Inventory (Ref only)'!AD832)</f>
        <v/>
      </c>
      <c r="AM821" s="375" t="str">
        <f>IF(B821="", "", 'Lighting Inventory (Ref only)'!AE832)</f>
        <v/>
      </c>
      <c r="AN821" s="375" t="str">
        <f>IF(B821="", "", 'Lighting Inventory (Ref only)'!AF832)</f>
        <v/>
      </c>
      <c r="AO821" s="375" t="str">
        <f>IF(B821="", "", 'Lighting Inventory (Ref only)'!AG832)</f>
        <v/>
      </c>
    </row>
    <row r="822" spans="1:41">
      <c r="A822" s="298" t="str">
        <f>IF(G822="", "", Lookups!BF824)</f>
        <v/>
      </c>
      <c r="B822" s="298" t="str">
        <f>IF('Lighting Inventory (Ref only)'!Q833="", "", 'Lighting Inventory (Ref only)'!Q833)</f>
        <v/>
      </c>
      <c r="C822" s="298" t="str">
        <f>IF(A822="", "", 'Lighting Inventory (Ref only)'!AO833)</f>
        <v/>
      </c>
      <c r="D822" s="298" t="str">
        <f>IF(B822= "","", Inventory!S830)</f>
        <v/>
      </c>
      <c r="F822" s="298" t="str">
        <f>IF(B822="", "", 'Version Log'!$B$34)</f>
        <v/>
      </c>
      <c r="G822" s="298" t="str">
        <f t="shared" ref="G822:G885" si="52">IF(B822="", "", PRJ_Type)</f>
        <v/>
      </c>
      <c r="H822" s="298" t="str">
        <f t="shared" ref="H822:H885" si="53">IF(B822="", "", SqFt)</f>
        <v/>
      </c>
      <c r="I822" s="298" t="str">
        <f>IF(B822="", "",Inventory!D830)</f>
        <v/>
      </c>
      <c r="J822" s="298" t="str">
        <f>IF(B822="","",IF(Inventory!C830="N","Interior","Exterior"))</f>
        <v/>
      </c>
      <c r="K822" s="298" t="str">
        <f t="shared" ref="K822:K885" si="54">IF(B822="", "", Building_Type)</f>
        <v/>
      </c>
      <c r="L822" s="298" t="str">
        <f>IF(B822="", "", Inventory!E830)</f>
        <v/>
      </c>
      <c r="M822" s="298" t="str">
        <f>IF(B822="","",IF(Cool_Type=Lookups!$L$9,Cool_Type,IF(Cool_Type=Lookups!$L$10,Cool_Type,IF(Cool_Type=Lookups!$L$11,Cool_Type,IF(Cool_Type=Lookups!L832,Cool_Type,IF('Project Info and Summary'!$C$20="Electric",CONCATENATE(Cool_Type," ",Heating_Type," Heat"),IF('Project Info and Summary'!$C$20="Non-Electric",CONCATENATE(Cool_Type," ",Heating_Type," Heat"),CONCATENATE(Cool_Type," ",Heating_Type))))))))</f>
        <v/>
      </c>
      <c r="N822" s="298" t="str">
        <f t="shared" ref="N822:N885" si="55">IF(B822="", "",Heating_Type)</f>
        <v/>
      </c>
      <c r="O822" s="298" t="str">
        <f>IF(B822="", "", 'Lighting Inventory (Ref only)'!G833)</f>
        <v/>
      </c>
      <c r="P822" s="298" t="str">
        <f>IF(B822="", "", 'Lighting Inventory (Ref only)'!E833)</f>
        <v/>
      </c>
      <c r="Q822" s="298" t="str">
        <f>IF(B822="", "", 'Lighting Inventory (Ref only)'!J833)</f>
        <v/>
      </c>
      <c r="R822" s="298" t="str">
        <f>IF(B822="", "",'Lighting Inventory (Ref only)'!K833)</f>
        <v/>
      </c>
      <c r="S822" s="372" t="str">
        <f>IF(B822="", "", 'Lighting Inventory (Ref only)'!G833*'Lighting Inventory (Ref only)'!K833/1000)</f>
        <v/>
      </c>
      <c r="T822" s="298" t="str">
        <f>IF(B822="", "", IF('Lighting Inventory (Ref only)'!I833="", "Light Switch",Inventory!H830))</f>
        <v/>
      </c>
      <c r="X822" s="298" t="str">
        <f>IF(B822="", "", 'Lighting Inventory (Ref only)'!Q833)</f>
        <v/>
      </c>
      <c r="AA822" s="298" t="str">
        <f>IF(B822="", "",'Lighting Inventory (Ref only)'!R833/1000)</f>
        <v/>
      </c>
      <c r="AB822" s="298" t="str">
        <f>IF(B822="", "", Inventory!M830)</f>
        <v/>
      </c>
      <c r="AC822" s="298" t="str">
        <f>IF(B822="", "", 'Lighting Inventory (Ref only)'!T833)</f>
        <v/>
      </c>
      <c r="AD822" s="298" t="str">
        <f>IF(C822="", "", 'Lighting Inventory (Ref only)'!AA833)</f>
        <v/>
      </c>
      <c r="AE822" s="298" t="str">
        <f>IF(B822="", "", 'Lighting Inventory (Ref only)'!U833)</f>
        <v/>
      </c>
      <c r="AF822" s="298" t="str">
        <f>IF(B822="", "",'Lighting Inventory (Ref only)'!W833)</f>
        <v/>
      </c>
      <c r="AH822" s="298" t="str">
        <f>IF(B822="", "",'Lighting Inventory (Ref only)'!Z833)</f>
        <v/>
      </c>
      <c r="AI822" s="298" t="str">
        <f>IF(B822="", "", 'Lighting Inventory (Ref only)'!Y833)</f>
        <v/>
      </c>
      <c r="AJ822" s="298" t="str">
        <f>IF(C822="", "",'Lighting Inventory (Ref only)'!AB833)</f>
        <v/>
      </c>
      <c r="AK822" s="375" t="str">
        <f>IF(B822="", "", 'Lighting Inventory (Ref only)'!AG833)</f>
        <v/>
      </c>
      <c r="AL822" s="375" t="str">
        <f>IF(B822="", "", 'Lighting Inventory (Ref only)'!AD833)</f>
        <v/>
      </c>
      <c r="AM822" s="375" t="str">
        <f>IF(B822="", "", 'Lighting Inventory (Ref only)'!AE833)</f>
        <v/>
      </c>
      <c r="AN822" s="375" t="str">
        <f>IF(B822="", "", 'Lighting Inventory (Ref only)'!AF833)</f>
        <v/>
      </c>
      <c r="AO822" s="375" t="str">
        <f>IF(B822="", "", 'Lighting Inventory (Ref only)'!AG833)</f>
        <v/>
      </c>
    </row>
    <row r="823" spans="1:41">
      <c r="A823" s="298" t="str">
        <f>IF(G823="", "", Lookups!BF825)</f>
        <v/>
      </c>
      <c r="B823" s="298" t="str">
        <f>IF('Lighting Inventory (Ref only)'!Q834="", "", 'Lighting Inventory (Ref only)'!Q834)</f>
        <v/>
      </c>
      <c r="C823" s="298" t="str">
        <f>IF(A823="", "", 'Lighting Inventory (Ref only)'!AO834)</f>
        <v/>
      </c>
      <c r="D823" s="298" t="str">
        <f>IF(B823= "","", Inventory!S831)</f>
        <v/>
      </c>
      <c r="F823" s="298" t="str">
        <f>IF(B823="", "", 'Version Log'!$B$34)</f>
        <v/>
      </c>
      <c r="G823" s="298" t="str">
        <f t="shared" si="52"/>
        <v/>
      </c>
      <c r="H823" s="298" t="str">
        <f t="shared" si="53"/>
        <v/>
      </c>
      <c r="I823" s="298" t="str">
        <f>IF(B823="", "",Inventory!D831)</f>
        <v/>
      </c>
      <c r="J823" s="298" t="str">
        <f>IF(B823="","",IF(Inventory!C831="N","Interior","Exterior"))</f>
        <v/>
      </c>
      <c r="K823" s="298" t="str">
        <f t="shared" si="54"/>
        <v/>
      </c>
      <c r="L823" s="298" t="str">
        <f>IF(B823="", "", Inventory!E831)</f>
        <v/>
      </c>
      <c r="M823" s="298" t="str">
        <f>IF(B823="","",IF(Cool_Type=Lookups!$L$9,Cool_Type,IF(Cool_Type=Lookups!$L$10,Cool_Type,IF(Cool_Type=Lookups!$L$11,Cool_Type,IF(Cool_Type=Lookups!L833,Cool_Type,IF('Project Info and Summary'!$C$20="Electric",CONCATENATE(Cool_Type," ",Heating_Type," Heat"),IF('Project Info and Summary'!$C$20="Non-Electric",CONCATENATE(Cool_Type," ",Heating_Type," Heat"),CONCATENATE(Cool_Type," ",Heating_Type))))))))</f>
        <v/>
      </c>
      <c r="N823" s="298" t="str">
        <f t="shared" si="55"/>
        <v/>
      </c>
      <c r="O823" s="298" t="str">
        <f>IF(B823="", "", 'Lighting Inventory (Ref only)'!G834)</f>
        <v/>
      </c>
      <c r="P823" s="298" t="str">
        <f>IF(B823="", "", 'Lighting Inventory (Ref only)'!E834)</f>
        <v/>
      </c>
      <c r="Q823" s="298" t="str">
        <f>IF(B823="", "", 'Lighting Inventory (Ref only)'!J834)</f>
        <v/>
      </c>
      <c r="R823" s="298" t="str">
        <f>IF(B823="", "",'Lighting Inventory (Ref only)'!K834)</f>
        <v/>
      </c>
      <c r="S823" s="372" t="str">
        <f>IF(B823="", "", 'Lighting Inventory (Ref only)'!G834*'Lighting Inventory (Ref only)'!K834/1000)</f>
        <v/>
      </c>
      <c r="T823" s="298" t="str">
        <f>IF(B823="", "", IF('Lighting Inventory (Ref only)'!I834="", "Light Switch",Inventory!H831))</f>
        <v/>
      </c>
      <c r="X823" s="298" t="str">
        <f>IF(B823="", "", 'Lighting Inventory (Ref only)'!Q834)</f>
        <v/>
      </c>
      <c r="AA823" s="298" t="str">
        <f>IF(B823="", "",'Lighting Inventory (Ref only)'!R834/1000)</f>
        <v/>
      </c>
      <c r="AB823" s="298" t="str">
        <f>IF(B823="", "", Inventory!M831)</f>
        <v/>
      </c>
      <c r="AC823" s="298" t="str">
        <f>IF(B823="", "", 'Lighting Inventory (Ref only)'!T834)</f>
        <v/>
      </c>
      <c r="AD823" s="298" t="str">
        <f>IF(C823="", "", 'Lighting Inventory (Ref only)'!AA834)</f>
        <v/>
      </c>
      <c r="AE823" s="298" t="str">
        <f>IF(B823="", "", 'Lighting Inventory (Ref only)'!U834)</f>
        <v/>
      </c>
      <c r="AF823" s="298" t="str">
        <f>IF(B823="", "",'Lighting Inventory (Ref only)'!W834)</f>
        <v/>
      </c>
      <c r="AH823" s="298" t="str">
        <f>IF(B823="", "",'Lighting Inventory (Ref only)'!Z834)</f>
        <v/>
      </c>
      <c r="AI823" s="298" t="str">
        <f>IF(B823="", "", 'Lighting Inventory (Ref only)'!Y834)</f>
        <v/>
      </c>
      <c r="AJ823" s="298" t="str">
        <f>IF(C823="", "",'Lighting Inventory (Ref only)'!AB834)</f>
        <v/>
      </c>
      <c r="AK823" s="375" t="str">
        <f>IF(B823="", "", 'Lighting Inventory (Ref only)'!AG834)</f>
        <v/>
      </c>
      <c r="AL823" s="375" t="str">
        <f>IF(B823="", "", 'Lighting Inventory (Ref only)'!AD834)</f>
        <v/>
      </c>
      <c r="AM823" s="375" t="str">
        <f>IF(B823="", "", 'Lighting Inventory (Ref only)'!AE834)</f>
        <v/>
      </c>
      <c r="AN823" s="375" t="str">
        <f>IF(B823="", "", 'Lighting Inventory (Ref only)'!AF834)</f>
        <v/>
      </c>
      <c r="AO823" s="375" t="str">
        <f>IF(B823="", "", 'Lighting Inventory (Ref only)'!AG834)</f>
        <v/>
      </c>
    </row>
    <row r="824" spans="1:41">
      <c r="A824" s="298" t="str">
        <f>IF(G824="", "", Lookups!BF826)</f>
        <v/>
      </c>
      <c r="B824" s="298" t="str">
        <f>IF('Lighting Inventory (Ref only)'!Q835="", "", 'Lighting Inventory (Ref only)'!Q835)</f>
        <v/>
      </c>
      <c r="C824" s="298" t="str">
        <f>IF(A824="", "", 'Lighting Inventory (Ref only)'!AO835)</f>
        <v/>
      </c>
      <c r="D824" s="298" t="str">
        <f>IF(B824= "","", Inventory!S832)</f>
        <v/>
      </c>
      <c r="F824" s="298" t="str">
        <f>IF(B824="", "", 'Version Log'!$B$34)</f>
        <v/>
      </c>
      <c r="G824" s="298" t="str">
        <f t="shared" si="52"/>
        <v/>
      </c>
      <c r="H824" s="298" t="str">
        <f t="shared" si="53"/>
        <v/>
      </c>
      <c r="I824" s="298" t="str">
        <f>IF(B824="", "",Inventory!D832)</f>
        <v/>
      </c>
      <c r="J824" s="298" t="str">
        <f>IF(B824="","",IF(Inventory!C832="N","Interior","Exterior"))</f>
        <v/>
      </c>
      <c r="K824" s="298" t="str">
        <f t="shared" si="54"/>
        <v/>
      </c>
      <c r="L824" s="298" t="str">
        <f>IF(B824="", "", Inventory!E832)</f>
        <v/>
      </c>
      <c r="M824" s="298" t="str">
        <f>IF(B824="","",IF(Cool_Type=Lookups!$L$9,Cool_Type,IF(Cool_Type=Lookups!$L$10,Cool_Type,IF(Cool_Type=Lookups!$L$11,Cool_Type,IF(Cool_Type=Lookups!L834,Cool_Type,IF('Project Info and Summary'!$C$20="Electric",CONCATENATE(Cool_Type," ",Heating_Type," Heat"),IF('Project Info and Summary'!$C$20="Non-Electric",CONCATENATE(Cool_Type," ",Heating_Type," Heat"),CONCATENATE(Cool_Type," ",Heating_Type))))))))</f>
        <v/>
      </c>
      <c r="N824" s="298" t="str">
        <f t="shared" si="55"/>
        <v/>
      </c>
      <c r="O824" s="298" t="str">
        <f>IF(B824="", "", 'Lighting Inventory (Ref only)'!G835)</f>
        <v/>
      </c>
      <c r="P824" s="298" t="str">
        <f>IF(B824="", "", 'Lighting Inventory (Ref only)'!E835)</f>
        <v/>
      </c>
      <c r="Q824" s="298" t="str">
        <f>IF(B824="", "", 'Lighting Inventory (Ref only)'!J835)</f>
        <v/>
      </c>
      <c r="R824" s="298" t="str">
        <f>IF(B824="", "",'Lighting Inventory (Ref only)'!K835)</f>
        <v/>
      </c>
      <c r="S824" s="372" t="str">
        <f>IF(B824="", "", 'Lighting Inventory (Ref only)'!G835*'Lighting Inventory (Ref only)'!K835/1000)</f>
        <v/>
      </c>
      <c r="T824" s="298" t="str">
        <f>IF(B824="", "", IF('Lighting Inventory (Ref only)'!I835="", "Light Switch",Inventory!H832))</f>
        <v/>
      </c>
      <c r="X824" s="298" t="str">
        <f>IF(B824="", "", 'Lighting Inventory (Ref only)'!Q835)</f>
        <v/>
      </c>
      <c r="AA824" s="298" t="str">
        <f>IF(B824="", "",'Lighting Inventory (Ref only)'!R835/1000)</f>
        <v/>
      </c>
      <c r="AB824" s="298" t="str">
        <f>IF(B824="", "", Inventory!M832)</f>
        <v/>
      </c>
      <c r="AC824" s="298" t="str">
        <f>IF(B824="", "", 'Lighting Inventory (Ref only)'!T835)</f>
        <v/>
      </c>
      <c r="AD824" s="298" t="str">
        <f>IF(C824="", "", 'Lighting Inventory (Ref only)'!AA835)</f>
        <v/>
      </c>
      <c r="AE824" s="298" t="str">
        <f>IF(B824="", "", 'Lighting Inventory (Ref only)'!U835)</f>
        <v/>
      </c>
      <c r="AF824" s="298" t="str">
        <f>IF(B824="", "",'Lighting Inventory (Ref only)'!W835)</f>
        <v/>
      </c>
      <c r="AH824" s="298" t="str">
        <f>IF(B824="", "",'Lighting Inventory (Ref only)'!Z835)</f>
        <v/>
      </c>
      <c r="AI824" s="298" t="str">
        <f>IF(B824="", "", 'Lighting Inventory (Ref only)'!Y835)</f>
        <v/>
      </c>
      <c r="AJ824" s="298" t="str">
        <f>IF(C824="", "",'Lighting Inventory (Ref only)'!AB835)</f>
        <v/>
      </c>
      <c r="AK824" s="375" t="str">
        <f>IF(B824="", "", 'Lighting Inventory (Ref only)'!AG835)</f>
        <v/>
      </c>
      <c r="AL824" s="375" t="str">
        <f>IF(B824="", "", 'Lighting Inventory (Ref only)'!AD835)</f>
        <v/>
      </c>
      <c r="AM824" s="375" t="str">
        <f>IF(B824="", "", 'Lighting Inventory (Ref only)'!AE835)</f>
        <v/>
      </c>
      <c r="AN824" s="375" t="str">
        <f>IF(B824="", "", 'Lighting Inventory (Ref only)'!AF835)</f>
        <v/>
      </c>
      <c r="AO824" s="375" t="str">
        <f>IF(B824="", "", 'Lighting Inventory (Ref only)'!AG835)</f>
        <v/>
      </c>
    </row>
    <row r="825" spans="1:41">
      <c r="A825" s="298" t="str">
        <f>IF(G825="", "", Lookups!BF827)</f>
        <v/>
      </c>
      <c r="B825" s="298" t="str">
        <f>IF('Lighting Inventory (Ref only)'!Q836="", "", 'Lighting Inventory (Ref only)'!Q836)</f>
        <v/>
      </c>
      <c r="C825" s="298" t="str">
        <f>IF(A825="", "", 'Lighting Inventory (Ref only)'!AO836)</f>
        <v/>
      </c>
      <c r="D825" s="298" t="str">
        <f>IF(B825= "","", Inventory!S833)</f>
        <v/>
      </c>
      <c r="F825" s="298" t="str">
        <f>IF(B825="", "", 'Version Log'!$B$34)</f>
        <v/>
      </c>
      <c r="G825" s="298" t="str">
        <f t="shared" si="52"/>
        <v/>
      </c>
      <c r="H825" s="298" t="str">
        <f t="shared" si="53"/>
        <v/>
      </c>
      <c r="I825" s="298" t="str">
        <f>IF(B825="", "",Inventory!D833)</f>
        <v/>
      </c>
      <c r="J825" s="298" t="str">
        <f>IF(B825="","",IF(Inventory!C833="N","Interior","Exterior"))</f>
        <v/>
      </c>
      <c r="K825" s="298" t="str">
        <f t="shared" si="54"/>
        <v/>
      </c>
      <c r="L825" s="298" t="str">
        <f>IF(B825="", "", Inventory!E833)</f>
        <v/>
      </c>
      <c r="M825" s="298" t="str">
        <f>IF(B825="","",IF(Cool_Type=Lookups!$L$9,Cool_Type,IF(Cool_Type=Lookups!$L$10,Cool_Type,IF(Cool_Type=Lookups!$L$11,Cool_Type,IF(Cool_Type=Lookups!L835,Cool_Type,IF('Project Info and Summary'!$C$20="Electric",CONCATENATE(Cool_Type," ",Heating_Type," Heat"),IF('Project Info and Summary'!$C$20="Non-Electric",CONCATENATE(Cool_Type," ",Heating_Type," Heat"),CONCATENATE(Cool_Type," ",Heating_Type))))))))</f>
        <v/>
      </c>
      <c r="N825" s="298" t="str">
        <f t="shared" si="55"/>
        <v/>
      </c>
      <c r="O825" s="298" t="str">
        <f>IF(B825="", "", 'Lighting Inventory (Ref only)'!G836)</f>
        <v/>
      </c>
      <c r="P825" s="298" t="str">
        <f>IF(B825="", "", 'Lighting Inventory (Ref only)'!E836)</f>
        <v/>
      </c>
      <c r="Q825" s="298" t="str">
        <f>IF(B825="", "", 'Lighting Inventory (Ref only)'!J836)</f>
        <v/>
      </c>
      <c r="R825" s="298" t="str">
        <f>IF(B825="", "",'Lighting Inventory (Ref only)'!K836)</f>
        <v/>
      </c>
      <c r="S825" s="372" t="str">
        <f>IF(B825="", "", 'Lighting Inventory (Ref only)'!G836*'Lighting Inventory (Ref only)'!K836/1000)</f>
        <v/>
      </c>
      <c r="T825" s="298" t="str">
        <f>IF(B825="", "", IF('Lighting Inventory (Ref only)'!I836="", "Light Switch",Inventory!H833))</f>
        <v/>
      </c>
      <c r="X825" s="298" t="str">
        <f>IF(B825="", "", 'Lighting Inventory (Ref only)'!Q836)</f>
        <v/>
      </c>
      <c r="AA825" s="298" t="str">
        <f>IF(B825="", "",'Lighting Inventory (Ref only)'!R836/1000)</f>
        <v/>
      </c>
      <c r="AB825" s="298" t="str">
        <f>IF(B825="", "", Inventory!M833)</f>
        <v/>
      </c>
      <c r="AC825" s="298" t="str">
        <f>IF(B825="", "", 'Lighting Inventory (Ref only)'!T836)</f>
        <v/>
      </c>
      <c r="AD825" s="298" t="str">
        <f>IF(C825="", "", 'Lighting Inventory (Ref only)'!AA836)</f>
        <v/>
      </c>
      <c r="AE825" s="298" t="str">
        <f>IF(B825="", "", 'Lighting Inventory (Ref only)'!U836)</f>
        <v/>
      </c>
      <c r="AF825" s="298" t="str">
        <f>IF(B825="", "",'Lighting Inventory (Ref only)'!W836)</f>
        <v/>
      </c>
      <c r="AH825" s="298" t="str">
        <f>IF(B825="", "",'Lighting Inventory (Ref only)'!Z836)</f>
        <v/>
      </c>
      <c r="AI825" s="298" t="str">
        <f>IF(B825="", "", 'Lighting Inventory (Ref only)'!Y836)</f>
        <v/>
      </c>
      <c r="AJ825" s="298" t="str">
        <f>IF(C825="", "",'Lighting Inventory (Ref only)'!AB836)</f>
        <v/>
      </c>
      <c r="AK825" s="375" t="str">
        <f>IF(B825="", "", 'Lighting Inventory (Ref only)'!AG836)</f>
        <v/>
      </c>
      <c r="AL825" s="375" t="str">
        <f>IF(B825="", "", 'Lighting Inventory (Ref only)'!AD836)</f>
        <v/>
      </c>
      <c r="AM825" s="375" t="str">
        <f>IF(B825="", "", 'Lighting Inventory (Ref only)'!AE836)</f>
        <v/>
      </c>
      <c r="AN825" s="375" t="str">
        <f>IF(B825="", "", 'Lighting Inventory (Ref only)'!AF836)</f>
        <v/>
      </c>
      <c r="AO825" s="375" t="str">
        <f>IF(B825="", "", 'Lighting Inventory (Ref only)'!AG836)</f>
        <v/>
      </c>
    </row>
    <row r="826" spans="1:41">
      <c r="A826" s="298" t="str">
        <f>IF(G826="", "", Lookups!BF828)</f>
        <v/>
      </c>
      <c r="B826" s="298" t="str">
        <f>IF('Lighting Inventory (Ref only)'!Q837="", "", 'Lighting Inventory (Ref only)'!Q837)</f>
        <v/>
      </c>
      <c r="C826" s="298" t="str">
        <f>IF(A826="", "", 'Lighting Inventory (Ref only)'!AO837)</f>
        <v/>
      </c>
      <c r="D826" s="298" t="str">
        <f>IF(B826= "","", Inventory!S834)</f>
        <v/>
      </c>
      <c r="F826" s="298" t="str">
        <f>IF(B826="", "", 'Version Log'!$B$34)</f>
        <v/>
      </c>
      <c r="G826" s="298" t="str">
        <f t="shared" si="52"/>
        <v/>
      </c>
      <c r="H826" s="298" t="str">
        <f t="shared" si="53"/>
        <v/>
      </c>
      <c r="I826" s="298" t="str">
        <f>IF(B826="", "",Inventory!D834)</f>
        <v/>
      </c>
      <c r="J826" s="298" t="str">
        <f>IF(B826="","",IF(Inventory!C834="N","Interior","Exterior"))</f>
        <v/>
      </c>
      <c r="K826" s="298" t="str">
        <f t="shared" si="54"/>
        <v/>
      </c>
      <c r="L826" s="298" t="str">
        <f>IF(B826="", "", Inventory!E834)</f>
        <v/>
      </c>
      <c r="M826" s="298" t="str">
        <f>IF(B826="","",IF(Cool_Type=Lookups!$L$9,Cool_Type,IF(Cool_Type=Lookups!$L$10,Cool_Type,IF(Cool_Type=Lookups!$L$11,Cool_Type,IF(Cool_Type=Lookups!L836,Cool_Type,IF('Project Info and Summary'!$C$20="Electric",CONCATENATE(Cool_Type," ",Heating_Type," Heat"),IF('Project Info and Summary'!$C$20="Non-Electric",CONCATENATE(Cool_Type," ",Heating_Type," Heat"),CONCATENATE(Cool_Type," ",Heating_Type))))))))</f>
        <v/>
      </c>
      <c r="N826" s="298" t="str">
        <f t="shared" si="55"/>
        <v/>
      </c>
      <c r="O826" s="298" t="str">
        <f>IF(B826="", "", 'Lighting Inventory (Ref only)'!G837)</f>
        <v/>
      </c>
      <c r="P826" s="298" t="str">
        <f>IF(B826="", "", 'Lighting Inventory (Ref only)'!E837)</f>
        <v/>
      </c>
      <c r="Q826" s="298" t="str">
        <f>IF(B826="", "", 'Lighting Inventory (Ref only)'!J837)</f>
        <v/>
      </c>
      <c r="R826" s="298" t="str">
        <f>IF(B826="", "",'Lighting Inventory (Ref only)'!K837)</f>
        <v/>
      </c>
      <c r="S826" s="372" t="str">
        <f>IF(B826="", "", 'Lighting Inventory (Ref only)'!G837*'Lighting Inventory (Ref only)'!K837/1000)</f>
        <v/>
      </c>
      <c r="T826" s="298" t="str">
        <f>IF(B826="", "", IF('Lighting Inventory (Ref only)'!I837="", "Light Switch",Inventory!H834))</f>
        <v/>
      </c>
      <c r="X826" s="298" t="str">
        <f>IF(B826="", "", 'Lighting Inventory (Ref only)'!Q837)</f>
        <v/>
      </c>
      <c r="AA826" s="298" t="str">
        <f>IF(B826="", "",'Lighting Inventory (Ref only)'!R837/1000)</f>
        <v/>
      </c>
      <c r="AB826" s="298" t="str">
        <f>IF(B826="", "", Inventory!M834)</f>
        <v/>
      </c>
      <c r="AC826" s="298" t="str">
        <f>IF(B826="", "", 'Lighting Inventory (Ref only)'!T837)</f>
        <v/>
      </c>
      <c r="AD826" s="298" t="str">
        <f>IF(C826="", "", 'Lighting Inventory (Ref only)'!AA837)</f>
        <v/>
      </c>
      <c r="AE826" s="298" t="str">
        <f>IF(B826="", "", 'Lighting Inventory (Ref only)'!U837)</f>
        <v/>
      </c>
      <c r="AF826" s="298" t="str">
        <f>IF(B826="", "",'Lighting Inventory (Ref only)'!W837)</f>
        <v/>
      </c>
      <c r="AH826" s="298" t="str">
        <f>IF(B826="", "",'Lighting Inventory (Ref only)'!Z837)</f>
        <v/>
      </c>
      <c r="AI826" s="298" t="str">
        <f>IF(B826="", "", 'Lighting Inventory (Ref only)'!Y837)</f>
        <v/>
      </c>
      <c r="AJ826" s="298" t="str">
        <f>IF(C826="", "",'Lighting Inventory (Ref only)'!AB837)</f>
        <v/>
      </c>
      <c r="AK826" s="375" t="str">
        <f>IF(B826="", "", 'Lighting Inventory (Ref only)'!AG837)</f>
        <v/>
      </c>
      <c r="AL826" s="375" t="str">
        <f>IF(B826="", "", 'Lighting Inventory (Ref only)'!AD837)</f>
        <v/>
      </c>
      <c r="AM826" s="375" t="str">
        <f>IF(B826="", "", 'Lighting Inventory (Ref only)'!AE837)</f>
        <v/>
      </c>
      <c r="AN826" s="375" t="str">
        <f>IF(B826="", "", 'Lighting Inventory (Ref only)'!AF837)</f>
        <v/>
      </c>
      <c r="AO826" s="375" t="str">
        <f>IF(B826="", "", 'Lighting Inventory (Ref only)'!AG837)</f>
        <v/>
      </c>
    </row>
    <row r="827" spans="1:41">
      <c r="A827" s="298" t="str">
        <f>IF(G827="", "", Lookups!BF829)</f>
        <v/>
      </c>
      <c r="B827" s="298" t="str">
        <f>IF('Lighting Inventory (Ref only)'!Q838="", "", 'Lighting Inventory (Ref only)'!Q838)</f>
        <v/>
      </c>
      <c r="C827" s="298" t="str">
        <f>IF(A827="", "", 'Lighting Inventory (Ref only)'!AO838)</f>
        <v/>
      </c>
      <c r="D827" s="298" t="str">
        <f>IF(B827= "","", Inventory!S835)</f>
        <v/>
      </c>
      <c r="F827" s="298" t="str">
        <f>IF(B827="", "", 'Version Log'!$B$34)</f>
        <v/>
      </c>
      <c r="G827" s="298" t="str">
        <f t="shared" si="52"/>
        <v/>
      </c>
      <c r="H827" s="298" t="str">
        <f t="shared" si="53"/>
        <v/>
      </c>
      <c r="I827" s="298" t="str">
        <f>IF(B827="", "",Inventory!D835)</f>
        <v/>
      </c>
      <c r="J827" s="298" t="str">
        <f>IF(B827="","",IF(Inventory!C835="N","Interior","Exterior"))</f>
        <v/>
      </c>
      <c r="K827" s="298" t="str">
        <f t="shared" si="54"/>
        <v/>
      </c>
      <c r="L827" s="298" t="str">
        <f>IF(B827="", "", Inventory!E835)</f>
        <v/>
      </c>
      <c r="M827" s="298" t="str">
        <f>IF(B827="","",IF(Cool_Type=Lookups!$L$9,Cool_Type,IF(Cool_Type=Lookups!$L$10,Cool_Type,IF(Cool_Type=Lookups!$L$11,Cool_Type,IF(Cool_Type=Lookups!L837,Cool_Type,IF('Project Info and Summary'!$C$20="Electric",CONCATENATE(Cool_Type," ",Heating_Type," Heat"),IF('Project Info and Summary'!$C$20="Non-Electric",CONCATENATE(Cool_Type," ",Heating_Type," Heat"),CONCATENATE(Cool_Type," ",Heating_Type))))))))</f>
        <v/>
      </c>
      <c r="N827" s="298" t="str">
        <f t="shared" si="55"/>
        <v/>
      </c>
      <c r="O827" s="298" t="str">
        <f>IF(B827="", "", 'Lighting Inventory (Ref only)'!G838)</f>
        <v/>
      </c>
      <c r="P827" s="298" t="str">
        <f>IF(B827="", "", 'Lighting Inventory (Ref only)'!E838)</f>
        <v/>
      </c>
      <c r="Q827" s="298" t="str">
        <f>IF(B827="", "", 'Lighting Inventory (Ref only)'!J838)</f>
        <v/>
      </c>
      <c r="R827" s="298" t="str">
        <f>IF(B827="", "",'Lighting Inventory (Ref only)'!K838)</f>
        <v/>
      </c>
      <c r="S827" s="372" t="str">
        <f>IF(B827="", "", 'Lighting Inventory (Ref only)'!G838*'Lighting Inventory (Ref only)'!K838/1000)</f>
        <v/>
      </c>
      <c r="T827" s="298" t="str">
        <f>IF(B827="", "", IF('Lighting Inventory (Ref only)'!I838="", "Light Switch",Inventory!H835))</f>
        <v/>
      </c>
      <c r="X827" s="298" t="str">
        <f>IF(B827="", "", 'Lighting Inventory (Ref only)'!Q838)</f>
        <v/>
      </c>
      <c r="AA827" s="298" t="str">
        <f>IF(B827="", "",'Lighting Inventory (Ref only)'!R838/1000)</f>
        <v/>
      </c>
      <c r="AB827" s="298" t="str">
        <f>IF(B827="", "", Inventory!M835)</f>
        <v/>
      </c>
      <c r="AC827" s="298" t="str">
        <f>IF(B827="", "", 'Lighting Inventory (Ref only)'!T838)</f>
        <v/>
      </c>
      <c r="AD827" s="298" t="str">
        <f>IF(C827="", "", 'Lighting Inventory (Ref only)'!AA838)</f>
        <v/>
      </c>
      <c r="AE827" s="298" t="str">
        <f>IF(B827="", "", 'Lighting Inventory (Ref only)'!U838)</f>
        <v/>
      </c>
      <c r="AF827" s="298" t="str">
        <f>IF(B827="", "",'Lighting Inventory (Ref only)'!W838)</f>
        <v/>
      </c>
      <c r="AH827" s="298" t="str">
        <f>IF(B827="", "",'Lighting Inventory (Ref only)'!Z838)</f>
        <v/>
      </c>
      <c r="AI827" s="298" t="str">
        <f>IF(B827="", "", 'Lighting Inventory (Ref only)'!Y838)</f>
        <v/>
      </c>
      <c r="AJ827" s="298" t="str">
        <f>IF(C827="", "",'Lighting Inventory (Ref only)'!AB838)</f>
        <v/>
      </c>
      <c r="AK827" s="375" t="str">
        <f>IF(B827="", "", 'Lighting Inventory (Ref only)'!AG838)</f>
        <v/>
      </c>
      <c r="AL827" s="375" t="str">
        <f>IF(B827="", "", 'Lighting Inventory (Ref only)'!AD838)</f>
        <v/>
      </c>
      <c r="AM827" s="375" t="str">
        <f>IF(B827="", "", 'Lighting Inventory (Ref only)'!AE838)</f>
        <v/>
      </c>
      <c r="AN827" s="375" t="str">
        <f>IF(B827="", "", 'Lighting Inventory (Ref only)'!AF838)</f>
        <v/>
      </c>
      <c r="AO827" s="375" t="str">
        <f>IF(B827="", "", 'Lighting Inventory (Ref only)'!AG838)</f>
        <v/>
      </c>
    </row>
    <row r="828" spans="1:41">
      <c r="A828" s="298" t="str">
        <f>IF(G828="", "", Lookups!BF830)</f>
        <v/>
      </c>
      <c r="B828" s="298" t="str">
        <f>IF('Lighting Inventory (Ref only)'!Q839="", "", 'Lighting Inventory (Ref only)'!Q839)</f>
        <v/>
      </c>
      <c r="C828" s="298" t="str">
        <f>IF(A828="", "", 'Lighting Inventory (Ref only)'!AO839)</f>
        <v/>
      </c>
      <c r="D828" s="298" t="str">
        <f>IF(B828= "","", Inventory!S836)</f>
        <v/>
      </c>
      <c r="F828" s="298" t="str">
        <f>IF(B828="", "", 'Version Log'!$B$34)</f>
        <v/>
      </c>
      <c r="G828" s="298" t="str">
        <f t="shared" si="52"/>
        <v/>
      </c>
      <c r="H828" s="298" t="str">
        <f t="shared" si="53"/>
        <v/>
      </c>
      <c r="I828" s="298" t="str">
        <f>IF(B828="", "",Inventory!D836)</f>
        <v/>
      </c>
      <c r="J828" s="298" t="str">
        <f>IF(B828="","",IF(Inventory!C836="N","Interior","Exterior"))</f>
        <v/>
      </c>
      <c r="K828" s="298" t="str">
        <f t="shared" si="54"/>
        <v/>
      </c>
      <c r="L828" s="298" t="str">
        <f>IF(B828="", "", Inventory!E836)</f>
        <v/>
      </c>
      <c r="M828" s="298" t="str">
        <f>IF(B828="","",IF(Cool_Type=Lookups!$L$9,Cool_Type,IF(Cool_Type=Lookups!$L$10,Cool_Type,IF(Cool_Type=Lookups!$L$11,Cool_Type,IF(Cool_Type=Lookups!L838,Cool_Type,IF('Project Info and Summary'!$C$20="Electric",CONCATENATE(Cool_Type," ",Heating_Type," Heat"),IF('Project Info and Summary'!$C$20="Non-Electric",CONCATENATE(Cool_Type," ",Heating_Type," Heat"),CONCATENATE(Cool_Type," ",Heating_Type))))))))</f>
        <v/>
      </c>
      <c r="N828" s="298" t="str">
        <f t="shared" si="55"/>
        <v/>
      </c>
      <c r="O828" s="298" t="str">
        <f>IF(B828="", "", 'Lighting Inventory (Ref only)'!G839)</f>
        <v/>
      </c>
      <c r="P828" s="298" t="str">
        <f>IF(B828="", "", 'Lighting Inventory (Ref only)'!E839)</f>
        <v/>
      </c>
      <c r="Q828" s="298" t="str">
        <f>IF(B828="", "", 'Lighting Inventory (Ref only)'!J839)</f>
        <v/>
      </c>
      <c r="R828" s="298" t="str">
        <f>IF(B828="", "",'Lighting Inventory (Ref only)'!K839)</f>
        <v/>
      </c>
      <c r="S828" s="372" t="str">
        <f>IF(B828="", "", 'Lighting Inventory (Ref only)'!G839*'Lighting Inventory (Ref only)'!K839/1000)</f>
        <v/>
      </c>
      <c r="T828" s="298" t="str">
        <f>IF(B828="", "", IF('Lighting Inventory (Ref only)'!I839="", "Light Switch",Inventory!H836))</f>
        <v/>
      </c>
      <c r="X828" s="298" t="str">
        <f>IF(B828="", "", 'Lighting Inventory (Ref only)'!Q839)</f>
        <v/>
      </c>
      <c r="AA828" s="298" t="str">
        <f>IF(B828="", "",'Lighting Inventory (Ref only)'!R839/1000)</f>
        <v/>
      </c>
      <c r="AB828" s="298" t="str">
        <f>IF(B828="", "", Inventory!M836)</f>
        <v/>
      </c>
      <c r="AC828" s="298" t="str">
        <f>IF(B828="", "", 'Lighting Inventory (Ref only)'!T839)</f>
        <v/>
      </c>
      <c r="AD828" s="298" t="str">
        <f>IF(C828="", "", 'Lighting Inventory (Ref only)'!AA839)</f>
        <v/>
      </c>
      <c r="AE828" s="298" t="str">
        <f>IF(B828="", "", 'Lighting Inventory (Ref only)'!U839)</f>
        <v/>
      </c>
      <c r="AF828" s="298" t="str">
        <f>IF(B828="", "",'Lighting Inventory (Ref only)'!W839)</f>
        <v/>
      </c>
      <c r="AH828" s="298" t="str">
        <f>IF(B828="", "",'Lighting Inventory (Ref only)'!Z839)</f>
        <v/>
      </c>
      <c r="AI828" s="298" t="str">
        <f>IF(B828="", "", 'Lighting Inventory (Ref only)'!Y839)</f>
        <v/>
      </c>
      <c r="AJ828" s="298" t="str">
        <f>IF(C828="", "",'Lighting Inventory (Ref only)'!AB839)</f>
        <v/>
      </c>
      <c r="AK828" s="375" t="str">
        <f>IF(B828="", "", 'Lighting Inventory (Ref only)'!AG839)</f>
        <v/>
      </c>
      <c r="AL828" s="375" t="str">
        <f>IF(B828="", "", 'Lighting Inventory (Ref only)'!AD839)</f>
        <v/>
      </c>
      <c r="AM828" s="375" t="str">
        <f>IF(B828="", "", 'Lighting Inventory (Ref only)'!AE839)</f>
        <v/>
      </c>
      <c r="AN828" s="375" t="str">
        <f>IF(B828="", "", 'Lighting Inventory (Ref only)'!AF839)</f>
        <v/>
      </c>
      <c r="AO828" s="375" t="str">
        <f>IF(B828="", "", 'Lighting Inventory (Ref only)'!AG839)</f>
        <v/>
      </c>
    </row>
    <row r="829" spans="1:41">
      <c r="A829" s="298" t="str">
        <f>IF(G829="", "", Lookups!BF831)</f>
        <v/>
      </c>
      <c r="B829" s="298" t="str">
        <f>IF('Lighting Inventory (Ref only)'!Q840="", "", 'Lighting Inventory (Ref only)'!Q840)</f>
        <v/>
      </c>
      <c r="C829" s="298" t="str">
        <f>IF(A829="", "", 'Lighting Inventory (Ref only)'!AO840)</f>
        <v/>
      </c>
      <c r="D829" s="298" t="str">
        <f>IF(B829= "","", Inventory!S837)</f>
        <v/>
      </c>
      <c r="F829" s="298" t="str">
        <f>IF(B829="", "", 'Version Log'!$B$34)</f>
        <v/>
      </c>
      <c r="G829" s="298" t="str">
        <f t="shared" si="52"/>
        <v/>
      </c>
      <c r="H829" s="298" t="str">
        <f t="shared" si="53"/>
        <v/>
      </c>
      <c r="I829" s="298" t="str">
        <f>IF(B829="", "",Inventory!D837)</f>
        <v/>
      </c>
      <c r="J829" s="298" t="str">
        <f>IF(B829="","",IF(Inventory!C837="N","Interior","Exterior"))</f>
        <v/>
      </c>
      <c r="K829" s="298" t="str">
        <f t="shared" si="54"/>
        <v/>
      </c>
      <c r="L829" s="298" t="str">
        <f>IF(B829="", "", Inventory!E837)</f>
        <v/>
      </c>
      <c r="M829" s="298" t="str">
        <f>IF(B829="","",IF(Cool_Type=Lookups!$L$9,Cool_Type,IF(Cool_Type=Lookups!$L$10,Cool_Type,IF(Cool_Type=Lookups!$L$11,Cool_Type,IF(Cool_Type=Lookups!L839,Cool_Type,IF('Project Info and Summary'!$C$20="Electric",CONCATENATE(Cool_Type," ",Heating_Type," Heat"),IF('Project Info and Summary'!$C$20="Non-Electric",CONCATENATE(Cool_Type," ",Heating_Type," Heat"),CONCATENATE(Cool_Type," ",Heating_Type))))))))</f>
        <v/>
      </c>
      <c r="N829" s="298" t="str">
        <f t="shared" si="55"/>
        <v/>
      </c>
      <c r="O829" s="298" t="str">
        <f>IF(B829="", "", 'Lighting Inventory (Ref only)'!G840)</f>
        <v/>
      </c>
      <c r="P829" s="298" t="str">
        <f>IF(B829="", "", 'Lighting Inventory (Ref only)'!E840)</f>
        <v/>
      </c>
      <c r="Q829" s="298" t="str">
        <f>IF(B829="", "", 'Lighting Inventory (Ref only)'!J840)</f>
        <v/>
      </c>
      <c r="R829" s="298" t="str">
        <f>IF(B829="", "",'Lighting Inventory (Ref only)'!K840)</f>
        <v/>
      </c>
      <c r="S829" s="372" t="str">
        <f>IF(B829="", "", 'Lighting Inventory (Ref only)'!G840*'Lighting Inventory (Ref only)'!K840/1000)</f>
        <v/>
      </c>
      <c r="T829" s="298" t="str">
        <f>IF(B829="", "", IF('Lighting Inventory (Ref only)'!I840="", "Light Switch",Inventory!H837))</f>
        <v/>
      </c>
      <c r="X829" s="298" t="str">
        <f>IF(B829="", "", 'Lighting Inventory (Ref only)'!Q840)</f>
        <v/>
      </c>
      <c r="AA829" s="298" t="str">
        <f>IF(B829="", "",'Lighting Inventory (Ref only)'!R840/1000)</f>
        <v/>
      </c>
      <c r="AB829" s="298" t="str">
        <f>IF(B829="", "", Inventory!M837)</f>
        <v/>
      </c>
      <c r="AC829" s="298" t="str">
        <f>IF(B829="", "", 'Lighting Inventory (Ref only)'!T840)</f>
        <v/>
      </c>
      <c r="AD829" s="298" t="str">
        <f>IF(C829="", "", 'Lighting Inventory (Ref only)'!AA840)</f>
        <v/>
      </c>
      <c r="AE829" s="298" t="str">
        <f>IF(B829="", "", 'Lighting Inventory (Ref only)'!U840)</f>
        <v/>
      </c>
      <c r="AF829" s="298" t="str">
        <f>IF(B829="", "",'Lighting Inventory (Ref only)'!W840)</f>
        <v/>
      </c>
      <c r="AH829" s="298" t="str">
        <f>IF(B829="", "",'Lighting Inventory (Ref only)'!Z840)</f>
        <v/>
      </c>
      <c r="AI829" s="298" t="str">
        <f>IF(B829="", "", 'Lighting Inventory (Ref only)'!Y840)</f>
        <v/>
      </c>
      <c r="AJ829" s="298" t="str">
        <f>IF(C829="", "",'Lighting Inventory (Ref only)'!AB840)</f>
        <v/>
      </c>
      <c r="AK829" s="375" t="str">
        <f>IF(B829="", "", 'Lighting Inventory (Ref only)'!AG840)</f>
        <v/>
      </c>
      <c r="AL829" s="375" t="str">
        <f>IF(B829="", "", 'Lighting Inventory (Ref only)'!AD840)</f>
        <v/>
      </c>
      <c r="AM829" s="375" t="str">
        <f>IF(B829="", "", 'Lighting Inventory (Ref only)'!AE840)</f>
        <v/>
      </c>
      <c r="AN829" s="375" t="str">
        <f>IF(B829="", "", 'Lighting Inventory (Ref only)'!AF840)</f>
        <v/>
      </c>
      <c r="AO829" s="375" t="str">
        <f>IF(B829="", "", 'Lighting Inventory (Ref only)'!AG840)</f>
        <v/>
      </c>
    </row>
    <row r="830" spans="1:41">
      <c r="A830" s="298" t="str">
        <f>IF(G830="", "", Lookups!BF832)</f>
        <v/>
      </c>
      <c r="B830" s="298" t="str">
        <f>IF('Lighting Inventory (Ref only)'!Q841="", "", 'Lighting Inventory (Ref only)'!Q841)</f>
        <v/>
      </c>
      <c r="C830" s="298" t="str">
        <f>IF(A830="", "", 'Lighting Inventory (Ref only)'!AO841)</f>
        <v/>
      </c>
      <c r="D830" s="298" t="str">
        <f>IF(B830= "","", Inventory!S838)</f>
        <v/>
      </c>
      <c r="F830" s="298" t="str">
        <f>IF(B830="", "", 'Version Log'!$B$34)</f>
        <v/>
      </c>
      <c r="G830" s="298" t="str">
        <f t="shared" si="52"/>
        <v/>
      </c>
      <c r="H830" s="298" t="str">
        <f t="shared" si="53"/>
        <v/>
      </c>
      <c r="I830" s="298" t="str">
        <f>IF(B830="", "",Inventory!D838)</f>
        <v/>
      </c>
      <c r="J830" s="298" t="str">
        <f>IF(B830="","",IF(Inventory!C838="N","Interior","Exterior"))</f>
        <v/>
      </c>
      <c r="K830" s="298" t="str">
        <f t="shared" si="54"/>
        <v/>
      </c>
      <c r="L830" s="298" t="str">
        <f>IF(B830="", "", Inventory!E838)</f>
        <v/>
      </c>
      <c r="M830" s="298" t="str">
        <f>IF(B830="","",IF(Cool_Type=Lookups!$L$9,Cool_Type,IF(Cool_Type=Lookups!$L$10,Cool_Type,IF(Cool_Type=Lookups!$L$11,Cool_Type,IF(Cool_Type=Lookups!L840,Cool_Type,IF('Project Info and Summary'!$C$20="Electric",CONCATENATE(Cool_Type," ",Heating_Type," Heat"),IF('Project Info and Summary'!$C$20="Non-Electric",CONCATENATE(Cool_Type," ",Heating_Type," Heat"),CONCATENATE(Cool_Type," ",Heating_Type))))))))</f>
        <v/>
      </c>
      <c r="N830" s="298" t="str">
        <f t="shared" si="55"/>
        <v/>
      </c>
      <c r="O830" s="298" t="str">
        <f>IF(B830="", "", 'Lighting Inventory (Ref only)'!G841)</f>
        <v/>
      </c>
      <c r="P830" s="298" t="str">
        <f>IF(B830="", "", 'Lighting Inventory (Ref only)'!E841)</f>
        <v/>
      </c>
      <c r="Q830" s="298" t="str">
        <f>IF(B830="", "", 'Lighting Inventory (Ref only)'!J841)</f>
        <v/>
      </c>
      <c r="R830" s="298" t="str">
        <f>IF(B830="", "",'Lighting Inventory (Ref only)'!K841)</f>
        <v/>
      </c>
      <c r="S830" s="372" t="str">
        <f>IF(B830="", "", 'Lighting Inventory (Ref only)'!G841*'Lighting Inventory (Ref only)'!K841/1000)</f>
        <v/>
      </c>
      <c r="T830" s="298" t="str">
        <f>IF(B830="", "", IF('Lighting Inventory (Ref only)'!I841="", "Light Switch",Inventory!H838))</f>
        <v/>
      </c>
      <c r="X830" s="298" t="str">
        <f>IF(B830="", "", 'Lighting Inventory (Ref only)'!Q841)</f>
        <v/>
      </c>
      <c r="AA830" s="298" t="str">
        <f>IF(B830="", "",'Lighting Inventory (Ref only)'!R841/1000)</f>
        <v/>
      </c>
      <c r="AB830" s="298" t="str">
        <f>IF(B830="", "", Inventory!M838)</f>
        <v/>
      </c>
      <c r="AC830" s="298" t="str">
        <f>IF(B830="", "", 'Lighting Inventory (Ref only)'!T841)</f>
        <v/>
      </c>
      <c r="AD830" s="298" t="str">
        <f>IF(C830="", "", 'Lighting Inventory (Ref only)'!AA841)</f>
        <v/>
      </c>
      <c r="AE830" s="298" t="str">
        <f>IF(B830="", "", 'Lighting Inventory (Ref only)'!U841)</f>
        <v/>
      </c>
      <c r="AF830" s="298" t="str">
        <f>IF(B830="", "",'Lighting Inventory (Ref only)'!W841)</f>
        <v/>
      </c>
      <c r="AH830" s="298" t="str">
        <f>IF(B830="", "",'Lighting Inventory (Ref only)'!Z841)</f>
        <v/>
      </c>
      <c r="AI830" s="298" t="str">
        <f>IF(B830="", "", 'Lighting Inventory (Ref only)'!Y841)</f>
        <v/>
      </c>
      <c r="AJ830" s="298" t="str">
        <f>IF(C830="", "",'Lighting Inventory (Ref only)'!AB841)</f>
        <v/>
      </c>
      <c r="AK830" s="375" t="str">
        <f>IF(B830="", "", 'Lighting Inventory (Ref only)'!AG841)</f>
        <v/>
      </c>
      <c r="AL830" s="375" t="str">
        <f>IF(B830="", "", 'Lighting Inventory (Ref only)'!AD841)</f>
        <v/>
      </c>
      <c r="AM830" s="375" t="str">
        <f>IF(B830="", "", 'Lighting Inventory (Ref only)'!AE841)</f>
        <v/>
      </c>
      <c r="AN830" s="375" t="str">
        <f>IF(B830="", "", 'Lighting Inventory (Ref only)'!AF841)</f>
        <v/>
      </c>
      <c r="AO830" s="375" t="str">
        <f>IF(B830="", "", 'Lighting Inventory (Ref only)'!AG841)</f>
        <v/>
      </c>
    </row>
    <row r="831" spans="1:41">
      <c r="A831" s="298" t="str">
        <f>IF(G831="", "", Lookups!BF833)</f>
        <v/>
      </c>
      <c r="B831" s="298" t="str">
        <f>IF('Lighting Inventory (Ref only)'!Q842="", "", 'Lighting Inventory (Ref only)'!Q842)</f>
        <v/>
      </c>
      <c r="C831" s="298" t="str">
        <f>IF(A831="", "", 'Lighting Inventory (Ref only)'!AO842)</f>
        <v/>
      </c>
      <c r="D831" s="298" t="str">
        <f>IF(B831= "","", Inventory!S839)</f>
        <v/>
      </c>
      <c r="F831" s="298" t="str">
        <f>IF(B831="", "", 'Version Log'!$B$34)</f>
        <v/>
      </c>
      <c r="G831" s="298" t="str">
        <f t="shared" si="52"/>
        <v/>
      </c>
      <c r="H831" s="298" t="str">
        <f t="shared" si="53"/>
        <v/>
      </c>
      <c r="I831" s="298" t="str">
        <f>IF(B831="", "",Inventory!D839)</f>
        <v/>
      </c>
      <c r="J831" s="298" t="str">
        <f>IF(B831="","",IF(Inventory!C839="N","Interior","Exterior"))</f>
        <v/>
      </c>
      <c r="K831" s="298" t="str">
        <f t="shared" si="54"/>
        <v/>
      </c>
      <c r="L831" s="298" t="str">
        <f>IF(B831="", "", Inventory!E839)</f>
        <v/>
      </c>
      <c r="M831" s="298" t="str">
        <f>IF(B831="","",IF(Cool_Type=Lookups!$L$9,Cool_Type,IF(Cool_Type=Lookups!$L$10,Cool_Type,IF(Cool_Type=Lookups!$L$11,Cool_Type,IF(Cool_Type=Lookups!L841,Cool_Type,IF('Project Info and Summary'!$C$20="Electric",CONCATENATE(Cool_Type," ",Heating_Type," Heat"),IF('Project Info and Summary'!$C$20="Non-Electric",CONCATENATE(Cool_Type," ",Heating_Type," Heat"),CONCATENATE(Cool_Type," ",Heating_Type))))))))</f>
        <v/>
      </c>
      <c r="N831" s="298" t="str">
        <f t="shared" si="55"/>
        <v/>
      </c>
      <c r="O831" s="298" t="str">
        <f>IF(B831="", "", 'Lighting Inventory (Ref only)'!G842)</f>
        <v/>
      </c>
      <c r="P831" s="298" t="str">
        <f>IF(B831="", "", 'Lighting Inventory (Ref only)'!E842)</f>
        <v/>
      </c>
      <c r="Q831" s="298" t="str">
        <f>IF(B831="", "", 'Lighting Inventory (Ref only)'!J842)</f>
        <v/>
      </c>
      <c r="R831" s="298" t="str">
        <f>IF(B831="", "",'Lighting Inventory (Ref only)'!K842)</f>
        <v/>
      </c>
      <c r="S831" s="372" t="str">
        <f>IF(B831="", "", 'Lighting Inventory (Ref only)'!G842*'Lighting Inventory (Ref only)'!K842/1000)</f>
        <v/>
      </c>
      <c r="T831" s="298" t="str">
        <f>IF(B831="", "", IF('Lighting Inventory (Ref only)'!I842="", "Light Switch",Inventory!H839))</f>
        <v/>
      </c>
      <c r="X831" s="298" t="str">
        <f>IF(B831="", "", 'Lighting Inventory (Ref only)'!Q842)</f>
        <v/>
      </c>
      <c r="AA831" s="298" t="str">
        <f>IF(B831="", "",'Lighting Inventory (Ref only)'!R842/1000)</f>
        <v/>
      </c>
      <c r="AB831" s="298" t="str">
        <f>IF(B831="", "", Inventory!M839)</f>
        <v/>
      </c>
      <c r="AC831" s="298" t="str">
        <f>IF(B831="", "", 'Lighting Inventory (Ref only)'!T842)</f>
        <v/>
      </c>
      <c r="AD831" s="298" t="str">
        <f>IF(C831="", "", 'Lighting Inventory (Ref only)'!AA842)</f>
        <v/>
      </c>
      <c r="AE831" s="298" t="str">
        <f>IF(B831="", "", 'Lighting Inventory (Ref only)'!U842)</f>
        <v/>
      </c>
      <c r="AF831" s="298" t="str">
        <f>IF(B831="", "",'Lighting Inventory (Ref only)'!W842)</f>
        <v/>
      </c>
      <c r="AH831" s="298" t="str">
        <f>IF(B831="", "",'Lighting Inventory (Ref only)'!Z842)</f>
        <v/>
      </c>
      <c r="AI831" s="298" t="str">
        <f>IF(B831="", "", 'Lighting Inventory (Ref only)'!Y842)</f>
        <v/>
      </c>
      <c r="AJ831" s="298" t="str">
        <f>IF(C831="", "",'Lighting Inventory (Ref only)'!AB842)</f>
        <v/>
      </c>
      <c r="AK831" s="375" t="str">
        <f>IF(B831="", "", 'Lighting Inventory (Ref only)'!AG842)</f>
        <v/>
      </c>
      <c r="AL831" s="375" t="str">
        <f>IF(B831="", "", 'Lighting Inventory (Ref only)'!AD842)</f>
        <v/>
      </c>
      <c r="AM831" s="375" t="str">
        <f>IF(B831="", "", 'Lighting Inventory (Ref only)'!AE842)</f>
        <v/>
      </c>
      <c r="AN831" s="375" t="str">
        <f>IF(B831="", "", 'Lighting Inventory (Ref only)'!AF842)</f>
        <v/>
      </c>
      <c r="AO831" s="375" t="str">
        <f>IF(B831="", "", 'Lighting Inventory (Ref only)'!AG842)</f>
        <v/>
      </c>
    </row>
    <row r="832" spans="1:41">
      <c r="A832" s="298" t="str">
        <f>IF(G832="", "", Lookups!BF834)</f>
        <v/>
      </c>
      <c r="B832" s="298" t="str">
        <f>IF('Lighting Inventory (Ref only)'!Q843="", "", 'Lighting Inventory (Ref only)'!Q843)</f>
        <v/>
      </c>
      <c r="C832" s="298" t="str">
        <f>IF(A832="", "", 'Lighting Inventory (Ref only)'!AO843)</f>
        <v/>
      </c>
      <c r="D832" s="298" t="str">
        <f>IF(B832= "","", Inventory!S840)</f>
        <v/>
      </c>
      <c r="F832" s="298" t="str">
        <f>IF(B832="", "", 'Version Log'!$B$34)</f>
        <v/>
      </c>
      <c r="G832" s="298" t="str">
        <f t="shared" si="52"/>
        <v/>
      </c>
      <c r="H832" s="298" t="str">
        <f t="shared" si="53"/>
        <v/>
      </c>
      <c r="I832" s="298" t="str">
        <f>IF(B832="", "",Inventory!D840)</f>
        <v/>
      </c>
      <c r="J832" s="298" t="str">
        <f>IF(B832="","",IF(Inventory!C840="N","Interior","Exterior"))</f>
        <v/>
      </c>
      <c r="K832" s="298" t="str">
        <f t="shared" si="54"/>
        <v/>
      </c>
      <c r="L832" s="298" t="str">
        <f>IF(B832="", "", Inventory!E840)</f>
        <v/>
      </c>
      <c r="M832" s="298" t="str">
        <f>IF(B832="","",IF(Cool_Type=Lookups!$L$9,Cool_Type,IF(Cool_Type=Lookups!$L$10,Cool_Type,IF(Cool_Type=Lookups!$L$11,Cool_Type,IF(Cool_Type=Lookups!L842,Cool_Type,IF('Project Info and Summary'!$C$20="Electric",CONCATENATE(Cool_Type," ",Heating_Type," Heat"),IF('Project Info and Summary'!$C$20="Non-Electric",CONCATENATE(Cool_Type," ",Heating_Type," Heat"),CONCATENATE(Cool_Type," ",Heating_Type))))))))</f>
        <v/>
      </c>
      <c r="N832" s="298" t="str">
        <f t="shared" si="55"/>
        <v/>
      </c>
      <c r="O832" s="298" t="str">
        <f>IF(B832="", "", 'Lighting Inventory (Ref only)'!G843)</f>
        <v/>
      </c>
      <c r="P832" s="298" t="str">
        <f>IF(B832="", "", 'Lighting Inventory (Ref only)'!E843)</f>
        <v/>
      </c>
      <c r="Q832" s="298" t="str">
        <f>IF(B832="", "", 'Lighting Inventory (Ref only)'!J843)</f>
        <v/>
      </c>
      <c r="R832" s="298" t="str">
        <f>IF(B832="", "",'Lighting Inventory (Ref only)'!K843)</f>
        <v/>
      </c>
      <c r="S832" s="372" t="str">
        <f>IF(B832="", "", 'Lighting Inventory (Ref only)'!G843*'Lighting Inventory (Ref only)'!K843/1000)</f>
        <v/>
      </c>
      <c r="T832" s="298" t="str">
        <f>IF(B832="", "", IF('Lighting Inventory (Ref only)'!I843="", "Light Switch",Inventory!H840))</f>
        <v/>
      </c>
      <c r="X832" s="298" t="str">
        <f>IF(B832="", "", 'Lighting Inventory (Ref only)'!Q843)</f>
        <v/>
      </c>
      <c r="AA832" s="298" t="str">
        <f>IF(B832="", "",'Lighting Inventory (Ref only)'!R843/1000)</f>
        <v/>
      </c>
      <c r="AB832" s="298" t="str">
        <f>IF(B832="", "", Inventory!M840)</f>
        <v/>
      </c>
      <c r="AC832" s="298" t="str">
        <f>IF(B832="", "", 'Lighting Inventory (Ref only)'!T843)</f>
        <v/>
      </c>
      <c r="AD832" s="298" t="str">
        <f>IF(C832="", "", 'Lighting Inventory (Ref only)'!AA843)</f>
        <v/>
      </c>
      <c r="AE832" s="298" t="str">
        <f>IF(B832="", "", 'Lighting Inventory (Ref only)'!U843)</f>
        <v/>
      </c>
      <c r="AF832" s="298" t="str">
        <f>IF(B832="", "",'Lighting Inventory (Ref only)'!W843)</f>
        <v/>
      </c>
      <c r="AH832" s="298" t="str">
        <f>IF(B832="", "",'Lighting Inventory (Ref only)'!Z843)</f>
        <v/>
      </c>
      <c r="AI832" s="298" t="str">
        <f>IF(B832="", "", 'Lighting Inventory (Ref only)'!Y843)</f>
        <v/>
      </c>
      <c r="AJ832" s="298" t="str">
        <f>IF(C832="", "",'Lighting Inventory (Ref only)'!AB843)</f>
        <v/>
      </c>
      <c r="AK832" s="375" t="str">
        <f>IF(B832="", "", 'Lighting Inventory (Ref only)'!AG843)</f>
        <v/>
      </c>
      <c r="AL832" s="375" t="str">
        <f>IF(B832="", "", 'Lighting Inventory (Ref only)'!AD843)</f>
        <v/>
      </c>
      <c r="AM832" s="375" t="str">
        <f>IF(B832="", "", 'Lighting Inventory (Ref only)'!AE843)</f>
        <v/>
      </c>
      <c r="AN832" s="375" t="str">
        <f>IF(B832="", "", 'Lighting Inventory (Ref only)'!AF843)</f>
        <v/>
      </c>
      <c r="AO832" s="375" t="str">
        <f>IF(B832="", "", 'Lighting Inventory (Ref only)'!AG843)</f>
        <v/>
      </c>
    </row>
    <row r="833" spans="1:41">
      <c r="A833" s="298" t="str">
        <f>IF(G833="", "", Lookups!BF835)</f>
        <v/>
      </c>
      <c r="B833" s="298" t="str">
        <f>IF('Lighting Inventory (Ref only)'!Q844="", "", 'Lighting Inventory (Ref only)'!Q844)</f>
        <v/>
      </c>
      <c r="C833" s="298" t="str">
        <f>IF(A833="", "", 'Lighting Inventory (Ref only)'!AO844)</f>
        <v/>
      </c>
      <c r="D833" s="298" t="str">
        <f>IF(B833= "","", Inventory!S841)</f>
        <v/>
      </c>
      <c r="F833" s="298" t="str">
        <f>IF(B833="", "", 'Version Log'!$B$34)</f>
        <v/>
      </c>
      <c r="G833" s="298" t="str">
        <f t="shared" si="52"/>
        <v/>
      </c>
      <c r="H833" s="298" t="str">
        <f t="shared" si="53"/>
        <v/>
      </c>
      <c r="I833" s="298" t="str">
        <f>IF(B833="", "",Inventory!D841)</f>
        <v/>
      </c>
      <c r="J833" s="298" t="str">
        <f>IF(B833="","",IF(Inventory!C841="N","Interior","Exterior"))</f>
        <v/>
      </c>
      <c r="K833" s="298" t="str">
        <f t="shared" si="54"/>
        <v/>
      </c>
      <c r="L833" s="298" t="str">
        <f>IF(B833="", "", Inventory!E841)</f>
        <v/>
      </c>
      <c r="M833" s="298" t="str">
        <f>IF(B833="","",IF(Cool_Type=Lookups!$L$9,Cool_Type,IF(Cool_Type=Lookups!$L$10,Cool_Type,IF(Cool_Type=Lookups!$L$11,Cool_Type,IF(Cool_Type=Lookups!L843,Cool_Type,IF('Project Info and Summary'!$C$20="Electric",CONCATENATE(Cool_Type," ",Heating_Type," Heat"),IF('Project Info and Summary'!$C$20="Non-Electric",CONCATENATE(Cool_Type," ",Heating_Type," Heat"),CONCATENATE(Cool_Type," ",Heating_Type))))))))</f>
        <v/>
      </c>
      <c r="N833" s="298" t="str">
        <f t="shared" si="55"/>
        <v/>
      </c>
      <c r="O833" s="298" t="str">
        <f>IF(B833="", "", 'Lighting Inventory (Ref only)'!G844)</f>
        <v/>
      </c>
      <c r="P833" s="298" t="str">
        <f>IF(B833="", "", 'Lighting Inventory (Ref only)'!E844)</f>
        <v/>
      </c>
      <c r="Q833" s="298" t="str">
        <f>IF(B833="", "", 'Lighting Inventory (Ref only)'!J844)</f>
        <v/>
      </c>
      <c r="R833" s="298" t="str">
        <f>IF(B833="", "",'Lighting Inventory (Ref only)'!K844)</f>
        <v/>
      </c>
      <c r="S833" s="372" t="str">
        <f>IF(B833="", "", 'Lighting Inventory (Ref only)'!G844*'Lighting Inventory (Ref only)'!K844/1000)</f>
        <v/>
      </c>
      <c r="T833" s="298" t="str">
        <f>IF(B833="", "", IF('Lighting Inventory (Ref only)'!I844="", "Light Switch",Inventory!H841))</f>
        <v/>
      </c>
      <c r="X833" s="298" t="str">
        <f>IF(B833="", "", 'Lighting Inventory (Ref only)'!Q844)</f>
        <v/>
      </c>
      <c r="AA833" s="298" t="str">
        <f>IF(B833="", "",'Lighting Inventory (Ref only)'!R844/1000)</f>
        <v/>
      </c>
      <c r="AB833" s="298" t="str">
        <f>IF(B833="", "", Inventory!M841)</f>
        <v/>
      </c>
      <c r="AC833" s="298" t="str">
        <f>IF(B833="", "", 'Lighting Inventory (Ref only)'!T844)</f>
        <v/>
      </c>
      <c r="AD833" s="298" t="str">
        <f>IF(C833="", "", 'Lighting Inventory (Ref only)'!AA844)</f>
        <v/>
      </c>
      <c r="AE833" s="298" t="str">
        <f>IF(B833="", "", 'Lighting Inventory (Ref only)'!U844)</f>
        <v/>
      </c>
      <c r="AF833" s="298" t="str">
        <f>IF(B833="", "",'Lighting Inventory (Ref only)'!W844)</f>
        <v/>
      </c>
      <c r="AH833" s="298" t="str">
        <f>IF(B833="", "",'Lighting Inventory (Ref only)'!Z844)</f>
        <v/>
      </c>
      <c r="AI833" s="298" t="str">
        <f>IF(B833="", "", 'Lighting Inventory (Ref only)'!Y844)</f>
        <v/>
      </c>
      <c r="AJ833" s="298" t="str">
        <f>IF(C833="", "",'Lighting Inventory (Ref only)'!AB844)</f>
        <v/>
      </c>
      <c r="AK833" s="375" t="str">
        <f>IF(B833="", "", 'Lighting Inventory (Ref only)'!AG844)</f>
        <v/>
      </c>
      <c r="AL833" s="375" t="str">
        <f>IF(B833="", "", 'Lighting Inventory (Ref only)'!AD844)</f>
        <v/>
      </c>
      <c r="AM833" s="375" t="str">
        <f>IF(B833="", "", 'Lighting Inventory (Ref only)'!AE844)</f>
        <v/>
      </c>
      <c r="AN833" s="375" t="str">
        <f>IF(B833="", "", 'Lighting Inventory (Ref only)'!AF844)</f>
        <v/>
      </c>
      <c r="AO833" s="375" t="str">
        <f>IF(B833="", "", 'Lighting Inventory (Ref only)'!AG844)</f>
        <v/>
      </c>
    </row>
    <row r="834" spans="1:41">
      <c r="A834" s="298" t="str">
        <f>IF(G834="", "", Lookups!BF836)</f>
        <v/>
      </c>
      <c r="B834" s="298" t="str">
        <f>IF('Lighting Inventory (Ref only)'!Q845="", "", 'Lighting Inventory (Ref only)'!Q845)</f>
        <v/>
      </c>
      <c r="C834" s="298" t="str">
        <f>IF(A834="", "", 'Lighting Inventory (Ref only)'!AO845)</f>
        <v/>
      </c>
      <c r="D834" s="298" t="str">
        <f>IF(B834= "","", Inventory!S842)</f>
        <v/>
      </c>
      <c r="F834" s="298" t="str">
        <f>IF(B834="", "", 'Version Log'!$B$34)</f>
        <v/>
      </c>
      <c r="G834" s="298" t="str">
        <f t="shared" si="52"/>
        <v/>
      </c>
      <c r="H834" s="298" t="str">
        <f t="shared" si="53"/>
        <v/>
      </c>
      <c r="I834" s="298" t="str">
        <f>IF(B834="", "",Inventory!D842)</f>
        <v/>
      </c>
      <c r="J834" s="298" t="str">
        <f>IF(B834="","",IF(Inventory!C842="N","Interior","Exterior"))</f>
        <v/>
      </c>
      <c r="K834" s="298" t="str">
        <f t="shared" si="54"/>
        <v/>
      </c>
      <c r="L834" s="298" t="str">
        <f>IF(B834="", "", Inventory!E842)</f>
        <v/>
      </c>
      <c r="M834" s="298" t="str">
        <f>IF(B834="","",IF(Cool_Type=Lookups!$L$9,Cool_Type,IF(Cool_Type=Lookups!$L$10,Cool_Type,IF(Cool_Type=Lookups!$L$11,Cool_Type,IF(Cool_Type=Lookups!L844,Cool_Type,IF('Project Info and Summary'!$C$20="Electric",CONCATENATE(Cool_Type," ",Heating_Type," Heat"),IF('Project Info and Summary'!$C$20="Non-Electric",CONCATENATE(Cool_Type," ",Heating_Type," Heat"),CONCATENATE(Cool_Type," ",Heating_Type))))))))</f>
        <v/>
      </c>
      <c r="N834" s="298" t="str">
        <f t="shared" si="55"/>
        <v/>
      </c>
      <c r="O834" s="298" t="str">
        <f>IF(B834="", "", 'Lighting Inventory (Ref only)'!G845)</f>
        <v/>
      </c>
      <c r="P834" s="298" t="str">
        <f>IF(B834="", "", 'Lighting Inventory (Ref only)'!E845)</f>
        <v/>
      </c>
      <c r="Q834" s="298" t="str">
        <f>IF(B834="", "", 'Lighting Inventory (Ref only)'!J845)</f>
        <v/>
      </c>
      <c r="R834" s="298" t="str">
        <f>IF(B834="", "",'Lighting Inventory (Ref only)'!K845)</f>
        <v/>
      </c>
      <c r="S834" s="372" t="str">
        <f>IF(B834="", "", 'Lighting Inventory (Ref only)'!G845*'Lighting Inventory (Ref only)'!K845/1000)</f>
        <v/>
      </c>
      <c r="T834" s="298" t="str">
        <f>IF(B834="", "", IF('Lighting Inventory (Ref only)'!I845="", "Light Switch",Inventory!H842))</f>
        <v/>
      </c>
      <c r="X834" s="298" t="str">
        <f>IF(B834="", "", 'Lighting Inventory (Ref only)'!Q845)</f>
        <v/>
      </c>
      <c r="AA834" s="298" t="str">
        <f>IF(B834="", "",'Lighting Inventory (Ref only)'!R845/1000)</f>
        <v/>
      </c>
      <c r="AB834" s="298" t="str">
        <f>IF(B834="", "", Inventory!M842)</f>
        <v/>
      </c>
      <c r="AC834" s="298" t="str">
        <f>IF(B834="", "", 'Lighting Inventory (Ref only)'!T845)</f>
        <v/>
      </c>
      <c r="AD834" s="298" t="str">
        <f>IF(C834="", "", 'Lighting Inventory (Ref only)'!AA845)</f>
        <v/>
      </c>
      <c r="AE834" s="298" t="str">
        <f>IF(B834="", "", 'Lighting Inventory (Ref only)'!U845)</f>
        <v/>
      </c>
      <c r="AF834" s="298" t="str">
        <f>IF(B834="", "",'Lighting Inventory (Ref only)'!W845)</f>
        <v/>
      </c>
      <c r="AH834" s="298" t="str">
        <f>IF(B834="", "",'Lighting Inventory (Ref only)'!Z845)</f>
        <v/>
      </c>
      <c r="AI834" s="298" t="str">
        <f>IF(B834="", "", 'Lighting Inventory (Ref only)'!Y845)</f>
        <v/>
      </c>
      <c r="AJ834" s="298" t="str">
        <f>IF(C834="", "",'Lighting Inventory (Ref only)'!AB845)</f>
        <v/>
      </c>
      <c r="AK834" s="375" t="str">
        <f>IF(B834="", "", 'Lighting Inventory (Ref only)'!AG845)</f>
        <v/>
      </c>
      <c r="AL834" s="375" t="str">
        <f>IF(B834="", "", 'Lighting Inventory (Ref only)'!AD845)</f>
        <v/>
      </c>
      <c r="AM834" s="375" t="str">
        <f>IF(B834="", "", 'Lighting Inventory (Ref only)'!AE845)</f>
        <v/>
      </c>
      <c r="AN834" s="375" t="str">
        <f>IF(B834="", "", 'Lighting Inventory (Ref only)'!AF845)</f>
        <v/>
      </c>
      <c r="AO834" s="375" t="str">
        <f>IF(B834="", "", 'Lighting Inventory (Ref only)'!AG845)</f>
        <v/>
      </c>
    </row>
    <row r="835" spans="1:41">
      <c r="A835" s="298" t="str">
        <f>IF(G835="", "", Lookups!BF837)</f>
        <v/>
      </c>
      <c r="B835" s="298" t="str">
        <f>IF('Lighting Inventory (Ref only)'!Q846="", "", 'Lighting Inventory (Ref only)'!Q846)</f>
        <v/>
      </c>
      <c r="C835" s="298" t="str">
        <f>IF(A835="", "", 'Lighting Inventory (Ref only)'!AO846)</f>
        <v/>
      </c>
      <c r="D835" s="298" t="str">
        <f>IF(B835= "","", Inventory!S843)</f>
        <v/>
      </c>
      <c r="F835" s="298" t="str">
        <f>IF(B835="", "", 'Version Log'!$B$34)</f>
        <v/>
      </c>
      <c r="G835" s="298" t="str">
        <f t="shared" si="52"/>
        <v/>
      </c>
      <c r="H835" s="298" t="str">
        <f t="shared" si="53"/>
        <v/>
      </c>
      <c r="I835" s="298" t="str">
        <f>IF(B835="", "",Inventory!D843)</f>
        <v/>
      </c>
      <c r="J835" s="298" t="str">
        <f>IF(B835="","",IF(Inventory!C843="N","Interior","Exterior"))</f>
        <v/>
      </c>
      <c r="K835" s="298" t="str">
        <f t="shared" si="54"/>
        <v/>
      </c>
      <c r="L835" s="298" t="str">
        <f>IF(B835="", "", Inventory!E843)</f>
        <v/>
      </c>
      <c r="M835" s="298" t="str">
        <f>IF(B835="","",IF(Cool_Type=Lookups!$L$9,Cool_Type,IF(Cool_Type=Lookups!$L$10,Cool_Type,IF(Cool_Type=Lookups!$L$11,Cool_Type,IF(Cool_Type=Lookups!L845,Cool_Type,IF('Project Info and Summary'!$C$20="Electric",CONCATENATE(Cool_Type," ",Heating_Type," Heat"),IF('Project Info and Summary'!$C$20="Non-Electric",CONCATENATE(Cool_Type," ",Heating_Type," Heat"),CONCATENATE(Cool_Type," ",Heating_Type))))))))</f>
        <v/>
      </c>
      <c r="N835" s="298" t="str">
        <f t="shared" si="55"/>
        <v/>
      </c>
      <c r="O835" s="298" t="str">
        <f>IF(B835="", "", 'Lighting Inventory (Ref only)'!G846)</f>
        <v/>
      </c>
      <c r="P835" s="298" t="str">
        <f>IF(B835="", "", 'Lighting Inventory (Ref only)'!E846)</f>
        <v/>
      </c>
      <c r="Q835" s="298" t="str">
        <f>IF(B835="", "", 'Lighting Inventory (Ref only)'!J846)</f>
        <v/>
      </c>
      <c r="R835" s="298" t="str">
        <f>IF(B835="", "",'Lighting Inventory (Ref only)'!K846)</f>
        <v/>
      </c>
      <c r="S835" s="372" t="str">
        <f>IF(B835="", "", 'Lighting Inventory (Ref only)'!G846*'Lighting Inventory (Ref only)'!K846/1000)</f>
        <v/>
      </c>
      <c r="T835" s="298" t="str">
        <f>IF(B835="", "", IF('Lighting Inventory (Ref only)'!I846="", "Light Switch",Inventory!H843))</f>
        <v/>
      </c>
      <c r="X835" s="298" t="str">
        <f>IF(B835="", "", 'Lighting Inventory (Ref only)'!Q846)</f>
        <v/>
      </c>
      <c r="AA835" s="298" t="str">
        <f>IF(B835="", "",'Lighting Inventory (Ref only)'!R846/1000)</f>
        <v/>
      </c>
      <c r="AB835" s="298" t="str">
        <f>IF(B835="", "", Inventory!M843)</f>
        <v/>
      </c>
      <c r="AC835" s="298" t="str">
        <f>IF(B835="", "", 'Lighting Inventory (Ref only)'!T846)</f>
        <v/>
      </c>
      <c r="AD835" s="298" t="str">
        <f>IF(C835="", "", 'Lighting Inventory (Ref only)'!AA846)</f>
        <v/>
      </c>
      <c r="AE835" s="298" t="str">
        <f>IF(B835="", "", 'Lighting Inventory (Ref only)'!U846)</f>
        <v/>
      </c>
      <c r="AF835" s="298" t="str">
        <f>IF(B835="", "",'Lighting Inventory (Ref only)'!W846)</f>
        <v/>
      </c>
      <c r="AH835" s="298" t="str">
        <f>IF(B835="", "",'Lighting Inventory (Ref only)'!Z846)</f>
        <v/>
      </c>
      <c r="AI835" s="298" t="str">
        <f>IF(B835="", "", 'Lighting Inventory (Ref only)'!Y846)</f>
        <v/>
      </c>
      <c r="AJ835" s="298" t="str">
        <f>IF(C835="", "",'Lighting Inventory (Ref only)'!AB846)</f>
        <v/>
      </c>
      <c r="AK835" s="375" t="str">
        <f>IF(B835="", "", 'Lighting Inventory (Ref only)'!AG846)</f>
        <v/>
      </c>
      <c r="AL835" s="375" t="str">
        <f>IF(B835="", "", 'Lighting Inventory (Ref only)'!AD846)</f>
        <v/>
      </c>
      <c r="AM835" s="375" t="str">
        <f>IF(B835="", "", 'Lighting Inventory (Ref only)'!AE846)</f>
        <v/>
      </c>
      <c r="AN835" s="375" t="str">
        <f>IF(B835="", "", 'Lighting Inventory (Ref only)'!AF846)</f>
        <v/>
      </c>
      <c r="AO835" s="375" t="str">
        <f>IF(B835="", "", 'Lighting Inventory (Ref only)'!AG846)</f>
        <v/>
      </c>
    </row>
    <row r="836" spans="1:41">
      <c r="A836" s="298" t="str">
        <f>IF(G836="", "", Lookups!BF838)</f>
        <v/>
      </c>
      <c r="B836" s="298" t="str">
        <f>IF('Lighting Inventory (Ref only)'!Q847="", "", 'Lighting Inventory (Ref only)'!Q847)</f>
        <v/>
      </c>
      <c r="C836" s="298" t="str">
        <f>IF(A836="", "", 'Lighting Inventory (Ref only)'!AO847)</f>
        <v/>
      </c>
      <c r="D836" s="298" t="str">
        <f>IF(B836= "","", Inventory!S844)</f>
        <v/>
      </c>
      <c r="F836" s="298" t="str">
        <f>IF(B836="", "", 'Version Log'!$B$34)</f>
        <v/>
      </c>
      <c r="G836" s="298" t="str">
        <f t="shared" si="52"/>
        <v/>
      </c>
      <c r="H836" s="298" t="str">
        <f t="shared" si="53"/>
        <v/>
      </c>
      <c r="I836" s="298" t="str">
        <f>IF(B836="", "",Inventory!D844)</f>
        <v/>
      </c>
      <c r="J836" s="298" t="str">
        <f>IF(B836="","",IF(Inventory!C844="N","Interior","Exterior"))</f>
        <v/>
      </c>
      <c r="K836" s="298" t="str">
        <f t="shared" si="54"/>
        <v/>
      </c>
      <c r="L836" s="298" t="str">
        <f>IF(B836="", "", Inventory!E844)</f>
        <v/>
      </c>
      <c r="M836" s="298" t="str">
        <f>IF(B836="","",IF(Cool_Type=Lookups!$L$9,Cool_Type,IF(Cool_Type=Lookups!$L$10,Cool_Type,IF(Cool_Type=Lookups!$L$11,Cool_Type,IF(Cool_Type=Lookups!L846,Cool_Type,IF('Project Info and Summary'!$C$20="Electric",CONCATENATE(Cool_Type," ",Heating_Type," Heat"),IF('Project Info and Summary'!$C$20="Non-Electric",CONCATENATE(Cool_Type," ",Heating_Type," Heat"),CONCATENATE(Cool_Type," ",Heating_Type))))))))</f>
        <v/>
      </c>
      <c r="N836" s="298" t="str">
        <f t="shared" si="55"/>
        <v/>
      </c>
      <c r="O836" s="298" t="str">
        <f>IF(B836="", "", 'Lighting Inventory (Ref only)'!G847)</f>
        <v/>
      </c>
      <c r="P836" s="298" t="str">
        <f>IF(B836="", "", 'Lighting Inventory (Ref only)'!E847)</f>
        <v/>
      </c>
      <c r="Q836" s="298" t="str">
        <f>IF(B836="", "", 'Lighting Inventory (Ref only)'!J847)</f>
        <v/>
      </c>
      <c r="R836" s="298" t="str">
        <f>IF(B836="", "",'Lighting Inventory (Ref only)'!K847)</f>
        <v/>
      </c>
      <c r="S836" s="372" t="str">
        <f>IF(B836="", "", 'Lighting Inventory (Ref only)'!G847*'Lighting Inventory (Ref only)'!K847/1000)</f>
        <v/>
      </c>
      <c r="T836" s="298" t="str">
        <f>IF(B836="", "", IF('Lighting Inventory (Ref only)'!I847="", "Light Switch",Inventory!H844))</f>
        <v/>
      </c>
      <c r="X836" s="298" t="str">
        <f>IF(B836="", "", 'Lighting Inventory (Ref only)'!Q847)</f>
        <v/>
      </c>
      <c r="AA836" s="298" t="str">
        <f>IF(B836="", "",'Lighting Inventory (Ref only)'!R847/1000)</f>
        <v/>
      </c>
      <c r="AB836" s="298" t="str">
        <f>IF(B836="", "", Inventory!M844)</f>
        <v/>
      </c>
      <c r="AC836" s="298" t="str">
        <f>IF(B836="", "", 'Lighting Inventory (Ref only)'!T847)</f>
        <v/>
      </c>
      <c r="AD836" s="298" t="str">
        <f>IF(C836="", "", 'Lighting Inventory (Ref only)'!AA847)</f>
        <v/>
      </c>
      <c r="AE836" s="298" t="str">
        <f>IF(B836="", "", 'Lighting Inventory (Ref only)'!U847)</f>
        <v/>
      </c>
      <c r="AF836" s="298" t="str">
        <f>IF(B836="", "",'Lighting Inventory (Ref only)'!W847)</f>
        <v/>
      </c>
      <c r="AH836" s="298" t="str">
        <f>IF(B836="", "",'Lighting Inventory (Ref only)'!Z847)</f>
        <v/>
      </c>
      <c r="AI836" s="298" t="str">
        <f>IF(B836="", "", 'Lighting Inventory (Ref only)'!Y847)</f>
        <v/>
      </c>
      <c r="AJ836" s="298" t="str">
        <f>IF(C836="", "",'Lighting Inventory (Ref only)'!AB847)</f>
        <v/>
      </c>
      <c r="AK836" s="375" t="str">
        <f>IF(B836="", "", 'Lighting Inventory (Ref only)'!AG847)</f>
        <v/>
      </c>
      <c r="AL836" s="375" t="str">
        <f>IF(B836="", "", 'Lighting Inventory (Ref only)'!AD847)</f>
        <v/>
      </c>
      <c r="AM836" s="375" t="str">
        <f>IF(B836="", "", 'Lighting Inventory (Ref only)'!AE847)</f>
        <v/>
      </c>
      <c r="AN836" s="375" t="str">
        <f>IF(B836="", "", 'Lighting Inventory (Ref only)'!AF847)</f>
        <v/>
      </c>
      <c r="AO836" s="375" t="str">
        <f>IF(B836="", "", 'Lighting Inventory (Ref only)'!AG847)</f>
        <v/>
      </c>
    </row>
    <row r="837" spans="1:41">
      <c r="A837" s="298" t="str">
        <f>IF(G837="", "", Lookups!BF839)</f>
        <v/>
      </c>
      <c r="B837" s="298" t="str">
        <f>IF('Lighting Inventory (Ref only)'!Q848="", "", 'Lighting Inventory (Ref only)'!Q848)</f>
        <v/>
      </c>
      <c r="C837" s="298" t="str">
        <f>IF(A837="", "", 'Lighting Inventory (Ref only)'!AO848)</f>
        <v/>
      </c>
      <c r="D837" s="298" t="str">
        <f>IF(B837= "","", Inventory!S845)</f>
        <v/>
      </c>
      <c r="F837" s="298" t="str">
        <f>IF(B837="", "", 'Version Log'!$B$34)</f>
        <v/>
      </c>
      <c r="G837" s="298" t="str">
        <f t="shared" si="52"/>
        <v/>
      </c>
      <c r="H837" s="298" t="str">
        <f t="shared" si="53"/>
        <v/>
      </c>
      <c r="I837" s="298" t="str">
        <f>IF(B837="", "",Inventory!D845)</f>
        <v/>
      </c>
      <c r="J837" s="298" t="str">
        <f>IF(B837="","",IF(Inventory!C845="N","Interior","Exterior"))</f>
        <v/>
      </c>
      <c r="K837" s="298" t="str">
        <f t="shared" si="54"/>
        <v/>
      </c>
      <c r="L837" s="298" t="str">
        <f>IF(B837="", "", Inventory!E845)</f>
        <v/>
      </c>
      <c r="M837" s="298" t="str">
        <f>IF(B837="","",IF(Cool_Type=Lookups!$L$9,Cool_Type,IF(Cool_Type=Lookups!$L$10,Cool_Type,IF(Cool_Type=Lookups!$L$11,Cool_Type,IF(Cool_Type=Lookups!L847,Cool_Type,IF('Project Info and Summary'!$C$20="Electric",CONCATENATE(Cool_Type," ",Heating_Type," Heat"),IF('Project Info and Summary'!$C$20="Non-Electric",CONCATENATE(Cool_Type," ",Heating_Type," Heat"),CONCATENATE(Cool_Type," ",Heating_Type))))))))</f>
        <v/>
      </c>
      <c r="N837" s="298" t="str">
        <f t="shared" si="55"/>
        <v/>
      </c>
      <c r="O837" s="298" t="str">
        <f>IF(B837="", "", 'Lighting Inventory (Ref only)'!G848)</f>
        <v/>
      </c>
      <c r="P837" s="298" t="str">
        <f>IF(B837="", "", 'Lighting Inventory (Ref only)'!E848)</f>
        <v/>
      </c>
      <c r="Q837" s="298" t="str">
        <f>IF(B837="", "", 'Lighting Inventory (Ref only)'!J848)</f>
        <v/>
      </c>
      <c r="R837" s="298" t="str">
        <f>IF(B837="", "",'Lighting Inventory (Ref only)'!K848)</f>
        <v/>
      </c>
      <c r="S837" s="372" t="str">
        <f>IF(B837="", "", 'Lighting Inventory (Ref only)'!G848*'Lighting Inventory (Ref only)'!K848/1000)</f>
        <v/>
      </c>
      <c r="T837" s="298" t="str">
        <f>IF(B837="", "", IF('Lighting Inventory (Ref only)'!I848="", "Light Switch",Inventory!H845))</f>
        <v/>
      </c>
      <c r="X837" s="298" t="str">
        <f>IF(B837="", "", 'Lighting Inventory (Ref only)'!Q848)</f>
        <v/>
      </c>
      <c r="AA837" s="298" t="str">
        <f>IF(B837="", "",'Lighting Inventory (Ref only)'!R848/1000)</f>
        <v/>
      </c>
      <c r="AB837" s="298" t="str">
        <f>IF(B837="", "", Inventory!M845)</f>
        <v/>
      </c>
      <c r="AC837" s="298" t="str">
        <f>IF(B837="", "", 'Lighting Inventory (Ref only)'!T848)</f>
        <v/>
      </c>
      <c r="AD837" s="298" t="str">
        <f>IF(C837="", "", 'Lighting Inventory (Ref only)'!AA848)</f>
        <v/>
      </c>
      <c r="AE837" s="298" t="str">
        <f>IF(B837="", "", 'Lighting Inventory (Ref only)'!U848)</f>
        <v/>
      </c>
      <c r="AF837" s="298" t="str">
        <f>IF(B837="", "",'Lighting Inventory (Ref only)'!W848)</f>
        <v/>
      </c>
      <c r="AH837" s="298" t="str">
        <f>IF(B837="", "",'Lighting Inventory (Ref only)'!Z848)</f>
        <v/>
      </c>
      <c r="AI837" s="298" t="str">
        <f>IF(B837="", "", 'Lighting Inventory (Ref only)'!Y848)</f>
        <v/>
      </c>
      <c r="AJ837" s="298" t="str">
        <f>IF(C837="", "",'Lighting Inventory (Ref only)'!AB848)</f>
        <v/>
      </c>
      <c r="AK837" s="375" t="str">
        <f>IF(B837="", "", 'Lighting Inventory (Ref only)'!AG848)</f>
        <v/>
      </c>
      <c r="AL837" s="375" t="str">
        <f>IF(B837="", "", 'Lighting Inventory (Ref only)'!AD848)</f>
        <v/>
      </c>
      <c r="AM837" s="375" t="str">
        <f>IF(B837="", "", 'Lighting Inventory (Ref only)'!AE848)</f>
        <v/>
      </c>
      <c r="AN837" s="375" t="str">
        <f>IF(B837="", "", 'Lighting Inventory (Ref only)'!AF848)</f>
        <v/>
      </c>
      <c r="AO837" s="375" t="str">
        <f>IF(B837="", "", 'Lighting Inventory (Ref only)'!AG848)</f>
        <v/>
      </c>
    </row>
    <row r="838" spans="1:41">
      <c r="A838" s="298" t="str">
        <f>IF(G838="", "", Lookups!BF840)</f>
        <v/>
      </c>
      <c r="B838" s="298" t="str">
        <f>IF('Lighting Inventory (Ref only)'!Q849="", "", 'Lighting Inventory (Ref only)'!Q849)</f>
        <v/>
      </c>
      <c r="C838" s="298" t="str">
        <f>IF(A838="", "", 'Lighting Inventory (Ref only)'!AO849)</f>
        <v/>
      </c>
      <c r="D838" s="298" t="str">
        <f>IF(B838= "","", Inventory!S846)</f>
        <v/>
      </c>
      <c r="F838" s="298" t="str">
        <f>IF(B838="", "", 'Version Log'!$B$34)</f>
        <v/>
      </c>
      <c r="G838" s="298" t="str">
        <f t="shared" si="52"/>
        <v/>
      </c>
      <c r="H838" s="298" t="str">
        <f t="shared" si="53"/>
        <v/>
      </c>
      <c r="I838" s="298" t="str">
        <f>IF(B838="", "",Inventory!D846)</f>
        <v/>
      </c>
      <c r="J838" s="298" t="str">
        <f>IF(B838="","",IF(Inventory!C846="N","Interior","Exterior"))</f>
        <v/>
      </c>
      <c r="K838" s="298" t="str">
        <f t="shared" si="54"/>
        <v/>
      </c>
      <c r="L838" s="298" t="str">
        <f>IF(B838="", "", Inventory!E846)</f>
        <v/>
      </c>
      <c r="M838" s="298" t="str">
        <f>IF(B838="","",IF(Cool_Type=Lookups!$L$9,Cool_Type,IF(Cool_Type=Lookups!$L$10,Cool_Type,IF(Cool_Type=Lookups!$L$11,Cool_Type,IF(Cool_Type=Lookups!L848,Cool_Type,IF('Project Info and Summary'!$C$20="Electric",CONCATENATE(Cool_Type," ",Heating_Type," Heat"),IF('Project Info and Summary'!$C$20="Non-Electric",CONCATENATE(Cool_Type," ",Heating_Type," Heat"),CONCATENATE(Cool_Type," ",Heating_Type))))))))</f>
        <v/>
      </c>
      <c r="N838" s="298" t="str">
        <f t="shared" si="55"/>
        <v/>
      </c>
      <c r="O838" s="298" t="str">
        <f>IF(B838="", "", 'Lighting Inventory (Ref only)'!G849)</f>
        <v/>
      </c>
      <c r="P838" s="298" t="str">
        <f>IF(B838="", "", 'Lighting Inventory (Ref only)'!E849)</f>
        <v/>
      </c>
      <c r="Q838" s="298" t="str">
        <f>IF(B838="", "", 'Lighting Inventory (Ref only)'!J849)</f>
        <v/>
      </c>
      <c r="R838" s="298" t="str">
        <f>IF(B838="", "",'Lighting Inventory (Ref only)'!K849)</f>
        <v/>
      </c>
      <c r="S838" s="372" t="str">
        <f>IF(B838="", "", 'Lighting Inventory (Ref only)'!G849*'Lighting Inventory (Ref only)'!K849/1000)</f>
        <v/>
      </c>
      <c r="T838" s="298" t="str">
        <f>IF(B838="", "", IF('Lighting Inventory (Ref only)'!I849="", "Light Switch",Inventory!H846))</f>
        <v/>
      </c>
      <c r="X838" s="298" t="str">
        <f>IF(B838="", "", 'Lighting Inventory (Ref only)'!Q849)</f>
        <v/>
      </c>
      <c r="AA838" s="298" t="str">
        <f>IF(B838="", "",'Lighting Inventory (Ref only)'!R849/1000)</f>
        <v/>
      </c>
      <c r="AB838" s="298" t="str">
        <f>IF(B838="", "", Inventory!M846)</f>
        <v/>
      </c>
      <c r="AC838" s="298" t="str">
        <f>IF(B838="", "", 'Lighting Inventory (Ref only)'!T849)</f>
        <v/>
      </c>
      <c r="AD838" s="298" t="str">
        <f>IF(C838="", "", 'Lighting Inventory (Ref only)'!AA849)</f>
        <v/>
      </c>
      <c r="AE838" s="298" t="str">
        <f>IF(B838="", "", 'Lighting Inventory (Ref only)'!U849)</f>
        <v/>
      </c>
      <c r="AF838" s="298" t="str">
        <f>IF(B838="", "",'Lighting Inventory (Ref only)'!W849)</f>
        <v/>
      </c>
      <c r="AH838" s="298" t="str">
        <f>IF(B838="", "",'Lighting Inventory (Ref only)'!Z849)</f>
        <v/>
      </c>
      <c r="AI838" s="298" t="str">
        <f>IF(B838="", "", 'Lighting Inventory (Ref only)'!Y849)</f>
        <v/>
      </c>
      <c r="AJ838" s="298" t="str">
        <f>IF(C838="", "",'Lighting Inventory (Ref only)'!AB849)</f>
        <v/>
      </c>
      <c r="AK838" s="375" t="str">
        <f>IF(B838="", "", 'Lighting Inventory (Ref only)'!AG849)</f>
        <v/>
      </c>
      <c r="AL838" s="375" t="str">
        <f>IF(B838="", "", 'Lighting Inventory (Ref only)'!AD849)</f>
        <v/>
      </c>
      <c r="AM838" s="375" t="str">
        <f>IF(B838="", "", 'Lighting Inventory (Ref only)'!AE849)</f>
        <v/>
      </c>
      <c r="AN838" s="375" t="str">
        <f>IF(B838="", "", 'Lighting Inventory (Ref only)'!AF849)</f>
        <v/>
      </c>
      <c r="AO838" s="375" t="str">
        <f>IF(B838="", "", 'Lighting Inventory (Ref only)'!AG849)</f>
        <v/>
      </c>
    </row>
    <row r="839" spans="1:41">
      <c r="A839" s="298" t="str">
        <f>IF(G839="", "", Lookups!BF841)</f>
        <v/>
      </c>
      <c r="B839" s="298" t="str">
        <f>IF('Lighting Inventory (Ref only)'!Q850="", "", 'Lighting Inventory (Ref only)'!Q850)</f>
        <v/>
      </c>
      <c r="C839" s="298" t="str">
        <f>IF(A839="", "", 'Lighting Inventory (Ref only)'!AO850)</f>
        <v/>
      </c>
      <c r="D839" s="298" t="str">
        <f>IF(B839= "","", Inventory!S847)</f>
        <v/>
      </c>
      <c r="F839" s="298" t="str">
        <f>IF(B839="", "", 'Version Log'!$B$34)</f>
        <v/>
      </c>
      <c r="G839" s="298" t="str">
        <f t="shared" si="52"/>
        <v/>
      </c>
      <c r="H839" s="298" t="str">
        <f t="shared" si="53"/>
        <v/>
      </c>
      <c r="I839" s="298" t="str">
        <f>IF(B839="", "",Inventory!D847)</f>
        <v/>
      </c>
      <c r="J839" s="298" t="str">
        <f>IF(B839="","",IF(Inventory!C847="N","Interior","Exterior"))</f>
        <v/>
      </c>
      <c r="K839" s="298" t="str">
        <f t="shared" si="54"/>
        <v/>
      </c>
      <c r="L839" s="298" t="str">
        <f>IF(B839="", "", Inventory!E847)</f>
        <v/>
      </c>
      <c r="M839" s="298" t="str">
        <f>IF(B839="","",IF(Cool_Type=Lookups!$L$9,Cool_Type,IF(Cool_Type=Lookups!$L$10,Cool_Type,IF(Cool_Type=Lookups!$L$11,Cool_Type,IF(Cool_Type=Lookups!L849,Cool_Type,IF('Project Info and Summary'!$C$20="Electric",CONCATENATE(Cool_Type," ",Heating_Type," Heat"),IF('Project Info and Summary'!$C$20="Non-Electric",CONCATENATE(Cool_Type," ",Heating_Type," Heat"),CONCATENATE(Cool_Type," ",Heating_Type))))))))</f>
        <v/>
      </c>
      <c r="N839" s="298" t="str">
        <f t="shared" si="55"/>
        <v/>
      </c>
      <c r="O839" s="298" t="str">
        <f>IF(B839="", "", 'Lighting Inventory (Ref only)'!G850)</f>
        <v/>
      </c>
      <c r="P839" s="298" t="str">
        <f>IF(B839="", "", 'Lighting Inventory (Ref only)'!E850)</f>
        <v/>
      </c>
      <c r="Q839" s="298" t="str">
        <f>IF(B839="", "", 'Lighting Inventory (Ref only)'!J850)</f>
        <v/>
      </c>
      <c r="R839" s="298" t="str">
        <f>IF(B839="", "",'Lighting Inventory (Ref only)'!K850)</f>
        <v/>
      </c>
      <c r="S839" s="372" t="str">
        <f>IF(B839="", "", 'Lighting Inventory (Ref only)'!G850*'Lighting Inventory (Ref only)'!K850/1000)</f>
        <v/>
      </c>
      <c r="T839" s="298" t="str">
        <f>IF(B839="", "", IF('Lighting Inventory (Ref only)'!I850="", "Light Switch",Inventory!H847))</f>
        <v/>
      </c>
      <c r="X839" s="298" t="str">
        <f>IF(B839="", "", 'Lighting Inventory (Ref only)'!Q850)</f>
        <v/>
      </c>
      <c r="AA839" s="298" t="str">
        <f>IF(B839="", "",'Lighting Inventory (Ref only)'!R850/1000)</f>
        <v/>
      </c>
      <c r="AB839" s="298" t="str">
        <f>IF(B839="", "", Inventory!M847)</f>
        <v/>
      </c>
      <c r="AC839" s="298" t="str">
        <f>IF(B839="", "", 'Lighting Inventory (Ref only)'!T850)</f>
        <v/>
      </c>
      <c r="AD839" s="298" t="str">
        <f>IF(C839="", "", 'Lighting Inventory (Ref only)'!AA850)</f>
        <v/>
      </c>
      <c r="AE839" s="298" t="str">
        <f>IF(B839="", "", 'Lighting Inventory (Ref only)'!U850)</f>
        <v/>
      </c>
      <c r="AF839" s="298" t="str">
        <f>IF(B839="", "",'Lighting Inventory (Ref only)'!W850)</f>
        <v/>
      </c>
      <c r="AH839" s="298" t="str">
        <f>IF(B839="", "",'Lighting Inventory (Ref only)'!Z850)</f>
        <v/>
      </c>
      <c r="AI839" s="298" t="str">
        <f>IF(B839="", "", 'Lighting Inventory (Ref only)'!Y850)</f>
        <v/>
      </c>
      <c r="AJ839" s="298" t="str">
        <f>IF(C839="", "",'Lighting Inventory (Ref only)'!AB850)</f>
        <v/>
      </c>
      <c r="AK839" s="375" t="str">
        <f>IF(B839="", "", 'Lighting Inventory (Ref only)'!AG850)</f>
        <v/>
      </c>
      <c r="AL839" s="375" t="str">
        <f>IF(B839="", "", 'Lighting Inventory (Ref only)'!AD850)</f>
        <v/>
      </c>
      <c r="AM839" s="375" t="str">
        <f>IF(B839="", "", 'Lighting Inventory (Ref only)'!AE850)</f>
        <v/>
      </c>
      <c r="AN839" s="375" t="str">
        <f>IF(B839="", "", 'Lighting Inventory (Ref only)'!AF850)</f>
        <v/>
      </c>
      <c r="AO839" s="375" t="str">
        <f>IF(B839="", "", 'Lighting Inventory (Ref only)'!AG850)</f>
        <v/>
      </c>
    </row>
    <row r="840" spans="1:41">
      <c r="A840" s="298" t="str">
        <f>IF(G840="", "", Lookups!BF842)</f>
        <v/>
      </c>
      <c r="B840" s="298" t="str">
        <f>IF('Lighting Inventory (Ref only)'!Q851="", "", 'Lighting Inventory (Ref only)'!Q851)</f>
        <v/>
      </c>
      <c r="C840" s="298" t="str">
        <f>IF(A840="", "", 'Lighting Inventory (Ref only)'!AO851)</f>
        <v/>
      </c>
      <c r="D840" s="298" t="str">
        <f>IF(B840= "","", Inventory!S848)</f>
        <v/>
      </c>
      <c r="F840" s="298" t="str">
        <f>IF(B840="", "", 'Version Log'!$B$34)</f>
        <v/>
      </c>
      <c r="G840" s="298" t="str">
        <f t="shared" si="52"/>
        <v/>
      </c>
      <c r="H840" s="298" t="str">
        <f t="shared" si="53"/>
        <v/>
      </c>
      <c r="I840" s="298" t="str">
        <f>IF(B840="", "",Inventory!D848)</f>
        <v/>
      </c>
      <c r="J840" s="298" t="str">
        <f>IF(B840="","",IF(Inventory!C848="N","Interior","Exterior"))</f>
        <v/>
      </c>
      <c r="K840" s="298" t="str">
        <f t="shared" si="54"/>
        <v/>
      </c>
      <c r="L840" s="298" t="str">
        <f>IF(B840="", "", Inventory!E848)</f>
        <v/>
      </c>
      <c r="M840" s="298" t="str">
        <f>IF(B840="","",IF(Cool_Type=Lookups!$L$9,Cool_Type,IF(Cool_Type=Lookups!$L$10,Cool_Type,IF(Cool_Type=Lookups!$L$11,Cool_Type,IF(Cool_Type=Lookups!L850,Cool_Type,IF('Project Info and Summary'!$C$20="Electric",CONCATENATE(Cool_Type," ",Heating_Type," Heat"),IF('Project Info and Summary'!$C$20="Non-Electric",CONCATENATE(Cool_Type," ",Heating_Type," Heat"),CONCATENATE(Cool_Type," ",Heating_Type))))))))</f>
        <v/>
      </c>
      <c r="N840" s="298" t="str">
        <f t="shared" si="55"/>
        <v/>
      </c>
      <c r="O840" s="298" t="str">
        <f>IF(B840="", "", 'Lighting Inventory (Ref only)'!G851)</f>
        <v/>
      </c>
      <c r="P840" s="298" t="str">
        <f>IF(B840="", "", 'Lighting Inventory (Ref only)'!E851)</f>
        <v/>
      </c>
      <c r="Q840" s="298" t="str">
        <f>IF(B840="", "", 'Lighting Inventory (Ref only)'!J851)</f>
        <v/>
      </c>
      <c r="R840" s="298" t="str">
        <f>IF(B840="", "",'Lighting Inventory (Ref only)'!K851)</f>
        <v/>
      </c>
      <c r="S840" s="372" t="str">
        <f>IF(B840="", "", 'Lighting Inventory (Ref only)'!G851*'Lighting Inventory (Ref only)'!K851/1000)</f>
        <v/>
      </c>
      <c r="T840" s="298" t="str">
        <f>IF(B840="", "", IF('Lighting Inventory (Ref only)'!I851="", "Light Switch",Inventory!H848))</f>
        <v/>
      </c>
      <c r="X840" s="298" t="str">
        <f>IF(B840="", "", 'Lighting Inventory (Ref only)'!Q851)</f>
        <v/>
      </c>
      <c r="AA840" s="298" t="str">
        <f>IF(B840="", "",'Lighting Inventory (Ref only)'!R851/1000)</f>
        <v/>
      </c>
      <c r="AB840" s="298" t="str">
        <f>IF(B840="", "", Inventory!M848)</f>
        <v/>
      </c>
      <c r="AC840" s="298" t="str">
        <f>IF(B840="", "", 'Lighting Inventory (Ref only)'!T851)</f>
        <v/>
      </c>
      <c r="AD840" s="298" t="str">
        <f>IF(C840="", "", 'Lighting Inventory (Ref only)'!AA851)</f>
        <v/>
      </c>
      <c r="AE840" s="298" t="str">
        <f>IF(B840="", "", 'Lighting Inventory (Ref only)'!U851)</f>
        <v/>
      </c>
      <c r="AF840" s="298" t="str">
        <f>IF(B840="", "",'Lighting Inventory (Ref only)'!W851)</f>
        <v/>
      </c>
      <c r="AH840" s="298" t="str">
        <f>IF(B840="", "",'Lighting Inventory (Ref only)'!Z851)</f>
        <v/>
      </c>
      <c r="AI840" s="298" t="str">
        <f>IF(B840="", "", 'Lighting Inventory (Ref only)'!Y851)</f>
        <v/>
      </c>
      <c r="AJ840" s="298" t="str">
        <f>IF(C840="", "",'Lighting Inventory (Ref only)'!AB851)</f>
        <v/>
      </c>
      <c r="AK840" s="375" t="str">
        <f>IF(B840="", "", 'Lighting Inventory (Ref only)'!AG851)</f>
        <v/>
      </c>
      <c r="AL840" s="375" t="str">
        <f>IF(B840="", "", 'Lighting Inventory (Ref only)'!AD851)</f>
        <v/>
      </c>
      <c r="AM840" s="375" t="str">
        <f>IF(B840="", "", 'Lighting Inventory (Ref only)'!AE851)</f>
        <v/>
      </c>
      <c r="AN840" s="375" t="str">
        <f>IF(B840="", "", 'Lighting Inventory (Ref only)'!AF851)</f>
        <v/>
      </c>
      <c r="AO840" s="375" t="str">
        <f>IF(B840="", "", 'Lighting Inventory (Ref only)'!AG851)</f>
        <v/>
      </c>
    </row>
    <row r="841" spans="1:41">
      <c r="A841" s="298" t="str">
        <f>IF(G841="", "", Lookups!BF843)</f>
        <v/>
      </c>
      <c r="B841" s="298" t="str">
        <f>IF('Lighting Inventory (Ref only)'!Q852="", "", 'Lighting Inventory (Ref only)'!Q852)</f>
        <v/>
      </c>
      <c r="C841" s="298" t="str">
        <f>IF(A841="", "", 'Lighting Inventory (Ref only)'!AO852)</f>
        <v/>
      </c>
      <c r="D841" s="298" t="str">
        <f>IF(B841= "","", Inventory!S849)</f>
        <v/>
      </c>
      <c r="F841" s="298" t="str">
        <f>IF(B841="", "", 'Version Log'!$B$34)</f>
        <v/>
      </c>
      <c r="G841" s="298" t="str">
        <f t="shared" si="52"/>
        <v/>
      </c>
      <c r="H841" s="298" t="str">
        <f t="shared" si="53"/>
        <v/>
      </c>
      <c r="I841" s="298" t="str">
        <f>IF(B841="", "",Inventory!D849)</f>
        <v/>
      </c>
      <c r="J841" s="298" t="str">
        <f>IF(B841="","",IF(Inventory!C849="N","Interior","Exterior"))</f>
        <v/>
      </c>
      <c r="K841" s="298" t="str">
        <f t="shared" si="54"/>
        <v/>
      </c>
      <c r="L841" s="298" t="str">
        <f>IF(B841="", "", Inventory!E849)</f>
        <v/>
      </c>
      <c r="M841" s="298" t="str">
        <f>IF(B841="","",IF(Cool_Type=Lookups!$L$9,Cool_Type,IF(Cool_Type=Lookups!$L$10,Cool_Type,IF(Cool_Type=Lookups!$L$11,Cool_Type,IF(Cool_Type=Lookups!L851,Cool_Type,IF('Project Info and Summary'!$C$20="Electric",CONCATENATE(Cool_Type," ",Heating_Type," Heat"),IF('Project Info and Summary'!$C$20="Non-Electric",CONCATENATE(Cool_Type," ",Heating_Type," Heat"),CONCATENATE(Cool_Type," ",Heating_Type))))))))</f>
        <v/>
      </c>
      <c r="N841" s="298" t="str">
        <f t="shared" si="55"/>
        <v/>
      </c>
      <c r="O841" s="298" t="str">
        <f>IF(B841="", "", 'Lighting Inventory (Ref only)'!G852)</f>
        <v/>
      </c>
      <c r="P841" s="298" t="str">
        <f>IF(B841="", "", 'Lighting Inventory (Ref only)'!E852)</f>
        <v/>
      </c>
      <c r="Q841" s="298" t="str">
        <f>IF(B841="", "", 'Lighting Inventory (Ref only)'!J852)</f>
        <v/>
      </c>
      <c r="R841" s="298" t="str">
        <f>IF(B841="", "",'Lighting Inventory (Ref only)'!K852)</f>
        <v/>
      </c>
      <c r="S841" s="372" t="str">
        <f>IF(B841="", "", 'Lighting Inventory (Ref only)'!G852*'Lighting Inventory (Ref only)'!K852/1000)</f>
        <v/>
      </c>
      <c r="T841" s="298" t="str">
        <f>IF(B841="", "", IF('Lighting Inventory (Ref only)'!I852="", "Light Switch",Inventory!H849))</f>
        <v/>
      </c>
      <c r="X841" s="298" t="str">
        <f>IF(B841="", "", 'Lighting Inventory (Ref only)'!Q852)</f>
        <v/>
      </c>
      <c r="AA841" s="298" t="str">
        <f>IF(B841="", "",'Lighting Inventory (Ref only)'!R852/1000)</f>
        <v/>
      </c>
      <c r="AB841" s="298" t="str">
        <f>IF(B841="", "", Inventory!M849)</f>
        <v/>
      </c>
      <c r="AC841" s="298" t="str">
        <f>IF(B841="", "", 'Lighting Inventory (Ref only)'!T852)</f>
        <v/>
      </c>
      <c r="AD841" s="298" t="str">
        <f>IF(C841="", "", 'Lighting Inventory (Ref only)'!AA852)</f>
        <v/>
      </c>
      <c r="AE841" s="298" t="str">
        <f>IF(B841="", "", 'Lighting Inventory (Ref only)'!U852)</f>
        <v/>
      </c>
      <c r="AF841" s="298" t="str">
        <f>IF(B841="", "",'Lighting Inventory (Ref only)'!W852)</f>
        <v/>
      </c>
      <c r="AH841" s="298" t="str">
        <f>IF(B841="", "",'Lighting Inventory (Ref only)'!Z852)</f>
        <v/>
      </c>
      <c r="AI841" s="298" t="str">
        <f>IF(B841="", "", 'Lighting Inventory (Ref only)'!Y852)</f>
        <v/>
      </c>
      <c r="AJ841" s="298" t="str">
        <f>IF(C841="", "",'Lighting Inventory (Ref only)'!AB852)</f>
        <v/>
      </c>
      <c r="AK841" s="375" t="str">
        <f>IF(B841="", "", 'Lighting Inventory (Ref only)'!AG852)</f>
        <v/>
      </c>
      <c r="AL841" s="375" t="str">
        <f>IF(B841="", "", 'Lighting Inventory (Ref only)'!AD852)</f>
        <v/>
      </c>
      <c r="AM841" s="375" t="str">
        <f>IF(B841="", "", 'Lighting Inventory (Ref only)'!AE852)</f>
        <v/>
      </c>
      <c r="AN841" s="375" t="str">
        <f>IF(B841="", "", 'Lighting Inventory (Ref only)'!AF852)</f>
        <v/>
      </c>
      <c r="AO841" s="375" t="str">
        <f>IF(B841="", "", 'Lighting Inventory (Ref only)'!AG852)</f>
        <v/>
      </c>
    </row>
    <row r="842" spans="1:41">
      <c r="A842" s="298" t="str">
        <f>IF(G842="", "", Lookups!BF844)</f>
        <v/>
      </c>
      <c r="B842" s="298" t="str">
        <f>IF('Lighting Inventory (Ref only)'!Q853="", "", 'Lighting Inventory (Ref only)'!Q853)</f>
        <v/>
      </c>
      <c r="C842" s="298" t="str">
        <f>IF(A842="", "", 'Lighting Inventory (Ref only)'!AO853)</f>
        <v/>
      </c>
      <c r="D842" s="298" t="str">
        <f>IF(B842= "","", Inventory!S850)</f>
        <v/>
      </c>
      <c r="F842" s="298" t="str">
        <f>IF(B842="", "", 'Version Log'!$B$34)</f>
        <v/>
      </c>
      <c r="G842" s="298" t="str">
        <f t="shared" si="52"/>
        <v/>
      </c>
      <c r="H842" s="298" t="str">
        <f t="shared" si="53"/>
        <v/>
      </c>
      <c r="I842" s="298" t="str">
        <f>IF(B842="", "",Inventory!D850)</f>
        <v/>
      </c>
      <c r="J842" s="298" t="str">
        <f>IF(B842="","",IF(Inventory!C850="N","Interior","Exterior"))</f>
        <v/>
      </c>
      <c r="K842" s="298" t="str">
        <f t="shared" si="54"/>
        <v/>
      </c>
      <c r="L842" s="298" t="str">
        <f>IF(B842="", "", Inventory!E850)</f>
        <v/>
      </c>
      <c r="M842" s="298" t="str">
        <f>IF(B842="","",IF(Cool_Type=Lookups!$L$9,Cool_Type,IF(Cool_Type=Lookups!$L$10,Cool_Type,IF(Cool_Type=Lookups!$L$11,Cool_Type,IF(Cool_Type=Lookups!L852,Cool_Type,IF('Project Info and Summary'!$C$20="Electric",CONCATENATE(Cool_Type," ",Heating_Type," Heat"),IF('Project Info and Summary'!$C$20="Non-Electric",CONCATENATE(Cool_Type," ",Heating_Type," Heat"),CONCATENATE(Cool_Type," ",Heating_Type))))))))</f>
        <v/>
      </c>
      <c r="N842" s="298" t="str">
        <f t="shared" si="55"/>
        <v/>
      </c>
      <c r="O842" s="298" t="str">
        <f>IF(B842="", "", 'Lighting Inventory (Ref only)'!G853)</f>
        <v/>
      </c>
      <c r="P842" s="298" t="str">
        <f>IF(B842="", "", 'Lighting Inventory (Ref only)'!E853)</f>
        <v/>
      </c>
      <c r="Q842" s="298" t="str">
        <f>IF(B842="", "", 'Lighting Inventory (Ref only)'!J853)</f>
        <v/>
      </c>
      <c r="R842" s="298" t="str">
        <f>IF(B842="", "",'Lighting Inventory (Ref only)'!K853)</f>
        <v/>
      </c>
      <c r="S842" s="372" t="str">
        <f>IF(B842="", "", 'Lighting Inventory (Ref only)'!G853*'Lighting Inventory (Ref only)'!K853/1000)</f>
        <v/>
      </c>
      <c r="T842" s="298" t="str">
        <f>IF(B842="", "", IF('Lighting Inventory (Ref only)'!I853="", "Light Switch",Inventory!H850))</f>
        <v/>
      </c>
      <c r="X842" s="298" t="str">
        <f>IF(B842="", "", 'Lighting Inventory (Ref only)'!Q853)</f>
        <v/>
      </c>
      <c r="AA842" s="298" t="str">
        <f>IF(B842="", "",'Lighting Inventory (Ref only)'!R853/1000)</f>
        <v/>
      </c>
      <c r="AB842" s="298" t="str">
        <f>IF(B842="", "", Inventory!M850)</f>
        <v/>
      </c>
      <c r="AC842" s="298" t="str">
        <f>IF(B842="", "", 'Lighting Inventory (Ref only)'!T853)</f>
        <v/>
      </c>
      <c r="AD842" s="298" t="str">
        <f>IF(C842="", "", 'Lighting Inventory (Ref only)'!AA853)</f>
        <v/>
      </c>
      <c r="AE842" s="298" t="str">
        <f>IF(B842="", "", 'Lighting Inventory (Ref only)'!U853)</f>
        <v/>
      </c>
      <c r="AF842" s="298" t="str">
        <f>IF(B842="", "",'Lighting Inventory (Ref only)'!W853)</f>
        <v/>
      </c>
      <c r="AH842" s="298" t="str">
        <f>IF(B842="", "",'Lighting Inventory (Ref only)'!Z853)</f>
        <v/>
      </c>
      <c r="AI842" s="298" t="str">
        <f>IF(B842="", "", 'Lighting Inventory (Ref only)'!Y853)</f>
        <v/>
      </c>
      <c r="AJ842" s="298" t="str">
        <f>IF(C842="", "",'Lighting Inventory (Ref only)'!AB853)</f>
        <v/>
      </c>
      <c r="AK842" s="375" t="str">
        <f>IF(B842="", "", 'Lighting Inventory (Ref only)'!AG853)</f>
        <v/>
      </c>
      <c r="AL842" s="375" t="str">
        <f>IF(B842="", "", 'Lighting Inventory (Ref only)'!AD853)</f>
        <v/>
      </c>
      <c r="AM842" s="375" t="str">
        <f>IF(B842="", "", 'Lighting Inventory (Ref only)'!AE853)</f>
        <v/>
      </c>
      <c r="AN842" s="375" t="str">
        <f>IF(B842="", "", 'Lighting Inventory (Ref only)'!AF853)</f>
        <v/>
      </c>
      <c r="AO842" s="375" t="str">
        <f>IF(B842="", "", 'Lighting Inventory (Ref only)'!AG853)</f>
        <v/>
      </c>
    </row>
    <row r="843" spans="1:41">
      <c r="A843" s="298" t="str">
        <f>IF(G843="", "", Lookups!BF845)</f>
        <v/>
      </c>
      <c r="B843" s="298" t="str">
        <f>IF('Lighting Inventory (Ref only)'!Q854="", "", 'Lighting Inventory (Ref only)'!Q854)</f>
        <v/>
      </c>
      <c r="C843" s="298" t="str">
        <f>IF(A843="", "", 'Lighting Inventory (Ref only)'!AO854)</f>
        <v/>
      </c>
      <c r="D843" s="298" t="str">
        <f>IF(B843= "","", Inventory!S851)</f>
        <v/>
      </c>
      <c r="F843" s="298" t="str">
        <f>IF(B843="", "", 'Version Log'!$B$34)</f>
        <v/>
      </c>
      <c r="G843" s="298" t="str">
        <f t="shared" si="52"/>
        <v/>
      </c>
      <c r="H843" s="298" t="str">
        <f t="shared" si="53"/>
        <v/>
      </c>
      <c r="I843" s="298" t="str">
        <f>IF(B843="", "",Inventory!D851)</f>
        <v/>
      </c>
      <c r="J843" s="298" t="str">
        <f>IF(B843="","",IF(Inventory!C851="N","Interior","Exterior"))</f>
        <v/>
      </c>
      <c r="K843" s="298" t="str">
        <f t="shared" si="54"/>
        <v/>
      </c>
      <c r="L843" s="298" t="str">
        <f>IF(B843="", "", Inventory!E851)</f>
        <v/>
      </c>
      <c r="M843" s="298" t="str">
        <f>IF(B843="","",IF(Cool_Type=Lookups!$L$9,Cool_Type,IF(Cool_Type=Lookups!$L$10,Cool_Type,IF(Cool_Type=Lookups!$L$11,Cool_Type,IF(Cool_Type=Lookups!L853,Cool_Type,IF('Project Info and Summary'!$C$20="Electric",CONCATENATE(Cool_Type," ",Heating_Type," Heat"),IF('Project Info and Summary'!$C$20="Non-Electric",CONCATENATE(Cool_Type," ",Heating_Type," Heat"),CONCATENATE(Cool_Type," ",Heating_Type))))))))</f>
        <v/>
      </c>
      <c r="N843" s="298" t="str">
        <f t="shared" si="55"/>
        <v/>
      </c>
      <c r="O843" s="298" t="str">
        <f>IF(B843="", "", 'Lighting Inventory (Ref only)'!G854)</f>
        <v/>
      </c>
      <c r="P843" s="298" t="str">
        <f>IF(B843="", "", 'Lighting Inventory (Ref only)'!E854)</f>
        <v/>
      </c>
      <c r="Q843" s="298" t="str">
        <f>IF(B843="", "", 'Lighting Inventory (Ref only)'!J854)</f>
        <v/>
      </c>
      <c r="R843" s="298" t="str">
        <f>IF(B843="", "",'Lighting Inventory (Ref only)'!K854)</f>
        <v/>
      </c>
      <c r="S843" s="372" t="str">
        <f>IF(B843="", "", 'Lighting Inventory (Ref only)'!G854*'Lighting Inventory (Ref only)'!K854/1000)</f>
        <v/>
      </c>
      <c r="T843" s="298" t="str">
        <f>IF(B843="", "", IF('Lighting Inventory (Ref only)'!I854="", "Light Switch",Inventory!H851))</f>
        <v/>
      </c>
      <c r="X843" s="298" t="str">
        <f>IF(B843="", "", 'Lighting Inventory (Ref only)'!Q854)</f>
        <v/>
      </c>
      <c r="AA843" s="298" t="str">
        <f>IF(B843="", "",'Lighting Inventory (Ref only)'!R854/1000)</f>
        <v/>
      </c>
      <c r="AB843" s="298" t="str">
        <f>IF(B843="", "", Inventory!M851)</f>
        <v/>
      </c>
      <c r="AC843" s="298" t="str">
        <f>IF(B843="", "", 'Lighting Inventory (Ref only)'!T854)</f>
        <v/>
      </c>
      <c r="AD843" s="298" t="str">
        <f>IF(C843="", "", 'Lighting Inventory (Ref only)'!AA854)</f>
        <v/>
      </c>
      <c r="AE843" s="298" t="str">
        <f>IF(B843="", "", 'Lighting Inventory (Ref only)'!U854)</f>
        <v/>
      </c>
      <c r="AF843" s="298" t="str">
        <f>IF(B843="", "",'Lighting Inventory (Ref only)'!W854)</f>
        <v/>
      </c>
      <c r="AH843" s="298" t="str">
        <f>IF(B843="", "",'Lighting Inventory (Ref only)'!Z854)</f>
        <v/>
      </c>
      <c r="AI843" s="298" t="str">
        <f>IF(B843="", "", 'Lighting Inventory (Ref only)'!Y854)</f>
        <v/>
      </c>
      <c r="AJ843" s="298" t="str">
        <f>IF(C843="", "",'Lighting Inventory (Ref only)'!AB854)</f>
        <v/>
      </c>
      <c r="AK843" s="375" t="str">
        <f>IF(B843="", "", 'Lighting Inventory (Ref only)'!AG854)</f>
        <v/>
      </c>
      <c r="AL843" s="375" t="str">
        <f>IF(B843="", "", 'Lighting Inventory (Ref only)'!AD854)</f>
        <v/>
      </c>
      <c r="AM843" s="375" t="str">
        <f>IF(B843="", "", 'Lighting Inventory (Ref only)'!AE854)</f>
        <v/>
      </c>
      <c r="AN843" s="375" t="str">
        <f>IF(B843="", "", 'Lighting Inventory (Ref only)'!AF854)</f>
        <v/>
      </c>
      <c r="AO843" s="375" t="str">
        <f>IF(B843="", "", 'Lighting Inventory (Ref only)'!AG854)</f>
        <v/>
      </c>
    </row>
    <row r="844" spans="1:41">
      <c r="A844" s="298" t="str">
        <f>IF(G844="", "", Lookups!BF846)</f>
        <v/>
      </c>
      <c r="B844" s="298" t="str">
        <f>IF('Lighting Inventory (Ref only)'!Q855="", "", 'Lighting Inventory (Ref only)'!Q855)</f>
        <v/>
      </c>
      <c r="C844" s="298" t="str">
        <f>IF(A844="", "", 'Lighting Inventory (Ref only)'!AO855)</f>
        <v/>
      </c>
      <c r="D844" s="298" t="str">
        <f>IF(B844= "","", Inventory!S852)</f>
        <v/>
      </c>
      <c r="F844" s="298" t="str">
        <f>IF(B844="", "", 'Version Log'!$B$34)</f>
        <v/>
      </c>
      <c r="G844" s="298" t="str">
        <f t="shared" si="52"/>
        <v/>
      </c>
      <c r="H844" s="298" t="str">
        <f t="shared" si="53"/>
        <v/>
      </c>
      <c r="I844" s="298" t="str">
        <f>IF(B844="", "",Inventory!D852)</f>
        <v/>
      </c>
      <c r="J844" s="298" t="str">
        <f>IF(B844="","",IF(Inventory!C852="N","Interior","Exterior"))</f>
        <v/>
      </c>
      <c r="K844" s="298" t="str">
        <f t="shared" si="54"/>
        <v/>
      </c>
      <c r="L844" s="298" t="str">
        <f>IF(B844="", "", Inventory!E852)</f>
        <v/>
      </c>
      <c r="M844" s="298" t="str">
        <f>IF(B844="","",IF(Cool_Type=Lookups!$L$9,Cool_Type,IF(Cool_Type=Lookups!$L$10,Cool_Type,IF(Cool_Type=Lookups!$L$11,Cool_Type,IF(Cool_Type=Lookups!L854,Cool_Type,IF('Project Info and Summary'!$C$20="Electric",CONCATENATE(Cool_Type," ",Heating_Type," Heat"),IF('Project Info and Summary'!$C$20="Non-Electric",CONCATENATE(Cool_Type," ",Heating_Type," Heat"),CONCATENATE(Cool_Type," ",Heating_Type))))))))</f>
        <v/>
      </c>
      <c r="N844" s="298" t="str">
        <f t="shared" si="55"/>
        <v/>
      </c>
      <c r="O844" s="298" t="str">
        <f>IF(B844="", "", 'Lighting Inventory (Ref only)'!G855)</f>
        <v/>
      </c>
      <c r="P844" s="298" t="str">
        <f>IF(B844="", "", 'Lighting Inventory (Ref only)'!E855)</f>
        <v/>
      </c>
      <c r="Q844" s="298" t="str">
        <f>IF(B844="", "", 'Lighting Inventory (Ref only)'!J855)</f>
        <v/>
      </c>
      <c r="R844" s="298" t="str">
        <f>IF(B844="", "",'Lighting Inventory (Ref only)'!K855)</f>
        <v/>
      </c>
      <c r="S844" s="372" t="str">
        <f>IF(B844="", "", 'Lighting Inventory (Ref only)'!G855*'Lighting Inventory (Ref only)'!K855/1000)</f>
        <v/>
      </c>
      <c r="T844" s="298" t="str">
        <f>IF(B844="", "", IF('Lighting Inventory (Ref only)'!I855="", "Light Switch",Inventory!H852))</f>
        <v/>
      </c>
      <c r="X844" s="298" t="str">
        <f>IF(B844="", "", 'Lighting Inventory (Ref only)'!Q855)</f>
        <v/>
      </c>
      <c r="AA844" s="298" t="str">
        <f>IF(B844="", "",'Lighting Inventory (Ref only)'!R855/1000)</f>
        <v/>
      </c>
      <c r="AB844" s="298" t="str">
        <f>IF(B844="", "", Inventory!M852)</f>
        <v/>
      </c>
      <c r="AC844" s="298" t="str">
        <f>IF(B844="", "", 'Lighting Inventory (Ref only)'!T855)</f>
        <v/>
      </c>
      <c r="AD844" s="298" t="str">
        <f>IF(C844="", "", 'Lighting Inventory (Ref only)'!AA855)</f>
        <v/>
      </c>
      <c r="AE844" s="298" t="str">
        <f>IF(B844="", "", 'Lighting Inventory (Ref only)'!U855)</f>
        <v/>
      </c>
      <c r="AF844" s="298" t="str">
        <f>IF(B844="", "",'Lighting Inventory (Ref only)'!W855)</f>
        <v/>
      </c>
      <c r="AH844" s="298" t="str">
        <f>IF(B844="", "",'Lighting Inventory (Ref only)'!Z855)</f>
        <v/>
      </c>
      <c r="AI844" s="298" t="str">
        <f>IF(B844="", "", 'Lighting Inventory (Ref only)'!Y855)</f>
        <v/>
      </c>
      <c r="AJ844" s="298" t="str">
        <f>IF(C844="", "",'Lighting Inventory (Ref only)'!AB855)</f>
        <v/>
      </c>
      <c r="AK844" s="375" t="str">
        <f>IF(B844="", "", 'Lighting Inventory (Ref only)'!AG855)</f>
        <v/>
      </c>
      <c r="AL844" s="375" t="str">
        <f>IF(B844="", "", 'Lighting Inventory (Ref only)'!AD855)</f>
        <v/>
      </c>
      <c r="AM844" s="375" t="str">
        <f>IF(B844="", "", 'Lighting Inventory (Ref only)'!AE855)</f>
        <v/>
      </c>
      <c r="AN844" s="375" t="str">
        <f>IF(B844="", "", 'Lighting Inventory (Ref only)'!AF855)</f>
        <v/>
      </c>
      <c r="AO844" s="375" t="str">
        <f>IF(B844="", "", 'Lighting Inventory (Ref only)'!AG855)</f>
        <v/>
      </c>
    </row>
    <row r="845" spans="1:41">
      <c r="A845" s="298" t="str">
        <f>IF(G845="", "", Lookups!BF847)</f>
        <v/>
      </c>
      <c r="B845" s="298" t="str">
        <f>IF('Lighting Inventory (Ref only)'!Q856="", "", 'Lighting Inventory (Ref only)'!Q856)</f>
        <v/>
      </c>
      <c r="C845" s="298" t="str">
        <f>IF(A845="", "", 'Lighting Inventory (Ref only)'!AO856)</f>
        <v/>
      </c>
      <c r="D845" s="298" t="str">
        <f>IF(B845= "","", Inventory!S853)</f>
        <v/>
      </c>
      <c r="F845" s="298" t="str">
        <f>IF(B845="", "", 'Version Log'!$B$34)</f>
        <v/>
      </c>
      <c r="G845" s="298" t="str">
        <f t="shared" si="52"/>
        <v/>
      </c>
      <c r="H845" s="298" t="str">
        <f t="shared" si="53"/>
        <v/>
      </c>
      <c r="I845" s="298" t="str">
        <f>IF(B845="", "",Inventory!D853)</f>
        <v/>
      </c>
      <c r="J845" s="298" t="str">
        <f>IF(B845="","",IF(Inventory!C853="N","Interior","Exterior"))</f>
        <v/>
      </c>
      <c r="K845" s="298" t="str">
        <f t="shared" si="54"/>
        <v/>
      </c>
      <c r="L845" s="298" t="str">
        <f>IF(B845="", "", Inventory!E853)</f>
        <v/>
      </c>
      <c r="M845" s="298" t="str">
        <f>IF(B845="","",IF(Cool_Type=Lookups!$L$9,Cool_Type,IF(Cool_Type=Lookups!$L$10,Cool_Type,IF(Cool_Type=Lookups!$L$11,Cool_Type,IF(Cool_Type=Lookups!L855,Cool_Type,IF('Project Info and Summary'!$C$20="Electric",CONCATENATE(Cool_Type," ",Heating_Type," Heat"),IF('Project Info and Summary'!$C$20="Non-Electric",CONCATENATE(Cool_Type," ",Heating_Type," Heat"),CONCATENATE(Cool_Type," ",Heating_Type))))))))</f>
        <v/>
      </c>
      <c r="N845" s="298" t="str">
        <f t="shared" si="55"/>
        <v/>
      </c>
      <c r="O845" s="298" t="str">
        <f>IF(B845="", "", 'Lighting Inventory (Ref only)'!G856)</f>
        <v/>
      </c>
      <c r="P845" s="298" t="str">
        <f>IF(B845="", "", 'Lighting Inventory (Ref only)'!E856)</f>
        <v/>
      </c>
      <c r="Q845" s="298" t="str">
        <f>IF(B845="", "", 'Lighting Inventory (Ref only)'!J856)</f>
        <v/>
      </c>
      <c r="R845" s="298" t="str">
        <f>IF(B845="", "",'Lighting Inventory (Ref only)'!K856)</f>
        <v/>
      </c>
      <c r="S845" s="372" t="str">
        <f>IF(B845="", "", 'Lighting Inventory (Ref only)'!G856*'Lighting Inventory (Ref only)'!K856/1000)</f>
        <v/>
      </c>
      <c r="T845" s="298" t="str">
        <f>IF(B845="", "", IF('Lighting Inventory (Ref only)'!I856="", "Light Switch",Inventory!H853))</f>
        <v/>
      </c>
      <c r="X845" s="298" t="str">
        <f>IF(B845="", "", 'Lighting Inventory (Ref only)'!Q856)</f>
        <v/>
      </c>
      <c r="AA845" s="298" t="str">
        <f>IF(B845="", "",'Lighting Inventory (Ref only)'!R856/1000)</f>
        <v/>
      </c>
      <c r="AB845" s="298" t="str">
        <f>IF(B845="", "", Inventory!M853)</f>
        <v/>
      </c>
      <c r="AC845" s="298" t="str">
        <f>IF(B845="", "", 'Lighting Inventory (Ref only)'!T856)</f>
        <v/>
      </c>
      <c r="AD845" s="298" t="str">
        <f>IF(C845="", "", 'Lighting Inventory (Ref only)'!AA856)</f>
        <v/>
      </c>
      <c r="AE845" s="298" t="str">
        <f>IF(B845="", "", 'Lighting Inventory (Ref only)'!U856)</f>
        <v/>
      </c>
      <c r="AF845" s="298" t="str">
        <f>IF(B845="", "",'Lighting Inventory (Ref only)'!W856)</f>
        <v/>
      </c>
      <c r="AH845" s="298" t="str">
        <f>IF(B845="", "",'Lighting Inventory (Ref only)'!Z856)</f>
        <v/>
      </c>
      <c r="AI845" s="298" t="str">
        <f>IF(B845="", "", 'Lighting Inventory (Ref only)'!Y856)</f>
        <v/>
      </c>
      <c r="AJ845" s="298" t="str">
        <f>IF(C845="", "",'Lighting Inventory (Ref only)'!AB856)</f>
        <v/>
      </c>
      <c r="AK845" s="375" t="str">
        <f>IF(B845="", "", 'Lighting Inventory (Ref only)'!AG856)</f>
        <v/>
      </c>
      <c r="AL845" s="375" t="str">
        <f>IF(B845="", "", 'Lighting Inventory (Ref only)'!AD856)</f>
        <v/>
      </c>
      <c r="AM845" s="375" t="str">
        <f>IF(B845="", "", 'Lighting Inventory (Ref only)'!AE856)</f>
        <v/>
      </c>
      <c r="AN845" s="375" t="str">
        <f>IF(B845="", "", 'Lighting Inventory (Ref only)'!AF856)</f>
        <v/>
      </c>
      <c r="AO845" s="375" t="str">
        <f>IF(B845="", "", 'Lighting Inventory (Ref only)'!AG856)</f>
        <v/>
      </c>
    </row>
    <row r="846" spans="1:41">
      <c r="A846" s="298" t="str">
        <f>IF(G846="", "", Lookups!BF848)</f>
        <v/>
      </c>
      <c r="B846" s="298" t="str">
        <f>IF('Lighting Inventory (Ref only)'!Q857="", "", 'Lighting Inventory (Ref only)'!Q857)</f>
        <v/>
      </c>
      <c r="C846" s="298" t="str">
        <f>IF(A846="", "", 'Lighting Inventory (Ref only)'!AO857)</f>
        <v/>
      </c>
      <c r="D846" s="298" t="str">
        <f>IF(B846= "","", Inventory!S854)</f>
        <v/>
      </c>
      <c r="F846" s="298" t="str">
        <f>IF(B846="", "", 'Version Log'!$B$34)</f>
        <v/>
      </c>
      <c r="G846" s="298" t="str">
        <f t="shared" si="52"/>
        <v/>
      </c>
      <c r="H846" s="298" t="str">
        <f t="shared" si="53"/>
        <v/>
      </c>
      <c r="I846" s="298" t="str">
        <f>IF(B846="", "",Inventory!D854)</f>
        <v/>
      </c>
      <c r="J846" s="298" t="str">
        <f>IF(B846="","",IF(Inventory!C854="N","Interior","Exterior"))</f>
        <v/>
      </c>
      <c r="K846" s="298" t="str">
        <f t="shared" si="54"/>
        <v/>
      </c>
      <c r="L846" s="298" t="str">
        <f>IF(B846="", "", Inventory!E854)</f>
        <v/>
      </c>
      <c r="M846" s="298" t="str">
        <f>IF(B846="","",IF(Cool_Type=Lookups!$L$9,Cool_Type,IF(Cool_Type=Lookups!$L$10,Cool_Type,IF(Cool_Type=Lookups!$L$11,Cool_Type,IF(Cool_Type=Lookups!L856,Cool_Type,IF('Project Info and Summary'!$C$20="Electric",CONCATENATE(Cool_Type," ",Heating_Type," Heat"),IF('Project Info and Summary'!$C$20="Non-Electric",CONCATENATE(Cool_Type," ",Heating_Type," Heat"),CONCATENATE(Cool_Type," ",Heating_Type))))))))</f>
        <v/>
      </c>
      <c r="N846" s="298" t="str">
        <f t="shared" si="55"/>
        <v/>
      </c>
      <c r="O846" s="298" t="str">
        <f>IF(B846="", "", 'Lighting Inventory (Ref only)'!G857)</f>
        <v/>
      </c>
      <c r="P846" s="298" t="str">
        <f>IF(B846="", "", 'Lighting Inventory (Ref only)'!E857)</f>
        <v/>
      </c>
      <c r="Q846" s="298" t="str">
        <f>IF(B846="", "", 'Lighting Inventory (Ref only)'!J857)</f>
        <v/>
      </c>
      <c r="R846" s="298" t="str">
        <f>IF(B846="", "",'Lighting Inventory (Ref only)'!K857)</f>
        <v/>
      </c>
      <c r="S846" s="372" t="str">
        <f>IF(B846="", "", 'Lighting Inventory (Ref only)'!G857*'Lighting Inventory (Ref only)'!K857/1000)</f>
        <v/>
      </c>
      <c r="T846" s="298" t="str">
        <f>IF(B846="", "", IF('Lighting Inventory (Ref only)'!I857="", "Light Switch",Inventory!H854))</f>
        <v/>
      </c>
      <c r="X846" s="298" t="str">
        <f>IF(B846="", "", 'Lighting Inventory (Ref only)'!Q857)</f>
        <v/>
      </c>
      <c r="AA846" s="298" t="str">
        <f>IF(B846="", "",'Lighting Inventory (Ref only)'!R857/1000)</f>
        <v/>
      </c>
      <c r="AB846" s="298" t="str">
        <f>IF(B846="", "", Inventory!M854)</f>
        <v/>
      </c>
      <c r="AC846" s="298" t="str">
        <f>IF(B846="", "", 'Lighting Inventory (Ref only)'!T857)</f>
        <v/>
      </c>
      <c r="AD846" s="298" t="str">
        <f>IF(C846="", "", 'Lighting Inventory (Ref only)'!AA857)</f>
        <v/>
      </c>
      <c r="AE846" s="298" t="str">
        <f>IF(B846="", "", 'Lighting Inventory (Ref only)'!U857)</f>
        <v/>
      </c>
      <c r="AF846" s="298" t="str">
        <f>IF(B846="", "",'Lighting Inventory (Ref only)'!W857)</f>
        <v/>
      </c>
      <c r="AH846" s="298" t="str">
        <f>IF(B846="", "",'Lighting Inventory (Ref only)'!Z857)</f>
        <v/>
      </c>
      <c r="AI846" s="298" t="str">
        <f>IF(B846="", "", 'Lighting Inventory (Ref only)'!Y857)</f>
        <v/>
      </c>
      <c r="AJ846" s="298" t="str">
        <f>IF(C846="", "",'Lighting Inventory (Ref only)'!AB857)</f>
        <v/>
      </c>
      <c r="AK846" s="375" t="str">
        <f>IF(B846="", "", 'Lighting Inventory (Ref only)'!AG857)</f>
        <v/>
      </c>
      <c r="AL846" s="375" t="str">
        <f>IF(B846="", "", 'Lighting Inventory (Ref only)'!AD857)</f>
        <v/>
      </c>
      <c r="AM846" s="375" t="str">
        <f>IF(B846="", "", 'Lighting Inventory (Ref only)'!AE857)</f>
        <v/>
      </c>
      <c r="AN846" s="375" t="str">
        <f>IF(B846="", "", 'Lighting Inventory (Ref only)'!AF857)</f>
        <v/>
      </c>
      <c r="AO846" s="375" t="str">
        <f>IF(B846="", "", 'Lighting Inventory (Ref only)'!AG857)</f>
        <v/>
      </c>
    </row>
    <row r="847" spans="1:41">
      <c r="A847" s="298" t="str">
        <f>IF(G847="", "", Lookups!BF849)</f>
        <v/>
      </c>
      <c r="B847" s="298" t="str">
        <f>IF('Lighting Inventory (Ref only)'!Q858="", "", 'Lighting Inventory (Ref only)'!Q858)</f>
        <v/>
      </c>
      <c r="C847" s="298" t="str">
        <f>IF(A847="", "", 'Lighting Inventory (Ref only)'!AO858)</f>
        <v/>
      </c>
      <c r="D847" s="298" t="str">
        <f>IF(B847= "","", Inventory!S855)</f>
        <v/>
      </c>
      <c r="F847" s="298" t="str">
        <f>IF(B847="", "", 'Version Log'!$B$34)</f>
        <v/>
      </c>
      <c r="G847" s="298" t="str">
        <f t="shared" si="52"/>
        <v/>
      </c>
      <c r="H847" s="298" t="str">
        <f t="shared" si="53"/>
        <v/>
      </c>
      <c r="I847" s="298" t="str">
        <f>IF(B847="", "",Inventory!D855)</f>
        <v/>
      </c>
      <c r="J847" s="298" t="str">
        <f>IF(B847="","",IF(Inventory!C855="N","Interior","Exterior"))</f>
        <v/>
      </c>
      <c r="K847" s="298" t="str">
        <f t="shared" si="54"/>
        <v/>
      </c>
      <c r="L847" s="298" t="str">
        <f>IF(B847="", "", Inventory!E855)</f>
        <v/>
      </c>
      <c r="M847" s="298" t="str">
        <f>IF(B847="","",IF(Cool_Type=Lookups!$L$9,Cool_Type,IF(Cool_Type=Lookups!$L$10,Cool_Type,IF(Cool_Type=Lookups!$L$11,Cool_Type,IF(Cool_Type=Lookups!L857,Cool_Type,IF('Project Info and Summary'!$C$20="Electric",CONCATENATE(Cool_Type," ",Heating_Type," Heat"),IF('Project Info and Summary'!$C$20="Non-Electric",CONCATENATE(Cool_Type," ",Heating_Type," Heat"),CONCATENATE(Cool_Type," ",Heating_Type))))))))</f>
        <v/>
      </c>
      <c r="N847" s="298" t="str">
        <f t="shared" si="55"/>
        <v/>
      </c>
      <c r="O847" s="298" t="str">
        <f>IF(B847="", "", 'Lighting Inventory (Ref only)'!G858)</f>
        <v/>
      </c>
      <c r="P847" s="298" t="str">
        <f>IF(B847="", "", 'Lighting Inventory (Ref only)'!E858)</f>
        <v/>
      </c>
      <c r="Q847" s="298" t="str">
        <f>IF(B847="", "", 'Lighting Inventory (Ref only)'!J858)</f>
        <v/>
      </c>
      <c r="R847" s="298" t="str">
        <f>IF(B847="", "",'Lighting Inventory (Ref only)'!K858)</f>
        <v/>
      </c>
      <c r="S847" s="372" t="str">
        <f>IF(B847="", "", 'Lighting Inventory (Ref only)'!G858*'Lighting Inventory (Ref only)'!K858/1000)</f>
        <v/>
      </c>
      <c r="T847" s="298" t="str">
        <f>IF(B847="", "", IF('Lighting Inventory (Ref only)'!I858="", "Light Switch",Inventory!H855))</f>
        <v/>
      </c>
      <c r="X847" s="298" t="str">
        <f>IF(B847="", "", 'Lighting Inventory (Ref only)'!Q858)</f>
        <v/>
      </c>
      <c r="AA847" s="298" t="str">
        <f>IF(B847="", "",'Lighting Inventory (Ref only)'!R858/1000)</f>
        <v/>
      </c>
      <c r="AB847" s="298" t="str">
        <f>IF(B847="", "", Inventory!M855)</f>
        <v/>
      </c>
      <c r="AC847" s="298" t="str">
        <f>IF(B847="", "", 'Lighting Inventory (Ref only)'!T858)</f>
        <v/>
      </c>
      <c r="AD847" s="298" t="str">
        <f>IF(C847="", "", 'Lighting Inventory (Ref only)'!AA858)</f>
        <v/>
      </c>
      <c r="AE847" s="298" t="str">
        <f>IF(B847="", "", 'Lighting Inventory (Ref only)'!U858)</f>
        <v/>
      </c>
      <c r="AF847" s="298" t="str">
        <f>IF(B847="", "",'Lighting Inventory (Ref only)'!W858)</f>
        <v/>
      </c>
      <c r="AH847" s="298" t="str">
        <f>IF(B847="", "",'Lighting Inventory (Ref only)'!Z858)</f>
        <v/>
      </c>
      <c r="AI847" s="298" t="str">
        <f>IF(B847="", "", 'Lighting Inventory (Ref only)'!Y858)</f>
        <v/>
      </c>
      <c r="AJ847" s="298" t="str">
        <f>IF(C847="", "",'Lighting Inventory (Ref only)'!AB858)</f>
        <v/>
      </c>
      <c r="AK847" s="375" t="str">
        <f>IF(B847="", "", 'Lighting Inventory (Ref only)'!AG858)</f>
        <v/>
      </c>
      <c r="AL847" s="375" t="str">
        <f>IF(B847="", "", 'Lighting Inventory (Ref only)'!AD858)</f>
        <v/>
      </c>
      <c r="AM847" s="375" t="str">
        <f>IF(B847="", "", 'Lighting Inventory (Ref only)'!AE858)</f>
        <v/>
      </c>
      <c r="AN847" s="375" t="str">
        <f>IF(B847="", "", 'Lighting Inventory (Ref only)'!AF858)</f>
        <v/>
      </c>
      <c r="AO847" s="375" t="str">
        <f>IF(B847="", "", 'Lighting Inventory (Ref only)'!AG858)</f>
        <v/>
      </c>
    </row>
    <row r="848" spans="1:41">
      <c r="A848" s="298" t="str">
        <f>IF(G848="", "", Lookups!BF850)</f>
        <v/>
      </c>
      <c r="B848" s="298" t="str">
        <f>IF('Lighting Inventory (Ref only)'!Q859="", "", 'Lighting Inventory (Ref only)'!Q859)</f>
        <v/>
      </c>
      <c r="C848" s="298" t="str">
        <f>IF(A848="", "", 'Lighting Inventory (Ref only)'!AO859)</f>
        <v/>
      </c>
      <c r="D848" s="298" t="str">
        <f>IF(B848= "","", Inventory!S856)</f>
        <v/>
      </c>
      <c r="F848" s="298" t="str">
        <f>IF(B848="", "", 'Version Log'!$B$34)</f>
        <v/>
      </c>
      <c r="G848" s="298" t="str">
        <f t="shared" si="52"/>
        <v/>
      </c>
      <c r="H848" s="298" t="str">
        <f t="shared" si="53"/>
        <v/>
      </c>
      <c r="I848" s="298" t="str">
        <f>IF(B848="", "",Inventory!D856)</f>
        <v/>
      </c>
      <c r="J848" s="298" t="str">
        <f>IF(B848="","",IF(Inventory!C856="N","Interior","Exterior"))</f>
        <v/>
      </c>
      <c r="K848" s="298" t="str">
        <f t="shared" si="54"/>
        <v/>
      </c>
      <c r="L848" s="298" t="str">
        <f>IF(B848="", "", Inventory!E856)</f>
        <v/>
      </c>
      <c r="M848" s="298" t="str">
        <f>IF(B848="","",IF(Cool_Type=Lookups!$L$9,Cool_Type,IF(Cool_Type=Lookups!$L$10,Cool_Type,IF(Cool_Type=Lookups!$L$11,Cool_Type,IF(Cool_Type=Lookups!L858,Cool_Type,IF('Project Info and Summary'!$C$20="Electric",CONCATENATE(Cool_Type," ",Heating_Type," Heat"),IF('Project Info and Summary'!$C$20="Non-Electric",CONCATENATE(Cool_Type," ",Heating_Type," Heat"),CONCATENATE(Cool_Type," ",Heating_Type))))))))</f>
        <v/>
      </c>
      <c r="N848" s="298" t="str">
        <f t="shared" si="55"/>
        <v/>
      </c>
      <c r="O848" s="298" t="str">
        <f>IF(B848="", "", 'Lighting Inventory (Ref only)'!G859)</f>
        <v/>
      </c>
      <c r="P848" s="298" t="str">
        <f>IF(B848="", "", 'Lighting Inventory (Ref only)'!E859)</f>
        <v/>
      </c>
      <c r="Q848" s="298" t="str">
        <f>IF(B848="", "", 'Lighting Inventory (Ref only)'!J859)</f>
        <v/>
      </c>
      <c r="R848" s="298" t="str">
        <f>IF(B848="", "",'Lighting Inventory (Ref only)'!K859)</f>
        <v/>
      </c>
      <c r="S848" s="372" t="str">
        <f>IF(B848="", "", 'Lighting Inventory (Ref only)'!G859*'Lighting Inventory (Ref only)'!K859/1000)</f>
        <v/>
      </c>
      <c r="T848" s="298" t="str">
        <f>IF(B848="", "", IF('Lighting Inventory (Ref only)'!I859="", "Light Switch",Inventory!H856))</f>
        <v/>
      </c>
      <c r="X848" s="298" t="str">
        <f>IF(B848="", "", 'Lighting Inventory (Ref only)'!Q859)</f>
        <v/>
      </c>
      <c r="AA848" s="298" t="str">
        <f>IF(B848="", "",'Lighting Inventory (Ref only)'!R859/1000)</f>
        <v/>
      </c>
      <c r="AB848" s="298" t="str">
        <f>IF(B848="", "", Inventory!M856)</f>
        <v/>
      </c>
      <c r="AC848" s="298" t="str">
        <f>IF(B848="", "", 'Lighting Inventory (Ref only)'!T859)</f>
        <v/>
      </c>
      <c r="AD848" s="298" t="str">
        <f>IF(C848="", "", 'Lighting Inventory (Ref only)'!AA859)</f>
        <v/>
      </c>
      <c r="AE848" s="298" t="str">
        <f>IF(B848="", "", 'Lighting Inventory (Ref only)'!U859)</f>
        <v/>
      </c>
      <c r="AF848" s="298" t="str">
        <f>IF(B848="", "",'Lighting Inventory (Ref only)'!W859)</f>
        <v/>
      </c>
      <c r="AH848" s="298" t="str">
        <f>IF(B848="", "",'Lighting Inventory (Ref only)'!Z859)</f>
        <v/>
      </c>
      <c r="AI848" s="298" t="str">
        <f>IF(B848="", "", 'Lighting Inventory (Ref only)'!Y859)</f>
        <v/>
      </c>
      <c r="AJ848" s="298" t="str">
        <f>IF(C848="", "",'Lighting Inventory (Ref only)'!AB859)</f>
        <v/>
      </c>
      <c r="AK848" s="375" t="str">
        <f>IF(B848="", "", 'Lighting Inventory (Ref only)'!AG859)</f>
        <v/>
      </c>
      <c r="AL848" s="375" t="str">
        <f>IF(B848="", "", 'Lighting Inventory (Ref only)'!AD859)</f>
        <v/>
      </c>
      <c r="AM848" s="375" t="str">
        <f>IF(B848="", "", 'Lighting Inventory (Ref only)'!AE859)</f>
        <v/>
      </c>
      <c r="AN848" s="375" t="str">
        <f>IF(B848="", "", 'Lighting Inventory (Ref only)'!AF859)</f>
        <v/>
      </c>
      <c r="AO848" s="375" t="str">
        <f>IF(B848="", "", 'Lighting Inventory (Ref only)'!AG859)</f>
        <v/>
      </c>
    </row>
    <row r="849" spans="1:41">
      <c r="A849" s="298" t="str">
        <f>IF(G849="", "", Lookups!BF851)</f>
        <v/>
      </c>
      <c r="B849" s="298" t="str">
        <f>IF('Lighting Inventory (Ref only)'!Q860="", "", 'Lighting Inventory (Ref only)'!Q860)</f>
        <v/>
      </c>
      <c r="C849" s="298" t="str">
        <f>IF(A849="", "", 'Lighting Inventory (Ref only)'!AO860)</f>
        <v/>
      </c>
      <c r="D849" s="298" t="str">
        <f>IF(B849= "","", Inventory!S857)</f>
        <v/>
      </c>
      <c r="F849" s="298" t="str">
        <f>IF(B849="", "", 'Version Log'!$B$34)</f>
        <v/>
      </c>
      <c r="G849" s="298" t="str">
        <f t="shared" si="52"/>
        <v/>
      </c>
      <c r="H849" s="298" t="str">
        <f t="shared" si="53"/>
        <v/>
      </c>
      <c r="I849" s="298" t="str">
        <f>IF(B849="", "",Inventory!D857)</f>
        <v/>
      </c>
      <c r="J849" s="298" t="str">
        <f>IF(B849="","",IF(Inventory!C857="N","Interior","Exterior"))</f>
        <v/>
      </c>
      <c r="K849" s="298" t="str">
        <f t="shared" si="54"/>
        <v/>
      </c>
      <c r="L849" s="298" t="str">
        <f>IF(B849="", "", Inventory!E857)</f>
        <v/>
      </c>
      <c r="M849" s="298" t="str">
        <f>IF(B849="","",IF(Cool_Type=Lookups!$L$9,Cool_Type,IF(Cool_Type=Lookups!$L$10,Cool_Type,IF(Cool_Type=Lookups!$L$11,Cool_Type,IF(Cool_Type=Lookups!L859,Cool_Type,IF('Project Info and Summary'!$C$20="Electric",CONCATENATE(Cool_Type," ",Heating_Type," Heat"),IF('Project Info and Summary'!$C$20="Non-Electric",CONCATENATE(Cool_Type," ",Heating_Type," Heat"),CONCATENATE(Cool_Type," ",Heating_Type))))))))</f>
        <v/>
      </c>
      <c r="N849" s="298" t="str">
        <f t="shared" si="55"/>
        <v/>
      </c>
      <c r="O849" s="298" t="str">
        <f>IF(B849="", "", 'Lighting Inventory (Ref only)'!G860)</f>
        <v/>
      </c>
      <c r="P849" s="298" t="str">
        <f>IF(B849="", "", 'Lighting Inventory (Ref only)'!E860)</f>
        <v/>
      </c>
      <c r="Q849" s="298" t="str">
        <f>IF(B849="", "", 'Lighting Inventory (Ref only)'!J860)</f>
        <v/>
      </c>
      <c r="R849" s="298" t="str">
        <f>IF(B849="", "",'Lighting Inventory (Ref only)'!K860)</f>
        <v/>
      </c>
      <c r="S849" s="372" t="str">
        <f>IF(B849="", "", 'Lighting Inventory (Ref only)'!G860*'Lighting Inventory (Ref only)'!K860/1000)</f>
        <v/>
      </c>
      <c r="T849" s="298" t="str">
        <f>IF(B849="", "", IF('Lighting Inventory (Ref only)'!I860="", "Light Switch",Inventory!H857))</f>
        <v/>
      </c>
      <c r="X849" s="298" t="str">
        <f>IF(B849="", "", 'Lighting Inventory (Ref only)'!Q860)</f>
        <v/>
      </c>
      <c r="AA849" s="298" t="str">
        <f>IF(B849="", "",'Lighting Inventory (Ref only)'!R860/1000)</f>
        <v/>
      </c>
      <c r="AB849" s="298" t="str">
        <f>IF(B849="", "", Inventory!M857)</f>
        <v/>
      </c>
      <c r="AC849" s="298" t="str">
        <f>IF(B849="", "", 'Lighting Inventory (Ref only)'!T860)</f>
        <v/>
      </c>
      <c r="AD849" s="298" t="str">
        <f>IF(C849="", "", 'Lighting Inventory (Ref only)'!AA860)</f>
        <v/>
      </c>
      <c r="AE849" s="298" t="str">
        <f>IF(B849="", "", 'Lighting Inventory (Ref only)'!U860)</f>
        <v/>
      </c>
      <c r="AF849" s="298" t="str">
        <f>IF(B849="", "",'Lighting Inventory (Ref only)'!W860)</f>
        <v/>
      </c>
      <c r="AH849" s="298" t="str">
        <f>IF(B849="", "",'Lighting Inventory (Ref only)'!Z860)</f>
        <v/>
      </c>
      <c r="AI849" s="298" t="str">
        <f>IF(B849="", "", 'Lighting Inventory (Ref only)'!Y860)</f>
        <v/>
      </c>
      <c r="AJ849" s="298" t="str">
        <f>IF(C849="", "",'Lighting Inventory (Ref only)'!AB860)</f>
        <v/>
      </c>
      <c r="AK849" s="375" t="str">
        <f>IF(B849="", "", 'Lighting Inventory (Ref only)'!AG860)</f>
        <v/>
      </c>
      <c r="AL849" s="375" t="str">
        <f>IF(B849="", "", 'Lighting Inventory (Ref only)'!AD860)</f>
        <v/>
      </c>
      <c r="AM849" s="375" t="str">
        <f>IF(B849="", "", 'Lighting Inventory (Ref only)'!AE860)</f>
        <v/>
      </c>
      <c r="AN849" s="375" t="str">
        <f>IF(B849="", "", 'Lighting Inventory (Ref only)'!AF860)</f>
        <v/>
      </c>
      <c r="AO849" s="375" t="str">
        <f>IF(B849="", "", 'Lighting Inventory (Ref only)'!AG860)</f>
        <v/>
      </c>
    </row>
    <row r="850" spans="1:41">
      <c r="A850" s="298" t="str">
        <f>IF(G850="", "", Lookups!BF852)</f>
        <v/>
      </c>
      <c r="B850" s="298" t="str">
        <f>IF('Lighting Inventory (Ref only)'!Q861="", "", 'Lighting Inventory (Ref only)'!Q861)</f>
        <v/>
      </c>
      <c r="C850" s="298" t="str">
        <f>IF(A850="", "", 'Lighting Inventory (Ref only)'!AO861)</f>
        <v/>
      </c>
      <c r="D850" s="298" t="str">
        <f>IF(B850= "","", Inventory!S858)</f>
        <v/>
      </c>
      <c r="F850" s="298" t="str">
        <f>IF(B850="", "", 'Version Log'!$B$34)</f>
        <v/>
      </c>
      <c r="G850" s="298" t="str">
        <f t="shared" si="52"/>
        <v/>
      </c>
      <c r="H850" s="298" t="str">
        <f t="shared" si="53"/>
        <v/>
      </c>
      <c r="I850" s="298" t="str">
        <f>IF(B850="", "",Inventory!D858)</f>
        <v/>
      </c>
      <c r="J850" s="298" t="str">
        <f>IF(B850="","",IF(Inventory!C858="N","Interior","Exterior"))</f>
        <v/>
      </c>
      <c r="K850" s="298" t="str">
        <f t="shared" si="54"/>
        <v/>
      </c>
      <c r="L850" s="298" t="str">
        <f>IF(B850="", "", Inventory!E858)</f>
        <v/>
      </c>
      <c r="M850" s="298" t="str">
        <f>IF(B850="","",IF(Cool_Type=Lookups!$L$9,Cool_Type,IF(Cool_Type=Lookups!$L$10,Cool_Type,IF(Cool_Type=Lookups!$L$11,Cool_Type,IF(Cool_Type=Lookups!L860,Cool_Type,IF('Project Info and Summary'!$C$20="Electric",CONCATENATE(Cool_Type," ",Heating_Type," Heat"),IF('Project Info and Summary'!$C$20="Non-Electric",CONCATENATE(Cool_Type," ",Heating_Type," Heat"),CONCATENATE(Cool_Type," ",Heating_Type))))))))</f>
        <v/>
      </c>
      <c r="N850" s="298" t="str">
        <f t="shared" si="55"/>
        <v/>
      </c>
      <c r="O850" s="298" t="str">
        <f>IF(B850="", "", 'Lighting Inventory (Ref only)'!G861)</f>
        <v/>
      </c>
      <c r="P850" s="298" t="str">
        <f>IF(B850="", "", 'Lighting Inventory (Ref only)'!E861)</f>
        <v/>
      </c>
      <c r="Q850" s="298" t="str">
        <f>IF(B850="", "", 'Lighting Inventory (Ref only)'!J861)</f>
        <v/>
      </c>
      <c r="R850" s="298" t="str">
        <f>IF(B850="", "",'Lighting Inventory (Ref only)'!K861)</f>
        <v/>
      </c>
      <c r="S850" s="372" t="str">
        <f>IF(B850="", "", 'Lighting Inventory (Ref only)'!G861*'Lighting Inventory (Ref only)'!K861/1000)</f>
        <v/>
      </c>
      <c r="T850" s="298" t="str">
        <f>IF(B850="", "", IF('Lighting Inventory (Ref only)'!I861="", "Light Switch",Inventory!H858))</f>
        <v/>
      </c>
      <c r="X850" s="298" t="str">
        <f>IF(B850="", "", 'Lighting Inventory (Ref only)'!Q861)</f>
        <v/>
      </c>
      <c r="AA850" s="298" t="str">
        <f>IF(B850="", "",'Lighting Inventory (Ref only)'!R861/1000)</f>
        <v/>
      </c>
      <c r="AB850" s="298" t="str">
        <f>IF(B850="", "", Inventory!M858)</f>
        <v/>
      </c>
      <c r="AC850" s="298" t="str">
        <f>IF(B850="", "", 'Lighting Inventory (Ref only)'!T861)</f>
        <v/>
      </c>
      <c r="AD850" s="298" t="str">
        <f>IF(C850="", "", 'Lighting Inventory (Ref only)'!AA861)</f>
        <v/>
      </c>
      <c r="AE850" s="298" t="str">
        <f>IF(B850="", "", 'Lighting Inventory (Ref only)'!U861)</f>
        <v/>
      </c>
      <c r="AF850" s="298" t="str">
        <f>IF(B850="", "",'Lighting Inventory (Ref only)'!W861)</f>
        <v/>
      </c>
      <c r="AH850" s="298" t="str">
        <f>IF(B850="", "",'Lighting Inventory (Ref only)'!Z861)</f>
        <v/>
      </c>
      <c r="AI850" s="298" t="str">
        <f>IF(B850="", "", 'Lighting Inventory (Ref only)'!Y861)</f>
        <v/>
      </c>
      <c r="AJ850" s="298" t="str">
        <f>IF(C850="", "",'Lighting Inventory (Ref only)'!AB861)</f>
        <v/>
      </c>
      <c r="AK850" s="375" t="str">
        <f>IF(B850="", "", 'Lighting Inventory (Ref only)'!AG861)</f>
        <v/>
      </c>
      <c r="AL850" s="375" t="str">
        <f>IF(B850="", "", 'Lighting Inventory (Ref only)'!AD861)</f>
        <v/>
      </c>
      <c r="AM850" s="375" t="str">
        <f>IF(B850="", "", 'Lighting Inventory (Ref only)'!AE861)</f>
        <v/>
      </c>
      <c r="AN850" s="375" t="str">
        <f>IF(B850="", "", 'Lighting Inventory (Ref only)'!AF861)</f>
        <v/>
      </c>
      <c r="AO850" s="375" t="str">
        <f>IF(B850="", "", 'Lighting Inventory (Ref only)'!AG861)</f>
        <v/>
      </c>
    </row>
    <row r="851" spans="1:41">
      <c r="A851" s="298" t="str">
        <f>IF(G851="", "", Lookups!BF853)</f>
        <v/>
      </c>
      <c r="B851" s="298" t="str">
        <f>IF('Lighting Inventory (Ref only)'!Q862="", "", 'Lighting Inventory (Ref only)'!Q862)</f>
        <v/>
      </c>
      <c r="C851" s="298" t="str">
        <f>IF(A851="", "", 'Lighting Inventory (Ref only)'!AO862)</f>
        <v/>
      </c>
      <c r="D851" s="298" t="str">
        <f>IF(B851= "","", Inventory!S859)</f>
        <v/>
      </c>
      <c r="F851" s="298" t="str">
        <f>IF(B851="", "", 'Version Log'!$B$34)</f>
        <v/>
      </c>
      <c r="G851" s="298" t="str">
        <f t="shared" si="52"/>
        <v/>
      </c>
      <c r="H851" s="298" t="str">
        <f t="shared" si="53"/>
        <v/>
      </c>
      <c r="I851" s="298" t="str">
        <f>IF(B851="", "",Inventory!D859)</f>
        <v/>
      </c>
      <c r="J851" s="298" t="str">
        <f>IF(B851="","",IF(Inventory!C859="N","Interior","Exterior"))</f>
        <v/>
      </c>
      <c r="K851" s="298" t="str">
        <f t="shared" si="54"/>
        <v/>
      </c>
      <c r="L851" s="298" t="str">
        <f>IF(B851="", "", Inventory!E859)</f>
        <v/>
      </c>
      <c r="M851" s="298" t="str">
        <f>IF(B851="","",IF(Cool_Type=Lookups!$L$9,Cool_Type,IF(Cool_Type=Lookups!$L$10,Cool_Type,IF(Cool_Type=Lookups!$L$11,Cool_Type,IF(Cool_Type=Lookups!L861,Cool_Type,IF('Project Info and Summary'!$C$20="Electric",CONCATENATE(Cool_Type," ",Heating_Type," Heat"),IF('Project Info and Summary'!$C$20="Non-Electric",CONCATENATE(Cool_Type," ",Heating_Type," Heat"),CONCATENATE(Cool_Type," ",Heating_Type))))))))</f>
        <v/>
      </c>
      <c r="N851" s="298" t="str">
        <f t="shared" si="55"/>
        <v/>
      </c>
      <c r="O851" s="298" t="str">
        <f>IF(B851="", "", 'Lighting Inventory (Ref only)'!G862)</f>
        <v/>
      </c>
      <c r="P851" s="298" t="str">
        <f>IF(B851="", "", 'Lighting Inventory (Ref only)'!E862)</f>
        <v/>
      </c>
      <c r="Q851" s="298" t="str">
        <f>IF(B851="", "", 'Lighting Inventory (Ref only)'!J862)</f>
        <v/>
      </c>
      <c r="R851" s="298" t="str">
        <f>IF(B851="", "",'Lighting Inventory (Ref only)'!K862)</f>
        <v/>
      </c>
      <c r="S851" s="372" t="str">
        <f>IF(B851="", "", 'Lighting Inventory (Ref only)'!G862*'Lighting Inventory (Ref only)'!K862/1000)</f>
        <v/>
      </c>
      <c r="T851" s="298" t="str">
        <f>IF(B851="", "", IF('Lighting Inventory (Ref only)'!I862="", "Light Switch",Inventory!H859))</f>
        <v/>
      </c>
      <c r="X851" s="298" t="str">
        <f>IF(B851="", "", 'Lighting Inventory (Ref only)'!Q862)</f>
        <v/>
      </c>
      <c r="AA851" s="298" t="str">
        <f>IF(B851="", "",'Lighting Inventory (Ref only)'!R862/1000)</f>
        <v/>
      </c>
      <c r="AB851" s="298" t="str">
        <f>IF(B851="", "", Inventory!M859)</f>
        <v/>
      </c>
      <c r="AC851" s="298" t="str">
        <f>IF(B851="", "", 'Lighting Inventory (Ref only)'!T862)</f>
        <v/>
      </c>
      <c r="AD851" s="298" t="str">
        <f>IF(C851="", "", 'Lighting Inventory (Ref only)'!AA862)</f>
        <v/>
      </c>
      <c r="AE851" s="298" t="str">
        <f>IF(B851="", "", 'Lighting Inventory (Ref only)'!U862)</f>
        <v/>
      </c>
      <c r="AF851" s="298" t="str">
        <f>IF(B851="", "",'Lighting Inventory (Ref only)'!W862)</f>
        <v/>
      </c>
      <c r="AH851" s="298" t="str">
        <f>IF(B851="", "",'Lighting Inventory (Ref only)'!Z862)</f>
        <v/>
      </c>
      <c r="AI851" s="298" t="str">
        <f>IF(B851="", "", 'Lighting Inventory (Ref only)'!Y862)</f>
        <v/>
      </c>
      <c r="AJ851" s="298" t="str">
        <f>IF(C851="", "",'Lighting Inventory (Ref only)'!AB862)</f>
        <v/>
      </c>
      <c r="AK851" s="375" t="str">
        <f>IF(B851="", "", 'Lighting Inventory (Ref only)'!AG862)</f>
        <v/>
      </c>
      <c r="AL851" s="375" t="str">
        <f>IF(B851="", "", 'Lighting Inventory (Ref only)'!AD862)</f>
        <v/>
      </c>
      <c r="AM851" s="375" t="str">
        <f>IF(B851="", "", 'Lighting Inventory (Ref only)'!AE862)</f>
        <v/>
      </c>
      <c r="AN851" s="375" t="str">
        <f>IF(B851="", "", 'Lighting Inventory (Ref only)'!AF862)</f>
        <v/>
      </c>
      <c r="AO851" s="375" t="str">
        <f>IF(B851="", "", 'Lighting Inventory (Ref only)'!AG862)</f>
        <v/>
      </c>
    </row>
    <row r="852" spans="1:41">
      <c r="A852" s="298" t="str">
        <f>IF(G852="", "", Lookups!BF854)</f>
        <v/>
      </c>
      <c r="B852" s="298" t="str">
        <f>IF('Lighting Inventory (Ref only)'!Q863="", "", 'Lighting Inventory (Ref only)'!Q863)</f>
        <v/>
      </c>
      <c r="C852" s="298" t="str">
        <f>IF(A852="", "", 'Lighting Inventory (Ref only)'!AO863)</f>
        <v/>
      </c>
      <c r="D852" s="298" t="str">
        <f>IF(B852= "","", Inventory!S860)</f>
        <v/>
      </c>
      <c r="F852" s="298" t="str">
        <f>IF(B852="", "", 'Version Log'!$B$34)</f>
        <v/>
      </c>
      <c r="G852" s="298" t="str">
        <f t="shared" si="52"/>
        <v/>
      </c>
      <c r="H852" s="298" t="str">
        <f t="shared" si="53"/>
        <v/>
      </c>
      <c r="I852" s="298" t="str">
        <f>IF(B852="", "",Inventory!D860)</f>
        <v/>
      </c>
      <c r="J852" s="298" t="str">
        <f>IF(B852="","",IF(Inventory!C860="N","Interior","Exterior"))</f>
        <v/>
      </c>
      <c r="K852" s="298" t="str">
        <f t="shared" si="54"/>
        <v/>
      </c>
      <c r="L852" s="298" t="str">
        <f>IF(B852="", "", Inventory!E860)</f>
        <v/>
      </c>
      <c r="M852" s="298" t="str">
        <f>IF(B852="","",IF(Cool_Type=Lookups!$L$9,Cool_Type,IF(Cool_Type=Lookups!$L$10,Cool_Type,IF(Cool_Type=Lookups!$L$11,Cool_Type,IF(Cool_Type=Lookups!L862,Cool_Type,IF('Project Info and Summary'!$C$20="Electric",CONCATENATE(Cool_Type," ",Heating_Type," Heat"),IF('Project Info and Summary'!$C$20="Non-Electric",CONCATENATE(Cool_Type," ",Heating_Type," Heat"),CONCATENATE(Cool_Type," ",Heating_Type))))))))</f>
        <v/>
      </c>
      <c r="N852" s="298" t="str">
        <f t="shared" si="55"/>
        <v/>
      </c>
      <c r="O852" s="298" t="str">
        <f>IF(B852="", "", 'Lighting Inventory (Ref only)'!G863)</f>
        <v/>
      </c>
      <c r="P852" s="298" t="str">
        <f>IF(B852="", "", 'Lighting Inventory (Ref only)'!E863)</f>
        <v/>
      </c>
      <c r="Q852" s="298" t="str">
        <f>IF(B852="", "", 'Lighting Inventory (Ref only)'!J863)</f>
        <v/>
      </c>
      <c r="R852" s="298" t="str">
        <f>IF(B852="", "",'Lighting Inventory (Ref only)'!K863)</f>
        <v/>
      </c>
      <c r="S852" s="372" t="str">
        <f>IF(B852="", "", 'Lighting Inventory (Ref only)'!G863*'Lighting Inventory (Ref only)'!K863/1000)</f>
        <v/>
      </c>
      <c r="T852" s="298" t="str">
        <f>IF(B852="", "", IF('Lighting Inventory (Ref only)'!I863="", "Light Switch",Inventory!H860))</f>
        <v/>
      </c>
      <c r="X852" s="298" t="str">
        <f>IF(B852="", "", 'Lighting Inventory (Ref only)'!Q863)</f>
        <v/>
      </c>
      <c r="AA852" s="298" t="str">
        <f>IF(B852="", "",'Lighting Inventory (Ref only)'!R863/1000)</f>
        <v/>
      </c>
      <c r="AB852" s="298" t="str">
        <f>IF(B852="", "", Inventory!M860)</f>
        <v/>
      </c>
      <c r="AC852" s="298" t="str">
        <f>IF(B852="", "", 'Lighting Inventory (Ref only)'!T863)</f>
        <v/>
      </c>
      <c r="AD852" s="298" t="str">
        <f>IF(C852="", "", 'Lighting Inventory (Ref only)'!AA863)</f>
        <v/>
      </c>
      <c r="AE852" s="298" t="str">
        <f>IF(B852="", "", 'Lighting Inventory (Ref only)'!U863)</f>
        <v/>
      </c>
      <c r="AF852" s="298" t="str">
        <f>IF(B852="", "",'Lighting Inventory (Ref only)'!W863)</f>
        <v/>
      </c>
      <c r="AH852" s="298" t="str">
        <f>IF(B852="", "",'Lighting Inventory (Ref only)'!Z863)</f>
        <v/>
      </c>
      <c r="AI852" s="298" t="str">
        <f>IF(B852="", "", 'Lighting Inventory (Ref only)'!Y863)</f>
        <v/>
      </c>
      <c r="AJ852" s="298" t="str">
        <f>IF(C852="", "",'Lighting Inventory (Ref only)'!AB863)</f>
        <v/>
      </c>
      <c r="AK852" s="375" t="str">
        <f>IF(B852="", "", 'Lighting Inventory (Ref only)'!AG863)</f>
        <v/>
      </c>
      <c r="AL852" s="375" t="str">
        <f>IF(B852="", "", 'Lighting Inventory (Ref only)'!AD863)</f>
        <v/>
      </c>
      <c r="AM852" s="375" t="str">
        <f>IF(B852="", "", 'Lighting Inventory (Ref only)'!AE863)</f>
        <v/>
      </c>
      <c r="AN852" s="375" t="str">
        <f>IF(B852="", "", 'Lighting Inventory (Ref only)'!AF863)</f>
        <v/>
      </c>
      <c r="AO852" s="375" t="str">
        <f>IF(B852="", "", 'Lighting Inventory (Ref only)'!AG863)</f>
        <v/>
      </c>
    </row>
    <row r="853" spans="1:41">
      <c r="A853" s="298" t="str">
        <f>IF(G853="", "", Lookups!BF855)</f>
        <v/>
      </c>
      <c r="B853" s="298" t="str">
        <f>IF('Lighting Inventory (Ref only)'!Q864="", "", 'Lighting Inventory (Ref only)'!Q864)</f>
        <v/>
      </c>
      <c r="C853" s="298" t="str">
        <f>IF(A853="", "", 'Lighting Inventory (Ref only)'!AO864)</f>
        <v/>
      </c>
      <c r="D853" s="298" t="str">
        <f>IF(B853= "","", Inventory!S861)</f>
        <v/>
      </c>
      <c r="F853" s="298" t="str">
        <f>IF(B853="", "", 'Version Log'!$B$34)</f>
        <v/>
      </c>
      <c r="G853" s="298" t="str">
        <f t="shared" si="52"/>
        <v/>
      </c>
      <c r="H853" s="298" t="str">
        <f t="shared" si="53"/>
        <v/>
      </c>
      <c r="I853" s="298" t="str">
        <f>IF(B853="", "",Inventory!D861)</f>
        <v/>
      </c>
      <c r="J853" s="298" t="str">
        <f>IF(B853="","",IF(Inventory!C861="N","Interior","Exterior"))</f>
        <v/>
      </c>
      <c r="K853" s="298" t="str">
        <f t="shared" si="54"/>
        <v/>
      </c>
      <c r="L853" s="298" t="str">
        <f>IF(B853="", "", Inventory!E861)</f>
        <v/>
      </c>
      <c r="M853" s="298" t="str">
        <f>IF(B853="","",IF(Cool_Type=Lookups!$L$9,Cool_Type,IF(Cool_Type=Lookups!$L$10,Cool_Type,IF(Cool_Type=Lookups!$L$11,Cool_Type,IF(Cool_Type=Lookups!L863,Cool_Type,IF('Project Info and Summary'!$C$20="Electric",CONCATENATE(Cool_Type," ",Heating_Type," Heat"),IF('Project Info and Summary'!$C$20="Non-Electric",CONCATENATE(Cool_Type," ",Heating_Type," Heat"),CONCATENATE(Cool_Type," ",Heating_Type))))))))</f>
        <v/>
      </c>
      <c r="N853" s="298" t="str">
        <f t="shared" si="55"/>
        <v/>
      </c>
      <c r="O853" s="298" t="str">
        <f>IF(B853="", "", 'Lighting Inventory (Ref only)'!G864)</f>
        <v/>
      </c>
      <c r="P853" s="298" t="str">
        <f>IF(B853="", "", 'Lighting Inventory (Ref only)'!E864)</f>
        <v/>
      </c>
      <c r="Q853" s="298" t="str">
        <f>IF(B853="", "", 'Lighting Inventory (Ref only)'!J864)</f>
        <v/>
      </c>
      <c r="R853" s="298" t="str">
        <f>IF(B853="", "",'Lighting Inventory (Ref only)'!K864)</f>
        <v/>
      </c>
      <c r="S853" s="372" t="str">
        <f>IF(B853="", "", 'Lighting Inventory (Ref only)'!G864*'Lighting Inventory (Ref only)'!K864/1000)</f>
        <v/>
      </c>
      <c r="T853" s="298" t="str">
        <f>IF(B853="", "", IF('Lighting Inventory (Ref only)'!I864="", "Light Switch",Inventory!H861))</f>
        <v/>
      </c>
      <c r="X853" s="298" t="str">
        <f>IF(B853="", "", 'Lighting Inventory (Ref only)'!Q864)</f>
        <v/>
      </c>
      <c r="AA853" s="298" t="str">
        <f>IF(B853="", "",'Lighting Inventory (Ref only)'!R864/1000)</f>
        <v/>
      </c>
      <c r="AB853" s="298" t="str">
        <f>IF(B853="", "", Inventory!M861)</f>
        <v/>
      </c>
      <c r="AC853" s="298" t="str">
        <f>IF(B853="", "", 'Lighting Inventory (Ref only)'!T864)</f>
        <v/>
      </c>
      <c r="AD853" s="298" t="str">
        <f>IF(C853="", "", 'Lighting Inventory (Ref only)'!AA864)</f>
        <v/>
      </c>
      <c r="AE853" s="298" t="str">
        <f>IF(B853="", "", 'Lighting Inventory (Ref only)'!U864)</f>
        <v/>
      </c>
      <c r="AF853" s="298" t="str">
        <f>IF(B853="", "",'Lighting Inventory (Ref only)'!W864)</f>
        <v/>
      </c>
      <c r="AH853" s="298" t="str">
        <f>IF(B853="", "",'Lighting Inventory (Ref only)'!Z864)</f>
        <v/>
      </c>
      <c r="AI853" s="298" t="str">
        <f>IF(B853="", "", 'Lighting Inventory (Ref only)'!Y864)</f>
        <v/>
      </c>
      <c r="AJ853" s="298" t="str">
        <f>IF(C853="", "",'Lighting Inventory (Ref only)'!AB864)</f>
        <v/>
      </c>
      <c r="AK853" s="375" t="str">
        <f>IF(B853="", "", 'Lighting Inventory (Ref only)'!AG864)</f>
        <v/>
      </c>
      <c r="AL853" s="375" t="str">
        <f>IF(B853="", "", 'Lighting Inventory (Ref only)'!AD864)</f>
        <v/>
      </c>
      <c r="AM853" s="375" t="str">
        <f>IF(B853="", "", 'Lighting Inventory (Ref only)'!AE864)</f>
        <v/>
      </c>
      <c r="AN853" s="375" t="str">
        <f>IF(B853="", "", 'Lighting Inventory (Ref only)'!AF864)</f>
        <v/>
      </c>
      <c r="AO853" s="375" t="str">
        <f>IF(B853="", "", 'Lighting Inventory (Ref only)'!AG864)</f>
        <v/>
      </c>
    </row>
    <row r="854" spans="1:41">
      <c r="A854" s="298" t="str">
        <f>IF(G854="", "", Lookups!BF856)</f>
        <v/>
      </c>
      <c r="B854" s="298" t="str">
        <f>IF('Lighting Inventory (Ref only)'!Q865="", "", 'Lighting Inventory (Ref only)'!Q865)</f>
        <v/>
      </c>
      <c r="C854" s="298" t="str">
        <f>IF(A854="", "", 'Lighting Inventory (Ref only)'!AO865)</f>
        <v/>
      </c>
      <c r="D854" s="298" t="str">
        <f>IF(B854= "","", Inventory!S862)</f>
        <v/>
      </c>
      <c r="F854" s="298" t="str">
        <f>IF(B854="", "", 'Version Log'!$B$34)</f>
        <v/>
      </c>
      <c r="G854" s="298" t="str">
        <f t="shared" si="52"/>
        <v/>
      </c>
      <c r="H854" s="298" t="str">
        <f t="shared" si="53"/>
        <v/>
      </c>
      <c r="I854" s="298" t="str">
        <f>IF(B854="", "",Inventory!D862)</f>
        <v/>
      </c>
      <c r="J854" s="298" t="str">
        <f>IF(B854="","",IF(Inventory!C862="N","Interior","Exterior"))</f>
        <v/>
      </c>
      <c r="K854" s="298" t="str">
        <f t="shared" si="54"/>
        <v/>
      </c>
      <c r="L854" s="298" t="str">
        <f>IF(B854="", "", Inventory!E862)</f>
        <v/>
      </c>
      <c r="M854" s="298" t="str">
        <f>IF(B854="","",IF(Cool_Type=Lookups!$L$9,Cool_Type,IF(Cool_Type=Lookups!$L$10,Cool_Type,IF(Cool_Type=Lookups!$L$11,Cool_Type,IF(Cool_Type=Lookups!L864,Cool_Type,IF('Project Info and Summary'!$C$20="Electric",CONCATENATE(Cool_Type," ",Heating_Type," Heat"),IF('Project Info and Summary'!$C$20="Non-Electric",CONCATENATE(Cool_Type," ",Heating_Type," Heat"),CONCATENATE(Cool_Type," ",Heating_Type))))))))</f>
        <v/>
      </c>
      <c r="N854" s="298" t="str">
        <f t="shared" si="55"/>
        <v/>
      </c>
      <c r="O854" s="298" t="str">
        <f>IF(B854="", "", 'Lighting Inventory (Ref only)'!G865)</f>
        <v/>
      </c>
      <c r="P854" s="298" t="str">
        <f>IF(B854="", "", 'Lighting Inventory (Ref only)'!E865)</f>
        <v/>
      </c>
      <c r="Q854" s="298" t="str">
        <f>IF(B854="", "", 'Lighting Inventory (Ref only)'!J865)</f>
        <v/>
      </c>
      <c r="R854" s="298" t="str">
        <f>IF(B854="", "",'Lighting Inventory (Ref only)'!K865)</f>
        <v/>
      </c>
      <c r="S854" s="372" t="str">
        <f>IF(B854="", "", 'Lighting Inventory (Ref only)'!G865*'Lighting Inventory (Ref only)'!K865/1000)</f>
        <v/>
      </c>
      <c r="T854" s="298" t="str">
        <f>IF(B854="", "", IF('Lighting Inventory (Ref only)'!I865="", "Light Switch",Inventory!H862))</f>
        <v/>
      </c>
      <c r="X854" s="298" t="str">
        <f>IF(B854="", "", 'Lighting Inventory (Ref only)'!Q865)</f>
        <v/>
      </c>
      <c r="AA854" s="298" t="str">
        <f>IF(B854="", "",'Lighting Inventory (Ref only)'!R865/1000)</f>
        <v/>
      </c>
      <c r="AB854" s="298" t="str">
        <f>IF(B854="", "", Inventory!M862)</f>
        <v/>
      </c>
      <c r="AC854" s="298" t="str">
        <f>IF(B854="", "", 'Lighting Inventory (Ref only)'!T865)</f>
        <v/>
      </c>
      <c r="AD854" s="298" t="str">
        <f>IF(C854="", "", 'Lighting Inventory (Ref only)'!AA865)</f>
        <v/>
      </c>
      <c r="AE854" s="298" t="str">
        <f>IF(B854="", "", 'Lighting Inventory (Ref only)'!U865)</f>
        <v/>
      </c>
      <c r="AF854" s="298" t="str">
        <f>IF(B854="", "",'Lighting Inventory (Ref only)'!W865)</f>
        <v/>
      </c>
      <c r="AH854" s="298" t="str">
        <f>IF(B854="", "",'Lighting Inventory (Ref only)'!Z865)</f>
        <v/>
      </c>
      <c r="AI854" s="298" t="str">
        <f>IF(B854="", "", 'Lighting Inventory (Ref only)'!Y865)</f>
        <v/>
      </c>
      <c r="AJ854" s="298" t="str">
        <f>IF(C854="", "",'Lighting Inventory (Ref only)'!AB865)</f>
        <v/>
      </c>
      <c r="AK854" s="375" t="str">
        <f>IF(B854="", "", 'Lighting Inventory (Ref only)'!AG865)</f>
        <v/>
      </c>
      <c r="AL854" s="375" t="str">
        <f>IF(B854="", "", 'Lighting Inventory (Ref only)'!AD865)</f>
        <v/>
      </c>
      <c r="AM854" s="375" t="str">
        <f>IF(B854="", "", 'Lighting Inventory (Ref only)'!AE865)</f>
        <v/>
      </c>
      <c r="AN854" s="375" t="str">
        <f>IF(B854="", "", 'Lighting Inventory (Ref only)'!AF865)</f>
        <v/>
      </c>
      <c r="AO854" s="375" t="str">
        <f>IF(B854="", "", 'Lighting Inventory (Ref only)'!AG865)</f>
        <v/>
      </c>
    </row>
    <row r="855" spans="1:41">
      <c r="A855" s="298" t="str">
        <f>IF(G855="", "", Lookups!BF857)</f>
        <v/>
      </c>
      <c r="B855" s="298" t="str">
        <f>IF('Lighting Inventory (Ref only)'!Q866="", "", 'Lighting Inventory (Ref only)'!Q866)</f>
        <v/>
      </c>
      <c r="C855" s="298" t="str">
        <f>IF(A855="", "", 'Lighting Inventory (Ref only)'!AO866)</f>
        <v/>
      </c>
      <c r="D855" s="298" t="str">
        <f>IF(B855= "","", Inventory!S863)</f>
        <v/>
      </c>
      <c r="F855" s="298" t="str">
        <f>IF(B855="", "", 'Version Log'!$B$34)</f>
        <v/>
      </c>
      <c r="G855" s="298" t="str">
        <f t="shared" si="52"/>
        <v/>
      </c>
      <c r="H855" s="298" t="str">
        <f t="shared" si="53"/>
        <v/>
      </c>
      <c r="I855" s="298" t="str">
        <f>IF(B855="", "",Inventory!D863)</f>
        <v/>
      </c>
      <c r="J855" s="298" t="str">
        <f>IF(B855="","",IF(Inventory!C863="N","Interior","Exterior"))</f>
        <v/>
      </c>
      <c r="K855" s="298" t="str">
        <f t="shared" si="54"/>
        <v/>
      </c>
      <c r="L855" s="298" t="str">
        <f>IF(B855="", "", Inventory!E863)</f>
        <v/>
      </c>
      <c r="M855" s="298" t="str">
        <f>IF(B855="","",IF(Cool_Type=Lookups!$L$9,Cool_Type,IF(Cool_Type=Lookups!$L$10,Cool_Type,IF(Cool_Type=Lookups!$L$11,Cool_Type,IF(Cool_Type=Lookups!L865,Cool_Type,IF('Project Info and Summary'!$C$20="Electric",CONCATENATE(Cool_Type," ",Heating_Type," Heat"),IF('Project Info and Summary'!$C$20="Non-Electric",CONCATENATE(Cool_Type," ",Heating_Type," Heat"),CONCATENATE(Cool_Type," ",Heating_Type))))))))</f>
        <v/>
      </c>
      <c r="N855" s="298" t="str">
        <f t="shared" si="55"/>
        <v/>
      </c>
      <c r="O855" s="298" t="str">
        <f>IF(B855="", "", 'Lighting Inventory (Ref only)'!G866)</f>
        <v/>
      </c>
      <c r="P855" s="298" t="str">
        <f>IF(B855="", "", 'Lighting Inventory (Ref only)'!E866)</f>
        <v/>
      </c>
      <c r="Q855" s="298" t="str">
        <f>IF(B855="", "", 'Lighting Inventory (Ref only)'!J866)</f>
        <v/>
      </c>
      <c r="R855" s="298" t="str">
        <f>IF(B855="", "",'Lighting Inventory (Ref only)'!K866)</f>
        <v/>
      </c>
      <c r="S855" s="372" t="str">
        <f>IF(B855="", "", 'Lighting Inventory (Ref only)'!G866*'Lighting Inventory (Ref only)'!K866/1000)</f>
        <v/>
      </c>
      <c r="T855" s="298" t="str">
        <f>IF(B855="", "", IF('Lighting Inventory (Ref only)'!I866="", "Light Switch",Inventory!H863))</f>
        <v/>
      </c>
      <c r="X855" s="298" t="str">
        <f>IF(B855="", "", 'Lighting Inventory (Ref only)'!Q866)</f>
        <v/>
      </c>
      <c r="AA855" s="298" t="str">
        <f>IF(B855="", "",'Lighting Inventory (Ref only)'!R866/1000)</f>
        <v/>
      </c>
      <c r="AB855" s="298" t="str">
        <f>IF(B855="", "", Inventory!M863)</f>
        <v/>
      </c>
      <c r="AC855" s="298" t="str">
        <f>IF(B855="", "", 'Lighting Inventory (Ref only)'!T866)</f>
        <v/>
      </c>
      <c r="AD855" s="298" t="str">
        <f>IF(C855="", "", 'Lighting Inventory (Ref only)'!AA866)</f>
        <v/>
      </c>
      <c r="AE855" s="298" t="str">
        <f>IF(B855="", "", 'Lighting Inventory (Ref only)'!U866)</f>
        <v/>
      </c>
      <c r="AF855" s="298" t="str">
        <f>IF(B855="", "",'Lighting Inventory (Ref only)'!W866)</f>
        <v/>
      </c>
      <c r="AH855" s="298" t="str">
        <f>IF(B855="", "",'Lighting Inventory (Ref only)'!Z866)</f>
        <v/>
      </c>
      <c r="AI855" s="298" t="str">
        <f>IF(B855="", "", 'Lighting Inventory (Ref only)'!Y866)</f>
        <v/>
      </c>
      <c r="AJ855" s="298" t="str">
        <f>IF(C855="", "",'Lighting Inventory (Ref only)'!AB866)</f>
        <v/>
      </c>
      <c r="AK855" s="375" t="str">
        <f>IF(B855="", "", 'Lighting Inventory (Ref only)'!AG866)</f>
        <v/>
      </c>
      <c r="AL855" s="375" t="str">
        <f>IF(B855="", "", 'Lighting Inventory (Ref only)'!AD866)</f>
        <v/>
      </c>
      <c r="AM855" s="375" t="str">
        <f>IF(B855="", "", 'Lighting Inventory (Ref only)'!AE866)</f>
        <v/>
      </c>
      <c r="AN855" s="375" t="str">
        <f>IF(B855="", "", 'Lighting Inventory (Ref only)'!AF866)</f>
        <v/>
      </c>
      <c r="AO855" s="375" t="str">
        <f>IF(B855="", "", 'Lighting Inventory (Ref only)'!AG866)</f>
        <v/>
      </c>
    </row>
    <row r="856" spans="1:41">
      <c r="A856" s="298" t="str">
        <f>IF(G856="", "", Lookups!BF858)</f>
        <v/>
      </c>
      <c r="B856" s="298" t="str">
        <f>IF('Lighting Inventory (Ref only)'!Q867="", "", 'Lighting Inventory (Ref only)'!Q867)</f>
        <v/>
      </c>
      <c r="C856" s="298" t="str">
        <f>IF(A856="", "", 'Lighting Inventory (Ref only)'!AO867)</f>
        <v/>
      </c>
      <c r="D856" s="298" t="str">
        <f>IF(B856= "","", Inventory!S864)</f>
        <v/>
      </c>
      <c r="F856" s="298" t="str">
        <f>IF(B856="", "", 'Version Log'!$B$34)</f>
        <v/>
      </c>
      <c r="G856" s="298" t="str">
        <f t="shared" si="52"/>
        <v/>
      </c>
      <c r="H856" s="298" t="str">
        <f t="shared" si="53"/>
        <v/>
      </c>
      <c r="I856" s="298" t="str">
        <f>IF(B856="", "",Inventory!D864)</f>
        <v/>
      </c>
      <c r="J856" s="298" t="str">
        <f>IF(B856="","",IF(Inventory!C864="N","Interior","Exterior"))</f>
        <v/>
      </c>
      <c r="K856" s="298" t="str">
        <f t="shared" si="54"/>
        <v/>
      </c>
      <c r="L856" s="298" t="str">
        <f>IF(B856="", "", Inventory!E864)</f>
        <v/>
      </c>
      <c r="M856" s="298" t="str">
        <f>IF(B856="","",IF(Cool_Type=Lookups!$L$9,Cool_Type,IF(Cool_Type=Lookups!$L$10,Cool_Type,IF(Cool_Type=Lookups!$L$11,Cool_Type,IF(Cool_Type=Lookups!L866,Cool_Type,IF('Project Info and Summary'!$C$20="Electric",CONCATENATE(Cool_Type," ",Heating_Type," Heat"),IF('Project Info and Summary'!$C$20="Non-Electric",CONCATENATE(Cool_Type," ",Heating_Type," Heat"),CONCATENATE(Cool_Type," ",Heating_Type))))))))</f>
        <v/>
      </c>
      <c r="N856" s="298" t="str">
        <f t="shared" si="55"/>
        <v/>
      </c>
      <c r="O856" s="298" t="str">
        <f>IF(B856="", "", 'Lighting Inventory (Ref only)'!G867)</f>
        <v/>
      </c>
      <c r="P856" s="298" t="str">
        <f>IF(B856="", "", 'Lighting Inventory (Ref only)'!E867)</f>
        <v/>
      </c>
      <c r="Q856" s="298" t="str">
        <f>IF(B856="", "", 'Lighting Inventory (Ref only)'!J867)</f>
        <v/>
      </c>
      <c r="R856" s="298" t="str">
        <f>IF(B856="", "",'Lighting Inventory (Ref only)'!K867)</f>
        <v/>
      </c>
      <c r="S856" s="372" t="str">
        <f>IF(B856="", "", 'Lighting Inventory (Ref only)'!G867*'Lighting Inventory (Ref only)'!K867/1000)</f>
        <v/>
      </c>
      <c r="T856" s="298" t="str">
        <f>IF(B856="", "", IF('Lighting Inventory (Ref only)'!I867="", "Light Switch",Inventory!H864))</f>
        <v/>
      </c>
      <c r="X856" s="298" t="str">
        <f>IF(B856="", "", 'Lighting Inventory (Ref only)'!Q867)</f>
        <v/>
      </c>
      <c r="AA856" s="298" t="str">
        <f>IF(B856="", "",'Lighting Inventory (Ref only)'!R867/1000)</f>
        <v/>
      </c>
      <c r="AB856" s="298" t="str">
        <f>IF(B856="", "", Inventory!M864)</f>
        <v/>
      </c>
      <c r="AC856" s="298" t="str">
        <f>IF(B856="", "", 'Lighting Inventory (Ref only)'!T867)</f>
        <v/>
      </c>
      <c r="AD856" s="298" t="str">
        <f>IF(C856="", "", 'Lighting Inventory (Ref only)'!AA867)</f>
        <v/>
      </c>
      <c r="AE856" s="298" t="str">
        <f>IF(B856="", "", 'Lighting Inventory (Ref only)'!U867)</f>
        <v/>
      </c>
      <c r="AF856" s="298" t="str">
        <f>IF(B856="", "",'Lighting Inventory (Ref only)'!W867)</f>
        <v/>
      </c>
      <c r="AH856" s="298" t="str">
        <f>IF(B856="", "",'Lighting Inventory (Ref only)'!Z867)</f>
        <v/>
      </c>
      <c r="AI856" s="298" t="str">
        <f>IF(B856="", "", 'Lighting Inventory (Ref only)'!Y867)</f>
        <v/>
      </c>
      <c r="AJ856" s="298" t="str">
        <f>IF(C856="", "",'Lighting Inventory (Ref only)'!AB867)</f>
        <v/>
      </c>
      <c r="AK856" s="375" t="str">
        <f>IF(B856="", "", 'Lighting Inventory (Ref only)'!AG867)</f>
        <v/>
      </c>
      <c r="AL856" s="375" t="str">
        <f>IF(B856="", "", 'Lighting Inventory (Ref only)'!AD867)</f>
        <v/>
      </c>
      <c r="AM856" s="375" t="str">
        <f>IF(B856="", "", 'Lighting Inventory (Ref only)'!AE867)</f>
        <v/>
      </c>
      <c r="AN856" s="375" t="str">
        <f>IF(B856="", "", 'Lighting Inventory (Ref only)'!AF867)</f>
        <v/>
      </c>
      <c r="AO856" s="375" t="str">
        <f>IF(B856="", "", 'Lighting Inventory (Ref only)'!AG867)</f>
        <v/>
      </c>
    </row>
    <row r="857" spans="1:41">
      <c r="A857" s="298" t="str">
        <f>IF(G857="", "", Lookups!BF859)</f>
        <v/>
      </c>
      <c r="B857" s="298" t="str">
        <f>IF('Lighting Inventory (Ref only)'!Q868="", "", 'Lighting Inventory (Ref only)'!Q868)</f>
        <v/>
      </c>
      <c r="C857" s="298" t="str">
        <f>IF(A857="", "", 'Lighting Inventory (Ref only)'!AO868)</f>
        <v/>
      </c>
      <c r="D857" s="298" t="str">
        <f>IF(B857= "","", Inventory!S865)</f>
        <v/>
      </c>
      <c r="F857" s="298" t="str">
        <f>IF(B857="", "", 'Version Log'!$B$34)</f>
        <v/>
      </c>
      <c r="G857" s="298" t="str">
        <f t="shared" si="52"/>
        <v/>
      </c>
      <c r="H857" s="298" t="str">
        <f t="shared" si="53"/>
        <v/>
      </c>
      <c r="I857" s="298" t="str">
        <f>IF(B857="", "",Inventory!D865)</f>
        <v/>
      </c>
      <c r="J857" s="298" t="str">
        <f>IF(B857="","",IF(Inventory!C865="N","Interior","Exterior"))</f>
        <v/>
      </c>
      <c r="K857" s="298" t="str">
        <f t="shared" si="54"/>
        <v/>
      </c>
      <c r="L857" s="298" t="str">
        <f>IF(B857="", "", Inventory!E865)</f>
        <v/>
      </c>
      <c r="M857" s="298" t="str">
        <f>IF(B857="","",IF(Cool_Type=Lookups!$L$9,Cool_Type,IF(Cool_Type=Lookups!$L$10,Cool_Type,IF(Cool_Type=Lookups!$L$11,Cool_Type,IF(Cool_Type=Lookups!L867,Cool_Type,IF('Project Info and Summary'!$C$20="Electric",CONCATENATE(Cool_Type," ",Heating_Type," Heat"),IF('Project Info and Summary'!$C$20="Non-Electric",CONCATENATE(Cool_Type," ",Heating_Type," Heat"),CONCATENATE(Cool_Type," ",Heating_Type))))))))</f>
        <v/>
      </c>
      <c r="N857" s="298" t="str">
        <f t="shared" si="55"/>
        <v/>
      </c>
      <c r="O857" s="298" t="str">
        <f>IF(B857="", "", 'Lighting Inventory (Ref only)'!G868)</f>
        <v/>
      </c>
      <c r="P857" s="298" t="str">
        <f>IF(B857="", "", 'Lighting Inventory (Ref only)'!E868)</f>
        <v/>
      </c>
      <c r="Q857" s="298" t="str">
        <f>IF(B857="", "", 'Lighting Inventory (Ref only)'!J868)</f>
        <v/>
      </c>
      <c r="R857" s="298" t="str">
        <f>IF(B857="", "",'Lighting Inventory (Ref only)'!K868)</f>
        <v/>
      </c>
      <c r="S857" s="372" t="str">
        <f>IF(B857="", "", 'Lighting Inventory (Ref only)'!G868*'Lighting Inventory (Ref only)'!K868/1000)</f>
        <v/>
      </c>
      <c r="T857" s="298" t="str">
        <f>IF(B857="", "", IF('Lighting Inventory (Ref only)'!I868="", "Light Switch",Inventory!H865))</f>
        <v/>
      </c>
      <c r="X857" s="298" t="str">
        <f>IF(B857="", "", 'Lighting Inventory (Ref only)'!Q868)</f>
        <v/>
      </c>
      <c r="AA857" s="298" t="str">
        <f>IF(B857="", "",'Lighting Inventory (Ref only)'!R868/1000)</f>
        <v/>
      </c>
      <c r="AB857" s="298" t="str">
        <f>IF(B857="", "", Inventory!M865)</f>
        <v/>
      </c>
      <c r="AC857" s="298" t="str">
        <f>IF(B857="", "", 'Lighting Inventory (Ref only)'!T868)</f>
        <v/>
      </c>
      <c r="AD857" s="298" t="str">
        <f>IF(C857="", "", 'Lighting Inventory (Ref only)'!AA868)</f>
        <v/>
      </c>
      <c r="AE857" s="298" t="str">
        <f>IF(B857="", "", 'Lighting Inventory (Ref only)'!U868)</f>
        <v/>
      </c>
      <c r="AF857" s="298" t="str">
        <f>IF(B857="", "",'Lighting Inventory (Ref only)'!W868)</f>
        <v/>
      </c>
      <c r="AH857" s="298" t="str">
        <f>IF(B857="", "",'Lighting Inventory (Ref only)'!Z868)</f>
        <v/>
      </c>
      <c r="AI857" s="298" t="str">
        <f>IF(B857="", "", 'Lighting Inventory (Ref only)'!Y868)</f>
        <v/>
      </c>
      <c r="AJ857" s="298" t="str">
        <f>IF(C857="", "",'Lighting Inventory (Ref only)'!AB868)</f>
        <v/>
      </c>
      <c r="AK857" s="375" t="str">
        <f>IF(B857="", "", 'Lighting Inventory (Ref only)'!AG868)</f>
        <v/>
      </c>
      <c r="AL857" s="375" t="str">
        <f>IF(B857="", "", 'Lighting Inventory (Ref only)'!AD868)</f>
        <v/>
      </c>
      <c r="AM857" s="375" t="str">
        <f>IF(B857="", "", 'Lighting Inventory (Ref only)'!AE868)</f>
        <v/>
      </c>
      <c r="AN857" s="375" t="str">
        <f>IF(B857="", "", 'Lighting Inventory (Ref only)'!AF868)</f>
        <v/>
      </c>
      <c r="AO857" s="375" t="str">
        <f>IF(B857="", "", 'Lighting Inventory (Ref only)'!AG868)</f>
        <v/>
      </c>
    </row>
    <row r="858" spans="1:41">
      <c r="A858" s="298" t="str">
        <f>IF(G858="", "", Lookups!BF860)</f>
        <v/>
      </c>
      <c r="B858" s="298" t="str">
        <f>IF('Lighting Inventory (Ref only)'!Q869="", "", 'Lighting Inventory (Ref only)'!Q869)</f>
        <v/>
      </c>
      <c r="C858" s="298" t="str">
        <f>IF(A858="", "", 'Lighting Inventory (Ref only)'!AO869)</f>
        <v/>
      </c>
      <c r="D858" s="298" t="str">
        <f>IF(B858= "","", Inventory!S866)</f>
        <v/>
      </c>
      <c r="F858" s="298" t="str">
        <f>IF(B858="", "", 'Version Log'!$B$34)</f>
        <v/>
      </c>
      <c r="G858" s="298" t="str">
        <f t="shared" si="52"/>
        <v/>
      </c>
      <c r="H858" s="298" t="str">
        <f t="shared" si="53"/>
        <v/>
      </c>
      <c r="I858" s="298" t="str">
        <f>IF(B858="", "",Inventory!D866)</f>
        <v/>
      </c>
      <c r="J858" s="298" t="str">
        <f>IF(B858="","",IF(Inventory!C866="N","Interior","Exterior"))</f>
        <v/>
      </c>
      <c r="K858" s="298" t="str">
        <f t="shared" si="54"/>
        <v/>
      </c>
      <c r="L858" s="298" t="str">
        <f>IF(B858="", "", Inventory!E866)</f>
        <v/>
      </c>
      <c r="M858" s="298" t="str">
        <f>IF(B858="","",IF(Cool_Type=Lookups!$L$9,Cool_Type,IF(Cool_Type=Lookups!$L$10,Cool_Type,IF(Cool_Type=Lookups!$L$11,Cool_Type,IF(Cool_Type=Lookups!L868,Cool_Type,IF('Project Info and Summary'!$C$20="Electric",CONCATENATE(Cool_Type," ",Heating_Type," Heat"),IF('Project Info and Summary'!$C$20="Non-Electric",CONCATENATE(Cool_Type," ",Heating_Type," Heat"),CONCATENATE(Cool_Type," ",Heating_Type))))))))</f>
        <v/>
      </c>
      <c r="N858" s="298" t="str">
        <f t="shared" si="55"/>
        <v/>
      </c>
      <c r="O858" s="298" t="str">
        <f>IF(B858="", "", 'Lighting Inventory (Ref only)'!G869)</f>
        <v/>
      </c>
      <c r="P858" s="298" t="str">
        <f>IF(B858="", "", 'Lighting Inventory (Ref only)'!E869)</f>
        <v/>
      </c>
      <c r="Q858" s="298" t="str">
        <f>IF(B858="", "", 'Lighting Inventory (Ref only)'!J869)</f>
        <v/>
      </c>
      <c r="R858" s="298" t="str">
        <f>IF(B858="", "",'Lighting Inventory (Ref only)'!K869)</f>
        <v/>
      </c>
      <c r="S858" s="372" t="str">
        <f>IF(B858="", "", 'Lighting Inventory (Ref only)'!G869*'Lighting Inventory (Ref only)'!K869/1000)</f>
        <v/>
      </c>
      <c r="T858" s="298" t="str">
        <f>IF(B858="", "", IF('Lighting Inventory (Ref only)'!I869="", "Light Switch",Inventory!H866))</f>
        <v/>
      </c>
      <c r="X858" s="298" t="str">
        <f>IF(B858="", "", 'Lighting Inventory (Ref only)'!Q869)</f>
        <v/>
      </c>
      <c r="AA858" s="298" t="str">
        <f>IF(B858="", "",'Lighting Inventory (Ref only)'!R869/1000)</f>
        <v/>
      </c>
      <c r="AB858" s="298" t="str">
        <f>IF(B858="", "", Inventory!M866)</f>
        <v/>
      </c>
      <c r="AC858" s="298" t="str">
        <f>IF(B858="", "", 'Lighting Inventory (Ref only)'!T869)</f>
        <v/>
      </c>
      <c r="AD858" s="298" t="str">
        <f>IF(C858="", "", 'Lighting Inventory (Ref only)'!AA869)</f>
        <v/>
      </c>
      <c r="AE858" s="298" t="str">
        <f>IF(B858="", "", 'Lighting Inventory (Ref only)'!U869)</f>
        <v/>
      </c>
      <c r="AF858" s="298" t="str">
        <f>IF(B858="", "",'Lighting Inventory (Ref only)'!W869)</f>
        <v/>
      </c>
      <c r="AH858" s="298" t="str">
        <f>IF(B858="", "",'Lighting Inventory (Ref only)'!Z869)</f>
        <v/>
      </c>
      <c r="AI858" s="298" t="str">
        <f>IF(B858="", "", 'Lighting Inventory (Ref only)'!Y869)</f>
        <v/>
      </c>
      <c r="AJ858" s="298" t="str">
        <f>IF(C858="", "",'Lighting Inventory (Ref only)'!AB869)</f>
        <v/>
      </c>
      <c r="AK858" s="375" t="str">
        <f>IF(B858="", "", 'Lighting Inventory (Ref only)'!AG869)</f>
        <v/>
      </c>
      <c r="AL858" s="375" t="str">
        <f>IF(B858="", "", 'Lighting Inventory (Ref only)'!AD869)</f>
        <v/>
      </c>
      <c r="AM858" s="375" t="str">
        <f>IF(B858="", "", 'Lighting Inventory (Ref only)'!AE869)</f>
        <v/>
      </c>
      <c r="AN858" s="375" t="str">
        <f>IF(B858="", "", 'Lighting Inventory (Ref only)'!AF869)</f>
        <v/>
      </c>
      <c r="AO858" s="375" t="str">
        <f>IF(B858="", "", 'Lighting Inventory (Ref only)'!AG869)</f>
        <v/>
      </c>
    </row>
    <row r="859" spans="1:41">
      <c r="A859" s="298" t="str">
        <f>IF(G859="", "", Lookups!BF861)</f>
        <v/>
      </c>
      <c r="B859" s="298" t="str">
        <f>IF('Lighting Inventory (Ref only)'!Q870="", "", 'Lighting Inventory (Ref only)'!Q870)</f>
        <v/>
      </c>
      <c r="C859" s="298" t="str">
        <f>IF(A859="", "", 'Lighting Inventory (Ref only)'!AO870)</f>
        <v/>
      </c>
      <c r="D859" s="298" t="str">
        <f>IF(B859= "","", Inventory!S867)</f>
        <v/>
      </c>
      <c r="F859" s="298" t="str">
        <f>IF(B859="", "", 'Version Log'!$B$34)</f>
        <v/>
      </c>
      <c r="G859" s="298" t="str">
        <f t="shared" si="52"/>
        <v/>
      </c>
      <c r="H859" s="298" t="str">
        <f t="shared" si="53"/>
        <v/>
      </c>
      <c r="I859" s="298" t="str">
        <f>IF(B859="", "",Inventory!D867)</f>
        <v/>
      </c>
      <c r="J859" s="298" t="str">
        <f>IF(B859="","",IF(Inventory!C867="N","Interior","Exterior"))</f>
        <v/>
      </c>
      <c r="K859" s="298" t="str">
        <f t="shared" si="54"/>
        <v/>
      </c>
      <c r="L859" s="298" t="str">
        <f>IF(B859="", "", Inventory!E867)</f>
        <v/>
      </c>
      <c r="M859" s="298" t="str">
        <f>IF(B859="","",IF(Cool_Type=Lookups!$L$9,Cool_Type,IF(Cool_Type=Lookups!$L$10,Cool_Type,IF(Cool_Type=Lookups!$L$11,Cool_Type,IF(Cool_Type=Lookups!L869,Cool_Type,IF('Project Info and Summary'!$C$20="Electric",CONCATENATE(Cool_Type," ",Heating_Type," Heat"),IF('Project Info and Summary'!$C$20="Non-Electric",CONCATENATE(Cool_Type," ",Heating_Type," Heat"),CONCATENATE(Cool_Type," ",Heating_Type))))))))</f>
        <v/>
      </c>
      <c r="N859" s="298" t="str">
        <f t="shared" si="55"/>
        <v/>
      </c>
      <c r="O859" s="298" t="str">
        <f>IF(B859="", "", 'Lighting Inventory (Ref only)'!G870)</f>
        <v/>
      </c>
      <c r="P859" s="298" t="str">
        <f>IF(B859="", "", 'Lighting Inventory (Ref only)'!E870)</f>
        <v/>
      </c>
      <c r="Q859" s="298" t="str">
        <f>IF(B859="", "", 'Lighting Inventory (Ref only)'!J870)</f>
        <v/>
      </c>
      <c r="R859" s="298" t="str">
        <f>IF(B859="", "",'Lighting Inventory (Ref only)'!K870)</f>
        <v/>
      </c>
      <c r="S859" s="372" t="str">
        <f>IF(B859="", "", 'Lighting Inventory (Ref only)'!G870*'Lighting Inventory (Ref only)'!K870/1000)</f>
        <v/>
      </c>
      <c r="T859" s="298" t="str">
        <f>IF(B859="", "", IF('Lighting Inventory (Ref only)'!I870="", "Light Switch",Inventory!H867))</f>
        <v/>
      </c>
      <c r="X859" s="298" t="str">
        <f>IF(B859="", "", 'Lighting Inventory (Ref only)'!Q870)</f>
        <v/>
      </c>
      <c r="AA859" s="298" t="str">
        <f>IF(B859="", "",'Lighting Inventory (Ref only)'!R870/1000)</f>
        <v/>
      </c>
      <c r="AB859" s="298" t="str">
        <f>IF(B859="", "", Inventory!M867)</f>
        <v/>
      </c>
      <c r="AC859" s="298" t="str">
        <f>IF(B859="", "", 'Lighting Inventory (Ref only)'!T870)</f>
        <v/>
      </c>
      <c r="AD859" s="298" t="str">
        <f>IF(C859="", "", 'Lighting Inventory (Ref only)'!AA870)</f>
        <v/>
      </c>
      <c r="AE859" s="298" t="str">
        <f>IF(B859="", "", 'Lighting Inventory (Ref only)'!U870)</f>
        <v/>
      </c>
      <c r="AF859" s="298" t="str">
        <f>IF(B859="", "",'Lighting Inventory (Ref only)'!W870)</f>
        <v/>
      </c>
      <c r="AH859" s="298" t="str">
        <f>IF(B859="", "",'Lighting Inventory (Ref only)'!Z870)</f>
        <v/>
      </c>
      <c r="AI859" s="298" t="str">
        <f>IF(B859="", "", 'Lighting Inventory (Ref only)'!Y870)</f>
        <v/>
      </c>
      <c r="AJ859" s="298" t="str">
        <f>IF(C859="", "",'Lighting Inventory (Ref only)'!AB870)</f>
        <v/>
      </c>
      <c r="AK859" s="375" t="str">
        <f>IF(B859="", "", 'Lighting Inventory (Ref only)'!AG870)</f>
        <v/>
      </c>
      <c r="AL859" s="375" t="str">
        <f>IF(B859="", "", 'Lighting Inventory (Ref only)'!AD870)</f>
        <v/>
      </c>
      <c r="AM859" s="375" t="str">
        <f>IF(B859="", "", 'Lighting Inventory (Ref only)'!AE870)</f>
        <v/>
      </c>
      <c r="AN859" s="375" t="str">
        <f>IF(B859="", "", 'Lighting Inventory (Ref only)'!AF870)</f>
        <v/>
      </c>
      <c r="AO859" s="375" t="str">
        <f>IF(B859="", "", 'Lighting Inventory (Ref only)'!AG870)</f>
        <v/>
      </c>
    </row>
    <row r="860" spans="1:41">
      <c r="A860" s="298" t="str">
        <f>IF(G860="", "", Lookups!BF862)</f>
        <v/>
      </c>
      <c r="B860" s="298" t="str">
        <f>IF('Lighting Inventory (Ref only)'!Q871="", "", 'Lighting Inventory (Ref only)'!Q871)</f>
        <v/>
      </c>
      <c r="C860" s="298" t="str">
        <f>IF(A860="", "", 'Lighting Inventory (Ref only)'!AO871)</f>
        <v/>
      </c>
      <c r="D860" s="298" t="str">
        <f>IF(B860= "","", Inventory!S868)</f>
        <v/>
      </c>
      <c r="F860" s="298" t="str">
        <f>IF(B860="", "", 'Version Log'!$B$34)</f>
        <v/>
      </c>
      <c r="G860" s="298" t="str">
        <f t="shared" si="52"/>
        <v/>
      </c>
      <c r="H860" s="298" t="str">
        <f t="shared" si="53"/>
        <v/>
      </c>
      <c r="I860" s="298" t="str">
        <f>IF(B860="", "",Inventory!D868)</f>
        <v/>
      </c>
      <c r="J860" s="298" t="str">
        <f>IF(B860="","",IF(Inventory!C868="N","Interior","Exterior"))</f>
        <v/>
      </c>
      <c r="K860" s="298" t="str">
        <f t="shared" si="54"/>
        <v/>
      </c>
      <c r="L860" s="298" t="str">
        <f>IF(B860="", "", Inventory!E868)</f>
        <v/>
      </c>
      <c r="M860" s="298" t="str">
        <f>IF(B860="","",IF(Cool_Type=Lookups!$L$9,Cool_Type,IF(Cool_Type=Lookups!$L$10,Cool_Type,IF(Cool_Type=Lookups!$L$11,Cool_Type,IF(Cool_Type=Lookups!L870,Cool_Type,IF('Project Info and Summary'!$C$20="Electric",CONCATENATE(Cool_Type," ",Heating_Type," Heat"),IF('Project Info and Summary'!$C$20="Non-Electric",CONCATENATE(Cool_Type," ",Heating_Type," Heat"),CONCATENATE(Cool_Type," ",Heating_Type))))))))</f>
        <v/>
      </c>
      <c r="N860" s="298" t="str">
        <f t="shared" si="55"/>
        <v/>
      </c>
      <c r="O860" s="298" t="str">
        <f>IF(B860="", "", 'Lighting Inventory (Ref only)'!G871)</f>
        <v/>
      </c>
      <c r="P860" s="298" t="str">
        <f>IF(B860="", "", 'Lighting Inventory (Ref only)'!E871)</f>
        <v/>
      </c>
      <c r="Q860" s="298" t="str">
        <f>IF(B860="", "", 'Lighting Inventory (Ref only)'!J871)</f>
        <v/>
      </c>
      <c r="R860" s="298" t="str">
        <f>IF(B860="", "",'Lighting Inventory (Ref only)'!K871)</f>
        <v/>
      </c>
      <c r="S860" s="372" t="str">
        <f>IF(B860="", "", 'Lighting Inventory (Ref only)'!G871*'Lighting Inventory (Ref only)'!K871/1000)</f>
        <v/>
      </c>
      <c r="T860" s="298" t="str">
        <f>IF(B860="", "", IF('Lighting Inventory (Ref only)'!I871="", "Light Switch",Inventory!H868))</f>
        <v/>
      </c>
      <c r="X860" s="298" t="str">
        <f>IF(B860="", "", 'Lighting Inventory (Ref only)'!Q871)</f>
        <v/>
      </c>
      <c r="AA860" s="298" t="str">
        <f>IF(B860="", "",'Lighting Inventory (Ref only)'!R871/1000)</f>
        <v/>
      </c>
      <c r="AB860" s="298" t="str">
        <f>IF(B860="", "", Inventory!M868)</f>
        <v/>
      </c>
      <c r="AC860" s="298" t="str">
        <f>IF(B860="", "", 'Lighting Inventory (Ref only)'!T871)</f>
        <v/>
      </c>
      <c r="AD860" s="298" t="str">
        <f>IF(C860="", "", 'Lighting Inventory (Ref only)'!AA871)</f>
        <v/>
      </c>
      <c r="AE860" s="298" t="str">
        <f>IF(B860="", "", 'Lighting Inventory (Ref only)'!U871)</f>
        <v/>
      </c>
      <c r="AF860" s="298" t="str">
        <f>IF(B860="", "",'Lighting Inventory (Ref only)'!W871)</f>
        <v/>
      </c>
      <c r="AH860" s="298" t="str">
        <f>IF(B860="", "",'Lighting Inventory (Ref only)'!Z871)</f>
        <v/>
      </c>
      <c r="AI860" s="298" t="str">
        <f>IF(B860="", "", 'Lighting Inventory (Ref only)'!Y871)</f>
        <v/>
      </c>
      <c r="AJ860" s="298" t="str">
        <f>IF(C860="", "",'Lighting Inventory (Ref only)'!AB871)</f>
        <v/>
      </c>
      <c r="AK860" s="375" t="str">
        <f>IF(B860="", "", 'Lighting Inventory (Ref only)'!AG871)</f>
        <v/>
      </c>
      <c r="AL860" s="375" t="str">
        <f>IF(B860="", "", 'Lighting Inventory (Ref only)'!AD871)</f>
        <v/>
      </c>
      <c r="AM860" s="375" t="str">
        <f>IF(B860="", "", 'Lighting Inventory (Ref only)'!AE871)</f>
        <v/>
      </c>
      <c r="AN860" s="375" t="str">
        <f>IF(B860="", "", 'Lighting Inventory (Ref only)'!AF871)</f>
        <v/>
      </c>
      <c r="AO860" s="375" t="str">
        <f>IF(B860="", "", 'Lighting Inventory (Ref only)'!AG871)</f>
        <v/>
      </c>
    </row>
    <row r="861" spans="1:41">
      <c r="A861" s="298" t="str">
        <f>IF(G861="", "", Lookups!BF863)</f>
        <v/>
      </c>
      <c r="B861" s="298" t="str">
        <f>IF('Lighting Inventory (Ref only)'!Q872="", "", 'Lighting Inventory (Ref only)'!Q872)</f>
        <v/>
      </c>
      <c r="C861" s="298" t="str">
        <f>IF(A861="", "", 'Lighting Inventory (Ref only)'!AO872)</f>
        <v/>
      </c>
      <c r="D861" s="298" t="str">
        <f>IF(B861= "","", Inventory!S869)</f>
        <v/>
      </c>
      <c r="F861" s="298" t="str">
        <f>IF(B861="", "", 'Version Log'!$B$34)</f>
        <v/>
      </c>
      <c r="G861" s="298" t="str">
        <f t="shared" si="52"/>
        <v/>
      </c>
      <c r="H861" s="298" t="str">
        <f t="shared" si="53"/>
        <v/>
      </c>
      <c r="I861" s="298" t="str">
        <f>IF(B861="", "",Inventory!D869)</f>
        <v/>
      </c>
      <c r="J861" s="298" t="str">
        <f>IF(B861="","",IF(Inventory!C869="N","Interior","Exterior"))</f>
        <v/>
      </c>
      <c r="K861" s="298" t="str">
        <f t="shared" si="54"/>
        <v/>
      </c>
      <c r="L861" s="298" t="str">
        <f>IF(B861="", "", Inventory!E869)</f>
        <v/>
      </c>
      <c r="M861" s="298" t="str">
        <f>IF(B861="","",IF(Cool_Type=Lookups!$L$9,Cool_Type,IF(Cool_Type=Lookups!$L$10,Cool_Type,IF(Cool_Type=Lookups!$L$11,Cool_Type,IF(Cool_Type=Lookups!L871,Cool_Type,IF('Project Info and Summary'!$C$20="Electric",CONCATENATE(Cool_Type," ",Heating_Type," Heat"),IF('Project Info and Summary'!$C$20="Non-Electric",CONCATENATE(Cool_Type," ",Heating_Type," Heat"),CONCATENATE(Cool_Type," ",Heating_Type))))))))</f>
        <v/>
      </c>
      <c r="N861" s="298" t="str">
        <f t="shared" si="55"/>
        <v/>
      </c>
      <c r="O861" s="298" t="str">
        <f>IF(B861="", "", 'Lighting Inventory (Ref only)'!G872)</f>
        <v/>
      </c>
      <c r="P861" s="298" t="str">
        <f>IF(B861="", "", 'Lighting Inventory (Ref only)'!E872)</f>
        <v/>
      </c>
      <c r="Q861" s="298" t="str">
        <f>IF(B861="", "", 'Lighting Inventory (Ref only)'!J872)</f>
        <v/>
      </c>
      <c r="R861" s="298" t="str">
        <f>IF(B861="", "",'Lighting Inventory (Ref only)'!K872)</f>
        <v/>
      </c>
      <c r="S861" s="372" t="str">
        <f>IF(B861="", "", 'Lighting Inventory (Ref only)'!G872*'Lighting Inventory (Ref only)'!K872/1000)</f>
        <v/>
      </c>
      <c r="T861" s="298" t="str">
        <f>IF(B861="", "", IF('Lighting Inventory (Ref only)'!I872="", "Light Switch",Inventory!H869))</f>
        <v/>
      </c>
      <c r="X861" s="298" t="str">
        <f>IF(B861="", "", 'Lighting Inventory (Ref only)'!Q872)</f>
        <v/>
      </c>
      <c r="AA861" s="298" t="str">
        <f>IF(B861="", "",'Lighting Inventory (Ref only)'!R872/1000)</f>
        <v/>
      </c>
      <c r="AB861" s="298" t="str">
        <f>IF(B861="", "", Inventory!M869)</f>
        <v/>
      </c>
      <c r="AC861" s="298" t="str">
        <f>IF(B861="", "", 'Lighting Inventory (Ref only)'!T872)</f>
        <v/>
      </c>
      <c r="AD861" s="298" t="str">
        <f>IF(C861="", "", 'Lighting Inventory (Ref only)'!AA872)</f>
        <v/>
      </c>
      <c r="AE861" s="298" t="str">
        <f>IF(B861="", "", 'Lighting Inventory (Ref only)'!U872)</f>
        <v/>
      </c>
      <c r="AF861" s="298" t="str">
        <f>IF(B861="", "",'Lighting Inventory (Ref only)'!W872)</f>
        <v/>
      </c>
      <c r="AH861" s="298" t="str">
        <f>IF(B861="", "",'Lighting Inventory (Ref only)'!Z872)</f>
        <v/>
      </c>
      <c r="AI861" s="298" t="str">
        <f>IF(B861="", "", 'Lighting Inventory (Ref only)'!Y872)</f>
        <v/>
      </c>
      <c r="AJ861" s="298" t="str">
        <f>IF(C861="", "",'Lighting Inventory (Ref only)'!AB872)</f>
        <v/>
      </c>
      <c r="AK861" s="375" t="str">
        <f>IF(B861="", "", 'Lighting Inventory (Ref only)'!AG872)</f>
        <v/>
      </c>
      <c r="AL861" s="375" t="str">
        <f>IF(B861="", "", 'Lighting Inventory (Ref only)'!AD872)</f>
        <v/>
      </c>
      <c r="AM861" s="375" t="str">
        <f>IF(B861="", "", 'Lighting Inventory (Ref only)'!AE872)</f>
        <v/>
      </c>
      <c r="AN861" s="375" t="str">
        <f>IF(B861="", "", 'Lighting Inventory (Ref only)'!AF872)</f>
        <v/>
      </c>
      <c r="AO861" s="375" t="str">
        <f>IF(B861="", "", 'Lighting Inventory (Ref only)'!AG872)</f>
        <v/>
      </c>
    </row>
    <row r="862" spans="1:41">
      <c r="A862" s="298" t="str">
        <f>IF(G862="", "", Lookups!BF864)</f>
        <v/>
      </c>
      <c r="B862" s="298" t="str">
        <f>IF('Lighting Inventory (Ref only)'!Q873="", "", 'Lighting Inventory (Ref only)'!Q873)</f>
        <v/>
      </c>
      <c r="C862" s="298" t="str">
        <f>IF(A862="", "", 'Lighting Inventory (Ref only)'!AO873)</f>
        <v/>
      </c>
      <c r="D862" s="298" t="str">
        <f>IF(B862= "","", Inventory!S870)</f>
        <v/>
      </c>
      <c r="F862" s="298" t="str">
        <f>IF(B862="", "", 'Version Log'!$B$34)</f>
        <v/>
      </c>
      <c r="G862" s="298" t="str">
        <f t="shared" si="52"/>
        <v/>
      </c>
      <c r="H862" s="298" t="str">
        <f t="shared" si="53"/>
        <v/>
      </c>
      <c r="I862" s="298" t="str">
        <f>IF(B862="", "",Inventory!D870)</f>
        <v/>
      </c>
      <c r="J862" s="298" t="str">
        <f>IF(B862="","",IF(Inventory!C870="N","Interior","Exterior"))</f>
        <v/>
      </c>
      <c r="K862" s="298" t="str">
        <f t="shared" si="54"/>
        <v/>
      </c>
      <c r="L862" s="298" t="str">
        <f>IF(B862="", "", Inventory!E870)</f>
        <v/>
      </c>
      <c r="M862" s="298" t="str">
        <f>IF(B862="","",IF(Cool_Type=Lookups!$L$9,Cool_Type,IF(Cool_Type=Lookups!$L$10,Cool_Type,IF(Cool_Type=Lookups!$L$11,Cool_Type,IF(Cool_Type=Lookups!L872,Cool_Type,IF('Project Info and Summary'!$C$20="Electric",CONCATENATE(Cool_Type," ",Heating_Type," Heat"),IF('Project Info and Summary'!$C$20="Non-Electric",CONCATENATE(Cool_Type," ",Heating_Type," Heat"),CONCATENATE(Cool_Type," ",Heating_Type))))))))</f>
        <v/>
      </c>
      <c r="N862" s="298" t="str">
        <f t="shared" si="55"/>
        <v/>
      </c>
      <c r="O862" s="298" t="str">
        <f>IF(B862="", "", 'Lighting Inventory (Ref only)'!G873)</f>
        <v/>
      </c>
      <c r="P862" s="298" t="str">
        <f>IF(B862="", "", 'Lighting Inventory (Ref only)'!E873)</f>
        <v/>
      </c>
      <c r="Q862" s="298" t="str">
        <f>IF(B862="", "", 'Lighting Inventory (Ref only)'!J873)</f>
        <v/>
      </c>
      <c r="R862" s="298" t="str">
        <f>IF(B862="", "",'Lighting Inventory (Ref only)'!K873)</f>
        <v/>
      </c>
      <c r="S862" s="372" t="str">
        <f>IF(B862="", "", 'Lighting Inventory (Ref only)'!G873*'Lighting Inventory (Ref only)'!K873/1000)</f>
        <v/>
      </c>
      <c r="T862" s="298" t="str">
        <f>IF(B862="", "", IF('Lighting Inventory (Ref only)'!I873="", "Light Switch",Inventory!H870))</f>
        <v/>
      </c>
      <c r="X862" s="298" t="str">
        <f>IF(B862="", "", 'Lighting Inventory (Ref only)'!Q873)</f>
        <v/>
      </c>
      <c r="AA862" s="298" t="str">
        <f>IF(B862="", "",'Lighting Inventory (Ref only)'!R873/1000)</f>
        <v/>
      </c>
      <c r="AB862" s="298" t="str">
        <f>IF(B862="", "", Inventory!M870)</f>
        <v/>
      </c>
      <c r="AC862" s="298" t="str">
        <f>IF(B862="", "", 'Lighting Inventory (Ref only)'!T873)</f>
        <v/>
      </c>
      <c r="AD862" s="298" t="str">
        <f>IF(C862="", "", 'Lighting Inventory (Ref only)'!AA873)</f>
        <v/>
      </c>
      <c r="AE862" s="298" t="str">
        <f>IF(B862="", "", 'Lighting Inventory (Ref only)'!U873)</f>
        <v/>
      </c>
      <c r="AF862" s="298" t="str">
        <f>IF(B862="", "",'Lighting Inventory (Ref only)'!W873)</f>
        <v/>
      </c>
      <c r="AH862" s="298" t="str">
        <f>IF(B862="", "",'Lighting Inventory (Ref only)'!Z873)</f>
        <v/>
      </c>
      <c r="AI862" s="298" t="str">
        <f>IF(B862="", "", 'Lighting Inventory (Ref only)'!Y873)</f>
        <v/>
      </c>
      <c r="AJ862" s="298" t="str">
        <f>IF(C862="", "",'Lighting Inventory (Ref only)'!AB873)</f>
        <v/>
      </c>
      <c r="AK862" s="375" t="str">
        <f>IF(B862="", "", 'Lighting Inventory (Ref only)'!AG873)</f>
        <v/>
      </c>
      <c r="AL862" s="375" t="str">
        <f>IF(B862="", "", 'Lighting Inventory (Ref only)'!AD873)</f>
        <v/>
      </c>
      <c r="AM862" s="375" t="str">
        <f>IF(B862="", "", 'Lighting Inventory (Ref only)'!AE873)</f>
        <v/>
      </c>
      <c r="AN862" s="375" t="str">
        <f>IF(B862="", "", 'Lighting Inventory (Ref only)'!AF873)</f>
        <v/>
      </c>
      <c r="AO862" s="375" t="str">
        <f>IF(B862="", "", 'Lighting Inventory (Ref only)'!AG873)</f>
        <v/>
      </c>
    </row>
    <row r="863" spans="1:41">
      <c r="A863" s="298" t="str">
        <f>IF(G863="", "", Lookups!BF865)</f>
        <v/>
      </c>
      <c r="B863" s="298" t="str">
        <f>IF('Lighting Inventory (Ref only)'!Q874="", "", 'Lighting Inventory (Ref only)'!Q874)</f>
        <v/>
      </c>
      <c r="C863" s="298" t="str">
        <f>IF(A863="", "", 'Lighting Inventory (Ref only)'!AO874)</f>
        <v/>
      </c>
      <c r="D863" s="298" t="str">
        <f>IF(B863= "","", Inventory!S871)</f>
        <v/>
      </c>
      <c r="F863" s="298" t="str">
        <f>IF(B863="", "", 'Version Log'!$B$34)</f>
        <v/>
      </c>
      <c r="G863" s="298" t="str">
        <f t="shared" si="52"/>
        <v/>
      </c>
      <c r="H863" s="298" t="str">
        <f t="shared" si="53"/>
        <v/>
      </c>
      <c r="I863" s="298" t="str">
        <f>IF(B863="", "",Inventory!D871)</f>
        <v/>
      </c>
      <c r="J863" s="298" t="str">
        <f>IF(B863="","",IF(Inventory!C871="N","Interior","Exterior"))</f>
        <v/>
      </c>
      <c r="K863" s="298" t="str">
        <f t="shared" si="54"/>
        <v/>
      </c>
      <c r="L863" s="298" t="str">
        <f>IF(B863="", "", Inventory!E871)</f>
        <v/>
      </c>
      <c r="M863" s="298" t="str">
        <f>IF(B863="","",IF(Cool_Type=Lookups!$L$9,Cool_Type,IF(Cool_Type=Lookups!$L$10,Cool_Type,IF(Cool_Type=Lookups!$L$11,Cool_Type,IF(Cool_Type=Lookups!L873,Cool_Type,IF('Project Info and Summary'!$C$20="Electric",CONCATENATE(Cool_Type," ",Heating_Type," Heat"),IF('Project Info and Summary'!$C$20="Non-Electric",CONCATENATE(Cool_Type," ",Heating_Type," Heat"),CONCATENATE(Cool_Type," ",Heating_Type))))))))</f>
        <v/>
      </c>
      <c r="N863" s="298" t="str">
        <f t="shared" si="55"/>
        <v/>
      </c>
      <c r="O863" s="298" t="str">
        <f>IF(B863="", "", 'Lighting Inventory (Ref only)'!G874)</f>
        <v/>
      </c>
      <c r="P863" s="298" t="str">
        <f>IF(B863="", "", 'Lighting Inventory (Ref only)'!E874)</f>
        <v/>
      </c>
      <c r="Q863" s="298" t="str">
        <f>IF(B863="", "", 'Lighting Inventory (Ref only)'!J874)</f>
        <v/>
      </c>
      <c r="R863" s="298" t="str">
        <f>IF(B863="", "",'Lighting Inventory (Ref only)'!K874)</f>
        <v/>
      </c>
      <c r="S863" s="372" t="str">
        <f>IF(B863="", "", 'Lighting Inventory (Ref only)'!G874*'Lighting Inventory (Ref only)'!K874/1000)</f>
        <v/>
      </c>
      <c r="T863" s="298" t="str">
        <f>IF(B863="", "", IF('Lighting Inventory (Ref only)'!I874="", "Light Switch",Inventory!H871))</f>
        <v/>
      </c>
      <c r="X863" s="298" t="str">
        <f>IF(B863="", "", 'Lighting Inventory (Ref only)'!Q874)</f>
        <v/>
      </c>
      <c r="AA863" s="298" t="str">
        <f>IF(B863="", "",'Lighting Inventory (Ref only)'!R874/1000)</f>
        <v/>
      </c>
      <c r="AB863" s="298" t="str">
        <f>IF(B863="", "", Inventory!M871)</f>
        <v/>
      </c>
      <c r="AC863" s="298" t="str">
        <f>IF(B863="", "", 'Lighting Inventory (Ref only)'!T874)</f>
        <v/>
      </c>
      <c r="AD863" s="298" t="str">
        <f>IF(C863="", "", 'Lighting Inventory (Ref only)'!AA874)</f>
        <v/>
      </c>
      <c r="AE863" s="298" t="str">
        <f>IF(B863="", "", 'Lighting Inventory (Ref only)'!U874)</f>
        <v/>
      </c>
      <c r="AF863" s="298" t="str">
        <f>IF(B863="", "",'Lighting Inventory (Ref only)'!W874)</f>
        <v/>
      </c>
      <c r="AH863" s="298" t="str">
        <f>IF(B863="", "",'Lighting Inventory (Ref only)'!Z874)</f>
        <v/>
      </c>
      <c r="AI863" s="298" t="str">
        <f>IF(B863="", "", 'Lighting Inventory (Ref only)'!Y874)</f>
        <v/>
      </c>
      <c r="AJ863" s="298" t="str">
        <f>IF(C863="", "",'Lighting Inventory (Ref only)'!AB874)</f>
        <v/>
      </c>
      <c r="AK863" s="375" t="str">
        <f>IF(B863="", "", 'Lighting Inventory (Ref only)'!AG874)</f>
        <v/>
      </c>
      <c r="AL863" s="375" t="str">
        <f>IF(B863="", "", 'Lighting Inventory (Ref only)'!AD874)</f>
        <v/>
      </c>
      <c r="AM863" s="375" t="str">
        <f>IF(B863="", "", 'Lighting Inventory (Ref only)'!AE874)</f>
        <v/>
      </c>
      <c r="AN863" s="375" t="str">
        <f>IF(B863="", "", 'Lighting Inventory (Ref only)'!AF874)</f>
        <v/>
      </c>
      <c r="AO863" s="375" t="str">
        <f>IF(B863="", "", 'Lighting Inventory (Ref only)'!AG874)</f>
        <v/>
      </c>
    </row>
    <row r="864" spans="1:41">
      <c r="A864" s="298" t="str">
        <f>IF(G864="", "", Lookups!BF866)</f>
        <v/>
      </c>
      <c r="B864" s="298" t="str">
        <f>IF('Lighting Inventory (Ref only)'!Q875="", "", 'Lighting Inventory (Ref only)'!Q875)</f>
        <v/>
      </c>
      <c r="C864" s="298" t="str">
        <f>IF(A864="", "", 'Lighting Inventory (Ref only)'!AO875)</f>
        <v/>
      </c>
      <c r="D864" s="298" t="str">
        <f>IF(B864= "","", Inventory!S872)</f>
        <v/>
      </c>
      <c r="F864" s="298" t="str">
        <f>IF(B864="", "", 'Version Log'!$B$34)</f>
        <v/>
      </c>
      <c r="G864" s="298" t="str">
        <f t="shared" si="52"/>
        <v/>
      </c>
      <c r="H864" s="298" t="str">
        <f t="shared" si="53"/>
        <v/>
      </c>
      <c r="I864" s="298" t="str">
        <f>IF(B864="", "",Inventory!D872)</f>
        <v/>
      </c>
      <c r="J864" s="298" t="str">
        <f>IF(B864="","",IF(Inventory!C872="N","Interior","Exterior"))</f>
        <v/>
      </c>
      <c r="K864" s="298" t="str">
        <f t="shared" si="54"/>
        <v/>
      </c>
      <c r="L864" s="298" t="str">
        <f>IF(B864="", "", Inventory!E872)</f>
        <v/>
      </c>
      <c r="M864" s="298" t="str">
        <f>IF(B864="","",IF(Cool_Type=Lookups!$L$9,Cool_Type,IF(Cool_Type=Lookups!$L$10,Cool_Type,IF(Cool_Type=Lookups!$L$11,Cool_Type,IF(Cool_Type=Lookups!L874,Cool_Type,IF('Project Info and Summary'!$C$20="Electric",CONCATENATE(Cool_Type," ",Heating_Type," Heat"),IF('Project Info and Summary'!$C$20="Non-Electric",CONCATENATE(Cool_Type," ",Heating_Type," Heat"),CONCATENATE(Cool_Type," ",Heating_Type))))))))</f>
        <v/>
      </c>
      <c r="N864" s="298" t="str">
        <f t="shared" si="55"/>
        <v/>
      </c>
      <c r="O864" s="298" t="str">
        <f>IF(B864="", "", 'Lighting Inventory (Ref only)'!G875)</f>
        <v/>
      </c>
      <c r="P864" s="298" t="str">
        <f>IF(B864="", "", 'Lighting Inventory (Ref only)'!E875)</f>
        <v/>
      </c>
      <c r="Q864" s="298" t="str">
        <f>IF(B864="", "", 'Lighting Inventory (Ref only)'!J875)</f>
        <v/>
      </c>
      <c r="R864" s="298" t="str">
        <f>IF(B864="", "",'Lighting Inventory (Ref only)'!K875)</f>
        <v/>
      </c>
      <c r="S864" s="372" t="str">
        <f>IF(B864="", "", 'Lighting Inventory (Ref only)'!G875*'Lighting Inventory (Ref only)'!K875/1000)</f>
        <v/>
      </c>
      <c r="T864" s="298" t="str">
        <f>IF(B864="", "", IF('Lighting Inventory (Ref only)'!I875="", "Light Switch",Inventory!H872))</f>
        <v/>
      </c>
      <c r="X864" s="298" t="str">
        <f>IF(B864="", "", 'Lighting Inventory (Ref only)'!Q875)</f>
        <v/>
      </c>
      <c r="AA864" s="298" t="str">
        <f>IF(B864="", "",'Lighting Inventory (Ref only)'!R875/1000)</f>
        <v/>
      </c>
      <c r="AB864" s="298" t="str">
        <f>IF(B864="", "", Inventory!M872)</f>
        <v/>
      </c>
      <c r="AC864" s="298" t="str">
        <f>IF(B864="", "", 'Lighting Inventory (Ref only)'!T875)</f>
        <v/>
      </c>
      <c r="AD864" s="298" t="str">
        <f>IF(C864="", "", 'Lighting Inventory (Ref only)'!AA875)</f>
        <v/>
      </c>
      <c r="AE864" s="298" t="str">
        <f>IF(B864="", "", 'Lighting Inventory (Ref only)'!U875)</f>
        <v/>
      </c>
      <c r="AF864" s="298" t="str">
        <f>IF(B864="", "",'Lighting Inventory (Ref only)'!W875)</f>
        <v/>
      </c>
      <c r="AH864" s="298" t="str">
        <f>IF(B864="", "",'Lighting Inventory (Ref only)'!Z875)</f>
        <v/>
      </c>
      <c r="AI864" s="298" t="str">
        <f>IF(B864="", "", 'Lighting Inventory (Ref only)'!Y875)</f>
        <v/>
      </c>
      <c r="AJ864" s="298" t="str">
        <f>IF(C864="", "",'Lighting Inventory (Ref only)'!AB875)</f>
        <v/>
      </c>
      <c r="AK864" s="375" t="str">
        <f>IF(B864="", "", 'Lighting Inventory (Ref only)'!AG875)</f>
        <v/>
      </c>
      <c r="AL864" s="375" t="str">
        <f>IF(B864="", "", 'Lighting Inventory (Ref only)'!AD875)</f>
        <v/>
      </c>
      <c r="AM864" s="375" t="str">
        <f>IF(B864="", "", 'Lighting Inventory (Ref only)'!AE875)</f>
        <v/>
      </c>
      <c r="AN864" s="375" t="str">
        <f>IF(B864="", "", 'Lighting Inventory (Ref only)'!AF875)</f>
        <v/>
      </c>
      <c r="AO864" s="375" t="str">
        <f>IF(B864="", "", 'Lighting Inventory (Ref only)'!AG875)</f>
        <v/>
      </c>
    </row>
    <row r="865" spans="1:41">
      <c r="A865" s="298" t="str">
        <f>IF(G865="", "", Lookups!BF867)</f>
        <v/>
      </c>
      <c r="B865" s="298" t="str">
        <f>IF('Lighting Inventory (Ref only)'!Q876="", "", 'Lighting Inventory (Ref only)'!Q876)</f>
        <v/>
      </c>
      <c r="C865" s="298" t="str">
        <f>IF(A865="", "", 'Lighting Inventory (Ref only)'!AO876)</f>
        <v/>
      </c>
      <c r="D865" s="298" t="str">
        <f>IF(B865= "","", Inventory!S873)</f>
        <v/>
      </c>
      <c r="F865" s="298" t="str">
        <f>IF(B865="", "", 'Version Log'!$B$34)</f>
        <v/>
      </c>
      <c r="G865" s="298" t="str">
        <f t="shared" si="52"/>
        <v/>
      </c>
      <c r="H865" s="298" t="str">
        <f t="shared" si="53"/>
        <v/>
      </c>
      <c r="I865" s="298" t="str">
        <f>IF(B865="", "",Inventory!D873)</f>
        <v/>
      </c>
      <c r="J865" s="298" t="str">
        <f>IF(B865="","",IF(Inventory!C873="N","Interior","Exterior"))</f>
        <v/>
      </c>
      <c r="K865" s="298" t="str">
        <f t="shared" si="54"/>
        <v/>
      </c>
      <c r="L865" s="298" t="str">
        <f>IF(B865="", "", Inventory!E873)</f>
        <v/>
      </c>
      <c r="M865" s="298" t="str">
        <f>IF(B865="","",IF(Cool_Type=Lookups!$L$9,Cool_Type,IF(Cool_Type=Lookups!$L$10,Cool_Type,IF(Cool_Type=Lookups!$L$11,Cool_Type,IF(Cool_Type=Lookups!L875,Cool_Type,IF('Project Info and Summary'!$C$20="Electric",CONCATENATE(Cool_Type," ",Heating_Type," Heat"),IF('Project Info and Summary'!$C$20="Non-Electric",CONCATENATE(Cool_Type," ",Heating_Type," Heat"),CONCATENATE(Cool_Type," ",Heating_Type))))))))</f>
        <v/>
      </c>
      <c r="N865" s="298" t="str">
        <f t="shared" si="55"/>
        <v/>
      </c>
      <c r="O865" s="298" t="str">
        <f>IF(B865="", "", 'Lighting Inventory (Ref only)'!G876)</f>
        <v/>
      </c>
      <c r="P865" s="298" t="str">
        <f>IF(B865="", "", 'Lighting Inventory (Ref only)'!E876)</f>
        <v/>
      </c>
      <c r="Q865" s="298" t="str">
        <f>IF(B865="", "", 'Lighting Inventory (Ref only)'!J876)</f>
        <v/>
      </c>
      <c r="R865" s="298" t="str">
        <f>IF(B865="", "",'Lighting Inventory (Ref only)'!K876)</f>
        <v/>
      </c>
      <c r="S865" s="372" t="str">
        <f>IF(B865="", "", 'Lighting Inventory (Ref only)'!G876*'Lighting Inventory (Ref only)'!K876/1000)</f>
        <v/>
      </c>
      <c r="T865" s="298" t="str">
        <f>IF(B865="", "", IF('Lighting Inventory (Ref only)'!I876="", "Light Switch",Inventory!H873))</f>
        <v/>
      </c>
      <c r="X865" s="298" t="str">
        <f>IF(B865="", "", 'Lighting Inventory (Ref only)'!Q876)</f>
        <v/>
      </c>
      <c r="AA865" s="298" t="str">
        <f>IF(B865="", "",'Lighting Inventory (Ref only)'!R876/1000)</f>
        <v/>
      </c>
      <c r="AB865" s="298" t="str">
        <f>IF(B865="", "", Inventory!M873)</f>
        <v/>
      </c>
      <c r="AC865" s="298" t="str">
        <f>IF(B865="", "", 'Lighting Inventory (Ref only)'!T876)</f>
        <v/>
      </c>
      <c r="AD865" s="298" t="str">
        <f>IF(C865="", "", 'Lighting Inventory (Ref only)'!AA876)</f>
        <v/>
      </c>
      <c r="AE865" s="298" t="str">
        <f>IF(B865="", "", 'Lighting Inventory (Ref only)'!U876)</f>
        <v/>
      </c>
      <c r="AF865" s="298" t="str">
        <f>IF(B865="", "",'Lighting Inventory (Ref only)'!W876)</f>
        <v/>
      </c>
      <c r="AH865" s="298" t="str">
        <f>IF(B865="", "",'Lighting Inventory (Ref only)'!Z876)</f>
        <v/>
      </c>
      <c r="AI865" s="298" t="str">
        <f>IF(B865="", "", 'Lighting Inventory (Ref only)'!Y876)</f>
        <v/>
      </c>
      <c r="AJ865" s="298" t="str">
        <f>IF(C865="", "",'Lighting Inventory (Ref only)'!AB876)</f>
        <v/>
      </c>
      <c r="AK865" s="375" t="str">
        <f>IF(B865="", "", 'Lighting Inventory (Ref only)'!AG876)</f>
        <v/>
      </c>
      <c r="AL865" s="375" t="str">
        <f>IF(B865="", "", 'Lighting Inventory (Ref only)'!AD876)</f>
        <v/>
      </c>
      <c r="AM865" s="375" t="str">
        <f>IF(B865="", "", 'Lighting Inventory (Ref only)'!AE876)</f>
        <v/>
      </c>
      <c r="AN865" s="375" t="str">
        <f>IF(B865="", "", 'Lighting Inventory (Ref only)'!AF876)</f>
        <v/>
      </c>
      <c r="AO865" s="375" t="str">
        <f>IF(B865="", "", 'Lighting Inventory (Ref only)'!AG876)</f>
        <v/>
      </c>
    </row>
    <row r="866" spans="1:41">
      <c r="A866" s="298" t="str">
        <f>IF(G866="", "", Lookups!BF868)</f>
        <v/>
      </c>
      <c r="B866" s="298" t="str">
        <f>IF('Lighting Inventory (Ref only)'!Q877="", "", 'Lighting Inventory (Ref only)'!Q877)</f>
        <v/>
      </c>
      <c r="C866" s="298" t="str">
        <f>IF(A866="", "", 'Lighting Inventory (Ref only)'!AO877)</f>
        <v/>
      </c>
      <c r="D866" s="298" t="str">
        <f>IF(B866= "","", Inventory!S874)</f>
        <v/>
      </c>
      <c r="F866" s="298" t="str">
        <f>IF(B866="", "", 'Version Log'!$B$34)</f>
        <v/>
      </c>
      <c r="G866" s="298" t="str">
        <f t="shared" si="52"/>
        <v/>
      </c>
      <c r="H866" s="298" t="str">
        <f t="shared" si="53"/>
        <v/>
      </c>
      <c r="I866" s="298" t="str">
        <f>IF(B866="", "",Inventory!D874)</f>
        <v/>
      </c>
      <c r="J866" s="298" t="str">
        <f>IF(B866="","",IF(Inventory!C874="N","Interior","Exterior"))</f>
        <v/>
      </c>
      <c r="K866" s="298" t="str">
        <f t="shared" si="54"/>
        <v/>
      </c>
      <c r="L866" s="298" t="str">
        <f>IF(B866="", "", Inventory!E874)</f>
        <v/>
      </c>
      <c r="M866" s="298" t="str">
        <f>IF(B866="","",IF(Cool_Type=Lookups!$L$9,Cool_Type,IF(Cool_Type=Lookups!$L$10,Cool_Type,IF(Cool_Type=Lookups!$L$11,Cool_Type,IF(Cool_Type=Lookups!L876,Cool_Type,IF('Project Info and Summary'!$C$20="Electric",CONCATENATE(Cool_Type," ",Heating_Type," Heat"),IF('Project Info and Summary'!$C$20="Non-Electric",CONCATENATE(Cool_Type," ",Heating_Type," Heat"),CONCATENATE(Cool_Type," ",Heating_Type))))))))</f>
        <v/>
      </c>
      <c r="N866" s="298" t="str">
        <f t="shared" si="55"/>
        <v/>
      </c>
      <c r="O866" s="298" t="str">
        <f>IF(B866="", "", 'Lighting Inventory (Ref only)'!G877)</f>
        <v/>
      </c>
      <c r="P866" s="298" t="str">
        <f>IF(B866="", "", 'Lighting Inventory (Ref only)'!E877)</f>
        <v/>
      </c>
      <c r="Q866" s="298" t="str">
        <f>IF(B866="", "", 'Lighting Inventory (Ref only)'!J877)</f>
        <v/>
      </c>
      <c r="R866" s="298" t="str">
        <f>IF(B866="", "",'Lighting Inventory (Ref only)'!K877)</f>
        <v/>
      </c>
      <c r="S866" s="372" t="str">
        <f>IF(B866="", "", 'Lighting Inventory (Ref only)'!G877*'Lighting Inventory (Ref only)'!K877/1000)</f>
        <v/>
      </c>
      <c r="T866" s="298" t="str">
        <f>IF(B866="", "", IF('Lighting Inventory (Ref only)'!I877="", "Light Switch",Inventory!H874))</f>
        <v/>
      </c>
      <c r="X866" s="298" t="str">
        <f>IF(B866="", "", 'Lighting Inventory (Ref only)'!Q877)</f>
        <v/>
      </c>
      <c r="AA866" s="298" t="str">
        <f>IF(B866="", "",'Lighting Inventory (Ref only)'!R877/1000)</f>
        <v/>
      </c>
      <c r="AB866" s="298" t="str">
        <f>IF(B866="", "", Inventory!M874)</f>
        <v/>
      </c>
      <c r="AC866" s="298" t="str">
        <f>IF(B866="", "", 'Lighting Inventory (Ref only)'!T877)</f>
        <v/>
      </c>
      <c r="AD866" s="298" t="str">
        <f>IF(C866="", "", 'Lighting Inventory (Ref only)'!AA877)</f>
        <v/>
      </c>
      <c r="AE866" s="298" t="str">
        <f>IF(B866="", "", 'Lighting Inventory (Ref only)'!U877)</f>
        <v/>
      </c>
      <c r="AF866" s="298" t="str">
        <f>IF(B866="", "",'Lighting Inventory (Ref only)'!W877)</f>
        <v/>
      </c>
      <c r="AH866" s="298" t="str">
        <f>IF(B866="", "",'Lighting Inventory (Ref only)'!Z877)</f>
        <v/>
      </c>
      <c r="AI866" s="298" t="str">
        <f>IF(B866="", "", 'Lighting Inventory (Ref only)'!Y877)</f>
        <v/>
      </c>
      <c r="AJ866" s="298" t="str">
        <f>IF(C866="", "",'Lighting Inventory (Ref only)'!AB877)</f>
        <v/>
      </c>
      <c r="AK866" s="375" t="str">
        <f>IF(B866="", "", 'Lighting Inventory (Ref only)'!AG877)</f>
        <v/>
      </c>
      <c r="AL866" s="375" t="str">
        <f>IF(B866="", "", 'Lighting Inventory (Ref only)'!AD877)</f>
        <v/>
      </c>
      <c r="AM866" s="375" t="str">
        <f>IF(B866="", "", 'Lighting Inventory (Ref only)'!AE877)</f>
        <v/>
      </c>
      <c r="AN866" s="375" t="str">
        <f>IF(B866="", "", 'Lighting Inventory (Ref only)'!AF877)</f>
        <v/>
      </c>
      <c r="AO866" s="375" t="str">
        <f>IF(B866="", "", 'Lighting Inventory (Ref only)'!AG877)</f>
        <v/>
      </c>
    </row>
    <row r="867" spans="1:41">
      <c r="A867" s="298" t="str">
        <f>IF(G867="", "", Lookups!BF869)</f>
        <v/>
      </c>
      <c r="B867" s="298" t="str">
        <f>IF('Lighting Inventory (Ref only)'!Q878="", "", 'Lighting Inventory (Ref only)'!Q878)</f>
        <v/>
      </c>
      <c r="C867" s="298" t="str">
        <f>IF(A867="", "", 'Lighting Inventory (Ref only)'!AO878)</f>
        <v/>
      </c>
      <c r="D867" s="298" t="str">
        <f>IF(B867= "","", Inventory!S875)</f>
        <v/>
      </c>
      <c r="F867" s="298" t="str">
        <f>IF(B867="", "", 'Version Log'!$B$34)</f>
        <v/>
      </c>
      <c r="G867" s="298" t="str">
        <f t="shared" si="52"/>
        <v/>
      </c>
      <c r="H867" s="298" t="str">
        <f t="shared" si="53"/>
        <v/>
      </c>
      <c r="I867" s="298" t="str">
        <f>IF(B867="", "",Inventory!D875)</f>
        <v/>
      </c>
      <c r="J867" s="298" t="str">
        <f>IF(B867="","",IF(Inventory!C875="N","Interior","Exterior"))</f>
        <v/>
      </c>
      <c r="K867" s="298" t="str">
        <f t="shared" si="54"/>
        <v/>
      </c>
      <c r="L867" s="298" t="str">
        <f>IF(B867="", "", Inventory!E875)</f>
        <v/>
      </c>
      <c r="M867" s="298" t="str">
        <f>IF(B867="","",IF(Cool_Type=Lookups!$L$9,Cool_Type,IF(Cool_Type=Lookups!$L$10,Cool_Type,IF(Cool_Type=Lookups!$L$11,Cool_Type,IF(Cool_Type=Lookups!L877,Cool_Type,IF('Project Info and Summary'!$C$20="Electric",CONCATENATE(Cool_Type," ",Heating_Type," Heat"),IF('Project Info and Summary'!$C$20="Non-Electric",CONCATENATE(Cool_Type," ",Heating_Type," Heat"),CONCATENATE(Cool_Type," ",Heating_Type))))))))</f>
        <v/>
      </c>
      <c r="N867" s="298" t="str">
        <f t="shared" si="55"/>
        <v/>
      </c>
      <c r="O867" s="298" t="str">
        <f>IF(B867="", "", 'Lighting Inventory (Ref only)'!G878)</f>
        <v/>
      </c>
      <c r="P867" s="298" t="str">
        <f>IF(B867="", "", 'Lighting Inventory (Ref only)'!E878)</f>
        <v/>
      </c>
      <c r="Q867" s="298" t="str">
        <f>IF(B867="", "", 'Lighting Inventory (Ref only)'!J878)</f>
        <v/>
      </c>
      <c r="R867" s="298" t="str">
        <f>IF(B867="", "",'Lighting Inventory (Ref only)'!K878)</f>
        <v/>
      </c>
      <c r="S867" s="372" t="str">
        <f>IF(B867="", "", 'Lighting Inventory (Ref only)'!G878*'Lighting Inventory (Ref only)'!K878/1000)</f>
        <v/>
      </c>
      <c r="T867" s="298" t="str">
        <f>IF(B867="", "", IF('Lighting Inventory (Ref only)'!I878="", "Light Switch",Inventory!H875))</f>
        <v/>
      </c>
      <c r="X867" s="298" t="str">
        <f>IF(B867="", "", 'Lighting Inventory (Ref only)'!Q878)</f>
        <v/>
      </c>
      <c r="AA867" s="298" t="str">
        <f>IF(B867="", "",'Lighting Inventory (Ref only)'!R878/1000)</f>
        <v/>
      </c>
      <c r="AB867" s="298" t="str">
        <f>IF(B867="", "", Inventory!M875)</f>
        <v/>
      </c>
      <c r="AC867" s="298" t="str">
        <f>IF(B867="", "", 'Lighting Inventory (Ref only)'!T878)</f>
        <v/>
      </c>
      <c r="AD867" s="298" t="str">
        <f>IF(C867="", "", 'Lighting Inventory (Ref only)'!AA878)</f>
        <v/>
      </c>
      <c r="AE867" s="298" t="str">
        <f>IF(B867="", "", 'Lighting Inventory (Ref only)'!U878)</f>
        <v/>
      </c>
      <c r="AF867" s="298" t="str">
        <f>IF(B867="", "",'Lighting Inventory (Ref only)'!W878)</f>
        <v/>
      </c>
      <c r="AH867" s="298" t="str">
        <f>IF(B867="", "",'Lighting Inventory (Ref only)'!Z878)</f>
        <v/>
      </c>
      <c r="AI867" s="298" t="str">
        <f>IF(B867="", "", 'Lighting Inventory (Ref only)'!Y878)</f>
        <v/>
      </c>
      <c r="AJ867" s="298" t="str">
        <f>IF(C867="", "",'Lighting Inventory (Ref only)'!AB878)</f>
        <v/>
      </c>
      <c r="AK867" s="375" t="str">
        <f>IF(B867="", "", 'Lighting Inventory (Ref only)'!AG878)</f>
        <v/>
      </c>
      <c r="AL867" s="375" t="str">
        <f>IF(B867="", "", 'Lighting Inventory (Ref only)'!AD878)</f>
        <v/>
      </c>
      <c r="AM867" s="375" t="str">
        <f>IF(B867="", "", 'Lighting Inventory (Ref only)'!AE878)</f>
        <v/>
      </c>
      <c r="AN867" s="375" t="str">
        <f>IF(B867="", "", 'Lighting Inventory (Ref only)'!AF878)</f>
        <v/>
      </c>
      <c r="AO867" s="375" t="str">
        <f>IF(B867="", "", 'Lighting Inventory (Ref only)'!AG878)</f>
        <v/>
      </c>
    </row>
    <row r="868" spans="1:41">
      <c r="A868" s="298" t="str">
        <f>IF(G868="", "", Lookups!BF870)</f>
        <v/>
      </c>
      <c r="B868" s="298" t="str">
        <f>IF('Lighting Inventory (Ref only)'!Q879="", "", 'Lighting Inventory (Ref only)'!Q879)</f>
        <v/>
      </c>
      <c r="C868" s="298" t="str">
        <f>IF(A868="", "", 'Lighting Inventory (Ref only)'!AO879)</f>
        <v/>
      </c>
      <c r="D868" s="298" t="str">
        <f>IF(B868= "","", Inventory!S876)</f>
        <v/>
      </c>
      <c r="F868" s="298" t="str">
        <f>IF(B868="", "", 'Version Log'!$B$34)</f>
        <v/>
      </c>
      <c r="G868" s="298" t="str">
        <f t="shared" si="52"/>
        <v/>
      </c>
      <c r="H868" s="298" t="str">
        <f t="shared" si="53"/>
        <v/>
      </c>
      <c r="I868" s="298" t="str">
        <f>IF(B868="", "",Inventory!D876)</f>
        <v/>
      </c>
      <c r="J868" s="298" t="str">
        <f>IF(B868="","",IF(Inventory!C876="N","Interior","Exterior"))</f>
        <v/>
      </c>
      <c r="K868" s="298" t="str">
        <f t="shared" si="54"/>
        <v/>
      </c>
      <c r="L868" s="298" t="str">
        <f>IF(B868="", "", Inventory!E876)</f>
        <v/>
      </c>
      <c r="M868" s="298" t="str">
        <f>IF(B868="","",IF(Cool_Type=Lookups!$L$9,Cool_Type,IF(Cool_Type=Lookups!$L$10,Cool_Type,IF(Cool_Type=Lookups!$L$11,Cool_Type,IF(Cool_Type=Lookups!L878,Cool_Type,IF('Project Info and Summary'!$C$20="Electric",CONCATENATE(Cool_Type," ",Heating_Type," Heat"),IF('Project Info and Summary'!$C$20="Non-Electric",CONCATENATE(Cool_Type," ",Heating_Type," Heat"),CONCATENATE(Cool_Type," ",Heating_Type))))))))</f>
        <v/>
      </c>
      <c r="N868" s="298" t="str">
        <f t="shared" si="55"/>
        <v/>
      </c>
      <c r="O868" s="298" t="str">
        <f>IF(B868="", "", 'Lighting Inventory (Ref only)'!G879)</f>
        <v/>
      </c>
      <c r="P868" s="298" t="str">
        <f>IF(B868="", "", 'Lighting Inventory (Ref only)'!E879)</f>
        <v/>
      </c>
      <c r="Q868" s="298" t="str">
        <f>IF(B868="", "", 'Lighting Inventory (Ref only)'!J879)</f>
        <v/>
      </c>
      <c r="R868" s="298" t="str">
        <f>IF(B868="", "",'Lighting Inventory (Ref only)'!K879)</f>
        <v/>
      </c>
      <c r="S868" s="372" t="str">
        <f>IF(B868="", "", 'Lighting Inventory (Ref only)'!G879*'Lighting Inventory (Ref only)'!K879/1000)</f>
        <v/>
      </c>
      <c r="T868" s="298" t="str">
        <f>IF(B868="", "", IF('Lighting Inventory (Ref only)'!I879="", "Light Switch",Inventory!H876))</f>
        <v/>
      </c>
      <c r="X868" s="298" t="str">
        <f>IF(B868="", "", 'Lighting Inventory (Ref only)'!Q879)</f>
        <v/>
      </c>
      <c r="AA868" s="298" t="str">
        <f>IF(B868="", "",'Lighting Inventory (Ref only)'!R879/1000)</f>
        <v/>
      </c>
      <c r="AB868" s="298" t="str">
        <f>IF(B868="", "", Inventory!M876)</f>
        <v/>
      </c>
      <c r="AC868" s="298" t="str">
        <f>IF(B868="", "", 'Lighting Inventory (Ref only)'!T879)</f>
        <v/>
      </c>
      <c r="AD868" s="298" t="str">
        <f>IF(C868="", "", 'Lighting Inventory (Ref only)'!AA879)</f>
        <v/>
      </c>
      <c r="AE868" s="298" t="str">
        <f>IF(B868="", "", 'Lighting Inventory (Ref only)'!U879)</f>
        <v/>
      </c>
      <c r="AF868" s="298" t="str">
        <f>IF(B868="", "",'Lighting Inventory (Ref only)'!W879)</f>
        <v/>
      </c>
      <c r="AH868" s="298" t="str">
        <f>IF(B868="", "",'Lighting Inventory (Ref only)'!Z879)</f>
        <v/>
      </c>
      <c r="AI868" s="298" t="str">
        <f>IF(B868="", "", 'Lighting Inventory (Ref only)'!Y879)</f>
        <v/>
      </c>
      <c r="AJ868" s="298" t="str">
        <f>IF(C868="", "",'Lighting Inventory (Ref only)'!AB879)</f>
        <v/>
      </c>
      <c r="AK868" s="375" t="str">
        <f>IF(B868="", "", 'Lighting Inventory (Ref only)'!AG879)</f>
        <v/>
      </c>
      <c r="AL868" s="375" t="str">
        <f>IF(B868="", "", 'Lighting Inventory (Ref only)'!AD879)</f>
        <v/>
      </c>
      <c r="AM868" s="375" t="str">
        <f>IF(B868="", "", 'Lighting Inventory (Ref only)'!AE879)</f>
        <v/>
      </c>
      <c r="AN868" s="375" t="str">
        <f>IF(B868="", "", 'Lighting Inventory (Ref only)'!AF879)</f>
        <v/>
      </c>
      <c r="AO868" s="375" t="str">
        <f>IF(B868="", "", 'Lighting Inventory (Ref only)'!AG879)</f>
        <v/>
      </c>
    </row>
    <row r="869" spans="1:41">
      <c r="A869" s="298" t="str">
        <f>IF(G869="", "", Lookups!BF871)</f>
        <v/>
      </c>
      <c r="B869" s="298" t="str">
        <f>IF('Lighting Inventory (Ref only)'!Q880="", "", 'Lighting Inventory (Ref only)'!Q880)</f>
        <v/>
      </c>
      <c r="C869" s="298" t="str">
        <f>IF(A869="", "", 'Lighting Inventory (Ref only)'!AO880)</f>
        <v/>
      </c>
      <c r="D869" s="298" t="str">
        <f>IF(B869= "","", Inventory!S877)</f>
        <v/>
      </c>
      <c r="F869" s="298" t="str">
        <f>IF(B869="", "", 'Version Log'!$B$34)</f>
        <v/>
      </c>
      <c r="G869" s="298" t="str">
        <f t="shared" si="52"/>
        <v/>
      </c>
      <c r="H869" s="298" t="str">
        <f t="shared" si="53"/>
        <v/>
      </c>
      <c r="I869" s="298" t="str">
        <f>IF(B869="", "",Inventory!D877)</f>
        <v/>
      </c>
      <c r="J869" s="298" t="str">
        <f>IF(B869="","",IF(Inventory!C877="N","Interior","Exterior"))</f>
        <v/>
      </c>
      <c r="K869" s="298" t="str">
        <f t="shared" si="54"/>
        <v/>
      </c>
      <c r="L869" s="298" t="str">
        <f>IF(B869="", "", Inventory!E877)</f>
        <v/>
      </c>
      <c r="M869" s="298" t="str">
        <f>IF(B869="","",IF(Cool_Type=Lookups!$L$9,Cool_Type,IF(Cool_Type=Lookups!$L$10,Cool_Type,IF(Cool_Type=Lookups!$L$11,Cool_Type,IF(Cool_Type=Lookups!L879,Cool_Type,IF('Project Info and Summary'!$C$20="Electric",CONCATENATE(Cool_Type," ",Heating_Type," Heat"),IF('Project Info and Summary'!$C$20="Non-Electric",CONCATENATE(Cool_Type," ",Heating_Type," Heat"),CONCATENATE(Cool_Type," ",Heating_Type))))))))</f>
        <v/>
      </c>
      <c r="N869" s="298" t="str">
        <f t="shared" si="55"/>
        <v/>
      </c>
      <c r="O869" s="298" t="str">
        <f>IF(B869="", "", 'Lighting Inventory (Ref only)'!G880)</f>
        <v/>
      </c>
      <c r="P869" s="298" t="str">
        <f>IF(B869="", "", 'Lighting Inventory (Ref only)'!E880)</f>
        <v/>
      </c>
      <c r="Q869" s="298" t="str">
        <f>IF(B869="", "", 'Lighting Inventory (Ref only)'!J880)</f>
        <v/>
      </c>
      <c r="R869" s="298" t="str">
        <f>IF(B869="", "",'Lighting Inventory (Ref only)'!K880)</f>
        <v/>
      </c>
      <c r="S869" s="372" t="str">
        <f>IF(B869="", "", 'Lighting Inventory (Ref only)'!G880*'Lighting Inventory (Ref only)'!K880/1000)</f>
        <v/>
      </c>
      <c r="T869" s="298" t="str">
        <f>IF(B869="", "", IF('Lighting Inventory (Ref only)'!I880="", "Light Switch",Inventory!H877))</f>
        <v/>
      </c>
      <c r="X869" s="298" t="str">
        <f>IF(B869="", "", 'Lighting Inventory (Ref only)'!Q880)</f>
        <v/>
      </c>
      <c r="AA869" s="298" t="str">
        <f>IF(B869="", "",'Lighting Inventory (Ref only)'!R880/1000)</f>
        <v/>
      </c>
      <c r="AB869" s="298" t="str">
        <f>IF(B869="", "", Inventory!M877)</f>
        <v/>
      </c>
      <c r="AC869" s="298" t="str">
        <f>IF(B869="", "", 'Lighting Inventory (Ref only)'!T880)</f>
        <v/>
      </c>
      <c r="AD869" s="298" t="str">
        <f>IF(C869="", "", 'Lighting Inventory (Ref only)'!AA880)</f>
        <v/>
      </c>
      <c r="AE869" s="298" t="str">
        <f>IF(B869="", "", 'Lighting Inventory (Ref only)'!U880)</f>
        <v/>
      </c>
      <c r="AF869" s="298" t="str">
        <f>IF(B869="", "",'Lighting Inventory (Ref only)'!W880)</f>
        <v/>
      </c>
      <c r="AH869" s="298" t="str">
        <f>IF(B869="", "",'Lighting Inventory (Ref only)'!Z880)</f>
        <v/>
      </c>
      <c r="AI869" s="298" t="str">
        <f>IF(B869="", "", 'Lighting Inventory (Ref only)'!Y880)</f>
        <v/>
      </c>
      <c r="AJ869" s="298" t="str">
        <f>IF(C869="", "",'Lighting Inventory (Ref only)'!AB880)</f>
        <v/>
      </c>
      <c r="AK869" s="375" t="str">
        <f>IF(B869="", "", 'Lighting Inventory (Ref only)'!AG880)</f>
        <v/>
      </c>
      <c r="AL869" s="375" t="str">
        <f>IF(B869="", "", 'Lighting Inventory (Ref only)'!AD880)</f>
        <v/>
      </c>
      <c r="AM869" s="375" t="str">
        <f>IF(B869="", "", 'Lighting Inventory (Ref only)'!AE880)</f>
        <v/>
      </c>
      <c r="AN869" s="375" t="str">
        <f>IF(B869="", "", 'Lighting Inventory (Ref only)'!AF880)</f>
        <v/>
      </c>
      <c r="AO869" s="375" t="str">
        <f>IF(B869="", "", 'Lighting Inventory (Ref only)'!AG880)</f>
        <v/>
      </c>
    </row>
    <row r="870" spans="1:41">
      <c r="A870" s="298" t="str">
        <f>IF(G870="", "", Lookups!BF872)</f>
        <v/>
      </c>
      <c r="B870" s="298" t="str">
        <f>IF('Lighting Inventory (Ref only)'!Q881="", "", 'Lighting Inventory (Ref only)'!Q881)</f>
        <v/>
      </c>
      <c r="C870" s="298" t="str">
        <f>IF(A870="", "", 'Lighting Inventory (Ref only)'!AO881)</f>
        <v/>
      </c>
      <c r="D870" s="298" t="str">
        <f>IF(B870= "","", Inventory!S878)</f>
        <v/>
      </c>
      <c r="F870" s="298" t="str">
        <f>IF(B870="", "", 'Version Log'!$B$34)</f>
        <v/>
      </c>
      <c r="G870" s="298" t="str">
        <f t="shared" si="52"/>
        <v/>
      </c>
      <c r="H870" s="298" t="str">
        <f t="shared" si="53"/>
        <v/>
      </c>
      <c r="I870" s="298" t="str">
        <f>IF(B870="", "",Inventory!D878)</f>
        <v/>
      </c>
      <c r="J870" s="298" t="str">
        <f>IF(B870="","",IF(Inventory!C878="N","Interior","Exterior"))</f>
        <v/>
      </c>
      <c r="K870" s="298" t="str">
        <f t="shared" si="54"/>
        <v/>
      </c>
      <c r="L870" s="298" t="str">
        <f>IF(B870="", "", Inventory!E878)</f>
        <v/>
      </c>
      <c r="M870" s="298" t="str">
        <f>IF(B870="","",IF(Cool_Type=Lookups!$L$9,Cool_Type,IF(Cool_Type=Lookups!$L$10,Cool_Type,IF(Cool_Type=Lookups!$L$11,Cool_Type,IF(Cool_Type=Lookups!L880,Cool_Type,IF('Project Info and Summary'!$C$20="Electric",CONCATENATE(Cool_Type," ",Heating_Type," Heat"),IF('Project Info and Summary'!$C$20="Non-Electric",CONCATENATE(Cool_Type," ",Heating_Type," Heat"),CONCATENATE(Cool_Type," ",Heating_Type))))))))</f>
        <v/>
      </c>
      <c r="N870" s="298" t="str">
        <f t="shared" si="55"/>
        <v/>
      </c>
      <c r="O870" s="298" t="str">
        <f>IF(B870="", "", 'Lighting Inventory (Ref only)'!G881)</f>
        <v/>
      </c>
      <c r="P870" s="298" t="str">
        <f>IF(B870="", "", 'Lighting Inventory (Ref only)'!E881)</f>
        <v/>
      </c>
      <c r="Q870" s="298" t="str">
        <f>IF(B870="", "", 'Lighting Inventory (Ref only)'!J881)</f>
        <v/>
      </c>
      <c r="R870" s="298" t="str">
        <f>IF(B870="", "",'Lighting Inventory (Ref only)'!K881)</f>
        <v/>
      </c>
      <c r="S870" s="372" t="str">
        <f>IF(B870="", "", 'Lighting Inventory (Ref only)'!G881*'Lighting Inventory (Ref only)'!K881/1000)</f>
        <v/>
      </c>
      <c r="T870" s="298" t="str">
        <f>IF(B870="", "", IF('Lighting Inventory (Ref only)'!I881="", "Light Switch",Inventory!H878))</f>
        <v/>
      </c>
      <c r="X870" s="298" t="str">
        <f>IF(B870="", "", 'Lighting Inventory (Ref only)'!Q881)</f>
        <v/>
      </c>
      <c r="AA870" s="298" t="str">
        <f>IF(B870="", "",'Lighting Inventory (Ref only)'!R881/1000)</f>
        <v/>
      </c>
      <c r="AB870" s="298" t="str">
        <f>IF(B870="", "", Inventory!M878)</f>
        <v/>
      </c>
      <c r="AC870" s="298" t="str">
        <f>IF(B870="", "", 'Lighting Inventory (Ref only)'!T881)</f>
        <v/>
      </c>
      <c r="AD870" s="298" t="str">
        <f>IF(C870="", "", 'Lighting Inventory (Ref only)'!AA881)</f>
        <v/>
      </c>
      <c r="AE870" s="298" t="str">
        <f>IF(B870="", "", 'Lighting Inventory (Ref only)'!U881)</f>
        <v/>
      </c>
      <c r="AF870" s="298" t="str">
        <f>IF(B870="", "",'Lighting Inventory (Ref only)'!W881)</f>
        <v/>
      </c>
      <c r="AH870" s="298" t="str">
        <f>IF(B870="", "",'Lighting Inventory (Ref only)'!Z881)</f>
        <v/>
      </c>
      <c r="AI870" s="298" t="str">
        <f>IF(B870="", "", 'Lighting Inventory (Ref only)'!Y881)</f>
        <v/>
      </c>
      <c r="AJ870" s="298" t="str">
        <f>IF(C870="", "",'Lighting Inventory (Ref only)'!AB881)</f>
        <v/>
      </c>
      <c r="AK870" s="375" t="str">
        <f>IF(B870="", "", 'Lighting Inventory (Ref only)'!AG881)</f>
        <v/>
      </c>
      <c r="AL870" s="375" t="str">
        <f>IF(B870="", "", 'Lighting Inventory (Ref only)'!AD881)</f>
        <v/>
      </c>
      <c r="AM870" s="375" t="str">
        <f>IF(B870="", "", 'Lighting Inventory (Ref only)'!AE881)</f>
        <v/>
      </c>
      <c r="AN870" s="375" t="str">
        <f>IF(B870="", "", 'Lighting Inventory (Ref only)'!AF881)</f>
        <v/>
      </c>
      <c r="AO870" s="375" t="str">
        <f>IF(B870="", "", 'Lighting Inventory (Ref only)'!AG881)</f>
        <v/>
      </c>
    </row>
    <row r="871" spans="1:41">
      <c r="A871" s="298" t="str">
        <f>IF(G871="", "", Lookups!BF873)</f>
        <v/>
      </c>
      <c r="B871" s="298" t="str">
        <f>IF('Lighting Inventory (Ref only)'!Q882="", "", 'Lighting Inventory (Ref only)'!Q882)</f>
        <v/>
      </c>
      <c r="C871" s="298" t="str">
        <f>IF(A871="", "", 'Lighting Inventory (Ref only)'!AO882)</f>
        <v/>
      </c>
      <c r="D871" s="298" t="str">
        <f>IF(B871= "","", Inventory!S879)</f>
        <v/>
      </c>
      <c r="F871" s="298" t="str">
        <f>IF(B871="", "", 'Version Log'!$B$34)</f>
        <v/>
      </c>
      <c r="G871" s="298" t="str">
        <f t="shared" si="52"/>
        <v/>
      </c>
      <c r="H871" s="298" t="str">
        <f t="shared" si="53"/>
        <v/>
      </c>
      <c r="I871" s="298" t="str">
        <f>IF(B871="", "",Inventory!D879)</f>
        <v/>
      </c>
      <c r="J871" s="298" t="str">
        <f>IF(B871="","",IF(Inventory!C879="N","Interior","Exterior"))</f>
        <v/>
      </c>
      <c r="K871" s="298" t="str">
        <f t="shared" si="54"/>
        <v/>
      </c>
      <c r="L871" s="298" t="str">
        <f>IF(B871="", "", Inventory!E879)</f>
        <v/>
      </c>
      <c r="M871" s="298" t="str">
        <f>IF(B871="","",IF(Cool_Type=Lookups!$L$9,Cool_Type,IF(Cool_Type=Lookups!$L$10,Cool_Type,IF(Cool_Type=Lookups!$L$11,Cool_Type,IF(Cool_Type=Lookups!L881,Cool_Type,IF('Project Info and Summary'!$C$20="Electric",CONCATENATE(Cool_Type," ",Heating_Type," Heat"),IF('Project Info and Summary'!$C$20="Non-Electric",CONCATENATE(Cool_Type," ",Heating_Type," Heat"),CONCATENATE(Cool_Type," ",Heating_Type))))))))</f>
        <v/>
      </c>
      <c r="N871" s="298" t="str">
        <f t="shared" si="55"/>
        <v/>
      </c>
      <c r="O871" s="298" t="str">
        <f>IF(B871="", "", 'Lighting Inventory (Ref only)'!G882)</f>
        <v/>
      </c>
      <c r="P871" s="298" t="str">
        <f>IF(B871="", "", 'Lighting Inventory (Ref only)'!E882)</f>
        <v/>
      </c>
      <c r="Q871" s="298" t="str">
        <f>IF(B871="", "", 'Lighting Inventory (Ref only)'!J882)</f>
        <v/>
      </c>
      <c r="R871" s="298" t="str">
        <f>IF(B871="", "",'Lighting Inventory (Ref only)'!K882)</f>
        <v/>
      </c>
      <c r="S871" s="372" t="str">
        <f>IF(B871="", "", 'Lighting Inventory (Ref only)'!G882*'Lighting Inventory (Ref only)'!K882/1000)</f>
        <v/>
      </c>
      <c r="T871" s="298" t="str">
        <f>IF(B871="", "", IF('Lighting Inventory (Ref only)'!I882="", "Light Switch",Inventory!H879))</f>
        <v/>
      </c>
      <c r="X871" s="298" t="str">
        <f>IF(B871="", "", 'Lighting Inventory (Ref only)'!Q882)</f>
        <v/>
      </c>
      <c r="AA871" s="298" t="str">
        <f>IF(B871="", "",'Lighting Inventory (Ref only)'!R882/1000)</f>
        <v/>
      </c>
      <c r="AB871" s="298" t="str">
        <f>IF(B871="", "", Inventory!M879)</f>
        <v/>
      </c>
      <c r="AC871" s="298" t="str">
        <f>IF(B871="", "", 'Lighting Inventory (Ref only)'!T882)</f>
        <v/>
      </c>
      <c r="AD871" s="298" t="str">
        <f>IF(C871="", "", 'Lighting Inventory (Ref only)'!AA882)</f>
        <v/>
      </c>
      <c r="AE871" s="298" t="str">
        <f>IF(B871="", "", 'Lighting Inventory (Ref only)'!U882)</f>
        <v/>
      </c>
      <c r="AF871" s="298" t="str">
        <f>IF(B871="", "",'Lighting Inventory (Ref only)'!W882)</f>
        <v/>
      </c>
      <c r="AH871" s="298" t="str">
        <f>IF(B871="", "",'Lighting Inventory (Ref only)'!Z882)</f>
        <v/>
      </c>
      <c r="AI871" s="298" t="str">
        <f>IF(B871="", "", 'Lighting Inventory (Ref only)'!Y882)</f>
        <v/>
      </c>
      <c r="AJ871" s="298" t="str">
        <f>IF(C871="", "",'Lighting Inventory (Ref only)'!AB882)</f>
        <v/>
      </c>
      <c r="AK871" s="375" t="str">
        <f>IF(B871="", "", 'Lighting Inventory (Ref only)'!AG882)</f>
        <v/>
      </c>
      <c r="AL871" s="375" t="str">
        <f>IF(B871="", "", 'Lighting Inventory (Ref only)'!AD882)</f>
        <v/>
      </c>
      <c r="AM871" s="375" t="str">
        <f>IF(B871="", "", 'Lighting Inventory (Ref only)'!AE882)</f>
        <v/>
      </c>
      <c r="AN871" s="375" t="str">
        <f>IF(B871="", "", 'Lighting Inventory (Ref only)'!AF882)</f>
        <v/>
      </c>
      <c r="AO871" s="375" t="str">
        <f>IF(B871="", "", 'Lighting Inventory (Ref only)'!AG882)</f>
        <v/>
      </c>
    </row>
    <row r="872" spans="1:41">
      <c r="A872" s="298" t="str">
        <f>IF(G872="", "", Lookups!BF874)</f>
        <v/>
      </c>
      <c r="B872" s="298" t="str">
        <f>IF('Lighting Inventory (Ref only)'!Q883="", "", 'Lighting Inventory (Ref only)'!Q883)</f>
        <v/>
      </c>
      <c r="C872" s="298" t="str">
        <f>IF(A872="", "", 'Lighting Inventory (Ref only)'!AO883)</f>
        <v/>
      </c>
      <c r="D872" s="298" t="str">
        <f>IF(B872= "","", Inventory!S880)</f>
        <v/>
      </c>
      <c r="F872" s="298" t="str">
        <f>IF(B872="", "", 'Version Log'!$B$34)</f>
        <v/>
      </c>
      <c r="G872" s="298" t="str">
        <f t="shared" si="52"/>
        <v/>
      </c>
      <c r="H872" s="298" t="str">
        <f t="shared" si="53"/>
        <v/>
      </c>
      <c r="I872" s="298" t="str">
        <f>IF(B872="", "",Inventory!D880)</f>
        <v/>
      </c>
      <c r="J872" s="298" t="str">
        <f>IF(B872="","",IF(Inventory!C880="N","Interior","Exterior"))</f>
        <v/>
      </c>
      <c r="K872" s="298" t="str">
        <f t="shared" si="54"/>
        <v/>
      </c>
      <c r="L872" s="298" t="str">
        <f>IF(B872="", "", Inventory!E880)</f>
        <v/>
      </c>
      <c r="M872" s="298" t="str">
        <f>IF(B872="","",IF(Cool_Type=Lookups!$L$9,Cool_Type,IF(Cool_Type=Lookups!$L$10,Cool_Type,IF(Cool_Type=Lookups!$L$11,Cool_Type,IF(Cool_Type=Lookups!L882,Cool_Type,IF('Project Info and Summary'!$C$20="Electric",CONCATENATE(Cool_Type," ",Heating_Type," Heat"),IF('Project Info and Summary'!$C$20="Non-Electric",CONCATENATE(Cool_Type," ",Heating_Type," Heat"),CONCATENATE(Cool_Type," ",Heating_Type))))))))</f>
        <v/>
      </c>
      <c r="N872" s="298" t="str">
        <f t="shared" si="55"/>
        <v/>
      </c>
      <c r="O872" s="298" t="str">
        <f>IF(B872="", "", 'Lighting Inventory (Ref only)'!G883)</f>
        <v/>
      </c>
      <c r="P872" s="298" t="str">
        <f>IF(B872="", "", 'Lighting Inventory (Ref only)'!E883)</f>
        <v/>
      </c>
      <c r="Q872" s="298" t="str">
        <f>IF(B872="", "", 'Lighting Inventory (Ref only)'!J883)</f>
        <v/>
      </c>
      <c r="R872" s="298" t="str">
        <f>IF(B872="", "",'Lighting Inventory (Ref only)'!K883)</f>
        <v/>
      </c>
      <c r="S872" s="372" t="str">
        <f>IF(B872="", "", 'Lighting Inventory (Ref only)'!G883*'Lighting Inventory (Ref only)'!K883/1000)</f>
        <v/>
      </c>
      <c r="T872" s="298" t="str">
        <f>IF(B872="", "", IF('Lighting Inventory (Ref only)'!I883="", "Light Switch",Inventory!H880))</f>
        <v/>
      </c>
      <c r="X872" s="298" t="str">
        <f>IF(B872="", "", 'Lighting Inventory (Ref only)'!Q883)</f>
        <v/>
      </c>
      <c r="AA872" s="298" t="str">
        <f>IF(B872="", "",'Lighting Inventory (Ref only)'!R883/1000)</f>
        <v/>
      </c>
      <c r="AB872" s="298" t="str">
        <f>IF(B872="", "", Inventory!M880)</f>
        <v/>
      </c>
      <c r="AC872" s="298" t="str">
        <f>IF(B872="", "", 'Lighting Inventory (Ref only)'!T883)</f>
        <v/>
      </c>
      <c r="AD872" s="298" t="str">
        <f>IF(C872="", "", 'Lighting Inventory (Ref only)'!AA883)</f>
        <v/>
      </c>
      <c r="AE872" s="298" t="str">
        <f>IF(B872="", "", 'Lighting Inventory (Ref only)'!U883)</f>
        <v/>
      </c>
      <c r="AF872" s="298" t="str">
        <f>IF(B872="", "",'Lighting Inventory (Ref only)'!W883)</f>
        <v/>
      </c>
      <c r="AH872" s="298" t="str">
        <f>IF(B872="", "",'Lighting Inventory (Ref only)'!Z883)</f>
        <v/>
      </c>
      <c r="AI872" s="298" t="str">
        <f>IF(B872="", "", 'Lighting Inventory (Ref only)'!Y883)</f>
        <v/>
      </c>
      <c r="AJ872" s="298" t="str">
        <f>IF(C872="", "",'Lighting Inventory (Ref only)'!AB883)</f>
        <v/>
      </c>
      <c r="AK872" s="375" t="str">
        <f>IF(B872="", "", 'Lighting Inventory (Ref only)'!AG883)</f>
        <v/>
      </c>
      <c r="AL872" s="375" t="str">
        <f>IF(B872="", "", 'Lighting Inventory (Ref only)'!AD883)</f>
        <v/>
      </c>
      <c r="AM872" s="375" t="str">
        <f>IF(B872="", "", 'Lighting Inventory (Ref only)'!AE883)</f>
        <v/>
      </c>
      <c r="AN872" s="375" t="str">
        <f>IF(B872="", "", 'Lighting Inventory (Ref only)'!AF883)</f>
        <v/>
      </c>
      <c r="AO872" s="375" t="str">
        <f>IF(B872="", "", 'Lighting Inventory (Ref only)'!AG883)</f>
        <v/>
      </c>
    </row>
    <row r="873" spans="1:41">
      <c r="A873" s="298" t="str">
        <f>IF(G873="", "", Lookups!BF875)</f>
        <v/>
      </c>
      <c r="B873" s="298" t="str">
        <f>IF('Lighting Inventory (Ref only)'!Q884="", "", 'Lighting Inventory (Ref only)'!Q884)</f>
        <v/>
      </c>
      <c r="C873" s="298" t="str">
        <f>IF(A873="", "", 'Lighting Inventory (Ref only)'!AO884)</f>
        <v/>
      </c>
      <c r="D873" s="298" t="str">
        <f>IF(B873= "","", Inventory!S881)</f>
        <v/>
      </c>
      <c r="F873" s="298" t="str">
        <f>IF(B873="", "", 'Version Log'!$B$34)</f>
        <v/>
      </c>
      <c r="G873" s="298" t="str">
        <f t="shared" si="52"/>
        <v/>
      </c>
      <c r="H873" s="298" t="str">
        <f t="shared" si="53"/>
        <v/>
      </c>
      <c r="I873" s="298" t="str">
        <f>IF(B873="", "",Inventory!D881)</f>
        <v/>
      </c>
      <c r="J873" s="298" t="str">
        <f>IF(B873="","",IF(Inventory!C881="N","Interior","Exterior"))</f>
        <v/>
      </c>
      <c r="K873" s="298" t="str">
        <f t="shared" si="54"/>
        <v/>
      </c>
      <c r="L873" s="298" t="str">
        <f>IF(B873="", "", Inventory!E881)</f>
        <v/>
      </c>
      <c r="M873" s="298" t="str">
        <f>IF(B873="","",IF(Cool_Type=Lookups!$L$9,Cool_Type,IF(Cool_Type=Lookups!$L$10,Cool_Type,IF(Cool_Type=Lookups!$L$11,Cool_Type,IF(Cool_Type=Lookups!L883,Cool_Type,IF('Project Info and Summary'!$C$20="Electric",CONCATENATE(Cool_Type," ",Heating_Type," Heat"),IF('Project Info and Summary'!$C$20="Non-Electric",CONCATENATE(Cool_Type," ",Heating_Type," Heat"),CONCATENATE(Cool_Type," ",Heating_Type))))))))</f>
        <v/>
      </c>
      <c r="N873" s="298" t="str">
        <f t="shared" si="55"/>
        <v/>
      </c>
      <c r="O873" s="298" t="str">
        <f>IF(B873="", "", 'Lighting Inventory (Ref only)'!G884)</f>
        <v/>
      </c>
      <c r="P873" s="298" t="str">
        <f>IF(B873="", "", 'Lighting Inventory (Ref only)'!E884)</f>
        <v/>
      </c>
      <c r="Q873" s="298" t="str">
        <f>IF(B873="", "", 'Lighting Inventory (Ref only)'!J884)</f>
        <v/>
      </c>
      <c r="R873" s="298" t="str">
        <f>IF(B873="", "",'Lighting Inventory (Ref only)'!K884)</f>
        <v/>
      </c>
      <c r="S873" s="372" t="str">
        <f>IF(B873="", "", 'Lighting Inventory (Ref only)'!G884*'Lighting Inventory (Ref only)'!K884/1000)</f>
        <v/>
      </c>
      <c r="T873" s="298" t="str">
        <f>IF(B873="", "", IF('Lighting Inventory (Ref only)'!I884="", "Light Switch",Inventory!H881))</f>
        <v/>
      </c>
      <c r="X873" s="298" t="str">
        <f>IF(B873="", "", 'Lighting Inventory (Ref only)'!Q884)</f>
        <v/>
      </c>
      <c r="AA873" s="298" t="str">
        <f>IF(B873="", "",'Lighting Inventory (Ref only)'!R884/1000)</f>
        <v/>
      </c>
      <c r="AB873" s="298" t="str">
        <f>IF(B873="", "", Inventory!M881)</f>
        <v/>
      </c>
      <c r="AC873" s="298" t="str">
        <f>IF(B873="", "", 'Lighting Inventory (Ref only)'!T884)</f>
        <v/>
      </c>
      <c r="AD873" s="298" t="str">
        <f>IF(C873="", "", 'Lighting Inventory (Ref only)'!AA884)</f>
        <v/>
      </c>
      <c r="AE873" s="298" t="str">
        <f>IF(B873="", "", 'Lighting Inventory (Ref only)'!U884)</f>
        <v/>
      </c>
      <c r="AF873" s="298" t="str">
        <f>IF(B873="", "",'Lighting Inventory (Ref only)'!W884)</f>
        <v/>
      </c>
      <c r="AH873" s="298" t="str">
        <f>IF(B873="", "",'Lighting Inventory (Ref only)'!Z884)</f>
        <v/>
      </c>
      <c r="AI873" s="298" t="str">
        <f>IF(B873="", "", 'Lighting Inventory (Ref only)'!Y884)</f>
        <v/>
      </c>
      <c r="AJ873" s="298" t="str">
        <f>IF(C873="", "",'Lighting Inventory (Ref only)'!AB884)</f>
        <v/>
      </c>
      <c r="AK873" s="375" t="str">
        <f>IF(B873="", "", 'Lighting Inventory (Ref only)'!AG884)</f>
        <v/>
      </c>
      <c r="AL873" s="375" t="str">
        <f>IF(B873="", "", 'Lighting Inventory (Ref only)'!AD884)</f>
        <v/>
      </c>
      <c r="AM873" s="375" t="str">
        <f>IF(B873="", "", 'Lighting Inventory (Ref only)'!AE884)</f>
        <v/>
      </c>
      <c r="AN873" s="375" t="str">
        <f>IF(B873="", "", 'Lighting Inventory (Ref only)'!AF884)</f>
        <v/>
      </c>
      <c r="AO873" s="375" t="str">
        <f>IF(B873="", "", 'Lighting Inventory (Ref only)'!AG884)</f>
        <v/>
      </c>
    </row>
    <row r="874" spans="1:41">
      <c r="A874" s="298" t="str">
        <f>IF(G874="", "", Lookups!BF876)</f>
        <v/>
      </c>
      <c r="B874" s="298" t="str">
        <f>IF('Lighting Inventory (Ref only)'!Q885="", "", 'Lighting Inventory (Ref only)'!Q885)</f>
        <v/>
      </c>
      <c r="C874" s="298" t="str">
        <f>IF(A874="", "", 'Lighting Inventory (Ref only)'!AO885)</f>
        <v/>
      </c>
      <c r="D874" s="298" t="str">
        <f>IF(B874= "","", Inventory!S882)</f>
        <v/>
      </c>
      <c r="F874" s="298" t="str">
        <f>IF(B874="", "", 'Version Log'!$B$34)</f>
        <v/>
      </c>
      <c r="G874" s="298" t="str">
        <f t="shared" si="52"/>
        <v/>
      </c>
      <c r="H874" s="298" t="str">
        <f t="shared" si="53"/>
        <v/>
      </c>
      <c r="I874" s="298" t="str">
        <f>IF(B874="", "",Inventory!D882)</f>
        <v/>
      </c>
      <c r="J874" s="298" t="str">
        <f>IF(B874="","",IF(Inventory!C882="N","Interior","Exterior"))</f>
        <v/>
      </c>
      <c r="K874" s="298" t="str">
        <f t="shared" si="54"/>
        <v/>
      </c>
      <c r="L874" s="298" t="str">
        <f>IF(B874="", "", Inventory!E882)</f>
        <v/>
      </c>
      <c r="M874" s="298" t="str">
        <f>IF(B874="","",IF(Cool_Type=Lookups!$L$9,Cool_Type,IF(Cool_Type=Lookups!$L$10,Cool_Type,IF(Cool_Type=Lookups!$L$11,Cool_Type,IF(Cool_Type=Lookups!L884,Cool_Type,IF('Project Info and Summary'!$C$20="Electric",CONCATENATE(Cool_Type," ",Heating_Type," Heat"),IF('Project Info and Summary'!$C$20="Non-Electric",CONCATENATE(Cool_Type," ",Heating_Type," Heat"),CONCATENATE(Cool_Type," ",Heating_Type))))))))</f>
        <v/>
      </c>
      <c r="N874" s="298" t="str">
        <f t="shared" si="55"/>
        <v/>
      </c>
      <c r="O874" s="298" t="str">
        <f>IF(B874="", "", 'Lighting Inventory (Ref only)'!G885)</f>
        <v/>
      </c>
      <c r="P874" s="298" t="str">
        <f>IF(B874="", "", 'Lighting Inventory (Ref only)'!E885)</f>
        <v/>
      </c>
      <c r="Q874" s="298" t="str">
        <f>IF(B874="", "", 'Lighting Inventory (Ref only)'!J885)</f>
        <v/>
      </c>
      <c r="R874" s="298" t="str">
        <f>IF(B874="", "",'Lighting Inventory (Ref only)'!K885)</f>
        <v/>
      </c>
      <c r="S874" s="372" t="str">
        <f>IF(B874="", "", 'Lighting Inventory (Ref only)'!G885*'Lighting Inventory (Ref only)'!K885/1000)</f>
        <v/>
      </c>
      <c r="T874" s="298" t="str">
        <f>IF(B874="", "", IF('Lighting Inventory (Ref only)'!I885="", "Light Switch",Inventory!H882))</f>
        <v/>
      </c>
      <c r="X874" s="298" t="str">
        <f>IF(B874="", "", 'Lighting Inventory (Ref only)'!Q885)</f>
        <v/>
      </c>
      <c r="AA874" s="298" t="str">
        <f>IF(B874="", "",'Lighting Inventory (Ref only)'!R885/1000)</f>
        <v/>
      </c>
      <c r="AB874" s="298" t="str">
        <f>IF(B874="", "", Inventory!M882)</f>
        <v/>
      </c>
      <c r="AC874" s="298" t="str">
        <f>IF(B874="", "", 'Lighting Inventory (Ref only)'!T885)</f>
        <v/>
      </c>
      <c r="AD874" s="298" t="str">
        <f>IF(C874="", "", 'Lighting Inventory (Ref only)'!AA885)</f>
        <v/>
      </c>
      <c r="AE874" s="298" t="str">
        <f>IF(B874="", "", 'Lighting Inventory (Ref only)'!U885)</f>
        <v/>
      </c>
      <c r="AF874" s="298" t="str">
        <f>IF(B874="", "",'Lighting Inventory (Ref only)'!W885)</f>
        <v/>
      </c>
      <c r="AH874" s="298" t="str">
        <f>IF(B874="", "",'Lighting Inventory (Ref only)'!Z885)</f>
        <v/>
      </c>
      <c r="AI874" s="298" t="str">
        <f>IF(B874="", "", 'Lighting Inventory (Ref only)'!Y885)</f>
        <v/>
      </c>
      <c r="AJ874" s="298" t="str">
        <f>IF(C874="", "",'Lighting Inventory (Ref only)'!AB885)</f>
        <v/>
      </c>
      <c r="AK874" s="375" t="str">
        <f>IF(B874="", "", 'Lighting Inventory (Ref only)'!AG885)</f>
        <v/>
      </c>
      <c r="AL874" s="375" t="str">
        <f>IF(B874="", "", 'Lighting Inventory (Ref only)'!AD885)</f>
        <v/>
      </c>
      <c r="AM874" s="375" t="str">
        <f>IF(B874="", "", 'Lighting Inventory (Ref only)'!AE885)</f>
        <v/>
      </c>
      <c r="AN874" s="375" t="str">
        <f>IF(B874="", "", 'Lighting Inventory (Ref only)'!AF885)</f>
        <v/>
      </c>
      <c r="AO874" s="375" t="str">
        <f>IF(B874="", "", 'Lighting Inventory (Ref only)'!AG885)</f>
        <v/>
      </c>
    </row>
    <row r="875" spans="1:41">
      <c r="A875" s="298" t="str">
        <f>IF(G875="", "", Lookups!BF877)</f>
        <v/>
      </c>
      <c r="B875" s="298" t="str">
        <f>IF('Lighting Inventory (Ref only)'!Q886="", "", 'Lighting Inventory (Ref only)'!Q886)</f>
        <v/>
      </c>
      <c r="C875" s="298" t="str">
        <f>IF(A875="", "", 'Lighting Inventory (Ref only)'!AO886)</f>
        <v/>
      </c>
      <c r="D875" s="298" t="str">
        <f>IF(B875= "","", Inventory!S883)</f>
        <v/>
      </c>
      <c r="F875" s="298" t="str">
        <f>IF(B875="", "", 'Version Log'!$B$34)</f>
        <v/>
      </c>
      <c r="G875" s="298" t="str">
        <f t="shared" si="52"/>
        <v/>
      </c>
      <c r="H875" s="298" t="str">
        <f t="shared" si="53"/>
        <v/>
      </c>
      <c r="I875" s="298" t="str">
        <f>IF(B875="", "",Inventory!D883)</f>
        <v/>
      </c>
      <c r="J875" s="298" t="str">
        <f>IF(B875="","",IF(Inventory!C883="N","Interior","Exterior"))</f>
        <v/>
      </c>
      <c r="K875" s="298" t="str">
        <f t="shared" si="54"/>
        <v/>
      </c>
      <c r="L875" s="298" t="str">
        <f>IF(B875="", "", Inventory!E883)</f>
        <v/>
      </c>
      <c r="M875" s="298" t="str">
        <f>IF(B875="","",IF(Cool_Type=Lookups!$L$9,Cool_Type,IF(Cool_Type=Lookups!$L$10,Cool_Type,IF(Cool_Type=Lookups!$L$11,Cool_Type,IF(Cool_Type=Lookups!L885,Cool_Type,IF('Project Info and Summary'!$C$20="Electric",CONCATENATE(Cool_Type," ",Heating_Type," Heat"),IF('Project Info and Summary'!$C$20="Non-Electric",CONCATENATE(Cool_Type," ",Heating_Type," Heat"),CONCATENATE(Cool_Type," ",Heating_Type))))))))</f>
        <v/>
      </c>
      <c r="N875" s="298" t="str">
        <f t="shared" si="55"/>
        <v/>
      </c>
      <c r="O875" s="298" t="str">
        <f>IF(B875="", "", 'Lighting Inventory (Ref only)'!G886)</f>
        <v/>
      </c>
      <c r="P875" s="298" t="str">
        <f>IF(B875="", "", 'Lighting Inventory (Ref only)'!E886)</f>
        <v/>
      </c>
      <c r="Q875" s="298" t="str">
        <f>IF(B875="", "", 'Lighting Inventory (Ref only)'!J886)</f>
        <v/>
      </c>
      <c r="R875" s="298" t="str">
        <f>IF(B875="", "",'Lighting Inventory (Ref only)'!K886)</f>
        <v/>
      </c>
      <c r="S875" s="372" t="str">
        <f>IF(B875="", "", 'Lighting Inventory (Ref only)'!G886*'Lighting Inventory (Ref only)'!K886/1000)</f>
        <v/>
      </c>
      <c r="T875" s="298" t="str">
        <f>IF(B875="", "", IF('Lighting Inventory (Ref only)'!I886="", "Light Switch",Inventory!H883))</f>
        <v/>
      </c>
      <c r="X875" s="298" t="str">
        <f>IF(B875="", "", 'Lighting Inventory (Ref only)'!Q886)</f>
        <v/>
      </c>
      <c r="AA875" s="298" t="str">
        <f>IF(B875="", "",'Lighting Inventory (Ref only)'!R886/1000)</f>
        <v/>
      </c>
      <c r="AB875" s="298" t="str">
        <f>IF(B875="", "", Inventory!M883)</f>
        <v/>
      </c>
      <c r="AC875" s="298" t="str">
        <f>IF(B875="", "", 'Lighting Inventory (Ref only)'!T886)</f>
        <v/>
      </c>
      <c r="AD875" s="298" t="str">
        <f>IF(C875="", "", 'Lighting Inventory (Ref only)'!AA886)</f>
        <v/>
      </c>
      <c r="AE875" s="298" t="str">
        <f>IF(B875="", "", 'Lighting Inventory (Ref only)'!U886)</f>
        <v/>
      </c>
      <c r="AF875" s="298" t="str">
        <f>IF(B875="", "",'Lighting Inventory (Ref only)'!W886)</f>
        <v/>
      </c>
      <c r="AH875" s="298" t="str">
        <f>IF(B875="", "",'Lighting Inventory (Ref only)'!Z886)</f>
        <v/>
      </c>
      <c r="AI875" s="298" t="str">
        <f>IF(B875="", "", 'Lighting Inventory (Ref only)'!Y886)</f>
        <v/>
      </c>
      <c r="AJ875" s="298" t="str">
        <f>IF(C875="", "",'Lighting Inventory (Ref only)'!AB886)</f>
        <v/>
      </c>
      <c r="AK875" s="375" t="str">
        <f>IF(B875="", "", 'Lighting Inventory (Ref only)'!AG886)</f>
        <v/>
      </c>
      <c r="AL875" s="375" t="str">
        <f>IF(B875="", "", 'Lighting Inventory (Ref only)'!AD886)</f>
        <v/>
      </c>
      <c r="AM875" s="375" t="str">
        <f>IF(B875="", "", 'Lighting Inventory (Ref only)'!AE886)</f>
        <v/>
      </c>
      <c r="AN875" s="375" t="str">
        <f>IF(B875="", "", 'Lighting Inventory (Ref only)'!AF886)</f>
        <v/>
      </c>
      <c r="AO875" s="375" t="str">
        <f>IF(B875="", "", 'Lighting Inventory (Ref only)'!AG886)</f>
        <v/>
      </c>
    </row>
    <row r="876" spans="1:41">
      <c r="A876" s="298" t="str">
        <f>IF(G876="", "", Lookups!BF878)</f>
        <v/>
      </c>
      <c r="B876" s="298" t="str">
        <f>IF('Lighting Inventory (Ref only)'!Q887="", "", 'Lighting Inventory (Ref only)'!Q887)</f>
        <v/>
      </c>
      <c r="C876" s="298" t="str">
        <f>IF(A876="", "", 'Lighting Inventory (Ref only)'!AO887)</f>
        <v/>
      </c>
      <c r="D876" s="298" t="str">
        <f>IF(B876= "","", Inventory!S884)</f>
        <v/>
      </c>
      <c r="F876" s="298" t="str">
        <f>IF(B876="", "", 'Version Log'!$B$34)</f>
        <v/>
      </c>
      <c r="G876" s="298" t="str">
        <f t="shared" si="52"/>
        <v/>
      </c>
      <c r="H876" s="298" t="str">
        <f t="shared" si="53"/>
        <v/>
      </c>
      <c r="I876" s="298" t="str">
        <f>IF(B876="", "",Inventory!D884)</f>
        <v/>
      </c>
      <c r="J876" s="298" t="str">
        <f>IF(B876="","",IF(Inventory!C884="N","Interior","Exterior"))</f>
        <v/>
      </c>
      <c r="K876" s="298" t="str">
        <f t="shared" si="54"/>
        <v/>
      </c>
      <c r="L876" s="298" t="str">
        <f>IF(B876="", "", Inventory!E884)</f>
        <v/>
      </c>
      <c r="M876" s="298" t="str">
        <f>IF(B876="","",IF(Cool_Type=Lookups!$L$9,Cool_Type,IF(Cool_Type=Lookups!$L$10,Cool_Type,IF(Cool_Type=Lookups!$L$11,Cool_Type,IF(Cool_Type=Lookups!L886,Cool_Type,IF('Project Info and Summary'!$C$20="Electric",CONCATENATE(Cool_Type," ",Heating_Type," Heat"),IF('Project Info and Summary'!$C$20="Non-Electric",CONCATENATE(Cool_Type," ",Heating_Type," Heat"),CONCATENATE(Cool_Type," ",Heating_Type))))))))</f>
        <v/>
      </c>
      <c r="N876" s="298" t="str">
        <f t="shared" si="55"/>
        <v/>
      </c>
      <c r="O876" s="298" t="str">
        <f>IF(B876="", "", 'Lighting Inventory (Ref only)'!G887)</f>
        <v/>
      </c>
      <c r="P876" s="298" t="str">
        <f>IF(B876="", "", 'Lighting Inventory (Ref only)'!E887)</f>
        <v/>
      </c>
      <c r="Q876" s="298" t="str">
        <f>IF(B876="", "", 'Lighting Inventory (Ref only)'!J887)</f>
        <v/>
      </c>
      <c r="R876" s="298" t="str">
        <f>IF(B876="", "",'Lighting Inventory (Ref only)'!K887)</f>
        <v/>
      </c>
      <c r="S876" s="372" t="str">
        <f>IF(B876="", "", 'Lighting Inventory (Ref only)'!G887*'Lighting Inventory (Ref only)'!K887/1000)</f>
        <v/>
      </c>
      <c r="T876" s="298" t="str">
        <f>IF(B876="", "", IF('Lighting Inventory (Ref only)'!I887="", "Light Switch",Inventory!H884))</f>
        <v/>
      </c>
      <c r="X876" s="298" t="str">
        <f>IF(B876="", "", 'Lighting Inventory (Ref only)'!Q887)</f>
        <v/>
      </c>
      <c r="AA876" s="298" t="str">
        <f>IF(B876="", "",'Lighting Inventory (Ref only)'!R887/1000)</f>
        <v/>
      </c>
      <c r="AB876" s="298" t="str">
        <f>IF(B876="", "", Inventory!M884)</f>
        <v/>
      </c>
      <c r="AC876" s="298" t="str">
        <f>IF(B876="", "", 'Lighting Inventory (Ref only)'!T887)</f>
        <v/>
      </c>
      <c r="AD876" s="298" t="str">
        <f>IF(C876="", "", 'Lighting Inventory (Ref only)'!AA887)</f>
        <v/>
      </c>
      <c r="AE876" s="298" t="str">
        <f>IF(B876="", "", 'Lighting Inventory (Ref only)'!U887)</f>
        <v/>
      </c>
      <c r="AF876" s="298" t="str">
        <f>IF(B876="", "",'Lighting Inventory (Ref only)'!W887)</f>
        <v/>
      </c>
      <c r="AH876" s="298" t="str">
        <f>IF(B876="", "",'Lighting Inventory (Ref only)'!Z887)</f>
        <v/>
      </c>
      <c r="AI876" s="298" t="str">
        <f>IF(B876="", "", 'Lighting Inventory (Ref only)'!Y887)</f>
        <v/>
      </c>
      <c r="AJ876" s="298" t="str">
        <f>IF(C876="", "",'Lighting Inventory (Ref only)'!AB887)</f>
        <v/>
      </c>
      <c r="AK876" s="375" t="str">
        <f>IF(B876="", "", 'Lighting Inventory (Ref only)'!AG887)</f>
        <v/>
      </c>
      <c r="AL876" s="375" t="str">
        <f>IF(B876="", "", 'Lighting Inventory (Ref only)'!AD887)</f>
        <v/>
      </c>
      <c r="AM876" s="375" t="str">
        <f>IF(B876="", "", 'Lighting Inventory (Ref only)'!AE887)</f>
        <v/>
      </c>
      <c r="AN876" s="375" t="str">
        <f>IF(B876="", "", 'Lighting Inventory (Ref only)'!AF887)</f>
        <v/>
      </c>
      <c r="AO876" s="375" t="str">
        <f>IF(B876="", "", 'Lighting Inventory (Ref only)'!AG887)</f>
        <v/>
      </c>
    </row>
    <row r="877" spans="1:41">
      <c r="A877" s="298" t="str">
        <f>IF(G877="", "", Lookups!BF879)</f>
        <v/>
      </c>
      <c r="B877" s="298" t="str">
        <f>IF('Lighting Inventory (Ref only)'!Q888="", "", 'Lighting Inventory (Ref only)'!Q888)</f>
        <v/>
      </c>
      <c r="C877" s="298" t="str">
        <f>IF(A877="", "", 'Lighting Inventory (Ref only)'!AO888)</f>
        <v/>
      </c>
      <c r="D877" s="298" t="str">
        <f>IF(B877= "","", Inventory!S885)</f>
        <v/>
      </c>
      <c r="F877" s="298" t="str">
        <f>IF(B877="", "", 'Version Log'!$B$34)</f>
        <v/>
      </c>
      <c r="G877" s="298" t="str">
        <f t="shared" si="52"/>
        <v/>
      </c>
      <c r="H877" s="298" t="str">
        <f t="shared" si="53"/>
        <v/>
      </c>
      <c r="I877" s="298" t="str">
        <f>IF(B877="", "",Inventory!D885)</f>
        <v/>
      </c>
      <c r="J877" s="298" t="str">
        <f>IF(B877="","",IF(Inventory!C885="N","Interior","Exterior"))</f>
        <v/>
      </c>
      <c r="K877" s="298" t="str">
        <f t="shared" si="54"/>
        <v/>
      </c>
      <c r="L877" s="298" t="str">
        <f>IF(B877="", "", Inventory!E885)</f>
        <v/>
      </c>
      <c r="M877" s="298" t="str">
        <f>IF(B877="","",IF(Cool_Type=Lookups!$L$9,Cool_Type,IF(Cool_Type=Lookups!$L$10,Cool_Type,IF(Cool_Type=Lookups!$L$11,Cool_Type,IF(Cool_Type=Lookups!L887,Cool_Type,IF('Project Info and Summary'!$C$20="Electric",CONCATENATE(Cool_Type," ",Heating_Type," Heat"),IF('Project Info and Summary'!$C$20="Non-Electric",CONCATENATE(Cool_Type," ",Heating_Type," Heat"),CONCATENATE(Cool_Type," ",Heating_Type))))))))</f>
        <v/>
      </c>
      <c r="N877" s="298" t="str">
        <f t="shared" si="55"/>
        <v/>
      </c>
      <c r="O877" s="298" t="str">
        <f>IF(B877="", "", 'Lighting Inventory (Ref only)'!G888)</f>
        <v/>
      </c>
      <c r="P877" s="298" t="str">
        <f>IF(B877="", "", 'Lighting Inventory (Ref only)'!E888)</f>
        <v/>
      </c>
      <c r="Q877" s="298" t="str">
        <f>IF(B877="", "", 'Lighting Inventory (Ref only)'!J888)</f>
        <v/>
      </c>
      <c r="R877" s="298" t="str">
        <f>IF(B877="", "",'Lighting Inventory (Ref only)'!K888)</f>
        <v/>
      </c>
      <c r="S877" s="372" t="str">
        <f>IF(B877="", "", 'Lighting Inventory (Ref only)'!G888*'Lighting Inventory (Ref only)'!K888/1000)</f>
        <v/>
      </c>
      <c r="T877" s="298" t="str">
        <f>IF(B877="", "", IF('Lighting Inventory (Ref only)'!I888="", "Light Switch",Inventory!H885))</f>
        <v/>
      </c>
      <c r="X877" s="298" t="str">
        <f>IF(B877="", "", 'Lighting Inventory (Ref only)'!Q888)</f>
        <v/>
      </c>
      <c r="AA877" s="298" t="str">
        <f>IF(B877="", "",'Lighting Inventory (Ref only)'!R888/1000)</f>
        <v/>
      </c>
      <c r="AB877" s="298" t="str">
        <f>IF(B877="", "", Inventory!M885)</f>
        <v/>
      </c>
      <c r="AC877" s="298" t="str">
        <f>IF(B877="", "", 'Lighting Inventory (Ref only)'!T888)</f>
        <v/>
      </c>
      <c r="AD877" s="298" t="str">
        <f>IF(C877="", "", 'Lighting Inventory (Ref only)'!AA888)</f>
        <v/>
      </c>
      <c r="AE877" s="298" t="str">
        <f>IF(B877="", "", 'Lighting Inventory (Ref only)'!U888)</f>
        <v/>
      </c>
      <c r="AF877" s="298" t="str">
        <f>IF(B877="", "",'Lighting Inventory (Ref only)'!W888)</f>
        <v/>
      </c>
      <c r="AH877" s="298" t="str">
        <f>IF(B877="", "",'Lighting Inventory (Ref only)'!Z888)</f>
        <v/>
      </c>
      <c r="AI877" s="298" t="str">
        <f>IF(B877="", "", 'Lighting Inventory (Ref only)'!Y888)</f>
        <v/>
      </c>
      <c r="AJ877" s="298" t="str">
        <f>IF(C877="", "",'Lighting Inventory (Ref only)'!AB888)</f>
        <v/>
      </c>
      <c r="AK877" s="375" t="str">
        <f>IF(B877="", "", 'Lighting Inventory (Ref only)'!AG888)</f>
        <v/>
      </c>
      <c r="AL877" s="375" t="str">
        <f>IF(B877="", "", 'Lighting Inventory (Ref only)'!AD888)</f>
        <v/>
      </c>
      <c r="AM877" s="375" t="str">
        <f>IF(B877="", "", 'Lighting Inventory (Ref only)'!AE888)</f>
        <v/>
      </c>
      <c r="AN877" s="375" t="str">
        <f>IF(B877="", "", 'Lighting Inventory (Ref only)'!AF888)</f>
        <v/>
      </c>
      <c r="AO877" s="375" t="str">
        <f>IF(B877="", "", 'Lighting Inventory (Ref only)'!AG888)</f>
        <v/>
      </c>
    </row>
    <row r="878" spans="1:41">
      <c r="A878" s="298" t="str">
        <f>IF(G878="", "", Lookups!BF880)</f>
        <v/>
      </c>
      <c r="B878" s="298" t="str">
        <f>IF('Lighting Inventory (Ref only)'!Q889="", "", 'Lighting Inventory (Ref only)'!Q889)</f>
        <v/>
      </c>
      <c r="C878" s="298" t="str">
        <f>IF(A878="", "", 'Lighting Inventory (Ref only)'!AO889)</f>
        <v/>
      </c>
      <c r="D878" s="298" t="str">
        <f>IF(B878= "","", Inventory!S886)</f>
        <v/>
      </c>
      <c r="F878" s="298" t="str">
        <f>IF(B878="", "", 'Version Log'!$B$34)</f>
        <v/>
      </c>
      <c r="G878" s="298" t="str">
        <f t="shared" si="52"/>
        <v/>
      </c>
      <c r="H878" s="298" t="str">
        <f t="shared" si="53"/>
        <v/>
      </c>
      <c r="I878" s="298" t="str">
        <f>IF(B878="", "",Inventory!D886)</f>
        <v/>
      </c>
      <c r="J878" s="298" t="str">
        <f>IF(B878="","",IF(Inventory!C886="N","Interior","Exterior"))</f>
        <v/>
      </c>
      <c r="K878" s="298" t="str">
        <f t="shared" si="54"/>
        <v/>
      </c>
      <c r="L878" s="298" t="str">
        <f>IF(B878="", "", Inventory!E886)</f>
        <v/>
      </c>
      <c r="M878" s="298" t="str">
        <f>IF(B878="","",IF(Cool_Type=Lookups!$L$9,Cool_Type,IF(Cool_Type=Lookups!$L$10,Cool_Type,IF(Cool_Type=Lookups!$L$11,Cool_Type,IF(Cool_Type=Lookups!L888,Cool_Type,IF('Project Info and Summary'!$C$20="Electric",CONCATENATE(Cool_Type," ",Heating_Type," Heat"),IF('Project Info and Summary'!$C$20="Non-Electric",CONCATENATE(Cool_Type," ",Heating_Type," Heat"),CONCATENATE(Cool_Type," ",Heating_Type))))))))</f>
        <v/>
      </c>
      <c r="N878" s="298" t="str">
        <f t="shared" si="55"/>
        <v/>
      </c>
      <c r="O878" s="298" t="str">
        <f>IF(B878="", "", 'Lighting Inventory (Ref only)'!G889)</f>
        <v/>
      </c>
      <c r="P878" s="298" t="str">
        <f>IF(B878="", "", 'Lighting Inventory (Ref only)'!E889)</f>
        <v/>
      </c>
      <c r="Q878" s="298" t="str">
        <f>IF(B878="", "", 'Lighting Inventory (Ref only)'!J889)</f>
        <v/>
      </c>
      <c r="R878" s="298" t="str">
        <f>IF(B878="", "",'Lighting Inventory (Ref only)'!K889)</f>
        <v/>
      </c>
      <c r="S878" s="372" t="str">
        <f>IF(B878="", "", 'Lighting Inventory (Ref only)'!G889*'Lighting Inventory (Ref only)'!K889/1000)</f>
        <v/>
      </c>
      <c r="T878" s="298" t="str">
        <f>IF(B878="", "", IF('Lighting Inventory (Ref only)'!I889="", "Light Switch",Inventory!H886))</f>
        <v/>
      </c>
      <c r="X878" s="298" t="str">
        <f>IF(B878="", "", 'Lighting Inventory (Ref only)'!Q889)</f>
        <v/>
      </c>
      <c r="AA878" s="298" t="str">
        <f>IF(B878="", "",'Lighting Inventory (Ref only)'!R889/1000)</f>
        <v/>
      </c>
      <c r="AB878" s="298" t="str">
        <f>IF(B878="", "", Inventory!M886)</f>
        <v/>
      </c>
      <c r="AC878" s="298" t="str">
        <f>IF(B878="", "", 'Lighting Inventory (Ref only)'!T889)</f>
        <v/>
      </c>
      <c r="AD878" s="298" t="str">
        <f>IF(C878="", "", 'Lighting Inventory (Ref only)'!AA889)</f>
        <v/>
      </c>
      <c r="AE878" s="298" t="str">
        <f>IF(B878="", "", 'Lighting Inventory (Ref only)'!U889)</f>
        <v/>
      </c>
      <c r="AF878" s="298" t="str">
        <f>IF(B878="", "",'Lighting Inventory (Ref only)'!W889)</f>
        <v/>
      </c>
      <c r="AH878" s="298" t="str">
        <f>IF(B878="", "",'Lighting Inventory (Ref only)'!Z889)</f>
        <v/>
      </c>
      <c r="AI878" s="298" t="str">
        <f>IF(B878="", "", 'Lighting Inventory (Ref only)'!Y889)</f>
        <v/>
      </c>
      <c r="AJ878" s="298" t="str">
        <f>IF(C878="", "",'Lighting Inventory (Ref only)'!AB889)</f>
        <v/>
      </c>
      <c r="AK878" s="375" t="str">
        <f>IF(B878="", "", 'Lighting Inventory (Ref only)'!AG889)</f>
        <v/>
      </c>
      <c r="AL878" s="375" t="str">
        <f>IF(B878="", "", 'Lighting Inventory (Ref only)'!AD889)</f>
        <v/>
      </c>
      <c r="AM878" s="375" t="str">
        <f>IF(B878="", "", 'Lighting Inventory (Ref only)'!AE889)</f>
        <v/>
      </c>
      <c r="AN878" s="375" t="str">
        <f>IF(B878="", "", 'Lighting Inventory (Ref only)'!AF889)</f>
        <v/>
      </c>
      <c r="AO878" s="375" t="str">
        <f>IF(B878="", "", 'Lighting Inventory (Ref only)'!AG889)</f>
        <v/>
      </c>
    </row>
    <row r="879" spans="1:41">
      <c r="A879" s="298" t="str">
        <f>IF(G879="", "", Lookups!BF881)</f>
        <v/>
      </c>
      <c r="B879" s="298" t="str">
        <f>IF('Lighting Inventory (Ref only)'!Q890="", "", 'Lighting Inventory (Ref only)'!Q890)</f>
        <v/>
      </c>
      <c r="C879" s="298" t="str">
        <f>IF(A879="", "", 'Lighting Inventory (Ref only)'!AO890)</f>
        <v/>
      </c>
      <c r="D879" s="298" t="str">
        <f>IF(B879= "","", Inventory!S887)</f>
        <v/>
      </c>
      <c r="F879" s="298" t="str">
        <f>IF(B879="", "", 'Version Log'!$B$34)</f>
        <v/>
      </c>
      <c r="G879" s="298" t="str">
        <f t="shared" si="52"/>
        <v/>
      </c>
      <c r="H879" s="298" t="str">
        <f t="shared" si="53"/>
        <v/>
      </c>
      <c r="I879" s="298" t="str">
        <f>IF(B879="", "",Inventory!D887)</f>
        <v/>
      </c>
      <c r="J879" s="298" t="str">
        <f>IF(B879="","",IF(Inventory!C887="N","Interior","Exterior"))</f>
        <v/>
      </c>
      <c r="K879" s="298" t="str">
        <f t="shared" si="54"/>
        <v/>
      </c>
      <c r="L879" s="298" t="str">
        <f>IF(B879="", "", Inventory!E887)</f>
        <v/>
      </c>
      <c r="M879" s="298" t="str">
        <f>IF(B879="","",IF(Cool_Type=Lookups!$L$9,Cool_Type,IF(Cool_Type=Lookups!$L$10,Cool_Type,IF(Cool_Type=Lookups!$L$11,Cool_Type,IF(Cool_Type=Lookups!L889,Cool_Type,IF('Project Info and Summary'!$C$20="Electric",CONCATENATE(Cool_Type," ",Heating_Type," Heat"),IF('Project Info and Summary'!$C$20="Non-Electric",CONCATENATE(Cool_Type," ",Heating_Type," Heat"),CONCATENATE(Cool_Type," ",Heating_Type))))))))</f>
        <v/>
      </c>
      <c r="N879" s="298" t="str">
        <f t="shared" si="55"/>
        <v/>
      </c>
      <c r="O879" s="298" t="str">
        <f>IF(B879="", "", 'Lighting Inventory (Ref only)'!G890)</f>
        <v/>
      </c>
      <c r="P879" s="298" t="str">
        <f>IF(B879="", "", 'Lighting Inventory (Ref only)'!E890)</f>
        <v/>
      </c>
      <c r="Q879" s="298" t="str">
        <f>IF(B879="", "", 'Lighting Inventory (Ref only)'!J890)</f>
        <v/>
      </c>
      <c r="R879" s="298" t="str">
        <f>IF(B879="", "",'Lighting Inventory (Ref only)'!K890)</f>
        <v/>
      </c>
      <c r="S879" s="372" t="str">
        <f>IF(B879="", "", 'Lighting Inventory (Ref only)'!G890*'Lighting Inventory (Ref only)'!K890/1000)</f>
        <v/>
      </c>
      <c r="T879" s="298" t="str">
        <f>IF(B879="", "", IF('Lighting Inventory (Ref only)'!I890="", "Light Switch",Inventory!H887))</f>
        <v/>
      </c>
      <c r="X879" s="298" t="str">
        <f>IF(B879="", "", 'Lighting Inventory (Ref only)'!Q890)</f>
        <v/>
      </c>
      <c r="AA879" s="298" t="str">
        <f>IF(B879="", "",'Lighting Inventory (Ref only)'!R890/1000)</f>
        <v/>
      </c>
      <c r="AB879" s="298" t="str">
        <f>IF(B879="", "", Inventory!M887)</f>
        <v/>
      </c>
      <c r="AC879" s="298" t="str">
        <f>IF(B879="", "", 'Lighting Inventory (Ref only)'!T890)</f>
        <v/>
      </c>
      <c r="AD879" s="298" t="str">
        <f>IF(C879="", "", 'Lighting Inventory (Ref only)'!AA890)</f>
        <v/>
      </c>
      <c r="AE879" s="298" t="str">
        <f>IF(B879="", "", 'Lighting Inventory (Ref only)'!U890)</f>
        <v/>
      </c>
      <c r="AF879" s="298" t="str">
        <f>IF(B879="", "",'Lighting Inventory (Ref only)'!W890)</f>
        <v/>
      </c>
      <c r="AH879" s="298" t="str">
        <f>IF(B879="", "",'Lighting Inventory (Ref only)'!Z890)</f>
        <v/>
      </c>
      <c r="AI879" s="298" t="str">
        <f>IF(B879="", "", 'Lighting Inventory (Ref only)'!Y890)</f>
        <v/>
      </c>
      <c r="AJ879" s="298" t="str">
        <f>IF(C879="", "",'Lighting Inventory (Ref only)'!AB890)</f>
        <v/>
      </c>
      <c r="AK879" s="375" t="str">
        <f>IF(B879="", "", 'Lighting Inventory (Ref only)'!AG890)</f>
        <v/>
      </c>
      <c r="AL879" s="375" t="str">
        <f>IF(B879="", "", 'Lighting Inventory (Ref only)'!AD890)</f>
        <v/>
      </c>
      <c r="AM879" s="375" t="str">
        <f>IF(B879="", "", 'Lighting Inventory (Ref only)'!AE890)</f>
        <v/>
      </c>
      <c r="AN879" s="375" t="str">
        <f>IF(B879="", "", 'Lighting Inventory (Ref only)'!AF890)</f>
        <v/>
      </c>
      <c r="AO879" s="375" t="str">
        <f>IF(B879="", "", 'Lighting Inventory (Ref only)'!AG890)</f>
        <v/>
      </c>
    </row>
    <row r="880" spans="1:41">
      <c r="A880" s="298" t="str">
        <f>IF(G880="", "", Lookups!BF882)</f>
        <v/>
      </c>
      <c r="B880" s="298" t="str">
        <f>IF('Lighting Inventory (Ref only)'!Q891="", "", 'Lighting Inventory (Ref only)'!Q891)</f>
        <v/>
      </c>
      <c r="C880" s="298" t="str">
        <f>IF(A880="", "", 'Lighting Inventory (Ref only)'!AO891)</f>
        <v/>
      </c>
      <c r="D880" s="298" t="str">
        <f>IF(B880= "","", Inventory!S888)</f>
        <v/>
      </c>
      <c r="F880" s="298" t="str">
        <f>IF(B880="", "", 'Version Log'!$B$34)</f>
        <v/>
      </c>
      <c r="G880" s="298" t="str">
        <f t="shared" si="52"/>
        <v/>
      </c>
      <c r="H880" s="298" t="str">
        <f t="shared" si="53"/>
        <v/>
      </c>
      <c r="I880" s="298" t="str">
        <f>IF(B880="", "",Inventory!D888)</f>
        <v/>
      </c>
      <c r="J880" s="298" t="str">
        <f>IF(B880="","",IF(Inventory!C888="N","Interior","Exterior"))</f>
        <v/>
      </c>
      <c r="K880" s="298" t="str">
        <f t="shared" si="54"/>
        <v/>
      </c>
      <c r="L880" s="298" t="str">
        <f>IF(B880="", "", Inventory!E888)</f>
        <v/>
      </c>
      <c r="M880" s="298" t="str">
        <f>IF(B880="","",IF(Cool_Type=Lookups!$L$9,Cool_Type,IF(Cool_Type=Lookups!$L$10,Cool_Type,IF(Cool_Type=Lookups!$L$11,Cool_Type,IF(Cool_Type=Lookups!L890,Cool_Type,IF('Project Info and Summary'!$C$20="Electric",CONCATENATE(Cool_Type," ",Heating_Type," Heat"),IF('Project Info and Summary'!$C$20="Non-Electric",CONCATENATE(Cool_Type," ",Heating_Type," Heat"),CONCATENATE(Cool_Type," ",Heating_Type))))))))</f>
        <v/>
      </c>
      <c r="N880" s="298" t="str">
        <f t="shared" si="55"/>
        <v/>
      </c>
      <c r="O880" s="298" t="str">
        <f>IF(B880="", "", 'Lighting Inventory (Ref only)'!G891)</f>
        <v/>
      </c>
      <c r="P880" s="298" t="str">
        <f>IF(B880="", "", 'Lighting Inventory (Ref only)'!E891)</f>
        <v/>
      </c>
      <c r="Q880" s="298" t="str">
        <f>IF(B880="", "", 'Lighting Inventory (Ref only)'!J891)</f>
        <v/>
      </c>
      <c r="R880" s="298" t="str">
        <f>IF(B880="", "",'Lighting Inventory (Ref only)'!K891)</f>
        <v/>
      </c>
      <c r="S880" s="372" t="str">
        <f>IF(B880="", "", 'Lighting Inventory (Ref only)'!G891*'Lighting Inventory (Ref only)'!K891/1000)</f>
        <v/>
      </c>
      <c r="T880" s="298" t="str">
        <f>IF(B880="", "", IF('Lighting Inventory (Ref only)'!I891="", "Light Switch",Inventory!H888))</f>
        <v/>
      </c>
      <c r="X880" s="298" t="str">
        <f>IF(B880="", "", 'Lighting Inventory (Ref only)'!Q891)</f>
        <v/>
      </c>
      <c r="AA880" s="298" t="str">
        <f>IF(B880="", "",'Lighting Inventory (Ref only)'!R891/1000)</f>
        <v/>
      </c>
      <c r="AB880" s="298" t="str">
        <f>IF(B880="", "", Inventory!M888)</f>
        <v/>
      </c>
      <c r="AC880" s="298" t="str">
        <f>IF(B880="", "", 'Lighting Inventory (Ref only)'!T891)</f>
        <v/>
      </c>
      <c r="AD880" s="298" t="str">
        <f>IF(C880="", "", 'Lighting Inventory (Ref only)'!AA891)</f>
        <v/>
      </c>
      <c r="AE880" s="298" t="str">
        <f>IF(B880="", "", 'Lighting Inventory (Ref only)'!U891)</f>
        <v/>
      </c>
      <c r="AF880" s="298" t="str">
        <f>IF(B880="", "",'Lighting Inventory (Ref only)'!W891)</f>
        <v/>
      </c>
      <c r="AH880" s="298" t="str">
        <f>IF(B880="", "",'Lighting Inventory (Ref only)'!Z891)</f>
        <v/>
      </c>
      <c r="AI880" s="298" t="str">
        <f>IF(B880="", "", 'Lighting Inventory (Ref only)'!Y891)</f>
        <v/>
      </c>
      <c r="AJ880" s="298" t="str">
        <f>IF(C880="", "",'Lighting Inventory (Ref only)'!AB891)</f>
        <v/>
      </c>
      <c r="AK880" s="375" t="str">
        <f>IF(B880="", "", 'Lighting Inventory (Ref only)'!AG891)</f>
        <v/>
      </c>
      <c r="AL880" s="375" t="str">
        <f>IF(B880="", "", 'Lighting Inventory (Ref only)'!AD891)</f>
        <v/>
      </c>
      <c r="AM880" s="375" t="str">
        <f>IF(B880="", "", 'Lighting Inventory (Ref only)'!AE891)</f>
        <v/>
      </c>
      <c r="AN880" s="375" t="str">
        <f>IF(B880="", "", 'Lighting Inventory (Ref only)'!AF891)</f>
        <v/>
      </c>
      <c r="AO880" s="375" t="str">
        <f>IF(B880="", "", 'Lighting Inventory (Ref only)'!AG891)</f>
        <v/>
      </c>
    </row>
    <row r="881" spans="1:41">
      <c r="A881" s="298" t="str">
        <f>IF(G881="", "", Lookups!BF883)</f>
        <v/>
      </c>
      <c r="B881" s="298" t="str">
        <f>IF('Lighting Inventory (Ref only)'!Q892="", "", 'Lighting Inventory (Ref only)'!Q892)</f>
        <v/>
      </c>
      <c r="C881" s="298" t="str">
        <f>IF(A881="", "", 'Lighting Inventory (Ref only)'!AO892)</f>
        <v/>
      </c>
      <c r="D881" s="298" t="str">
        <f>IF(B881= "","", Inventory!S889)</f>
        <v/>
      </c>
      <c r="F881" s="298" t="str">
        <f>IF(B881="", "", 'Version Log'!$B$34)</f>
        <v/>
      </c>
      <c r="G881" s="298" t="str">
        <f t="shared" si="52"/>
        <v/>
      </c>
      <c r="H881" s="298" t="str">
        <f t="shared" si="53"/>
        <v/>
      </c>
      <c r="I881" s="298" t="str">
        <f>IF(B881="", "",Inventory!D889)</f>
        <v/>
      </c>
      <c r="J881" s="298" t="str">
        <f>IF(B881="","",IF(Inventory!C889="N","Interior","Exterior"))</f>
        <v/>
      </c>
      <c r="K881" s="298" t="str">
        <f t="shared" si="54"/>
        <v/>
      </c>
      <c r="L881" s="298" t="str">
        <f>IF(B881="", "", Inventory!E889)</f>
        <v/>
      </c>
      <c r="M881" s="298" t="str">
        <f>IF(B881="","",IF(Cool_Type=Lookups!$L$9,Cool_Type,IF(Cool_Type=Lookups!$L$10,Cool_Type,IF(Cool_Type=Lookups!$L$11,Cool_Type,IF(Cool_Type=Lookups!L891,Cool_Type,IF('Project Info and Summary'!$C$20="Electric",CONCATENATE(Cool_Type," ",Heating_Type," Heat"),IF('Project Info and Summary'!$C$20="Non-Electric",CONCATENATE(Cool_Type," ",Heating_Type," Heat"),CONCATENATE(Cool_Type," ",Heating_Type))))))))</f>
        <v/>
      </c>
      <c r="N881" s="298" t="str">
        <f t="shared" si="55"/>
        <v/>
      </c>
      <c r="O881" s="298" t="str">
        <f>IF(B881="", "", 'Lighting Inventory (Ref only)'!G892)</f>
        <v/>
      </c>
      <c r="P881" s="298" t="str">
        <f>IF(B881="", "", 'Lighting Inventory (Ref only)'!E892)</f>
        <v/>
      </c>
      <c r="Q881" s="298" t="str">
        <f>IF(B881="", "", 'Lighting Inventory (Ref only)'!J892)</f>
        <v/>
      </c>
      <c r="R881" s="298" t="str">
        <f>IF(B881="", "",'Lighting Inventory (Ref only)'!K892)</f>
        <v/>
      </c>
      <c r="S881" s="372" t="str">
        <f>IF(B881="", "", 'Lighting Inventory (Ref only)'!G892*'Lighting Inventory (Ref only)'!K892/1000)</f>
        <v/>
      </c>
      <c r="T881" s="298" t="str">
        <f>IF(B881="", "", IF('Lighting Inventory (Ref only)'!I892="", "Light Switch",Inventory!H889))</f>
        <v/>
      </c>
      <c r="X881" s="298" t="str">
        <f>IF(B881="", "", 'Lighting Inventory (Ref only)'!Q892)</f>
        <v/>
      </c>
      <c r="AA881" s="298" t="str">
        <f>IF(B881="", "",'Lighting Inventory (Ref only)'!R892/1000)</f>
        <v/>
      </c>
      <c r="AB881" s="298" t="str">
        <f>IF(B881="", "", Inventory!M889)</f>
        <v/>
      </c>
      <c r="AC881" s="298" t="str">
        <f>IF(B881="", "", 'Lighting Inventory (Ref only)'!T892)</f>
        <v/>
      </c>
      <c r="AD881" s="298" t="str">
        <f>IF(C881="", "", 'Lighting Inventory (Ref only)'!AA892)</f>
        <v/>
      </c>
      <c r="AE881" s="298" t="str">
        <f>IF(B881="", "", 'Lighting Inventory (Ref only)'!U892)</f>
        <v/>
      </c>
      <c r="AF881" s="298" t="str">
        <f>IF(B881="", "",'Lighting Inventory (Ref only)'!W892)</f>
        <v/>
      </c>
      <c r="AH881" s="298" t="str">
        <f>IF(B881="", "",'Lighting Inventory (Ref only)'!Z892)</f>
        <v/>
      </c>
      <c r="AI881" s="298" t="str">
        <f>IF(B881="", "", 'Lighting Inventory (Ref only)'!Y892)</f>
        <v/>
      </c>
      <c r="AJ881" s="298" t="str">
        <f>IF(C881="", "",'Lighting Inventory (Ref only)'!AB892)</f>
        <v/>
      </c>
      <c r="AK881" s="375" t="str">
        <f>IF(B881="", "", 'Lighting Inventory (Ref only)'!AG892)</f>
        <v/>
      </c>
      <c r="AL881" s="375" t="str">
        <f>IF(B881="", "", 'Lighting Inventory (Ref only)'!AD892)</f>
        <v/>
      </c>
      <c r="AM881" s="375" t="str">
        <f>IF(B881="", "", 'Lighting Inventory (Ref only)'!AE892)</f>
        <v/>
      </c>
      <c r="AN881" s="375" t="str">
        <f>IF(B881="", "", 'Lighting Inventory (Ref only)'!AF892)</f>
        <v/>
      </c>
      <c r="AO881" s="375" t="str">
        <f>IF(B881="", "", 'Lighting Inventory (Ref only)'!AG892)</f>
        <v/>
      </c>
    </row>
    <row r="882" spans="1:41">
      <c r="A882" s="298" t="str">
        <f>IF(G882="", "", Lookups!BF884)</f>
        <v/>
      </c>
      <c r="B882" s="298" t="str">
        <f>IF('Lighting Inventory (Ref only)'!Q893="", "", 'Lighting Inventory (Ref only)'!Q893)</f>
        <v/>
      </c>
      <c r="C882" s="298" t="str">
        <f>IF(A882="", "", 'Lighting Inventory (Ref only)'!AO893)</f>
        <v/>
      </c>
      <c r="D882" s="298" t="str">
        <f>IF(B882= "","", Inventory!S890)</f>
        <v/>
      </c>
      <c r="F882" s="298" t="str">
        <f>IF(B882="", "", 'Version Log'!$B$34)</f>
        <v/>
      </c>
      <c r="G882" s="298" t="str">
        <f t="shared" si="52"/>
        <v/>
      </c>
      <c r="H882" s="298" t="str">
        <f t="shared" si="53"/>
        <v/>
      </c>
      <c r="I882" s="298" t="str">
        <f>IF(B882="", "",Inventory!D890)</f>
        <v/>
      </c>
      <c r="J882" s="298" t="str">
        <f>IF(B882="","",IF(Inventory!C890="N","Interior","Exterior"))</f>
        <v/>
      </c>
      <c r="K882" s="298" t="str">
        <f t="shared" si="54"/>
        <v/>
      </c>
      <c r="L882" s="298" t="str">
        <f>IF(B882="", "", Inventory!E890)</f>
        <v/>
      </c>
      <c r="M882" s="298" t="str">
        <f>IF(B882="","",IF(Cool_Type=Lookups!$L$9,Cool_Type,IF(Cool_Type=Lookups!$L$10,Cool_Type,IF(Cool_Type=Lookups!$L$11,Cool_Type,IF(Cool_Type=Lookups!L892,Cool_Type,IF('Project Info and Summary'!$C$20="Electric",CONCATENATE(Cool_Type," ",Heating_Type," Heat"),IF('Project Info and Summary'!$C$20="Non-Electric",CONCATENATE(Cool_Type," ",Heating_Type," Heat"),CONCATENATE(Cool_Type," ",Heating_Type))))))))</f>
        <v/>
      </c>
      <c r="N882" s="298" t="str">
        <f t="shared" si="55"/>
        <v/>
      </c>
      <c r="O882" s="298" t="str">
        <f>IF(B882="", "", 'Lighting Inventory (Ref only)'!G893)</f>
        <v/>
      </c>
      <c r="P882" s="298" t="str">
        <f>IF(B882="", "", 'Lighting Inventory (Ref only)'!E893)</f>
        <v/>
      </c>
      <c r="Q882" s="298" t="str">
        <f>IF(B882="", "", 'Lighting Inventory (Ref only)'!J893)</f>
        <v/>
      </c>
      <c r="R882" s="298" t="str">
        <f>IF(B882="", "",'Lighting Inventory (Ref only)'!K893)</f>
        <v/>
      </c>
      <c r="S882" s="372" t="str">
        <f>IF(B882="", "", 'Lighting Inventory (Ref only)'!G893*'Lighting Inventory (Ref only)'!K893/1000)</f>
        <v/>
      </c>
      <c r="T882" s="298" t="str">
        <f>IF(B882="", "", IF('Lighting Inventory (Ref only)'!I893="", "Light Switch",Inventory!H890))</f>
        <v/>
      </c>
      <c r="X882" s="298" t="str">
        <f>IF(B882="", "", 'Lighting Inventory (Ref only)'!Q893)</f>
        <v/>
      </c>
      <c r="AA882" s="298" t="str">
        <f>IF(B882="", "",'Lighting Inventory (Ref only)'!R893/1000)</f>
        <v/>
      </c>
      <c r="AB882" s="298" t="str">
        <f>IF(B882="", "", Inventory!M890)</f>
        <v/>
      </c>
      <c r="AC882" s="298" t="str">
        <f>IF(B882="", "", 'Lighting Inventory (Ref only)'!T893)</f>
        <v/>
      </c>
      <c r="AD882" s="298" t="str">
        <f>IF(C882="", "", 'Lighting Inventory (Ref only)'!AA893)</f>
        <v/>
      </c>
      <c r="AE882" s="298" t="str">
        <f>IF(B882="", "", 'Lighting Inventory (Ref only)'!U893)</f>
        <v/>
      </c>
      <c r="AF882" s="298" t="str">
        <f>IF(B882="", "",'Lighting Inventory (Ref only)'!W893)</f>
        <v/>
      </c>
      <c r="AH882" s="298" t="str">
        <f>IF(B882="", "",'Lighting Inventory (Ref only)'!Z893)</f>
        <v/>
      </c>
      <c r="AI882" s="298" t="str">
        <f>IF(B882="", "", 'Lighting Inventory (Ref only)'!Y893)</f>
        <v/>
      </c>
      <c r="AJ882" s="298" t="str">
        <f>IF(C882="", "",'Lighting Inventory (Ref only)'!AB893)</f>
        <v/>
      </c>
      <c r="AK882" s="375" t="str">
        <f>IF(B882="", "", 'Lighting Inventory (Ref only)'!AG893)</f>
        <v/>
      </c>
      <c r="AL882" s="375" t="str">
        <f>IF(B882="", "", 'Lighting Inventory (Ref only)'!AD893)</f>
        <v/>
      </c>
      <c r="AM882" s="375" t="str">
        <f>IF(B882="", "", 'Lighting Inventory (Ref only)'!AE893)</f>
        <v/>
      </c>
      <c r="AN882" s="375" t="str">
        <f>IF(B882="", "", 'Lighting Inventory (Ref only)'!AF893)</f>
        <v/>
      </c>
      <c r="AO882" s="375" t="str">
        <f>IF(B882="", "", 'Lighting Inventory (Ref only)'!AG893)</f>
        <v/>
      </c>
    </row>
    <row r="883" spans="1:41">
      <c r="A883" s="298" t="str">
        <f>IF(G883="", "", Lookups!BF885)</f>
        <v/>
      </c>
      <c r="B883" s="298" t="str">
        <f>IF('Lighting Inventory (Ref only)'!Q894="", "", 'Lighting Inventory (Ref only)'!Q894)</f>
        <v/>
      </c>
      <c r="C883" s="298" t="str">
        <f>IF(A883="", "", 'Lighting Inventory (Ref only)'!AO894)</f>
        <v/>
      </c>
      <c r="D883" s="298" t="str">
        <f>IF(B883= "","", Inventory!S891)</f>
        <v/>
      </c>
      <c r="F883" s="298" t="str">
        <f>IF(B883="", "", 'Version Log'!$B$34)</f>
        <v/>
      </c>
      <c r="G883" s="298" t="str">
        <f t="shared" si="52"/>
        <v/>
      </c>
      <c r="H883" s="298" t="str">
        <f t="shared" si="53"/>
        <v/>
      </c>
      <c r="I883" s="298" t="str">
        <f>IF(B883="", "",Inventory!D891)</f>
        <v/>
      </c>
      <c r="J883" s="298" t="str">
        <f>IF(B883="","",IF(Inventory!C891="N","Interior","Exterior"))</f>
        <v/>
      </c>
      <c r="K883" s="298" t="str">
        <f t="shared" si="54"/>
        <v/>
      </c>
      <c r="L883" s="298" t="str">
        <f>IF(B883="", "", Inventory!E891)</f>
        <v/>
      </c>
      <c r="M883" s="298" t="str">
        <f>IF(B883="","",IF(Cool_Type=Lookups!$L$9,Cool_Type,IF(Cool_Type=Lookups!$L$10,Cool_Type,IF(Cool_Type=Lookups!$L$11,Cool_Type,IF(Cool_Type=Lookups!L893,Cool_Type,IF('Project Info and Summary'!$C$20="Electric",CONCATENATE(Cool_Type," ",Heating_Type," Heat"),IF('Project Info and Summary'!$C$20="Non-Electric",CONCATENATE(Cool_Type," ",Heating_Type," Heat"),CONCATENATE(Cool_Type," ",Heating_Type))))))))</f>
        <v/>
      </c>
      <c r="N883" s="298" t="str">
        <f t="shared" si="55"/>
        <v/>
      </c>
      <c r="O883" s="298" t="str">
        <f>IF(B883="", "", 'Lighting Inventory (Ref only)'!G894)</f>
        <v/>
      </c>
      <c r="P883" s="298" t="str">
        <f>IF(B883="", "", 'Lighting Inventory (Ref only)'!E894)</f>
        <v/>
      </c>
      <c r="Q883" s="298" t="str">
        <f>IF(B883="", "", 'Lighting Inventory (Ref only)'!J894)</f>
        <v/>
      </c>
      <c r="R883" s="298" t="str">
        <f>IF(B883="", "",'Lighting Inventory (Ref only)'!K894)</f>
        <v/>
      </c>
      <c r="S883" s="372" t="str">
        <f>IF(B883="", "", 'Lighting Inventory (Ref only)'!G894*'Lighting Inventory (Ref only)'!K894/1000)</f>
        <v/>
      </c>
      <c r="T883" s="298" t="str">
        <f>IF(B883="", "", IF('Lighting Inventory (Ref only)'!I894="", "Light Switch",Inventory!H891))</f>
        <v/>
      </c>
      <c r="X883" s="298" t="str">
        <f>IF(B883="", "", 'Lighting Inventory (Ref only)'!Q894)</f>
        <v/>
      </c>
      <c r="AA883" s="298" t="str">
        <f>IF(B883="", "",'Lighting Inventory (Ref only)'!R894/1000)</f>
        <v/>
      </c>
      <c r="AB883" s="298" t="str">
        <f>IF(B883="", "", Inventory!M891)</f>
        <v/>
      </c>
      <c r="AC883" s="298" t="str">
        <f>IF(B883="", "", 'Lighting Inventory (Ref only)'!T894)</f>
        <v/>
      </c>
      <c r="AD883" s="298" t="str">
        <f>IF(C883="", "", 'Lighting Inventory (Ref only)'!AA894)</f>
        <v/>
      </c>
      <c r="AE883" s="298" t="str">
        <f>IF(B883="", "", 'Lighting Inventory (Ref only)'!U894)</f>
        <v/>
      </c>
      <c r="AF883" s="298" t="str">
        <f>IF(B883="", "",'Lighting Inventory (Ref only)'!W894)</f>
        <v/>
      </c>
      <c r="AH883" s="298" t="str">
        <f>IF(B883="", "",'Lighting Inventory (Ref only)'!Z894)</f>
        <v/>
      </c>
      <c r="AI883" s="298" t="str">
        <f>IF(B883="", "", 'Lighting Inventory (Ref only)'!Y894)</f>
        <v/>
      </c>
      <c r="AJ883" s="298" t="str">
        <f>IF(C883="", "",'Lighting Inventory (Ref only)'!AB894)</f>
        <v/>
      </c>
      <c r="AK883" s="375" t="str">
        <f>IF(B883="", "", 'Lighting Inventory (Ref only)'!AG894)</f>
        <v/>
      </c>
      <c r="AL883" s="375" t="str">
        <f>IF(B883="", "", 'Lighting Inventory (Ref only)'!AD894)</f>
        <v/>
      </c>
      <c r="AM883" s="375" t="str">
        <f>IF(B883="", "", 'Lighting Inventory (Ref only)'!AE894)</f>
        <v/>
      </c>
      <c r="AN883" s="375" t="str">
        <f>IF(B883="", "", 'Lighting Inventory (Ref only)'!AF894)</f>
        <v/>
      </c>
      <c r="AO883" s="375" t="str">
        <f>IF(B883="", "", 'Lighting Inventory (Ref only)'!AG894)</f>
        <v/>
      </c>
    </row>
    <row r="884" spans="1:41">
      <c r="A884" s="298" t="str">
        <f>IF(G884="", "", Lookups!BF886)</f>
        <v/>
      </c>
      <c r="B884" s="298" t="str">
        <f>IF('Lighting Inventory (Ref only)'!Q895="", "", 'Lighting Inventory (Ref only)'!Q895)</f>
        <v/>
      </c>
      <c r="C884" s="298" t="str">
        <f>IF(A884="", "", 'Lighting Inventory (Ref only)'!AO895)</f>
        <v/>
      </c>
      <c r="D884" s="298" t="str">
        <f>IF(B884= "","", Inventory!S892)</f>
        <v/>
      </c>
      <c r="F884" s="298" t="str">
        <f>IF(B884="", "", 'Version Log'!$B$34)</f>
        <v/>
      </c>
      <c r="G884" s="298" t="str">
        <f t="shared" si="52"/>
        <v/>
      </c>
      <c r="H884" s="298" t="str">
        <f t="shared" si="53"/>
        <v/>
      </c>
      <c r="I884" s="298" t="str">
        <f>IF(B884="", "",Inventory!D892)</f>
        <v/>
      </c>
      <c r="J884" s="298" t="str">
        <f>IF(B884="","",IF(Inventory!C892="N","Interior","Exterior"))</f>
        <v/>
      </c>
      <c r="K884" s="298" t="str">
        <f t="shared" si="54"/>
        <v/>
      </c>
      <c r="L884" s="298" t="str">
        <f>IF(B884="", "", Inventory!E892)</f>
        <v/>
      </c>
      <c r="M884" s="298" t="str">
        <f>IF(B884="","",IF(Cool_Type=Lookups!$L$9,Cool_Type,IF(Cool_Type=Lookups!$L$10,Cool_Type,IF(Cool_Type=Lookups!$L$11,Cool_Type,IF(Cool_Type=Lookups!L894,Cool_Type,IF('Project Info and Summary'!$C$20="Electric",CONCATENATE(Cool_Type," ",Heating_Type," Heat"),IF('Project Info and Summary'!$C$20="Non-Electric",CONCATENATE(Cool_Type," ",Heating_Type," Heat"),CONCATENATE(Cool_Type," ",Heating_Type))))))))</f>
        <v/>
      </c>
      <c r="N884" s="298" t="str">
        <f t="shared" si="55"/>
        <v/>
      </c>
      <c r="O884" s="298" t="str">
        <f>IF(B884="", "", 'Lighting Inventory (Ref only)'!G895)</f>
        <v/>
      </c>
      <c r="P884" s="298" t="str">
        <f>IF(B884="", "", 'Lighting Inventory (Ref only)'!E895)</f>
        <v/>
      </c>
      <c r="Q884" s="298" t="str">
        <f>IF(B884="", "", 'Lighting Inventory (Ref only)'!J895)</f>
        <v/>
      </c>
      <c r="R884" s="298" t="str">
        <f>IF(B884="", "",'Lighting Inventory (Ref only)'!K895)</f>
        <v/>
      </c>
      <c r="S884" s="372" t="str">
        <f>IF(B884="", "", 'Lighting Inventory (Ref only)'!G895*'Lighting Inventory (Ref only)'!K895/1000)</f>
        <v/>
      </c>
      <c r="T884" s="298" t="str">
        <f>IF(B884="", "", IF('Lighting Inventory (Ref only)'!I895="", "Light Switch",Inventory!H892))</f>
        <v/>
      </c>
      <c r="X884" s="298" t="str">
        <f>IF(B884="", "", 'Lighting Inventory (Ref only)'!Q895)</f>
        <v/>
      </c>
      <c r="AA884" s="298" t="str">
        <f>IF(B884="", "",'Lighting Inventory (Ref only)'!R895/1000)</f>
        <v/>
      </c>
      <c r="AB884" s="298" t="str">
        <f>IF(B884="", "", Inventory!M892)</f>
        <v/>
      </c>
      <c r="AC884" s="298" t="str">
        <f>IF(B884="", "", 'Lighting Inventory (Ref only)'!T895)</f>
        <v/>
      </c>
      <c r="AD884" s="298" t="str">
        <f>IF(C884="", "", 'Lighting Inventory (Ref only)'!AA895)</f>
        <v/>
      </c>
      <c r="AE884" s="298" t="str">
        <f>IF(B884="", "", 'Lighting Inventory (Ref only)'!U895)</f>
        <v/>
      </c>
      <c r="AF884" s="298" t="str">
        <f>IF(B884="", "",'Lighting Inventory (Ref only)'!W895)</f>
        <v/>
      </c>
      <c r="AH884" s="298" t="str">
        <f>IF(B884="", "",'Lighting Inventory (Ref only)'!Z895)</f>
        <v/>
      </c>
      <c r="AI884" s="298" t="str">
        <f>IF(B884="", "", 'Lighting Inventory (Ref only)'!Y895)</f>
        <v/>
      </c>
      <c r="AJ884" s="298" t="str">
        <f>IF(C884="", "",'Lighting Inventory (Ref only)'!AB895)</f>
        <v/>
      </c>
      <c r="AK884" s="375" t="str">
        <f>IF(B884="", "", 'Lighting Inventory (Ref only)'!AG895)</f>
        <v/>
      </c>
      <c r="AL884" s="375" t="str">
        <f>IF(B884="", "", 'Lighting Inventory (Ref only)'!AD895)</f>
        <v/>
      </c>
      <c r="AM884" s="375" t="str">
        <f>IF(B884="", "", 'Lighting Inventory (Ref only)'!AE895)</f>
        <v/>
      </c>
      <c r="AN884" s="375" t="str">
        <f>IF(B884="", "", 'Lighting Inventory (Ref only)'!AF895)</f>
        <v/>
      </c>
      <c r="AO884" s="375" t="str">
        <f>IF(B884="", "", 'Lighting Inventory (Ref only)'!AG895)</f>
        <v/>
      </c>
    </row>
    <row r="885" spans="1:41">
      <c r="A885" s="298" t="str">
        <f>IF(G885="", "", Lookups!BF887)</f>
        <v/>
      </c>
      <c r="B885" s="298" t="str">
        <f>IF('Lighting Inventory (Ref only)'!Q896="", "", 'Lighting Inventory (Ref only)'!Q896)</f>
        <v/>
      </c>
      <c r="C885" s="298" t="str">
        <f>IF(A885="", "", 'Lighting Inventory (Ref only)'!AO896)</f>
        <v/>
      </c>
      <c r="D885" s="298" t="str">
        <f>IF(B885= "","", Inventory!S893)</f>
        <v/>
      </c>
      <c r="F885" s="298" t="str">
        <f>IF(B885="", "", 'Version Log'!$B$34)</f>
        <v/>
      </c>
      <c r="G885" s="298" t="str">
        <f t="shared" si="52"/>
        <v/>
      </c>
      <c r="H885" s="298" t="str">
        <f t="shared" si="53"/>
        <v/>
      </c>
      <c r="I885" s="298" t="str">
        <f>IF(B885="", "",Inventory!D893)</f>
        <v/>
      </c>
      <c r="J885" s="298" t="str">
        <f>IF(B885="","",IF(Inventory!C893="N","Interior","Exterior"))</f>
        <v/>
      </c>
      <c r="K885" s="298" t="str">
        <f t="shared" si="54"/>
        <v/>
      </c>
      <c r="L885" s="298" t="str">
        <f>IF(B885="", "", Inventory!E893)</f>
        <v/>
      </c>
      <c r="M885" s="298" t="str">
        <f>IF(B885="","",IF(Cool_Type=Lookups!$L$9,Cool_Type,IF(Cool_Type=Lookups!$L$10,Cool_Type,IF(Cool_Type=Lookups!$L$11,Cool_Type,IF(Cool_Type=Lookups!L895,Cool_Type,IF('Project Info and Summary'!$C$20="Electric",CONCATENATE(Cool_Type," ",Heating_Type," Heat"),IF('Project Info and Summary'!$C$20="Non-Electric",CONCATENATE(Cool_Type," ",Heating_Type," Heat"),CONCATENATE(Cool_Type," ",Heating_Type))))))))</f>
        <v/>
      </c>
      <c r="N885" s="298" t="str">
        <f t="shared" si="55"/>
        <v/>
      </c>
      <c r="O885" s="298" t="str">
        <f>IF(B885="", "", 'Lighting Inventory (Ref only)'!G896)</f>
        <v/>
      </c>
      <c r="P885" s="298" t="str">
        <f>IF(B885="", "", 'Lighting Inventory (Ref only)'!E896)</f>
        <v/>
      </c>
      <c r="Q885" s="298" t="str">
        <f>IF(B885="", "", 'Lighting Inventory (Ref only)'!J896)</f>
        <v/>
      </c>
      <c r="R885" s="298" t="str">
        <f>IF(B885="", "",'Lighting Inventory (Ref only)'!K896)</f>
        <v/>
      </c>
      <c r="S885" s="372" t="str">
        <f>IF(B885="", "", 'Lighting Inventory (Ref only)'!G896*'Lighting Inventory (Ref only)'!K896/1000)</f>
        <v/>
      </c>
      <c r="T885" s="298" t="str">
        <f>IF(B885="", "", IF('Lighting Inventory (Ref only)'!I896="", "Light Switch",Inventory!H893))</f>
        <v/>
      </c>
      <c r="X885" s="298" t="str">
        <f>IF(B885="", "", 'Lighting Inventory (Ref only)'!Q896)</f>
        <v/>
      </c>
      <c r="AA885" s="298" t="str">
        <f>IF(B885="", "",'Lighting Inventory (Ref only)'!R896/1000)</f>
        <v/>
      </c>
      <c r="AB885" s="298" t="str">
        <f>IF(B885="", "", Inventory!M893)</f>
        <v/>
      </c>
      <c r="AC885" s="298" t="str">
        <f>IF(B885="", "", 'Lighting Inventory (Ref only)'!T896)</f>
        <v/>
      </c>
      <c r="AD885" s="298" t="str">
        <f>IF(C885="", "", 'Lighting Inventory (Ref only)'!AA896)</f>
        <v/>
      </c>
      <c r="AE885" s="298" t="str">
        <f>IF(B885="", "", 'Lighting Inventory (Ref only)'!U896)</f>
        <v/>
      </c>
      <c r="AF885" s="298" t="str">
        <f>IF(B885="", "",'Lighting Inventory (Ref only)'!W896)</f>
        <v/>
      </c>
      <c r="AH885" s="298" t="str">
        <f>IF(B885="", "",'Lighting Inventory (Ref only)'!Z896)</f>
        <v/>
      </c>
      <c r="AI885" s="298" t="str">
        <f>IF(B885="", "", 'Lighting Inventory (Ref only)'!Y896)</f>
        <v/>
      </c>
      <c r="AJ885" s="298" t="str">
        <f>IF(C885="", "",'Lighting Inventory (Ref only)'!AB896)</f>
        <v/>
      </c>
      <c r="AK885" s="375" t="str">
        <f>IF(B885="", "", 'Lighting Inventory (Ref only)'!AG896)</f>
        <v/>
      </c>
      <c r="AL885" s="375" t="str">
        <f>IF(B885="", "", 'Lighting Inventory (Ref only)'!AD896)</f>
        <v/>
      </c>
      <c r="AM885" s="375" t="str">
        <f>IF(B885="", "", 'Lighting Inventory (Ref only)'!AE896)</f>
        <v/>
      </c>
      <c r="AN885" s="375" t="str">
        <f>IF(B885="", "", 'Lighting Inventory (Ref only)'!AF896)</f>
        <v/>
      </c>
      <c r="AO885" s="375" t="str">
        <f>IF(B885="", "", 'Lighting Inventory (Ref only)'!AG896)</f>
        <v/>
      </c>
    </row>
    <row r="886" spans="1:41">
      <c r="A886" s="298" t="str">
        <f>IF(G886="", "", Lookups!BF888)</f>
        <v/>
      </c>
      <c r="B886" s="298" t="str">
        <f>IF('Lighting Inventory (Ref only)'!Q897="", "", 'Lighting Inventory (Ref only)'!Q897)</f>
        <v/>
      </c>
      <c r="C886" s="298" t="str">
        <f>IF(A886="", "", 'Lighting Inventory (Ref only)'!AO897)</f>
        <v/>
      </c>
      <c r="D886" s="298" t="str">
        <f>IF(B886= "","", Inventory!S894)</f>
        <v/>
      </c>
      <c r="F886" s="298" t="str">
        <f>IF(B886="", "", 'Version Log'!$B$34)</f>
        <v/>
      </c>
      <c r="G886" s="298" t="str">
        <f t="shared" ref="G886:G949" si="56">IF(B886="", "", PRJ_Type)</f>
        <v/>
      </c>
      <c r="H886" s="298" t="str">
        <f t="shared" ref="H886:H949" si="57">IF(B886="", "", SqFt)</f>
        <v/>
      </c>
      <c r="I886" s="298" t="str">
        <f>IF(B886="", "",Inventory!D894)</f>
        <v/>
      </c>
      <c r="J886" s="298" t="str">
        <f>IF(B886="","",IF(Inventory!C894="N","Interior","Exterior"))</f>
        <v/>
      </c>
      <c r="K886" s="298" t="str">
        <f t="shared" ref="K886:K949" si="58">IF(B886="", "", Building_Type)</f>
        <v/>
      </c>
      <c r="L886" s="298" t="str">
        <f>IF(B886="", "", Inventory!E894)</f>
        <v/>
      </c>
      <c r="M886" s="298" t="str">
        <f>IF(B886="","",IF(Cool_Type=Lookups!$L$9,Cool_Type,IF(Cool_Type=Lookups!$L$10,Cool_Type,IF(Cool_Type=Lookups!$L$11,Cool_Type,IF(Cool_Type=Lookups!L896,Cool_Type,IF('Project Info and Summary'!$C$20="Electric",CONCATENATE(Cool_Type," ",Heating_Type," Heat"),IF('Project Info and Summary'!$C$20="Non-Electric",CONCATENATE(Cool_Type," ",Heating_Type," Heat"),CONCATENATE(Cool_Type," ",Heating_Type))))))))</f>
        <v/>
      </c>
      <c r="N886" s="298" t="str">
        <f t="shared" ref="N886:N949" si="59">IF(B886="", "",Heating_Type)</f>
        <v/>
      </c>
      <c r="O886" s="298" t="str">
        <f>IF(B886="", "", 'Lighting Inventory (Ref only)'!G897)</f>
        <v/>
      </c>
      <c r="P886" s="298" t="str">
        <f>IF(B886="", "", 'Lighting Inventory (Ref only)'!E897)</f>
        <v/>
      </c>
      <c r="Q886" s="298" t="str">
        <f>IF(B886="", "", 'Lighting Inventory (Ref only)'!J897)</f>
        <v/>
      </c>
      <c r="R886" s="298" t="str">
        <f>IF(B886="", "",'Lighting Inventory (Ref only)'!K897)</f>
        <v/>
      </c>
      <c r="S886" s="372" t="str">
        <f>IF(B886="", "", 'Lighting Inventory (Ref only)'!G897*'Lighting Inventory (Ref only)'!K897/1000)</f>
        <v/>
      </c>
      <c r="T886" s="298" t="str">
        <f>IF(B886="", "", IF('Lighting Inventory (Ref only)'!I897="", "Light Switch",Inventory!H894))</f>
        <v/>
      </c>
      <c r="X886" s="298" t="str">
        <f>IF(B886="", "", 'Lighting Inventory (Ref only)'!Q897)</f>
        <v/>
      </c>
      <c r="AA886" s="298" t="str">
        <f>IF(B886="", "",'Lighting Inventory (Ref only)'!R897/1000)</f>
        <v/>
      </c>
      <c r="AB886" s="298" t="str">
        <f>IF(B886="", "", Inventory!M894)</f>
        <v/>
      </c>
      <c r="AC886" s="298" t="str">
        <f>IF(B886="", "", 'Lighting Inventory (Ref only)'!T897)</f>
        <v/>
      </c>
      <c r="AD886" s="298" t="str">
        <f>IF(C886="", "", 'Lighting Inventory (Ref only)'!AA897)</f>
        <v/>
      </c>
      <c r="AE886" s="298" t="str">
        <f>IF(B886="", "", 'Lighting Inventory (Ref only)'!U897)</f>
        <v/>
      </c>
      <c r="AF886" s="298" t="str">
        <f>IF(B886="", "",'Lighting Inventory (Ref only)'!W897)</f>
        <v/>
      </c>
      <c r="AH886" s="298" t="str">
        <f>IF(B886="", "",'Lighting Inventory (Ref only)'!Z897)</f>
        <v/>
      </c>
      <c r="AI886" s="298" t="str">
        <f>IF(B886="", "", 'Lighting Inventory (Ref only)'!Y897)</f>
        <v/>
      </c>
      <c r="AJ886" s="298" t="str">
        <f>IF(C886="", "",'Lighting Inventory (Ref only)'!AB897)</f>
        <v/>
      </c>
      <c r="AK886" s="375" t="str">
        <f>IF(B886="", "", 'Lighting Inventory (Ref only)'!AG897)</f>
        <v/>
      </c>
      <c r="AL886" s="375" t="str">
        <f>IF(B886="", "", 'Lighting Inventory (Ref only)'!AD897)</f>
        <v/>
      </c>
      <c r="AM886" s="375" t="str">
        <f>IF(B886="", "", 'Lighting Inventory (Ref only)'!AE897)</f>
        <v/>
      </c>
      <c r="AN886" s="375" t="str">
        <f>IF(B886="", "", 'Lighting Inventory (Ref only)'!AF897)</f>
        <v/>
      </c>
      <c r="AO886" s="375" t="str">
        <f>IF(B886="", "", 'Lighting Inventory (Ref only)'!AG897)</f>
        <v/>
      </c>
    </row>
    <row r="887" spans="1:41">
      <c r="A887" s="298" t="str">
        <f>IF(G887="", "", Lookups!BF889)</f>
        <v/>
      </c>
      <c r="B887" s="298" t="str">
        <f>IF('Lighting Inventory (Ref only)'!Q898="", "", 'Lighting Inventory (Ref only)'!Q898)</f>
        <v/>
      </c>
      <c r="C887" s="298" t="str">
        <f>IF(A887="", "", 'Lighting Inventory (Ref only)'!AO898)</f>
        <v/>
      </c>
      <c r="D887" s="298" t="str">
        <f>IF(B887= "","", Inventory!S895)</f>
        <v/>
      </c>
      <c r="F887" s="298" t="str">
        <f>IF(B887="", "", 'Version Log'!$B$34)</f>
        <v/>
      </c>
      <c r="G887" s="298" t="str">
        <f t="shared" si="56"/>
        <v/>
      </c>
      <c r="H887" s="298" t="str">
        <f t="shared" si="57"/>
        <v/>
      </c>
      <c r="I887" s="298" t="str">
        <f>IF(B887="", "",Inventory!D895)</f>
        <v/>
      </c>
      <c r="J887" s="298" t="str">
        <f>IF(B887="","",IF(Inventory!C895="N","Interior","Exterior"))</f>
        <v/>
      </c>
      <c r="K887" s="298" t="str">
        <f t="shared" si="58"/>
        <v/>
      </c>
      <c r="L887" s="298" t="str">
        <f>IF(B887="", "", Inventory!E895)</f>
        <v/>
      </c>
      <c r="M887" s="298" t="str">
        <f>IF(B887="","",IF(Cool_Type=Lookups!$L$9,Cool_Type,IF(Cool_Type=Lookups!$L$10,Cool_Type,IF(Cool_Type=Lookups!$L$11,Cool_Type,IF(Cool_Type=Lookups!L897,Cool_Type,IF('Project Info and Summary'!$C$20="Electric",CONCATENATE(Cool_Type," ",Heating_Type," Heat"),IF('Project Info and Summary'!$C$20="Non-Electric",CONCATENATE(Cool_Type," ",Heating_Type," Heat"),CONCATENATE(Cool_Type," ",Heating_Type))))))))</f>
        <v/>
      </c>
      <c r="N887" s="298" t="str">
        <f t="shared" si="59"/>
        <v/>
      </c>
      <c r="O887" s="298" t="str">
        <f>IF(B887="", "", 'Lighting Inventory (Ref only)'!G898)</f>
        <v/>
      </c>
      <c r="P887" s="298" t="str">
        <f>IF(B887="", "", 'Lighting Inventory (Ref only)'!E898)</f>
        <v/>
      </c>
      <c r="Q887" s="298" t="str">
        <f>IF(B887="", "", 'Lighting Inventory (Ref only)'!J898)</f>
        <v/>
      </c>
      <c r="R887" s="298" t="str">
        <f>IF(B887="", "",'Lighting Inventory (Ref only)'!K898)</f>
        <v/>
      </c>
      <c r="S887" s="372" t="str">
        <f>IF(B887="", "", 'Lighting Inventory (Ref only)'!G898*'Lighting Inventory (Ref only)'!K898/1000)</f>
        <v/>
      </c>
      <c r="T887" s="298" t="str">
        <f>IF(B887="", "", IF('Lighting Inventory (Ref only)'!I898="", "Light Switch",Inventory!H895))</f>
        <v/>
      </c>
      <c r="X887" s="298" t="str">
        <f>IF(B887="", "", 'Lighting Inventory (Ref only)'!Q898)</f>
        <v/>
      </c>
      <c r="AA887" s="298" t="str">
        <f>IF(B887="", "",'Lighting Inventory (Ref only)'!R898/1000)</f>
        <v/>
      </c>
      <c r="AB887" s="298" t="str">
        <f>IF(B887="", "", Inventory!M895)</f>
        <v/>
      </c>
      <c r="AC887" s="298" t="str">
        <f>IF(B887="", "", 'Lighting Inventory (Ref only)'!T898)</f>
        <v/>
      </c>
      <c r="AD887" s="298" t="str">
        <f>IF(C887="", "", 'Lighting Inventory (Ref only)'!AA898)</f>
        <v/>
      </c>
      <c r="AE887" s="298" t="str">
        <f>IF(B887="", "", 'Lighting Inventory (Ref only)'!U898)</f>
        <v/>
      </c>
      <c r="AF887" s="298" t="str">
        <f>IF(B887="", "",'Lighting Inventory (Ref only)'!W898)</f>
        <v/>
      </c>
      <c r="AH887" s="298" t="str">
        <f>IF(B887="", "",'Lighting Inventory (Ref only)'!Z898)</f>
        <v/>
      </c>
      <c r="AI887" s="298" t="str">
        <f>IF(B887="", "", 'Lighting Inventory (Ref only)'!Y898)</f>
        <v/>
      </c>
      <c r="AJ887" s="298" t="str">
        <f>IF(C887="", "",'Lighting Inventory (Ref only)'!AB898)</f>
        <v/>
      </c>
      <c r="AK887" s="375" t="str">
        <f>IF(B887="", "", 'Lighting Inventory (Ref only)'!AG898)</f>
        <v/>
      </c>
      <c r="AL887" s="375" t="str">
        <f>IF(B887="", "", 'Lighting Inventory (Ref only)'!AD898)</f>
        <v/>
      </c>
      <c r="AM887" s="375" t="str">
        <f>IF(B887="", "", 'Lighting Inventory (Ref only)'!AE898)</f>
        <v/>
      </c>
      <c r="AN887" s="375" t="str">
        <f>IF(B887="", "", 'Lighting Inventory (Ref only)'!AF898)</f>
        <v/>
      </c>
      <c r="AO887" s="375" t="str">
        <f>IF(B887="", "", 'Lighting Inventory (Ref only)'!AG898)</f>
        <v/>
      </c>
    </row>
    <row r="888" spans="1:41">
      <c r="A888" s="298" t="str">
        <f>IF(G888="", "", Lookups!BF890)</f>
        <v/>
      </c>
      <c r="B888" s="298" t="str">
        <f>IF('Lighting Inventory (Ref only)'!Q899="", "", 'Lighting Inventory (Ref only)'!Q899)</f>
        <v/>
      </c>
      <c r="C888" s="298" t="str">
        <f>IF(A888="", "", 'Lighting Inventory (Ref only)'!AO899)</f>
        <v/>
      </c>
      <c r="D888" s="298" t="str">
        <f>IF(B888= "","", Inventory!S896)</f>
        <v/>
      </c>
      <c r="F888" s="298" t="str">
        <f>IF(B888="", "", 'Version Log'!$B$34)</f>
        <v/>
      </c>
      <c r="G888" s="298" t="str">
        <f t="shared" si="56"/>
        <v/>
      </c>
      <c r="H888" s="298" t="str">
        <f t="shared" si="57"/>
        <v/>
      </c>
      <c r="I888" s="298" t="str">
        <f>IF(B888="", "",Inventory!D896)</f>
        <v/>
      </c>
      <c r="J888" s="298" t="str">
        <f>IF(B888="","",IF(Inventory!C896="N","Interior","Exterior"))</f>
        <v/>
      </c>
      <c r="K888" s="298" t="str">
        <f t="shared" si="58"/>
        <v/>
      </c>
      <c r="L888" s="298" t="str">
        <f>IF(B888="", "", Inventory!E896)</f>
        <v/>
      </c>
      <c r="M888" s="298" t="str">
        <f>IF(B888="","",IF(Cool_Type=Lookups!$L$9,Cool_Type,IF(Cool_Type=Lookups!$L$10,Cool_Type,IF(Cool_Type=Lookups!$L$11,Cool_Type,IF(Cool_Type=Lookups!L898,Cool_Type,IF('Project Info and Summary'!$C$20="Electric",CONCATENATE(Cool_Type," ",Heating_Type," Heat"),IF('Project Info and Summary'!$C$20="Non-Electric",CONCATENATE(Cool_Type," ",Heating_Type," Heat"),CONCATENATE(Cool_Type," ",Heating_Type))))))))</f>
        <v/>
      </c>
      <c r="N888" s="298" t="str">
        <f t="shared" si="59"/>
        <v/>
      </c>
      <c r="O888" s="298" t="str">
        <f>IF(B888="", "", 'Lighting Inventory (Ref only)'!G899)</f>
        <v/>
      </c>
      <c r="P888" s="298" t="str">
        <f>IF(B888="", "", 'Lighting Inventory (Ref only)'!E899)</f>
        <v/>
      </c>
      <c r="Q888" s="298" t="str">
        <f>IF(B888="", "", 'Lighting Inventory (Ref only)'!J899)</f>
        <v/>
      </c>
      <c r="R888" s="298" t="str">
        <f>IF(B888="", "",'Lighting Inventory (Ref only)'!K899)</f>
        <v/>
      </c>
      <c r="S888" s="372" t="str">
        <f>IF(B888="", "", 'Lighting Inventory (Ref only)'!G899*'Lighting Inventory (Ref only)'!K899/1000)</f>
        <v/>
      </c>
      <c r="T888" s="298" t="str">
        <f>IF(B888="", "", IF('Lighting Inventory (Ref only)'!I899="", "Light Switch",Inventory!H896))</f>
        <v/>
      </c>
      <c r="X888" s="298" t="str">
        <f>IF(B888="", "", 'Lighting Inventory (Ref only)'!Q899)</f>
        <v/>
      </c>
      <c r="AA888" s="298" t="str">
        <f>IF(B888="", "",'Lighting Inventory (Ref only)'!R899/1000)</f>
        <v/>
      </c>
      <c r="AB888" s="298" t="str">
        <f>IF(B888="", "", Inventory!M896)</f>
        <v/>
      </c>
      <c r="AC888" s="298" t="str">
        <f>IF(B888="", "", 'Lighting Inventory (Ref only)'!T899)</f>
        <v/>
      </c>
      <c r="AD888" s="298" t="str">
        <f>IF(C888="", "", 'Lighting Inventory (Ref only)'!AA899)</f>
        <v/>
      </c>
      <c r="AE888" s="298" t="str">
        <f>IF(B888="", "", 'Lighting Inventory (Ref only)'!U899)</f>
        <v/>
      </c>
      <c r="AF888" s="298" t="str">
        <f>IF(B888="", "",'Lighting Inventory (Ref only)'!W899)</f>
        <v/>
      </c>
      <c r="AH888" s="298" t="str">
        <f>IF(B888="", "",'Lighting Inventory (Ref only)'!Z899)</f>
        <v/>
      </c>
      <c r="AI888" s="298" t="str">
        <f>IF(B888="", "", 'Lighting Inventory (Ref only)'!Y899)</f>
        <v/>
      </c>
      <c r="AJ888" s="298" t="str">
        <f>IF(C888="", "",'Lighting Inventory (Ref only)'!AB899)</f>
        <v/>
      </c>
      <c r="AK888" s="375" t="str">
        <f>IF(B888="", "", 'Lighting Inventory (Ref only)'!AG899)</f>
        <v/>
      </c>
      <c r="AL888" s="375" t="str">
        <f>IF(B888="", "", 'Lighting Inventory (Ref only)'!AD899)</f>
        <v/>
      </c>
      <c r="AM888" s="375" t="str">
        <f>IF(B888="", "", 'Lighting Inventory (Ref only)'!AE899)</f>
        <v/>
      </c>
      <c r="AN888" s="375" t="str">
        <f>IF(B888="", "", 'Lighting Inventory (Ref only)'!AF899)</f>
        <v/>
      </c>
      <c r="AO888" s="375" t="str">
        <f>IF(B888="", "", 'Lighting Inventory (Ref only)'!AG899)</f>
        <v/>
      </c>
    </row>
    <row r="889" spans="1:41">
      <c r="A889" s="298" t="str">
        <f>IF(G889="", "", Lookups!BF891)</f>
        <v/>
      </c>
      <c r="B889" s="298" t="str">
        <f>IF('Lighting Inventory (Ref only)'!Q900="", "", 'Lighting Inventory (Ref only)'!Q900)</f>
        <v/>
      </c>
      <c r="C889" s="298" t="str">
        <f>IF(A889="", "", 'Lighting Inventory (Ref only)'!AO900)</f>
        <v/>
      </c>
      <c r="D889" s="298" t="str">
        <f>IF(B889= "","", Inventory!S897)</f>
        <v/>
      </c>
      <c r="F889" s="298" t="str">
        <f>IF(B889="", "", 'Version Log'!$B$34)</f>
        <v/>
      </c>
      <c r="G889" s="298" t="str">
        <f t="shared" si="56"/>
        <v/>
      </c>
      <c r="H889" s="298" t="str">
        <f t="shared" si="57"/>
        <v/>
      </c>
      <c r="I889" s="298" t="str">
        <f>IF(B889="", "",Inventory!D897)</f>
        <v/>
      </c>
      <c r="J889" s="298" t="str">
        <f>IF(B889="","",IF(Inventory!C897="N","Interior","Exterior"))</f>
        <v/>
      </c>
      <c r="K889" s="298" t="str">
        <f t="shared" si="58"/>
        <v/>
      </c>
      <c r="L889" s="298" t="str">
        <f>IF(B889="", "", Inventory!E897)</f>
        <v/>
      </c>
      <c r="M889" s="298" t="str">
        <f>IF(B889="","",IF(Cool_Type=Lookups!$L$9,Cool_Type,IF(Cool_Type=Lookups!$L$10,Cool_Type,IF(Cool_Type=Lookups!$L$11,Cool_Type,IF(Cool_Type=Lookups!L899,Cool_Type,IF('Project Info and Summary'!$C$20="Electric",CONCATENATE(Cool_Type," ",Heating_Type," Heat"),IF('Project Info and Summary'!$C$20="Non-Electric",CONCATENATE(Cool_Type," ",Heating_Type," Heat"),CONCATENATE(Cool_Type," ",Heating_Type))))))))</f>
        <v/>
      </c>
      <c r="N889" s="298" t="str">
        <f t="shared" si="59"/>
        <v/>
      </c>
      <c r="O889" s="298" t="str">
        <f>IF(B889="", "", 'Lighting Inventory (Ref only)'!G900)</f>
        <v/>
      </c>
      <c r="P889" s="298" t="str">
        <f>IF(B889="", "", 'Lighting Inventory (Ref only)'!E900)</f>
        <v/>
      </c>
      <c r="Q889" s="298" t="str">
        <f>IF(B889="", "", 'Lighting Inventory (Ref only)'!J900)</f>
        <v/>
      </c>
      <c r="R889" s="298" t="str">
        <f>IF(B889="", "",'Lighting Inventory (Ref only)'!K900)</f>
        <v/>
      </c>
      <c r="S889" s="372" t="str">
        <f>IF(B889="", "", 'Lighting Inventory (Ref only)'!G900*'Lighting Inventory (Ref only)'!K900/1000)</f>
        <v/>
      </c>
      <c r="T889" s="298" t="str">
        <f>IF(B889="", "", IF('Lighting Inventory (Ref only)'!I900="", "Light Switch",Inventory!H897))</f>
        <v/>
      </c>
      <c r="X889" s="298" t="str">
        <f>IF(B889="", "", 'Lighting Inventory (Ref only)'!Q900)</f>
        <v/>
      </c>
      <c r="AA889" s="298" t="str">
        <f>IF(B889="", "",'Lighting Inventory (Ref only)'!R900/1000)</f>
        <v/>
      </c>
      <c r="AB889" s="298" t="str">
        <f>IF(B889="", "", Inventory!M897)</f>
        <v/>
      </c>
      <c r="AC889" s="298" t="str">
        <f>IF(B889="", "", 'Lighting Inventory (Ref only)'!T900)</f>
        <v/>
      </c>
      <c r="AD889" s="298" t="str">
        <f>IF(C889="", "", 'Lighting Inventory (Ref only)'!AA900)</f>
        <v/>
      </c>
      <c r="AE889" s="298" t="str">
        <f>IF(B889="", "", 'Lighting Inventory (Ref only)'!U900)</f>
        <v/>
      </c>
      <c r="AF889" s="298" t="str">
        <f>IF(B889="", "",'Lighting Inventory (Ref only)'!W900)</f>
        <v/>
      </c>
      <c r="AH889" s="298" t="str">
        <f>IF(B889="", "",'Lighting Inventory (Ref only)'!Z900)</f>
        <v/>
      </c>
      <c r="AI889" s="298" t="str">
        <f>IF(B889="", "", 'Lighting Inventory (Ref only)'!Y900)</f>
        <v/>
      </c>
      <c r="AJ889" s="298" t="str">
        <f>IF(C889="", "",'Lighting Inventory (Ref only)'!AB900)</f>
        <v/>
      </c>
      <c r="AK889" s="375" t="str">
        <f>IF(B889="", "", 'Lighting Inventory (Ref only)'!AG900)</f>
        <v/>
      </c>
      <c r="AL889" s="375" t="str">
        <f>IF(B889="", "", 'Lighting Inventory (Ref only)'!AD900)</f>
        <v/>
      </c>
      <c r="AM889" s="375" t="str">
        <f>IF(B889="", "", 'Lighting Inventory (Ref only)'!AE900)</f>
        <v/>
      </c>
      <c r="AN889" s="375" t="str">
        <f>IF(B889="", "", 'Lighting Inventory (Ref only)'!AF900)</f>
        <v/>
      </c>
      <c r="AO889" s="375" t="str">
        <f>IF(B889="", "", 'Lighting Inventory (Ref only)'!AG900)</f>
        <v/>
      </c>
    </row>
    <row r="890" spans="1:41">
      <c r="A890" s="298" t="str">
        <f>IF(G890="", "", Lookups!BF892)</f>
        <v/>
      </c>
      <c r="B890" s="298" t="str">
        <f>IF('Lighting Inventory (Ref only)'!Q901="", "", 'Lighting Inventory (Ref only)'!Q901)</f>
        <v/>
      </c>
      <c r="C890" s="298" t="str">
        <f>IF(A890="", "", 'Lighting Inventory (Ref only)'!AO901)</f>
        <v/>
      </c>
      <c r="D890" s="298" t="str">
        <f>IF(B890= "","", Inventory!S898)</f>
        <v/>
      </c>
      <c r="F890" s="298" t="str">
        <f>IF(B890="", "", 'Version Log'!$B$34)</f>
        <v/>
      </c>
      <c r="G890" s="298" t="str">
        <f t="shared" si="56"/>
        <v/>
      </c>
      <c r="H890" s="298" t="str">
        <f t="shared" si="57"/>
        <v/>
      </c>
      <c r="I890" s="298" t="str">
        <f>IF(B890="", "",Inventory!D898)</f>
        <v/>
      </c>
      <c r="J890" s="298" t="str">
        <f>IF(B890="","",IF(Inventory!C898="N","Interior","Exterior"))</f>
        <v/>
      </c>
      <c r="K890" s="298" t="str">
        <f t="shared" si="58"/>
        <v/>
      </c>
      <c r="L890" s="298" t="str">
        <f>IF(B890="", "", Inventory!E898)</f>
        <v/>
      </c>
      <c r="M890" s="298" t="str">
        <f>IF(B890="","",IF(Cool_Type=Lookups!$L$9,Cool_Type,IF(Cool_Type=Lookups!$L$10,Cool_Type,IF(Cool_Type=Lookups!$L$11,Cool_Type,IF(Cool_Type=Lookups!L900,Cool_Type,IF('Project Info and Summary'!$C$20="Electric",CONCATENATE(Cool_Type," ",Heating_Type," Heat"),IF('Project Info and Summary'!$C$20="Non-Electric",CONCATENATE(Cool_Type," ",Heating_Type," Heat"),CONCATENATE(Cool_Type," ",Heating_Type))))))))</f>
        <v/>
      </c>
      <c r="N890" s="298" t="str">
        <f t="shared" si="59"/>
        <v/>
      </c>
      <c r="O890" s="298" t="str">
        <f>IF(B890="", "", 'Lighting Inventory (Ref only)'!G901)</f>
        <v/>
      </c>
      <c r="P890" s="298" t="str">
        <f>IF(B890="", "", 'Lighting Inventory (Ref only)'!E901)</f>
        <v/>
      </c>
      <c r="Q890" s="298" t="str">
        <f>IF(B890="", "", 'Lighting Inventory (Ref only)'!J901)</f>
        <v/>
      </c>
      <c r="R890" s="298" t="str">
        <f>IF(B890="", "",'Lighting Inventory (Ref only)'!K901)</f>
        <v/>
      </c>
      <c r="S890" s="372" t="str">
        <f>IF(B890="", "", 'Lighting Inventory (Ref only)'!G901*'Lighting Inventory (Ref only)'!K901/1000)</f>
        <v/>
      </c>
      <c r="T890" s="298" t="str">
        <f>IF(B890="", "", IF('Lighting Inventory (Ref only)'!I901="", "Light Switch",Inventory!H898))</f>
        <v/>
      </c>
      <c r="X890" s="298" t="str">
        <f>IF(B890="", "", 'Lighting Inventory (Ref only)'!Q901)</f>
        <v/>
      </c>
      <c r="AA890" s="298" t="str">
        <f>IF(B890="", "",'Lighting Inventory (Ref only)'!R901/1000)</f>
        <v/>
      </c>
      <c r="AB890" s="298" t="str">
        <f>IF(B890="", "", Inventory!M898)</f>
        <v/>
      </c>
      <c r="AC890" s="298" t="str">
        <f>IF(B890="", "", 'Lighting Inventory (Ref only)'!T901)</f>
        <v/>
      </c>
      <c r="AD890" s="298" t="str">
        <f>IF(C890="", "", 'Lighting Inventory (Ref only)'!AA901)</f>
        <v/>
      </c>
      <c r="AE890" s="298" t="str">
        <f>IF(B890="", "", 'Lighting Inventory (Ref only)'!U901)</f>
        <v/>
      </c>
      <c r="AF890" s="298" t="str">
        <f>IF(B890="", "",'Lighting Inventory (Ref only)'!W901)</f>
        <v/>
      </c>
      <c r="AH890" s="298" t="str">
        <f>IF(B890="", "",'Lighting Inventory (Ref only)'!Z901)</f>
        <v/>
      </c>
      <c r="AI890" s="298" t="str">
        <f>IF(B890="", "", 'Lighting Inventory (Ref only)'!Y901)</f>
        <v/>
      </c>
      <c r="AJ890" s="298" t="str">
        <f>IF(C890="", "",'Lighting Inventory (Ref only)'!AB901)</f>
        <v/>
      </c>
      <c r="AK890" s="375" t="str">
        <f>IF(B890="", "", 'Lighting Inventory (Ref only)'!AG901)</f>
        <v/>
      </c>
      <c r="AL890" s="375" t="str">
        <f>IF(B890="", "", 'Lighting Inventory (Ref only)'!AD901)</f>
        <v/>
      </c>
      <c r="AM890" s="375" t="str">
        <f>IF(B890="", "", 'Lighting Inventory (Ref only)'!AE901)</f>
        <v/>
      </c>
      <c r="AN890" s="375" t="str">
        <f>IF(B890="", "", 'Lighting Inventory (Ref only)'!AF901)</f>
        <v/>
      </c>
      <c r="AO890" s="375" t="str">
        <f>IF(B890="", "", 'Lighting Inventory (Ref only)'!AG901)</f>
        <v/>
      </c>
    </row>
    <row r="891" spans="1:41">
      <c r="A891" s="298" t="str">
        <f>IF(G891="", "", Lookups!BF893)</f>
        <v/>
      </c>
      <c r="B891" s="298" t="str">
        <f>IF('Lighting Inventory (Ref only)'!Q902="", "", 'Lighting Inventory (Ref only)'!Q902)</f>
        <v/>
      </c>
      <c r="C891" s="298" t="str">
        <f>IF(A891="", "", 'Lighting Inventory (Ref only)'!AO902)</f>
        <v/>
      </c>
      <c r="D891" s="298" t="str">
        <f>IF(B891= "","", Inventory!S899)</f>
        <v/>
      </c>
      <c r="F891" s="298" t="str">
        <f>IF(B891="", "", 'Version Log'!$B$34)</f>
        <v/>
      </c>
      <c r="G891" s="298" t="str">
        <f t="shared" si="56"/>
        <v/>
      </c>
      <c r="H891" s="298" t="str">
        <f t="shared" si="57"/>
        <v/>
      </c>
      <c r="I891" s="298" t="str">
        <f>IF(B891="", "",Inventory!D899)</f>
        <v/>
      </c>
      <c r="J891" s="298" t="str">
        <f>IF(B891="","",IF(Inventory!C899="N","Interior","Exterior"))</f>
        <v/>
      </c>
      <c r="K891" s="298" t="str">
        <f t="shared" si="58"/>
        <v/>
      </c>
      <c r="L891" s="298" t="str">
        <f>IF(B891="", "", Inventory!E899)</f>
        <v/>
      </c>
      <c r="M891" s="298" t="str">
        <f>IF(B891="","",IF(Cool_Type=Lookups!$L$9,Cool_Type,IF(Cool_Type=Lookups!$L$10,Cool_Type,IF(Cool_Type=Lookups!$L$11,Cool_Type,IF(Cool_Type=Lookups!L901,Cool_Type,IF('Project Info and Summary'!$C$20="Electric",CONCATENATE(Cool_Type," ",Heating_Type," Heat"),IF('Project Info and Summary'!$C$20="Non-Electric",CONCATENATE(Cool_Type," ",Heating_Type," Heat"),CONCATENATE(Cool_Type," ",Heating_Type))))))))</f>
        <v/>
      </c>
      <c r="N891" s="298" t="str">
        <f t="shared" si="59"/>
        <v/>
      </c>
      <c r="O891" s="298" t="str">
        <f>IF(B891="", "", 'Lighting Inventory (Ref only)'!G902)</f>
        <v/>
      </c>
      <c r="P891" s="298" t="str">
        <f>IF(B891="", "", 'Lighting Inventory (Ref only)'!E902)</f>
        <v/>
      </c>
      <c r="Q891" s="298" t="str">
        <f>IF(B891="", "", 'Lighting Inventory (Ref only)'!J902)</f>
        <v/>
      </c>
      <c r="R891" s="298" t="str">
        <f>IF(B891="", "",'Lighting Inventory (Ref only)'!K902)</f>
        <v/>
      </c>
      <c r="S891" s="372" t="str">
        <f>IF(B891="", "", 'Lighting Inventory (Ref only)'!G902*'Lighting Inventory (Ref only)'!K902/1000)</f>
        <v/>
      </c>
      <c r="T891" s="298" t="str">
        <f>IF(B891="", "", IF('Lighting Inventory (Ref only)'!I902="", "Light Switch",Inventory!H899))</f>
        <v/>
      </c>
      <c r="X891" s="298" t="str">
        <f>IF(B891="", "", 'Lighting Inventory (Ref only)'!Q902)</f>
        <v/>
      </c>
      <c r="AA891" s="298" t="str">
        <f>IF(B891="", "",'Lighting Inventory (Ref only)'!R902/1000)</f>
        <v/>
      </c>
      <c r="AB891" s="298" t="str">
        <f>IF(B891="", "", Inventory!M899)</f>
        <v/>
      </c>
      <c r="AC891" s="298" t="str">
        <f>IF(B891="", "", 'Lighting Inventory (Ref only)'!T902)</f>
        <v/>
      </c>
      <c r="AD891" s="298" t="str">
        <f>IF(C891="", "", 'Lighting Inventory (Ref only)'!AA902)</f>
        <v/>
      </c>
      <c r="AE891" s="298" t="str">
        <f>IF(B891="", "", 'Lighting Inventory (Ref only)'!U902)</f>
        <v/>
      </c>
      <c r="AF891" s="298" t="str">
        <f>IF(B891="", "",'Lighting Inventory (Ref only)'!W902)</f>
        <v/>
      </c>
      <c r="AH891" s="298" t="str">
        <f>IF(B891="", "",'Lighting Inventory (Ref only)'!Z902)</f>
        <v/>
      </c>
      <c r="AI891" s="298" t="str">
        <f>IF(B891="", "", 'Lighting Inventory (Ref only)'!Y902)</f>
        <v/>
      </c>
      <c r="AJ891" s="298" t="str">
        <f>IF(C891="", "",'Lighting Inventory (Ref only)'!AB902)</f>
        <v/>
      </c>
      <c r="AK891" s="375" t="str">
        <f>IF(B891="", "", 'Lighting Inventory (Ref only)'!AG902)</f>
        <v/>
      </c>
      <c r="AL891" s="375" t="str">
        <f>IF(B891="", "", 'Lighting Inventory (Ref only)'!AD902)</f>
        <v/>
      </c>
      <c r="AM891" s="375" t="str">
        <f>IF(B891="", "", 'Lighting Inventory (Ref only)'!AE902)</f>
        <v/>
      </c>
      <c r="AN891" s="375" t="str">
        <f>IF(B891="", "", 'Lighting Inventory (Ref only)'!AF902)</f>
        <v/>
      </c>
      <c r="AO891" s="375" t="str">
        <f>IF(B891="", "", 'Lighting Inventory (Ref only)'!AG902)</f>
        <v/>
      </c>
    </row>
    <row r="892" spans="1:41">
      <c r="A892" s="298" t="str">
        <f>IF(G892="", "", Lookups!BF894)</f>
        <v/>
      </c>
      <c r="B892" s="298" t="str">
        <f>IF('Lighting Inventory (Ref only)'!Q903="", "", 'Lighting Inventory (Ref only)'!Q903)</f>
        <v/>
      </c>
      <c r="C892" s="298" t="str">
        <f>IF(A892="", "", 'Lighting Inventory (Ref only)'!AO903)</f>
        <v/>
      </c>
      <c r="D892" s="298" t="str">
        <f>IF(B892= "","", Inventory!S900)</f>
        <v/>
      </c>
      <c r="F892" s="298" t="str">
        <f>IF(B892="", "", 'Version Log'!$B$34)</f>
        <v/>
      </c>
      <c r="G892" s="298" t="str">
        <f t="shared" si="56"/>
        <v/>
      </c>
      <c r="H892" s="298" t="str">
        <f t="shared" si="57"/>
        <v/>
      </c>
      <c r="I892" s="298" t="str">
        <f>IF(B892="", "",Inventory!D900)</f>
        <v/>
      </c>
      <c r="J892" s="298" t="str">
        <f>IF(B892="","",IF(Inventory!C900="N","Interior","Exterior"))</f>
        <v/>
      </c>
      <c r="K892" s="298" t="str">
        <f t="shared" si="58"/>
        <v/>
      </c>
      <c r="L892" s="298" t="str">
        <f>IF(B892="", "", Inventory!E900)</f>
        <v/>
      </c>
      <c r="M892" s="298" t="str">
        <f>IF(B892="","",IF(Cool_Type=Lookups!$L$9,Cool_Type,IF(Cool_Type=Lookups!$L$10,Cool_Type,IF(Cool_Type=Lookups!$L$11,Cool_Type,IF(Cool_Type=Lookups!L902,Cool_Type,IF('Project Info and Summary'!$C$20="Electric",CONCATENATE(Cool_Type," ",Heating_Type," Heat"),IF('Project Info and Summary'!$C$20="Non-Electric",CONCATENATE(Cool_Type," ",Heating_Type," Heat"),CONCATENATE(Cool_Type," ",Heating_Type))))))))</f>
        <v/>
      </c>
      <c r="N892" s="298" t="str">
        <f t="shared" si="59"/>
        <v/>
      </c>
      <c r="O892" s="298" t="str">
        <f>IF(B892="", "", 'Lighting Inventory (Ref only)'!G903)</f>
        <v/>
      </c>
      <c r="P892" s="298" t="str">
        <f>IF(B892="", "", 'Lighting Inventory (Ref only)'!E903)</f>
        <v/>
      </c>
      <c r="Q892" s="298" t="str">
        <f>IF(B892="", "", 'Lighting Inventory (Ref only)'!J903)</f>
        <v/>
      </c>
      <c r="R892" s="298" t="str">
        <f>IF(B892="", "",'Lighting Inventory (Ref only)'!K903)</f>
        <v/>
      </c>
      <c r="S892" s="372" t="str">
        <f>IF(B892="", "", 'Lighting Inventory (Ref only)'!G903*'Lighting Inventory (Ref only)'!K903/1000)</f>
        <v/>
      </c>
      <c r="T892" s="298" t="str">
        <f>IF(B892="", "", IF('Lighting Inventory (Ref only)'!I903="", "Light Switch",Inventory!H900))</f>
        <v/>
      </c>
      <c r="X892" s="298" t="str">
        <f>IF(B892="", "", 'Lighting Inventory (Ref only)'!Q903)</f>
        <v/>
      </c>
      <c r="AA892" s="298" t="str">
        <f>IF(B892="", "",'Lighting Inventory (Ref only)'!R903/1000)</f>
        <v/>
      </c>
      <c r="AB892" s="298" t="str">
        <f>IF(B892="", "", Inventory!M900)</f>
        <v/>
      </c>
      <c r="AC892" s="298" t="str">
        <f>IF(B892="", "", 'Lighting Inventory (Ref only)'!T903)</f>
        <v/>
      </c>
      <c r="AD892" s="298" t="str">
        <f>IF(C892="", "", 'Lighting Inventory (Ref only)'!AA903)</f>
        <v/>
      </c>
      <c r="AE892" s="298" t="str">
        <f>IF(B892="", "", 'Lighting Inventory (Ref only)'!U903)</f>
        <v/>
      </c>
      <c r="AF892" s="298" t="str">
        <f>IF(B892="", "",'Lighting Inventory (Ref only)'!W903)</f>
        <v/>
      </c>
      <c r="AH892" s="298" t="str">
        <f>IF(B892="", "",'Lighting Inventory (Ref only)'!Z903)</f>
        <v/>
      </c>
      <c r="AI892" s="298" t="str">
        <f>IF(B892="", "", 'Lighting Inventory (Ref only)'!Y903)</f>
        <v/>
      </c>
      <c r="AJ892" s="298" t="str">
        <f>IF(C892="", "",'Lighting Inventory (Ref only)'!AB903)</f>
        <v/>
      </c>
      <c r="AK892" s="375" t="str">
        <f>IF(B892="", "", 'Lighting Inventory (Ref only)'!AG903)</f>
        <v/>
      </c>
      <c r="AL892" s="375" t="str">
        <f>IF(B892="", "", 'Lighting Inventory (Ref only)'!AD903)</f>
        <v/>
      </c>
      <c r="AM892" s="375" t="str">
        <f>IF(B892="", "", 'Lighting Inventory (Ref only)'!AE903)</f>
        <v/>
      </c>
      <c r="AN892" s="375" t="str">
        <f>IF(B892="", "", 'Lighting Inventory (Ref only)'!AF903)</f>
        <v/>
      </c>
      <c r="AO892" s="375" t="str">
        <f>IF(B892="", "", 'Lighting Inventory (Ref only)'!AG903)</f>
        <v/>
      </c>
    </row>
    <row r="893" spans="1:41">
      <c r="A893" s="298" t="str">
        <f>IF(G893="", "", Lookups!BF895)</f>
        <v/>
      </c>
      <c r="B893" s="298" t="str">
        <f>IF('Lighting Inventory (Ref only)'!Q904="", "", 'Lighting Inventory (Ref only)'!Q904)</f>
        <v/>
      </c>
      <c r="C893" s="298" t="str">
        <f>IF(A893="", "", 'Lighting Inventory (Ref only)'!AO904)</f>
        <v/>
      </c>
      <c r="D893" s="298" t="str">
        <f>IF(B893= "","", Inventory!S901)</f>
        <v/>
      </c>
      <c r="F893" s="298" t="str">
        <f>IF(B893="", "", 'Version Log'!$B$34)</f>
        <v/>
      </c>
      <c r="G893" s="298" t="str">
        <f t="shared" si="56"/>
        <v/>
      </c>
      <c r="H893" s="298" t="str">
        <f t="shared" si="57"/>
        <v/>
      </c>
      <c r="I893" s="298" t="str">
        <f>IF(B893="", "",Inventory!D901)</f>
        <v/>
      </c>
      <c r="J893" s="298" t="str">
        <f>IF(B893="","",IF(Inventory!C901="N","Interior","Exterior"))</f>
        <v/>
      </c>
      <c r="K893" s="298" t="str">
        <f t="shared" si="58"/>
        <v/>
      </c>
      <c r="L893" s="298" t="str">
        <f>IF(B893="", "", Inventory!E901)</f>
        <v/>
      </c>
      <c r="M893" s="298" t="str">
        <f>IF(B893="","",IF(Cool_Type=Lookups!$L$9,Cool_Type,IF(Cool_Type=Lookups!$L$10,Cool_Type,IF(Cool_Type=Lookups!$L$11,Cool_Type,IF(Cool_Type=Lookups!L903,Cool_Type,IF('Project Info and Summary'!$C$20="Electric",CONCATENATE(Cool_Type," ",Heating_Type," Heat"),IF('Project Info and Summary'!$C$20="Non-Electric",CONCATENATE(Cool_Type," ",Heating_Type," Heat"),CONCATENATE(Cool_Type," ",Heating_Type))))))))</f>
        <v/>
      </c>
      <c r="N893" s="298" t="str">
        <f t="shared" si="59"/>
        <v/>
      </c>
      <c r="O893" s="298" t="str">
        <f>IF(B893="", "", 'Lighting Inventory (Ref only)'!G904)</f>
        <v/>
      </c>
      <c r="P893" s="298" t="str">
        <f>IF(B893="", "", 'Lighting Inventory (Ref only)'!E904)</f>
        <v/>
      </c>
      <c r="Q893" s="298" t="str">
        <f>IF(B893="", "", 'Lighting Inventory (Ref only)'!J904)</f>
        <v/>
      </c>
      <c r="R893" s="298" t="str">
        <f>IF(B893="", "",'Lighting Inventory (Ref only)'!K904)</f>
        <v/>
      </c>
      <c r="S893" s="372" t="str">
        <f>IF(B893="", "", 'Lighting Inventory (Ref only)'!G904*'Lighting Inventory (Ref only)'!K904/1000)</f>
        <v/>
      </c>
      <c r="T893" s="298" t="str">
        <f>IF(B893="", "", IF('Lighting Inventory (Ref only)'!I904="", "Light Switch",Inventory!H901))</f>
        <v/>
      </c>
      <c r="X893" s="298" t="str">
        <f>IF(B893="", "", 'Lighting Inventory (Ref only)'!Q904)</f>
        <v/>
      </c>
      <c r="AA893" s="298" t="str">
        <f>IF(B893="", "",'Lighting Inventory (Ref only)'!R904/1000)</f>
        <v/>
      </c>
      <c r="AB893" s="298" t="str">
        <f>IF(B893="", "", Inventory!M901)</f>
        <v/>
      </c>
      <c r="AC893" s="298" t="str">
        <f>IF(B893="", "", 'Lighting Inventory (Ref only)'!T904)</f>
        <v/>
      </c>
      <c r="AD893" s="298" t="str">
        <f>IF(C893="", "", 'Lighting Inventory (Ref only)'!AA904)</f>
        <v/>
      </c>
      <c r="AE893" s="298" t="str">
        <f>IF(B893="", "", 'Lighting Inventory (Ref only)'!U904)</f>
        <v/>
      </c>
      <c r="AF893" s="298" t="str">
        <f>IF(B893="", "",'Lighting Inventory (Ref only)'!W904)</f>
        <v/>
      </c>
      <c r="AH893" s="298" t="str">
        <f>IF(B893="", "",'Lighting Inventory (Ref only)'!Z904)</f>
        <v/>
      </c>
      <c r="AI893" s="298" t="str">
        <f>IF(B893="", "", 'Lighting Inventory (Ref only)'!Y904)</f>
        <v/>
      </c>
      <c r="AJ893" s="298" t="str">
        <f>IF(C893="", "",'Lighting Inventory (Ref only)'!AB904)</f>
        <v/>
      </c>
      <c r="AK893" s="375" t="str">
        <f>IF(B893="", "", 'Lighting Inventory (Ref only)'!AG904)</f>
        <v/>
      </c>
      <c r="AL893" s="375" t="str">
        <f>IF(B893="", "", 'Lighting Inventory (Ref only)'!AD904)</f>
        <v/>
      </c>
      <c r="AM893" s="375" t="str">
        <f>IF(B893="", "", 'Lighting Inventory (Ref only)'!AE904)</f>
        <v/>
      </c>
      <c r="AN893" s="375" t="str">
        <f>IF(B893="", "", 'Lighting Inventory (Ref only)'!AF904)</f>
        <v/>
      </c>
      <c r="AO893" s="375" t="str">
        <f>IF(B893="", "", 'Lighting Inventory (Ref only)'!AG904)</f>
        <v/>
      </c>
    </row>
    <row r="894" spans="1:41">
      <c r="A894" s="298" t="str">
        <f>IF(G894="", "", Lookups!BF896)</f>
        <v/>
      </c>
      <c r="B894" s="298" t="str">
        <f>IF('Lighting Inventory (Ref only)'!Q905="", "", 'Lighting Inventory (Ref only)'!Q905)</f>
        <v/>
      </c>
      <c r="C894" s="298" t="str">
        <f>IF(A894="", "", 'Lighting Inventory (Ref only)'!AO905)</f>
        <v/>
      </c>
      <c r="D894" s="298" t="str">
        <f>IF(B894= "","", Inventory!S902)</f>
        <v/>
      </c>
      <c r="F894" s="298" t="str">
        <f>IF(B894="", "", 'Version Log'!$B$34)</f>
        <v/>
      </c>
      <c r="G894" s="298" t="str">
        <f t="shared" si="56"/>
        <v/>
      </c>
      <c r="H894" s="298" t="str">
        <f t="shared" si="57"/>
        <v/>
      </c>
      <c r="I894" s="298" t="str">
        <f>IF(B894="", "",Inventory!D902)</f>
        <v/>
      </c>
      <c r="J894" s="298" t="str">
        <f>IF(B894="","",IF(Inventory!C902="N","Interior","Exterior"))</f>
        <v/>
      </c>
      <c r="K894" s="298" t="str">
        <f t="shared" si="58"/>
        <v/>
      </c>
      <c r="L894" s="298" t="str">
        <f>IF(B894="", "", Inventory!E902)</f>
        <v/>
      </c>
      <c r="M894" s="298" t="str">
        <f>IF(B894="","",IF(Cool_Type=Lookups!$L$9,Cool_Type,IF(Cool_Type=Lookups!$L$10,Cool_Type,IF(Cool_Type=Lookups!$L$11,Cool_Type,IF(Cool_Type=Lookups!L904,Cool_Type,IF('Project Info and Summary'!$C$20="Electric",CONCATENATE(Cool_Type," ",Heating_Type," Heat"),IF('Project Info and Summary'!$C$20="Non-Electric",CONCATENATE(Cool_Type," ",Heating_Type," Heat"),CONCATENATE(Cool_Type," ",Heating_Type))))))))</f>
        <v/>
      </c>
      <c r="N894" s="298" t="str">
        <f t="shared" si="59"/>
        <v/>
      </c>
      <c r="O894" s="298" t="str">
        <f>IF(B894="", "", 'Lighting Inventory (Ref only)'!G905)</f>
        <v/>
      </c>
      <c r="P894" s="298" t="str">
        <f>IF(B894="", "", 'Lighting Inventory (Ref only)'!E905)</f>
        <v/>
      </c>
      <c r="Q894" s="298" t="str">
        <f>IF(B894="", "", 'Lighting Inventory (Ref only)'!J905)</f>
        <v/>
      </c>
      <c r="R894" s="298" t="str">
        <f>IF(B894="", "",'Lighting Inventory (Ref only)'!K905)</f>
        <v/>
      </c>
      <c r="S894" s="372" t="str">
        <f>IF(B894="", "", 'Lighting Inventory (Ref only)'!G905*'Lighting Inventory (Ref only)'!K905/1000)</f>
        <v/>
      </c>
      <c r="T894" s="298" t="str">
        <f>IF(B894="", "", IF('Lighting Inventory (Ref only)'!I905="", "Light Switch",Inventory!H902))</f>
        <v/>
      </c>
      <c r="X894" s="298" t="str">
        <f>IF(B894="", "", 'Lighting Inventory (Ref only)'!Q905)</f>
        <v/>
      </c>
      <c r="AA894" s="298" t="str">
        <f>IF(B894="", "",'Lighting Inventory (Ref only)'!R905/1000)</f>
        <v/>
      </c>
      <c r="AB894" s="298" t="str">
        <f>IF(B894="", "", Inventory!M902)</f>
        <v/>
      </c>
      <c r="AC894" s="298" t="str">
        <f>IF(B894="", "", 'Lighting Inventory (Ref only)'!T905)</f>
        <v/>
      </c>
      <c r="AD894" s="298" t="str">
        <f>IF(C894="", "", 'Lighting Inventory (Ref only)'!AA905)</f>
        <v/>
      </c>
      <c r="AE894" s="298" t="str">
        <f>IF(B894="", "", 'Lighting Inventory (Ref only)'!U905)</f>
        <v/>
      </c>
      <c r="AF894" s="298" t="str">
        <f>IF(B894="", "",'Lighting Inventory (Ref only)'!W905)</f>
        <v/>
      </c>
      <c r="AH894" s="298" t="str">
        <f>IF(B894="", "",'Lighting Inventory (Ref only)'!Z905)</f>
        <v/>
      </c>
      <c r="AI894" s="298" t="str">
        <f>IF(B894="", "", 'Lighting Inventory (Ref only)'!Y905)</f>
        <v/>
      </c>
      <c r="AJ894" s="298" t="str">
        <f>IF(C894="", "",'Lighting Inventory (Ref only)'!AB905)</f>
        <v/>
      </c>
      <c r="AK894" s="375" t="str">
        <f>IF(B894="", "", 'Lighting Inventory (Ref only)'!AG905)</f>
        <v/>
      </c>
      <c r="AL894" s="375" t="str">
        <f>IF(B894="", "", 'Lighting Inventory (Ref only)'!AD905)</f>
        <v/>
      </c>
      <c r="AM894" s="375" t="str">
        <f>IF(B894="", "", 'Lighting Inventory (Ref only)'!AE905)</f>
        <v/>
      </c>
      <c r="AN894" s="375" t="str">
        <f>IF(B894="", "", 'Lighting Inventory (Ref only)'!AF905)</f>
        <v/>
      </c>
      <c r="AO894" s="375" t="str">
        <f>IF(B894="", "", 'Lighting Inventory (Ref only)'!AG905)</f>
        <v/>
      </c>
    </row>
    <row r="895" spans="1:41">
      <c r="A895" s="298" t="str">
        <f>IF(G895="", "", Lookups!BF897)</f>
        <v/>
      </c>
      <c r="B895" s="298" t="str">
        <f>IF('Lighting Inventory (Ref only)'!Q906="", "", 'Lighting Inventory (Ref only)'!Q906)</f>
        <v/>
      </c>
      <c r="C895" s="298" t="str">
        <f>IF(A895="", "", 'Lighting Inventory (Ref only)'!AO906)</f>
        <v/>
      </c>
      <c r="D895" s="298" t="str">
        <f>IF(B895= "","", Inventory!S903)</f>
        <v/>
      </c>
      <c r="F895" s="298" t="str">
        <f>IF(B895="", "", 'Version Log'!$B$34)</f>
        <v/>
      </c>
      <c r="G895" s="298" t="str">
        <f t="shared" si="56"/>
        <v/>
      </c>
      <c r="H895" s="298" t="str">
        <f t="shared" si="57"/>
        <v/>
      </c>
      <c r="I895" s="298" t="str">
        <f>IF(B895="", "",Inventory!D903)</f>
        <v/>
      </c>
      <c r="J895" s="298" t="str">
        <f>IF(B895="","",IF(Inventory!C903="N","Interior","Exterior"))</f>
        <v/>
      </c>
      <c r="K895" s="298" t="str">
        <f t="shared" si="58"/>
        <v/>
      </c>
      <c r="L895" s="298" t="str">
        <f>IF(B895="", "", Inventory!E903)</f>
        <v/>
      </c>
      <c r="M895" s="298" t="str">
        <f>IF(B895="","",IF(Cool_Type=Lookups!$L$9,Cool_Type,IF(Cool_Type=Lookups!$L$10,Cool_Type,IF(Cool_Type=Lookups!$L$11,Cool_Type,IF(Cool_Type=Lookups!L905,Cool_Type,IF('Project Info and Summary'!$C$20="Electric",CONCATENATE(Cool_Type," ",Heating_Type," Heat"),IF('Project Info and Summary'!$C$20="Non-Electric",CONCATENATE(Cool_Type," ",Heating_Type," Heat"),CONCATENATE(Cool_Type," ",Heating_Type))))))))</f>
        <v/>
      </c>
      <c r="N895" s="298" t="str">
        <f t="shared" si="59"/>
        <v/>
      </c>
      <c r="O895" s="298" t="str">
        <f>IF(B895="", "", 'Lighting Inventory (Ref only)'!G906)</f>
        <v/>
      </c>
      <c r="P895" s="298" t="str">
        <f>IF(B895="", "", 'Lighting Inventory (Ref only)'!E906)</f>
        <v/>
      </c>
      <c r="Q895" s="298" t="str">
        <f>IF(B895="", "", 'Lighting Inventory (Ref only)'!J906)</f>
        <v/>
      </c>
      <c r="R895" s="298" t="str">
        <f>IF(B895="", "",'Lighting Inventory (Ref only)'!K906)</f>
        <v/>
      </c>
      <c r="S895" s="372" t="str">
        <f>IF(B895="", "", 'Lighting Inventory (Ref only)'!G906*'Lighting Inventory (Ref only)'!K906/1000)</f>
        <v/>
      </c>
      <c r="T895" s="298" t="str">
        <f>IF(B895="", "", IF('Lighting Inventory (Ref only)'!I906="", "Light Switch",Inventory!H903))</f>
        <v/>
      </c>
      <c r="X895" s="298" t="str">
        <f>IF(B895="", "", 'Lighting Inventory (Ref only)'!Q906)</f>
        <v/>
      </c>
      <c r="AA895" s="298" t="str">
        <f>IF(B895="", "",'Lighting Inventory (Ref only)'!R906/1000)</f>
        <v/>
      </c>
      <c r="AB895" s="298" t="str">
        <f>IF(B895="", "", Inventory!M903)</f>
        <v/>
      </c>
      <c r="AC895" s="298" t="str">
        <f>IF(B895="", "", 'Lighting Inventory (Ref only)'!T906)</f>
        <v/>
      </c>
      <c r="AD895" s="298" t="str">
        <f>IF(C895="", "", 'Lighting Inventory (Ref only)'!AA906)</f>
        <v/>
      </c>
      <c r="AE895" s="298" t="str">
        <f>IF(B895="", "", 'Lighting Inventory (Ref only)'!U906)</f>
        <v/>
      </c>
      <c r="AF895" s="298" t="str">
        <f>IF(B895="", "",'Lighting Inventory (Ref only)'!W906)</f>
        <v/>
      </c>
      <c r="AH895" s="298" t="str">
        <f>IF(B895="", "",'Lighting Inventory (Ref only)'!Z906)</f>
        <v/>
      </c>
      <c r="AI895" s="298" t="str">
        <f>IF(B895="", "", 'Lighting Inventory (Ref only)'!Y906)</f>
        <v/>
      </c>
      <c r="AJ895" s="298" t="str">
        <f>IF(C895="", "",'Lighting Inventory (Ref only)'!AB906)</f>
        <v/>
      </c>
      <c r="AK895" s="375" t="str">
        <f>IF(B895="", "", 'Lighting Inventory (Ref only)'!AG906)</f>
        <v/>
      </c>
      <c r="AL895" s="375" t="str">
        <f>IF(B895="", "", 'Lighting Inventory (Ref only)'!AD906)</f>
        <v/>
      </c>
      <c r="AM895" s="375" t="str">
        <f>IF(B895="", "", 'Lighting Inventory (Ref only)'!AE906)</f>
        <v/>
      </c>
      <c r="AN895" s="375" t="str">
        <f>IF(B895="", "", 'Lighting Inventory (Ref only)'!AF906)</f>
        <v/>
      </c>
      <c r="AO895" s="375" t="str">
        <f>IF(B895="", "", 'Lighting Inventory (Ref only)'!AG906)</f>
        <v/>
      </c>
    </row>
    <row r="896" spans="1:41">
      <c r="A896" s="298" t="str">
        <f>IF(G896="", "", Lookups!BF898)</f>
        <v/>
      </c>
      <c r="B896" s="298" t="str">
        <f>IF('Lighting Inventory (Ref only)'!Q907="", "", 'Lighting Inventory (Ref only)'!Q907)</f>
        <v/>
      </c>
      <c r="C896" s="298" t="str">
        <f>IF(A896="", "", 'Lighting Inventory (Ref only)'!AO907)</f>
        <v/>
      </c>
      <c r="D896" s="298" t="str">
        <f>IF(B896= "","", Inventory!S904)</f>
        <v/>
      </c>
      <c r="F896" s="298" t="str">
        <f>IF(B896="", "", 'Version Log'!$B$34)</f>
        <v/>
      </c>
      <c r="G896" s="298" t="str">
        <f t="shared" si="56"/>
        <v/>
      </c>
      <c r="H896" s="298" t="str">
        <f t="shared" si="57"/>
        <v/>
      </c>
      <c r="I896" s="298" t="str">
        <f>IF(B896="", "",Inventory!D904)</f>
        <v/>
      </c>
      <c r="J896" s="298" t="str">
        <f>IF(B896="","",IF(Inventory!C904="N","Interior","Exterior"))</f>
        <v/>
      </c>
      <c r="K896" s="298" t="str">
        <f t="shared" si="58"/>
        <v/>
      </c>
      <c r="L896" s="298" t="str">
        <f>IF(B896="", "", Inventory!E904)</f>
        <v/>
      </c>
      <c r="M896" s="298" t="str">
        <f>IF(B896="","",IF(Cool_Type=Lookups!$L$9,Cool_Type,IF(Cool_Type=Lookups!$L$10,Cool_Type,IF(Cool_Type=Lookups!$L$11,Cool_Type,IF(Cool_Type=Lookups!L906,Cool_Type,IF('Project Info and Summary'!$C$20="Electric",CONCATENATE(Cool_Type," ",Heating_Type," Heat"),IF('Project Info and Summary'!$C$20="Non-Electric",CONCATENATE(Cool_Type," ",Heating_Type," Heat"),CONCATENATE(Cool_Type," ",Heating_Type))))))))</f>
        <v/>
      </c>
      <c r="N896" s="298" t="str">
        <f t="shared" si="59"/>
        <v/>
      </c>
      <c r="O896" s="298" t="str">
        <f>IF(B896="", "", 'Lighting Inventory (Ref only)'!G907)</f>
        <v/>
      </c>
      <c r="P896" s="298" t="str">
        <f>IF(B896="", "", 'Lighting Inventory (Ref only)'!E907)</f>
        <v/>
      </c>
      <c r="Q896" s="298" t="str">
        <f>IF(B896="", "", 'Lighting Inventory (Ref only)'!J907)</f>
        <v/>
      </c>
      <c r="R896" s="298" t="str">
        <f>IF(B896="", "",'Lighting Inventory (Ref only)'!K907)</f>
        <v/>
      </c>
      <c r="S896" s="372" t="str">
        <f>IF(B896="", "", 'Lighting Inventory (Ref only)'!G907*'Lighting Inventory (Ref only)'!K907/1000)</f>
        <v/>
      </c>
      <c r="T896" s="298" t="str">
        <f>IF(B896="", "", IF('Lighting Inventory (Ref only)'!I907="", "Light Switch",Inventory!H904))</f>
        <v/>
      </c>
      <c r="X896" s="298" t="str">
        <f>IF(B896="", "", 'Lighting Inventory (Ref only)'!Q907)</f>
        <v/>
      </c>
      <c r="AA896" s="298" t="str">
        <f>IF(B896="", "",'Lighting Inventory (Ref only)'!R907/1000)</f>
        <v/>
      </c>
      <c r="AB896" s="298" t="str">
        <f>IF(B896="", "", Inventory!M904)</f>
        <v/>
      </c>
      <c r="AC896" s="298" t="str">
        <f>IF(B896="", "", 'Lighting Inventory (Ref only)'!T907)</f>
        <v/>
      </c>
      <c r="AD896" s="298" t="str">
        <f>IF(C896="", "", 'Lighting Inventory (Ref only)'!AA907)</f>
        <v/>
      </c>
      <c r="AE896" s="298" t="str">
        <f>IF(B896="", "", 'Lighting Inventory (Ref only)'!U907)</f>
        <v/>
      </c>
      <c r="AF896" s="298" t="str">
        <f>IF(B896="", "",'Lighting Inventory (Ref only)'!W907)</f>
        <v/>
      </c>
      <c r="AH896" s="298" t="str">
        <f>IF(B896="", "",'Lighting Inventory (Ref only)'!Z907)</f>
        <v/>
      </c>
      <c r="AI896" s="298" t="str">
        <f>IF(B896="", "", 'Lighting Inventory (Ref only)'!Y907)</f>
        <v/>
      </c>
      <c r="AJ896" s="298" t="str">
        <f>IF(C896="", "",'Lighting Inventory (Ref only)'!AB907)</f>
        <v/>
      </c>
      <c r="AK896" s="375" t="str">
        <f>IF(B896="", "", 'Lighting Inventory (Ref only)'!AG907)</f>
        <v/>
      </c>
      <c r="AL896" s="375" t="str">
        <f>IF(B896="", "", 'Lighting Inventory (Ref only)'!AD907)</f>
        <v/>
      </c>
      <c r="AM896" s="375" t="str">
        <f>IF(B896="", "", 'Lighting Inventory (Ref only)'!AE907)</f>
        <v/>
      </c>
      <c r="AN896" s="375" t="str">
        <f>IF(B896="", "", 'Lighting Inventory (Ref only)'!AF907)</f>
        <v/>
      </c>
      <c r="AO896" s="375" t="str">
        <f>IF(B896="", "", 'Lighting Inventory (Ref only)'!AG907)</f>
        <v/>
      </c>
    </row>
    <row r="897" spans="1:41">
      <c r="A897" s="298" t="str">
        <f>IF(G897="", "", Lookups!BF899)</f>
        <v/>
      </c>
      <c r="B897" s="298" t="str">
        <f>IF('Lighting Inventory (Ref only)'!Q908="", "", 'Lighting Inventory (Ref only)'!Q908)</f>
        <v/>
      </c>
      <c r="C897" s="298" t="str">
        <f>IF(A897="", "", 'Lighting Inventory (Ref only)'!AO908)</f>
        <v/>
      </c>
      <c r="D897" s="298" t="str">
        <f>IF(B897= "","", Inventory!S905)</f>
        <v/>
      </c>
      <c r="F897" s="298" t="str">
        <f>IF(B897="", "", 'Version Log'!$B$34)</f>
        <v/>
      </c>
      <c r="G897" s="298" t="str">
        <f t="shared" si="56"/>
        <v/>
      </c>
      <c r="H897" s="298" t="str">
        <f t="shared" si="57"/>
        <v/>
      </c>
      <c r="I897" s="298" t="str">
        <f>IF(B897="", "",Inventory!D905)</f>
        <v/>
      </c>
      <c r="J897" s="298" t="str">
        <f>IF(B897="","",IF(Inventory!C905="N","Interior","Exterior"))</f>
        <v/>
      </c>
      <c r="K897" s="298" t="str">
        <f t="shared" si="58"/>
        <v/>
      </c>
      <c r="L897" s="298" t="str">
        <f>IF(B897="", "", Inventory!E905)</f>
        <v/>
      </c>
      <c r="M897" s="298" t="str">
        <f>IF(B897="","",IF(Cool_Type=Lookups!$L$9,Cool_Type,IF(Cool_Type=Lookups!$L$10,Cool_Type,IF(Cool_Type=Lookups!$L$11,Cool_Type,IF(Cool_Type=Lookups!L907,Cool_Type,IF('Project Info and Summary'!$C$20="Electric",CONCATENATE(Cool_Type," ",Heating_Type," Heat"),IF('Project Info and Summary'!$C$20="Non-Electric",CONCATENATE(Cool_Type," ",Heating_Type," Heat"),CONCATENATE(Cool_Type," ",Heating_Type))))))))</f>
        <v/>
      </c>
      <c r="N897" s="298" t="str">
        <f t="shared" si="59"/>
        <v/>
      </c>
      <c r="O897" s="298" t="str">
        <f>IF(B897="", "", 'Lighting Inventory (Ref only)'!G908)</f>
        <v/>
      </c>
      <c r="P897" s="298" t="str">
        <f>IF(B897="", "", 'Lighting Inventory (Ref only)'!E908)</f>
        <v/>
      </c>
      <c r="Q897" s="298" t="str">
        <f>IF(B897="", "", 'Lighting Inventory (Ref only)'!J908)</f>
        <v/>
      </c>
      <c r="R897" s="298" t="str">
        <f>IF(B897="", "",'Lighting Inventory (Ref only)'!K908)</f>
        <v/>
      </c>
      <c r="S897" s="372" t="str">
        <f>IF(B897="", "", 'Lighting Inventory (Ref only)'!G908*'Lighting Inventory (Ref only)'!K908/1000)</f>
        <v/>
      </c>
      <c r="T897" s="298" t="str">
        <f>IF(B897="", "", IF('Lighting Inventory (Ref only)'!I908="", "Light Switch",Inventory!H905))</f>
        <v/>
      </c>
      <c r="X897" s="298" t="str">
        <f>IF(B897="", "", 'Lighting Inventory (Ref only)'!Q908)</f>
        <v/>
      </c>
      <c r="AA897" s="298" t="str">
        <f>IF(B897="", "",'Lighting Inventory (Ref only)'!R908/1000)</f>
        <v/>
      </c>
      <c r="AB897" s="298" t="str">
        <f>IF(B897="", "", Inventory!M905)</f>
        <v/>
      </c>
      <c r="AC897" s="298" t="str">
        <f>IF(B897="", "", 'Lighting Inventory (Ref only)'!T908)</f>
        <v/>
      </c>
      <c r="AD897" s="298" t="str">
        <f>IF(C897="", "", 'Lighting Inventory (Ref only)'!AA908)</f>
        <v/>
      </c>
      <c r="AE897" s="298" t="str">
        <f>IF(B897="", "", 'Lighting Inventory (Ref only)'!U908)</f>
        <v/>
      </c>
      <c r="AF897" s="298" t="str">
        <f>IF(B897="", "",'Lighting Inventory (Ref only)'!W908)</f>
        <v/>
      </c>
      <c r="AH897" s="298" t="str">
        <f>IF(B897="", "",'Lighting Inventory (Ref only)'!Z908)</f>
        <v/>
      </c>
      <c r="AI897" s="298" t="str">
        <f>IF(B897="", "", 'Lighting Inventory (Ref only)'!Y908)</f>
        <v/>
      </c>
      <c r="AJ897" s="298" t="str">
        <f>IF(C897="", "",'Lighting Inventory (Ref only)'!AB908)</f>
        <v/>
      </c>
      <c r="AK897" s="375" t="str">
        <f>IF(B897="", "", 'Lighting Inventory (Ref only)'!AG908)</f>
        <v/>
      </c>
      <c r="AL897" s="375" t="str">
        <f>IF(B897="", "", 'Lighting Inventory (Ref only)'!AD908)</f>
        <v/>
      </c>
      <c r="AM897" s="375" t="str">
        <f>IF(B897="", "", 'Lighting Inventory (Ref only)'!AE908)</f>
        <v/>
      </c>
      <c r="AN897" s="375" t="str">
        <f>IF(B897="", "", 'Lighting Inventory (Ref only)'!AF908)</f>
        <v/>
      </c>
      <c r="AO897" s="375" t="str">
        <f>IF(B897="", "", 'Lighting Inventory (Ref only)'!AG908)</f>
        <v/>
      </c>
    </row>
    <row r="898" spans="1:41">
      <c r="A898" s="298" t="str">
        <f>IF(G898="", "", Lookups!BF900)</f>
        <v/>
      </c>
      <c r="B898" s="298" t="str">
        <f>IF('Lighting Inventory (Ref only)'!Q909="", "", 'Lighting Inventory (Ref only)'!Q909)</f>
        <v/>
      </c>
      <c r="C898" s="298" t="str">
        <f>IF(A898="", "", 'Lighting Inventory (Ref only)'!AO909)</f>
        <v/>
      </c>
      <c r="D898" s="298" t="str">
        <f>IF(B898= "","", Inventory!S906)</f>
        <v/>
      </c>
      <c r="F898" s="298" t="str">
        <f>IF(B898="", "", 'Version Log'!$B$34)</f>
        <v/>
      </c>
      <c r="G898" s="298" t="str">
        <f t="shared" si="56"/>
        <v/>
      </c>
      <c r="H898" s="298" t="str">
        <f t="shared" si="57"/>
        <v/>
      </c>
      <c r="I898" s="298" t="str">
        <f>IF(B898="", "",Inventory!D906)</f>
        <v/>
      </c>
      <c r="J898" s="298" t="str">
        <f>IF(B898="","",IF(Inventory!C906="N","Interior","Exterior"))</f>
        <v/>
      </c>
      <c r="K898" s="298" t="str">
        <f t="shared" si="58"/>
        <v/>
      </c>
      <c r="L898" s="298" t="str">
        <f>IF(B898="", "", Inventory!E906)</f>
        <v/>
      </c>
      <c r="M898" s="298" t="str">
        <f>IF(B898="","",IF(Cool_Type=Lookups!$L$9,Cool_Type,IF(Cool_Type=Lookups!$L$10,Cool_Type,IF(Cool_Type=Lookups!$L$11,Cool_Type,IF(Cool_Type=Lookups!L908,Cool_Type,IF('Project Info and Summary'!$C$20="Electric",CONCATENATE(Cool_Type," ",Heating_Type," Heat"),IF('Project Info and Summary'!$C$20="Non-Electric",CONCATENATE(Cool_Type," ",Heating_Type," Heat"),CONCATENATE(Cool_Type," ",Heating_Type))))))))</f>
        <v/>
      </c>
      <c r="N898" s="298" t="str">
        <f t="shared" si="59"/>
        <v/>
      </c>
      <c r="O898" s="298" t="str">
        <f>IF(B898="", "", 'Lighting Inventory (Ref only)'!G909)</f>
        <v/>
      </c>
      <c r="P898" s="298" t="str">
        <f>IF(B898="", "", 'Lighting Inventory (Ref only)'!E909)</f>
        <v/>
      </c>
      <c r="Q898" s="298" t="str">
        <f>IF(B898="", "", 'Lighting Inventory (Ref only)'!J909)</f>
        <v/>
      </c>
      <c r="R898" s="298" t="str">
        <f>IF(B898="", "",'Lighting Inventory (Ref only)'!K909)</f>
        <v/>
      </c>
      <c r="S898" s="372" t="str">
        <f>IF(B898="", "", 'Lighting Inventory (Ref only)'!G909*'Lighting Inventory (Ref only)'!K909/1000)</f>
        <v/>
      </c>
      <c r="T898" s="298" t="str">
        <f>IF(B898="", "", IF('Lighting Inventory (Ref only)'!I909="", "Light Switch",Inventory!H906))</f>
        <v/>
      </c>
      <c r="X898" s="298" t="str">
        <f>IF(B898="", "", 'Lighting Inventory (Ref only)'!Q909)</f>
        <v/>
      </c>
      <c r="AA898" s="298" t="str">
        <f>IF(B898="", "",'Lighting Inventory (Ref only)'!R909/1000)</f>
        <v/>
      </c>
      <c r="AB898" s="298" t="str">
        <f>IF(B898="", "", Inventory!M906)</f>
        <v/>
      </c>
      <c r="AC898" s="298" t="str">
        <f>IF(B898="", "", 'Lighting Inventory (Ref only)'!T909)</f>
        <v/>
      </c>
      <c r="AD898" s="298" t="str">
        <f>IF(C898="", "", 'Lighting Inventory (Ref only)'!AA909)</f>
        <v/>
      </c>
      <c r="AE898" s="298" t="str">
        <f>IF(B898="", "", 'Lighting Inventory (Ref only)'!U909)</f>
        <v/>
      </c>
      <c r="AF898" s="298" t="str">
        <f>IF(B898="", "",'Lighting Inventory (Ref only)'!W909)</f>
        <v/>
      </c>
      <c r="AH898" s="298" t="str">
        <f>IF(B898="", "",'Lighting Inventory (Ref only)'!Z909)</f>
        <v/>
      </c>
      <c r="AI898" s="298" t="str">
        <f>IF(B898="", "", 'Lighting Inventory (Ref only)'!Y909)</f>
        <v/>
      </c>
      <c r="AJ898" s="298" t="str">
        <f>IF(C898="", "",'Lighting Inventory (Ref only)'!AB909)</f>
        <v/>
      </c>
      <c r="AK898" s="375" t="str">
        <f>IF(B898="", "", 'Lighting Inventory (Ref only)'!AG909)</f>
        <v/>
      </c>
      <c r="AL898" s="375" t="str">
        <f>IF(B898="", "", 'Lighting Inventory (Ref only)'!AD909)</f>
        <v/>
      </c>
      <c r="AM898" s="375" t="str">
        <f>IF(B898="", "", 'Lighting Inventory (Ref only)'!AE909)</f>
        <v/>
      </c>
      <c r="AN898" s="375" t="str">
        <f>IF(B898="", "", 'Lighting Inventory (Ref only)'!AF909)</f>
        <v/>
      </c>
      <c r="AO898" s="375" t="str">
        <f>IF(B898="", "", 'Lighting Inventory (Ref only)'!AG909)</f>
        <v/>
      </c>
    </row>
    <row r="899" spans="1:41">
      <c r="A899" s="298" t="str">
        <f>IF(G899="", "", Lookups!BF901)</f>
        <v/>
      </c>
      <c r="B899" s="298" t="str">
        <f>IF('Lighting Inventory (Ref only)'!Q910="", "", 'Lighting Inventory (Ref only)'!Q910)</f>
        <v/>
      </c>
      <c r="C899" s="298" t="str">
        <f>IF(A899="", "", 'Lighting Inventory (Ref only)'!AO910)</f>
        <v/>
      </c>
      <c r="D899" s="298" t="str">
        <f>IF(B899= "","", Inventory!S907)</f>
        <v/>
      </c>
      <c r="F899" s="298" t="str">
        <f>IF(B899="", "", 'Version Log'!$B$34)</f>
        <v/>
      </c>
      <c r="G899" s="298" t="str">
        <f t="shared" si="56"/>
        <v/>
      </c>
      <c r="H899" s="298" t="str">
        <f t="shared" si="57"/>
        <v/>
      </c>
      <c r="I899" s="298" t="str">
        <f>IF(B899="", "",Inventory!D907)</f>
        <v/>
      </c>
      <c r="J899" s="298" t="str">
        <f>IF(B899="","",IF(Inventory!C907="N","Interior","Exterior"))</f>
        <v/>
      </c>
      <c r="K899" s="298" t="str">
        <f t="shared" si="58"/>
        <v/>
      </c>
      <c r="L899" s="298" t="str">
        <f>IF(B899="", "", Inventory!E907)</f>
        <v/>
      </c>
      <c r="M899" s="298" t="str">
        <f>IF(B899="","",IF(Cool_Type=Lookups!$L$9,Cool_Type,IF(Cool_Type=Lookups!$L$10,Cool_Type,IF(Cool_Type=Lookups!$L$11,Cool_Type,IF(Cool_Type=Lookups!L909,Cool_Type,IF('Project Info and Summary'!$C$20="Electric",CONCATENATE(Cool_Type," ",Heating_Type," Heat"),IF('Project Info and Summary'!$C$20="Non-Electric",CONCATENATE(Cool_Type," ",Heating_Type," Heat"),CONCATENATE(Cool_Type," ",Heating_Type))))))))</f>
        <v/>
      </c>
      <c r="N899" s="298" t="str">
        <f t="shared" si="59"/>
        <v/>
      </c>
      <c r="O899" s="298" t="str">
        <f>IF(B899="", "", 'Lighting Inventory (Ref only)'!G910)</f>
        <v/>
      </c>
      <c r="P899" s="298" t="str">
        <f>IF(B899="", "", 'Lighting Inventory (Ref only)'!E910)</f>
        <v/>
      </c>
      <c r="Q899" s="298" t="str">
        <f>IF(B899="", "", 'Lighting Inventory (Ref only)'!J910)</f>
        <v/>
      </c>
      <c r="R899" s="298" t="str">
        <f>IF(B899="", "",'Lighting Inventory (Ref only)'!K910)</f>
        <v/>
      </c>
      <c r="S899" s="372" t="str">
        <f>IF(B899="", "", 'Lighting Inventory (Ref only)'!G910*'Lighting Inventory (Ref only)'!K910/1000)</f>
        <v/>
      </c>
      <c r="T899" s="298" t="str">
        <f>IF(B899="", "", IF('Lighting Inventory (Ref only)'!I910="", "Light Switch",Inventory!H907))</f>
        <v/>
      </c>
      <c r="X899" s="298" t="str">
        <f>IF(B899="", "", 'Lighting Inventory (Ref only)'!Q910)</f>
        <v/>
      </c>
      <c r="AA899" s="298" t="str">
        <f>IF(B899="", "",'Lighting Inventory (Ref only)'!R910/1000)</f>
        <v/>
      </c>
      <c r="AB899" s="298" t="str">
        <f>IF(B899="", "", Inventory!M907)</f>
        <v/>
      </c>
      <c r="AC899" s="298" t="str">
        <f>IF(B899="", "", 'Lighting Inventory (Ref only)'!T910)</f>
        <v/>
      </c>
      <c r="AD899" s="298" t="str">
        <f>IF(C899="", "", 'Lighting Inventory (Ref only)'!AA910)</f>
        <v/>
      </c>
      <c r="AE899" s="298" t="str">
        <f>IF(B899="", "", 'Lighting Inventory (Ref only)'!U910)</f>
        <v/>
      </c>
      <c r="AF899" s="298" t="str">
        <f>IF(B899="", "",'Lighting Inventory (Ref only)'!W910)</f>
        <v/>
      </c>
      <c r="AH899" s="298" t="str">
        <f>IF(B899="", "",'Lighting Inventory (Ref only)'!Z910)</f>
        <v/>
      </c>
      <c r="AI899" s="298" t="str">
        <f>IF(B899="", "", 'Lighting Inventory (Ref only)'!Y910)</f>
        <v/>
      </c>
      <c r="AJ899" s="298" t="str">
        <f>IF(C899="", "",'Lighting Inventory (Ref only)'!AB910)</f>
        <v/>
      </c>
      <c r="AK899" s="375" t="str">
        <f>IF(B899="", "", 'Lighting Inventory (Ref only)'!AG910)</f>
        <v/>
      </c>
      <c r="AL899" s="375" t="str">
        <f>IF(B899="", "", 'Lighting Inventory (Ref only)'!AD910)</f>
        <v/>
      </c>
      <c r="AM899" s="375" t="str">
        <f>IF(B899="", "", 'Lighting Inventory (Ref only)'!AE910)</f>
        <v/>
      </c>
      <c r="AN899" s="375" t="str">
        <f>IF(B899="", "", 'Lighting Inventory (Ref only)'!AF910)</f>
        <v/>
      </c>
      <c r="AO899" s="375" t="str">
        <f>IF(B899="", "", 'Lighting Inventory (Ref only)'!AG910)</f>
        <v/>
      </c>
    </row>
    <row r="900" spans="1:41">
      <c r="A900" s="298" t="str">
        <f>IF(G900="", "", Lookups!BF902)</f>
        <v/>
      </c>
      <c r="B900" s="298" t="str">
        <f>IF('Lighting Inventory (Ref only)'!Q911="", "", 'Lighting Inventory (Ref only)'!Q911)</f>
        <v/>
      </c>
      <c r="C900" s="298" t="str">
        <f>IF(A900="", "", 'Lighting Inventory (Ref only)'!AO911)</f>
        <v/>
      </c>
      <c r="D900" s="298" t="str">
        <f>IF(B900= "","", Inventory!S908)</f>
        <v/>
      </c>
      <c r="F900" s="298" t="str">
        <f>IF(B900="", "", 'Version Log'!$B$34)</f>
        <v/>
      </c>
      <c r="G900" s="298" t="str">
        <f t="shared" si="56"/>
        <v/>
      </c>
      <c r="H900" s="298" t="str">
        <f t="shared" si="57"/>
        <v/>
      </c>
      <c r="I900" s="298" t="str">
        <f>IF(B900="", "",Inventory!D908)</f>
        <v/>
      </c>
      <c r="J900" s="298" t="str">
        <f>IF(B900="","",IF(Inventory!C908="N","Interior","Exterior"))</f>
        <v/>
      </c>
      <c r="K900" s="298" t="str">
        <f t="shared" si="58"/>
        <v/>
      </c>
      <c r="L900" s="298" t="str">
        <f>IF(B900="", "", Inventory!E908)</f>
        <v/>
      </c>
      <c r="M900" s="298" t="str">
        <f>IF(B900="","",IF(Cool_Type=Lookups!$L$9,Cool_Type,IF(Cool_Type=Lookups!$L$10,Cool_Type,IF(Cool_Type=Lookups!$L$11,Cool_Type,IF(Cool_Type=Lookups!L910,Cool_Type,IF('Project Info and Summary'!$C$20="Electric",CONCATENATE(Cool_Type," ",Heating_Type," Heat"),IF('Project Info and Summary'!$C$20="Non-Electric",CONCATENATE(Cool_Type," ",Heating_Type," Heat"),CONCATENATE(Cool_Type," ",Heating_Type))))))))</f>
        <v/>
      </c>
      <c r="N900" s="298" t="str">
        <f t="shared" si="59"/>
        <v/>
      </c>
      <c r="O900" s="298" t="str">
        <f>IF(B900="", "", 'Lighting Inventory (Ref only)'!G911)</f>
        <v/>
      </c>
      <c r="P900" s="298" t="str">
        <f>IF(B900="", "", 'Lighting Inventory (Ref only)'!E911)</f>
        <v/>
      </c>
      <c r="Q900" s="298" t="str">
        <f>IF(B900="", "", 'Lighting Inventory (Ref only)'!J911)</f>
        <v/>
      </c>
      <c r="R900" s="298" t="str">
        <f>IF(B900="", "",'Lighting Inventory (Ref only)'!K911)</f>
        <v/>
      </c>
      <c r="S900" s="372" t="str">
        <f>IF(B900="", "", 'Lighting Inventory (Ref only)'!G911*'Lighting Inventory (Ref only)'!K911/1000)</f>
        <v/>
      </c>
      <c r="T900" s="298" t="str">
        <f>IF(B900="", "", IF('Lighting Inventory (Ref only)'!I911="", "Light Switch",Inventory!H908))</f>
        <v/>
      </c>
      <c r="X900" s="298" t="str">
        <f>IF(B900="", "", 'Lighting Inventory (Ref only)'!Q911)</f>
        <v/>
      </c>
      <c r="AA900" s="298" t="str">
        <f>IF(B900="", "",'Lighting Inventory (Ref only)'!R911/1000)</f>
        <v/>
      </c>
      <c r="AB900" s="298" t="str">
        <f>IF(B900="", "", Inventory!M908)</f>
        <v/>
      </c>
      <c r="AC900" s="298" t="str">
        <f>IF(B900="", "", 'Lighting Inventory (Ref only)'!T911)</f>
        <v/>
      </c>
      <c r="AD900" s="298" t="str">
        <f>IF(C900="", "", 'Lighting Inventory (Ref only)'!AA911)</f>
        <v/>
      </c>
      <c r="AE900" s="298" t="str">
        <f>IF(B900="", "", 'Lighting Inventory (Ref only)'!U911)</f>
        <v/>
      </c>
      <c r="AF900" s="298" t="str">
        <f>IF(B900="", "",'Lighting Inventory (Ref only)'!W911)</f>
        <v/>
      </c>
      <c r="AH900" s="298" t="str">
        <f>IF(B900="", "",'Lighting Inventory (Ref only)'!Z911)</f>
        <v/>
      </c>
      <c r="AI900" s="298" t="str">
        <f>IF(B900="", "", 'Lighting Inventory (Ref only)'!Y911)</f>
        <v/>
      </c>
      <c r="AJ900" s="298" t="str">
        <f>IF(C900="", "",'Lighting Inventory (Ref only)'!AB911)</f>
        <v/>
      </c>
      <c r="AK900" s="375" t="str">
        <f>IF(B900="", "", 'Lighting Inventory (Ref only)'!AG911)</f>
        <v/>
      </c>
      <c r="AL900" s="375" t="str">
        <f>IF(B900="", "", 'Lighting Inventory (Ref only)'!AD911)</f>
        <v/>
      </c>
      <c r="AM900" s="375" t="str">
        <f>IF(B900="", "", 'Lighting Inventory (Ref only)'!AE911)</f>
        <v/>
      </c>
      <c r="AN900" s="375" t="str">
        <f>IF(B900="", "", 'Lighting Inventory (Ref only)'!AF911)</f>
        <v/>
      </c>
      <c r="AO900" s="375" t="str">
        <f>IF(B900="", "", 'Lighting Inventory (Ref only)'!AG911)</f>
        <v/>
      </c>
    </row>
    <row r="901" spans="1:41">
      <c r="A901" s="298" t="str">
        <f>IF(G901="", "", Lookups!BF903)</f>
        <v/>
      </c>
      <c r="B901" s="298" t="str">
        <f>IF('Lighting Inventory (Ref only)'!Q912="", "", 'Lighting Inventory (Ref only)'!Q912)</f>
        <v/>
      </c>
      <c r="C901" s="298" t="str">
        <f>IF(A901="", "", 'Lighting Inventory (Ref only)'!AO912)</f>
        <v/>
      </c>
      <c r="D901" s="298" t="str">
        <f>IF(B901= "","", Inventory!S909)</f>
        <v/>
      </c>
      <c r="F901" s="298" t="str">
        <f>IF(B901="", "", 'Version Log'!$B$34)</f>
        <v/>
      </c>
      <c r="G901" s="298" t="str">
        <f t="shared" si="56"/>
        <v/>
      </c>
      <c r="H901" s="298" t="str">
        <f t="shared" si="57"/>
        <v/>
      </c>
      <c r="I901" s="298" t="str">
        <f>IF(B901="", "",Inventory!D909)</f>
        <v/>
      </c>
      <c r="J901" s="298" t="str">
        <f>IF(B901="","",IF(Inventory!C909="N","Interior","Exterior"))</f>
        <v/>
      </c>
      <c r="K901" s="298" t="str">
        <f t="shared" si="58"/>
        <v/>
      </c>
      <c r="L901" s="298" t="str">
        <f>IF(B901="", "", Inventory!E909)</f>
        <v/>
      </c>
      <c r="M901" s="298" t="str">
        <f>IF(B901="","",IF(Cool_Type=Lookups!$L$9,Cool_Type,IF(Cool_Type=Lookups!$L$10,Cool_Type,IF(Cool_Type=Lookups!$L$11,Cool_Type,IF(Cool_Type=Lookups!L911,Cool_Type,IF('Project Info and Summary'!$C$20="Electric",CONCATENATE(Cool_Type," ",Heating_Type," Heat"),IF('Project Info and Summary'!$C$20="Non-Electric",CONCATENATE(Cool_Type," ",Heating_Type," Heat"),CONCATENATE(Cool_Type," ",Heating_Type))))))))</f>
        <v/>
      </c>
      <c r="N901" s="298" t="str">
        <f t="shared" si="59"/>
        <v/>
      </c>
      <c r="O901" s="298" t="str">
        <f>IF(B901="", "", 'Lighting Inventory (Ref only)'!G912)</f>
        <v/>
      </c>
      <c r="P901" s="298" t="str">
        <f>IF(B901="", "", 'Lighting Inventory (Ref only)'!E912)</f>
        <v/>
      </c>
      <c r="Q901" s="298" t="str">
        <f>IF(B901="", "", 'Lighting Inventory (Ref only)'!J912)</f>
        <v/>
      </c>
      <c r="R901" s="298" t="str">
        <f>IF(B901="", "",'Lighting Inventory (Ref only)'!K912)</f>
        <v/>
      </c>
      <c r="S901" s="372" t="str">
        <f>IF(B901="", "", 'Lighting Inventory (Ref only)'!G912*'Lighting Inventory (Ref only)'!K912/1000)</f>
        <v/>
      </c>
      <c r="T901" s="298" t="str">
        <f>IF(B901="", "", IF('Lighting Inventory (Ref only)'!I912="", "Light Switch",Inventory!H909))</f>
        <v/>
      </c>
      <c r="X901" s="298" t="str">
        <f>IF(B901="", "", 'Lighting Inventory (Ref only)'!Q912)</f>
        <v/>
      </c>
      <c r="AA901" s="298" t="str">
        <f>IF(B901="", "",'Lighting Inventory (Ref only)'!R912/1000)</f>
        <v/>
      </c>
      <c r="AB901" s="298" t="str">
        <f>IF(B901="", "", Inventory!M909)</f>
        <v/>
      </c>
      <c r="AC901" s="298" t="str">
        <f>IF(B901="", "", 'Lighting Inventory (Ref only)'!T912)</f>
        <v/>
      </c>
      <c r="AD901" s="298" t="str">
        <f>IF(C901="", "", 'Lighting Inventory (Ref only)'!AA912)</f>
        <v/>
      </c>
      <c r="AE901" s="298" t="str">
        <f>IF(B901="", "", 'Lighting Inventory (Ref only)'!U912)</f>
        <v/>
      </c>
      <c r="AF901" s="298" t="str">
        <f>IF(B901="", "",'Lighting Inventory (Ref only)'!W912)</f>
        <v/>
      </c>
      <c r="AH901" s="298" t="str">
        <f>IF(B901="", "",'Lighting Inventory (Ref only)'!Z912)</f>
        <v/>
      </c>
      <c r="AI901" s="298" t="str">
        <f>IF(B901="", "", 'Lighting Inventory (Ref only)'!Y912)</f>
        <v/>
      </c>
      <c r="AJ901" s="298" t="str">
        <f>IF(C901="", "",'Lighting Inventory (Ref only)'!AB912)</f>
        <v/>
      </c>
      <c r="AK901" s="375" t="str">
        <f>IF(B901="", "", 'Lighting Inventory (Ref only)'!AG912)</f>
        <v/>
      </c>
      <c r="AL901" s="375" t="str">
        <f>IF(B901="", "", 'Lighting Inventory (Ref only)'!AD912)</f>
        <v/>
      </c>
      <c r="AM901" s="375" t="str">
        <f>IF(B901="", "", 'Lighting Inventory (Ref only)'!AE912)</f>
        <v/>
      </c>
      <c r="AN901" s="375" t="str">
        <f>IF(B901="", "", 'Lighting Inventory (Ref only)'!AF912)</f>
        <v/>
      </c>
      <c r="AO901" s="375" t="str">
        <f>IF(B901="", "", 'Lighting Inventory (Ref only)'!AG912)</f>
        <v/>
      </c>
    </row>
    <row r="902" spans="1:41">
      <c r="A902" s="298" t="str">
        <f>IF(G902="", "", Lookups!BF904)</f>
        <v/>
      </c>
      <c r="B902" s="298" t="str">
        <f>IF('Lighting Inventory (Ref only)'!Q913="", "", 'Lighting Inventory (Ref only)'!Q913)</f>
        <v/>
      </c>
      <c r="C902" s="298" t="str">
        <f>IF(A902="", "", 'Lighting Inventory (Ref only)'!AO913)</f>
        <v/>
      </c>
      <c r="D902" s="298" t="str">
        <f>IF(B902= "","", Inventory!S910)</f>
        <v/>
      </c>
      <c r="F902" s="298" t="str">
        <f>IF(B902="", "", 'Version Log'!$B$34)</f>
        <v/>
      </c>
      <c r="G902" s="298" t="str">
        <f t="shared" si="56"/>
        <v/>
      </c>
      <c r="H902" s="298" t="str">
        <f t="shared" si="57"/>
        <v/>
      </c>
      <c r="I902" s="298" t="str">
        <f>IF(B902="", "",Inventory!D910)</f>
        <v/>
      </c>
      <c r="J902" s="298" t="str">
        <f>IF(B902="","",IF(Inventory!C910="N","Interior","Exterior"))</f>
        <v/>
      </c>
      <c r="K902" s="298" t="str">
        <f t="shared" si="58"/>
        <v/>
      </c>
      <c r="L902" s="298" t="str">
        <f>IF(B902="", "", Inventory!E910)</f>
        <v/>
      </c>
      <c r="M902" s="298" t="str">
        <f>IF(B902="","",IF(Cool_Type=Lookups!$L$9,Cool_Type,IF(Cool_Type=Lookups!$L$10,Cool_Type,IF(Cool_Type=Lookups!$L$11,Cool_Type,IF(Cool_Type=Lookups!L912,Cool_Type,IF('Project Info and Summary'!$C$20="Electric",CONCATENATE(Cool_Type," ",Heating_Type," Heat"),IF('Project Info and Summary'!$C$20="Non-Electric",CONCATENATE(Cool_Type," ",Heating_Type," Heat"),CONCATENATE(Cool_Type," ",Heating_Type))))))))</f>
        <v/>
      </c>
      <c r="N902" s="298" t="str">
        <f t="shared" si="59"/>
        <v/>
      </c>
      <c r="O902" s="298" t="str">
        <f>IF(B902="", "", 'Lighting Inventory (Ref only)'!G913)</f>
        <v/>
      </c>
      <c r="P902" s="298" t="str">
        <f>IF(B902="", "", 'Lighting Inventory (Ref only)'!E913)</f>
        <v/>
      </c>
      <c r="Q902" s="298" t="str">
        <f>IF(B902="", "", 'Lighting Inventory (Ref only)'!J913)</f>
        <v/>
      </c>
      <c r="R902" s="298" t="str">
        <f>IF(B902="", "",'Lighting Inventory (Ref only)'!K913)</f>
        <v/>
      </c>
      <c r="S902" s="372" t="str">
        <f>IF(B902="", "", 'Lighting Inventory (Ref only)'!G913*'Lighting Inventory (Ref only)'!K913/1000)</f>
        <v/>
      </c>
      <c r="T902" s="298" t="str">
        <f>IF(B902="", "", IF('Lighting Inventory (Ref only)'!I913="", "Light Switch",Inventory!H910))</f>
        <v/>
      </c>
      <c r="X902" s="298" t="str">
        <f>IF(B902="", "", 'Lighting Inventory (Ref only)'!Q913)</f>
        <v/>
      </c>
      <c r="AA902" s="298" t="str">
        <f>IF(B902="", "",'Lighting Inventory (Ref only)'!R913/1000)</f>
        <v/>
      </c>
      <c r="AB902" s="298" t="str">
        <f>IF(B902="", "", Inventory!M910)</f>
        <v/>
      </c>
      <c r="AC902" s="298" t="str">
        <f>IF(B902="", "", 'Lighting Inventory (Ref only)'!T913)</f>
        <v/>
      </c>
      <c r="AD902" s="298" t="str">
        <f>IF(C902="", "", 'Lighting Inventory (Ref only)'!AA913)</f>
        <v/>
      </c>
      <c r="AE902" s="298" t="str">
        <f>IF(B902="", "", 'Lighting Inventory (Ref only)'!U913)</f>
        <v/>
      </c>
      <c r="AF902" s="298" t="str">
        <f>IF(B902="", "",'Lighting Inventory (Ref only)'!W913)</f>
        <v/>
      </c>
      <c r="AH902" s="298" t="str">
        <f>IF(B902="", "",'Lighting Inventory (Ref only)'!Z913)</f>
        <v/>
      </c>
      <c r="AI902" s="298" t="str">
        <f>IF(B902="", "", 'Lighting Inventory (Ref only)'!Y913)</f>
        <v/>
      </c>
      <c r="AJ902" s="298" t="str">
        <f>IF(C902="", "",'Lighting Inventory (Ref only)'!AB913)</f>
        <v/>
      </c>
      <c r="AK902" s="375" t="str">
        <f>IF(B902="", "", 'Lighting Inventory (Ref only)'!AG913)</f>
        <v/>
      </c>
      <c r="AL902" s="375" t="str">
        <f>IF(B902="", "", 'Lighting Inventory (Ref only)'!AD913)</f>
        <v/>
      </c>
      <c r="AM902" s="375" t="str">
        <f>IF(B902="", "", 'Lighting Inventory (Ref only)'!AE913)</f>
        <v/>
      </c>
      <c r="AN902" s="375" t="str">
        <f>IF(B902="", "", 'Lighting Inventory (Ref only)'!AF913)</f>
        <v/>
      </c>
      <c r="AO902" s="375" t="str">
        <f>IF(B902="", "", 'Lighting Inventory (Ref only)'!AG913)</f>
        <v/>
      </c>
    </row>
    <row r="903" spans="1:41">
      <c r="A903" s="298" t="str">
        <f>IF(G903="", "", Lookups!BF905)</f>
        <v/>
      </c>
      <c r="B903" s="298" t="str">
        <f>IF('Lighting Inventory (Ref only)'!Q914="", "", 'Lighting Inventory (Ref only)'!Q914)</f>
        <v/>
      </c>
      <c r="C903" s="298" t="str">
        <f>IF(A903="", "", 'Lighting Inventory (Ref only)'!AO914)</f>
        <v/>
      </c>
      <c r="D903" s="298" t="str">
        <f>IF(B903= "","", Inventory!S911)</f>
        <v/>
      </c>
      <c r="F903" s="298" t="str">
        <f>IF(B903="", "", 'Version Log'!$B$34)</f>
        <v/>
      </c>
      <c r="G903" s="298" t="str">
        <f t="shared" si="56"/>
        <v/>
      </c>
      <c r="H903" s="298" t="str">
        <f t="shared" si="57"/>
        <v/>
      </c>
      <c r="I903" s="298" t="str">
        <f>IF(B903="", "",Inventory!D911)</f>
        <v/>
      </c>
      <c r="J903" s="298" t="str">
        <f>IF(B903="","",IF(Inventory!C911="N","Interior","Exterior"))</f>
        <v/>
      </c>
      <c r="K903" s="298" t="str">
        <f t="shared" si="58"/>
        <v/>
      </c>
      <c r="L903" s="298" t="str">
        <f>IF(B903="", "", Inventory!E911)</f>
        <v/>
      </c>
      <c r="M903" s="298" t="str">
        <f>IF(B903="","",IF(Cool_Type=Lookups!$L$9,Cool_Type,IF(Cool_Type=Lookups!$L$10,Cool_Type,IF(Cool_Type=Lookups!$L$11,Cool_Type,IF(Cool_Type=Lookups!L913,Cool_Type,IF('Project Info and Summary'!$C$20="Electric",CONCATENATE(Cool_Type," ",Heating_Type," Heat"),IF('Project Info and Summary'!$C$20="Non-Electric",CONCATENATE(Cool_Type," ",Heating_Type," Heat"),CONCATENATE(Cool_Type," ",Heating_Type))))))))</f>
        <v/>
      </c>
      <c r="N903" s="298" t="str">
        <f t="shared" si="59"/>
        <v/>
      </c>
      <c r="O903" s="298" t="str">
        <f>IF(B903="", "", 'Lighting Inventory (Ref only)'!G914)</f>
        <v/>
      </c>
      <c r="P903" s="298" t="str">
        <f>IF(B903="", "", 'Lighting Inventory (Ref only)'!E914)</f>
        <v/>
      </c>
      <c r="Q903" s="298" t="str">
        <f>IF(B903="", "", 'Lighting Inventory (Ref only)'!J914)</f>
        <v/>
      </c>
      <c r="R903" s="298" t="str">
        <f>IF(B903="", "",'Lighting Inventory (Ref only)'!K914)</f>
        <v/>
      </c>
      <c r="S903" s="372" t="str">
        <f>IF(B903="", "", 'Lighting Inventory (Ref only)'!G914*'Lighting Inventory (Ref only)'!K914/1000)</f>
        <v/>
      </c>
      <c r="T903" s="298" t="str">
        <f>IF(B903="", "", IF('Lighting Inventory (Ref only)'!I914="", "Light Switch",Inventory!H911))</f>
        <v/>
      </c>
      <c r="X903" s="298" t="str">
        <f>IF(B903="", "", 'Lighting Inventory (Ref only)'!Q914)</f>
        <v/>
      </c>
      <c r="AA903" s="298" t="str">
        <f>IF(B903="", "",'Lighting Inventory (Ref only)'!R914/1000)</f>
        <v/>
      </c>
      <c r="AB903" s="298" t="str">
        <f>IF(B903="", "", Inventory!M911)</f>
        <v/>
      </c>
      <c r="AC903" s="298" t="str">
        <f>IF(B903="", "", 'Lighting Inventory (Ref only)'!T914)</f>
        <v/>
      </c>
      <c r="AD903" s="298" t="str">
        <f>IF(C903="", "", 'Lighting Inventory (Ref only)'!AA914)</f>
        <v/>
      </c>
      <c r="AE903" s="298" t="str">
        <f>IF(B903="", "", 'Lighting Inventory (Ref only)'!U914)</f>
        <v/>
      </c>
      <c r="AF903" s="298" t="str">
        <f>IF(B903="", "",'Lighting Inventory (Ref only)'!W914)</f>
        <v/>
      </c>
      <c r="AH903" s="298" t="str">
        <f>IF(B903="", "",'Lighting Inventory (Ref only)'!Z914)</f>
        <v/>
      </c>
      <c r="AI903" s="298" t="str">
        <f>IF(B903="", "", 'Lighting Inventory (Ref only)'!Y914)</f>
        <v/>
      </c>
      <c r="AJ903" s="298" t="str">
        <f>IF(C903="", "",'Lighting Inventory (Ref only)'!AB914)</f>
        <v/>
      </c>
      <c r="AK903" s="375" t="str">
        <f>IF(B903="", "", 'Lighting Inventory (Ref only)'!AG914)</f>
        <v/>
      </c>
      <c r="AL903" s="375" t="str">
        <f>IF(B903="", "", 'Lighting Inventory (Ref only)'!AD914)</f>
        <v/>
      </c>
      <c r="AM903" s="375" t="str">
        <f>IF(B903="", "", 'Lighting Inventory (Ref only)'!AE914)</f>
        <v/>
      </c>
      <c r="AN903" s="375" t="str">
        <f>IF(B903="", "", 'Lighting Inventory (Ref only)'!AF914)</f>
        <v/>
      </c>
      <c r="AO903" s="375" t="str">
        <f>IF(B903="", "", 'Lighting Inventory (Ref only)'!AG914)</f>
        <v/>
      </c>
    </row>
    <row r="904" spans="1:41">
      <c r="A904" s="298" t="str">
        <f>IF(G904="", "", Lookups!BF906)</f>
        <v/>
      </c>
      <c r="B904" s="298" t="str">
        <f>IF('Lighting Inventory (Ref only)'!Q915="", "", 'Lighting Inventory (Ref only)'!Q915)</f>
        <v/>
      </c>
      <c r="C904" s="298" t="str">
        <f>IF(A904="", "", 'Lighting Inventory (Ref only)'!AO915)</f>
        <v/>
      </c>
      <c r="D904" s="298" t="str">
        <f>IF(B904= "","", Inventory!S912)</f>
        <v/>
      </c>
      <c r="F904" s="298" t="str">
        <f>IF(B904="", "", 'Version Log'!$B$34)</f>
        <v/>
      </c>
      <c r="G904" s="298" t="str">
        <f t="shared" si="56"/>
        <v/>
      </c>
      <c r="H904" s="298" t="str">
        <f t="shared" si="57"/>
        <v/>
      </c>
      <c r="I904" s="298" t="str">
        <f>IF(B904="", "",Inventory!D912)</f>
        <v/>
      </c>
      <c r="J904" s="298" t="str">
        <f>IF(B904="","",IF(Inventory!C912="N","Interior","Exterior"))</f>
        <v/>
      </c>
      <c r="K904" s="298" t="str">
        <f t="shared" si="58"/>
        <v/>
      </c>
      <c r="L904" s="298" t="str">
        <f>IF(B904="", "", Inventory!E912)</f>
        <v/>
      </c>
      <c r="M904" s="298" t="str">
        <f>IF(B904="","",IF(Cool_Type=Lookups!$L$9,Cool_Type,IF(Cool_Type=Lookups!$L$10,Cool_Type,IF(Cool_Type=Lookups!$L$11,Cool_Type,IF(Cool_Type=Lookups!L914,Cool_Type,IF('Project Info and Summary'!$C$20="Electric",CONCATENATE(Cool_Type," ",Heating_Type," Heat"),IF('Project Info and Summary'!$C$20="Non-Electric",CONCATENATE(Cool_Type," ",Heating_Type," Heat"),CONCATENATE(Cool_Type," ",Heating_Type))))))))</f>
        <v/>
      </c>
      <c r="N904" s="298" t="str">
        <f t="shared" si="59"/>
        <v/>
      </c>
      <c r="O904" s="298" t="str">
        <f>IF(B904="", "", 'Lighting Inventory (Ref only)'!G915)</f>
        <v/>
      </c>
      <c r="P904" s="298" t="str">
        <f>IF(B904="", "", 'Lighting Inventory (Ref only)'!E915)</f>
        <v/>
      </c>
      <c r="Q904" s="298" t="str">
        <f>IF(B904="", "", 'Lighting Inventory (Ref only)'!J915)</f>
        <v/>
      </c>
      <c r="R904" s="298" t="str">
        <f>IF(B904="", "",'Lighting Inventory (Ref only)'!K915)</f>
        <v/>
      </c>
      <c r="S904" s="372" t="str">
        <f>IF(B904="", "", 'Lighting Inventory (Ref only)'!G915*'Lighting Inventory (Ref only)'!K915/1000)</f>
        <v/>
      </c>
      <c r="T904" s="298" t="str">
        <f>IF(B904="", "", IF('Lighting Inventory (Ref only)'!I915="", "Light Switch",Inventory!H912))</f>
        <v/>
      </c>
      <c r="X904" s="298" t="str">
        <f>IF(B904="", "", 'Lighting Inventory (Ref only)'!Q915)</f>
        <v/>
      </c>
      <c r="AA904" s="298" t="str">
        <f>IF(B904="", "",'Lighting Inventory (Ref only)'!R915/1000)</f>
        <v/>
      </c>
      <c r="AB904" s="298" t="str">
        <f>IF(B904="", "", Inventory!M912)</f>
        <v/>
      </c>
      <c r="AC904" s="298" t="str">
        <f>IF(B904="", "", 'Lighting Inventory (Ref only)'!T915)</f>
        <v/>
      </c>
      <c r="AD904" s="298" t="str">
        <f>IF(C904="", "", 'Lighting Inventory (Ref only)'!AA915)</f>
        <v/>
      </c>
      <c r="AE904" s="298" t="str">
        <f>IF(B904="", "", 'Lighting Inventory (Ref only)'!U915)</f>
        <v/>
      </c>
      <c r="AF904" s="298" t="str">
        <f>IF(B904="", "",'Lighting Inventory (Ref only)'!W915)</f>
        <v/>
      </c>
      <c r="AH904" s="298" t="str">
        <f>IF(B904="", "",'Lighting Inventory (Ref only)'!Z915)</f>
        <v/>
      </c>
      <c r="AI904" s="298" t="str">
        <f>IF(B904="", "", 'Lighting Inventory (Ref only)'!Y915)</f>
        <v/>
      </c>
      <c r="AJ904" s="298" t="str">
        <f>IF(C904="", "",'Lighting Inventory (Ref only)'!AB915)</f>
        <v/>
      </c>
      <c r="AK904" s="375" t="str">
        <f>IF(B904="", "", 'Lighting Inventory (Ref only)'!AG915)</f>
        <v/>
      </c>
      <c r="AL904" s="375" t="str">
        <f>IF(B904="", "", 'Lighting Inventory (Ref only)'!AD915)</f>
        <v/>
      </c>
      <c r="AM904" s="375" t="str">
        <f>IF(B904="", "", 'Lighting Inventory (Ref only)'!AE915)</f>
        <v/>
      </c>
      <c r="AN904" s="375" t="str">
        <f>IF(B904="", "", 'Lighting Inventory (Ref only)'!AF915)</f>
        <v/>
      </c>
      <c r="AO904" s="375" t="str">
        <f>IF(B904="", "", 'Lighting Inventory (Ref only)'!AG915)</f>
        <v/>
      </c>
    </row>
    <row r="905" spans="1:41">
      <c r="A905" s="298" t="str">
        <f>IF(G905="", "", Lookups!BF907)</f>
        <v/>
      </c>
      <c r="B905" s="298" t="str">
        <f>IF('Lighting Inventory (Ref only)'!Q916="", "", 'Lighting Inventory (Ref only)'!Q916)</f>
        <v/>
      </c>
      <c r="C905" s="298" t="str">
        <f>IF(A905="", "", 'Lighting Inventory (Ref only)'!AO916)</f>
        <v/>
      </c>
      <c r="D905" s="298" t="str">
        <f>IF(B905= "","", Inventory!S913)</f>
        <v/>
      </c>
      <c r="F905" s="298" t="str">
        <f>IF(B905="", "", 'Version Log'!$B$34)</f>
        <v/>
      </c>
      <c r="G905" s="298" t="str">
        <f t="shared" si="56"/>
        <v/>
      </c>
      <c r="H905" s="298" t="str">
        <f t="shared" si="57"/>
        <v/>
      </c>
      <c r="I905" s="298" t="str">
        <f>IF(B905="", "",Inventory!D913)</f>
        <v/>
      </c>
      <c r="J905" s="298" t="str">
        <f>IF(B905="","",IF(Inventory!C913="N","Interior","Exterior"))</f>
        <v/>
      </c>
      <c r="K905" s="298" t="str">
        <f t="shared" si="58"/>
        <v/>
      </c>
      <c r="L905" s="298" t="str">
        <f>IF(B905="", "", Inventory!E913)</f>
        <v/>
      </c>
      <c r="M905" s="298" t="str">
        <f>IF(B905="","",IF(Cool_Type=Lookups!$L$9,Cool_Type,IF(Cool_Type=Lookups!$L$10,Cool_Type,IF(Cool_Type=Lookups!$L$11,Cool_Type,IF(Cool_Type=Lookups!L915,Cool_Type,IF('Project Info and Summary'!$C$20="Electric",CONCATENATE(Cool_Type," ",Heating_Type," Heat"),IF('Project Info and Summary'!$C$20="Non-Electric",CONCATENATE(Cool_Type," ",Heating_Type," Heat"),CONCATENATE(Cool_Type," ",Heating_Type))))))))</f>
        <v/>
      </c>
      <c r="N905" s="298" t="str">
        <f t="shared" si="59"/>
        <v/>
      </c>
      <c r="O905" s="298" t="str">
        <f>IF(B905="", "", 'Lighting Inventory (Ref only)'!G916)</f>
        <v/>
      </c>
      <c r="P905" s="298" t="str">
        <f>IF(B905="", "", 'Lighting Inventory (Ref only)'!E916)</f>
        <v/>
      </c>
      <c r="Q905" s="298" t="str">
        <f>IF(B905="", "", 'Lighting Inventory (Ref only)'!J916)</f>
        <v/>
      </c>
      <c r="R905" s="298" t="str">
        <f>IF(B905="", "",'Lighting Inventory (Ref only)'!K916)</f>
        <v/>
      </c>
      <c r="S905" s="372" t="str">
        <f>IF(B905="", "", 'Lighting Inventory (Ref only)'!G916*'Lighting Inventory (Ref only)'!K916/1000)</f>
        <v/>
      </c>
      <c r="T905" s="298" t="str">
        <f>IF(B905="", "", IF('Lighting Inventory (Ref only)'!I916="", "Light Switch",Inventory!H913))</f>
        <v/>
      </c>
      <c r="X905" s="298" t="str">
        <f>IF(B905="", "", 'Lighting Inventory (Ref only)'!Q916)</f>
        <v/>
      </c>
      <c r="AA905" s="298" t="str">
        <f>IF(B905="", "",'Lighting Inventory (Ref only)'!R916/1000)</f>
        <v/>
      </c>
      <c r="AB905" s="298" t="str">
        <f>IF(B905="", "", Inventory!M913)</f>
        <v/>
      </c>
      <c r="AC905" s="298" t="str">
        <f>IF(B905="", "", 'Lighting Inventory (Ref only)'!T916)</f>
        <v/>
      </c>
      <c r="AD905" s="298" t="str">
        <f>IF(C905="", "", 'Lighting Inventory (Ref only)'!AA916)</f>
        <v/>
      </c>
      <c r="AE905" s="298" t="str">
        <f>IF(B905="", "", 'Lighting Inventory (Ref only)'!U916)</f>
        <v/>
      </c>
      <c r="AF905" s="298" t="str">
        <f>IF(B905="", "",'Lighting Inventory (Ref only)'!W916)</f>
        <v/>
      </c>
      <c r="AH905" s="298" t="str">
        <f>IF(B905="", "",'Lighting Inventory (Ref only)'!Z916)</f>
        <v/>
      </c>
      <c r="AI905" s="298" t="str">
        <f>IF(B905="", "", 'Lighting Inventory (Ref only)'!Y916)</f>
        <v/>
      </c>
      <c r="AJ905" s="298" t="str">
        <f>IF(C905="", "",'Lighting Inventory (Ref only)'!AB916)</f>
        <v/>
      </c>
      <c r="AK905" s="375" t="str">
        <f>IF(B905="", "", 'Lighting Inventory (Ref only)'!AG916)</f>
        <v/>
      </c>
      <c r="AL905" s="375" t="str">
        <f>IF(B905="", "", 'Lighting Inventory (Ref only)'!AD916)</f>
        <v/>
      </c>
      <c r="AM905" s="375" t="str">
        <f>IF(B905="", "", 'Lighting Inventory (Ref only)'!AE916)</f>
        <v/>
      </c>
      <c r="AN905" s="375" t="str">
        <f>IF(B905="", "", 'Lighting Inventory (Ref only)'!AF916)</f>
        <v/>
      </c>
      <c r="AO905" s="375" t="str">
        <f>IF(B905="", "", 'Lighting Inventory (Ref only)'!AG916)</f>
        <v/>
      </c>
    </row>
    <row r="906" spans="1:41">
      <c r="A906" s="298" t="str">
        <f>IF(G906="", "", Lookups!BF908)</f>
        <v/>
      </c>
      <c r="B906" s="298" t="str">
        <f>IF('Lighting Inventory (Ref only)'!Q917="", "", 'Lighting Inventory (Ref only)'!Q917)</f>
        <v/>
      </c>
      <c r="C906" s="298" t="str">
        <f>IF(A906="", "", 'Lighting Inventory (Ref only)'!AO917)</f>
        <v/>
      </c>
      <c r="D906" s="298" t="str">
        <f>IF(B906= "","", Inventory!S914)</f>
        <v/>
      </c>
      <c r="F906" s="298" t="str">
        <f>IF(B906="", "", 'Version Log'!$B$34)</f>
        <v/>
      </c>
      <c r="G906" s="298" t="str">
        <f t="shared" si="56"/>
        <v/>
      </c>
      <c r="H906" s="298" t="str">
        <f t="shared" si="57"/>
        <v/>
      </c>
      <c r="I906" s="298" t="str">
        <f>IF(B906="", "",Inventory!D914)</f>
        <v/>
      </c>
      <c r="J906" s="298" t="str">
        <f>IF(B906="","",IF(Inventory!C914="N","Interior","Exterior"))</f>
        <v/>
      </c>
      <c r="K906" s="298" t="str">
        <f t="shared" si="58"/>
        <v/>
      </c>
      <c r="L906" s="298" t="str">
        <f>IF(B906="", "", Inventory!E914)</f>
        <v/>
      </c>
      <c r="M906" s="298" t="str">
        <f>IF(B906="","",IF(Cool_Type=Lookups!$L$9,Cool_Type,IF(Cool_Type=Lookups!$L$10,Cool_Type,IF(Cool_Type=Lookups!$L$11,Cool_Type,IF(Cool_Type=Lookups!L916,Cool_Type,IF('Project Info and Summary'!$C$20="Electric",CONCATENATE(Cool_Type," ",Heating_Type," Heat"),IF('Project Info and Summary'!$C$20="Non-Electric",CONCATENATE(Cool_Type," ",Heating_Type," Heat"),CONCATENATE(Cool_Type," ",Heating_Type))))))))</f>
        <v/>
      </c>
      <c r="N906" s="298" t="str">
        <f t="shared" si="59"/>
        <v/>
      </c>
      <c r="O906" s="298" t="str">
        <f>IF(B906="", "", 'Lighting Inventory (Ref only)'!G917)</f>
        <v/>
      </c>
      <c r="P906" s="298" t="str">
        <f>IF(B906="", "", 'Lighting Inventory (Ref only)'!E917)</f>
        <v/>
      </c>
      <c r="Q906" s="298" t="str">
        <f>IF(B906="", "", 'Lighting Inventory (Ref only)'!J917)</f>
        <v/>
      </c>
      <c r="R906" s="298" t="str">
        <f>IF(B906="", "",'Lighting Inventory (Ref only)'!K917)</f>
        <v/>
      </c>
      <c r="S906" s="372" t="str">
        <f>IF(B906="", "", 'Lighting Inventory (Ref only)'!G917*'Lighting Inventory (Ref only)'!K917/1000)</f>
        <v/>
      </c>
      <c r="T906" s="298" t="str">
        <f>IF(B906="", "", IF('Lighting Inventory (Ref only)'!I917="", "Light Switch",Inventory!H914))</f>
        <v/>
      </c>
      <c r="X906" s="298" t="str">
        <f>IF(B906="", "", 'Lighting Inventory (Ref only)'!Q917)</f>
        <v/>
      </c>
      <c r="AA906" s="298" t="str">
        <f>IF(B906="", "",'Lighting Inventory (Ref only)'!R917/1000)</f>
        <v/>
      </c>
      <c r="AB906" s="298" t="str">
        <f>IF(B906="", "", Inventory!M914)</f>
        <v/>
      </c>
      <c r="AC906" s="298" t="str">
        <f>IF(B906="", "", 'Lighting Inventory (Ref only)'!T917)</f>
        <v/>
      </c>
      <c r="AD906" s="298" t="str">
        <f>IF(C906="", "", 'Lighting Inventory (Ref only)'!AA917)</f>
        <v/>
      </c>
      <c r="AE906" s="298" t="str">
        <f>IF(B906="", "", 'Lighting Inventory (Ref only)'!U917)</f>
        <v/>
      </c>
      <c r="AF906" s="298" t="str">
        <f>IF(B906="", "",'Lighting Inventory (Ref only)'!W917)</f>
        <v/>
      </c>
      <c r="AH906" s="298" t="str">
        <f>IF(B906="", "",'Lighting Inventory (Ref only)'!Z917)</f>
        <v/>
      </c>
      <c r="AI906" s="298" t="str">
        <f>IF(B906="", "", 'Lighting Inventory (Ref only)'!Y917)</f>
        <v/>
      </c>
      <c r="AJ906" s="298" t="str">
        <f>IF(C906="", "",'Lighting Inventory (Ref only)'!AB917)</f>
        <v/>
      </c>
      <c r="AK906" s="375" t="str">
        <f>IF(B906="", "", 'Lighting Inventory (Ref only)'!AG917)</f>
        <v/>
      </c>
      <c r="AL906" s="375" t="str">
        <f>IF(B906="", "", 'Lighting Inventory (Ref only)'!AD917)</f>
        <v/>
      </c>
      <c r="AM906" s="375" t="str">
        <f>IF(B906="", "", 'Lighting Inventory (Ref only)'!AE917)</f>
        <v/>
      </c>
      <c r="AN906" s="375" t="str">
        <f>IF(B906="", "", 'Lighting Inventory (Ref only)'!AF917)</f>
        <v/>
      </c>
      <c r="AO906" s="375" t="str">
        <f>IF(B906="", "", 'Lighting Inventory (Ref only)'!AG917)</f>
        <v/>
      </c>
    </row>
    <row r="907" spans="1:41">
      <c r="A907" s="298" t="str">
        <f>IF(G907="", "", Lookups!BF909)</f>
        <v/>
      </c>
      <c r="B907" s="298" t="str">
        <f>IF('Lighting Inventory (Ref only)'!Q918="", "", 'Lighting Inventory (Ref only)'!Q918)</f>
        <v/>
      </c>
      <c r="C907" s="298" t="str">
        <f>IF(A907="", "", 'Lighting Inventory (Ref only)'!AO918)</f>
        <v/>
      </c>
      <c r="D907" s="298" t="str">
        <f>IF(B907= "","", Inventory!S915)</f>
        <v/>
      </c>
      <c r="F907" s="298" t="str">
        <f>IF(B907="", "", 'Version Log'!$B$34)</f>
        <v/>
      </c>
      <c r="G907" s="298" t="str">
        <f t="shared" si="56"/>
        <v/>
      </c>
      <c r="H907" s="298" t="str">
        <f t="shared" si="57"/>
        <v/>
      </c>
      <c r="I907" s="298" t="str">
        <f>IF(B907="", "",Inventory!D915)</f>
        <v/>
      </c>
      <c r="J907" s="298" t="str">
        <f>IF(B907="","",IF(Inventory!C915="N","Interior","Exterior"))</f>
        <v/>
      </c>
      <c r="K907" s="298" t="str">
        <f t="shared" si="58"/>
        <v/>
      </c>
      <c r="L907" s="298" t="str">
        <f>IF(B907="", "", Inventory!E915)</f>
        <v/>
      </c>
      <c r="M907" s="298" t="str">
        <f>IF(B907="","",IF(Cool_Type=Lookups!$L$9,Cool_Type,IF(Cool_Type=Lookups!$L$10,Cool_Type,IF(Cool_Type=Lookups!$L$11,Cool_Type,IF(Cool_Type=Lookups!L917,Cool_Type,IF('Project Info and Summary'!$C$20="Electric",CONCATENATE(Cool_Type," ",Heating_Type," Heat"),IF('Project Info and Summary'!$C$20="Non-Electric",CONCATENATE(Cool_Type," ",Heating_Type," Heat"),CONCATENATE(Cool_Type," ",Heating_Type))))))))</f>
        <v/>
      </c>
      <c r="N907" s="298" t="str">
        <f t="shared" si="59"/>
        <v/>
      </c>
      <c r="O907" s="298" t="str">
        <f>IF(B907="", "", 'Lighting Inventory (Ref only)'!G918)</f>
        <v/>
      </c>
      <c r="P907" s="298" t="str">
        <f>IF(B907="", "", 'Lighting Inventory (Ref only)'!E918)</f>
        <v/>
      </c>
      <c r="Q907" s="298" t="str">
        <f>IF(B907="", "", 'Lighting Inventory (Ref only)'!J918)</f>
        <v/>
      </c>
      <c r="R907" s="298" t="str">
        <f>IF(B907="", "",'Lighting Inventory (Ref only)'!K918)</f>
        <v/>
      </c>
      <c r="S907" s="372" t="str">
        <f>IF(B907="", "", 'Lighting Inventory (Ref only)'!G918*'Lighting Inventory (Ref only)'!K918/1000)</f>
        <v/>
      </c>
      <c r="T907" s="298" t="str">
        <f>IF(B907="", "", IF('Lighting Inventory (Ref only)'!I918="", "Light Switch",Inventory!H915))</f>
        <v/>
      </c>
      <c r="X907" s="298" t="str">
        <f>IF(B907="", "", 'Lighting Inventory (Ref only)'!Q918)</f>
        <v/>
      </c>
      <c r="AA907" s="298" t="str">
        <f>IF(B907="", "",'Lighting Inventory (Ref only)'!R918/1000)</f>
        <v/>
      </c>
      <c r="AB907" s="298" t="str">
        <f>IF(B907="", "", Inventory!M915)</f>
        <v/>
      </c>
      <c r="AC907" s="298" t="str">
        <f>IF(B907="", "", 'Lighting Inventory (Ref only)'!T918)</f>
        <v/>
      </c>
      <c r="AD907" s="298" t="str">
        <f>IF(C907="", "", 'Lighting Inventory (Ref only)'!AA918)</f>
        <v/>
      </c>
      <c r="AE907" s="298" t="str">
        <f>IF(B907="", "", 'Lighting Inventory (Ref only)'!U918)</f>
        <v/>
      </c>
      <c r="AF907" s="298" t="str">
        <f>IF(B907="", "",'Lighting Inventory (Ref only)'!W918)</f>
        <v/>
      </c>
      <c r="AH907" s="298" t="str">
        <f>IF(B907="", "",'Lighting Inventory (Ref only)'!Z918)</f>
        <v/>
      </c>
      <c r="AI907" s="298" t="str">
        <f>IF(B907="", "", 'Lighting Inventory (Ref only)'!Y918)</f>
        <v/>
      </c>
      <c r="AJ907" s="298" t="str">
        <f>IF(C907="", "",'Lighting Inventory (Ref only)'!AB918)</f>
        <v/>
      </c>
      <c r="AK907" s="375" t="str">
        <f>IF(B907="", "", 'Lighting Inventory (Ref only)'!AG918)</f>
        <v/>
      </c>
      <c r="AL907" s="375" t="str">
        <f>IF(B907="", "", 'Lighting Inventory (Ref only)'!AD918)</f>
        <v/>
      </c>
      <c r="AM907" s="375" t="str">
        <f>IF(B907="", "", 'Lighting Inventory (Ref only)'!AE918)</f>
        <v/>
      </c>
      <c r="AN907" s="375" t="str">
        <f>IF(B907="", "", 'Lighting Inventory (Ref only)'!AF918)</f>
        <v/>
      </c>
      <c r="AO907" s="375" t="str">
        <f>IF(B907="", "", 'Lighting Inventory (Ref only)'!AG918)</f>
        <v/>
      </c>
    </row>
    <row r="908" spans="1:41">
      <c r="A908" s="298" t="str">
        <f>IF(G908="", "", Lookups!BF910)</f>
        <v/>
      </c>
      <c r="B908" s="298" t="str">
        <f>IF('Lighting Inventory (Ref only)'!Q919="", "", 'Lighting Inventory (Ref only)'!Q919)</f>
        <v/>
      </c>
      <c r="C908" s="298" t="str">
        <f>IF(A908="", "", 'Lighting Inventory (Ref only)'!AO919)</f>
        <v/>
      </c>
      <c r="D908" s="298" t="str">
        <f>IF(B908= "","", Inventory!S916)</f>
        <v/>
      </c>
      <c r="F908" s="298" t="str">
        <f>IF(B908="", "", 'Version Log'!$B$34)</f>
        <v/>
      </c>
      <c r="G908" s="298" t="str">
        <f t="shared" si="56"/>
        <v/>
      </c>
      <c r="H908" s="298" t="str">
        <f t="shared" si="57"/>
        <v/>
      </c>
      <c r="I908" s="298" t="str">
        <f>IF(B908="", "",Inventory!D916)</f>
        <v/>
      </c>
      <c r="J908" s="298" t="str">
        <f>IF(B908="","",IF(Inventory!C916="N","Interior","Exterior"))</f>
        <v/>
      </c>
      <c r="K908" s="298" t="str">
        <f t="shared" si="58"/>
        <v/>
      </c>
      <c r="L908" s="298" t="str">
        <f>IF(B908="", "", Inventory!E916)</f>
        <v/>
      </c>
      <c r="M908" s="298" t="str">
        <f>IF(B908="","",IF(Cool_Type=Lookups!$L$9,Cool_Type,IF(Cool_Type=Lookups!$L$10,Cool_Type,IF(Cool_Type=Lookups!$L$11,Cool_Type,IF(Cool_Type=Lookups!L918,Cool_Type,IF('Project Info and Summary'!$C$20="Electric",CONCATENATE(Cool_Type," ",Heating_Type," Heat"),IF('Project Info and Summary'!$C$20="Non-Electric",CONCATENATE(Cool_Type," ",Heating_Type," Heat"),CONCATENATE(Cool_Type," ",Heating_Type))))))))</f>
        <v/>
      </c>
      <c r="N908" s="298" t="str">
        <f t="shared" si="59"/>
        <v/>
      </c>
      <c r="O908" s="298" t="str">
        <f>IF(B908="", "", 'Lighting Inventory (Ref only)'!G919)</f>
        <v/>
      </c>
      <c r="P908" s="298" t="str">
        <f>IF(B908="", "", 'Lighting Inventory (Ref only)'!E919)</f>
        <v/>
      </c>
      <c r="Q908" s="298" t="str">
        <f>IF(B908="", "", 'Lighting Inventory (Ref only)'!J919)</f>
        <v/>
      </c>
      <c r="R908" s="298" t="str">
        <f>IF(B908="", "",'Lighting Inventory (Ref only)'!K919)</f>
        <v/>
      </c>
      <c r="S908" s="372" t="str">
        <f>IF(B908="", "", 'Lighting Inventory (Ref only)'!G919*'Lighting Inventory (Ref only)'!K919/1000)</f>
        <v/>
      </c>
      <c r="T908" s="298" t="str">
        <f>IF(B908="", "", IF('Lighting Inventory (Ref only)'!I919="", "Light Switch",Inventory!H916))</f>
        <v/>
      </c>
      <c r="X908" s="298" t="str">
        <f>IF(B908="", "", 'Lighting Inventory (Ref only)'!Q919)</f>
        <v/>
      </c>
      <c r="AA908" s="298" t="str">
        <f>IF(B908="", "",'Lighting Inventory (Ref only)'!R919/1000)</f>
        <v/>
      </c>
      <c r="AB908" s="298" t="str">
        <f>IF(B908="", "", Inventory!M916)</f>
        <v/>
      </c>
      <c r="AC908" s="298" t="str">
        <f>IF(B908="", "", 'Lighting Inventory (Ref only)'!T919)</f>
        <v/>
      </c>
      <c r="AD908" s="298" t="str">
        <f>IF(C908="", "", 'Lighting Inventory (Ref only)'!AA919)</f>
        <v/>
      </c>
      <c r="AE908" s="298" t="str">
        <f>IF(B908="", "", 'Lighting Inventory (Ref only)'!U919)</f>
        <v/>
      </c>
      <c r="AF908" s="298" t="str">
        <f>IF(B908="", "",'Lighting Inventory (Ref only)'!W919)</f>
        <v/>
      </c>
      <c r="AH908" s="298" t="str">
        <f>IF(B908="", "",'Lighting Inventory (Ref only)'!Z919)</f>
        <v/>
      </c>
      <c r="AI908" s="298" t="str">
        <f>IF(B908="", "", 'Lighting Inventory (Ref only)'!Y919)</f>
        <v/>
      </c>
      <c r="AJ908" s="298" t="str">
        <f>IF(C908="", "",'Lighting Inventory (Ref only)'!AB919)</f>
        <v/>
      </c>
      <c r="AK908" s="375" t="str">
        <f>IF(B908="", "", 'Lighting Inventory (Ref only)'!AG919)</f>
        <v/>
      </c>
      <c r="AL908" s="375" t="str">
        <f>IF(B908="", "", 'Lighting Inventory (Ref only)'!AD919)</f>
        <v/>
      </c>
      <c r="AM908" s="375" t="str">
        <f>IF(B908="", "", 'Lighting Inventory (Ref only)'!AE919)</f>
        <v/>
      </c>
      <c r="AN908" s="375" t="str">
        <f>IF(B908="", "", 'Lighting Inventory (Ref only)'!AF919)</f>
        <v/>
      </c>
      <c r="AO908" s="375" t="str">
        <f>IF(B908="", "", 'Lighting Inventory (Ref only)'!AG919)</f>
        <v/>
      </c>
    </row>
    <row r="909" spans="1:41">
      <c r="A909" s="298" t="str">
        <f>IF(G909="", "", Lookups!BF911)</f>
        <v/>
      </c>
      <c r="B909" s="298" t="str">
        <f>IF('Lighting Inventory (Ref only)'!Q920="", "", 'Lighting Inventory (Ref only)'!Q920)</f>
        <v/>
      </c>
      <c r="C909" s="298" t="str">
        <f>IF(A909="", "", 'Lighting Inventory (Ref only)'!AO920)</f>
        <v/>
      </c>
      <c r="D909" s="298" t="str">
        <f>IF(B909= "","", Inventory!S917)</f>
        <v/>
      </c>
      <c r="F909" s="298" t="str">
        <f>IF(B909="", "", 'Version Log'!$B$34)</f>
        <v/>
      </c>
      <c r="G909" s="298" t="str">
        <f t="shared" si="56"/>
        <v/>
      </c>
      <c r="H909" s="298" t="str">
        <f t="shared" si="57"/>
        <v/>
      </c>
      <c r="I909" s="298" t="str">
        <f>IF(B909="", "",Inventory!D917)</f>
        <v/>
      </c>
      <c r="J909" s="298" t="str">
        <f>IF(B909="","",IF(Inventory!C917="N","Interior","Exterior"))</f>
        <v/>
      </c>
      <c r="K909" s="298" t="str">
        <f t="shared" si="58"/>
        <v/>
      </c>
      <c r="L909" s="298" t="str">
        <f>IF(B909="", "", Inventory!E917)</f>
        <v/>
      </c>
      <c r="M909" s="298" t="str">
        <f>IF(B909="","",IF(Cool_Type=Lookups!$L$9,Cool_Type,IF(Cool_Type=Lookups!$L$10,Cool_Type,IF(Cool_Type=Lookups!$L$11,Cool_Type,IF(Cool_Type=Lookups!L919,Cool_Type,IF('Project Info and Summary'!$C$20="Electric",CONCATENATE(Cool_Type," ",Heating_Type," Heat"),IF('Project Info and Summary'!$C$20="Non-Electric",CONCATENATE(Cool_Type," ",Heating_Type," Heat"),CONCATENATE(Cool_Type," ",Heating_Type))))))))</f>
        <v/>
      </c>
      <c r="N909" s="298" t="str">
        <f t="shared" si="59"/>
        <v/>
      </c>
      <c r="O909" s="298" t="str">
        <f>IF(B909="", "", 'Lighting Inventory (Ref only)'!G920)</f>
        <v/>
      </c>
      <c r="P909" s="298" t="str">
        <f>IF(B909="", "", 'Lighting Inventory (Ref only)'!E920)</f>
        <v/>
      </c>
      <c r="Q909" s="298" t="str">
        <f>IF(B909="", "", 'Lighting Inventory (Ref only)'!J920)</f>
        <v/>
      </c>
      <c r="R909" s="298" t="str">
        <f>IF(B909="", "",'Lighting Inventory (Ref only)'!K920)</f>
        <v/>
      </c>
      <c r="S909" s="372" t="str">
        <f>IF(B909="", "", 'Lighting Inventory (Ref only)'!G920*'Lighting Inventory (Ref only)'!K920/1000)</f>
        <v/>
      </c>
      <c r="T909" s="298" t="str">
        <f>IF(B909="", "", IF('Lighting Inventory (Ref only)'!I920="", "Light Switch",Inventory!H917))</f>
        <v/>
      </c>
      <c r="X909" s="298" t="str">
        <f>IF(B909="", "", 'Lighting Inventory (Ref only)'!Q920)</f>
        <v/>
      </c>
      <c r="AA909" s="298" t="str">
        <f>IF(B909="", "",'Lighting Inventory (Ref only)'!R920/1000)</f>
        <v/>
      </c>
      <c r="AB909" s="298" t="str">
        <f>IF(B909="", "", Inventory!M917)</f>
        <v/>
      </c>
      <c r="AC909" s="298" t="str">
        <f>IF(B909="", "", 'Lighting Inventory (Ref only)'!T920)</f>
        <v/>
      </c>
      <c r="AD909" s="298" t="str">
        <f>IF(C909="", "", 'Lighting Inventory (Ref only)'!AA920)</f>
        <v/>
      </c>
      <c r="AE909" s="298" t="str">
        <f>IF(B909="", "", 'Lighting Inventory (Ref only)'!U920)</f>
        <v/>
      </c>
      <c r="AF909" s="298" t="str">
        <f>IF(B909="", "",'Lighting Inventory (Ref only)'!W920)</f>
        <v/>
      </c>
      <c r="AH909" s="298" t="str">
        <f>IF(B909="", "",'Lighting Inventory (Ref only)'!Z920)</f>
        <v/>
      </c>
      <c r="AI909" s="298" t="str">
        <f>IF(B909="", "", 'Lighting Inventory (Ref only)'!Y920)</f>
        <v/>
      </c>
      <c r="AJ909" s="298" t="str">
        <f>IF(C909="", "",'Lighting Inventory (Ref only)'!AB920)</f>
        <v/>
      </c>
      <c r="AK909" s="375" t="str">
        <f>IF(B909="", "", 'Lighting Inventory (Ref only)'!AG920)</f>
        <v/>
      </c>
      <c r="AL909" s="375" t="str">
        <f>IF(B909="", "", 'Lighting Inventory (Ref only)'!AD920)</f>
        <v/>
      </c>
      <c r="AM909" s="375" t="str">
        <f>IF(B909="", "", 'Lighting Inventory (Ref only)'!AE920)</f>
        <v/>
      </c>
      <c r="AN909" s="375" t="str">
        <f>IF(B909="", "", 'Lighting Inventory (Ref only)'!AF920)</f>
        <v/>
      </c>
      <c r="AO909" s="375" t="str">
        <f>IF(B909="", "", 'Lighting Inventory (Ref only)'!AG920)</f>
        <v/>
      </c>
    </row>
    <row r="910" spans="1:41">
      <c r="A910" s="298" t="str">
        <f>IF(G910="", "", Lookups!BF912)</f>
        <v/>
      </c>
      <c r="B910" s="298" t="str">
        <f>IF('Lighting Inventory (Ref only)'!Q921="", "", 'Lighting Inventory (Ref only)'!Q921)</f>
        <v/>
      </c>
      <c r="C910" s="298" t="str">
        <f>IF(A910="", "", 'Lighting Inventory (Ref only)'!AO921)</f>
        <v/>
      </c>
      <c r="D910" s="298" t="str">
        <f>IF(B910= "","", Inventory!S918)</f>
        <v/>
      </c>
      <c r="F910" s="298" t="str">
        <f>IF(B910="", "", 'Version Log'!$B$34)</f>
        <v/>
      </c>
      <c r="G910" s="298" t="str">
        <f t="shared" si="56"/>
        <v/>
      </c>
      <c r="H910" s="298" t="str">
        <f t="shared" si="57"/>
        <v/>
      </c>
      <c r="I910" s="298" t="str">
        <f>IF(B910="", "",Inventory!D918)</f>
        <v/>
      </c>
      <c r="J910" s="298" t="str">
        <f>IF(B910="","",IF(Inventory!C918="N","Interior","Exterior"))</f>
        <v/>
      </c>
      <c r="K910" s="298" t="str">
        <f t="shared" si="58"/>
        <v/>
      </c>
      <c r="L910" s="298" t="str">
        <f>IF(B910="", "", Inventory!E918)</f>
        <v/>
      </c>
      <c r="M910" s="298" t="str">
        <f>IF(B910="","",IF(Cool_Type=Lookups!$L$9,Cool_Type,IF(Cool_Type=Lookups!$L$10,Cool_Type,IF(Cool_Type=Lookups!$L$11,Cool_Type,IF(Cool_Type=Lookups!L920,Cool_Type,IF('Project Info and Summary'!$C$20="Electric",CONCATENATE(Cool_Type," ",Heating_Type," Heat"),IF('Project Info and Summary'!$C$20="Non-Electric",CONCATENATE(Cool_Type," ",Heating_Type," Heat"),CONCATENATE(Cool_Type," ",Heating_Type))))))))</f>
        <v/>
      </c>
      <c r="N910" s="298" t="str">
        <f t="shared" si="59"/>
        <v/>
      </c>
      <c r="O910" s="298" t="str">
        <f>IF(B910="", "", 'Lighting Inventory (Ref only)'!G921)</f>
        <v/>
      </c>
      <c r="P910" s="298" t="str">
        <f>IF(B910="", "", 'Lighting Inventory (Ref only)'!E921)</f>
        <v/>
      </c>
      <c r="Q910" s="298" t="str">
        <f>IF(B910="", "", 'Lighting Inventory (Ref only)'!J921)</f>
        <v/>
      </c>
      <c r="R910" s="298" t="str">
        <f>IF(B910="", "",'Lighting Inventory (Ref only)'!K921)</f>
        <v/>
      </c>
      <c r="S910" s="372" t="str">
        <f>IF(B910="", "", 'Lighting Inventory (Ref only)'!G921*'Lighting Inventory (Ref only)'!K921/1000)</f>
        <v/>
      </c>
      <c r="T910" s="298" t="str">
        <f>IF(B910="", "", IF('Lighting Inventory (Ref only)'!I921="", "Light Switch",Inventory!H918))</f>
        <v/>
      </c>
      <c r="X910" s="298" t="str">
        <f>IF(B910="", "", 'Lighting Inventory (Ref only)'!Q921)</f>
        <v/>
      </c>
      <c r="AA910" s="298" t="str">
        <f>IF(B910="", "",'Lighting Inventory (Ref only)'!R921/1000)</f>
        <v/>
      </c>
      <c r="AB910" s="298" t="str">
        <f>IF(B910="", "", Inventory!M918)</f>
        <v/>
      </c>
      <c r="AC910" s="298" t="str">
        <f>IF(B910="", "", 'Lighting Inventory (Ref only)'!T921)</f>
        <v/>
      </c>
      <c r="AD910" s="298" t="str">
        <f>IF(C910="", "", 'Lighting Inventory (Ref only)'!AA921)</f>
        <v/>
      </c>
      <c r="AE910" s="298" t="str">
        <f>IF(B910="", "", 'Lighting Inventory (Ref only)'!U921)</f>
        <v/>
      </c>
      <c r="AF910" s="298" t="str">
        <f>IF(B910="", "",'Lighting Inventory (Ref only)'!W921)</f>
        <v/>
      </c>
      <c r="AH910" s="298" t="str">
        <f>IF(B910="", "",'Lighting Inventory (Ref only)'!Z921)</f>
        <v/>
      </c>
      <c r="AI910" s="298" t="str">
        <f>IF(B910="", "", 'Lighting Inventory (Ref only)'!Y921)</f>
        <v/>
      </c>
      <c r="AJ910" s="298" t="str">
        <f>IF(C910="", "",'Lighting Inventory (Ref only)'!AB921)</f>
        <v/>
      </c>
      <c r="AK910" s="375" t="str">
        <f>IF(B910="", "", 'Lighting Inventory (Ref only)'!AG921)</f>
        <v/>
      </c>
      <c r="AL910" s="375" t="str">
        <f>IF(B910="", "", 'Lighting Inventory (Ref only)'!AD921)</f>
        <v/>
      </c>
      <c r="AM910" s="375" t="str">
        <f>IF(B910="", "", 'Lighting Inventory (Ref only)'!AE921)</f>
        <v/>
      </c>
      <c r="AN910" s="375" t="str">
        <f>IF(B910="", "", 'Lighting Inventory (Ref only)'!AF921)</f>
        <v/>
      </c>
      <c r="AO910" s="375" t="str">
        <f>IF(B910="", "", 'Lighting Inventory (Ref only)'!AG921)</f>
        <v/>
      </c>
    </row>
    <row r="911" spans="1:41">
      <c r="A911" s="298" t="str">
        <f>IF(G911="", "", Lookups!BF913)</f>
        <v/>
      </c>
      <c r="B911" s="298" t="str">
        <f>IF('Lighting Inventory (Ref only)'!Q922="", "", 'Lighting Inventory (Ref only)'!Q922)</f>
        <v/>
      </c>
      <c r="C911" s="298" t="str">
        <f>IF(A911="", "", 'Lighting Inventory (Ref only)'!AO922)</f>
        <v/>
      </c>
      <c r="D911" s="298" t="str">
        <f>IF(B911= "","", Inventory!S919)</f>
        <v/>
      </c>
      <c r="F911" s="298" t="str">
        <f>IF(B911="", "", 'Version Log'!$B$34)</f>
        <v/>
      </c>
      <c r="G911" s="298" t="str">
        <f t="shared" si="56"/>
        <v/>
      </c>
      <c r="H911" s="298" t="str">
        <f t="shared" si="57"/>
        <v/>
      </c>
      <c r="I911" s="298" t="str">
        <f>IF(B911="", "",Inventory!D919)</f>
        <v/>
      </c>
      <c r="J911" s="298" t="str">
        <f>IF(B911="","",IF(Inventory!C919="N","Interior","Exterior"))</f>
        <v/>
      </c>
      <c r="K911" s="298" t="str">
        <f t="shared" si="58"/>
        <v/>
      </c>
      <c r="L911" s="298" t="str">
        <f>IF(B911="", "", Inventory!E919)</f>
        <v/>
      </c>
      <c r="M911" s="298" t="str">
        <f>IF(B911="","",IF(Cool_Type=Lookups!$L$9,Cool_Type,IF(Cool_Type=Lookups!$L$10,Cool_Type,IF(Cool_Type=Lookups!$L$11,Cool_Type,IF(Cool_Type=Lookups!L921,Cool_Type,IF('Project Info and Summary'!$C$20="Electric",CONCATENATE(Cool_Type," ",Heating_Type," Heat"),IF('Project Info and Summary'!$C$20="Non-Electric",CONCATENATE(Cool_Type," ",Heating_Type," Heat"),CONCATENATE(Cool_Type," ",Heating_Type))))))))</f>
        <v/>
      </c>
      <c r="N911" s="298" t="str">
        <f t="shared" si="59"/>
        <v/>
      </c>
      <c r="O911" s="298" t="str">
        <f>IF(B911="", "", 'Lighting Inventory (Ref only)'!G922)</f>
        <v/>
      </c>
      <c r="P911" s="298" t="str">
        <f>IF(B911="", "", 'Lighting Inventory (Ref only)'!E922)</f>
        <v/>
      </c>
      <c r="Q911" s="298" t="str">
        <f>IF(B911="", "", 'Lighting Inventory (Ref only)'!J922)</f>
        <v/>
      </c>
      <c r="R911" s="298" t="str">
        <f>IF(B911="", "",'Lighting Inventory (Ref only)'!K922)</f>
        <v/>
      </c>
      <c r="S911" s="372" t="str">
        <f>IF(B911="", "", 'Lighting Inventory (Ref only)'!G922*'Lighting Inventory (Ref only)'!K922/1000)</f>
        <v/>
      </c>
      <c r="T911" s="298" t="str">
        <f>IF(B911="", "", IF('Lighting Inventory (Ref only)'!I922="", "Light Switch",Inventory!H919))</f>
        <v/>
      </c>
      <c r="X911" s="298" t="str">
        <f>IF(B911="", "", 'Lighting Inventory (Ref only)'!Q922)</f>
        <v/>
      </c>
      <c r="AA911" s="298" t="str">
        <f>IF(B911="", "",'Lighting Inventory (Ref only)'!R922/1000)</f>
        <v/>
      </c>
      <c r="AB911" s="298" t="str">
        <f>IF(B911="", "", Inventory!M919)</f>
        <v/>
      </c>
      <c r="AC911" s="298" t="str">
        <f>IF(B911="", "", 'Lighting Inventory (Ref only)'!T922)</f>
        <v/>
      </c>
      <c r="AD911" s="298" t="str">
        <f>IF(C911="", "", 'Lighting Inventory (Ref only)'!AA922)</f>
        <v/>
      </c>
      <c r="AE911" s="298" t="str">
        <f>IF(B911="", "", 'Lighting Inventory (Ref only)'!U922)</f>
        <v/>
      </c>
      <c r="AF911" s="298" t="str">
        <f>IF(B911="", "",'Lighting Inventory (Ref only)'!W922)</f>
        <v/>
      </c>
      <c r="AH911" s="298" t="str">
        <f>IF(B911="", "",'Lighting Inventory (Ref only)'!Z922)</f>
        <v/>
      </c>
      <c r="AI911" s="298" t="str">
        <f>IF(B911="", "", 'Lighting Inventory (Ref only)'!Y922)</f>
        <v/>
      </c>
      <c r="AJ911" s="298" t="str">
        <f>IF(C911="", "",'Lighting Inventory (Ref only)'!AB922)</f>
        <v/>
      </c>
      <c r="AK911" s="375" t="str">
        <f>IF(B911="", "", 'Lighting Inventory (Ref only)'!AG922)</f>
        <v/>
      </c>
      <c r="AL911" s="375" t="str">
        <f>IF(B911="", "", 'Lighting Inventory (Ref only)'!AD922)</f>
        <v/>
      </c>
      <c r="AM911" s="375" t="str">
        <f>IF(B911="", "", 'Lighting Inventory (Ref only)'!AE922)</f>
        <v/>
      </c>
      <c r="AN911" s="375" t="str">
        <f>IF(B911="", "", 'Lighting Inventory (Ref only)'!AF922)</f>
        <v/>
      </c>
      <c r="AO911" s="375" t="str">
        <f>IF(B911="", "", 'Lighting Inventory (Ref only)'!AG922)</f>
        <v/>
      </c>
    </row>
    <row r="912" spans="1:41">
      <c r="A912" s="298" t="str">
        <f>IF(G912="", "", Lookups!BF914)</f>
        <v/>
      </c>
      <c r="B912" s="298" t="str">
        <f>IF('Lighting Inventory (Ref only)'!Q923="", "", 'Lighting Inventory (Ref only)'!Q923)</f>
        <v/>
      </c>
      <c r="C912" s="298" t="str">
        <f>IF(A912="", "", 'Lighting Inventory (Ref only)'!AO923)</f>
        <v/>
      </c>
      <c r="D912" s="298" t="str">
        <f>IF(B912= "","", Inventory!S920)</f>
        <v/>
      </c>
      <c r="F912" s="298" t="str">
        <f>IF(B912="", "", 'Version Log'!$B$34)</f>
        <v/>
      </c>
      <c r="G912" s="298" t="str">
        <f t="shared" si="56"/>
        <v/>
      </c>
      <c r="H912" s="298" t="str">
        <f t="shared" si="57"/>
        <v/>
      </c>
      <c r="I912" s="298" t="str">
        <f>IF(B912="", "",Inventory!D920)</f>
        <v/>
      </c>
      <c r="J912" s="298" t="str">
        <f>IF(B912="","",IF(Inventory!C920="N","Interior","Exterior"))</f>
        <v/>
      </c>
      <c r="K912" s="298" t="str">
        <f t="shared" si="58"/>
        <v/>
      </c>
      <c r="L912" s="298" t="str">
        <f>IF(B912="", "", Inventory!E920)</f>
        <v/>
      </c>
      <c r="M912" s="298" t="str">
        <f>IF(B912="","",IF(Cool_Type=Lookups!$L$9,Cool_Type,IF(Cool_Type=Lookups!$L$10,Cool_Type,IF(Cool_Type=Lookups!$L$11,Cool_Type,IF(Cool_Type=Lookups!L922,Cool_Type,IF('Project Info and Summary'!$C$20="Electric",CONCATENATE(Cool_Type," ",Heating_Type," Heat"),IF('Project Info and Summary'!$C$20="Non-Electric",CONCATENATE(Cool_Type," ",Heating_Type," Heat"),CONCATENATE(Cool_Type," ",Heating_Type))))))))</f>
        <v/>
      </c>
      <c r="N912" s="298" t="str">
        <f t="shared" si="59"/>
        <v/>
      </c>
      <c r="O912" s="298" t="str">
        <f>IF(B912="", "", 'Lighting Inventory (Ref only)'!G923)</f>
        <v/>
      </c>
      <c r="P912" s="298" t="str">
        <f>IF(B912="", "", 'Lighting Inventory (Ref only)'!E923)</f>
        <v/>
      </c>
      <c r="Q912" s="298" t="str">
        <f>IF(B912="", "", 'Lighting Inventory (Ref only)'!J923)</f>
        <v/>
      </c>
      <c r="R912" s="298" t="str">
        <f>IF(B912="", "",'Lighting Inventory (Ref only)'!K923)</f>
        <v/>
      </c>
      <c r="S912" s="372" t="str">
        <f>IF(B912="", "", 'Lighting Inventory (Ref only)'!G923*'Lighting Inventory (Ref only)'!K923/1000)</f>
        <v/>
      </c>
      <c r="T912" s="298" t="str">
        <f>IF(B912="", "", IF('Lighting Inventory (Ref only)'!I923="", "Light Switch",Inventory!H920))</f>
        <v/>
      </c>
      <c r="X912" s="298" t="str">
        <f>IF(B912="", "", 'Lighting Inventory (Ref only)'!Q923)</f>
        <v/>
      </c>
      <c r="AA912" s="298" t="str">
        <f>IF(B912="", "",'Lighting Inventory (Ref only)'!R923/1000)</f>
        <v/>
      </c>
      <c r="AB912" s="298" t="str">
        <f>IF(B912="", "", Inventory!M920)</f>
        <v/>
      </c>
      <c r="AC912" s="298" t="str">
        <f>IF(B912="", "", 'Lighting Inventory (Ref only)'!T923)</f>
        <v/>
      </c>
      <c r="AD912" s="298" t="str">
        <f>IF(C912="", "", 'Lighting Inventory (Ref only)'!AA923)</f>
        <v/>
      </c>
      <c r="AE912" s="298" t="str">
        <f>IF(B912="", "", 'Lighting Inventory (Ref only)'!U923)</f>
        <v/>
      </c>
      <c r="AF912" s="298" t="str">
        <f>IF(B912="", "",'Lighting Inventory (Ref only)'!W923)</f>
        <v/>
      </c>
      <c r="AH912" s="298" t="str">
        <f>IF(B912="", "",'Lighting Inventory (Ref only)'!Z923)</f>
        <v/>
      </c>
      <c r="AI912" s="298" t="str">
        <f>IF(B912="", "", 'Lighting Inventory (Ref only)'!Y923)</f>
        <v/>
      </c>
      <c r="AJ912" s="298" t="str">
        <f>IF(C912="", "",'Lighting Inventory (Ref only)'!AB923)</f>
        <v/>
      </c>
      <c r="AK912" s="375" t="str">
        <f>IF(B912="", "", 'Lighting Inventory (Ref only)'!AG923)</f>
        <v/>
      </c>
      <c r="AL912" s="375" t="str">
        <f>IF(B912="", "", 'Lighting Inventory (Ref only)'!AD923)</f>
        <v/>
      </c>
      <c r="AM912" s="375" t="str">
        <f>IF(B912="", "", 'Lighting Inventory (Ref only)'!AE923)</f>
        <v/>
      </c>
      <c r="AN912" s="375" t="str">
        <f>IF(B912="", "", 'Lighting Inventory (Ref only)'!AF923)</f>
        <v/>
      </c>
      <c r="AO912" s="375" t="str">
        <f>IF(B912="", "", 'Lighting Inventory (Ref only)'!AG923)</f>
        <v/>
      </c>
    </row>
    <row r="913" spans="1:41">
      <c r="A913" s="298" t="str">
        <f>IF(G913="", "", Lookups!BF915)</f>
        <v/>
      </c>
      <c r="B913" s="298" t="str">
        <f>IF('Lighting Inventory (Ref only)'!Q924="", "", 'Lighting Inventory (Ref only)'!Q924)</f>
        <v/>
      </c>
      <c r="C913" s="298" t="str">
        <f>IF(A913="", "", 'Lighting Inventory (Ref only)'!AO924)</f>
        <v/>
      </c>
      <c r="D913" s="298" t="str">
        <f>IF(B913= "","", Inventory!S921)</f>
        <v/>
      </c>
      <c r="F913" s="298" t="str">
        <f>IF(B913="", "", 'Version Log'!$B$34)</f>
        <v/>
      </c>
      <c r="G913" s="298" t="str">
        <f t="shared" si="56"/>
        <v/>
      </c>
      <c r="H913" s="298" t="str">
        <f t="shared" si="57"/>
        <v/>
      </c>
      <c r="I913" s="298" t="str">
        <f>IF(B913="", "",Inventory!D921)</f>
        <v/>
      </c>
      <c r="J913" s="298" t="str">
        <f>IF(B913="","",IF(Inventory!C921="N","Interior","Exterior"))</f>
        <v/>
      </c>
      <c r="K913" s="298" t="str">
        <f t="shared" si="58"/>
        <v/>
      </c>
      <c r="L913" s="298" t="str">
        <f>IF(B913="", "", Inventory!E921)</f>
        <v/>
      </c>
      <c r="M913" s="298" t="str">
        <f>IF(B913="","",IF(Cool_Type=Lookups!$L$9,Cool_Type,IF(Cool_Type=Lookups!$L$10,Cool_Type,IF(Cool_Type=Lookups!$L$11,Cool_Type,IF(Cool_Type=Lookups!L923,Cool_Type,IF('Project Info and Summary'!$C$20="Electric",CONCATENATE(Cool_Type," ",Heating_Type," Heat"),IF('Project Info and Summary'!$C$20="Non-Electric",CONCATENATE(Cool_Type," ",Heating_Type," Heat"),CONCATENATE(Cool_Type," ",Heating_Type))))))))</f>
        <v/>
      </c>
      <c r="N913" s="298" t="str">
        <f t="shared" si="59"/>
        <v/>
      </c>
      <c r="O913" s="298" t="str">
        <f>IF(B913="", "", 'Lighting Inventory (Ref only)'!G924)</f>
        <v/>
      </c>
      <c r="P913" s="298" t="str">
        <f>IF(B913="", "", 'Lighting Inventory (Ref only)'!E924)</f>
        <v/>
      </c>
      <c r="Q913" s="298" t="str">
        <f>IF(B913="", "", 'Lighting Inventory (Ref only)'!J924)</f>
        <v/>
      </c>
      <c r="R913" s="298" t="str">
        <f>IF(B913="", "",'Lighting Inventory (Ref only)'!K924)</f>
        <v/>
      </c>
      <c r="S913" s="372" t="str">
        <f>IF(B913="", "", 'Lighting Inventory (Ref only)'!G924*'Lighting Inventory (Ref only)'!K924/1000)</f>
        <v/>
      </c>
      <c r="T913" s="298" t="str">
        <f>IF(B913="", "", IF('Lighting Inventory (Ref only)'!I924="", "Light Switch",Inventory!H921))</f>
        <v/>
      </c>
      <c r="X913" s="298" t="str">
        <f>IF(B913="", "", 'Lighting Inventory (Ref only)'!Q924)</f>
        <v/>
      </c>
      <c r="AA913" s="298" t="str">
        <f>IF(B913="", "",'Lighting Inventory (Ref only)'!R924/1000)</f>
        <v/>
      </c>
      <c r="AB913" s="298" t="str">
        <f>IF(B913="", "", Inventory!M921)</f>
        <v/>
      </c>
      <c r="AC913" s="298" t="str">
        <f>IF(B913="", "", 'Lighting Inventory (Ref only)'!T924)</f>
        <v/>
      </c>
      <c r="AD913" s="298" t="str">
        <f>IF(C913="", "", 'Lighting Inventory (Ref only)'!AA924)</f>
        <v/>
      </c>
      <c r="AE913" s="298" t="str">
        <f>IF(B913="", "", 'Lighting Inventory (Ref only)'!U924)</f>
        <v/>
      </c>
      <c r="AF913" s="298" t="str">
        <f>IF(B913="", "",'Lighting Inventory (Ref only)'!W924)</f>
        <v/>
      </c>
      <c r="AH913" s="298" t="str">
        <f>IF(B913="", "",'Lighting Inventory (Ref only)'!Z924)</f>
        <v/>
      </c>
      <c r="AI913" s="298" t="str">
        <f>IF(B913="", "", 'Lighting Inventory (Ref only)'!Y924)</f>
        <v/>
      </c>
      <c r="AJ913" s="298" t="str">
        <f>IF(C913="", "",'Lighting Inventory (Ref only)'!AB924)</f>
        <v/>
      </c>
      <c r="AK913" s="375" t="str">
        <f>IF(B913="", "", 'Lighting Inventory (Ref only)'!AG924)</f>
        <v/>
      </c>
      <c r="AL913" s="375" t="str">
        <f>IF(B913="", "", 'Lighting Inventory (Ref only)'!AD924)</f>
        <v/>
      </c>
      <c r="AM913" s="375" t="str">
        <f>IF(B913="", "", 'Lighting Inventory (Ref only)'!AE924)</f>
        <v/>
      </c>
      <c r="AN913" s="375" t="str">
        <f>IF(B913="", "", 'Lighting Inventory (Ref only)'!AF924)</f>
        <v/>
      </c>
      <c r="AO913" s="375" t="str">
        <f>IF(B913="", "", 'Lighting Inventory (Ref only)'!AG924)</f>
        <v/>
      </c>
    </row>
    <row r="914" spans="1:41">
      <c r="A914" s="298" t="str">
        <f>IF(G914="", "", Lookups!BF916)</f>
        <v/>
      </c>
      <c r="B914" s="298" t="str">
        <f>IF('Lighting Inventory (Ref only)'!Q925="", "", 'Lighting Inventory (Ref only)'!Q925)</f>
        <v/>
      </c>
      <c r="C914" s="298" t="str">
        <f>IF(A914="", "", 'Lighting Inventory (Ref only)'!AO925)</f>
        <v/>
      </c>
      <c r="D914" s="298" t="str">
        <f>IF(B914= "","", Inventory!S922)</f>
        <v/>
      </c>
      <c r="F914" s="298" t="str">
        <f>IF(B914="", "", 'Version Log'!$B$34)</f>
        <v/>
      </c>
      <c r="G914" s="298" t="str">
        <f t="shared" si="56"/>
        <v/>
      </c>
      <c r="H914" s="298" t="str">
        <f t="shared" si="57"/>
        <v/>
      </c>
      <c r="I914" s="298" t="str">
        <f>IF(B914="", "",Inventory!D922)</f>
        <v/>
      </c>
      <c r="J914" s="298" t="str">
        <f>IF(B914="","",IF(Inventory!C922="N","Interior","Exterior"))</f>
        <v/>
      </c>
      <c r="K914" s="298" t="str">
        <f t="shared" si="58"/>
        <v/>
      </c>
      <c r="L914" s="298" t="str">
        <f>IF(B914="", "", Inventory!E922)</f>
        <v/>
      </c>
      <c r="M914" s="298" t="str">
        <f>IF(B914="","",IF(Cool_Type=Lookups!$L$9,Cool_Type,IF(Cool_Type=Lookups!$L$10,Cool_Type,IF(Cool_Type=Lookups!$L$11,Cool_Type,IF(Cool_Type=Lookups!L924,Cool_Type,IF('Project Info and Summary'!$C$20="Electric",CONCATENATE(Cool_Type," ",Heating_Type," Heat"),IF('Project Info and Summary'!$C$20="Non-Electric",CONCATENATE(Cool_Type," ",Heating_Type," Heat"),CONCATENATE(Cool_Type," ",Heating_Type))))))))</f>
        <v/>
      </c>
      <c r="N914" s="298" t="str">
        <f t="shared" si="59"/>
        <v/>
      </c>
      <c r="O914" s="298" t="str">
        <f>IF(B914="", "", 'Lighting Inventory (Ref only)'!G925)</f>
        <v/>
      </c>
      <c r="P914" s="298" t="str">
        <f>IF(B914="", "", 'Lighting Inventory (Ref only)'!E925)</f>
        <v/>
      </c>
      <c r="Q914" s="298" t="str">
        <f>IF(B914="", "", 'Lighting Inventory (Ref only)'!J925)</f>
        <v/>
      </c>
      <c r="R914" s="298" t="str">
        <f>IF(B914="", "",'Lighting Inventory (Ref only)'!K925)</f>
        <v/>
      </c>
      <c r="S914" s="372" t="str">
        <f>IF(B914="", "", 'Lighting Inventory (Ref only)'!G925*'Lighting Inventory (Ref only)'!K925/1000)</f>
        <v/>
      </c>
      <c r="T914" s="298" t="str">
        <f>IF(B914="", "", IF('Lighting Inventory (Ref only)'!I925="", "Light Switch",Inventory!H922))</f>
        <v/>
      </c>
      <c r="X914" s="298" t="str">
        <f>IF(B914="", "", 'Lighting Inventory (Ref only)'!Q925)</f>
        <v/>
      </c>
      <c r="AA914" s="298" t="str">
        <f>IF(B914="", "",'Lighting Inventory (Ref only)'!R925/1000)</f>
        <v/>
      </c>
      <c r="AB914" s="298" t="str">
        <f>IF(B914="", "", Inventory!M922)</f>
        <v/>
      </c>
      <c r="AC914" s="298" t="str">
        <f>IF(B914="", "", 'Lighting Inventory (Ref only)'!T925)</f>
        <v/>
      </c>
      <c r="AD914" s="298" t="str">
        <f>IF(C914="", "", 'Lighting Inventory (Ref only)'!AA925)</f>
        <v/>
      </c>
      <c r="AE914" s="298" t="str">
        <f>IF(B914="", "", 'Lighting Inventory (Ref only)'!U925)</f>
        <v/>
      </c>
      <c r="AF914" s="298" t="str">
        <f>IF(B914="", "",'Lighting Inventory (Ref only)'!W925)</f>
        <v/>
      </c>
      <c r="AH914" s="298" t="str">
        <f>IF(B914="", "",'Lighting Inventory (Ref only)'!Z925)</f>
        <v/>
      </c>
      <c r="AI914" s="298" t="str">
        <f>IF(B914="", "", 'Lighting Inventory (Ref only)'!Y925)</f>
        <v/>
      </c>
      <c r="AJ914" s="298" t="str">
        <f>IF(C914="", "",'Lighting Inventory (Ref only)'!AB925)</f>
        <v/>
      </c>
      <c r="AK914" s="375" t="str">
        <f>IF(B914="", "", 'Lighting Inventory (Ref only)'!AG925)</f>
        <v/>
      </c>
      <c r="AL914" s="375" t="str">
        <f>IF(B914="", "", 'Lighting Inventory (Ref only)'!AD925)</f>
        <v/>
      </c>
      <c r="AM914" s="375" t="str">
        <f>IF(B914="", "", 'Lighting Inventory (Ref only)'!AE925)</f>
        <v/>
      </c>
      <c r="AN914" s="375" t="str">
        <f>IF(B914="", "", 'Lighting Inventory (Ref only)'!AF925)</f>
        <v/>
      </c>
      <c r="AO914" s="375" t="str">
        <f>IF(B914="", "", 'Lighting Inventory (Ref only)'!AG925)</f>
        <v/>
      </c>
    </row>
    <row r="915" spans="1:41">
      <c r="A915" s="298" t="str">
        <f>IF(G915="", "", Lookups!BF917)</f>
        <v/>
      </c>
      <c r="B915" s="298" t="str">
        <f>IF('Lighting Inventory (Ref only)'!Q926="", "", 'Lighting Inventory (Ref only)'!Q926)</f>
        <v/>
      </c>
      <c r="C915" s="298" t="str">
        <f>IF(A915="", "", 'Lighting Inventory (Ref only)'!AO926)</f>
        <v/>
      </c>
      <c r="D915" s="298" t="str">
        <f>IF(B915= "","", Inventory!S923)</f>
        <v/>
      </c>
      <c r="F915" s="298" t="str">
        <f>IF(B915="", "", 'Version Log'!$B$34)</f>
        <v/>
      </c>
      <c r="G915" s="298" t="str">
        <f t="shared" si="56"/>
        <v/>
      </c>
      <c r="H915" s="298" t="str">
        <f t="shared" si="57"/>
        <v/>
      </c>
      <c r="I915" s="298" t="str">
        <f>IF(B915="", "",Inventory!D923)</f>
        <v/>
      </c>
      <c r="J915" s="298" t="str">
        <f>IF(B915="","",IF(Inventory!C923="N","Interior","Exterior"))</f>
        <v/>
      </c>
      <c r="K915" s="298" t="str">
        <f t="shared" si="58"/>
        <v/>
      </c>
      <c r="L915" s="298" t="str">
        <f>IF(B915="", "", Inventory!E923)</f>
        <v/>
      </c>
      <c r="M915" s="298" t="str">
        <f>IF(B915="","",IF(Cool_Type=Lookups!$L$9,Cool_Type,IF(Cool_Type=Lookups!$L$10,Cool_Type,IF(Cool_Type=Lookups!$L$11,Cool_Type,IF(Cool_Type=Lookups!L925,Cool_Type,IF('Project Info and Summary'!$C$20="Electric",CONCATENATE(Cool_Type," ",Heating_Type," Heat"),IF('Project Info and Summary'!$C$20="Non-Electric",CONCATENATE(Cool_Type," ",Heating_Type," Heat"),CONCATENATE(Cool_Type," ",Heating_Type))))))))</f>
        <v/>
      </c>
      <c r="N915" s="298" t="str">
        <f t="shared" si="59"/>
        <v/>
      </c>
      <c r="O915" s="298" t="str">
        <f>IF(B915="", "", 'Lighting Inventory (Ref only)'!G926)</f>
        <v/>
      </c>
      <c r="P915" s="298" t="str">
        <f>IF(B915="", "", 'Lighting Inventory (Ref only)'!E926)</f>
        <v/>
      </c>
      <c r="Q915" s="298" t="str">
        <f>IF(B915="", "", 'Lighting Inventory (Ref only)'!J926)</f>
        <v/>
      </c>
      <c r="R915" s="298" t="str">
        <f>IF(B915="", "",'Lighting Inventory (Ref only)'!K926)</f>
        <v/>
      </c>
      <c r="S915" s="372" t="str">
        <f>IF(B915="", "", 'Lighting Inventory (Ref only)'!G926*'Lighting Inventory (Ref only)'!K926/1000)</f>
        <v/>
      </c>
      <c r="T915" s="298" t="str">
        <f>IF(B915="", "", IF('Lighting Inventory (Ref only)'!I926="", "Light Switch",Inventory!H923))</f>
        <v/>
      </c>
      <c r="X915" s="298" t="str">
        <f>IF(B915="", "", 'Lighting Inventory (Ref only)'!Q926)</f>
        <v/>
      </c>
      <c r="AA915" s="298" t="str">
        <f>IF(B915="", "",'Lighting Inventory (Ref only)'!R926/1000)</f>
        <v/>
      </c>
      <c r="AB915" s="298" t="str">
        <f>IF(B915="", "", Inventory!M923)</f>
        <v/>
      </c>
      <c r="AC915" s="298" t="str">
        <f>IF(B915="", "", 'Lighting Inventory (Ref only)'!T926)</f>
        <v/>
      </c>
      <c r="AD915" s="298" t="str">
        <f>IF(C915="", "", 'Lighting Inventory (Ref only)'!AA926)</f>
        <v/>
      </c>
      <c r="AE915" s="298" t="str">
        <f>IF(B915="", "", 'Lighting Inventory (Ref only)'!U926)</f>
        <v/>
      </c>
      <c r="AF915" s="298" t="str">
        <f>IF(B915="", "",'Lighting Inventory (Ref only)'!W926)</f>
        <v/>
      </c>
      <c r="AH915" s="298" t="str">
        <f>IF(B915="", "",'Lighting Inventory (Ref only)'!Z926)</f>
        <v/>
      </c>
      <c r="AI915" s="298" t="str">
        <f>IF(B915="", "", 'Lighting Inventory (Ref only)'!Y926)</f>
        <v/>
      </c>
      <c r="AJ915" s="298" t="str">
        <f>IF(C915="", "",'Lighting Inventory (Ref only)'!AB926)</f>
        <v/>
      </c>
      <c r="AK915" s="375" t="str">
        <f>IF(B915="", "", 'Lighting Inventory (Ref only)'!AG926)</f>
        <v/>
      </c>
      <c r="AL915" s="375" t="str">
        <f>IF(B915="", "", 'Lighting Inventory (Ref only)'!AD926)</f>
        <v/>
      </c>
      <c r="AM915" s="375" t="str">
        <f>IF(B915="", "", 'Lighting Inventory (Ref only)'!AE926)</f>
        <v/>
      </c>
      <c r="AN915" s="375" t="str">
        <f>IF(B915="", "", 'Lighting Inventory (Ref only)'!AF926)</f>
        <v/>
      </c>
      <c r="AO915" s="375" t="str">
        <f>IF(B915="", "", 'Lighting Inventory (Ref only)'!AG926)</f>
        <v/>
      </c>
    </row>
    <row r="916" spans="1:41">
      <c r="A916" s="298" t="str">
        <f>IF(G916="", "", Lookups!BF918)</f>
        <v/>
      </c>
      <c r="B916" s="298" t="str">
        <f>IF('Lighting Inventory (Ref only)'!Q927="", "", 'Lighting Inventory (Ref only)'!Q927)</f>
        <v/>
      </c>
      <c r="C916" s="298" t="str">
        <f>IF(A916="", "", 'Lighting Inventory (Ref only)'!AO927)</f>
        <v/>
      </c>
      <c r="D916" s="298" t="str">
        <f>IF(B916= "","", Inventory!S924)</f>
        <v/>
      </c>
      <c r="F916" s="298" t="str">
        <f>IF(B916="", "", 'Version Log'!$B$34)</f>
        <v/>
      </c>
      <c r="G916" s="298" t="str">
        <f t="shared" si="56"/>
        <v/>
      </c>
      <c r="H916" s="298" t="str">
        <f t="shared" si="57"/>
        <v/>
      </c>
      <c r="I916" s="298" t="str">
        <f>IF(B916="", "",Inventory!D924)</f>
        <v/>
      </c>
      <c r="J916" s="298" t="str">
        <f>IF(B916="","",IF(Inventory!C924="N","Interior","Exterior"))</f>
        <v/>
      </c>
      <c r="K916" s="298" t="str">
        <f t="shared" si="58"/>
        <v/>
      </c>
      <c r="L916" s="298" t="str">
        <f>IF(B916="", "", Inventory!E924)</f>
        <v/>
      </c>
      <c r="M916" s="298" t="str">
        <f>IF(B916="","",IF(Cool_Type=Lookups!$L$9,Cool_Type,IF(Cool_Type=Lookups!$L$10,Cool_Type,IF(Cool_Type=Lookups!$L$11,Cool_Type,IF(Cool_Type=Lookups!L926,Cool_Type,IF('Project Info and Summary'!$C$20="Electric",CONCATENATE(Cool_Type," ",Heating_Type," Heat"),IF('Project Info and Summary'!$C$20="Non-Electric",CONCATENATE(Cool_Type," ",Heating_Type," Heat"),CONCATENATE(Cool_Type," ",Heating_Type))))))))</f>
        <v/>
      </c>
      <c r="N916" s="298" t="str">
        <f t="shared" si="59"/>
        <v/>
      </c>
      <c r="O916" s="298" t="str">
        <f>IF(B916="", "", 'Lighting Inventory (Ref only)'!G927)</f>
        <v/>
      </c>
      <c r="P916" s="298" t="str">
        <f>IF(B916="", "", 'Lighting Inventory (Ref only)'!E927)</f>
        <v/>
      </c>
      <c r="Q916" s="298" t="str">
        <f>IF(B916="", "", 'Lighting Inventory (Ref only)'!J927)</f>
        <v/>
      </c>
      <c r="R916" s="298" t="str">
        <f>IF(B916="", "",'Lighting Inventory (Ref only)'!K927)</f>
        <v/>
      </c>
      <c r="S916" s="372" t="str">
        <f>IF(B916="", "", 'Lighting Inventory (Ref only)'!G927*'Lighting Inventory (Ref only)'!K927/1000)</f>
        <v/>
      </c>
      <c r="T916" s="298" t="str">
        <f>IF(B916="", "", IF('Lighting Inventory (Ref only)'!I927="", "Light Switch",Inventory!H924))</f>
        <v/>
      </c>
      <c r="X916" s="298" t="str">
        <f>IF(B916="", "", 'Lighting Inventory (Ref only)'!Q927)</f>
        <v/>
      </c>
      <c r="AA916" s="298" t="str">
        <f>IF(B916="", "",'Lighting Inventory (Ref only)'!R927/1000)</f>
        <v/>
      </c>
      <c r="AB916" s="298" t="str">
        <f>IF(B916="", "", Inventory!M924)</f>
        <v/>
      </c>
      <c r="AC916" s="298" t="str">
        <f>IF(B916="", "", 'Lighting Inventory (Ref only)'!T927)</f>
        <v/>
      </c>
      <c r="AD916" s="298" t="str">
        <f>IF(C916="", "", 'Lighting Inventory (Ref only)'!AA927)</f>
        <v/>
      </c>
      <c r="AE916" s="298" t="str">
        <f>IF(B916="", "", 'Lighting Inventory (Ref only)'!U927)</f>
        <v/>
      </c>
      <c r="AF916" s="298" t="str">
        <f>IF(B916="", "",'Lighting Inventory (Ref only)'!W927)</f>
        <v/>
      </c>
      <c r="AH916" s="298" t="str">
        <f>IF(B916="", "",'Lighting Inventory (Ref only)'!Z927)</f>
        <v/>
      </c>
      <c r="AI916" s="298" t="str">
        <f>IF(B916="", "", 'Lighting Inventory (Ref only)'!Y927)</f>
        <v/>
      </c>
      <c r="AJ916" s="298" t="str">
        <f>IF(C916="", "",'Lighting Inventory (Ref only)'!AB927)</f>
        <v/>
      </c>
      <c r="AK916" s="375" t="str">
        <f>IF(B916="", "", 'Lighting Inventory (Ref only)'!AG927)</f>
        <v/>
      </c>
      <c r="AL916" s="375" t="str">
        <f>IF(B916="", "", 'Lighting Inventory (Ref only)'!AD927)</f>
        <v/>
      </c>
      <c r="AM916" s="375" t="str">
        <f>IF(B916="", "", 'Lighting Inventory (Ref only)'!AE927)</f>
        <v/>
      </c>
      <c r="AN916" s="375" t="str">
        <f>IF(B916="", "", 'Lighting Inventory (Ref only)'!AF927)</f>
        <v/>
      </c>
      <c r="AO916" s="375" t="str">
        <f>IF(B916="", "", 'Lighting Inventory (Ref only)'!AG927)</f>
        <v/>
      </c>
    </row>
    <row r="917" spans="1:41">
      <c r="A917" s="298" t="str">
        <f>IF(G917="", "", Lookups!BF919)</f>
        <v/>
      </c>
      <c r="B917" s="298" t="str">
        <f>IF('Lighting Inventory (Ref only)'!Q928="", "", 'Lighting Inventory (Ref only)'!Q928)</f>
        <v/>
      </c>
      <c r="C917" s="298" t="str">
        <f>IF(A917="", "", 'Lighting Inventory (Ref only)'!AO928)</f>
        <v/>
      </c>
      <c r="D917" s="298" t="str">
        <f>IF(B917= "","", Inventory!S925)</f>
        <v/>
      </c>
      <c r="F917" s="298" t="str">
        <f>IF(B917="", "", 'Version Log'!$B$34)</f>
        <v/>
      </c>
      <c r="G917" s="298" t="str">
        <f t="shared" si="56"/>
        <v/>
      </c>
      <c r="H917" s="298" t="str">
        <f t="shared" si="57"/>
        <v/>
      </c>
      <c r="I917" s="298" t="str">
        <f>IF(B917="", "",Inventory!D925)</f>
        <v/>
      </c>
      <c r="J917" s="298" t="str">
        <f>IF(B917="","",IF(Inventory!C925="N","Interior","Exterior"))</f>
        <v/>
      </c>
      <c r="K917" s="298" t="str">
        <f t="shared" si="58"/>
        <v/>
      </c>
      <c r="L917" s="298" t="str">
        <f>IF(B917="", "", Inventory!E925)</f>
        <v/>
      </c>
      <c r="M917" s="298" t="str">
        <f>IF(B917="","",IF(Cool_Type=Lookups!$L$9,Cool_Type,IF(Cool_Type=Lookups!$L$10,Cool_Type,IF(Cool_Type=Lookups!$L$11,Cool_Type,IF(Cool_Type=Lookups!L927,Cool_Type,IF('Project Info and Summary'!$C$20="Electric",CONCATENATE(Cool_Type," ",Heating_Type," Heat"),IF('Project Info and Summary'!$C$20="Non-Electric",CONCATENATE(Cool_Type," ",Heating_Type," Heat"),CONCATENATE(Cool_Type," ",Heating_Type))))))))</f>
        <v/>
      </c>
      <c r="N917" s="298" t="str">
        <f t="shared" si="59"/>
        <v/>
      </c>
      <c r="O917" s="298" t="str">
        <f>IF(B917="", "", 'Lighting Inventory (Ref only)'!G928)</f>
        <v/>
      </c>
      <c r="P917" s="298" t="str">
        <f>IF(B917="", "", 'Lighting Inventory (Ref only)'!E928)</f>
        <v/>
      </c>
      <c r="Q917" s="298" t="str">
        <f>IF(B917="", "", 'Lighting Inventory (Ref only)'!J928)</f>
        <v/>
      </c>
      <c r="R917" s="298" t="str">
        <f>IF(B917="", "",'Lighting Inventory (Ref only)'!K928)</f>
        <v/>
      </c>
      <c r="S917" s="372" t="str">
        <f>IF(B917="", "", 'Lighting Inventory (Ref only)'!G928*'Lighting Inventory (Ref only)'!K928/1000)</f>
        <v/>
      </c>
      <c r="T917" s="298" t="str">
        <f>IF(B917="", "", IF('Lighting Inventory (Ref only)'!I928="", "Light Switch",Inventory!H925))</f>
        <v/>
      </c>
      <c r="X917" s="298" t="str">
        <f>IF(B917="", "", 'Lighting Inventory (Ref only)'!Q928)</f>
        <v/>
      </c>
      <c r="AA917" s="298" t="str">
        <f>IF(B917="", "",'Lighting Inventory (Ref only)'!R928/1000)</f>
        <v/>
      </c>
      <c r="AB917" s="298" t="str">
        <f>IF(B917="", "", Inventory!M925)</f>
        <v/>
      </c>
      <c r="AC917" s="298" t="str">
        <f>IF(B917="", "", 'Lighting Inventory (Ref only)'!T928)</f>
        <v/>
      </c>
      <c r="AD917" s="298" t="str">
        <f>IF(C917="", "", 'Lighting Inventory (Ref only)'!AA928)</f>
        <v/>
      </c>
      <c r="AE917" s="298" t="str">
        <f>IF(B917="", "", 'Lighting Inventory (Ref only)'!U928)</f>
        <v/>
      </c>
      <c r="AF917" s="298" t="str">
        <f>IF(B917="", "",'Lighting Inventory (Ref only)'!W928)</f>
        <v/>
      </c>
      <c r="AH917" s="298" t="str">
        <f>IF(B917="", "",'Lighting Inventory (Ref only)'!Z928)</f>
        <v/>
      </c>
      <c r="AI917" s="298" t="str">
        <f>IF(B917="", "", 'Lighting Inventory (Ref only)'!Y928)</f>
        <v/>
      </c>
      <c r="AJ917" s="298" t="str">
        <f>IF(C917="", "",'Lighting Inventory (Ref only)'!AB928)</f>
        <v/>
      </c>
      <c r="AK917" s="375" t="str">
        <f>IF(B917="", "", 'Lighting Inventory (Ref only)'!AG928)</f>
        <v/>
      </c>
      <c r="AL917" s="375" t="str">
        <f>IF(B917="", "", 'Lighting Inventory (Ref only)'!AD928)</f>
        <v/>
      </c>
      <c r="AM917" s="375" t="str">
        <f>IF(B917="", "", 'Lighting Inventory (Ref only)'!AE928)</f>
        <v/>
      </c>
      <c r="AN917" s="375" t="str">
        <f>IF(B917="", "", 'Lighting Inventory (Ref only)'!AF928)</f>
        <v/>
      </c>
      <c r="AO917" s="375" t="str">
        <f>IF(B917="", "", 'Lighting Inventory (Ref only)'!AG928)</f>
        <v/>
      </c>
    </row>
    <row r="918" spans="1:41">
      <c r="A918" s="298" t="str">
        <f>IF(G918="", "", Lookups!BF920)</f>
        <v/>
      </c>
      <c r="B918" s="298" t="str">
        <f>IF('Lighting Inventory (Ref only)'!Q929="", "", 'Lighting Inventory (Ref only)'!Q929)</f>
        <v/>
      </c>
      <c r="C918" s="298" t="str">
        <f>IF(A918="", "", 'Lighting Inventory (Ref only)'!AO929)</f>
        <v/>
      </c>
      <c r="D918" s="298" t="str">
        <f>IF(B918= "","", Inventory!S926)</f>
        <v/>
      </c>
      <c r="F918" s="298" t="str">
        <f>IF(B918="", "", 'Version Log'!$B$34)</f>
        <v/>
      </c>
      <c r="G918" s="298" t="str">
        <f t="shared" si="56"/>
        <v/>
      </c>
      <c r="H918" s="298" t="str">
        <f t="shared" si="57"/>
        <v/>
      </c>
      <c r="I918" s="298" t="str">
        <f>IF(B918="", "",Inventory!D926)</f>
        <v/>
      </c>
      <c r="J918" s="298" t="str">
        <f>IF(B918="","",IF(Inventory!C926="N","Interior","Exterior"))</f>
        <v/>
      </c>
      <c r="K918" s="298" t="str">
        <f t="shared" si="58"/>
        <v/>
      </c>
      <c r="L918" s="298" t="str">
        <f>IF(B918="", "", Inventory!E926)</f>
        <v/>
      </c>
      <c r="M918" s="298" t="str">
        <f>IF(B918="","",IF(Cool_Type=Lookups!$L$9,Cool_Type,IF(Cool_Type=Lookups!$L$10,Cool_Type,IF(Cool_Type=Lookups!$L$11,Cool_Type,IF(Cool_Type=Lookups!L928,Cool_Type,IF('Project Info and Summary'!$C$20="Electric",CONCATENATE(Cool_Type," ",Heating_Type," Heat"),IF('Project Info and Summary'!$C$20="Non-Electric",CONCATENATE(Cool_Type," ",Heating_Type," Heat"),CONCATENATE(Cool_Type," ",Heating_Type))))))))</f>
        <v/>
      </c>
      <c r="N918" s="298" t="str">
        <f t="shared" si="59"/>
        <v/>
      </c>
      <c r="O918" s="298" t="str">
        <f>IF(B918="", "", 'Lighting Inventory (Ref only)'!G929)</f>
        <v/>
      </c>
      <c r="P918" s="298" t="str">
        <f>IF(B918="", "", 'Lighting Inventory (Ref only)'!E929)</f>
        <v/>
      </c>
      <c r="Q918" s="298" t="str">
        <f>IF(B918="", "", 'Lighting Inventory (Ref only)'!J929)</f>
        <v/>
      </c>
      <c r="R918" s="298" t="str">
        <f>IF(B918="", "",'Lighting Inventory (Ref only)'!K929)</f>
        <v/>
      </c>
      <c r="S918" s="372" t="str">
        <f>IF(B918="", "", 'Lighting Inventory (Ref only)'!G929*'Lighting Inventory (Ref only)'!K929/1000)</f>
        <v/>
      </c>
      <c r="T918" s="298" t="str">
        <f>IF(B918="", "", IF('Lighting Inventory (Ref only)'!I929="", "Light Switch",Inventory!H926))</f>
        <v/>
      </c>
      <c r="X918" s="298" t="str">
        <f>IF(B918="", "", 'Lighting Inventory (Ref only)'!Q929)</f>
        <v/>
      </c>
      <c r="AA918" s="298" t="str">
        <f>IF(B918="", "",'Lighting Inventory (Ref only)'!R929/1000)</f>
        <v/>
      </c>
      <c r="AB918" s="298" t="str">
        <f>IF(B918="", "", Inventory!M926)</f>
        <v/>
      </c>
      <c r="AC918" s="298" t="str">
        <f>IF(B918="", "", 'Lighting Inventory (Ref only)'!T929)</f>
        <v/>
      </c>
      <c r="AD918" s="298" t="str">
        <f>IF(C918="", "", 'Lighting Inventory (Ref only)'!AA929)</f>
        <v/>
      </c>
      <c r="AE918" s="298" t="str">
        <f>IF(B918="", "", 'Lighting Inventory (Ref only)'!U929)</f>
        <v/>
      </c>
      <c r="AF918" s="298" t="str">
        <f>IF(B918="", "",'Lighting Inventory (Ref only)'!W929)</f>
        <v/>
      </c>
      <c r="AH918" s="298" t="str">
        <f>IF(B918="", "",'Lighting Inventory (Ref only)'!Z929)</f>
        <v/>
      </c>
      <c r="AI918" s="298" t="str">
        <f>IF(B918="", "", 'Lighting Inventory (Ref only)'!Y929)</f>
        <v/>
      </c>
      <c r="AJ918" s="298" t="str">
        <f>IF(C918="", "",'Lighting Inventory (Ref only)'!AB929)</f>
        <v/>
      </c>
      <c r="AK918" s="375" t="str">
        <f>IF(B918="", "", 'Lighting Inventory (Ref only)'!AG929)</f>
        <v/>
      </c>
      <c r="AL918" s="375" t="str">
        <f>IF(B918="", "", 'Lighting Inventory (Ref only)'!AD929)</f>
        <v/>
      </c>
      <c r="AM918" s="375" t="str">
        <f>IF(B918="", "", 'Lighting Inventory (Ref only)'!AE929)</f>
        <v/>
      </c>
      <c r="AN918" s="375" t="str">
        <f>IF(B918="", "", 'Lighting Inventory (Ref only)'!AF929)</f>
        <v/>
      </c>
      <c r="AO918" s="375" t="str">
        <f>IF(B918="", "", 'Lighting Inventory (Ref only)'!AG929)</f>
        <v/>
      </c>
    </row>
    <row r="919" spans="1:41">
      <c r="A919" s="298" t="str">
        <f>IF(G919="", "", Lookups!BF921)</f>
        <v/>
      </c>
      <c r="B919" s="298" t="str">
        <f>IF('Lighting Inventory (Ref only)'!Q930="", "", 'Lighting Inventory (Ref only)'!Q930)</f>
        <v/>
      </c>
      <c r="C919" s="298" t="str">
        <f>IF(A919="", "", 'Lighting Inventory (Ref only)'!AO930)</f>
        <v/>
      </c>
      <c r="D919" s="298" t="str">
        <f>IF(B919= "","", Inventory!S927)</f>
        <v/>
      </c>
      <c r="F919" s="298" t="str">
        <f>IF(B919="", "", 'Version Log'!$B$34)</f>
        <v/>
      </c>
      <c r="G919" s="298" t="str">
        <f t="shared" si="56"/>
        <v/>
      </c>
      <c r="H919" s="298" t="str">
        <f t="shared" si="57"/>
        <v/>
      </c>
      <c r="I919" s="298" t="str">
        <f>IF(B919="", "",Inventory!D927)</f>
        <v/>
      </c>
      <c r="J919" s="298" t="str">
        <f>IF(B919="","",IF(Inventory!C927="N","Interior","Exterior"))</f>
        <v/>
      </c>
      <c r="K919" s="298" t="str">
        <f t="shared" si="58"/>
        <v/>
      </c>
      <c r="L919" s="298" t="str">
        <f>IF(B919="", "", Inventory!E927)</f>
        <v/>
      </c>
      <c r="M919" s="298" t="str">
        <f>IF(B919="","",IF(Cool_Type=Lookups!$L$9,Cool_Type,IF(Cool_Type=Lookups!$L$10,Cool_Type,IF(Cool_Type=Lookups!$L$11,Cool_Type,IF(Cool_Type=Lookups!L929,Cool_Type,IF('Project Info and Summary'!$C$20="Electric",CONCATENATE(Cool_Type," ",Heating_Type," Heat"),IF('Project Info and Summary'!$C$20="Non-Electric",CONCATENATE(Cool_Type," ",Heating_Type," Heat"),CONCATENATE(Cool_Type," ",Heating_Type))))))))</f>
        <v/>
      </c>
      <c r="N919" s="298" t="str">
        <f t="shared" si="59"/>
        <v/>
      </c>
      <c r="O919" s="298" t="str">
        <f>IF(B919="", "", 'Lighting Inventory (Ref only)'!G930)</f>
        <v/>
      </c>
      <c r="P919" s="298" t="str">
        <f>IF(B919="", "", 'Lighting Inventory (Ref only)'!E930)</f>
        <v/>
      </c>
      <c r="Q919" s="298" t="str">
        <f>IF(B919="", "", 'Lighting Inventory (Ref only)'!J930)</f>
        <v/>
      </c>
      <c r="R919" s="298" t="str">
        <f>IF(B919="", "",'Lighting Inventory (Ref only)'!K930)</f>
        <v/>
      </c>
      <c r="S919" s="372" t="str">
        <f>IF(B919="", "", 'Lighting Inventory (Ref only)'!G930*'Lighting Inventory (Ref only)'!K930/1000)</f>
        <v/>
      </c>
      <c r="T919" s="298" t="str">
        <f>IF(B919="", "", IF('Lighting Inventory (Ref only)'!I930="", "Light Switch",Inventory!H927))</f>
        <v/>
      </c>
      <c r="X919" s="298" t="str">
        <f>IF(B919="", "", 'Lighting Inventory (Ref only)'!Q930)</f>
        <v/>
      </c>
      <c r="AA919" s="298" t="str">
        <f>IF(B919="", "",'Lighting Inventory (Ref only)'!R930/1000)</f>
        <v/>
      </c>
      <c r="AB919" s="298" t="str">
        <f>IF(B919="", "", Inventory!M927)</f>
        <v/>
      </c>
      <c r="AC919" s="298" t="str">
        <f>IF(B919="", "", 'Lighting Inventory (Ref only)'!T930)</f>
        <v/>
      </c>
      <c r="AD919" s="298" t="str">
        <f>IF(C919="", "", 'Lighting Inventory (Ref only)'!AA930)</f>
        <v/>
      </c>
      <c r="AE919" s="298" t="str">
        <f>IF(B919="", "", 'Lighting Inventory (Ref only)'!U930)</f>
        <v/>
      </c>
      <c r="AF919" s="298" t="str">
        <f>IF(B919="", "",'Lighting Inventory (Ref only)'!W930)</f>
        <v/>
      </c>
      <c r="AH919" s="298" t="str">
        <f>IF(B919="", "",'Lighting Inventory (Ref only)'!Z930)</f>
        <v/>
      </c>
      <c r="AI919" s="298" t="str">
        <f>IF(B919="", "", 'Lighting Inventory (Ref only)'!Y930)</f>
        <v/>
      </c>
      <c r="AJ919" s="298" t="str">
        <f>IF(C919="", "",'Lighting Inventory (Ref only)'!AB930)</f>
        <v/>
      </c>
      <c r="AK919" s="375" t="str">
        <f>IF(B919="", "", 'Lighting Inventory (Ref only)'!AG930)</f>
        <v/>
      </c>
      <c r="AL919" s="375" t="str">
        <f>IF(B919="", "", 'Lighting Inventory (Ref only)'!AD930)</f>
        <v/>
      </c>
      <c r="AM919" s="375" t="str">
        <f>IF(B919="", "", 'Lighting Inventory (Ref only)'!AE930)</f>
        <v/>
      </c>
      <c r="AN919" s="375" t="str">
        <f>IF(B919="", "", 'Lighting Inventory (Ref only)'!AF930)</f>
        <v/>
      </c>
      <c r="AO919" s="375" t="str">
        <f>IF(B919="", "", 'Lighting Inventory (Ref only)'!AG930)</f>
        <v/>
      </c>
    </row>
    <row r="920" spans="1:41">
      <c r="A920" s="298" t="str">
        <f>IF(G920="", "", Lookups!BF922)</f>
        <v/>
      </c>
      <c r="B920" s="298" t="str">
        <f>IF('Lighting Inventory (Ref only)'!Q931="", "", 'Lighting Inventory (Ref only)'!Q931)</f>
        <v/>
      </c>
      <c r="C920" s="298" t="str">
        <f>IF(A920="", "", 'Lighting Inventory (Ref only)'!AO931)</f>
        <v/>
      </c>
      <c r="D920" s="298" t="str">
        <f>IF(B920= "","", Inventory!S928)</f>
        <v/>
      </c>
      <c r="F920" s="298" t="str">
        <f>IF(B920="", "", 'Version Log'!$B$34)</f>
        <v/>
      </c>
      <c r="G920" s="298" t="str">
        <f t="shared" si="56"/>
        <v/>
      </c>
      <c r="H920" s="298" t="str">
        <f t="shared" si="57"/>
        <v/>
      </c>
      <c r="I920" s="298" t="str">
        <f>IF(B920="", "",Inventory!D928)</f>
        <v/>
      </c>
      <c r="J920" s="298" t="str">
        <f>IF(B920="","",IF(Inventory!C928="N","Interior","Exterior"))</f>
        <v/>
      </c>
      <c r="K920" s="298" t="str">
        <f t="shared" si="58"/>
        <v/>
      </c>
      <c r="L920" s="298" t="str">
        <f>IF(B920="", "", Inventory!E928)</f>
        <v/>
      </c>
      <c r="M920" s="298" t="str">
        <f>IF(B920="","",IF(Cool_Type=Lookups!$L$9,Cool_Type,IF(Cool_Type=Lookups!$L$10,Cool_Type,IF(Cool_Type=Lookups!$L$11,Cool_Type,IF(Cool_Type=Lookups!L930,Cool_Type,IF('Project Info and Summary'!$C$20="Electric",CONCATENATE(Cool_Type," ",Heating_Type," Heat"),IF('Project Info and Summary'!$C$20="Non-Electric",CONCATENATE(Cool_Type," ",Heating_Type," Heat"),CONCATENATE(Cool_Type," ",Heating_Type))))))))</f>
        <v/>
      </c>
      <c r="N920" s="298" t="str">
        <f t="shared" si="59"/>
        <v/>
      </c>
      <c r="O920" s="298" t="str">
        <f>IF(B920="", "", 'Lighting Inventory (Ref only)'!G931)</f>
        <v/>
      </c>
      <c r="P920" s="298" t="str">
        <f>IF(B920="", "", 'Lighting Inventory (Ref only)'!E931)</f>
        <v/>
      </c>
      <c r="Q920" s="298" t="str">
        <f>IF(B920="", "", 'Lighting Inventory (Ref only)'!J931)</f>
        <v/>
      </c>
      <c r="R920" s="298" t="str">
        <f>IF(B920="", "",'Lighting Inventory (Ref only)'!K931)</f>
        <v/>
      </c>
      <c r="S920" s="372" t="str">
        <f>IF(B920="", "", 'Lighting Inventory (Ref only)'!G931*'Lighting Inventory (Ref only)'!K931/1000)</f>
        <v/>
      </c>
      <c r="T920" s="298" t="str">
        <f>IF(B920="", "", IF('Lighting Inventory (Ref only)'!I931="", "Light Switch",Inventory!H928))</f>
        <v/>
      </c>
      <c r="X920" s="298" t="str">
        <f>IF(B920="", "", 'Lighting Inventory (Ref only)'!Q931)</f>
        <v/>
      </c>
      <c r="AA920" s="298" t="str">
        <f>IF(B920="", "",'Lighting Inventory (Ref only)'!R931/1000)</f>
        <v/>
      </c>
      <c r="AB920" s="298" t="str">
        <f>IF(B920="", "", Inventory!M928)</f>
        <v/>
      </c>
      <c r="AC920" s="298" t="str">
        <f>IF(B920="", "", 'Lighting Inventory (Ref only)'!T931)</f>
        <v/>
      </c>
      <c r="AD920" s="298" t="str">
        <f>IF(C920="", "", 'Lighting Inventory (Ref only)'!AA931)</f>
        <v/>
      </c>
      <c r="AE920" s="298" t="str">
        <f>IF(B920="", "", 'Lighting Inventory (Ref only)'!U931)</f>
        <v/>
      </c>
      <c r="AF920" s="298" t="str">
        <f>IF(B920="", "",'Lighting Inventory (Ref only)'!W931)</f>
        <v/>
      </c>
      <c r="AH920" s="298" t="str">
        <f>IF(B920="", "",'Lighting Inventory (Ref only)'!Z931)</f>
        <v/>
      </c>
      <c r="AI920" s="298" t="str">
        <f>IF(B920="", "", 'Lighting Inventory (Ref only)'!Y931)</f>
        <v/>
      </c>
      <c r="AJ920" s="298" t="str">
        <f>IF(C920="", "",'Lighting Inventory (Ref only)'!AB931)</f>
        <v/>
      </c>
      <c r="AK920" s="375" t="str">
        <f>IF(B920="", "", 'Lighting Inventory (Ref only)'!AG931)</f>
        <v/>
      </c>
      <c r="AL920" s="375" t="str">
        <f>IF(B920="", "", 'Lighting Inventory (Ref only)'!AD931)</f>
        <v/>
      </c>
      <c r="AM920" s="375" t="str">
        <f>IF(B920="", "", 'Lighting Inventory (Ref only)'!AE931)</f>
        <v/>
      </c>
      <c r="AN920" s="375" t="str">
        <f>IF(B920="", "", 'Lighting Inventory (Ref only)'!AF931)</f>
        <v/>
      </c>
      <c r="AO920" s="375" t="str">
        <f>IF(B920="", "", 'Lighting Inventory (Ref only)'!AG931)</f>
        <v/>
      </c>
    </row>
    <row r="921" spans="1:41">
      <c r="A921" s="298" t="str">
        <f>IF(G921="", "", Lookups!BF923)</f>
        <v/>
      </c>
      <c r="B921" s="298" t="str">
        <f>IF('Lighting Inventory (Ref only)'!Q932="", "", 'Lighting Inventory (Ref only)'!Q932)</f>
        <v/>
      </c>
      <c r="C921" s="298" t="str">
        <f>IF(A921="", "", 'Lighting Inventory (Ref only)'!AO932)</f>
        <v/>
      </c>
      <c r="D921" s="298" t="str">
        <f>IF(B921= "","", Inventory!S929)</f>
        <v/>
      </c>
      <c r="F921" s="298" t="str">
        <f>IF(B921="", "", 'Version Log'!$B$34)</f>
        <v/>
      </c>
      <c r="G921" s="298" t="str">
        <f t="shared" si="56"/>
        <v/>
      </c>
      <c r="H921" s="298" t="str">
        <f t="shared" si="57"/>
        <v/>
      </c>
      <c r="I921" s="298" t="str">
        <f>IF(B921="", "",Inventory!D929)</f>
        <v/>
      </c>
      <c r="J921" s="298" t="str">
        <f>IF(B921="","",IF(Inventory!C929="N","Interior","Exterior"))</f>
        <v/>
      </c>
      <c r="K921" s="298" t="str">
        <f t="shared" si="58"/>
        <v/>
      </c>
      <c r="L921" s="298" t="str">
        <f>IF(B921="", "", Inventory!E929)</f>
        <v/>
      </c>
      <c r="M921" s="298" t="str">
        <f>IF(B921="","",IF(Cool_Type=Lookups!$L$9,Cool_Type,IF(Cool_Type=Lookups!$L$10,Cool_Type,IF(Cool_Type=Lookups!$L$11,Cool_Type,IF(Cool_Type=Lookups!L931,Cool_Type,IF('Project Info and Summary'!$C$20="Electric",CONCATENATE(Cool_Type," ",Heating_Type," Heat"),IF('Project Info and Summary'!$C$20="Non-Electric",CONCATENATE(Cool_Type," ",Heating_Type," Heat"),CONCATENATE(Cool_Type," ",Heating_Type))))))))</f>
        <v/>
      </c>
      <c r="N921" s="298" t="str">
        <f t="shared" si="59"/>
        <v/>
      </c>
      <c r="O921" s="298" t="str">
        <f>IF(B921="", "", 'Lighting Inventory (Ref only)'!G932)</f>
        <v/>
      </c>
      <c r="P921" s="298" t="str">
        <f>IF(B921="", "", 'Lighting Inventory (Ref only)'!E932)</f>
        <v/>
      </c>
      <c r="Q921" s="298" t="str">
        <f>IF(B921="", "", 'Lighting Inventory (Ref only)'!J932)</f>
        <v/>
      </c>
      <c r="R921" s="298" t="str">
        <f>IF(B921="", "",'Lighting Inventory (Ref only)'!K932)</f>
        <v/>
      </c>
      <c r="S921" s="372" t="str">
        <f>IF(B921="", "", 'Lighting Inventory (Ref only)'!G932*'Lighting Inventory (Ref only)'!K932/1000)</f>
        <v/>
      </c>
      <c r="T921" s="298" t="str">
        <f>IF(B921="", "", IF('Lighting Inventory (Ref only)'!I932="", "Light Switch",Inventory!H929))</f>
        <v/>
      </c>
      <c r="X921" s="298" t="str">
        <f>IF(B921="", "", 'Lighting Inventory (Ref only)'!Q932)</f>
        <v/>
      </c>
      <c r="AA921" s="298" t="str">
        <f>IF(B921="", "",'Lighting Inventory (Ref only)'!R932/1000)</f>
        <v/>
      </c>
      <c r="AB921" s="298" t="str">
        <f>IF(B921="", "", Inventory!M929)</f>
        <v/>
      </c>
      <c r="AC921" s="298" t="str">
        <f>IF(B921="", "", 'Lighting Inventory (Ref only)'!T932)</f>
        <v/>
      </c>
      <c r="AD921" s="298" t="str">
        <f>IF(C921="", "", 'Lighting Inventory (Ref only)'!AA932)</f>
        <v/>
      </c>
      <c r="AE921" s="298" t="str">
        <f>IF(B921="", "", 'Lighting Inventory (Ref only)'!U932)</f>
        <v/>
      </c>
      <c r="AF921" s="298" t="str">
        <f>IF(B921="", "",'Lighting Inventory (Ref only)'!W932)</f>
        <v/>
      </c>
      <c r="AH921" s="298" t="str">
        <f>IF(B921="", "",'Lighting Inventory (Ref only)'!Z932)</f>
        <v/>
      </c>
      <c r="AI921" s="298" t="str">
        <f>IF(B921="", "", 'Lighting Inventory (Ref only)'!Y932)</f>
        <v/>
      </c>
      <c r="AJ921" s="298" t="str">
        <f>IF(C921="", "",'Lighting Inventory (Ref only)'!AB932)</f>
        <v/>
      </c>
      <c r="AK921" s="375" t="str">
        <f>IF(B921="", "", 'Lighting Inventory (Ref only)'!AG932)</f>
        <v/>
      </c>
      <c r="AL921" s="375" t="str">
        <f>IF(B921="", "", 'Lighting Inventory (Ref only)'!AD932)</f>
        <v/>
      </c>
      <c r="AM921" s="375" t="str">
        <f>IF(B921="", "", 'Lighting Inventory (Ref only)'!AE932)</f>
        <v/>
      </c>
      <c r="AN921" s="375" t="str">
        <f>IF(B921="", "", 'Lighting Inventory (Ref only)'!AF932)</f>
        <v/>
      </c>
      <c r="AO921" s="375" t="str">
        <f>IF(B921="", "", 'Lighting Inventory (Ref only)'!AG932)</f>
        <v/>
      </c>
    </row>
    <row r="922" spans="1:41">
      <c r="A922" s="298" t="str">
        <f>IF(G922="", "", Lookups!BF924)</f>
        <v/>
      </c>
      <c r="B922" s="298" t="str">
        <f>IF('Lighting Inventory (Ref only)'!Q933="", "", 'Lighting Inventory (Ref only)'!Q933)</f>
        <v/>
      </c>
      <c r="C922" s="298" t="str">
        <f>IF(A922="", "", 'Lighting Inventory (Ref only)'!AO933)</f>
        <v/>
      </c>
      <c r="D922" s="298" t="str">
        <f>IF(B922= "","", Inventory!S930)</f>
        <v/>
      </c>
      <c r="F922" s="298" t="str">
        <f>IF(B922="", "", 'Version Log'!$B$34)</f>
        <v/>
      </c>
      <c r="G922" s="298" t="str">
        <f t="shared" si="56"/>
        <v/>
      </c>
      <c r="H922" s="298" t="str">
        <f t="shared" si="57"/>
        <v/>
      </c>
      <c r="I922" s="298" t="str">
        <f>IF(B922="", "",Inventory!D930)</f>
        <v/>
      </c>
      <c r="J922" s="298" t="str">
        <f>IF(B922="","",IF(Inventory!C930="N","Interior","Exterior"))</f>
        <v/>
      </c>
      <c r="K922" s="298" t="str">
        <f t="shared" si="58"/>
        <v/>
      </c>
      <c r="L922" s="298" t="str">
        <f>IF(B922="", "", Inventory!E930)</f>
        <v/>
      </c>
      <c r="M922" s="298" t="str">
        <f>IF(B922="","",IF(Cool_Type=Lookups!$L$9,Cool_Type,IF(Cool_Type=Lookups!$L$10,Cool_Type,IF(Cool_Type=Lookups!$L$11,Cool_Type,IF(Cool_Type=Lookups!L932,Cool_Type,IF('Project Info and Summary'!$C$20="Electric",CONCATENATE(Cool_Type," ",Heating_Type," Heat"),IF('Project Info and Summary'!$C$20="Non-Electric",CONCATENATE(Cool_Type," ",Heating_Type," Heat"),CONCATENATE(Cool_Type," ",Heating_Type))))))))</f>
        <v/>
      </c>
      <c r="N922" s="298" t="str">
        <f t="shared" si="59"/>
        <v/>
      </c>
      <c r="O922" s="298" t="str">
        <f>IF(B922="", "", 'Lighting Inventory (Ref only)'!G933)</f>
        <v/>
      </c>
      <c r="P922" s="298" t="str">
        <f>IF(B922="", "", 'Lighting Inventory (Ref only)'!E933)</f>
        <v/>
      </c>
      <c r="Q922" s="298" t="str">
        <f>IF(B922="", "", 'Lighting Inventory (Ref only)'!J933)</f>
        <v/>
      </c>
      <c r="R922" s="298" t="str">
        <f>IF(B922="", "",'Lighting Inventory (Ref only)'!K933)</f>
        <v/>
      </c>
      <c r="S922" s="372" t="str">
        <f>IF(B922="", "", 'Lighting Inventory (Ref only)'!G933*'Lighting Inventory (Ref only)'!K933/1000)</f>
        <v/>
      </c>
      <c r="T922" s="298" t="str">
        <f>IF(B922="", "", IF('Lighting Inventory (Ref only)'!I933="", "Light Switch",Inventory!H930))</f>
        <v/>
      </c>
      <c r="X922" s="298" t="str">
        <f>IF(B922="", "", 'Lighting Inventory (Ref only)'!Q933)</f>
        <v/>
      </c>
      <c r="AA922" s="298" t="str">
        <f>IF(B922="", "",'Lighting Inventory (Ref only)'!R933/1000)</f>
        <v/>
      </c>
      <c r="AB922" s="298" t="str">
        <f>IF(B922="", "", Inventory!M930)</f>
        <v/>
      </c>
      <c r="AC922" s="298" t="str">
        <f>IF(B922="", "", 'Lighting Inventory (Ref only)'!T933)</f>
        <v/>
      </c>
      <c r="AD922" s="298" t="str">
        <f>IF(C922="", "", 'Lighting Inventory (Ref only)'!AA933)</f>
        <v/>
      </c>
      <c r="AE922" s="298" t="str">
        <f>IF(B922="", "", 'Lighting Inventory (Ref only)'!U933)</f>
        <v/>
      </c>
      <c r="AF922" s="298" t="str">
        <f>IF(B922="", "",'Lighting Inventory (Ref only)'!W933)</f>
        <v/>
      </c>
      <c r="AH922" s="298" t="str">
        <f>IF(B922="", "",'Lighting Inventory (Ref only)'!Z933)</f>
        <v/>
      </c>
      <c r="AI922" s="298" t="str">
        <f>IF(B922="", "", 'Lighting Inventory (Ref only)'!Y933)</f>
        <v/>
      </c>
      <c r="AJ922" s="298" t="str">
        <f>IF(C922="", "",'Lighting Inventory (Ref only)'!AB933)</f>
        <v/>
      </c>
      <c r="AK922" s="375" t="str">
        <f>IF(B922="", "", 'Lighting Inventory (Ref only)'!AG933)</f>
        <v/>
      </c>
      <c r="AL922" s="375" t="str">
        <f>IF(B922="", "", 'Lighting Inventory (Ref only)'!AD933)</f>
        <v/>
      </c>
      <c r="AM922" s="375" t="str">
        <f>IF(B922="", "", 'Lighting Inventory (Ref only)'!AE933)</f>
        <v/>
      </c>
      <c r="AN922" s="375" t="str">
        <f>IF(B922="", "", 'Lighting Inventory (Ref only)'!AF933)</f>
        <v/>
      </c>
      <c r="AO922" s="375" t="str">
        <f>IF(B922="", "", 'Lighting Inventory (Ref only)'!AG933)</f>
        <v/>
      </c>
    </row>
    <row r="923" spans="1:41">
      <c r="A923" s="298" t="str">
        <f>IF(G923="", "", Lookups!BF925)</f>
        <v/>
      </c>
      <c r="B923" s="298" t="str">
        <f>IF('Lighting Inventory (Ref only)'!Q934="", "", 'Lighting Inventory (Ref only)'!Q934)</f>
        <v/>
      </c>
      <c r="C923" s="298" t="str">
        <f>IF(A923="", "", 'Lighting Inventory (Ref only)'!AO934)</f>
        <v/>
      </c>
      <c r="D923" s="298" t="str">
        <f>IF(B923= "","", Inventory!S931)</f>
        <v/>
      </c>
      <c r="F923" s="298" t="str">
        <f>IF(B923="", "", 'Version Log'!$B$34)</f>
        <v/>
      </c>
      <c r="G923" s="298" t="str">
        <f t="shared" si="56"/>
        <v/>
      </c>
      <c r="H923" s="298" t="str">
        <f t="shared" si="57"/>
        <v/>
      </c>
      <c r="I923" s="298" t="str">
        <f>IF(B923="", "",Inventory!D931)</f>
        <v/>
      </c>
      <c r="J923" s="298" t="str">
        <f>IF(B923="","",IF(Inventory!C931="N","Interior","Exterior"))</f>
        <v/>
      </c>
      <c r="K923" s="298" t="str">
        <f t="shared" si="58"/>
        <v/>
      </c>
      <c r="L923" s="298" t="str">
        <f>IF(B923="", "", Inventory!E931)</f>
        <v/>
      </c>
      <c r="M923" s="298" t="str">
        <f>IF(B923="","",IF(Cool_Type=Lookups!$L$9,Cool_Type,IF(Cool_Type=Lookups!$L$10,Cool_Type,IF(Cool_Type=Lookups!$L$11,Cool_Type,IF(Cool_Type=Lookups!L933,Cool_Type,IF('Project Info and Summary'!$C$20="Electric",CONCATENATE(Cool_Type," ",Heating_Type," Heat"),IF('Project Info and Summary'!$C$20="Non-Electric",CONCATENATE(Cool_Type," ",Heating_Type," Heat"),CONCATENATE(Cool_Type," ",Heating_Type))))))))</f>
        <v/>
      </c>
      <c r="N923" s="298" t="str">
        <f t="shared" si="59"/>
        <v/>
      </c>
      <c r="O923" s="298" t="str">
        <f>IF(B923="", "", 'Lighting Inventory (Ref only)'!G934)</f>
        <v/>
      </c>
      <c r="P923" s="298" t="str">
        <f>IF(B923="", "", 'Lighting Inventory (Ref only)'!E934)</f>
        <v/>
      </c>
      <c r="Q923" s="298" t="str">
        <f>IF(B923="", "", 'Lighting Inventory (Ref only)'!J934)</f>
        <v/>
      </c>
      <c r="R923" s="298" t="str">
        <f>IF(B923="", "",'Lighting Inventory (Ref only)'!K934)</f>
        <v/>
      </c>
      <c r="S923" s="372" t="str">
        <f>IF(B923="", "", 'Lighting Inventory (Ref only)'!G934*'Lighting Inventory (Ref only)'!K934/1000)</f>
        <v/>
      </c>
      <c r="T923" s="298" t="str">
        <f>IF(B923="", "", IF('Lighting Inventory (Ref only)'!I934="", "Light Switch",Inventory!H931))</f>
        <v/>
      </c>
      <c r="X923" s="298" t="str">
        <f>IF(B923="", "", 'Lighting Inventory (Ref only)'!Q934)</f>
        <v/>
      </c>
      <c r="AA923" s="298" t="str">
        <f>IF(B923="", "",'Lighting Inventory (Ref only)'!R934/1000)</f>
        <v/>
      </c>
      <c r="AB923" s="298" t="str">
        <f>IF(B923="", "", Inventory!M931)</f>
        <v/>
      </c>
      <c r="AC923" s="298" t="str">
        <f>IF(B923="", "", 'Lighting Inventory (Ref only)'!T934)</f>
        <v/>
      </c>
      <c r="AD923" s="298" t="str">
        <f>IF(C923="", "", 'Lighting Inventory (Ref only)'!AA934)</f>
        <v/>
      </c>
      <c r="AE923" s="298" t="str">
        <f>IF(B923="", "", 'Lighting Inventory (Ref only)'!U934)</f>
        <v/>
      </c>
      <c r="AF923" s="298" t="str">
        <f>IF(B923="", "",'Lighting Inventory (Ref only)'!W934)</f>
        <v/>
      </c>
      <c r="AH923" s="298" t="str">
        <f>IF(B923="", "",'Lighting Inventory (Ref only)'!Z934)</f>
        <v/>
      </c>
      <c r="AI923" s="298" t="str">
        <f>IF(B923="", "", 'Lighting Inventory (Ref only)'!Y934)</f>
        <v/>
      </c>
      <c r="AJ923" s="298" t="str">
        <f>IF(C923="", "",'Lighting Inventory (Ref only)'!AB934)</f>
        <v/>
      </c>
      <c r="AK923" s="375" t="str">
        <f>IF(B923="", "", 'Lighting Inventory (Ref only)'!AG934)</f>
        <v/>
      </c>
      <c r="AL923" s="375" t="str">
        <f>IF(B923="", "", 'Lighting Inventory (Ref only)'!AD934)</f>
        <v/>
      </c>
      <c r="AM923" s="375" t="str">
        <f>IF(B923="", "", 'Lighting Inventory (Ref only)'!AE934)</f>
        <v/>
      </c>
      <c r="AN923" s="375" t="str">
        <f>IF(B923="", "", 'Lighting Inventory (Ref only)'!AF934)</f>
        <v/>
      </c>
      <c r="AO923" s="375" t="str">
        <f>IF(B923="", "", 'Lighting Inventory (Ref only)'!AG934)</f>
        <v/>
      </c>
    </row>
    <row r="924" spans="1:41">
      <c r="A924" s="298" t="str">
        <f>IF(G924="", "", Lookups!BF926)</f>
        <v/>
      </c>
      <c r="B924" s="298" t="str">
        <f>IF('Lighting Inventory (Ref only)'!Q935="", "", 'Lighting Inventory (Ref only)'!Q935)</f>
        <v/>
      </c>
      <c r="C924" s="298" t="str">
        <f>IF(A924="", "", 'Lighting Inventory (Ref only)'!AO935)</f>
        <v/>
      </c>
      <c r="D924" s="298" t="str">
        <f>IF(B924= "","", Inventory!S932)</f>
        <v/>
      </c>
      <c r="F924" s="298" t="str">
        <f>IF(B924="", "", 'Version Log'!$B$34)</f>
        <v/>
      </c>
      <c r="G924" s="298" t="str">
        <f t="shared" si="56"/>
        <v/>
      </c>
      <c r="H924" s="298" t="str">
        <f t="shared" si="57"/>
        <v/>
      </c>
      <c r="I924" s="298" t="str">
        <f>IF(B924="", "",Inventory!D932)</f>
        <v/>
      </c>
      <c r="J924" s="298" t="str">
        <f>IF(B924="","",IF(Inventory!C932="N","Interior","Exterior"))</f>
        <v/>
      </c>
      <c r="K924" s="298" t="str">
        <f t="shared" si="58"/>
        <v/>
      </c>
      <c r="L924" s="298" t="str">
        <f>IF(B924="", "", Inventory!E932)</f>
        <v/>
      </c>
      <c r="M924" s="298" t="str">
        <f>IF(B924="","",IF(Cool_Type=Lookups!$L$9,Cool_Type,IF(Cool_Type=Lookups!$L$10,Cool_Type,IF(Cool_Type=Lookups!$L$11,Cool_Type,IF(Cool_Type=Lookups!L934,Cool_Type,IF('Project Info and Summary'!$C$20="Electric",CONCATENATE(Cool_Type," ",Heating_Type," Heat"),IF('Project Info and Summary'!$C$20="Non-Electric",CONCATENATE(Cool_Type," ",Heating_Type," Heat"),CONCATENATE(Cool_Type," ",Heating_Type))))))))</f>
        <v/>
      </c>
      <c r="N924" s="298" t="str">
        <f t="shared" si="59"/>
        <v/>
      </c>
      <c r="O924" s="298" t="str">
        <f>IF(B924="", "", 'Lighting Inventory (Ref only)'!G935)</f>
        <v/>
      </c>
      <c r="P924" s="298" t="str">
        <f>IF(B924="", "", 'Lighting Inventory (Ref only)'!E935)</f>
        <v/>
      </c>
      <c r="Q924" s="298" t="str">
        <f>IF(B924="", "", 'Lighting Inventory (Ref only)'!J935)</f>
        <v/>
      </c>
      <c r="R924" s="298" t="str">
        <f>IF(B924="", "",'Lighting Inventory (Ref only)'!K935)</f>
        <v/>
      </c>
      <c r="S924" s="372" t="str">
        <f>IF(B924="", "", 'Lighting Inventory (Ref only)'!G935*'Lighting Inventory (Ref only)'!K935/1000)</f>
        <v/>
      </c>
      <c r="T924" s="298" t="str">
        <f>IF(B924="", "", IF('Lighting Inventory (Ref only)'!I935="", "Light Switch",Inventory!H932))</f>
        <v/>
      </c>
      <c r="X924" s="298" t="str">
        <f>IF(B924="", "", 'Lighting Inventory (Ref only)'!Q935)</f>
        <v/>
      </c>
      <c r="AA924" s="298" t="str">
        <f>IF(B924="", "",'Lighting Inventory (Ref only)'!R935/1000)</f>
        <v/>
      </c>
      <c r="AB924" s="298" t="str">
        <f>IF(B924="", "", Inventory!M932)</f>
        <v/>
      </c>
      <c r="AC924" s="298" t="str">
        <f>IF(B924="", "", 'Lighting Inventory (Ref only)'!T935)</f>
        <v/>
      </c>
      <c r="AD924" s="298" t="str">
        <f>IF(C924="", "", 'Lighting Inventory (Ref only)'!AA935)</f>
        <v/>
      </c>
      <c r="AE924" s="298" t="str">
        <f>IF(B924="", "", 'Lighting Inventory (Ref only)'!U935)</f>
        <v/>
      </c>
      <c r="AF924" s="298" t="str">
        <f>IF(B924="", "",'Lighting Inventory (Ref only)'!W935)</f>
        <v/>
      </c>
      <c r="AH924" s="298" t="str">
        <f>IF(B924="", "",'Lighting Inventory (Ref only)'!Z935)</f>
        <v/>
      </c>
      <c r="AI924" s="298" t="str">
        <f>IF(B924="", "", 'Lighting Inventory (Ref only)'!Y935)</f>
        <v/>
      </c>
      <c r="AJ924" s="298" t="str">
        <f>IF(C924="", "",'Lighting Inventory (Ref only)'!AB935)</f>
        <v/>
      </c>
      <c r="AK924" s="375" t="str">
        <f>IF(B924="", "", 'Lighting Inventory (Ref only)'!AG935)</f>
        <v/>
      </c>
      <c r="AL924" s="375" t="str">
        <f>IF(B924="", "", 'Lighting Inventory (Ref only)'!AD935)</f>
        <v/>
      </c>
      <c r="AM924" s="375" t="str">
        <f>IF(B924="", "", 'Lighting Inventory (Ref only)'!AE935)</f>
        <v/>
      </c>
      <c r="AN924" s="375" t="str">
        <f>IF(B924="", "", 'Lighting Inventory (Ref only)'!AF935)</f>
        <v/>
      </c>
      <c r="AO924" s="375" t="str">
        <f>IF(B924="", "", 'Lighting Inventory (Ref only)'!AG935)</f>
        <v/>
      </c>
    </row>
    <row r="925" spans="1:41">
      <c r="A925" s="298" t="str">
        <f>IF(G925="", "", Lookups!BF927)</f>
        <v/>
      </c>
      <c r="B925" s="298" t="str">
        <f>IF('Lighting Inventory (Ref only)'!Q936="", "", 'Lighting Inventory (Ref only)'!Q936)</f>
        <v/>
      </c>
      <c r="C925" s="298" t="str">
        <f>IF(A925="", "", 'Lighting Inventory (Ref only)'!AO936)</f>
        <v/>
      </c>
      <c r="D925" s="298" t="str">
        <f>IF(B925= "","", Inventory!S933)</f>
        <v/>
      </c>
      <c r="F925" s="298" t="str">
        <f>IF(B925="", "", 'Version Log'!$B$34)</f>
        <v/>
      </c>
      <c r="G925" s="298" t="str">
        <f t="shared" si="56"/>
        <v/>
      </c>
      <c r="H925" s="298" t="str">
        <f t="shared" si="57"/>
        <v/>
      </c>
      <c r="I925" s="298" t="str">
        <f>IF(B925="", "",Inventory!D933)</f>
        <v/>
      </c>
      <c r="J925" s="298" t="str">
        <f>IF(B925="","",IF(Inventory!C933="N","Interior","Exterior"))</f>
        <v/>
      </c>
      <c r="K925" s="298" t="str">
        <f t="shared" si="58"/>
        <v/>
      </c>
      <c r="L925" s="298" t="str">
        <f>IF(B925="", "", Inventory!E933)</f>
        <v/>
      </c>
      <c r="M925" s="298" t="str">
        <f>IF(B925="","",IF(Cool_Type=Lookups!$L$9,Cool_Type,IF(Cool_Type=Lookups!$L$10,Cool_Type,IF(Cool_Type=Lookups!$L$11,Cool_Type,IF(Cool_Type=Lookups!L935,Cool_Type,IF('Project Info and Summary'!$C$20="Electric",CONCATENATE(Cool_Type," ",Heating_Type," Heat"),IF('Project Info and Summary'!$C$20="Non-Electric",CONCATENATE(Cool_Type," ",Heating_Type," Heat"),CONCATENATE(Cool_Type," ",Heating_Type))))))))</f>
        <v/>
      </c>
      <c r="N925" s="298" t="str">
        <f t="shared" si="59"/>
        <v/>
      </c>
      <c r="O925" s="298" t="str">
        <f>IF(B925="", "", 'Lighting Inventory (Ref only)'!G936)</f>
        <v/>
      </c>
      <c r="P925" s="298" t="str">
        <f>IF(B925="", "", 'Lighting Inventory (Ref only)'!E936)</f>
        <v/>
      </c>
      <c r="Q925" s="298" t="str">
        <f>IF(B925="", "", 'Lighting Inventory (Ref only)'!J936)</f>
        <v/>
      </c>
      <c r="R925" s="298" t="str">
        <f>IF(B925="", "",'Lighting Inventory (Ref only)'!K936)</f>
        <v/>
      </c>
      <c r="S925" s="372" t="str">
        <f>IF(B925="", "", 'Lighting Inventory (Ref only)'!G936*'Lighting Inventory (Ref only)'!K936/1000)</f>
        <v/>
      </c>
      <c r="T925" s="298" t="str">
        <f>IF(B925="", "", IF('Lighting Inventory (Ref only)'!I936="", "Light Switch",Inventory!H933))</f>
        <v/>
      </c>
      <c r="X925" s="298" t="str">
        <f>IF(B925="", "", 'Lighting Inventory (Ref only)'!Q936)</f>
        <v/>
      </c>
      <c r="AA925" s="298" t="str">
        <f>IF(B925="", "",'Lighting Inventory (Ref only)'!R936/1000)</f>
        <v/>
      </c>
      <c r="AB925" s="298" t="str">
        <f>IF(B925="", "", Inventory!M933)</f>
        <v/>
      </c>
      <c r="AC925" s="298" t="str">
        <f>IF(B925="", "", 'Lighting Inventory (Ref only)'!T936)</f>
        <v/>
      </c>
      <c r="AD925" s="298" t="str">
        <f>IF(C925="", "", 'Lighting Inventory (Ref only)'!AA936)</f>
        <v/>
      </c>
      <c r="AE925" s="298" t="str">
        <f>IF(B925="", "", 'Lighting Inventory (Ref only)'!U936)</f>
        <v/>
      </c>
      <c r="AF925" s="298" t="str">
        <f>IF(B925="", "",'Lighting Inventory (Ref only)'!W936)</f>
        <v/>
      </c>
      <c r="AH925" s="298" t="str">
        <f>IF(B925="", "",'Lighting Inventory (Ref only)'!Z936)</f>
        <v/>
      </c>
      <c r="AI925" s="298" t="str">
        <f>IF(B925="", "", 'Lighting Inventory (Ref only)'!Y936)</f>
        <v/>
      </c>
      <c r="AJ925" s="298" t="str">
        <f>IF(C925="", "",'Lighting Inventory (Ref only)'!AB936)</f>
        <v/>
      </c>
      <c r="AK925" s="375" t="str">
        <f>IF(B925="", "", 'Lighting Inventory (Ref only)'!AG936)</f>
        <v/>
      </c>
      <c r="AL925" s="375" t="str">
        <f>IF(B925="", "", 'Lighting Inventory (Ref only)'!AD936)</f>
        <v/>
      </c>
      <c r="AM925" s="375" t="str">
        <f>IF(B925="", "", 'Lighting Inventory (Ref only)'!AE936)</f>
        <v/>
      </c>
      <c r="AN925" s="375" t="str">
        <f>IF(B925="", "", 'Lighting Inventory (Ref only)'!AF936)</f>
        <v/>
      </c>
      <c r="AO925" s="375" t="str">
        <f>IF(B925="", "", 'Lighting Inventory (Ref only)'!AG936)</f>
        <v/>
      </c>
    </row>
    <row r="926" spans="1:41">
      <c r="A926" s="298" t="str">
        <f>IF(G926="", "", Lookups!BF928)</f>
        <v/>
      </c>
      <c r="B926" s="298" t="str">
        <f>IF('Lighting Inventory (Ref only)'!Q937="", "", 'Lighting Inventory (Ref only)'!Q937)</f>
        <v/>
      </c>
      <c r="C926" s="298" t="str">
        <f>IF(A926="", "", 'Lighting Inventory (Ref only)'!AO937)</f>
        <v/>
      </c>
      <c r="D926" s="298" t="str">
        <f>IF(B926= "","", Inventory!S934)</f>
        <v/>
      </c>
      <c r="F926" s="298" t="str">
        <f>IF(B926="", "", 'Version Log'!$B$34)</f>
        <v/>
      </c>
      <c r="G926" s="298" t="str">
        <f t="shared" si="56"/>
        <v/>
      </c>
      <c r="H926" s="298" t="str">
        <f t="shared" si="57"/>
        <v/>
      </c>
      <c r="I926" s="298" t="str">
        <f>IF(B926="", "",Inventory!D934)</f>
        <v/>
      </c>
      <c r="J926" s="298" t="str">
        <f>IF(B926="","",IF(Inventory!C934="N","Interior","Exterior"))</f>
        <v/>
      </c>
      <c r="K926" s="298" t="str">
        <f t="shared" si="58"/>
        <v/>
      </c>
      <c r="L926" s="298" t="str">
        <f>IF(B926="", "", Inventory!E934)</f>
        <v/>
      </c>
      <c r="M926" s="298" t="str">
        <f>IF(B926="","",IF(Cool_Type=Lookups!$L$9,Cool_Type,IF(Cool_Type=Lookups!$L$10,Cool_Type,IF(Cool_Type=Lookups!$L$11,Cool_Type,IF(Cool_Type=Lookups!L936,Cool_Type,IF('Project Info and Summary'!$C$20="Electric",CONCATENATE(Cool_Type," ",Heating_Type," Heat"),IF('Project Info and Summary'!$C$20="Non-Electric",CONCATENATE(Cool_Type," ",Heating_Type," Heat"),CONCATENATE(Cool_Type," ",Heating_Type))))))))</f>
        <v/>
      </c>
      <c r="N926" s="298" t="str">
        <f t="shared" si="59"/>
        <v/>
      </c>
      <c r="O926" s="298" t="str">
        <f>IF(B926="", "", 'Lighting Inventory (Ref only)'!G937)</f>
        <v/>
      </c>
      <c r="P926" s="298" t="str">
        <f>IF(B926="", "", 'Lighting Inventory (Ref only)'!E937)</f>
        <v/>
      </c>
      <c r="Q926" s="298" t="str">
        <f>IF(B926="", "", 'Lighting Inventory (Ref only)'!J937)</f>
        <v/>
      </c>
      <c r="R926" s="298" t="str">
        <f>IF(B926="", "",'Lighting Inventory (Ref only)'!K937)</f>
        <v/>
      </c>
      <c r="S926" s="372" t="str">
        <f>IF(B926="", "", 'Lighting Inventory (Ref only)'!G937*'Lighting Inventory (Ref only)'!K937/1000)</f>
        <v/>
      </c>
      <c r="T926" s="298" t="str">
        <f>IF(B926="", "", IF('Lighting Inventory (Ref only)'!I937="", "Light Switch",Inventory!H934))</f>
        <v/>
      </c>
      <c r="X926" s="298" t="str">
        <f>IF(B926="", "", 'Lighting Inventory (Ref only)'!Q937)</f>
        <v/>
      </c>
      <c r="AA926" s="298" t="str">
        <f>IF(B926="", "",'Lighting Inventory (Ref only)'!R937/1000)</f>
        <v/>
      </c>
      <c r="AB926" s="298" t="str">
        <f>IF(B926="", "", Inventory!M934)</f>
        <v/>
      </c>
      <c r="AC926" s="298" t="str">
        <f>IF(B926="", "", 'Lighting Inventory (Ref only)'!T937)</f>
        <v/>
      </c>
      <c r="AD926" s="298" t="str">
        <f>IF(C926="", "", 'Lighting Inventory (Ref only)'!AA937)</f>
        <v/>
      </c>
      <c r="AE926" s="298" t="str">
        <f>IF(B926="", "", 'Lighting Inventory (Ref only)'!U937)</f>
        <v/>
      </c>
      <c r="AF926" s="298" t="str">
        <f>IF(B926="", "",'Lighting Inventory (Ref only)'!W937)</f>
        <v/>
      </c>
      <c r="AH926" s="298" t="str">
        <f>IF(B926="", "",'Lighting Inventory (Ref only)'!Z937)</f>
        <v/>
      </c>
      <c r="AI926" s="298" t="str">
        <f>IF(B926="", "", 'Lighting Inventory (Ref only)'!Y937)</f>
        <v/>
      </c>
      <c r="AJ926" s="298" t="str">
        <f>IF(C926="", "",'Lighting Inventory (Ref only)'!AB937)</f>
        <v/>
      </c>
      <c r="AK926" s="375" t="str">
        <f>IF(B926="", "", 'Lighting Inventory (Ref only)'!AG937)</f>
        <v/>
      </c>
      <c r="AL926" s="375" t="str">
        <f>IF(B926="", "", 'Lighting Inventory (Ref only)'!AD937)</f>
        <v/>
      </c>
      <c r="AM926" s="375" t="str">
        <f>IF(B926="", "", 'Lighting Inventory (Ref only)'!AE937)</f>
        <v/>
      </c>
      <c r="AN926" s="375" t="str">
        <f>IF(B926="", "", 'Lighting Inventory (Ref only)'!AF937)</f>
        <v/>
      </c>
      <c r="AO926" s="375" t="str">
        <f>IF(B926="", "", 'Lighting Inventory (Ref only)'!AG937)</f>
        <v/>
      </c>
    </row>
    <row r="927" spans="1:41">
      <c r="A927" s="298" t="str">
        <f>IF(G927="", "", Lookups!BF929)</f>
        <v/>
      </c>
      <c r="B927" s="298" t="str">
        <f>IF('Lighting Inventory (Ref only)'!Q938="", "", 'Lighting Inventory (Ref only)'!Q938)</f>
        <v/>
      </c>
      <c r="C927" s="298" t="str">
        <f>IF(A927="", "", 'Lighting Inventory (Ref only)'!AO938)</f>
        <v/>
      </c>
      <c r="D927" s="298" t="str">
        <f>IF(B927= "","", Inventory!S935)</f>
        <v/>
      </c>
      <c r="F927" s="298" t="str">
        <f>IF(B927="", "", 'Version Log'!$B$34)</f>
        <v/>
      </c>
      <c r="G927" s="298" t="str">
        <f t="shared" si="56"/>
        <v/>
      </c>
      <c r="H927" s="298" t="str">
        <f t="shared" si="57"/>
        <v/>
      </c>
      <c r="I927" s="298" t="str">
        <f>IF(B927="", "",Inventory!D935)</f>
        <v/>
      </c>
      <c r="J927" s="298" t="str">
        <f>IF(B927="","",IF(Inventory!C935="N","Interior","Exterior"))</f>
        <v/>
      </c>
      <c r="K927" s="298" t="str">
        <f t="shared" si="58"/>
        <v/>
      </c>
      <c r="L927" s="298" t="str">
        <f>IF(B927="", "", Inventory!E935)</f>
        <v/>
      </c>
      <c r="M927" s="298" t="str">
        <f>IF(B927="","",IF(Cool_Type=Lookups!$L$9,Cool_Type,IF(Cool_Type=Lookups!$L$10,Cool_Type,IF(Cool_Type=Lookups!$L$11,Cool_Type,IF(Cool_Type=Lookups!L937,Cool_Type,IF('Project Info and Summary'!$C$20="Electric",CONCATENATE(Cool_Type," ",Heating_Type," Heat"),IF('Project Info and Summary'!$C$20="Non-Electric",CONCATENATE(Cool_Type," ",Heating_Type," Heat"),CONCATENATE(Cool_Type," ",Heating_Type))))))))</f>
        <v/>
      </c>
      <c r="N927" s="298" t="str">
        <f t="shared" si="59"/>
        <v/>
      </c>
      <c r="O927" s="298" t="str">
        <f>IF(B927="", "", 'Lighting Inventory (Ref only)'!G938)</f>
        <v/>
      </c>
      <c r="P927" s="298" t="str">
        <f>IF(B927="", "", 'Lighting Inventory (Ref only)'!E938)</f>
        <v/>
      </c>
      <c r="Q927" s="298" t="str">
        <f>IF(B927="", "", 'Lighting Inventory (Ref only)'!J938)</f>
        <v/>
      </c>
      <c r="R927" s="298" t="str">
        <f>IF(B927="", "",'Lighting Inventory (Ref only)'!K938)</f>
        <v/>
      </c>
      <c r="S927" s="372" t="str">
        <f>IF(B927="", "", 'Lighting Inventory (Ref only)'!G938*'Lighting Inventory (Ref only)'!K938/1000)</f>
        <v/>
      </c>
      <c r="T927" s="298" t="str">
        <f>IF(B927="", "", IF('Lighting Inventory (Ref only)'!I938="", "Light Switch",Inventory!H935))</f>
        <v/>
      </c>
      <c r="X927" s="298" t="str">
        <f>IF(B927="", "", 'Lighting Inventory (Ref only)'!Q938)</f>
        <v/>
      </c>
      <c r="AA927" s="298" t="str">
        <f>IF(B927="", "",'Lighting Inventory (Ref only)'!R938/1000)</f>
        <v/>
      </c>
      <c r="AB927" s="298" t="str">
        <f>IF(B927="", "", Inventory!M935)</f>
        <v/>
      </c>
      <c r="AC927" s="298" t="str">
        <f>IF(B927="", "", 'Lighting Inventory (Ref only)'!T938)</f>
        <v/>
      </c>
      <c r="AD927" s="298" t="str">
        <f>IF(C927="", "", 'Lighting Inventory (Ref only)'!AA938)</f>
        <v/>
      </c>
      <c r="AE927" s="298" t="str">
        <f>IF(B927="", "", 'Lighting Inventory (Ref only)'!U938)</f>
        <v/>
      </c>
      <c r="AF927" s="298" t="str">
        <f>IF(B927="", "",'Lighting Inventory (Ref only)'!W938)</f>
        <v/>
      </c>
      <c r="AH927" s="298" t="str">
        <f>IF(B927="", "",'Lighting Inventory (Ref only)'!Z938)</f>
        <v/>
      </c>
      <c r="AI927" s="298" t="str">
        <f>IF(B927="", "", 'Lighting Inventory (Ref only)'!Y938)</f>
        <v/>
      </c>
      <c r="AJ927" s="298" t="str">
        <f>IF(C927="", "",'Lighting Inventory (Ref only)'!AB938)</f>
        <v/>
      </c>
      <c r="AK927" s="375" t="str">
        <f>IF(B927="", "", 'Lighting Inventory (Ref only)'!AG938)</f>
        <v/>
      </c>
      <c r="AL927" s="375" t="str">
        <f>IF(B927="", "", 'Lighting Inventory (Ref only)'!AD938)</f>
        <v/>
      </c>
      <c r="AM927" s="375" t="str">
        <f>IF(B927="", "", 'Lighting Inventory (Ref only)'!AE938)</f>
        <v/>
      </c>
      <c r="AN927" s="375" t="str">
        <f>IF(B927="", "", 'Lighting Inventory (Ref only)'!AF938)</f>
        <v/>
      </c>
      <c r="AO927" s="375" t="str">
        <f>IF(B927="", "", 'Lighting Inventory (Ref only)'!AG938)</f>
        <v/>
      </c>
    </row>
    <row r="928" spans="1:41">
      <c r="A928" s="298" t="str">
        <f>IF(G928="", "", Lookups!BF930)</f>
        <v/>
      </c>
      <c r="B928" s="298" t="str">
        <f>IF('Lighting Inventory (Ref only)'!Q939="", "", 'Lighting Inventory (Ref only)'!Q939)</f>
        <v/>
      </c>
      <c r="C928" s="298" t="str">
        <f>IF(A928="", "", 'Lighting Inventory (Ref only)'!AO939)</f>
        <v/>
      </c>
      <c r="D928" s="298" t="str">
        <f>IF(B928= "","", Inventory!S936)</f>
        <v/>
      </c>
      <c r="F928" s="298" t="str">
        <f>IF(B928="", "", 'Version Log'!$B$34)</f>
        <v/>
      </c>
      <c r="G928" s="298" t="str">
        <f t="shared" si="56"/>
        <v/>
      </c>
      <c r="H928" s="298" t="str">
        <f t="shared" si="57"/>
        <v/>
      </c>
      <c r="I928" s="298" t="str">
        <f>IF(B928="", "",Inventory!D936)</f>
        <v/>
      </c>
      <c r="J928" s="298" t="str">
        <f>IF(B928="","",IF(Inventory!C936="N","Interior","Exterior"))</f>
        <v/>
      </c>
      <c r="K928" s="298" t="str">
        <f t="shared" si="58"/>
        <v/>
      </c>
      <c r="L928" s="298" t="str">
        <f>IF(B928="", "", Inventory!E936)</f>
        <v/>
      </c>
      <c r="M928" s="298" t="str">
        <f>IF(B928="","",IF(Cool_Type=Lookups!$L$9,Cool_Type,IF(Cool_Type=Lookups!$L$10,Cool_Type,IF(Cool_Type=Lookups!$L$11,Cool_Type,IF(Cool_Type=Lookups!L938,Cool_Type,IF('Project Info and Summary'!$C$20="Electric",CONCATENATE(Cool_Type," ",Heating_Type," Heat"),IF('Project Info and Summary'!$C$20="Non-Electric",CONCATENATE(Cool_Type," ",Heating_Type," Heat"),CONCATENATE(Cool_Type," ",Heating_Type))))))))</f>
        <v/>
      </c>
      <c r="N928" s="298" t="str">
        <f t="shared" si="59"/>
        <v/>
      </c>
      <c r="O928" s="298" t="str">
        <f>IF(B928="", "", 'Lighting Inventory (Ref only)'!G939)</f>
        <v/>
      </c>
      <c r="P928" s="298" t="str">
        <f>IF(B928="", "", 'Lighting Inventory (Ref only)'!E939)</f>
        <v/>
      </c>
      <c r="Q928" s="298" t="str">
        <f>IF(B928="", "", 'Lighting Inventory (Ref only)'!J939)</f>
        <v/>
      </c>
      <c r="R928" s="298" t="str">
        <f>IF(B928="", "",'Lighting Inventory (Ref only)'!K939)</f>
        <v/>
      </c>
      <c r="S928" s="372" t="str">
        <f>IF(B928="", "", 'Lighting Inventory (Ref only)'!G939*'Lighting Inventory (Ref only)'!K939/1000)</f>
        <v/>
      </c>
      <c r="T928" s="298" t="str">
        <f>IF(B928="", "", IF('Lighting Inventory (Ref only)'!I939="", "Light Switch",Inventory!H936))</f>
        <v/>
      </c>
      <c r="X928" s="298" t="str">
        <f>IF(B928="", "", 'Lighting Inventory (Ref only)'!Q939)</f>
        <v/>
      </c>
      <c r="AA928" s="298" t="str">
        <f>IF(B928="", "",'Lighting Inventory (Ref only)'!R939/1000)</f>
        <v/>
      </c>
      <c r="AB928" s="298" t="str">
        <f>IF(B928="", "", Inventory!M936)</f>
        <v/>
      </c>
      <c r="AC928" s="298" t="str">
        <f>IF(B928="", "", 'Lighting Inventory (Ref only)'!T939)</f>
        <v/>
      </c>
      <c r="AD928" s="298" t="str">
        <f>IF(C928="", "", 'Lighting Inventory (Ref only)'!AA939)</f>
        <v/>
      </c>
      <c r="AE928" s="298" t="str">
        <f>IF(B928="", "", 'Lighting Inventory (Ref only)'!U939)</f>
        <v/>
      </c>
      <c r="AF928" s="298" t="str">
        <f>IF(B928="", "",'Lighting Inventory (Ref only)'!W939)</f>
        <v/>
      </c>
      <c r="AH928" s="298" t="str">
        <f>IF(B928="", "",'Lighting Inventory (Ref only)'!Z939)</f>
        <v/>
      </c>
      <c r="AI928" s="298" t="str">
        <f>IF(B928="", "", 'Lighting Inventory (Ref only)'!Y939)</f>
        <v/>
      </c>
      <c r="AJ928" s="298" t="str">
        <f>IF(C928="", "",'Lighting Inventory (Ref only)'!AB939)</f>
        <v/>
      </c>
      <c r="AK928" s="375" t="str">
        <f>IF(B928="", "", 'Lighting Inventory (Ref only)'!AG939)</f>
        <v/>
      </c>
      <c r="AL928" s="375" t="str">
        <f>IF(B928="", "", 'Lighting Inventory (Ref only)'!AD939)</f>
        <v/>
      </c>
      <c r="AM928" s="375" t="str">
        <f>IF(B928="", "", 'Lighting Inventory (Ref only)'!AE939)</f>
        <v/>
      </c>
      <c r="AN928" s="375" t="str">
        <f>IF(B928="", "", 'Lighting Inventory (Ref only)'!AF939)</f>
        <v/>
      </c>
      <c r="AO928" s="375" t="str">
        <f>IF(B928="", "", 'Lighting Inventory (Ref only)'!AG939)</f>
        <v/>
      </c>
    </row>
    <row r="929" spans="1:41">
      <c r="A929" s="298" t="str">
        <f>IF(G929="", "", Lookups!BF931)</f>
        <v/>
      </c>
      <c r="B929" s="298" t="str">
        <f>IF('Lighting Inventory (Ref only)'!Q940="", "", 'Lighting Inventory (Ref only)'!Q940)</f>
        <v/>
      </c>
      <c r="C929" s="298" t="str">
        <f>IF(A929="", "", 'Lighting Inventory (Ref only)'!AO940)</f>
        <v/>
      </c>
      <c r="D929" s="298" t="str">
        <f>IF(B929= "","", Inventory!S937)</f>
        <v/>
      </c>
      <c r="F929" s="298" t="str">
        <f>IF(B929="", "", 'Version Log'!$B$34)</f>
        <v/>
      </c>
      <c r="G929" s="298" t="str">
        <f t="shared" si="56"/>
        <v/>
      </c>
      <c r="H929" s="298" t="str">
        <f t="shared" si="57"/>
        <v/>
      </c>
      <c r="I929" s="298" t="str">
        <f>IF(B929="", "",Inventory!D937)</f>
        <v/>
      </c>
      <c r="J929" s="298" t="str">
        <f>IF(B929="","",IF(Inventory!C937="N","Interior","Exterior"))</f>
        <v/>
      </c>
      <c r="K929" s="298" t="str">
        <f t="shared" si="58"/>
        <v/>
      </c>
      <c r="L929" s="298" t="str">
        <f>IF(B929="", "", Inventory!E937)</f>
        <v/>
      </c>
      <c r="M929" s="298" t="str">
        <f>IF(B929="","",IF(Cool_Type=Lookups!$L$9,Cool_Type,IF(Cool_Type=Lookups!$L$10,Cool_Type,IF(Cool_Type=Lookups!$L$11,Cool_Type,IF(Cool_Type=Lookups!L939,Cool_Type,IF('Project Info and Summary'!$C$20="Electric",CONCATENATE(Cool_Type," ",Heating_Type," Heat"),IF('Project Info and Summary'!$C$20="Non-Electric",CONCATENATE(Cool_Type," ",Heating_Type," Heat"),CONCATENATE(Cool_Type," ",Heating_Type))))))))</f>
        <v/>
      </c>
      <c r="N929" s="298" t="str">
        <f t="shared" si="59"/>
        <v/>
      </c>
      <c r="O929" s="298" t="str">
        <f>IF(B929="", "", 'Lighting Inventory (Ref only)'!G940)</f>
        <v/>
      </c>
      <c r="P929" s="298" t="str">
        <f>IF(B929="", "", 'Lighting Inventory (Ref only)'!E940)</f>
        <v/>
      </c>
      <c r="Q929" s="298" t="str">
        <f>IF(B929="", "", 'Lighting Inventory (Ref only)'!J940)</f>
        <v/>
      </c>
      <c r="R929" s="298" t="str">
        <f>IF(B929="", "",'Lighting Inventory (Ref only)'!K940)</f>
        <v/>
      </c>
      <c r="S929" s="372" t="str">
        <f>IF(B929="", "", 'Lighting Inventory (Ref only)'!G940*'Lighting Inventory (Ref only)'!K940/1000)</f>
        <v/>
      </c>
      <c r="T929" s="298" t="str">
        <f>IF(B929="", "", IF('Lighting Inventory (Ref only)'!I940="", "Light Switch",Inventory!H937))</f>
        <v/>
      </c>
      <c r="X929" s="298" t="str">
        <f>IF(B929="", "", 'Lighting Inventory (Ref only)'!Q940)</f>
        <v/>
      </c>
      <c r="AA929" s="298" t="str">
        <f>IF(B929="", "",'Lighting Inventory (Ref only)'!R940/1000)</f>
        <v/>
      </c>
      <c r="AB929" s="298" t="str">
        <f>IF(B929="", "", Inventory!M937)</f>
        <v/>
      </c>
      <c r="AC929" s="298" t="str">
        <f>IF(B929="", "", 'Lighting Inventory (Ref only)'!T940)</f>
        <v/>
      </c>
      <c r="AD929" s="298" t="str">
        <f>IF(C929="", "", 'Lighting Inventory (Ref only)'!AA940)</f>
        <v/>
      </c>
      <c r="AE929" s="298" t="str">
        <f>IF(B929="", "", 'Lighting Inventory (Ref only)'!U940)</f>
        <v/>
      </c>
      <c r="AF929" s="298" t="str">
        <f>IF(B929="", "",'Lighting Inventory (Ref only)'!W940)</f>
        <v/>
      </c>
      <c r="AH929" s="298" t="str">
        <f>IF(B929="", "",'Lighting Inventory (Ref only)'!Z940)</f>
        <v/>
      </c>
      <c r="AI929" s="298" t="str">
        <f>IF(B929="", "", 'Lighting Inventory (Ref only)'!Y940)</f>
        <v/>
      </c>
      <c r="AJ929" s="298" t="str">
        <f>IF(C929="", "",'Lighting Inventory (Ref only)'!AB940)</f>
        <v/>
      </c>
      <c r="AK929" s="375" t="str">
        <f>IF(B929="", "", 'Lighting Inventory (Ref only)'!AG940)</f>
        <v/>
      </c>
      <c r="AL929" s="375" t="str">
        <f>IF(B929="", "", 'Lighting Inventory (Ref only)'!AD940)</f>
        <v/>
      </c>
      <c r="AM929" s="375" t="str">
        <f>IF(B929="", "", 'Lighting Inventory (Ref only)'!AE940)</f>
        <v/>
      </c>
      <c r="AN929" s="375" t="str">
        <f>IF(B929="", "", 'Lighting Inventory (Ref only)'!AF940)</f>
        <v/>
      </c>
      <c r="AO929" s="375" t="str">
        <f>IF(B929="", "", 'Lighting Inventory (Ref only)'!AG940)</f>
        <v/>
      </c>
    </row>
    <row r="930" spans="1:41">
      <c r="A930" s="298" t="str">
        <f>IF(G930="", "", Lookups!BF932)</f>
        <v/>
      </c>
      <c r="B930" s="298" t="str">
        <f>IF('Lighting Inventory (Ref only)'!Q941="", "", 'Lighting Inventory (Ref only)'!Q941)</f>
        <v/>
      </c>
      <c r="C930" s="298" t="str">
        <f>IF(A930="", "", 'Lighting Inventory (Ref only)'!AO941)</f>
        <v/>
      </c>
      <c r="D930" s="298" t="str">
        <f>IF(B930= "","", Inventory!S938)</f>
        <v/>
      </c>
      <c r="F930" s="298" t="str">
        <f>IF(B930="", "", 'Version Log'!$B$34)</f>
        <v/>
      </c>
      <c r="G930" s="298" t="str">
        <f t="shared" si="56"/>
        <v/>
      </c>
      <c r="H930" s="298" t="str">
        <f t="shared" si="57"/>
        <v/>
      </c>
      <c r="I930" s="298" t="str">
        <f>IF(B930="", "",Inventory!D938)</f>
        <v/>
      </c>
      <c r="J930" s="298" t="str">
        <f>IF(B930="","",IF(Inventory!C938="N","Interior","Exterior"))</f>
        <v/>
      </c>
      <c r="K930" s="298" t="str">
        <f t="shared" si="58"/>
        <v/>
      </c>
      <c r="L930" s="298" t="str">
        <f>IF(B930="", "", Inventory!E938)</f>
        <v/>
      </c>
      <c r="M930" s="298" t="str">
        <f>IF(B930="","",IF(Cool_Type=Lookups!$L$9,Cool_Type,IF(Cool_Type=Lookups!$L$10,Cool_Type,IF(Cool_Type=Lookups!$L$11,Cool_Type,IF(Cool_Type=Lookups!L940,Cool_Type,IF('Project Info and Summary'!$C$20="Electric",CONCATENATE(Cool_Type," ",Heating_Type," Heat"),IF('Project Info and Summary'!$C$20="Non-Electric",CONCATENATE(Cool_Type," ",Heating_Type," Heat"),CONCATENATE(Cool_Type," ",Heating_Type))))))))</f>
        <v/>
      </c>
      <c r="N930" s="298" t="str">
        <f t="shared" si="59"/>
        <v/>
      </c>
      <c r="O930" s="298" t="str">
        <f>IF(B930="", "", 'Lighting Inventory (Ref only)'!G941)</f>
        <v/>
      </c>
      <c r="P930" s="298" t="str">
        <f>IF(B930="", "", 'Lighting Inventory (Ref only)'!E941)</f>
        <v/>
      </c>
      <c r="Q930" s="298" t="str">
        <f>IF(B930="", "", 'Lighting Inventory (Ref only)'!J941)</f>
        <v/>
      </c>
      <c r="R930" s="298" t="str">
        <f>IF(B930="", "",'Lighting Inventory (Ref only)'!K941)</f>
        <v/>
      </c>
      <c r="S930" s="372" t="str">
        <f>IF(B930="", "", 'Lighting Inventory (Ref only)'!G941*'Lighting Inventory (Ref only)'!K941/1000)</f>
        <v/>
      </c>
      <c r="T930" s="298" t="str">
        <f>IF(B930="", "", IF('Lighting Inventory (Ref only)'!I941="", "Light Switch",Inventory!H938))</f>
        <v/>
      </c>
      <c r="X930" s="298" t="str">
        <f>IF(B930="", "", 'Lighting Inventory (Ref only)'!Q941)</f>
        <v/>
      </c>
      <c r="AA930" s="298" t="str">
        <f>IF(B930="", "",'Lighting Inventory (Ref only)'!R941/1000)</f>
        <v/>
      </c>
      <c r="AB930" s="298" t="str">
        <f>IF(B930="", "", Inventory!M938)</f>
        <v/>
      </c>
      <c r="AC930" s="298" t="str">
        <f>IF(B930="", "", 'Lighting Inventory (Ref only)'!T941)</f>
        <v/>
      </c>
      <c r="AD930" s="298" t="str">
        <f>IF(C930="", "", 'Lighting Inventory (Ref only)'!AA941)</f>
        <v/>
      </c>
      <c r="AE930" s="298" t="str">
        <f>IF(B930="", "", 'Lighting Inventory (Ref only)'!U941)</f>
        <v/>
      </c>
      <c r="AF930" s="298" t="str">
        <f>IF(B930="", "",'Lighting Inventory (Ref only)'!W941)</f>
        <v/>
      </c>
      <c r="AH930" s="298" t="str">
        <f>IF(B930="", "",'Lighting Inventory (Ref only)'!Z941)</f>
        <v/>
      </c>
      <c r="AI930" s="298" t="str">
        <f>IF(B930="", "", 'Lighting Inventory (Ref only)'!Y941)</f>
        <v/>
      </c>
      <c r="AJ930" s="298" t="str">
        <f>IF(C930="", "",'Lighting Inventory (Ref only)'!AB941)</f>
        <v/>
      </c>
      <c r="AK930" s="375" t="str">
        <f>IF(B930="", "", 'Lighting Inventory (Ref only)'!AG941)</f>
        <v/>
      </c>
      <c r="AL930" s="375" t="str">
        <f>IF(B930="", "", 'Lighting Inventory (Ref only)'!AD941)</f>
        <v/>
      </c>
      <c r="AM930" s="375" t="str">
        <f>IF(B930="", "", 'Lighting Inventory (Ref only)'!AE941)</f>
        <v/>
      </c>
      <c r="AN930" s="375" t="str">
        <f>IF(B930="", "", 'Lighting Inventory (Ref only)'!AF941)</f>
        <v/>
      </c>
      <c r="AO930" s="375" t="str">
        <f>IF(B930="", "", 'Lighting Inventory (Ref only)'!AG941)</f>
        <v/>
      </c>
    </row>
    <row r="931" spans="1:41">
      <c r="A931" s="298" t="str">
        <f>IF(G931="", "", Lookups!BF933)</f>
        <v/>
      </c>
      <c r="B931" s="298" t="str">
        <f>IF('Lighting Inventory (Ref only)'!Q942="", "", 'Lighting Inventory (Ref only)'!Q942)</f>
        <v/>
      </c>
      <c r="C931" s="298" t="str">
        <f>IF(A931="", "", 'Lighting Inventory (Ref only)'!AO942)</f>
        <v/>
      </c>
      <c r="D931" s="298" t="str">
        <f>IF(B931= "","", Inventory!S939)</f>
        <v/>
      </c>
      <c r="F931" s="298" t="str">
        <f>IF(B931="", "", 'Version Log'!$B$34)</f>
        <v/>
      </c>
      <c r="G931" s="298" t="str">
        <f t="shared" si="56"/>
        <v/>
      </c>
      <c r="H931" s="298" t="str">
        <f t="shared" si="57"/>
        <v/>
      </c>
      <c r="I931" s="298" t="str">
        <f>IF(B931="", "",Inventory!D939)</f>
        <v/>
      </c>
      <c r="J931" s="298" t="str">
        <f>IF(B931="","",IF(Inventory!C939="N","Interior","Exterior"))</f>
        <v/>
      </c>
      <c r="K931" s="298" t="str">
        <f t="shared" si="58"/>
        <v/>
      </c>
      <c r="L931" s="298" t="str">
        <f>IF(B931="", "", Inventory!E939)</f>
        <v/>
      </c>
      <c r="M931" s="298" t="str">
        <f>IF(B931="","",IF(Cool_Type=Lookups!$L$9,Cool_Type,IF(Cool_Type=Lookups!$L$10,Cool_Type,IF(Cool_Type=Lookups!$L$11,Cool_Type,IF(Cool_Type=Lookups!L941,Cool_Type,IF('Project Info and Summary'!$C$20="Electric",CONCATENATE(Cool_Type," ",Heating_Type," Heat"),IF('Project Info and Summary'!$C$20="Non-Electric",CONCATENATE(Cool_Type," ",Heating_Type," Heat"),CONCATENATE(Cool_Type," ",Heating_Type))))))))</f>
        <v/>
      </c>
      <c r="N931" s="298" t="str">
        <f t="shared" si="59"/>
        <v/>
      </c>
      <c r="O931" s="298" t="str">
        <f>IF(B931="", "", 'Lighting Inventory (Ref only)'!G942)</f>
        <v/>
      </c>
      <c r="P931" s="298" t="str">
        <f>IF(B931="", "", 'Lighting Inventory (Ref only)'!E942)</f>
        <v/>
      </c>
      <c r="Q931" s="298" t="str">
        <f>IF(B931="", "", 'Lighting Inventory (Ref only)'!J942)</f>
        <v/>
      </c>
      <c r="R931" s="298" t="str">
        <f>IF(B931="", "",'Lighting Inventory (Ref only)'!K942)</f>
        <v/>
      </c>
      <c r="S931" s="372" t="str">
        <f>IF(B931="", "", 'Lighting Inventory (Ref only)'!G942*'Lighting Inventory (Ref only)'!K942/1000)</f>
        <v/>
      </c>
      <c r="T931" s="298" t="str">
        <f>IF(B931="", "", IF('Lighting Inventory (Ref only)'!I942="", "Light Switch",Inventory!H939))</f>
        <v/>
      </c>
      <c r="X931" s="298" t="str">
        <f>IF(B931="", "", 'Lighting Inventory (Ref only)'!Q942)</f>
        <v/>
      </c>
      <c r="AA931" s="298" t="str">
        <f>IF(B931="", "",'Lighting Inventory (Ref only)'!R942/1000)</f>
        <v/>
      </c>
      <c r="AB931" s="298" t="str">
        <f>IF(B931="", "", Inventory!M939)</f>
        <v/>
      </c>
      <c r="AC931" s="298" t="str">
        <f>IF(B931="", "", 'Lighting Inventory (Ref only)'!T942)</f>
        <v/>
      </c>
      <c r="AD931" s="298" t="str">
        <f>IF(C931="", "", 'Lighting Inventory (Ref only)'!AA942)</f>
        <v/>
      </c>
      <c r="AE931" s="298" t="str">
        <f>IF(B931="", "", 'Lighting Inventory (Ref only)'!U942)</f>
        <v/>
      </c>
      <c r="AF931" s="298" t="str">
        <f>IF(B931="", "",'Lighting Inventory (Ref only)'!W942)</f>
        <v/>
      </c>
      <c r="AH931" s="298" t="str">
        <f>IF(B931="", "",'Lighting Inventory (Ref only)'!Z942)</f>
        <v/>
      </c>
      <c r="AI931" s="298" t="str">
        <f>IF(B931="", "", 'Lighting Inventory (Ref only)'!Y942)</f>
        <v/>
      </c>
      <c r="AJ931" s="298" t="str">
        <f>IF(C931="", "",'Lighting Inventory (Ref only)'!AB942)</f>
        <v/>
      </c>
      <c r="AK931" s="375" t="str">
        <f>IF(B931="", "", 'Lighting Inventory (Ref only)'!AG942)</f>
        <v/>
      </c>
      <c r="AL931" s="375" t="str">
        <f>IF(B931="", "", 'Lighting Inventory (Ref only)'!AD942)</f>
        <v/>
      </c>
      <c r="AM931" s="375" t="str">
        <f>IF(B931="", "", 'Lighting Inventory (Ref only)'!AE942)</f>
        <v/>
      </c>
      <c r="AN931" s="375" t="str">
        <f>IF(B931="", "", 'Lighting Inventory (Ref only)'!AF942)</f>
        <v/>
      </c>
      <c r="AO931" s="375" t="str">
        <f>IF(B931="", "", 'Lighting Inventory (Ref only)'!AG942)</f>
        <v/>
      </c>
    </row>
    <row r="932" spans="1:41">
      <c r="A932" s="298" t="str">
        <f>IF(G932="", "", Lookups!BF934)</f>
        <v/>
      </c>
      <c r="B932" s="298" t="str">
        <f>IF('Lighting Inventory (Ref only)'!Q943="", "", 'Lighting Inventory (Ref only)'!Q943)</f>
        <v/>
      </c>
      <c r="C932" s="298" t="str">
        <f>IF(A932="", "", 'Lighting Inventory (Ref only)'!AO943)</f>
        <v/>
      </c>
      <c r="D932" s="298" t="str">
        <f>IF(B932= "","", Inventory!S940)</f>
        <v/>
      </c>
      <c r="F932" s="298" t="str">
        <f>IF(B932="", "", 'Version Log'!$B$34)</f>
        <v/>
      </c>
      <c r="G932" s="298" t="str">
        <f t="shared" si="56"/>
        <v/>
      </c>
      <c r="H932" s="298" t="str">
        <f t="shared" si="57"/>
        <v/>
      </c>
      <c r="I932" s="298" t="str">
        <f>IF(B932="", "",Inventory!D940)</f>
        <v/>
      </c>
      <c r="J932" s="298" t="str">
        <f>IF(B932="","",IF(Inventory!C940="N","Interior","Exterior"))</f>
        <v/>
      </c>
      <c r="K932" s="298" t="str">
        <f t="shared" si="58"/>
        <v/>
      </c>
      <c r="L932" s="298" t="str">
        <f>IF(B932="", "", Inventory!E940)</f>
        <v/>
      </c>
      <c r="M932" s="298" t="str">
        <f>IF(B932="","",IF(Cool_Type=Lookups!$L$9,Cool_Type,IF(Cool_Type=Lookups!$L$10,Cool_Type,IF(Cool_Type=Lookups!$L$11,Cool_Type,IF(Cool_Type=Lookups!L942,Cool_Type,IF('Project Info and Summary'!$C$20="Electric",CONCATENATE(Cool_Type," ",Heating_Type," Heat"),IF('Project Info and Summary'!$C$20="Non-Electric",CONCATENATE(Cool_Type," ",Heating_Type," Heat"),CONCATENATE(Cool_Type," ",Heating_Type))))))))</f>
        <v/>
      </c>
      <c r="N932" s="298" t="str">
        <f t="shared" si="59"/>
        <v/>
      </c>
      <c r="O932" s="298" t="str">
        <f>IF(B932="", "", 'Lighting Inventory (Ref only)'!G943)</f>
        <v/>
      </c>
      <c r="P932" s="298" t="str">
        <f>IF(B932="", "", 'Lighting Inventory (Ref only)'!E943)</f>
        <v/>
      </c>
      <c r="Q932" s="298" t="str">
        <f>IF(B932="", "", 'Lighting Inventory (Ref only)'!J943)</f>
        <v/>
      </c>
      <c r="R932" s="298" t="str">
        <f>IF(B932="", "",'Lighting Inventory (Ref only)'!K943)</f>
        <v/>
      </c>
      <c r="S932" s="372" t="str">
        <f>IF(B932="", "", 'Lighting Inventory (Ref only)'!G943*'Lighting Inventory (Ref only)'!K943/1000)</f>
        <v/>
      </c>
      <c r="T932" s="298" t="str">
        <f>IF(B932="", "", IF('Lighting Inventory (Ref only)'!I943="", "Light Switch",Inventory!H940))</f>
        <v/>
      </c>
      <c r="X932" s="298" t="str">
        <f>IF(B932="", "", 'Lighting Inventory (Ref only)'!Q943)</f>
        <v/>
      </c>
      <c r="AA932" s="298" t="str">
        <f>IF(B932="", "",'Lighting Inventory (Ref only)'!R943/1000)</f>
        <v/>
      </c>
      <c r="AB932" s="298" t="str">
        <f>IF(B932="", "", Inventory!M940)</f>
        <v/>
      </c>
      <c r="AC932" s="298" t="str">
        <f>IF(B932="", "", 'Lighting Inventory (Ref only)'!T943)</f>
        <v/>
      </c>
      <c r="AD932" s="298" t="str">
        <f>IF(C932="", "", 'Lighting Inventory (Ref only)'!AA943)</f>
        <v/>
      </c>
      <c r="AE932" s="298" t="str">
        <f>IF(B932="", "", 'Lighting Inventory (Ref only)'!U943)</f>
        <v/>
      </c>
      <c r="AF932" s="298" t="str">
        <f>IF(B932="", "",'Lighting Inventory (Ref only)'!W943)</f>
        <v/>
      </c>
      <c r="AH932" s="298" t="str">
        <f>IF(B932="", "",'Lighting Inventory (Ref only)'!Z943)</f>
        <v/>
      </c>
      <c r="AI932" s="298" t="str">
        <f>IF(B932="", "", 'Lighting Inventory (Ref only)'!Y943)</f>
        <v/>
      </c>
      <c r="AJ932" s="298" t="str">
        <f>IF(C932="", "",'Lighting Inventory (Ref only)'!AB943)</f>
        <v/>
      </c>
      <c r="AK932" s="375" t="str">
        <f>IF(B932="", "", 'Lighting Inventory (Ref only)'!AG943)</f>
        <v/>
      </c>
      <c r="AL932" s="375" t="str">
        <f>IF(B932="", "", 'Lighting Inventory (Ref only)'!AD943)</f>
        <v/>
      </c>
      <c r="AM932" s="375" t="str">
        <f>IF(B932="", "", 'Lighting Inventory (Ref only)'!AE943)</f>
        <v/>
      </c>
      <c r="AN932" s="375" t="str">
        <f>IF(B932="", "", 'Lighting Inventory (Ref only)'!AF943)</f>
        <v/>
      </c>
      <c r="AO932" s="375" t="str">
        <f>IF(B932="", "", 'Lighting Inventory (Ref only)'!AG943)</f>
        <v/>
      </c>
    </row>
    <row r="933" spans="1:41">
      <c r="A933" s="298" t="str">
        <f>IF(G933="", "", Lookups!BF935)</f>
        <v/>
      </c>
      <c r="B933" s="298" t="str">
        <f>IF('Lighting Inventory (Ref only)'!Q944="", "", 'Lighting Inventory (Ref only)'!Q944)</f>
        <v/>
      </c>
      <c r="C933" s="298" t="str">
        <f>IF(A933="", "", 'Lighting Inventory (Ref only)'!AO944)</f>
        <v/>
      </c>
      <c r="D933" s="298" t="str">
        <f>IF(B933= "","", Inventory!S941)</f>
        <v/>
      </c>
      <c r="F933" s="298" t="str">
        <f>IF(B933="", "", 'Version Log'!$B$34)</f>
        <v/>
      </c>
      <c r="G933" s="298" t="str">
        <f t="shared" si="56"/>
        <v/>
      </c>
      <c r="H933" s="298" t="str">
        <f t="shared" si="57"/>
        <v/>
      </c>
      <c r="I933" s="298" t="str">
        <f>IF(B933="", "",Inventory!D941)</f>
        <v/>
      </c>
      <c r="J933" s="298" t="str">
        <f>IF(B933="","",IF(Inventory!C941="N","Interior","Exterior"))</f>
        <v/>
      </c>
      <c r="K933" s="298" t="str">
        <f t="shared" si="58"/>
        <v/>
      </c>
      <c r="L933" s="298" t="str">
        <f>IF(B933="", "", Inventory!E941)</f>
        <v/>
      </c>
      <c r="M933" s="298" t="str">
        <f>IF(B933="","",IF(Cool_Type=Lookups!$L$9,Cool_Type,IF(Cool_Type=Lookups!$L$10,Cool_Type,IF(Cool_Type=Lookups!$L$11,Cool_Type,IF(Cool_Type=Lookups!L943,Cool_Type,IF('Project Info and Summary'!$C$20="Electric",CONCATENATE(Cool_Type," ",Heating_Type," Heat"),IF('Project Info and Summary'!$C$20="Non-Electric",CONCATENATE(Cool_Type," ",Heating_Type," Heat"),CONCATENATE(Cool_Type," ",Heating_Type))))))))</f>
        <v/>
      </c>
      <c r="N933" s="298" t="str">
        <f t="shared" si="59"/>
        <v/>
      </c>
      <c r="O933" s="298" t="str">
        <f>IF(B933="", "", 'Lighting Inventory (Ref only)'!G944)</f>
        <v/>
      </c>
      <c r="P933" s="298" t="str">
        <f>IF(B933="", "", 'Lighting Inventory (Ref only)'!E944)</f>
        <v/>
      </c>
      <c r="Q933" s="298" t="str">
        <f>IF(B933="", "", 'Lighting Inventory (Ref only)'!J944)</f>
        <v/>
      </c>
      <c r="R933" s="298" t="str">
        <f>IF(B933="", "",'Lighting Inventory (Ref only)'!K944)</f>
        <v/>
      </c>
      <c r="S933" s="372" t="str">
        <f>IF(B933="", "", 'Lighting Inventory (Ref only)'!G944*'Lighting Inventory (Ref only)'!K944/1000)</f>
        <v/>
      </c>
      <c r="T933" s="298" t="str">
        <f>IF(B933="", "", IF('Lighting Inventory (Ref only)'!I944="", "Light Switch",Inventory!H941))</f>
        <v/>
      </c>
      <c r="X933" s="298" t="str">
        <f>IF(B933="", "", 'Lighting Inventory (Ref only)'!Q944)</f>
        <v/>
      </c>
      <c r="AA933" s="298" t="str">
        <f>IF(B933="", "",'Lighting Inventory (Ref only)'!R944/1000)</f>
        <v/>
      </c>
      <c r="AB933" s="298" t="str">
        <f>IF(B933="", "", Inventory!M941)</f>
        <v/>
      </c>
      <c r="AC933" s="298" t="str">
        <f>IF(B933="", "", 'Lighting Inventory (Ref only)'!T944)</f>
        <v/>
      </c>
      <c r="AD933" s="298" t="str">
        <f>IF(C933="", "", 'Lighting Inventory (Ref only)'!AA944)</f>
        <v/>
      </c>
      <c r="AE933" s="298" t="str">
        <f>IF(B933="", "", 'Lighting Inventory (Ref only)'!U944)</f>
        <v/>
      </c>
      <c r="AF933" s="298" t="str">
        <f>IF(B933="", "",'Lighting Inventory (Ref only)'!W944)</f>
        <v/>
      </c>
      <c r="AH933" s="298" t="str">
        <f>IF(B933="", "",'Lighting Inventory (Ref only)'!Z944)</f>
        <v/>
      </c>
      <c r="AI933" s="298" t="str">
        <f>IF(B933="", "", 'Lighting Inventory (Ref only)'!Y944)</f>
        <v/>
      </c>
      <c r="AJ933" s="298" t="str">
        <f>IF(C933="", "",'Lighting Inventory (Ref only)'!AB944)</f>
        <v/>
      </c>
      <c r="AK933" s="375" t="str">
        <f>IF(B933="", "", 'Lighting Inventory (Ref only)'!AG944)</f>
        <v/>
      </c>
      <c r="AL933" s="375" t="str">
        <f>IF(B933="", "", 'Lighting Inventory (Ref only)'!AD944)</f>
        <v/>
      </c>
      <c r="AM933" s="375" t="str">
        <f>IF(B933="", "", 'Lighting Inventory (Ref only)'!AE944)</f>
        <v/>
      </c>
      <c r="AN933" s="375" t="str">
        <f>IF(B933="", "", 'Lighting Inventory (Ref only)'!AF944)</f>
        <v/>
      </c>
      <c r="AO933" s="375" t="str">
        <f>IF(B933="", "", 'Lighting Inventory (Ref only)'!AG944)</f>
        <v/>
      </c>
    </row>
    <row r="934" spans="1:41">
      <c r="A934" s="298" t="str">
        <f>IF(G934="", "", Lookups!BF936)</f>
        <v/>
      </c>
      <c r="B934" s="298" t="str">
        <f>IF('Lighting Inventory (Ref only)'!Q945="", "", 'Lighting Inventory (Ref only)'!Q945)</f>
        <v/>
      </c>
      <c r="C934" s="298" t="str">
        <f>IF(A934="", "", 'Lighting Inventory (Ref only)'!AO945)</f>
        <v/>
      </c>
      <c r="D934" s="298" t="str">
        <f>IF(B934= "","", Inventory!S942)</f>
        <v/>
      </c>
      <c r="F934" s="298" t="str">
        <f>IF(B934="", "", 'Version Log'!$B$34)</f>
        <v/>
      </c>
      <c r="G934" s="298" t="str">
        <f t="shared" si="56"/>
        <v/>
      </c>
      <c r="H934" s="298" t="str">
        <f t="shared" si="57"/>
        <v/>
      </c>
      <c r="I934" s="298" t="str">
        <f>IF(B934="", "",Inventory!D942)</f>
        <v/>
      </c>
      <c r="J934" s="298" t="str">
        <f>IF(B934="","",IF(Inventory!C942="N","Interior","Exterior"))</f>
        <v/>
      </c>
      <c r="K934" s="298" t="str">
        <f t="shared" si="58"/>
        <v/>
      </c>
      <c r="L934" s="298" t="str">
        <f>IF(B934="", "", Inventory!E942)</f>
        <v/>
      </c>
      <c r="M934" s="298" t="str">
        <f>IF(B934="","",IF(Cool_Type=Lookups!$L$9,Cool_Type,IF(Cool_Type=Lookups!$L$10,Cool_Type,IF(Cool_Type=Lookups!$L$11,Cool_Type,IF(Cool_Type=Lookups!L944,Cool_Type,IF('Project Info and Summary'!$C$20="Electric",CONCATENATE(Cool_Type," ",Heating_Type," Heat"),IF('Project Info and Summary'!$C$20="Non-Electric",CONCATENATE(Cool_Type," ",Heating_Type," Heat"),CONCATENATE(Cool_Type," ",Heating_Type))))))))</f>
        <v/>
      </c>
      <c r="N934" s="298" t="str">
        <f t="shared" si="59"/>
        <v/>
      </c>
      <c r="O934" s="298" t="str">
        <f>IF(B934="", "", 'Lighting Inventory (Ref only)'!G945)</f>
        <v/>
      </c>
      <c r="P934" s="298" t="str">
        <f>IF(B934="", "", 'Lighting Inventory (Ref only)'!E945)</f>
        <v/>
      </c>
      <c r="Q934" s="298" t="str">
        <f>IF(B934="", "", 'Lighting Inventory (Ref only)'!J945)</f>
        <v/>
      </c>
      <c r="R934" s="298" t="str">
        <f>IF(B934="", "",'Lighting Inventory (Ref only)'!K945)</f>
        <v/>
      </c>
      <c r="S934" s="372" t="str">
        <f>IF(B934="", "", 'Lighting Inventory (Ref only)'!G945*'Lighting Inventory (Ref only)'!K945/1000)</f>
        <v/>
      </c>
      <c r="T934" s="298" t="str">
        <f>IF(B934="", "", IF('Lighting Inventory (Ref only)'!I945="", "Light Switch",Inventory!H942))</f>
        <v/>
      </c>
      <c r="X934" s="298" t="str">
        <f>IF(B934="", "", 'Lighting Inventory (Ref only)'!Q945)</f>
        <v/>
      </c>
      <c r="AA934" s="298" t="str">
        <f>IF(B934="", "",'Lighting Inventory (Ref only)'!R945/1000)</f>
        <v/>
      </c>
      <c r="AB934" s="298" t="str">
        <f>IF(B934="", "", Inventory!M942)</f>
        <v/>
      </c>
      <c r="AC934" s="298" t="str">
        <f>IF(B934="", "", 'Lighting Inventory (Ref only)'!T945)</f>
        <v/>
      </c>
      <c r="AD934" s="298" t="str">
        <f>IF(C934="", "", 'Lighting Inventory (Ref only)'!AA945)</f>
        <v/>
      </c>
      <c r="AE934" s="298" t="str">
        <f>IF(B934="", "", 'Lighting Inventory (Ref only)'!U945)</f>
        <v/>
      </c>
      <c r="AF934" s="298" t="str">
        <f>IF(B934="", "",'Lighting Inventory (Ref only)'!W945)</f>
        <v/>
      </c>
      <c r="AH934" s="298" t="str">
        <f>IF(B934="", "",'Lighting Inventory (Ref only)'!Z945)</f>
        <v/>
      </c>
      <c r="AI934" s="298" t="str">
        <f>IF(B934="", "", 'Lighting Inventory (Ref only)'!Y945)</f>
        <v/>
      </c>
      <c r="AJ934" s="298" t="str">
        <f>IF(C934="", "",'Lighting Inventory (Ref only)'!AB945)</f>
        <v/>
      </c>
      <c r="AK934" s="375" t="str">
        <f>IF(B934="", "", 'Lighting Inventory (Ref only)'!AG945)</f>
        <v/>
      </c>
      <c r="AL934" s="375" t="str">
        <f>IF(B934="", "", 'Lighting Inventory (Ref only)'!AD945)</f>
        <v/>
      </c>
      <c r="AM934" s="375" t="str">
        <f>IF(B934="", "", 'Lighting Inventory (Ref only)'!AE945)</f>
        <v/>
      </c>
      <c r="AN934" s="375" t="str">
        <f>IF(B934="", "", 'Lighting Inventory (Ref only)'!AF945)</f>
        <v/>
      </c>
      <c r="AO934" s="375" t="str">
        <f>IF(B934="", "", 'Lighting Inventory (Ref only)'!AG945)</f>
        <v/>
      </c>
    </row>
    <row r="935" spans="1:41">
      <c r="A935" s="298" t="str">
        <f>IF(G935="", "", Lookups!BF937)</f>
        <v/>
      </c>
      <c r="B935" s="298" t="str">
        <f>IF('Lighting Inventory (Ref only)'!Q946="", "", 'Lighting Inventory (Ref only)'!Q946)</f>
        <v/>
      </c>
      <c r="C935" s="298" t="str">
        <f>IF(A935="", "", 'Lighting Inventory (Ref only)'!AO946)</f>
        <v/>
      </c>
      <c r="D935" s="298" t="str">
        <f>IF(B935= "","", Inventory!S943)</f>
        <v/>
      </c>
      <c r="F935" s="298" t="str">
        <f>IF(B935="", "", 'Version Log'!$B$34)</f>
        <v/>
      </c>
      <c r="G935" s="298" t="str">
        <f t="shared" si="56"/>
        <v/>
      </c>
      <c r="H935" s="298" t="str">
        <f t="shared" si="57"/>
        <v/>
      </c>
      <c r="I935" s="298" t="str">
        <f>IF(B935="", "",Inventory!D943)</f>
        <v/>
      </c>
      <c r="J935" s="298" t="str">
        <f>IF(B935="","",IF(Inventory!C943="N","Interior","Exterior"))</f>
        <v/>
      </c>
      <c r="K935" s="298" t="str">
        <f t="shared" si="58"/>
        <v/>
      </c>
      <c r="L935" s="298" t="str">
        <f>IF(B935="", "", Inventory!E943)</f>
        <v/>
      </c>
      <c r="M935" s="298" t="str">
        <f>IF(B935="","",IF(Cool_Type=Lookups!$L$9,Cool_Type,IF(Cool_Type=Lookups!$L$10,Cool_Type,IF(Cool_Type=Lookups!$L$11,Cool_Type,IF(Cool_Type=Lookups!L945,Cool_Type,IF('Project Info and Summary'!$C$20="Electric",CONCATENATE(Cool_Type," ",Heating_Type," Heat"),IF('Project Info and Summary'!$C$20="Non-Electric",CONCATENATE(Cool_Type," ",Heating_Type," Heat"),CONCATENATE(Cool_Type," ",Heating_Type))))))))</f>
        <v/>
      </c>
      <c r="N935" s="298" t="str">
        <f t="shared" si="59"/>
        <v/>
      </c>
      <c r="O935" s="298" t="str">
        <f>IF(B935="", "", 'Lighting Inventory (Ref only)'!G946)</f>
        <v/>
      </c>
      <c r="P935" s="298" t="str">
        <f>IF(B935="", "", 'Lighting Inventory (Ref only)'!E946)</f>
        <v/>
      </c>
      <c r="Q935" s="298" t="str">
        <f>IF(B935="", "", 'Lighting Inventory (Ref only)'!J946)</f>
        <v/>
      </c>
      <c r="R935" s="298" t="str">
        <f>IF(B935="", "",'Lighting Inventory (Ref only)'!K946)</f>
        <v/>
      </c>
      <c r="S935" s="372" t="str">
        <f>IF(B935="", "", 'Lighting Inventory (Ref only)'!G946*'Lighting Inventory (Ref only)'!K946/1000)</f>
        <v/>
      </c>
      <c r="T935" s="298" t="str">
        <f>IF(B935="", "", IF('Lighting Inventory (Ref only)'!I946="", "Light Switch",Inventory!H943))</f>
        <v/>
      </c>
      <c r="X935" s="298" t="str">
        <f>IF(B935="", "", 'Lighting Inventory (Ref only)'!Q946)</f>
        <v/>
      </c>
      <c r="AA935" s="298" t="str">
        <f>IF(B935="", "",'Lighting Inventory (Ref only)'!R946/1000)</f>
        <v/>
      </c>
      <c r="AB935" s="298" t="str">
        <f>IF(B935="", "", Inventory!M943)</f>
        <v/>
      </c>
      <c r="AC935" s="298" t="str">
        <f>IF(B935="", "", 'Lighting Inventory (Ref only)'!T946)</f>
        <v/>
      </c>
      <c r="AD935" s="298" t="str">
        <f>IF(C935="", "", 'Lighting Inventory (Ref only)'!AA946)</f>
        <v/>
      </c>
      <c r="AE935" s="298" t="str">
        <f>IF(B935="", "", 'Lighting Inventory (Ref only)'!U946)</f>
        <v/>
      </c>
      <c r="AF935" s="298" t="str">
        <f>IF(B935="", "",'Lighting Inventory (Ref only)'!W946)</f>
        <v/>
      </c>
      <c r="AH935" s="298" t="str">
        <f>IF(B935="", "",'Lighting Inventory (Ref only)'!Z946)</f>
        <v/>
      </c>
      <c r="AI935" s="298" t="str">
        <f>IF(B935="", "", 'Lighting Inventory (Ref only)'!Y946)</f>
        <v/>
      </c>
      <c r="AJ935" s="298" t="str">
        <f>IF(C935="", "",'Lighting Inventory (Ref only)'!AB946)</f>
        <v/>
      </c>
      <c r="AK935" s="375" t="str">
        <f>IF(B935="", "", 'Lighting Inventory (Ref only)'!AG946)</f>
        <v/>
      </c>
      <c r="AL935" s="375" t="str">
        <f>IF(B935="", "", 'Lighting Inventory (Ref only)'!AD946)</f>
        <v/>
      </c>
      <c r="AM935" s="375" t="str">
        <f>IF(B935="", "", 'Lighting Inventory (Ref only)'!AE946)</f>
        <v/>
      </c>
      <c r="AN935" s="375" t="str">
        <f>IF(B935="", "", 'Lighting Inventory (Ref only)'!AF946)</f>
        <v/>
      </c>
      <c r="AO935" s="375" t="str">
        <f>IF(B935="", "", 'Lighting Inventory (Ref only)'!AG946)</f>
        <v/>
      </c>
    </row>
    <row r="936" spans="1:41">
      <c r="A936" s="298" t="str">
        <f>IF(G936="", "", Lookups!BF938)</f>
        <v/>
      </c>
      <c r="B936" s="298" t="str">
        <f>IF('Lighting Inventory (Ref only)'!Q947="", "", 'Lighting Inventory (Ref only)'!Q947)</f>
        <v/>
      </c>
      <c r="C936" s="298" t="str">
        <f>IF(A936="", "", 'Lighting Inventory (Ref only)'!AO947)</f>
        <v/>
      </c>
      <c r="D936" s="298" t="str">
        <f>IF(B936= "","", Inventory!S944)</f>
        <v/>
      </c>
      <c r="F936" s="298" t="str">
        <f>IF(B936="", "", 'Version Log'!$B$34)</f>
        <v/>
      </c>
      <c r="G936" s="298" t="str">
        <f t="shared" si="56"/>
        <v/>
      </c>
      <c r="H936" s="298" t="str">
        <f t="shared" si="57"/>
        <v/>
      </c>
      <c r="I936" s="298" t="str">
        <f>IF(B936="", "",Inventory!D944)</f>
        <v/>
      </c>
      <c r="J936" s="298" t="str">
        <f>IF(B936="","",IF(Inventory!C944="N","Interior","Exterior"))</f>
        <v/>
      </c>
      <c r="K936" s="298" t="str">
        <f t="shared" si="58"/>
        <v/>
      </c>
      <c r="L936" s="298" t="str">
        <f>IF(B936="", "", Inventory!E944)</f>
        <v/>
      </c>
      <c r="M936" s="298" t="str">
        <f>IF(B936="","",IF(Cool_Type=Lookups!$L$9,Cool_Type,IF(Cool_Type=Lookups!$L$10,Cool_Type,IF(Cool_Type=Lookups!$L$11,Cool_Type,IF(Cool_Type=Lookups!L946,Cool_Type,IF('Project Info and Summary'!$C$20="Electric",CONCATENATE(Cool_Type," ",Heating_Type," Heat"),IF('Project Info and Summary'!$C$20="Non-Electric",CONCATENATE(Cool_Type," ",Heating_Type," Heat"),CONCATENATE(Cool_Type," ",Heating_Type))))))))</f>
        <v/>
      </c>
      <c r="N936" s="298" t="str">
        <f t="shared" si="59"/>
        <v/>
      </c>
      <c r="O936" s="298" t="str">
        <f>IF(B936="", "", 'Lighting Inventory (Ref only)'!G947)</f>
        <v/>
      </c>
      <c r="P936" s="298" t="str">
        <f>IF(B936="", "", 'Lighting Inventory (Ref only)'!E947)</f>
        <v/>
      </c>
      <c r="Q936" s="298" t="str">
        <f>IF(B936="", "", 'Lighting Inventory (Ref only)'!J947)</f>
        <v/>
      </c>
      <c r="R936" s="298" t="str">
        <f>IF(B936="", "",'Lighting Inventory (Ref only)'!K947)</f>
        <v/>
      </c>
      <c r="S936" s="372" t="str">
        <f>IF(B936="", "", 'Lighting Inventory (Ref only)'!G947*'Lighting Inventory (Ref only)'!K947/1000)</f>
        <v/>
      </c>
      <c r="T936" s="298" t="str">
        <f>IF(B936="", "", IF('Lighting Inventory (Ref only)'!I947="", "Light Switch",Inventory!H944))</f>
        <v/>
      </c>
      <c r="X936" s="298" t="str">
        <f>IF(B936="", "", 'Lighting Inventory (Ref only)'!Q947)</f>
        <v/>
      </c>
      <c r="AA936" s="298" t="str">
        <f>IF(B936="", "",'Lighting Inventory (Ref only)'!R947/1000)</f>
        <v/>
      </c>
      <c r="AB936" s="298" t="str">
        <f>IF(B936="", "", Inventory!M944)</f>
        <v/>
      </c>
      <c r="AC936" s="298" t="str">
        <f>IF(B936="", "", 'Lighting Inventory (Ref only)'!T947)</f>
        <v/>
      </c>
      <c r="AD936" s="298" t="str">
        <f>IF(C936="", "", 'Lighting Inventory (Ref only)'!AA947)</f>
        <v/>
      </c>
      <c r="AE936" s="298" t="str">
        <f>IF(B936="", "", 'Lighting Inventory (Ref only)'!U947)</f>
        <v/>
      </c>
      <c r="AF936" s="298" t="str">
        <f>IF(B936="", "",'Lighting Inventory (Ref only)'!W947)</f>
        <v/>
      </c>
      <c r="AH936" s="298" t="str">
        <f>IF(B936="", "",'Lighting Inventory (Ref only)'!Z947)</f>
        <v/>
      </c>
      <c r="AI936" s="298" t="str">
        <f>IF(B936="", "", 'Lighting Inventory (Ref only)'!Y947)</f>
        <v/>
      </c>
      <c r="AJ936" s="298" t="str">
        <f>IF(C936="", "",'Lighting Inventory (Ref only)'!AB947)</f>
        <v/>
      </c>
      <c r="AK936" s="375" t="str">
        <f>IF(B936="", "", 'Lighting Inventory (Ref only)'!AG947)</f>
        <v/>
      </c>
      <c r="AL936" s="375" t="str">
        <f>IF(B936="", "", 'Lighting Inventory (Ref only)'!AD947)</f>
        <v/>
      </c>
      <c r="AM936" s="375" t="str">
        <f>IF(B936="", "", 'Lighting Inventory (Ref only)'!AE947)</f>
        <v/>
      </c>
      <c r="AN936" s="375" t="str">
        <f>IF(B936="", "", 'Lighting Inventory (Ref only)'!AF947)</f>
        <v/>
      </c>
      <c r="AO936" s="375" t="str">
        <f>IF(B936="", "", 'Lighting Inventory (Ref only)'!AG947)</f>
        <v/>
      </c>
    </row>
    <row r="937" spans="1:41">
      <c r="A937" s="298" t="str">
        <f>IF(G937="", "", Lookups!BF939)</f>
        <v/>
      </c>
      <c r="B937" s="298" t="str">
        <f>IF('Lighting Inventory (Ref only)'!Q948="", "", 'Lighting Inventory (Ref only)'!Q948)</f>
        <v/>
      </c>
      <c r="C937" s="298" t="str">
        <f>IF(A937="", "", 'Lighting Inventory (Ref only)'!AO948)</f>
        <v/>
      </c>
      <c r="D937" s="298" t="str">
        <f>IF(B937= "","", Inventory!S945)</f>
        <v/>
      </c>
      <c r="F937" s="298" t="str">
        <f>IF(B937="", "", 'Version Log'!$B$34)</f>
        <v/>
      </c>
      <c r="G937" s="298" t="str">
        <f t="shared" si="56"/>
        <v/>
      </c>
      <c r="H937" s="298" t="str">
        <f t="shared" si="57"/>
        <v/>
      </c>
      <c r="I937" s="298" t="str">
        <f>IF(B937="", "",Inventory!D945)</f>
        <v/>
      </c>
      <c r="J937" s="298" t="str">
        <f>IF(B937="","",IF(Inventory!C945="N","Interior","Exterior"))</f>
        <v/>
      </c>
      <c r="K937" s="298" t="str">
        <f t="shared" si="58"/>
        <v/>
      </c>
      <c r="L937" s="298" t="str">
        <f>IF(B937="", "", Inventory!E945)</f>
        <v/>
      </c>
      <c r="M937" s="298" t="str">
        <f>IF(B937="","",IF(Cool_Type=Lookups!$L$9,Cool_Type,IF(Cool_Type=Lookups!$L$10,Cool_Type,IF(Cool_Type=Lookups!$L$11,Cool_Type,IF(Cool_Type=Lookups!L947,Cool_Type,IF('Project Info and Summary'!$C$20="Electric",CONCATENATE(Cool_Type," ",Heating_Type," Heat"),IF('Project Info and Summary'!$C$20="Non-Electric",CONCATENATE(Cool_Type," ",Heating_Type," Heat"),CONCATENATE(Cool_Type," ",Heating_Type))))))))</f>
        <v/>
      </c>
      <c r="N937" s="298" t="str">
        <f t="shared" si="59"/>
        <v/>
      </c>
      <c r="O937" s="298" t="str">
        <f>IF(B937="", "", 'Lighting Inventory (Ref only)'!G948)</f>
        <v/>
      </c>
      <c r="P937" s="298" t="str">
        <f>IF(B937="", "", 'Lighting Inventory (Ref only)'!E948)</f>
        <v/>
      </c>
      <c r="Q937" s="298" t="str">
        <f>IF(B937="", "", 'Lighting Inventory (Ref only)'!J948)</f>
        <v/>
      </c>
      <c r="R937" s="298" t="str">
        <f>IF(B937="", "",'Lighting Inventory (Ref only)'!K948)</f>
        <v/>
      </c>
      <c r="S937" s="372" t="str">
        <f>IF(B937="", "", 'Lighting Inventory (Ref only)'!G948*'Lighting Inventory (Ref only)'!K948/1000)</f>
        <v/>
      </c>
      <c r="T937" s="298" t="str">
        <f>IF(B937="", "", IF('Lighting Inventory (Ref only)'!I948="", "Light Switch",Inventory!H945))</f>
        <v/>
      </c>
      <c r="X937" s="298" t="str">
        <f>IF(B937="", "", 'Lighting Inventory (Ref only)'!Q948)</f>
        <v/>
      </c>
      <c r="AA937" s="298" t="str">
        <f>IF(B937="", "",'Lighting Inventory (Ref only)'!R948/1000)</f>
        <v/>
      </c>
      <c r="AB937" s="298" t="str">
        <f>IF(B937="", "", Inventory!M945)</f>
        <v/>
      </c>
      <c r="AC937" s="298" t="str">
        <f>IF(B937="", "", 'Lighting Inventory (Ref only)'!T948)</f>
        <v/>
      </c>
      <c r="AD937" s="298" t="str">
        <f>IF(C937="", "", 'Lighting Inventory (Ref only)'!AA948)</f>
        <v/>
      </c>
      <c r="AE937" s="298" t="str">
        <f>IF(B937="", "", 'Lighting Inventory (Ref only)'!U948)</f>
        <v/>
      </c>
      <c r="AF937" s="298" t="str">
        <f>IF(B937="", "",'Lighting Inventory (Ref only)'!W948)</f>
        <v/>
      </c>
      <c r="AH937" s="298" t="str">
        <f>IF(B937="", "",'Lighting Inventory (Ref only)'!Z948)</f>
        <v/>
      </c>
      <c r="AI937" s="298" t="str">
        <f>IF(B937="", "", 'Lighting Inventory (Ref only)'!Y948)</f>
        <v/>
      </c>
      <c r="AJ937" s="298" t="str">
        <f>IF(C937="", "",'Lighting Inventory (Ref only)'!AB948)</f>
        <v/>
      </c>
      <c r="AK937" s="375" t="str">
        <f>IF(B937="", "", 'Lighting Inventory (Ref only)'!AG948)</f>
        <v/>
      </c>
      <c r="AL937" s="375" t="str">
        <f>IF(B937="", "", 'Lighting Inventory (Ref only)'!AD948)</f>
        <v/>
      </c>
      <c r="AM937" s="375" t="str">
        <f>IF(B937="", "", 'Lighting Inventory (Ref only)'!AE948)</f>
        <v/>
      </c>
      <c r="AN937" s="375" t="str">
        <f>IF(B937="", "", 'Lighting Inventory (Ref only)'!AF948)</f>
        <v/>
      </c>
      <c r="AO937" s="375" t="str">
        <f>IF(B937="", "", 'Lighting Inventory (Ref only)'!AG948)</f>
        <v/>
      </c>
    </row>
    <row r="938" spans="1:41">
      <c r="A938" s="298" t="str">
        <f>IF(G938="", "", Lookups!BF940)</f>
        <v/>
      </c>
      <c r="B938" s="298" t="str">
        <f>IF('Lighting Inventory (Ref only)'!Q949="", "", 'Lighting Inventory (Ref only)'!Q949)</f>
        <v/>
      </c>
      <c r="C938" s="298" t="str">
        <f>IF(A938="", "", 'Lighting Inventory (Ref only)'!AO949)</f>
        <v/>
      </c>
      <c r="D938" s="298" t="str">
        <f>IF(B938= "","", Inventory!S946)</f>
        <v/>
      </c>
      <c r="F938" s="298" t="str">
        <f>IF(B938="", "", 'Version Log'!$B$34)</f>
        <v/>
      </c>
      <c r="G938" s="298" t="str">
        <f t="shared" si="56"/>
        <v/>
      </c>
      <c r="H938" s="298" t="str">
        <f t="shared" si="57"/>
        <v/>
      </c>
      <c r="I938" s="298" t="str">
        <f>IF(B938="", "",Inventory!D946)</f>
        <v/>
      </c>
      <c r="J938" s="298" t="str">
        <f>IF(B938="","",IF(Inventory!C946="N","Interior","Exterior"))</f>
        <v/>
      </c>
      <c r="K938" s="298" t="str">
        <f t="shared" si="58"/>
        <v/>
      </c>
      <c r="L938" s="298" t="str">
        <f>IF(B938="", "", Inventory!E946)</f>
        <v/>
      </c>
      <c r="M938" s="298" t="str">
        <f>IF(B938="","",IF(Cool_Type=Lookups!$L$9,Cool_Type,IF(Cool_Type=Lookups!$L$10,Cool_Type,IF(Cool_Type=Lookups!$L$11,Cool_Type,IF(Cool_Type=Lookups!L948,Cool_Type,IF('Project Info and Summary'!$C$20="Electric",CONCATENATE(Cool_Type," ",Heating_Type," Heat"),IF('Project Info and Summary'!$C$20="Non-Electric",CONCATENATE(Cool_Type," ",Heating_Type," Heat"),CONCATENATE(Cool_Type," ",Heating_Type))))))))</f>
        <v/>
      </c>
      <c r="N938" s="298" t="str">
        <f t="shared" si="59"/>
        <v/>
      </c>
      <c r="O938" s="298" t="str">
        <f>IF(B938="", "", 'Lighting Inventory (Ref only)'!G949)</f>
        <v/>
      </c>
      <c r="P938" s="298" t="str">
        <f>IF(B938="", "", 'Lighting Inventory (Ref only)'!E949)</f>
        <v/>
      </c>
      <c r="Q938" s="298" t="str">
        <f>IF(B938="", "", 'Lighting Inventory (Ref only)'!J949)</f>
        <v/>
      </c>
      <c r="R938" s="298" t="str">
        <f>IF(B938="", "",'Lighting Inventory (Ref only)'!K949)</f>
        <v/>
      </c>
      <c r="S938" s="372" t="str">
        <f>IF(B938="", "", 'Lighting Inventory (Ref only)'!G949*'Lighting Inventory (Ref only)'!K949/1000)</f>
        <v/>
      </c>
      <c r="T938" s="298" t="str">
        <f>IF(B938="", "", IF('Lighting Inventory (Ref only)'!I949="", "Light Switch",Inventory!H946))</f>
        <v/>
      </c>
      <c r="X938" s="298" t="str">
        <f>IF(B938="", "", 'Lighting Inventory (Ref only)'!Q949)</f>
        <v/>
      </c>
      <c r="AA938" s="298" t="str">
        <f>IF(B938="", "",'Lighting Inventory (Ref only)'!R949/1000)</f>
        <v/>
      </c>
      <c r="AB938" s="298" t="str">
        <f>IF(B938="", "", Inventory!M946)</f>
        <v/>
      </c>
      <c r="AC938" s="298" t="str">
        <f>IF(B938="", "", 'Lighting Inventory (Ref only)'!T949)</f>
        <v/>
      </c>
      <c r="AD938" s="298" t="str">
        <f>IF(C938="", "", 'Lighting Inventory (Ref only)'!AA949)</f>
        <v/>
      </c>
      <c r="AE938" s="298" t="str">
        <f>IF(B938="", "", 'Lighting Inventory (Ref only)'!U949)</f>
        <v/>
      </c>
      <c r="AF938" s="298" t="str">
        <f>IF(B938="", "",'Lighting Inventory (Ref only)'!W949)</f>
        <v/>
      </c>
      <c r="AH938" s="298" t="str">
        <f>IF(B938="", "",'Lighting Inventory (Ref only)'!Z949)</f>
        <v/>
      </c>
      <c r="AI938" s="298" t="str">
        <f>IF(B938="", "", 'Lighting Inventory (Ref only)'!Y949)</f>
        <v/>
      </c>
      <c r="AJ938" s="298" t="str">
        <f>IF(C938="", "",'Lighting Inventory (Ref only)'!AB949)</f>
        <v/>
      </c>
      <c r="AK938" s="375" t="str">
        <f>IF(B938="", "", 'Lighting Inventory (Ref only)'!AG949)</f>
        <v/>
      </c>
      <c r="AL938" s="375" t="str">
        <f>IF(B938="", "", 'Lighting Inventory (Ref only)'!AD949)</f>
        <v/>
      </c>
      <c r="AM938" s="375" t="str">
        <f>IF(B938="", "", 'Lighting Inventory (Ref only)'!AE949)</f>
        <v/>
      </c>
      <c r="AN938" s="375" t="str">
        <f>IF(B938="", "", 'Lighting Inventory (Ref only)'!AF949)</f>
        <v/>
      </c>
      <c r="AO938" s="375" t="str">
        <f>IF(B938="", "", 'Lighting Inventory (Ref only)'!AG949)</f>
        <v/>
      </c>
    </row>
    <row r="939" spans="1:41">
      <c r="A939" s="298" t="str">
        <f>IF(G939="", "", Lookups!BF941)</f>
        <v/>
      </c>
      <c r="B939" s="298" t="str">
        <f>IF('Lighting Inventory (Ref only)'!Q950="", "", 'Lighting Inventory (Ref only)'!Q950)</f>
        <v/>
      </c>
      <c r="C939" s="298" t="str">
        <f>IF(A939="", "", 'Lighting Inventory (Ref only)'!AO950)</f>
        <v/>
      </c>
      <c r="D939" s="298" t="str">
        <f>IF(B939= "","", Inventory!S947)</f>
        <v/>
      </c>
      <c r="F939" s="298" t="str">
        <f>IF(B939="", "", 'Version Log'!$B$34)</f>
        <v/>
      </c>
      <c r="G939" s="298" t="str">
        <f t="shared" si="56"/>
        <v/>
      </c>
      <c r="H939" s="298" t="str">
        <f t="shared" si="57"/>
        <v/>
      </c>
      <c r="I939" s="298" t="str">
        <f>IF(B939="", "",Inventory!D947)</f>
        <v/>
      </c>
      <c r="J939" s="298" t="str">
        <f>IF(B939="","",IF(Inventory!C947="N","Interior","Exterior"))</f>
        <v/>
      </c>
      <c r="K939" s="298" t="str">
        <f t="shared" si="58"/>
        <v/>
      </c>
      <c r="L939" s="298" t="str">
        <f>IF(B939="", "", Inventory!E947)</f>
        <v/>
      </c>
      <c r="M939" s="298" t="str">
        <f>IF(B939="","",IF(Cool_Type=Lookups!$L$9,Cool_Type,IF(Cool_Type=Lookups!$L$10,Cool_Type,IF(Cool_Type=Lookups!$L$11,Cool_Type,IF(Cool_Type=Lookups!L949,Cool_Type,IF('Project Info and Summary'!$C$20="Electric",CONCATENATE(Cool_Type," ",Heating_Type," Heat"),IF('Project Info and Summary'!$C$20="Non-Electric",CONCATENATE(Cool_Type," ",Heating_Type," Heat"),CONCATENATE(Cool_Type," ",Heating_Type))))))))</f>
        <v/>
      </c>
      <c r="N939" s="298" t="str">
        <f t="shared" si="59"/>
        <v/>
      </c>
      <c r="O939" s="298" t="str">
        <f>IF(B939="", "", 'Lighting Inventory (Ref only)'!G950)</f>
        <v/>
      </c>
      <c r="P939" s="298" t="str">
        <f>IF(B939="", "", 'Lighting Inventory (Ref only)'!E950)</f>
        <v/>
      </c>
      <c r="Q939" s="298" t="str">
        <f>IF(B939="", "", 'Lighting Inventory (Ref only)'!J950)</f>
        <v/>
      </c>
      <c r="R939" s="298" t="str">
        <f>IF(B939="", "",'Lighting Inventory (Ref only)'!K950)</f>
        <v/>
      </c>
      <c r="S939" s="372" t="str">
        <f>IF(B939="", "", 'Lighting Inventory (Ref only)'!G950*'Lighting Inventory (Ref only)'!K950/1000)</f>
        <v/>
      </c>
      <c r="T939" s="298" t="str">
        <f>IF(B939="", "", IF('Lighting Inventory (Ref only)'!I950="", "Light Switch",Inventory!H947))</f>
        <v/>
      </c>
      <c r="X939" s="298" t="str">
        <f>IF(B939="", "", 'Lighting Inventory (Ref only)'!Q950)</f>
        <v/>
      </c>
      <c r="AA939" s="298" t="str">
        <f>IF(B939="", "",'Lighting Inventory (Ref only)'!R950/1000)</f>
        <v/>
      </c>
      <c r="AB939" s="298" t="str">
        <f>IF(B939="", "", Inventory!M947)</f>
        <v/>
      </c>
      <c r="AC939" s="298" t="str">
        <f>IF(B939="", "", 'Lighting Inventory (Ref only)'!T950)</f>
        <v/>
      </c>
      <c r="AD939" s="298" t="str">
        <f>IF(C939="", "", 'Lighting Inventory (Ref only)'!AA950)</f>
        <v/>
      </c>
      <c r="AE939" s="298" t="str">
        <f>IF(B939="", "", 'Lighting Inventory (Ref only)'!U950)</f>
        <v/>
      </c>
      <c r="AF939" s="298" t="str">
        <f>IF(B939="", "",'Lighting Inventory (Ref only)'!W950)</f>
        <v/>
      </c>
      <c r="AH939" s="298" t="str">
        <f>IF(B939="", "",'Lighting Inventory (Ref only)'!Z950)</f>
        <v/>
      </c>
      <c r="AI939" s="298" t="str">
        <f>IF(B939="", "", 'Lighting Inventory (Ref only)'!Y950)</f>
        <v/>
      </c>
      <c r="AJ939" s="298" t="str">
        <f>IF(C939="", "",'Lighting Inventory (Ref only)'!AB950)</f>
        <v/>
      </c>
      <c r="AK939" s="375" t="str">
        <f>IF(B939="", "", 'Lighting Inventory (Ref only)'!AG950)</f>
        <v/>
      </c>
      <c r="AL939" s="375" t="str">
        <f>IF(B939="", "", 'Lighting Inventory (Ref only)'!AD950)</f>
        <v/>
      </c>
      <c r="AM939" s="375" t="str">
        <f>IF(B939="", "", 'Lighting Inventory (Ref only)'!AE950)</f>
        <v/>
      </c>
      <c r="AN939" s="375" t="str">
        <f>IF(B939="", "", 'Lighting Inventory (Ref only)'!AF950)</f>
        <v/>
      </c>
      <c r="AO939" s="375" t="str">
        <f>IF(B939="", "", 'Lighting Inventory (Ref only)'!AG950)</f>
        <v/>
      </c>
    </row>
    <row r="940" spans="1:41">
      <c r="A940" s="298" t="str">
        <f>IF(G940="", "", Lookups!BF942)</f>
        <v/>
      </c>
      <c r="B940" s="298" t="str">
        <f>IF('Lighting Inventory (Ref only)'!Q951="", "", 'Lighting Inventory (Ref only)'!Q951)</f>
        <v/>
      </c>
      <c r="C940" s="298" t="str">
        <f>IF(A940="", "", 'Lighting Inventory (Ref only)'!AO951)</f>
        <v/>
      </c>
      <c r="D940" s="298" t="str">
        <f>IF(B940= "","", Inventory!S948)</f>
        <v/>
      </c>
      <c r="F940" s="298" t="str">
        <f>IF(B940="", "", 'Version Log'!$B$34)</f>
        <v/>
      </c>
      <c r="G940" s="298" t="str">
        <f t="shared" si="56"/>
        <v/>
      </c>
      <c r="H940" s="298" t="str">
        <f t="shared" si="57"/>
        <v/>
      </c>
      <c r="I940" s="298" t="str">
        <f>IF(B940="", "",Inventory!D948)</f>
        <v/>
      </c>
      <c r="J940" s="298" t="str">
        <f>IF(B940="","",IF(Inventory!C948="N","Interior","Exterior"))</f>
        <v/>
      </c>
      <c r="K940" s="298" t="str">
        <f t="shared" si="58"/>
        <v/>
      </c>
      <c r="L940" s="298" t="str">
        <f>IF(B940="", "", Inventory!E948)</f>
        <v/>
      </c>
      <c r="M940" s="298" t="str">
        <f>IF(B940="","",IF(Cool_Type=Lookups!$L$9,Cool_Type,IF(Cool_Type=Lookups!$L$10,Cool_Type,IF(Cool_Type=Lookups!$L$11,Cool_Type,IF(Cool_Type=Lookups!L950,Cool_Type,IF('Project Info and Summary'!$C$20="Electric",CONCATENATE(Cool_Type," ",Heating_Type," Heat"),IF('Project Info and Summary'!$C$20="Non-Electric",CONCATENATE(Cool_Type," ",Heating_Type," Heat"),CONCATENATE(Cool_Type," ",Heating_Type))))))))</f>
        <v/>
      </c>
      <c r="N940" s="298" t="str">
        <f t="shared" si="59"/>
        <v/>
      </c>
      <c r="O940" s="298" t="str">
        <f>IF(B940="", "", 'Lighting Inventory (Ref only)'!G951)</f>
        <v/>
      </c>
      <c r="P940" s="298" t="str">
        <f>IF(B940="", "", 'Lighting Inventory (Ref only)'!E951)</f>
        <v/>
      </c>
      <c r="Q940" s="298" t="str">
        <f>IF(B940="", "", 'Lighting Inventory (Ref only)'!J951)</f>
        <v/>
      </c>
      <c r="R940" s="298" t="str">
        <f>IF(B940="", "",'Lighting Inventory (Ref only)'!K951)</f>
        <v/>
      </c>
      <c r="S940" s="372" t="str">
        <f>IF(B940="", "", 'Lighting Inventory (Ref only)'!G951*'Lighting Inventory (Ref only)'!K951/1000)</f>
        <v/>
      </c>
      <c r="T940" s="298" t="str">
        <f>IF(B940="", "", IF('Lighting Inventory (Ref only)'!I951="", "Light Switch",Inventory!H948))</f>
        <v/>
      </c>
      <c r="X940" s="298" t="str">
        <f>IF(B940="", "", 'Lighting Inventory (Ref only)'!Q951)</f>
        <v/>
      </c>
      <c r="AA940" s="298" t="str">
        <f>IF(B940="", "",'Lighting Inventory (Ref only)'!R951/1000)</f>
        <v/>
      </c>
      <c r="AB940" s="298" t="str">
        <f>IF(B940="", "", Inventory!M948)</f>
        <v/>
      </c>
      <c r="AC940" s="298" t="str">
        <f>IF(B940="", "", 'Lighting Inventory (Ref only)'!T951)</f>
        <v/>
      </c>
      <c r="AD940" s="298" t="str">
        <f>IF(C940="", "", 'Lighting Inventory (Ref only)'!AA951)</f>
        <v/>
      </c>
      <c r="AE940" s="298" t="str">
        <f>IF(B940="", "", 'Lighting Inventory (Ref only)'!U951)</f>
        <v/>
      </c>
      <c r="AF940" s="298" t="str">
        <f>IF(B940="", "",'Lighting Inventory (Ref only)'!W951)</f>
        <v/>
      </c>
      <c r="AH940" s="298" t="str">
        <f>IF(B940="", "",'Lighting Inventory (Ref only)'!Z951)</f>
        <v/>
      </c>
      <c r="AI940" s="298" t="str">
        <f>IF(B940="", "", 'Lighting Inventory (Ref only)'!Y951)</f>
        <v/>
      </c>
      <c r="AJ940" s="298" t="str">
        <f>IF(C940="", "",'Lighting Inventory (Ref only)'!AB951)</f>
        <v/>
      </c>
      <c r="AK940" s="375" t="str">
        <f>IF(B940="", "", 'Lighting Inventory (Ref only)'!AG951)</f>
        <v/>
      </c>
      <c r="AL940" s="375" t="str">
        <f>IF(B940="", "", 'Lighting Inventory (Ref only)'!AD951)</f>
        <v/>
      </c>
      <c r="AM940" s="375" t="str">
        <f>IF(B940="", "", 'Lighting Inventory (Ref only)'!AE951)</f>
        <v/>
      </c>
      <c r="AN940" s="375" t="str">
        <f>IF(B940="", "", 'Lighting Inventory (Ref only)'!AF951)</f>
        <v/>
      </c>
      <c r="AO940" s="375" t="str">
        <f>IF(B940="", "", 'Lighting Inventory (Ref only)'!AG951)</f>
        <v/>
      </c>
    </row>
    <row r="941" spans="1:41">
      <c r="A941" s="298" t="str">
        <f>IF(G941="", "", Lookups!BF943)</f>
        <v/>
      </c>
      <c r="B941" s="298" t="str">
        <f>IF('Lighting Inventory (Ref only)'!Q952="", "", 'Lighting Inventory (Ref only)'!Q952)</f>
        <v/>
      </c>
      <c r="C941" s="298" t="str">
        <f>IF(A941="", "", 'Lighting Inventory (Ref only)'!AO952)</f>
        <v/>
      </c>
      <c r="D941" s="298" t="str">
        <f>IF(B941= "","", Inventory!S949)</f>
        <v/>
      </c>
      <c r="F941" s="298" t="str">
        <f>IF(B941="", "", 'Version Log'!$B$34)</f>
        <v/>
      </c>
      <c r="G941" s="298" t="str">
        <f t="shared" si="56"/>
        <v/>
      </c>
      <c r="H941" s="298" t="str">
        <f t="shared" si="57"/>
        <v/>
      </c>
      <c r="I941" s="298" t="str">
        <f>IF(B941="", "",Inventory!D949)</f>
        <v/>
      </c>
      <c r="J941" s="298" t="str">
        <f>IF(B941="","",IF(Inventory!C949="N","Interior","Exterior"))</f>
        <v/>
      </c>
      <c r="K941" s="298" t="str">
        <f t="shared" si="58"/>
        <v/>
      </c>
      <c r="L941" s="298" t="str">
        <f>IF(B941="", "", Inventory!E949)</f>
        <v/>
      </c>
      <c r="M941" s="298" t="str">
        <f>IF(B941="","",IF(Cool_Type=Lookups!$L$9,Cool_Type,IF(Cool_Type=Lookups!$L$10,Cool_Type,IF(Cool_Type=Lookups!$L$11,Cool_Type,IF(Cool_Type=Lookups!L951,Cool_Type,IF('Project Info and Summary'!$C$20="Electric",CONCATENATE(Cool_Type," ",Heating_Type," Heat"),IF('Project Info and Summary'!$C$20="Non-Electric",CONCATENATE(Cool_Type," ",Heating_Type," Heat"),CONCATENATE(Cool_Type," ",Heating_Type))))))))</f>
        <v/>
      </c>
      <c r="N941" s="298" t="str">
        <f t="shared" si="59"/>
        <v/>
      </c>
      <c r="O941" s="298" t="str">
        <f>IF(B941="", "", 'Lighting Inventory (Ref only)'!G952)</f>
        <v/>
      </c>
      <c r="P941" s="298" t="str">
        <f>IF(B941="", "", 'Lighting Inventory (Ref only)'!E952)</f>
        <v/>
      </c>
      <c r="Q941" s="298" t="str">
        <f>IF(B941="", "", 'Lighting Inventory (Ref only)'!J952)</f>
        <v/>
      </c>
      <c r="R941" s="298" t="str">
        <f>IF(B941="", "",'Lighting Inventory (Ref only)'!K952)</f>
        <v/>
      </c>
      <c r="S941" s="372" t="str">
        <f>IF(B941="", "", 'Lighting Inventory (Ref only)'!G952*'Lighting Inventory (Ref only)'!K952/1000)</f>
        <v/>
      </c>
      <c r="T941" s="298" t="str">
        <f>IF(B941="", "", IF('Lighting Inventory (Ref only)'!I952="", "Light Switch",Inventory!H949))</f>
        <v/>
      </c>
      <c r="X941" s="298" t="str">
        <f>IF(B941="", "", 'Lighting Inventory (Ref only)'!Q952)</f>
        <v/>
      </c>
      <c r="AA941" s="298" t="str">
        <f>IF(B941="", "",'Lighting Inventory (Ref only)'!R952/1000)</f>
        <v/>
      </c>
      <c r="AB941" s="298" t="str">
        <f>IF(B941="", "", Inventory!M949)</f>
        <v/>
      </c>
      <c r="AC941" s="298" t="str">
        <f>IF(B941="", "", 'Lighting Inventory (Ref only)'!T952)</f>
        <v/>
      </c>
      <c r="AD941" s="298" t="str">
        <f>IF(C941="", "", 'Lighting Inventory (Ref only)'!AA952)</f>
        <v/>
      </c>
      <c r="AE941" s="298" t="str">
        <f>IF(B941="", "", 'Lighting Inventory (Ref only)'!U952)</f>
        <v/>
      </c>
      <c r="AF941" s="298" t="str">
        <f>IF(B941="", "",'Lighting Inventory (Ref only)'!W952)</f>
        <v/>
      </c>
      <c r="AH941" s="298" t="str">
        <f>IF(B941="", "",'Lighting Inventory (Ref only)'!Z952)</f>
        <v/>
      </c>
      <c r="AI941" s="298" t="str">
        <f>IF(B941="", "", 'Lighting Inventory (Ref only)'!Y952)</f>
        <v/>
      </c>
      <c r="AJ941" s="298" t="str">
        <f>IF(C941="", "",'Lighting Inventory (Ref only)'!AB952)</f>
        <v/>
      </c>
      <c r="AK941" s="375" t="str">
        <f>IF(B941="", "", 'Lighting Inventory (Ref only)'!AG952)</f>
        <v/>
      </c>
      <c r="AL941" s="375" t="str">
        <f>IF(B941="", "", 'Lighting Inventory (Ref only)'!AD952)</f>
        <v/>
      </c>
      <c r="AM941" s="375" t="str">
        <f>IF(B941="", "", 'Lighting Inventory (Ref only)'!AE952)</f>
        <v/>
      </c>
      <c r="AN941" s="375" t="str">
        <f>IF(B941="", "", 'Lighting Inventory (Ref only)'!AF952)</f>
        <v/>
      </c>
      <c r="AO941" s="375" t="str">
        <f>IF(B941="", "", 'Lighting Inventory (Ref only)'!AG952)</f>
        <v/>
      </c>
    </row>
    <row r="942" spans="1:41">
      <c r="A942" s="298" t="str">
        <f>IF(G942="", "", Lookups!BF944)</f>
        <v/>
      </c>
      <c r="B942" s="298" t="str">
        <f>IF('Lighting Inventory (Ref only)'!Q953="", "", 'Lighting Inventory (Ref only)'!Q953)</f>
        <v/>
      </c>
      <c r="C942" s="298" t="str">
        <f>IF(A942="", "", 'Lighting Inventory (Ref only)'!AO953)</f>
        <v/>
      </c>
      <c r="D942" s="298" t="str">
        <f>IF(B942= "","", Inventory!S950)</f>
        <v/>
      </c>
      <c r="F942" s="298" t="str">
        <f>IF(B942="", "", 'Version Log'!$B$34)</f>
        <v/>
      </c>
      <c r="G942" s="298" t="str">
        <f t="shared" si="56"/>
        <v/>
      </c>
      <c r="H942" s="298" t="str">
        <f t="shared" si="57"/>
        <v/>
      </c>
      <c r="I942" s="298" t="str">
        <f>IF(B942="", "",Inventory!D950)</f>
        <v/>
      </c>
      <c r="J942" s="298" t="str">
        <f>IF(B942="","",IF(Inventory!C950="N","Interior","Exterior"))</f>
        <v/>
      </c>
      <c r="K942" s="298" t="str">
        <f t="shared" si="58"/>
        <v/>
      </c>
      <c r="L942" s="298" t="str">
        <f>IF(B942="", "", Inventory!E950)</f>
        <v/>
      </c>
      <c r="M942" s="298" t="str">
        <f>IF(B942="","",IF(Cool_Type=Lookups!$L$9,Cool_Type,IF(Cool_Type=Lookups!$L$10,Cool_Type,IF(Cool_Type=Lookups!$L$11,Cool_Type,IF(Cool_Type=Lookups!L952,Cool_Type,IF('Project Info and Summary'!$C$20="Electric",CONCATENATE(Cool_Type," ",Heating_Type," Heat"),IF('Project Info and Summary'!$C$20="Non-Electric",CONCATENATE(Cool_Type," ",Heating_Type," Heat"),CONCATENATE(Cool_Type," ",Heating_Type))))))))</f>
        <v/>
      </c>
      <c r="N942" s="298" t="str">
        <f t="shared" si="59"/>
        <v/>
      </c>
      <c r="O942" s="298" t="str">
        <f>IF(B942="", "", 'Lighting Inventory (Ref only)'!G953)</f>
        <v/>
      </c>
      <c r="P942" s="298" t="str">
        <f>IF(B942="", "", 'Lighting Inventory (Ref only)'!E953)</f>
        <v/>
      </c>
      <c r="Q942" s="298" t="str">
        <f>IF(B942="", "", 'Lighting Inventory (Ref only)'!J953)</f>
        <v/>
      </c>
      <c r="R942" s="298" t="str">
        <f>IF(B942="", "",'Lighting Inventory (Ref only)'!K953)</f>
        <v/>
      </c>
      <c r="S942" s="372" t="str">
        <f>IF(B942="", "", 'Lighting Inventory (Ref only)'!G953*'Lighting Inventory (Ref only)'!K953/1000)</f>
        <v/>
      </c>
      <c r="T942" s="298" t="str">
        <f>IF(B942="", "", IF('Lighting Inventory (Ref only)'!I953="", "Light Switch",Inventory!H950))</f>
        <v/>
      </c>
      <c r="X942" s="298" t="str">
        <f>IF(B942="", "", 'Lighting Inventory (Ref only)'!Q953)</f>
        <v/>
      </c>
      <c r="AA942" s="298" t="str">
        <f>IF(B942="", "",'Lighting Inventory (Ref only)'!R953/1000)</f>
        <v/>
      </c>
      <c r="AB942" s="298" t="str">
        <f>IF(B942="", "", Inventory!M950)</f>
        <v/>
      </c>
      <c r="AC942" s="298" t="str">
        <f>IF(B942="", "", 'Lighting Inventory (Ref only)'!T953)</f>
        <v/>
      </c>
      <c r="AD942" s="298" t="str">
        <f>IF(C942="", "", 'Lighting Inventory (Ref only)'!AA953)</f>
        <v/>
      </c>
      <c r="AE942" s="298" t="str">
        <f>IF(B942="", "", 'Lighting Inventory (Ref only)'!U953)</f>
        <v/>
      </c>
      <c r="AF942" s="298" t="str">
        <f>IF(B942="", "",'Lighting Inventory (Ref only)'!W953)</f>
        <v/>
      </c>
      <c r="AH942" s="298" t="str">
        <f>IF(B942="", "",'Lighting Inventory (Ref only)'!Z953)</f>
        <v/>
      </c>
      <c r="AI942" s="298" t="str">
        <f>IF(B942="", "", 'Lighting Inventory (Ref only)'!Y953)</f>
        <v/>
      </c>
      <c r="AJ942" s="298" t="str">
        <f>IF(C942="", "",'Lighting Inventory (Ref only)'!AB953)</f>
        <v/>
      </c>
      <c r="AK942" s="375" t="str">
        <f>IF(B942="", "", 'Lighting Inventory (Ref only)'!AG953)</f>
        <v/>
      </c>
      <c r="AL942" s="375" t="str">
        <f>IF(B942="", "", 'Lighting Inventory (Ref only)'!AD953)</f>
        <v/>
      </c>
      <c r="AM942" s="375" t="str">
        <f>IF(B942="", "", 'Lighting Inventory (Ref only)'!AE953)</f>
        <v/>
      </c>
      <c r="AN942" s="375" t="str">
        <f>IF(B942="", "", 'Lighting Inventory (Ref only)'!AF953)</f>
        <v/>
      </c>
      <c r="AO942" s="375" t="str">
        <f>IF(B942="", "", 'Lighting Inventory (Ref only)'!AG953)</f>
        <v/>
      </c>
    </row>
    <row r="943" spans="1:41">
      <c r="A943" s="298" t="str">
        <f>IF(G943="", "", Lookups!BF945)</f>
        <v/>
      </c>
      <c r="B943" s="298" t="str">
        <f>IF('Lighting Inventory (Ref only)'!Q954="", "", 'Lighting Inventory (Ref only)'!Q954)</f>
        <v/>
      </c>
      <c r="C943" s="298" t="str">
        <f>IF(A943="", "", 'Lighting Inventory (Ref only)'!AO954)</f>
        <v/>
      </c>
      <c r="D943" s="298" t="str">
        <f>IF(B943= "","", Inventory!S951)</f>
        <v/>
      </c>
      <c r="F943" s="298" t="str">
        <f>IF(B943="", "", 'Version Log'!$B$34)</f>
        <v/>
      </c>
      <c r="G943" s="298" t="str">
        <f t="shared" si="56"/>
        <v/>
      </c>
      <c r="H943" s="298" t="str">
        <f t="shared" si="57"/>
        <v/>
      </c>
      <c r="I943" s="298" t="str">
        <f>IF(B943="", "",Inventory!D951)</f>
        <v/>
      </c>
      <c r="J943" s="298" t="str">
        <f>IF(B943="","",IF(Inventory!C951="N","Interior","Exterior"))</f>
        <v/>
      </c>
      <c r="K943" s="298" t="str">
        <f t="shared" si="58"/>
        <v/>
      </c>
      <c r="L943" s="298" t="str">
        <f>IF(B943="", "", Inventory!E951)</f>
        <v/>
      </c>
      <c r="M943" s="298" t="str">
        <f>IF(B943="","",IF(Cool_Type=Lookups!$L$9,Cool_Type,IF(Cool_Type=Lookups!$L$10,Cool_Type,IF(Cool_Type=Lookups!$L$11,Cool_Type,IF(Cool_Type=Lookups!L953,Cool_Type,IF('Project Info and Summary'!$C$20="Electric",CONCATENATE(Cool_Type," ",Heating_Type," Heat"),IF('Project Info and Summary'!$C$20="Non-Electric",CONCATENATE(Cool_Type," ",Heating_Type," Heat"),CONCATENATE(Cool_Type," ",Heating_Type))))))))</f>
        <v/>
      </c>
      <c r="N943" s="298" t="str">
        <f t="shared" si="59"/>
        <v/>
      </c>
      <c r="O943" s="298" t="str">
        <f>IF(B943="", "", 'Lighting Inventory (Ref only)'!G954)</f>
        <v/>
      </c>
      <c r="P943" s="298" t="str">
        <f>IF(B943="", "", 'Lighting Inventory (Ref only)'!E954)</f>
        <v/>
      </c>
      <c r="Q943" s="298" t="str">
        <f>IF(B943="", "", 'Lighting Inventory (Ref only)'!J954)</f>
        <v/>
      </c>
      <c r="R943" s="298" t="str">
        <f>IF(B943="", "",'Lighting Inventory (Ref only)'!K954)</f>
        <v/>
      </c>
      <c r="S943" s="372" t="str">
        <f>IF(B943="", "", 'Lighting Inventory (Ref only)'!G954*'Lighting Inventory (Ref only)'!K954/1000)</f>
        <v/>
      </c>
      <c r="T943" s="298" t="str">
        <f>IF(B943="", "", IF('Lighting Inventory (Ref only)'!I954="", "Light Switch",Inventory!H951))</f>
        <v/>
      </c>
      <c r="X943" s="298" t="str">
        <f>IF(B943="", "", 'Lighting Inventory (Ref only)'!Q954)</f>
        <v/>
      </c>
      <c r="AA943" s="298" t="str">
        <f>IF(B943="", "",'Lighting Inventory (Ref only)'!R954/1000)</f>
        <v/>
      </c>
      <c r="AB943" s="298" t="str">
        <f>IF(B943="", "", Inventory!M951)</f>
        <v/>
      </c>
      <c r="AC943" s="298" t="str">
        <f>IF(B943="", "", 'Lighting Inventory (Ref only)'!T954)</f>
        <v/>
      </c>
      <c r="AD943" s="298" t="str">
        <f>IF(C943="", "", 'Lighting Inventory (Ref only)'!AA954)</f>
        <v/>
      </c>
      <c r="AE943" s="298" t="str">
        <f>IF(B943="", "", 'Lighting Inventory (Ref only)'!U954)</f>
        <v/>
      </c>
      <c r="AF943" s="298" t="str">
        <f>IF(B943="", "",'Lighting Inventory (Ref only)'!W954)</f>
        <v/>
      </c>
      <c r="AH943" s="298" t="str">
        <f>IF(B943="", "",'Lighting Inventory (Ref only)'!Z954)</f>
        <v/>
      </c>
      <c r="AI943" s="298" t="str">
        <f>IF(B943="", "", 'Lighting Inventory (Ref only)'!Y954)</f>
        <v/>
      </c>
      <c r="AJ943" s="298" t="str">
        <f>IF(C943="", "",'Lighting Inventory (Ref only)'!AB954)</f>
        <v/>
      </c>
      <c r="AK943" s="375" t="str">
        <f>IF(B943="", "", 'Lighting Inventory (Ref only)'!AG954)</f>
        <v/>
      </c>
      <c r="AL943" s="375" t="str">
        <f>IF(B943="", "", 'Lighting Inventory (Ref only)'!AD954)</f>
        <v/>
      </c>
      <c r="AM943" s="375" t="str">
        <f>IF(B943="", "", 'Lighting Inventory (Ref only)'!AE954)</f>
        <v/>
      </c>
      <c r="AN943" s="375" t="str">
        <f>IF(B943="", "", 'Lighting Inventory (Ref only)'!AF954)</f>
        <v/>
      </c>
      <c r="AO943" s="375" t="str">
        <f>IF(B943="", "", 'Lighting Inventory (Ref only)'!AG954)</f>
        <v/>
      </c>
    </row>
    <row r="944" spans="1:41">
      <c r="A944" s="298" t="str">
        <f>IF(G944="", "", Lookups!BF946)</f>
        <v/>
      </c>
      <c r="B944" s="298" t="str">
        <f>IF('Lighting Inventory (Ref only)'!Q955="", "", 'Lighting Inventory (Ref only)'!Q955)</f>
        <v/>
      </c>
      <c r="C944" s="298" t="str">
        <f>IF(A944="", "", 'Lighting Inventory (Ref only)'!AO955)</f>
        <v/>
      </c>
      <c r="D944" s="298" t="str">
        <f>IF(B944= "","", Inventory!S952)</f>
        <v/>
      </c>
      <c r="F944" s="298" t="str">
        <f>IF(B944="", "", 'Version Log'!$B$34)</f>
        <v/>
      </c>
      <c r="G944" s="298" t="str">
        <f t="shared" si="56"/>
        <v/>
      </c>
      <c r="H944" s="298" t="str">
        <f t="shared" si="57"/>
        <v/>
      </c>
      <c r="I944" s="298" t="str">
        <f>IF(B944="", "",Inventory!D952)</f>
        <v/>
      </c>
      <c r="J944" s="298" t="str">
        <f>IF(B944="","",IF(Inventory!C952="N","Interior","Exterior"))</f>
        <v/>
      </c>
      <c r="K944" s="298" t="str">
        <f t="shared" si="58"/>
        <v/>
      </c>
      <c r="L944" s="298" t="str">
        <f>IF(B944="", "", Inventory!E952)</f>
        <v/>
      </c>
      <c r="M944" s="298" t="str">
        <f>IF(B944="","",IF(Cool_Type=Lookups!$L$9,Cool_Type,IF(Cool_Type=Lookups!$L$10,Cool_Type,IF(Cool_Type=Lookups!$L$11,Cool_Type,IF(Cool_Type=Lookups!L954,Cool_Type,IF('Project Info and Summary'!$C$20="Electric",CONCATENATE(Cool_Type," ",Heating_Type," Heat"),IF('Project Info and Summary'!$C$20="Non-Electric",CONCATENATE(Cool_Type," ",Heating_Type," Heat"),CONCATENATE(Cool_Type," ",Heating_Type))))))))</f>
        <v/>
      </c>
      <c r="N944" s="298" t="str">
        <f t="shared" si="59"/>
        <v/>
      </c>
      <c r="O944" s="298" t="str">
        <f>IF(B944="", "", 'Lighting Inventory (Ref only)'!G955)</f>
        <v/>
      </c>
      <c r="P944" s="298" t="str">
        <f>IF(B944="", "", 'Lighting Inventory (Ref only)'!E955)</f>
        <v/>
      </c>
      <c r="Q944" s="298" t="str">
        <f>IF(B944="", "", 'Lighting Inventory (Ref only)'!J955)</f>
        <v/>
      </c>
      <c r="R944" s="298" t="str">
        <f>IF(B944="", "",'Lighting Inventory (Ref only)'!K955)</f>
        <v/>
      </c>
      <c r="S944" s="372" t="str">
        <f>IF(B944="", "", 'Lighting Inventory (Ref only)'!G955*'Lighting Inventory (Ref only)'!K955/1000)</f>
        <v/>
      </c>
      <c r="T944" s="298" t="str">
        <f>IF(B944="", "", IF('Lighting Inventory (Ref only)'!I955="", "Light Switch",Inventory!H952))</f>
        <v/>
      </c>
      <c r="X944" s="298" t="str">
        <f>IF(B944="", "", 'Lighting Inventory (Ref only)'!Q955)</f>
        <v/>
      </c>
      <c r="AA944" s="298" t="str">
        <f>IF(B944="", "",'Lighting Inventory (Ref only)'!R955/1000)</f>
        <v/>
      </c>
      <c r="AB944" s="298" t="str">
        <f>IF(B944="", "", Inventory!M952)</f>
        <v/>
      </c>
      <c r="AC944" s="298" t="str">
        <f>IF(B944="", "", 'Lighting Inventory (Ref only)'!T955)</f>
        <v/>
      </c>
      <c r="AD944" s="298" t="str">
        <f>IF(C944="", "", 'Lighting Inventory (Ref only)'!AA955)</f>
        <v/>
      </c>
      <c r="AE944" s="298" t="str">
        <f>IF(B944="", "", 'Lighting Inventory (Ref only)'!U955)</f>
        <v/>
      </c>
      <c r="AF944" s="298" t="str">
        <f>IF(B944="", "",'Lighting Inventory (Ref only)'!W955)</f>
        <v/>
      </c>
      <c r="AH944" s="298" t="str">
        <f>IF(B944="", "",'Lighting Inventory (Ref only)'!Z955)</f>
        <v/>
      </c>
      <c r="AI944" s="298" t="str">
        <f>IF(B944="", "", 'Lighting Inventory (Ref only)'!Y955)</f>
        <v/>
      </c>
      <c r="AJ944" s="298" t="str">
        <f>IF(C944="", "",'Lighting Inventory (Ref only)'!AB955)</f>
        <v/>
      </c>
      <c r="AK944" s="375" t="str">
        <f>IF(B944="", "", 'Lighting Inventory (Ref only)'!AG955)</f>
        <v/>
      </c>
      <c r="AL944" s="375" t="str">
        <f>IF(B944="", "", 'Lighting Inventory (Ref only)'!AD955)</f>
        <v/>
      </c>
      <c r="AM944" s="375" t="str">
        <f>IF(B944="", "", 'Lighting Inventory (Ref only)'!AE955)</f>
        <v/>
      </c>
      <c r="AN944" s="375" t="str">
        <f>IF(B944="", "", 'Lighting Inventory (Ref only)'!AF955)</f>
        <v/>
      </c>
      <c r="AO944" s="375" t="str">
        <f>IF(B944="", "", 'Lighting Inventory (Ref only)'!AG955)</f>
        <v/>
      </c>
    </row>
    <row r="945" spans="1:41">
      <c r="A945" s="298" t="str">
        <f>IF(G945="", "", Lookups!BF947)</f>
        <v/>
      </c>
      <c r="B945" s="298" t="str">
        <f>IF('Lighting Inventory (Ref only)'!Q956="", "", 'Lighting Inventory (Ref only)'!Q956)</f>
        <v/>
      </c>
      <c r="C945" s="298" t="str">
        <f>IF(A945="", "", 'Lighting Inventory (Ref only)'!AO956)</f>
        <v/>
      </c>
      <c r="D945" s="298" t="str">
        <f>IF(B945= "","", Inventory!S953)</f>
        <v/>
      </c>
      <c r="F945" s="298" t="str">
        <f>IF(B945="", "", 'Version Log'!$B$34)</f>
        <v/>
      </c>
      <c r="G945" s="298" t="str">
        <f t="shared" si="56"/>
        <v/>
      </c>
      <c r="H945" s="298" t="str">
        <f t="shared" si="57"/>
        <v/>
      </c>
      <c r="I945" s="298" t="str">
        <f>IF(B945="", "",Inventory!D953)</f>
        <v/>
      </c>
      <c r="J945" s="298" t="str">
        <f>IF(B945="","",IF(Inventory!C953="N","Interior","Exterior"))</f>
        <v/>
      </c>
      <c r="K945" s="298" t="str">
        <f t="shared" si="58"/>
        <v/>
      </c>
      <c r="L945" s="298" t="str">
        <f>IF(B945="", "", Inventory!E953)</f>
        <v/>
      </c>
      <c r="M945" s="298" t="str">
        <f>IF(B945="","",IF(Cool_Type=Lookups!$L$9,Cool_Type,IF(Cool_Type=Lookups!$L$10,Cool_Type,IF(Cool_Type=Lookups!$L$11,Cool_Type,IF(Cool_Type=Lookups!L955,Cool_Type,IF('Project Info and Summary'!$C$20="Electric",CONCATENATE(Cool_Type," ",Heating_Type," Heat"),IF('Project Info and Summary'!$C$20="Non-Electric",CONCATENATE(Cool_Type," ",Heating_Type," Heat"),CONCATENATE(Cool_Type," ",Heating_Type))))))))</f>
        <v/>
      </c>
      <c r="N945" s="298" t="str">
        <f t="shared" si="59"/>
        <v/>
      </c>
      <c r="O945" s="298" t="str">
        <f>IF(B945="", "", 'Lighting Inventory (Ref only)'!G956)</f>
        <v/>
      </c>
      <c r="P945" s="298" t="str">
        <f>IF(B945="", "", 'Lighting Inventory (Ref only)'!E956)</f>
        <v/>
      </c>
      <c r="Q945" s="298" t="str">
        <f>IF(B945="", "", 'Lighting Inventory (Ref only)'!J956)</f>
        <v/>
      </c>
      <c r="R945" s="298" t="str">
        <f>IF(B945="", "",'Lighting Inventory (Ref only)'!K956)</f>
        <v/>
      </c>
      <c r="S945" s="372" t="str">
        <f>IF(B945="", "", 'Lighting Inventory (Ref only)'!G956*'Lighting Inventory (Ref only)'!K956/1000)</f>
        <v/>
      </c>
      <c r="T945" s="298" t="str">
        <f>IF(B945="", "", IF('Lighting Inventory (Ref only)'!I956="", "Light Switch",Inventory!H953))</f>
        <v/>
      </c>
      <c r="X945" s="298" t="str">
        <f>IF(B945="", "", 'Lighting Inventory (Ref only)'!Q956)</f>
        <v/>
      </c>
      <c r="AA945" s="298" t="str">
        <f>IF(B945="", "",'Lighting Inventory (Ref only)'!R956/1000)</f>
        <v/>
      </c>
      <c r="AB945" s="298" t="str">
        <f>IF(B945="", "", Inventory!M953)</f>
        <v/>
      </c>
      <c r="AC945" s="298" t="str">
        <f>IF(B945="", "", 'Lighting Inventory (Ref only)'!T956)</f>
        <v/>
      </c>
      <c r="AD945" s="298" t="str">
        <f>IF(C945="", "", 'Lighting Inventory (Ref only)'!AA956)</f>
        <v/>
      </c>
      <c r="AE945" s="298" t="str">
        <f>IF(B945="", "", 'Lighting Inventory (Ref only)'!U956)</f>
        <v/>
      </c>
      <c r="AF945" s="298" t="str">
        <f>IF(B945="", "",'Lighting Inventory (Ref only)'!W956)</f>
        <v/>
      </c>
      <c r="AH945" s="298" t="str">
        <f>IF(B945="", "",'Lighting Inventory (Ref only)'!Z956)</f>
        <v/>
      </c>
      <c r="AI945" s="298" t="str">
        <f>IF(B945="", "", 'Lighting Inventory (Ref only)'!Y956)</f>
        <v/>
      </c>
      <c r="AJ945" s="298" t="str">
        <f>IF(C945="", "",'Lighting Inventory (Ref only)'!AB956)</f>
        <v/>
      </c>
      <c r="AK945" s="375" t="str">
        <f>IF(B945="", "", 'Lighting Inventory (Ref only)'!AG956)</f>
        <v/>
      </c>
      <c r="AL945" s="375" t="str">
        <f>IF(B945="", "", 'Lighting Inventory (Ref only)'!AD956)</f>
        <v/>
      </c>
      <c r="AM945" s="375" t="str">
        <f>IF(B945="", "", 'Lighting Inventory (Ref only)'!AE956)</f>
        <v/>
      </c>
      <c r="AN945" s="375" t="str">
        <f>IF(B945="", "", 'Lighting Inventory (Ref only)'!AF956)</f>
        <v/>
      </c>
      <c r="AO945" s="375" t="str">
        <f>IF(B945="", "", 'Lighting Inventory (Ref only)'!AG956)</f>
        <v/>
      </c>
    </row>
    <row r="946" spans="1:41">
      <c r="A946" s="298" t="str">
        <f>IF(G946="", "", Lookups!BF948)</f>
        <v/>
      </c>
      <c r="B946" s="298" t="str">
        <f>IF('Lighting Inventory (Ref only)'!Q957="", "", 'Lighting Inventory (Ref only)'!Q957)</f>
        <v/>
      </c>
      <c r="C946" s="298" t="str">
        <f>IF(A946="", "", 'Lighting Inventory (Ref only)'!AO957)</f>
        <v/>
      </c>
      <c r="D946" s="298" t="str">
        <f>IF(B946= "","", Inventory!S954)</f>
        <v/>
      </c>
      <c r="F946" s="298" t="str">
        <f>IF(B946="", "", 'Version Log'!$B$34)</f>
        <v/>
      </c>
      <c r="G946" s="298" t="str">
        <f t="shared" si="56"/>
        <v/>
      </c>
      <c r="H946" s="298" t="str">
        <f t="shared" si="57"/>
        <v/>
      </c>
      <c r="I946" s="298" t="str">
        <f>IF(B946="", "",Inventory!D954)</f>
        <v/>
      </c>
      <c r="J946" s="298" t="str">
        <f>IF(B946="","",IF(Inventory!C954="N","Interior","Exterior"))</f>
        <v/>
      </c>
      <c r="K946" s="298" t="str">
        <f t="shared" si="58"/>
        <v/>
      </c>
      <c r="L946" s="298" t="str">
        <f>IF(B946="", "", Inventory!E954)</f>
        <v/>
      </c>
      <c r="M946" s="298" t="str">
        <f>IF(B946="","",IF(Cool_Type=Lookups!$L$9,Cool_Type,IF(Cool_Type=Lookups!$L$10,Cool_Type,IF(Cool_Type=Lookups!$L$11,Cool_Type,IF(Cool_Type=Lookups!L956,Cool_Type,IF('Project Info and Summary'!$C$20="Electric",CONCATENATE(Cool_Type," ",Heating_Type," Heat"),IF('Project Info and Summary'!$C$20="Non-Electric",CONCATENATE(Cool_Type," ",Heating_Type," Heat"),CONCATENATE(Cool_Type," ",Heating_Type))))))))</f>
        <v/>
      </c>
      <c r="N946" s="298" t="str">
        <f t="shared" si="59"/>
        <v/>
      </c>
      <c r="O946" s="298" t="str">
        <f>IF(B946="", "", 'Lighting Inventory (Ref only)'!G957)</f>
        <v/>
      </c>
      <c r="P946" s="298" t="str">
        <f>IF(B946="", "", 'Lighting Inventory (Ref only)'!E957)</f>
        <v/>
      </c>
      <c r="Q946" s="298" t="str">
        <f>IF(B946="", "", 'Lighting Inventory (Ref only)'!J957)</f>
        <v/>
      </c>
      <c r="R946" s="298" t="str">
        <f>IF(B946="", "",'Lighting Inventory (Ref only)'!K957)</f>
        <v/>
      </c>
      <c r="S946" s="372" t="str">
        <f>IF(B946="", "", 'Lighting Inventory (Ref only)'!G957*'Lighting Inventory (Ref only)'!K957/1000)</f>
        <v/>
      </c>
      <c r="T946" s="298" t="str">
        <f>IF(B946="", "", IF('Lighting Inventory (Ref only)'!I957="", "Light Switch",Inventory!H954))</f>
        <v/>
      </c>
      <c r="X946" s="298" t="str">
        <f>IF(B946="", "", 'Lighting Inventory (Ref only)'!Q957)</f>
        <v/>
      </c>
      <c r="AA946" s="298" t="str">
        <f>IF(B946="", "",'Lighting Inventory (Ref only)'!R957/1000)</f>
        <v/>
      </c>
      <c r="AB946" s="298" t="str">
        <f>IF(B946="", "", Inventory!M954)</f>
        <v/>
      </c>
      <c r="AC946" s="298" t="str">
        <f>IF(B946="", "", 'Lighting Inventory (Ref only)'!T957)</f>
        <v/>
      </c>
      <c r="AD946" s="298" t="str">
        <f>IF(C946="", "", 'Lighting Inventory (Ref only)'!AA957)</f>
        <v/>
      </c>
      <c r="AE946" s="298" t="str">
        <f>IF(B946="", "", 'Lighting Inventory (Ref only)'!U957)</f>
        <v/>
      </c>
      <c r="AF946" s="298" t="str">
        <f>IF(B946="", "",'Lighting Inventory (Ref only)'!W957)</f>
        <v/>
      </c>
      <c r="AH946" s="298" t="str">
        <f>IF(B946="", "",'Lighting Inventory (Ref only)'!Z957)</f>
        <v/>
      </c>
      <c r="AI946" s="298" t="str">
        <f>IF(B946="", "", 'Lighting Inventory (Ref only)'!Y957)</f>
        <v/>
      </c>
      <c r="AJ946" s="298" t="str">
        <f>IF(C946="", "",'Lighting Inventory (Ref only)'!AB957)</f>
        <v/>
      </c>
      <c r="AK946" s="375" t="str">
        <f>IF(B946="", "", 'Lighting Inventory (Ref only)'!AG957)</f>
        <v/>
      </c>
      <c r="AL946" s="375" t="str">
        <f>IF(B946="", "", 'Lighting Inventory (Ref only)'!AD957)</f>
        <v/>
      </c>
      <c r="AM946" s="375" t="str">
        <f>IF(B946="", "", 'Lighting Inventory (Ref only)'!AE957)</f>
        <v/>
      </c>
      <c r="AN946" s="375" t="str">
        <f>IF(B946="", "", 'Lighting Inventory (Ref only)'!AF957)</f>
        <v/>
      </c>
      <c r="AO946" s="375" t="str">
        <f>IF(B946="", "", 'Lighting Inventory (Ref only)'!AG957)</f>
        <v/>
      </c>
    </row>
    <row r="947" spans="1:41">
      <c r="A947" s="298" t="str">
        <f>IF(G947="", "", Lookups!BF949)</f>
        <v/>
      </c>
      <c r="B947" s="298" t="str">
        <f>IF('Lighting Inventory (Ref only)'!Q958="", "", 'Lighting Inventory (Ref only)'!Q958)</f>
        <v/>
      </c>
      <c r="C947" s="298" t="str">
        <f>IF(A947="", "", 'Lighting Inventory (Ref only)'!AO958)</f>
        <v/>
      </c>
      <c r="D947" s="298" t="str">
        <f>IF(B947= "","", Inventory!S955)</f>
        <v/>
      </c>
      <c r="F947" s="298" t="str">
        <f>IF(B947="", "", 'Version Log'!$B$34)</f>
        <v/>
      </c>
      <c r="G947" s="298" t="str">
        <f t="shared" si="56"/>
        <v/>
      </c>
      <c r="H947" s="298" t="str">
        <f t="shared" si="57"/>
        <v/>
      </c>
      <c r="I947" s="298" t="str">
        <f>IF(B947="", "",Inventory!D955)</f>
        <v/>
      </c>
      <c r="J947" s="298" t="str">
        <f>IF(B947="","",IF(Inventory!C955="N","Interior","Exterior"))</f>
        <v/>
      </c>
      <c r="K947" s="298" t="str">
        <f t="shared" si="58"/>
        <v/>
      </c>
      <c r="L947" s="298" t="str">
        <f>IF(B947="", "", Inventory!E955)</f>
        <v/>
      </c>
      <c r="M947" s="298" t="str">
        <f>IF(B947="","",IF(Cool_Type=Lookups!$L$9,Cool_Type,IF(Cool_Type=Lookups!$L$10,Cool_Type,IF(Cool_Type=Lookups!$L$11,Cool_Type,IF(Cool_Type=Lookups!L957,Cool_Type,IF('Project Info and Summary'!$C$20="Electric",CONCATENATE(Cool_Type," ",Heating_Type," Heat"),IF('Project Info and Summary'!$C$20="Non-Electric",CONCATENATE(Cool_Type," ",Heating_Type," Heat"),CONCATENATE(Cool_Type," ",Heating_Type))))))))</f>
        <v/>
      </c>
      <c r="N947" s="298" t="str">
        <f t="shared" si="59"/>
        <v/>
      </c>
      <c r="O947" s="298" t="str">
        <f>IF(B947="", "", 'Lighting Inventory (Ref only)'!G958)</f>
        <v/>
      </c>
      <c r="P947" s="298" t="str">
        <f>IF(B947="", "", 'Lighting Inventory (Ref only)'!E958)</f>
        <v/>
      </c>
      <c r="Q947" s="298" t="str">
        <f>IF(B947="", "", 'Lighting Inventory (Ref only)'!J958)</f>
        <v/>
      </c>
      <c r="R947" s="298" t="str">
        <f>IF(B947="", "",'Lighting Inventory (Ref only)'!K958)</f>
        <v/>
      </c>
      <c r="S947" s="372" t="str">
        <f>IF(B947="", "", 'Lighting Inventory (Ref only)'!G958*'Lighting Inventory (Ref only)'!K958/1000)</f>
        <v/>
      </c>
      <c r="T947" s="298" t="str">
        <f>IF(B947="", "", IF('Lighting Inventory (Ref only)'!I958="", "Light Switch",Inventory!H955))</f>
        <v/>
      </c>
      <c r="X947" s="298" t="str">
        <f>IF(B947="", "", 'Lighting Inventory (Ref only)'!Q958)</f>
        <v/>
      </c>
      <c r="AA947" s="298" t="str">
        <f>IF(B947="", "",'Lighting Inventory (Ref only)'!R958/1000)</f>
        <v/>
      </c>
      <c r="AB947" s="298" t="str">
        <f>IF(B947="", "", Inventory!M955)</f>
        <v/>
      </c>
      <c r="AC947" s="298" t="str">
        <f>IF(B947="", "", 'Lighting Inventory (Ref only)'!T958)</f>
        <v/>
      </c>
      <c r="AD947" s="298" t="str">
        <f>IF(C947="", "", 'Lighting Inventory (Ref only)'!AA958)</f>
        <v/>
      </c>
      <c r="AE947" s="298" t="str">
        <f>IF(B947="", "", 'Lighting Inventory (Ref only)'!U958)</f>
        <v/>
      </c>
      <c r="AF947" s="298" t="str">
        <f>IF(B947="", "",'Lighting Inventory (Ref only)'!W958)</f>
        <v/>
      </c>
      <c r="AH947" s="298" t="str">
        <f>IF(B947="", "",'Lighting Inventory (Ref only)'!Z958)</f>
        <v/>
      </c>
      <c r="AI947" s="298" t="str">
        <f>IF(B947="", "", 'Lighting Inventory (Ref only)'!Y958)</f>
        <v/>
      </c>
      <c r="AJ947" s="298" t="str">
        <f>IF(C947="", "",'Lighting Inventory (Ref only)'!AB958)</f>
        <v/>
      </c>
      <c r="AK947" s="375" t="str">
        <f>IF(B947="", "", 'Lighting Inventory (Ref only)'!AG958)</f>
        <v/>
      </c>
      <c r="AL947" s="375" t="str">
        <f>IF(B947="", "", 'Lighting Inventory (Ref only)'!AD958)</f>
        <v/>
      </c>
      <c r="AM947" s="375" t="str">
        <f>IF(B947="", "", 'Lighting Inventory (Ref only)'!AE958)</f>
        <v/>
      </c>
      <c r="AN947" s="375" t="str">
        <f>IF(B947="", "", 'Lighting Inventory (Ref only)'!AF958)</f>
        <v/>
      </c>
      <c r="AO947" s="375" t="str">
        <f>IF(B947="", "", 'Lighting Inventory (Ref only)'!AG958)</f>
        <v/>
      </c>
    </row>
    <row r="948" spans="1:41">
      <c r="A948" s="298" t="str">
        <f>IF(G948="", "", Lookups!BF950)</f>
        <v/>
      </c>
      <c r="B948" s="298" t="str">
        <f>IF('Lighting Inventory (Ref only)'!Q959="", "", 'Lighting Inventory (Ref only)'!Q959)</f>
        <v/>
      </c>
      <c r="C948" s="298" t="str">
        <f>IF(A948="", "", 'Lighting Inventory (Ref only)'!AO959)</f>
        <v/>
      </c>
      <c r="D948" s="298" t="str">
        <f>IF(B948= "","", Inventory!S956)</f>
        <v/>
      </c>
      <c r="F948" s="298" t="str">
        <f>IF(B948="", "", 'Version Log'!$B$34)</f>
        <v/>
      </c>
      <c r="G948" s="298" t="str">
        <f t="shared" si="56"/>
        <v/>
      </c>
      <c r="H948" s="298" t="str">
        <f t="shared" si="57"/>
        <v/>
      </c>
      <c r="I948" s="298" t="str">
        <f>IF(B948="", "",Inventory!D956)</f>
        <v/>
      </c>
      <c r="J948" s="298" t="str">
        <f>IF(B948="","",IF(Inventory!C956="N","Interior","Exterior"))</f>
        <v/>
      </c>
      <c r="K948" s="298" t="str">
        <f t="shared" si="58"/>
        <v/>
      </c>
      <c r="L948" s="298" t="str">
        <f>IF(B948="", "", Inventory!E956)</f>
        <v/>
      </c>
      <c r="M948" s="298" t="str">
        <f>IF(B948="","",IF(Cool_Type=Lookups!$L$9,Cool_Type,IF(Cool_Type=Lookups!$L$10,Cool_Type,IF(Cool_Type=Lookups!$L$11,Cool_Type,IF(Cool_Type=Lookups!L958,Cool_Type,IF('Project Info and Summary'!$C$20="Electric",CONCATENATE(Cool_Type," ",Heating_Type," Heat"),IF('Project Info and Summary'!$C$20="Non-Electric",CONCATENATE(Cool_Type," ",Heating_Type," Heat"),CONCATENATE(Cool_Type," ",Heating_Type))))))))</f>
        <v/>
      </c>
      <c r="N948" s="298" t="str">
        <f t="shared" si="59"/>
        <v/>
      </c>
      <c r="O948" s="298" t="str">
        <f>IF(B948="", "", 'Lighting Inventory (Ref only)'!G959)</f>
        <v/>
      </c>
      <c r="P948" s="298" t="str">
        <f>IF(B948="", "", 'Lighting Inventory (Ref only)'!E959)</f>
        <v/>
      </c>
      <c r="Q948" s="298" t="str">
        <f>IF(B948="", "", 'Lighting Inventory (Ref only)'!J959)</f>
        <v/>
      </c>
      <c r="R948" s="298" t="str">
        <f>IF(B948="", "",'Lighting Inventory (Ref only)'!K959)</f>
        <v/>
      </c>
      <c r="S948" s="372" t="str">
        <f>IF(B948="", "", 'Lighting Inventory (Ref only)'!G959*'Lighting Inventory (Ref only)'!K959/1000)</f>
        <v/>
      </c>
      <c r="T948" s="298" t="str">
        <f>IF(B948="", "", IF('Lighting Inventory (Ref only)'!I959="", "Light Switch",Inventory!H956))</f>
        <v/>
      </c>
      <c r="X948" s="298" t="str">
        <f>IF(B948="", "", 'Lighting Inventory (Ref only)'!Q959)</f>
        <v/>
      </c>
      <c r="AA948" s="298" t="str">
        <f>IF(B948="", "",'Lighting Inventory (Ref only)'!R959/1000)</f>
        <v/>
      </c>
      <c r="AB948" s="298" t="str">
        <f>IF(B948="", "", Inventory!M956)</f>
        <v/>
      </c>
      <c r="AC948" s="298" t="str">
        <f>IF(B948="", "", 'Lighting Inventory (Ref only)'!T959)</f>
        <v/>
      </c>
      <c r="AD948" s="298" t="str">
        <f>IF(C948="", "", 'Lighting Inventory (Ref only)'!AA959)</f>
        <v/>
      </c>
      <c r="AE948" s="298" t="str">
        <f>IF(B948="", "", 'Lighting Inventory (Ref only)'!U959)</f>
        <v/>
      </c>
      <c r="AF948" s="298" t="str">
        <f>IF(B948="", "",'Lighting Inventory (Ref only)'!W959)</f>
        <v/>
      </c>
      <c r="AH948" s="298" t="str">
        <f>IF(B948="", "",'Lighting Inventory (Ref only)'!Z959)</f>
        <v/>
      </c>
      <c r="AI948" s="298" t="str">
        <f>IF(B948="", "", 'Lighting Inventory (Ref only)'!Y959)</f>
        <v/>
      </c>
      <c r="AJ948" s="298" t="str">
        <f>IF(C948="", "",'Lighting Inventory (Ref only)'!AB959)</f>
        <v/>
      </c>
      <c r="AK948" s="375" t="str">
        <f>IF(B948="", "", 'Lighting Inventory (Ref only)'!AG959)</f>
        <v/>
      </c>
      <c r="AL948" s="375" t="str">
        <f>IF(B948="", "", 'Lighting Inventory (Ref only)'!AD959)</f>
        <v/>
      </c>
      <c r="AM948" s="375" t="str">
        <f>IF(B948="", "", 'Lighting Inventory (Ref only)'!AE959)</f>
        <v/>
      </c>
      <c r="AN948" s="375" t="str">
        <f>IF(B948="", "", 'Lighting Inventory (Ref only)'!AF959)</f>
        <v/>
      </c>
      <c r="AO948" s="375" t="str">
        <f>IF(B948="", "", 'Lighting Inventory (Ref only)'!AG959)</f>
        <v/>
      </c>
    </row>
    <row r="949" spans="1:41">
      <c r="A949" s="298" t="str">
        <f>IF(G949="", "", Lookups!BF951)</f>
        <v/>
      </c>
      <c r="B949" s="298" t="str">
        <f>IF('Lighting Inventory (Ref only)'!Q960="", "", 'Lighting Inventory (Ref only)'!Q960)</f>
        <v/>
      </c>
      <c r="C949" s="298" t="str">
        <f>IF(A949="", "", 'Lighting Inventory (Ref only)'!AO960)</f>
        <v/>
      </c>
      <c r="D949" s="298" t="str">
        <f>IF(B949= "","", Inventory!S957)</f>
        <v/>
      </c>
      <c r="F949" s="298" t="str">
        <f>IF(B949="", "", 'Version Log'!$B$34)</f>
        <v/>
      </c>
      <c r="G949" s="298" t="str">
        <f t="shared" si="56"/>
        <v/>
      </c>
      <c r="H949" s="298" t="str">
        <f t="shared" si="57"/>
        <v/>
      </c>
      <c r="I949" s="298" t="str">
        <f>IF(B949="", "",Inventory!D957)</f>
        <v/>
      </c>
      <c r="J949" s="298" t="str">
        <f>IF(B949="","",IF(Inventory!C957="N","Interior","Exterior"))</f>
        <v/>
      </c>
      <c r="K949" s="298" t="str">
        <f t="shared" si="58"/>
        <v/>
      </c>
      <c r="L949" s="298" t="str">
        <f>IF(B949="", "", Inventory!E957)</f>
        <v/>
      </c>
      <c r="M949" s="298" t="str">
        <f>IF(B949="","",IF(Cool_Type=Lookups!$L$9,Cool_Type,IF(Cool_Type=Lookups!$L$10,Cool_Type,IF(Cool_Type=Lookups!$L$11,Cool_Type,IF(Cool_Type=Lookups!L959,Cool_Type,IF('Project Info and Summary'!$C$20="Electric",CONCATENATE(Cool_Type," ",Heating_Type," Heat"),IF('Project Info and Summary'!$C$20="Non-Electric",CONCATENATE(Cool_Type," ",Heating_Type," Heat"),CONCATENATE(Cool_Type," ",Heating_Type))))))))</f>
        <v/>
      </c>
      <c r="N949" s="298" t="str">
        <f t="shared" si="59"/>
        <v/>
      </c>
      <c r="O949" s="298" t="str">
        <f>IF(B949="", "", 'Lighting Inventory (Ref only)'!G960)</f>
        <v/>
      </c>
      <c r="P949" s="298" t="str">
        <f>IF(B949="", "", 'Lighting Inventory (Ref only)'!E960)</f>
        <v/>
      </c>
      <c r="Q949" s="298" t="str">
        <f>IF(B949="", "", 'Lighting Inventory (Ref only)'!J960)</f>
        <v/>
      </c>
      <c r="R949" s="298" t="str">
        <f>IF(B949="", "",'Lighting Inventory (Ref only)'!K960)</f>
        <v/>
      </c>
      <c r="S949" s="372" t="str">
        <f>IF(B949="", "", 'Lighting Inventory (Ref only)'!G960*'Lighting Inventory (Ref only)'!K960/1000)</f>
        <v/>
      </c>
      <c r="T949" s="298" t="str">
        <f>IF(B949="", "", IF('Lighting Inventory (Ref only)'!I960="", "Light Switch",Inventory!H957))</f>
        <v/>
      </c>
      <c r="X949" s="298" t="str">
        <f>IF(B949="", "", 'Lighting Inventory (Ref only)'!Q960)</f>
        <v/>
      </c>
      <c r="AA949" s="298" t="str">
        <f>IF(B949="", "",'Lighting Inventory (Ref only)'!R960/1000)</f>
        <v/>
      </c>
      <c r="AB949" s="298" t="str">
        <f>IF(B949="", "", Inventory!M957)</f>
        <v/>
      </c>
      <c r="AC949" s="298" t="str">
        <f>IF(B949="", "", 'Lighting Inventory (Ref only)'!T960)</f>
        <v/>
      </c>
      <c r="AD949" s="298" t="str">
        <f>IF(C949="", "", 'Lighting Inventory (Ref only)'!AA960)</f>
        <v/>
      </c>
      <c r="AE949" s="298" t="str">
        <f>IF(B949="", "", 'Lighting Inventory (Ref only)'!U960)</f>
        <v/>
      </c>
      <c r="AF949" s="298" t="str">
        <f>IF(B949="", "",'Lighting Inventory (Ref only)'!W960)</f>
        <v/>
      </c>
      <c r="AH949" s="298" t="str">
        <f>IF(B949="", "",'Lighting Inventory (Ref only)'!Z960)</f>
        <v/>
      </c>
      <c r="AI949" s="298" t="str">
        <f>IF(B949="", "", 'Lighting Inventory (Ref only)'!Y960)</f>
        <v/>
      </c>
      <c r="AJ949" s="298" t="str">
        <f>IF(C949="", "",'Lighting Inventory (Ref only)'!AB960)</f>
        <v/>
      </c>
      <c r="AK949" s="375" t="str">
        <f>IF(B949="", "", 'Lighting Inventory (Ref only)'!AG960)</f>
        <v/>
      </c>
      <c r="AL949" s="375" t="str">
        <f>IF(B949="", "", 'Lighting Inventory (Ref only)'!AD960)</f>
        <v/>
      </c>
      <c r="AM949" s="375" t="str">
        <f>IF(B949="", "", 'Lighting Inventory (Ref only)'!AE960)</f>
        <v/>
      </c>
      <c r="AN949" s="375" t="str">
        <f>IF(B949="", "", 'Lighting Inventory (Ref only)'!AF960)</f>
        <v/>
      </c>
      <c r="AO949" s="375" t="str">
        <f>IF(B949="", "", 'Lighting Inventory (Ref only)'!AG960)</f>
        <v/>
      </c>
    </row>
    <row r="950" spans="1:41">
      <c r="A950" s="298" t="str">
        <f>IF(G950="", "", Lookups!BF952)</f>
        <v/>
      </c>
      <c r="B950" s="298" t="str">
        <f>IF('Lighting Inventory (Ref only)'!Q961="", "", 'Lighting Inventory (Ref only)'!Q961)</f>
        <v/>
      </c>
      <c r="C950" s="298" t="str">
        <f>IF(A950="", "", 'Lighting Inventory (Ref only)'!AO961)</f>
        <v/>
      </c>
      <c r="D950" s="298" t="str">
        <f>IF(B950= "","", Inventory!S958)</f>
        <v/>
      </c>
      <c r="F950" s="298" t="str">
        <f>IF(B950="", "", 'Version Log'!$B$34)</f>
        <v/>
      </c>
      <c r="G950" s="298" t="str">
        <f t="shared" ref="G950:G1001" si="60">IF(B950="", "", PRJ_Type)</f>
        <v/>
      </c>
      <c r="H950" s="298" t="str">
        <f t="shared" ref="H950:H1001" si="61">IF(B950="", "", SqFt)</f>
        <v/>
      </c>
      <c r="I950" s="298" t="str">
        <f>IF(B950="", "",Inventory!D958)</f>
        <v/>
      </c>
      <c r="J950" s="298" t="str">
        <f>IF(B950="","",IF(Inventory!C958="N","Interior","Exterior"))</f>
        <v/>
      </c>
      <c r="K950" s="298" t="str">
        <f t="shared" ref="K950:K1001" si="62">IF(B950="", "", Building_Type)</f>
        <v/>
      </c>
      <c r="L950" s="298" t="str">
        <f>IF(B950="", "", Inventory!E958)</f>
        <v/>
      </c>
      <c r="M950" s="298" t="str">
        <f>IF(B950="","",IF(Cool_Type=Lookups!$L$9,Cool_Type,IF(Cool_Type=Lookups!$L$10,Cool_Type,IF(Cool_Type=Lookups!$L$11,Cool_Type,IF(Cool_Type=Lookups!L960,Cool_Type,IF('Project Info and Summary'!$C$20="Electric",CONCATENATE(Cool_Type," ",Heating_Type," Heat"),IF('Project Info and Summary'!$C$20="Non-Electric",CONCATENATE(Cool_Type," ",Heating_Type," Heat"),CONCATENATE(Cool_Type," ",Heating_Type))))))))</f>
        <v/>
      </c>
      <c r="N950" s="298" t="str">
        <f t="shared" ref="N950:N1001" si="63">IF(B950="", "",Heating_Type)</f>
        <v/>
      </c>
      <c r="O950" s="298" t="str">
        <f>IF(B950="", "", 'Lighting Inventory (Ref only)'!G961)</f>
        <v/>
      </c>
      <c r="P950" s="298" t="str">
        <f>IF(B950="", "", 'Lighting Inventory (Ref only)'!E961)</f>
        <v/>
      </c>
      <c r="Q950" s="298" t="str">
        <f>IF(B950="", "", 'Lighting Inventory (Ref only)'!J961)</f>
        <v/>
      </c>
      <c r="R950" s="298" t="str">
        <f>IF(B950="", "",'Lighting Inventory (Ref only)'!K961)</f>
        <v/>
      </c>
      <c r="S950" s="372" t="str">
        <f>IF(B950="", "", 'Lighting Inventory (Ref only)'!G961*'Lighting Inventory (Ref only)'!K961/1000)</f>
        <v/>
      </c>
      <c r="T950" s="298" t="str">
        <f>IF(B950="", "", IF('Lighting Inventory (Ref only)'!I961="", "Light Switch",Inventory!H958))</f>
        <v/>
      </c>
      <c r="X950" s="298" t="str">
        <f>IF(B950="", "", 'Lighting Inventory (Ref only)'!Q961)</f>
        <v/>
      </c>
      <c r="AA950" s="298" t="str">
        <f>IF(B950="", "",'Lighting Inventory (Ref only)'!R961/1000)</f>
        <v/>
      </c>
      <c r="AB950" s="298" t="str">
        <f>IF(B950="", "", Inventory!M958)</f>
        <v/>
      </c>
      <c r="AC950" s="298" t="str">
        <f>IF(B950="", "", 'Lighting Inventory (Ref only)'!T961)</f>
        <v/>
      </c>
      <c r="AD950" s="298" t="str">
        <f>IF(C950="", "", 'Lighting Inventory (Ref only)'!AA961)</f>
        <v/>
      </c>
      <c r="AE950" s="298" t="str">
        <f>IF(B950="", "", 'Lighting Inventory (Ref only)'!U961)</f>
        <v/>
      </c>
      <c r="AF950" s="298" t="str">
        <f>IF(B950="", "",'Lighting Inventory (Ref only)'!W961)</f>
        <v/>
      </c>
      <c r="AH950" s="298" t="str">
        <f>IF(B950="", "",'Lighting Inventory (Ref only)'!Z961)</f>
        <v/>
      </c>
      <c r="AI950" s="298" t="str">
        <f>IF(B950="", "", 'Lighting Inventory (Ref only)'!Y961)</f>
        <v/>
      </c>
      <c r="AJ950" s="298" t="str">
        <f>IF(C950="", "",'Lighting Inventory (Ref only)'!AB961)</f>
        <v/>
      </c>
      <c r="AK950" s="375" t="str">
        <f>IF(B950="", "", 'Lighting Inventory (Ref only)'!AG961)</f>
        <v/>
      </c>
      <c r="AL950" s="375" t="str">
        <f>IF(B950="", "", 'Lighting Inventory (Ref only)'!AD961)</f>
        <v/>
      </c>
      <c r="AM950" s="375" t="str">
        <f>IF(B950="", "", 'Lighting Inventory (Ref only)'!AE961)</f>
        <v/>
      </c>
      <c r="AN950" s="375" t="str">
        <f>IF(B950="", "", 'Lighting Inventory (Ref only)'!AF961)</f>
        <v/>
      </c>
      <c r="AO950" s="375" t="str">
        <f>IF(B950="", "", 'Lighting Inventory (Ref only)'!AG961)</f>
        <v/>
      </c>
    </row>
    <row r="951" spans="1:41">
      <c r="A951" s="298" t="str">
        <f>IF(G951="", "", Lookups!BF953)</f>
        <v/>
      </c>
      <c r="B951" s="298" t="str">
        <f>IF('Lighting Inventory (Ref only)'!Q962="", "", 'Lighting Inventory (Ref only)'!Q962)</f>
        <v/>
      </c>
      <c r="C951" s="298" t="str">
        <f>IF(A951="", "", 'Lighting Inventory (Ref only)'!AO962)</f>
        <v/>
      </c>
      <c r="D951" s="298" t="str">
        <f>IF(B951= "","", Inventory!S959)</f>
        <v/>
      </c>
      <c r="F951" s="298" t="str">
        <f>IF(B951="", "", 'Version Log'!$B$34)</f>
        <v/>
      </c>
      <c r="G951" s="298" t="str">
        <f t="shared" si="60"/>
        <v/>
      </c>
      <c r="H951" s="298" t="str">
        <f t="shared" si="61"/>
        <v/>
      </c>
      <c r="I951" s="298" t="str">
        <f>IF(B951="", "",Inventory!D959)</f>
        <v/>
      </c>
      <c r="J951" s="298" t="str">
        <f>IF(B951="","",IF(Inventory!C959="N","Interior","Exterior"))</f>
        <v/>
      </c>
      <c r="K951" s="298" t="str">
        <f t="shared" si="62"/>
        <v/>
      </c>
      <c r="L951" s="298" t="str">
        <f>IF(B951="", "", Inventory!E959)</f>
        <v/>
      </c>
      <c r="M951" s="298" t="str">
        <f>IF(B951="","",IF(Cool_Type=Lookups!$L$9,Cool_Type,IF(Cool_Type=Lookups!$L$10,Cool_Type,IF(Cool_Type=Lookups!$L$11,Cool_Type,IF(Cool_Type=Lookups!L961,Cool_Type,IF('Project Info and Summary'!$C$20="Electric",CONCATENATE(Cool_Type," ",Heating_Type," Heat"),IF('Project Info and Summary'!$C$20="Non-Electric",CONCATENATE(Cool_Type," ",Heating_Type," Heat"),CONCATENATE(Cool_Type," ",Heating_Type))))))))</f>
        <v/>
      </c>
      <c r="N951" s="298" t="str">
        <f t="shared" si="63"/>
        <v/>
      </c>
      <c r="O951" s="298" t="str">
        <f>IF(B951="", "", 'Lighting Inventory (Ref only)'!G962)</f>
        <v/>
      </c>
      <c r="P951" s="298" t="str">
        <f>IF(B951="", "", 'Lighting Inventory (Ref only)'!E962)</f>
        <v/>
      </c>
      <c r="Q951" s="298" t="str">
        <f>IF(B951="", "", 'Lighting Inventory (Ref only)'!J962)</f>
        <v/>
      </c>
      <c r="R951" s="298" t="str">
        <f>IF(B951="", "",'Lighting Inventory (Ref only)'!K962)</f>
        <v/>
      </c>
      <c r="S951" s="372" t="str">
        <f>IF(B951="", "", 'Lighting Inventory (Ref only)'!G962*'Lighting Inventory (Ref only)'!K962/1000)</f>
        <v/>
      </c>
      <c r="T951" s="298" t="str">
        <f>IF(B951="", "", IF('Lighting Inventory (Ref only)'!I962="", "Light Switch",Inventory!H959))</f>
        <v/>
      </c>
      <c r="X951" s="298" t="str">
        <f>IF(B951="", "", 'Lighting Inventory (Ref only)'!Q962)</f>
        <v/>
      </c>
      <c r="AA951" s="298" t="str">
        <f>IF(B951="", "",'Lighting Inventory (Ref only)'!R962/1000)</f>
        <v/>
      </c>
      <c r="AB951" s="298" t="str">
        <f>IF(B951="", "", Inventory!M959)</f>
        <v/>
      </c>
      <c r="AC951" s="298" t="str">
        <f>IF(B951="", "", 'Lighting Inventory (Ref only)'!T962)</f>
        <v/>
      </c>
      <c r="AD951" s="298" t="str">
        <f>IF(C951="", "", 'Lighting Inventory (Ref only)'!AA962)</f>
        <v/>
      </c>
      <c r="AE951" s="298" t="str">
        <f>IF(B951="", "", 'Lighting Inventory (Ref only)'!U962)</f>
        <v/>
      </c>
      <c r="AF951" s="298" t="str">
        <f>IF(B951="", "",'Lighting Inventory (Ref only)'!W962)</f>
        <v/>
      </c>
      <c r="AH951" s="298" t="str">
        <f>IF(B951="", "",'Lighting Inventory (Ref only)'!Z962)</f>
        <v/>
      </c>
      <c r="AI951" s="298" t="str">
        <f>IF(B951="", "", 'Lighting Inventory (Ref only)'!Y962)</f>
        <v/>
      </c>
      <c r="AJ951" s="298" t="str">
        <f>IF(C951="", "",'Lighting Inventory (Ref only)'!AB962)</f>
        <v/>
      </c>
      <c r="AK951" s="375" t="str">
        <f>IF(B951="", "", 'Lighting Inventory (Ref only)'!AG962)</f>
        <v/>
      </c>
      <c r="AL951" s="375" t="str">
        <f>IF(B951="", "", 'Lighting Inventory (Ref only)'!AD962)</f>
        <v/>
      </c>
      <c r="AM951" s="375" t="str">
        <f>IF(B951="", "", 'Lighting Inventory (Ref only)'!AE962)</f>
        <v/>
      </c>
      <c r="AN951" s="375" t="str">
        <f>IF(B951="", "", 'Lighting Inventory (Ref only)'!AF962)</f>
        <v/>
      </c>
      <c r="AO951" s="375" t="str">
        <f>IF(B951="", "", 'Lighting Inventory (Ref only)'!AG962)</f>
        <v/>
      </c>
    </row>
    <row r="952" spans="1:41">
      <c r="A952" s="298" t="str">
        <f>IF(G952="", "", Lookups!BF954)</f>
        <v/>
      </c>
      <c r="B952" s="298" t="str">
        <f>IF('Lighting Inventory (Ref only)'!Q963="", "", 'Lighting Inventory (Ref only)'!Q963)</f>
        <v/>
      </c>
      <c r="C952" s="298" t="str">
        <f>IF(A952="", "", 'Lighting Inventory (Ref only)'!AO963)</f>
        <v/>
      </c>
      <c r="D952" s="298" t="str">
        <f>IF(B952= "","", Inventory!S960)</f>
        <v/>
      </c>
      <c r="F952" s="298" t="str">
        <f>IF(B952="", "", 'Version Log'!$B$34)</f>
        <v/>
      </c>
      <c r="G952" s="298" t="str">
        <f t="shared" si="60"/>
        <v/>
      </c>
      <c r="H952" s="298" t="str">
        <f t="shared" si="61"/>
        <v/>
      </c>
      <c r="I952" s="298" t="str">
        <f>IF(B952="", "",Inventory!D960)</f>
        <v/>
      </c>
      <c r="J952" s="298" t="str">
        <f>IF(B952="","",IF(Inventory!C960="N","Interior","Exterior"))</f>
        <v/>
      </c>
      <c r="K952" s="298" t="str">
        <f t="shared" si="62"/>
        <v/>
      </c>
      <c r="L952" s="298" t="str">
        <f>IF(B952="", "", Inventory!E960)</f>
        <v/>
      </c>
      <c r="M952" s="298" t="str">
        <f>IF(B952="","",IF(Cool_Type=Lookups!$L$9,Cool_Type,IF(Cool_Type=Lookups!$L$10,Cool_Type,IF(Cool_Type=Lookups!$L$11,Cool_Type,IF(Cool_Type=Lookups!L962,Cool_Type,IF('Project Info and Summary'!$C$20="Electric",CONCATENATE(Cool_Type," ",Heating_Type," Heat"),IF('Project Info and Summary'!$C$20="Non-Electric",CONCATENATE(Cool_Type," ",Heating_Type," Heat"),CONCATENATE(Cool_Type," ",Heating_Type))))))))</f>
        <v/>
      </c>
      <c r="N952" s="298" t="str">
        <f t="shared" si="63"/>
        <v/>
      </c>
      <c r="O952" s="298" t="str">
        <f>IF(B952="", "", 'Lighting Inventory (Ref only)'!G963)</f>
        <v/>
      </c>
      <c r="P952" s="298" t="str">
        <f>IF(B952="", "", 'Lighting Inventory (Ref only)'!E963)</f>
        <v/>
      </c>
      <c r="Q952" s="298" t="str">
        <f>IF(B952="", "", 'Lighting Inventory (Ref only)'!J963)</f>
        <v/>
      </c>
      <c r="R952" s="298" t="str">
        <f>IF(B952="", "",'Lighting Inventory (Ref only)'!K963)</f>
        <v/>
      </c>
      <c r="S952" s="372" t="str">
        <f>IF(B952="", "", 'Lighting Inventory (Ref only)'!G963*'Lighting Inventory (Ref only)'!K963/1000)</f>
        <v/>
      </c>
      <c r="T952" s="298" t="str">
        <f>IF(B952="", "", IF('Lighting Inventory (Ref only)'!I963="", "Light Switch",Inventory!H960))</f>
        <v/>
      </c>
      <c r="X952" s="298" t="str">
        <f>IF(B952="", "", 'Lighting Inventory (Ref only)'!Q963)</f>
        <v/>
      </c>
      <c r="AA952" s="298" t="str">
        <f>IF(B952="", "",'Lighting Inventory (Ref only)'!R963/1000)</f>
        <v/>
      </c>
      <c r="AB952" s="298" t="str">
        <f>IF(B952="", "", Inventory!M960)</f>
        <v/>
      </c>
      <c r="AC952" s="298" t="str">
        <f>IF(B952="", "", 'Lighting Inventory (Ref only)'!T963)</f>
        <v/>
      </c>
      <c r="AD952" s="298" t="str">
        <f>IF(C952="", "", 'Lighting Inventory (Ref only)'!AA963)</f>
        <v/>
      </c>
      <c r="AE952" s="298" t="str">
        <f>IF(B952="", "", 'Lighting Inventory (Ref only)'!U963)</f>
        <v/>
      </c>
      <c r="AF952" s="298" t="str">
        <f>IF(B952="", "",'Lighting Inventory (Ref only)'!W963)</f>
        <v/>
      </c>
      <c r="AH952" s="298" t="str">
        <f>IF(B952="", "",'Lighting Inventory (Ref only)'!Z963)</f>
        <v/>
      </c>
      <c r="AI952" s="298" t="str">
        <f>IF(B952="", "", 'Lighting Inventory (Ref only)'!Y963)</f>
        <v/>
      </c>
      <c r="AJ952" s="298" t="str">
        <f>IF(C952="", "",'Lighting Inventory (Ref only)'!AB963)</f>
        <v/>
      </c>
      <c r="AK952" s="375" t="str">
        <f>IF(B952="", "", 'Lighting Inventory (Ref only)'!AG963)</f>
        <v/>
      </c>
      <c r="AL952" s="375" t="str">
        <f>IF(B952="", "", 'Lighting Inventory (Ref only)'!AD963)</f>
        <v/>
      </c>
      <c r="AM952" s="375" t="str">
        <f>IF(B952="", "", 'Lighting Inventory (Ref only)'!AE963)</f>
        <v/>
      </c>
      <c r="AN952" s="375" t="str">
        <f>IF(B952="", "", 'Lighting Inventory (Ref only)'!AF963)</f>
        <v/>
      </c>
      <c r="AO952" s="375" t="str">
        <f>IF(B952="", "", 'Lighting Inventory (Ref only)'!AG963)</f>
        <v/>
      </c>
    </row>
    <row r="953" spans="1:41">
      <c r="A953" s="298" t="str">
        <f>IF(G953="", "", Lookups!BF955)</f>
        <v/>
      </c>
      <c r="B953" s="298" t="str">
        <f>IF('Lighting Inventory (Ref only)'!Q964="", "", 'Lighting Inventory (Ref only)'!Q964)</f>
        <v/>
      </c>
      <c r="C953" s="298" t="str">
        <f>IF(A953="", "", 'Lighting Inventory (Ref only)'!AO964)</f>
        <v/>
      </c>
      <c r="D953" s="298" t="str">
        <f>IF(B953= "","", Inventory!S961)</f>
        <v/>
      </c>
      <c r="F953" s="298" t="str">
        <f>IF(B953="", "", 'Version Log'!$B$34)</f>
        <v/>
      </c>
      <c r="G953" s="298" t="str">
        <f t="shared" si="60"/>
        <v/>
      </c>
      <c r="H953" s="298" t="str">
        <f t="shared" si="61"/>
        <v/>
      </c>
      <c r="I953" s="298" t="str">
        <f>IF(B953="", "",Inventory!D961)</f>
        <v/>
      </c>
      <c r="J953" s="298" t="str">
        <f>IF(B953="","",IF(Inventory!C961="N","Interior","Exterior"))</f>
        <v/>
      </c>
      <c r="K953" s="298" t="str">
        <f t="shared" si="62"/>
        <v/>
      </c>
      <c r="L953" s="298" t="str">
        <f>IF(B953="", "", Inventory!E961)</f>
        <v/>
      </c>
      <c r="M953" s="298" t="str">
        <f>IF(B953="","",IF(Cool_Type=Lookups!$L$9,Cool_Type,IF(Cool_Type=Lookups!$L$10,Cool_Type,IF(Cool_Type=Lookups!$L$11,Cool_Type,IF(Cool_Type=Lookups!L963,Cool_Type,IF('Project Info and Summary'!$C$20="Electric",CONCATENATE(Cool_Type," ",Heating_Type," Heat"),IF('Project Info and Summary'!$C$20="Non-Electric",CONCATENATE(Cool_Type," ",Heating_Type," Heat"),CONCATENATE(Cool_Type," ",Heating_Type))))))))</f>
        <v/>
      </c>
      <c r="N953" s="298" t="str">
        <f t="shared" si="63"/>
        <v/>
      </c>
      <c r="O953" s="298" t="str">
        <f>IF(B953="", "", 'Lighting Inventory (Ref only)'!G964)</f>
        <v/>
      </c>
      <c r="P953" s="298" t="str">
        <f>IF(B953="", "", 'Lighting Inventory (Ref only)'!E964)</f>
        <v/>
      </c>
      <c r="Q953" s="298" t="str">
        <f>IF(B953="", "", 'Lighting Inventory (Ref only)'!J964)</f>
        <v/>
      </c>
      <c r="R953" s="298" t="str">
        <f>IF(B953="", "",'Lighting Inventory (Ref only)'!K964)</f>
        <v/>
      </c>
      <c r="S953" s="372" t="str">
        <f>IF(B953="", "", 'Lighting Inventory (Ref only)'!G964*'Lighting Inventory (Ref only)'!K964/1000)</f>
        <v/>
      </c>
      <c r="T953" s="298" t="str">
        <f>IF(B953="", "", IF('Lighting Inventory (Ref only)'!I964="", "Light Switch",Inventory!H961))</f>
        <v/>
      </c>
      <c r="X953" s="298" t="str">
        <f>IF(B953="", "", 'Lighting Inventory (Ref only)'!Q964)</f>
        <v/>
      </c>
      <c r="AA953" s="298" t="str">
        <f>IF(B953="", "",'Lighting Inventory (Ref only)'!R964/1000)</f>
        <v/>
      </c>
      <c r="AB953" s="298" t="str">
        <f>IF(B953="", "", Inventory!M961)</f>
        <v/>
      </c>
      <c r="AC953" s="298" t="str">
        <f>IF(B953="", "", 'Lighting Inventory (Ref only)'!T964)</f>
        <v/>
      </c>
      <c r="AD953" s="298" t="str">
        <f>IF(C953="", "", 'Lighting Inventory (Ref only)'!AA964)</f>
        <v/>
      </c>
      <c r="AE953" s="298" t="str">
        <f>IF(B953="", "", 'Lighting Inventory (Ref only)'!U964)</f>
        <v/>
      </c>
      <c r="AF953" s="298" t="str">
        <f>IF(B953="", "",'Lighting Inventory (Ref only)'!W964)</f>
        <v/>
      </c>
      <c r="AH953" s="298" t="str">
        <f>IF(B953="", "",'Lighting Inventory (Ref only)'!Z964)</f>
        <v/>
      </c>
      <c r="AI953" s="298" t="str">
        <f>IF(B953="", "", 'Lighting Inventory (Ref only)'!Y964)</f>
        <v/>
      </c>
      <c r="AJ953" s="298" t="str">
        <f>IF(C953="", "",'Lighting Inventory (Ref only)'!AB964)</f>
        <v/>
      </c>
      <c r="AK953" s="375" t="str">
        <f>IF(B953="", "", 'Lighting Inventory (Ref only)'!AG964)</f>
        <v/>
      </c>
      <c r="AL953" s="375" t="str">
        <f>IF(B953="", "", 'Lighting Inventory (Ref only)'!AD964)</f>
        <v/>
      </c>
      <c r="AM953" s="375" t="str">
        <f>IF(B953="", "", 'Lighting Inventory (Ref only)'!AE964)</f>
        <v/>
      </c>
      <c r="AN953" s="375" t="str">
        <f>IF(B953="", "", 'Lighting Inventory (Ref only)'!AF964)</f>
        <v/>
      </c>
      <c r="AO953" s="375" t="str">
        <f>IF(B953="", "", 'Lighting Inventory (Ref only)'!AG964)</f>
        <v/>
      </c>
    </row>
    <row r="954" spans="1:41">
      <c r="A954" s="298" t="str">
        <f>IF(G954="", "", Lookups!BF956)</f>
        <v/>
      </c>
      <c r="B954" s="298" t="str">
        <f>IF('Lighting Inventory (Ref only)'!Q965="", "", 'Lighting Inventory (Ref only)'!Q965)</f>
        <v/>
      </c>
      <c r="C954" s="298" t="str">
        <f>IF(A954="", "", 'Lighting Inventory (Ref only)'!AO965)</f>
        <v/>
      </c>
      <c r="D954" s="298" t="str">
        <f>IF(B954= "","", Inventory!S962)</f>
        <v/>
      </c>
      <c r="F954" s="298" t="str">
        <f>IF(B954="", "", 'Version Log'!$B$34)</f>
        <v/>
      </c>
      <c r="G954" s="298" t="str">
        <f t="shared" si="60"/>
        <v/>
      </c>
      <c r="H954" s="298" t="str">
        <f t="shared" si="61"/>
        <v/>
      </c>
      <c r="I954" s="298" t="str">
        <f>IF(B954="", "",Inventory!D962)</f>
        <v/>
      </c>
      <c r="J954" s="298" t="str">
        <f>IF(B954="","",IF(Inventory!C962="N","Interior","Exterior"))</f>
        <v/>
      </c>
      <c r="K954" s="298" t="str">
        <f t="shared" si="62"/>
        <v/>
      </c>
      <c r="L954" s="298" t="str">
        <f>IF(B954="", "", Inventory!E962)</f>
        <v/>
      </c>
      <c r="M954" s="298" t="str">
        <f>IF(B954="","",IF(Cool_Type=Lookups!$L$9,Cool_Type,IF(Cool_Type=Lookups!$L$10,Cool_Type,IF(Cool_Type=Lookups!$L$11,Cool_Type,IF(Cool_Type=Lookups!L964,Cool_Type,IF('Project Info and Summary'!$C$20="Electric",CONCATENATE(Cool_Type," ",Heating_Type," Heat"),IF('Project Info and Summary'!$C$20="Non-Electric",CONCATENATE(Cool_Type," ",Heating_Type," Heat"),CONCATENATE(Cool_Type," ",Heating_Type))))))))</f>
        <v/>
      </c>
      <c r="N954" s="298" t="str">
        <f t="shared" si="63"/>
        <v/>
      </c>
      <c r="O954" s="298" t="str">
        <f>IF(B954="", "", 'Lighting Inventory (Ref only)'!G965)</f>
        <v/>
      </c>
      <c r="P954" s="298" t="str">
        <f>IF(B954="", "", 'Lighting Inventory (Ref only)'!E965)</f>
        <v/>
      </c>
      <c r="Q954" s="298" t="str">
        <f>IF(B954="", "", 'Lighting Inventory (Ref only)'!J965)</f>
        <v/>
      </c>
      <c r="R954" s="298" t="str">
        <f>IF(B954="", "",'Lighting Inventory (Ref only)'!K965)</f>
        <v/>
      </c>
      <c r="S954" s="372" t="str">
        <f>IF(B954="", "", 'Lighting Inventory (Ref only)'!G965*'Lighting Inventory (Ref only)'!K965/1000)</f>
        <v/>
      </c>
      <c r="T954" s="298" t="str">
        <f>IF(B954="", "", IF('Lighting Inventory (Ref only)'!I965="", "Light Switch",Inventory!H962))</f>
        <v/>
      </c>
      <c r="X954" s="298" t="str">
        <f>IF(B954="", "", 'Lighting Inventory (Ref only)'!Q965)</f>
        <v/>
      </c>
      <c r="AA954" s="298" t="str">
        <f>IF(B954="", "",'Lighting Inventory (Ref only)'!R965/1000)</f>
        <v/>
      </c>
      <c r="AB954" s="298" t="str">
        <f>IF(B954="", "", Inventory!M962)</f>
        <v/>
      </c>
      <c r="AC954" s="298" t="str">
        <f>IF(B954="", "", 'Lighting Inventory (Ref only)'!T965)</f>
        <v/>
      </c>
      <c r="AD954" s="298" t="str">
        <f>IF(C954="", "", 'Lighting Inventory (Ref only)'!AA965)</f>
        <v/>
      </c>
      <c r="AE954" s="298" t="str">
        <f>IF(B954="", "", 'Lighting Inventory (Ref only)'!U965)</f>
        <v/>
      </c>
      <c r="AF954" s="298" t="str">
        <f>IF(B954="", "",'Lighting Inventory (Ref only)'!W965)</f>
        <v/>
      </c>
      <c r="AH954" s="298" t="str">
        <f>IF(B954="", "",'Lighting Inventory (Ref only)'!Z965)</f>
        <v/>
      </c>
      <c r="AI954" s="298" t="str">
        <f>IF(B954="", "", 'Lighting Inventory (Ref only)'!Y965)</f>
        <v/>
      </c>
      <c r="AJ954" s="298" t="str">
        <f>IF(C954="", "",'Lighting Inventory (Ref only)'!AB965)</f>
        <v/>
      </c>
      <c r="AK954" s="375" t="str">
        <f>IF(B954="", "", 'Lighting Inventory (Ref only)'!AG965)</f>
        <v/>
      </c>
      <c r="AL954" s="375" t="str">
        <f>IF(B954="", "", 'Lighting Inventory (Ref only)'!AD965)</f>
        <v/>
      </c>
      <c r="AM954" s="375" t="str">
        <f>IF(B954="", "", 'Lighting Inventory (Ref only)'!AE965)</f>
        <v/>
      </c>
      <c r="AN954" s="375" t="str">
        <f>IF(B954="", "", 'Lighting Inventory (Ref only)'!AF965)</f>
        <v/>
      </c>
      <c r="AO954" s="375" t="str">
        <f>IF(B954="", "", 'Lighting Inventory (Ref only)'!AG965)</f>
        <v/>
      </c>
    </row>
    <row r="955" spans="1:41">
      <c r="A955" s="298" t="str">
        <f>IF(G955="", "", Lookups!BF957)</f>
        <v/>
      </c>
      <c r="B955" s="298" t="str">
        <f>IF('Lighting Inventory (Ref only)'!Q966="", "", 'Lighting Inventory (Ref only)'!Q966)</f>
        <v/>
      </c>
      <c r="C955" s="298" t="str">
        <f>IF(A955="", "", 'Lighting Inventory (Ref only)'!AO966)</f>
        <v/>
      </c>
      <c r="D955" s="298" t="str">
        <f>IF(B955= "","", Inventory!S963)</f>
        <v/>
      </c>
      <c r="F955" s="298" t="str">
        <f>IF(B955="", "", 'Version Log'!$B$34)</f>
        <v/>
      </c>
      <c r="G955" s="298" t="str">
        <f t="shared" si="60"/>
        <v/>
      </c>
      <c r="H955" s="298" t="str">
        <f t="shared" si="61"/>
        <v/>
      </c>
      <c r="I955" s="298" t="str">
        <f>IF(B955="", "",Inventory!D963)</f>
        <v/>
      </c>
      <c r="J955" s="298" t="str">
        <f>IF(B955="","",IF(Inventory!C963="N","Interior","Exterior"))</f>
        <v/>
      </c>
      <c r="K955" s="298" t="str">
        <f t="shared" si="62"/>
        <v/>
      </c>
      <c r="L955" s="298" t="str">
        <f>IF(B955="", "", Inventory!E963)</f>
        <v/>
      </c>
      <c r="M955" s="298" t="str">
        <f>IF(B955="","",IF(Cool_Type=Lookups!$L$9,Cool_Type,IF(Cool_Type=Lookups!$L$10,Cool_Type,IF(Cool_Type=Lookups!$L$11,Cool_Type,IF(Cool_Type=Lookups!L965,Cool_Type,IF('Project Info and Summary'!$C$20="Electric",CONCATENATE(Cool_Type," ",Heating_Type," Heat"),IF('Project Info and Summary'!$C$20="Non-Electric",CONCATENATE(Cool_Type," ",Heating_Type," Heat"),CONCATENATE(Cool_Type," ",Heating_Type))))))))</f>
        <v/>
      </c>
      <c r="N955" s="298" t="str">
        <f t="shared" si="63"/>
        <v/>
      </c>
      <c r="O955" s="298" t="str">
        <f>IF(B955="", "", 'Lighting Inventory (Ref only)'!G966)</f>
        <v/>
      </c>
      <c r="P955" s="298" t="str">
        <f>IF(B955="", "", 'Lighting Inventory (Ref only)'!E966)</f>
        <v/>
      </c>
      <c r="Q955" s="298" t="str">
        <f>IF(B955="", "", 'Lighting Inventory (Ref only)'!J966)</f>
        <v/>
      </c>
      <c r="R955" s="298" t="str">
        <f>IF(B955="", "",'Lighting Inventory (Ref only)'!K966)</f>
        <v/>
      </c>
      <c r="S955" s="372" t="str">
        <f>IF(B955="", "", 'Lighting Inventory (Ref only)'!G966*'Lighting Inventory (Ref only)'!K966/1000)</f>
        <v/>
      </c>
      <c r="T955" s="298" t="str">
        <f>IF(B955="", "", IF('Lighting Inventory (Ref only)'!I966="", "Light Switch",Inventory!H963))</f>
        <v/>
      </c>
      <c r="X955" s="298" t="str">
        <f>IF(B955="", "", 'Lighting Inventory (Ref only)'!Q966)</f>
        <v/>
      </c>
      <c r="AA955" s="298" t="str">
        <f>IF(B955="", "",'Lighting Inventory (Ref only)'!R966/1000)</f>
        <v/>
      </c>
      <c r="AB955" s="298" t="str">
        <f>IF(B955="", "", Inventory!M963)</f>
        <v/>
      </c>
      <c r="AC955" s="298" t="str">
        <f>IF(B955="", "", 'Lighting Inventory (Ref only)'!T966)</f>
        <v/>
      </c>
      <c r="AD955" s="298" t="str">
        <f>IF(C955="", "", 'Lighting Inventory (Ref only)'!AA966)</f>
        <v/>
      </c>
      <c r="AE955" s="298" t="str">
        <f>IF(B955="", "", 'Lighting Inventory (Ref only)'!U966)</f>
        <v/>
      </c>
      <c r="AF955" s="298" t="str">
        <f>IF(B955="", "",'Lighting Inventory (Ref only)'!W966)</f>
        <v/>
      </c>
      <c r="AH955" s="298" t="str">
        <f>IF(B955="", "",'Lighting Inventory (Ref only)'!Z966)</f>
        <v/>
      </c>
      <c r="AI955" s="298" t="str">
        <f>IF(B955="", "", 'Lighting Inventory (Ref only)'!Y966)</f>
        <v/>
      </c>
      <c r="AJ955" s="298" t="str">
        <f>IF(C955="", "",'Lighting Inventory (Ref only)'!AB966)</f>
        <v/>
      </c>
      <c r="AK955" s="375" t="str">
        <f>IF(B955="", "", 'Lighting Inventory (Ref only)'!AG966)</f>
        <v/>
      </c>
      <c r="AL955" s="375" t="str">
        <f>IF(B955="", "", 'Lighting Inventory (Ref only)'!AD966)</f>
        <v/>
      </c>
      <c r="AM955" s="375" t="str">
        <f>IF(B955="", "", 'Lighting Inventory (Ref only)'!AE966)</f>
        <v/>
      </c>
      <c r="AN955" s="375" t="str">
        <f>IF(B955="", "", 'Lighting Inventory (Ref only)'!AF966)</f>
        <v/>
      </c>
      <c r="AO955" s="375" t="str">
        <f>IF(B955="", "", 'Lighting Inventory (Ref only)'!AG966)</f>
        <v/>
      </c>
    </row>
    <row r="956" spans="1:41">
      <c r="A956" s="298" t="str">
        <f>IF(G956="", "", Lookups!BF958)</f>
        <v/>
      </c>
      <c r="B956" s="298" t="str">
        <f>IF('Lighting Inventory (Ref only)'!Q967="", "", 'Lighting Inventory (Ref only)'!Q967)</f>
        <v/>
      </c>
      <c r="C956" s="298" t="str">
        <f>IF(A956="", "", 'Lighting Inventory (Ref only)'!AO967)</f>
        <v/>
      </c>
      <c r="D956" s="298" t="str">
        <f>IF(B956= "","", Inventory!S964)</f>
        <v/>
      </c>
      <c r="F956" s="298" t="str">
        <f>IF(B956="", "", 'Version Log'!$B$34)</f>
        <v/>
      </c>
      <c r="G956" s="298" t="str">
        <f t="shared" si="60"/>
        <v/>
      </c>
      <c r="H956" s="298" t="str">
        <f t="shared" si="61"/>
        <v/>
      </c>
      <c r="I956" s="298" t="str">
        <f>IF(B956="", "",Inventory!D964)</f>
        <v/>
      </c>
      <c r="J956" s="298" t="str">
        <f>IF(B956="","",IF(Inventory!C964="N","Interior","Exterior"))</f>
        <v/>
      </c>
      <c r="K956" s="298" t="str">
        <f t="shared" si="62"/>
        <v/>
      </c>
      <c r="L956" s="298" t="str">
        <f>IF(B956="", "", Inventory!E964)</f>
        <v/>
      </c>
      <c r="M956" s="298" t="str">
        <f>IF(B956="","",IF(Cool_Type=Lookups!$L$9,Cool_Type,IF(Cool_Type=Lookups!$L$10,Cool_Type,IF(Cool_Type=Lookups!$L$11,Cool_Type,IF(Cool_Type=Lookups!L966,Cool_Type,IF('Project Info and Summary'!$C$20="Electric",CONCATENATE(Cool_Type," ",Heating_Type," Heat"),IF('Project Info and Summary'!$C$20="Non-Electric",CONCATENATE(Cool_Type," ",Heating_Type," Heat"),CONCATENATE(Cool_Type," ",Heating_Type))))))))</f>
        <v/>
      </c>
      <c r="N956" s="298" t="str">
        <f t="shared" si="63"/>
        <v/>
      </c>
      <c r="O956" s="298" t="str">
        <f>IF(B956="", "", 'Lighting Inventory (Ref only)'!G967)</f>
        <v/>
      </c>
      <c r="P956" s="298" t="str">
        <f>IF(B956="", "", 'Lighting Inventory (Ref only)'!E967)</f>
        <v/>
      </c>
      <c r="Q956" s="298" t="str">
        <f>IF(B956="", "", 'Lighting Inventory (Ref only)'!J967)</f>
        <v/>
      </c>
      <c r="R956" s="298" t="str">
        <f>IF(B956="", "",'Lighting Inventory (Ref only)'!K967)</f>
        <v/>
      </c>
      <c r="S956" s="372" t="str">
        <f>IF(B956="", "", 'Lighting Inventory (Ref only)'!G967*'Lighting Inventory (Ref only)'!K967/1000)</f>
        <v/>
      </c>
      <c r="T956" s="298" t="str">
        <f>IF(B956="", "", IF('Lighting Inventory (Ref only)'!I967="", "Light Switch",Inventory!H964))</f>
        <v/>
      </c>
      <c r="X956" s="298" t="str">
        <f>IF(B956="", "", 'Lighting Inventory (Ref only)'!Q967)</f>
        <v/>
      </c>
      <c r="AA956" s="298" t="str">
        <f>IF(B956="", "",'Lighting Inventory (Ref only)'!R967/1000)</f>
        <v/>
      </c>
      <c r="AB956" s="298" t="str">
        <f>IF(B956="", "", Inventory!M964)</f>
        <v/>
      </c>
      <c r="AC956" s="298" t="str">
        <f>IF(B956="", "", 'Lighting Inventory (Ref only)'!T967)</f>
        <v/>
      </c>
      <c r="AD956" s="298" t="str">
        <f>IF(C956="", "", 'Lighting Inventory (Ref only)'!AA967)</f>
        <v/>
      </c>
      <c r="AE956" s="298" t="str">
        <f>IF(B956="", "", 'Lighting Inventory (Ref only)'!U967)</f>
        <v/>
      </c>
      <c r="AF956" s="298" t="str">
        <f>IF(B956="", "",'Lighting Inventory (Ref only)'!W967)</f>
        <v/>
      </c>
      <c r="AH956" s="298" t="str">
        <f>IF(B956="", "",'Lighting Inventory (Ref only)'!Z967)</f>
        <v/>
      </c>
      <c r="AI956" s="298" t="str">
        <f>IF(B956="", "", 'Lighting Inventory (Ref only)'!Y967)</f>
        <v/>
      </c>
      <c r="AJ956" s="298" t="str">
        <f>IF(C956="", "",'Lighting Inventory (Ref only)'!AB967)</f>
        <v/>
      </c>
      <c r="AK956" s="375" t="str">
        <f>IF(B956="", "", 'Lighting Inventory (Ref only)'!AG967)</f>
        <v/>
      </c>
      <c r="AL956" s="375" t="str">
        <f>IF(B956="", "", 'Lighting Inventory (Ref only)'!AD967)</f>
        <v/>
      </c>
      <c r="AM956" s="375" t="str">
        <f>IF(B956="", "", 'Lighting Inventory (Ref only)'!AE967)</f>
        <v/>
      </c>
      <c r="AN956" s="375" t="str">
        <f>IF(B956="", "", 'Lighting Inventory (Ref only)'!AF967)</f>
        <v/>
      </c>
      <c r="AO956" s="375" t="str">
        <f>IF(B956="", "", 'Lighting Inventory (Ref only)'!AG967)</f>
        <v/>
      </c>
    </row>
    <row r="957" spans="1:41">
      <c r="A957" s="298" t="str">
        <f>IF(G957="", "", Lookups!BF959)</f>
        <v/>
      </c>
      <c r="B957" s="298" t="str">
        <f>IF('Lighting Inventory (Ref only)'!Q968="", "", 'Lighting Inventory (Ref only)'!Q968)</f>
        <v/>
      </c>
      <c r="C957" s="298" t="str">
        <f>IF(A957="", "", 'Lighting Inventory (Ref only)'!AO968)</f>
        <v/>
      </c>
      <c r="D957" s="298" t="str">
        <f>IF(B957= "","", Inventory!S965)</f>
        <v/>
      </c>
      <c r="F957" s="298" t="str">
        <f>IF(B957="", "", 'Version Log'!$B$34)</f>
        <v/>
      </c>
      <c r="G957" s="298" t="str">
        <f t="shared" si="60"/>
        <v/>
      </c>
      <c r="H957" s="298" t="str">
        <f t="shared" si="61"/>
        <v/>
      </c>
      <c r="I957" s="298" t="str">
        <f>IF(B957="", "",Inventory!D965)</f>
        <v/>
      </c>
      <c r="J957" s="298" t="str">
        <f>IF(B957="","",IF(Inventory!C965="N","Interior","Exterior"))</f>
        <v/>
      </c>
      <c r="K957" s="298" t="str">
        <f t="shared" si="62"/>
        <v/>
      </c>
      <c r="L957" s="298" t="str">
        <f>IF(B957="", "", Inventory!E965)</f>
        <v/>
      </c>
      <c r="M957" s="298" t="str">
        <f>IF(B957="","",IF(Cool_Type=Lookups!$L$9,Cool_Type,IF(Cool_Type=Lookups!$L$10,Cool_Type,IF(Cool_Type=Lookups!$L$11,Cool_Type,IF(Cool_Type=Lookups!L967,Cool_Type,IF('Project Info and Summary'!$C$20="Electric",CONCATENATE(Cool_Type," ",Heating_Type," Heat"),IF('Project Info and Summary'!$C$20="Non-Electric",CONCATENATE(Cool_Type," ",Heating_Type," Heat"),CONCATENATE(Cool_Type," ",Heating_Type))))))))</f>
        <v/>
      </c>
      <c r="N957" s="298" t="str">
        <f t="shared" si="63"/>
        <v/>
      </c>
      <c r="O957" s="298" t="str">
        <f>IF(B957="", "", 'Lighting Inventory (Ref only)'!G968)</f>
        <v/>
      </c>
      <c r="P957" s="298" t="str">
        <f>IF(B957="", "", 'Lighting Inventory (Ref only)'!E968)</f>
        <v/>
      </c>
      <c r="Q957" s="298" t="str">
        <f>IF(B957="", "", 'Lighting Inventory (Ref only)'!J968)</f>
        <v/>
      </c>
      <c r="R957" s="298" t="str">
        <f>IF(B957="", "",'Lighting Inventory (Ref only)'!K968)</f>
        <v/>
      </c>
      <c r="S957" s="372" t="str">
        <f>IF(B957="", "", 'Lighting Inventory (Ref only)'!G968*'Lighting Inventory (Ref only)'!K968/1000)</f>
        <v/>
      </c>
      <c r="T957" s="298" t="str">
        <f>IF(B957="", "", IF('Lighting Inventory (Ref only)'!I968="", "Light Switch",Inventory!H965))</f>
        <v/>
      </c>
      <c r="X957" s="298" t="str">
        <f>IF(B957="", "", 'Lighting Inventory (Ref only)'!Q968)</f>
        <v/>
      </c>
      <c r="AA957" s="298" t="str">
        <f>IF(B957="", "",'Lighting Inventory (Ref only)'!R968/1000)</f>
        <v/>
      </c>
      <c r="AB957" s="298" t="str">
        <f>IF(B957="", "", Inventory!M965)</f>
        <v/>
      </c>
      <c r="AC957" s="298" t="str">
        <f>IF(B957="", "", 'Lighting Inventory (Ref only)'!T968)</f>
        <v/>
      </c>
      <c r="AD957" s="298" t="str">
        <f>IF(C957="", "", 'Lighting Inventory (Ref only)'!AA968)</f>
        <v/>
      </c>
      <c r="AE957" s="298" t="str">
        <f>IF(B957="", "", 'Lighting Inventory (Ref only)'!U968)</f>
        <v/>
      </c>
      <c r="AF957" s="298" t="str">
        <f>IF(B957="", "",'Lighting Inventory (Ref only)'!W968)</f>
        <v/>
      </c>
      <c r="AH957" s="298" t="str">
        <f>IF(B957="", "",'Lighting Inventory (Ref only)'!Z968)</f>
        <v/>
      </c>
      <c r="AI957" s="298" t="str">
        <f>IF(B957="", "", 'Lighting Inventory (Ref only)'!Y968)</f>
        <v/>
      </c>
      <c r="AJ957" s="298" t="str">
        <f>IF(C957="", "",'Lighting Inventory (Ref only)'!AB968)</f>
        <v/>
      </c>
      <c r="AK957" s="375" t="str">
        <f>IF(B957="", "", 'Lighting Inventory (Ref only)'!AG968)</f>
        <v/>
      </c>
      <c r="AL957" s="375" t="str">
        <f>IF(B957="", "", 'Lighting Inventory (Ref only)'!AD968)</f>
        <v/>
      </c>
      <c r="AM957" s="375" t="str">
        <f>IF(B957="", "", 'Lighting Inventory (Ref only)'!AE968)</f>
        <v/>
      </c>
      <c r="AN957" s="375" t="str">
        <f>IF(B957="", "", 'Lighting Inventory (Ref only)'!AF968)</f>
        <v/>
      </c>
      <c r="AO957" s="375" t="str">
        <f>IF(B957="", "", 'Lighting Inventory (Ref only)'!AG968)</f>
        <v/>
      </c>
    </row>
    <row r="958" spans="1:41">
      <c r="A958" s="298" t="str">
        <f>IF(G958="", "", Lookups!BF960)</f>
        <v/>
      </c>
      <c r="B958" s="298" t="str">
        <f>IF('Lighting Inventory (Ref only)'!Q969="", "", 'Lighting Inventory (Ref only)'!Q969)</f>
        <v/>
      </c>
      <c r="C958" s="298" t="str">
        <f>IF(A958="", "", 'Lighting Inventory (Ref only)'!AO969)</f>
        <v/>
      </c>
      <c r="D958" s="298" t="str">
        <f>IF(B958= "","", Inventory!S966)</f>
        <v/>
      </c>
      <c r="F958" s="298" t="str">
        <f>IF(B958="", "", 'Version Log'!$B$34)</f>
        <v/>
      </c>
      <c r="G958" s="298" t="str">
        <f t="shared" si="60"/>
        <v/>
      </c>
      <c r="H958" s="298" t="str">
        <f t="shared" si="61"/>
        <v/>
      </c>
      <c r="I958" s="298" t="str">
        <f>IF(B958="", "",Inventory!D966)</f>
        <v/>
      </c>
      <c r="J958" s="298" t="str">
        <f>IF(B958="","",IF(Inventory!C966="N","Interior","Exterior"))</f>
        <v/>
      </c>
      <c r="K958" s="298" t="str">
        <f t="shared" si="62"/>
        <v/>
      </c>
      <c r="L958" s="298" t="str">
        <f>IF(B958="", "", Inventory!E966)</f>
        <v/>
      </c>
      <c r="M958" s="298" t="str">
        <f>IF(B958="","",IF(Cool_Type=Lookups!$L$9,Cool_Type,IF(Cool_Type=Lookups!$L$10,Cool_Type,IF(Cool_Type=Lookups!$L$11,Cool_Type,IF(Cool_Type=Lookups!L968,Cool_Type,IF('Project Info and Summary'!$C$20="Electric",CONCATENATE(Cool_Type," ",Heating_Type," Heat"),IF('Project Info and Summary'!$C$20="Non-Electric",CONCATENATE(Cool_Type," ",Heating_Type," Heat"),CONCATENATE(Cool_Type," ",Heating_Type))))))))</f>
        <v/>
      </c>
      <c r="N958" s="298" t="str">
        <f t="shared" si="63"/>
        <v/>
      </c>
      <c r="O958" s="298" t="str">
        <f>IF(B958="", "", 'Lighting Inventory (Ref only)'!G969)</f>
        <v/>
      </c>
      <c r="P958" s="298" t="str">
        <f>IF(B958="", "", 'Lighting Inventory (Ref only)'!E969)</f>
        <v/>
      </c>
      <c r="Q958" s="298" t="str">
        <f>IF(B958="", "", 'Lighting Inventory (Ref only)'!J969)</f>
        <v/>
      </c>
      <c r="R958" s="298" t="str">
        <f>IF(B958="", "",'Lighting Inventory (Ref only)'!K969)</f>
        <v/>
      </c>
      <c r="S958" s="372" t="str">
        <f>IF(B958="", "", 'Lighting Inventory (Ref only)'!G969*'Lighting Inventory (Ref only)'!K969/1000)</f>
        <v/>
      </c>
      <c r="T958" s="298" t="str">
        <f>IF(B958="", "", IF('Lighting Inventory (Ref only)'!I969="", "Light Switch",Inventory!H966))</f>
        <v/>
      </c>
      <c r="X958" s="298" t="str">
        <f>IF(B958="", "", 'Lighting Inventory (Ref only)'!Q969)</f>
        <v/>
      </c>
      <c r="AA958" s="298" t="str">
        <f>IF(B958="", "",'Lighting Inventory (Ref only)'!R969/1000)</f>
        <v/>
      </c>
      <c r="AB958" s="298" t="str">
        <f>IF(B958="", "", Inventory!M966)</f>
        <v/>
      </c>
      <c r="AC958" s="298" t="str">
        <f>IF(B958="", "", 'Lighting Inventory (Ref only)'!T969)</f>
        <v/>
      </c>
      <c r="AD958" s="298" t="str">
        <f>IF(C958="", "", 'Lighting Inventory (Ref only)'!AA969)</f>
        <v/>
      </c>
      <c r="AE958" s="298" t="str">
        <f>IF(B958="", "", 'Lighting Inventory (Ref only)'!U969)</f>
        <v/>
      </c>
      <c r="AF958" s="298" t="str">
        <f>IF(B958="", "",'Lighting Inventory (Ref only)'!W969)</f>
        <v/>
      </c>
      <c r="AH958" s="298" t="str">
        <f>IF(B958="", "",'Lighting Inventory (Ref only)'!Z969)</f>
        <v/>
      </c>
      <c r="AI958" s="298" t="str">
        <f>IF(B958="", "", 'Lighting Inventory (Ref only)'!Y969)</f>
        <v/>
      </c>
      <c r="AJ958" s="298" t="str">
        <f>IF(C958="", "",'Lighting Inventory (Ref only)'!AB969)</f>
        <v/>
      </c>
      <c r="AK958" s="375" t="str">
        <f>IF(B958="", "", 'Lighting Inventory (Ref only)'!AG969)</f>
        <v/>
      </c>
      <c r="AL958" s="375" t="str">
        <f>IF(B958="", "", 'Lighting Inventory (Ref only)'!AD969)</f>
        <v/>
      </c>
      <c r="AM958" s="375" t="str">
        <f>IF(B958="", "", 'Lighting Inventory (Ref only)'!AE969)</f>
        <v/>
      </c>
      <c r="AN958" s="375" t="str">
        <f>IF(B958="", "", 'Lighting Inventory (Ref only)'!AF969)</f>
        <v/>
      </c>
      <c r="AO958" s="375" t="str">
        <f>IF(B958="", "", 'Lighting Inventory (Ref only)'!AG969)</f>
        <v/>
      </c>
    </row>
    <row r="959" spans="1:41">
      <c r="A959" s="298" t="str">
        <f>IF(G959="", "", Lookups!BF961)</f>
        <v/>
      </c>
      <c r="B959" s="298" t="str">
        <f>IF('Lighting Inventory (Ref only)'!Q970="", "", 'Lighting Inventory (Ref only)'!Q970)</f>
        <v/>
      </c>
      <c r="C959" s="298" t="str">
        <f>IF(A959="", "", 'Lighting Inventory (Ref only)'!AO970)</f>
        <v/>
      </c>
      <c r="D959" s="298" t="str">
        <f>IF(B959= "","", Inventory!S967)</f>
        <v/>
      </c>
      <c r="F959" s="298" t="str">
        <f>IF(B959="", "", 'Version Log'!$B$34)</f>
        <v/>
      </c>
      <c r="G959" s="298" t="str">
        <f t="shared" si="60"/>
        <v/>
      </c>
      <c r="H959" s="298" t="str">
        <f t="shared" si="61"/>
        <v/>
      </c>
      <c r="I959" s="298" t="str">
        <f>IF(B959="", "",Inventory!D967)</f>
        <v/>
      </c>
      <c r="J959" s="298" t="str">
        <f>IF(B959="","",IF(Inventory!C967="N","Interior","Exterior"))</f>
        <v/>
      </c>
      <c r="K959" s="298" t="str">
        <f t="shared" si="62"/>
        <v/>
      </c>
      <c r="L959" s="298" t="str">
        <f>IF(B959="", "", Inventory!E967)</f>
        <v/>
      </c>
      <c r="M959" s="298" t="str">
        <f>IF(B959="","",IF(Cool_Type=Lookups!$L$9,Cool_Type,IF(Cool_Type=Lookups!$L$10,Cool_Type,IF(Cool_Type=Lookups!$L$11,Cool_Type,IF(Cool_Type=Lookups!L969,Cool_Type,IF('Project Info and Summary'!$C$20="Electric",CONCATENATE(Cool_Type," ",Heating_Type," Heat"),IF('Project Info and Summary'!$C$20="Non-Electric",CONCATENATE(Cool_Type," ",Heating_Type," Heat"),CONCATENATE(Cool_Type," ",Heating_Type))))))))</f>
        <v/>
      </c>
      <c r="N959" s="298" t="str">
        <f t="shared" si="63"/>
        <v/>
      </c>
      <c r="O959" s="298" t="str">
        <f>IF(B959="", "", 'Lighting Inventory (Ref only)'!G970)</f>
        <v/>
      </c>
      <c r="P959" s="298" t="str">
        <f>IF(B959="", "", 'Lighting Inventory (Ref only)'!E970)</f>
        <v/>
      </c>
      <c r="Q959" s="298" t="str">
        <f>IF(B959="", "", 'Lighting Inventory (Ref only)'!J970)</f>
        <v/>
      </c>
      <c r="R959" s="298" t="str">
        <f>IF(B959="", "",'Lighting Inventory (Ref only)'!K970)</f>
        <v/>
      </c>
      <c r="S959" s="372" t="str">
        <f>IF(B959="", "", 'Lighting Inventory (Ref only)'!G970*'Lighting Inventory (Ref only)'!K970/1000)</f>
        <v/>
      </c>
      <c r="T959" s="298" t="str">
        <f>IF(B959="", "", IF('Lighting Inventory (Ref only)'!I970="", "Light Switch",Inventory!H967))</f>
        <v/>
      </c>
      <c r="X959" s="298" t="str">
        <f>IF(B959="", "", 'Lighting Inventory (Ref only)'!Q970)</f>
        <v/>
      </c>
      <c r="AA959" s="298" t="str">
        <f>IF(B959="", "",'Lighting Inventory (Ref only)'!R970/1000)</f>
        <v/>
      </c>
      <c r="AB959" s="298" t="str">
        <f>IF(B959="", "", Inventory!M967)</f>
        <v/>
      </c>
      <c r="AC959" s="298" t="str">
        <f>IF(B959="", "", 'Lighting Inventory (Ref only)'!T970)</f>
        <v/>
      </c>
      <c r="AD959" s="298" t="str">
        <f>IF(C959="", "", 'Lighting Inventory (Ref only)'!AA970)</f>
        <v/>
      </c>
      <c r="AE959" s="298" t="str">
        <f>IF(B959="", "", 'Lighting Inventory (Ref only)'!U970)</f>
        <v/>
      </c>
      <c r="AF959" s="298" t="str">
        <f>IF(B959="", "",'Lighting Inventory (Ref only)'!W970)</f>
        <v/>
      </c>
      <c r="AH959" s="298" t="str">
        <f>IF(B959="", "",'Lighting Inventory (Ref only)'!Z970)</f>
        <v/>
      </c>
      <c r="AI959" s="298" t="str">
        <f>IF(B959="", "", 'Lighting Inventory (Ref only)'!Y970)</f>
        <v/>
      </c>
      <c r="AJ959" s="298" t="str">
        <f>IF(C959="", "",'Lighting Inventory (Ref only)'!AB970)</f>
        <v/>
      </c>
      <c r="AK959" s="375" t="str">
        <f>IF(B959="", "", 'Lighting Inventory (Ref only)'!AG970)</f>
        <v/>
      </c>
      <c r="AL959" s="375" t="str">
        <f>IF(B959="", "", 'Lighting Inventory (Ref only)'!AD970)</f>
        <v/>
      </c>
      <c r="AM959" s="375" t="str">
        <f>IF(B959="", "", 'Lighting Inventory (Ref only)'!AE970)</f>
        <v/>
      </c>
      <c r="AN959" s="375" t="str">
        <f>IF(B959="", "", 'Lighting Inventory (Ref only)'!AF970)</f>
        <v/>
      </c>
      <c r="AO959" s="375" t="str">
        <f>IF(B959="", "", 'Lighting Inventory (Ref only)'!AG970)</f>
        <v/>
      </c>
    </row>
    <row r="960" spans="1:41">
      <c r="A960" s="298" t="str">
        <f>IF(G960="", "", Lookups!BF962)</f>
        <v/>
      </c>
      <c r="B960" s="298" t="str">
        <f>IF('Lighting Inventory (Ref only)'!Q971="", "", 'Lighting Inventory (Ref only)'!Q971)</f>
        <v/>
      </c>
      <c r="C960" s="298" t="str">
        <f>IF(A960="", "", 'Lighting Inventory (Ref only)'!AO971)</f>
        <v/>
      </c>
      <c r="D960" s="298" t="str">
        <f>IF(B960= "","", Inventory!S968)</f>
        <v/>
      </c>
      <c r="F960" s="298" t="str">
        <f>IF(B960="", "", 'Version Log'!$B$34)</f>
        <v/>
      </c>
      <c r="G960" s="298" t="str">
        <f t="shared" si="60"/>
        <v/>
      </c>
      <c r="H960" s="298" t="str">
        <f t="shared" si="61"/>
        <v/>
      </c>
      <c r="I960" s="298" t="str">
        <f>IF(B960="", "",Inventory!D968)</f>
        <v/>
      </c>
      <c r="J960" s="298" t="str">
        <f>IF(B960="","",IF(Inventory!C968="N","Interior","Exterior"))</f>
        <v/>
      </c>
      <c r="K960" s="298" t="str">
        <f t="shared" si="62"/>
        <v/>
      </c>
      <c r="L960" s="298" t="str">
        <f>IF(B960="", "", Inventory!E968)</f>
        <v/>
      </c>
      <c r="M960" s="298" t="str">
        <f>IF(B960="","",IF(Cool_Type=Lookups!$L$9,Cool_Type,IF(Cool_Type=Lookups!$L$10,Cool_Type,IF(Cool_Type=Lookups!$L$11,Cool_Type,IF(Cool_Type=Lookups!L970,Cool_Type,IF('Project Info and Summary'!$C$20="Electric",CONCATENATE(Cool_Type," ",Heating_Type," Heat"),IF('Project Info and Summary'!$C$20="Non-Electric",CONCATENATE(Cool_Type," ",Heating_Type," Heat"),CONCATENATE(Cool_Type," ",Heating_Type))))))))</f>
        <v/>
      </c>
      <c r="N960" s="298" t="str">
        <f t="shared" si="63"/>
        <v/>
      </c>
      <c r="O960" s="298" t="str">
        <f>IF(B960="", "", 'Lighting Inventory (Ref only)'!G971)</f>
        <v/>
      </c>
      <c r="P960" s="298" t="str">
        <f>IF(B960="", "", 'Lighting Inventory (Ref only)'!E971)</f>
        <v/>
      </c>
      <c r="Q960" s="298" t="str">
        <f>IF(B960="", "", 'Lighting Inventory (Ref only)'!J971)</f>
        <v/>
      </c>
      <c r="R960" s="298" t="str">
        <f>IF(B960="", "",'Lighting Inventory (Ref only)'!K971)</f>
        <v/>
      </c>
      <c r="S960" s="372" t="str">
        <f>IF(B960="", "", 'Lighting Inventory (Ref only)'!G971*'Lighting Inventory (Ref only)'!K971/1000)</f>
        <v/>
      </c>
      <c r="T960" s="298" t="str">
        <f>IF(B960="", "", IF('Lighting Inventory (Ref only)'!I971="", "Light Switch",Inventory!H968))</f>
        <v/>
      </c>
      <c r="X960" s="298" t="str">
        <f>IF(B960="", "", 'Lighting Inventory (Ref only)'!Q971)</f>
        <v/>
      </c>
      <c r="AA960" s="298" t="str">
        <f>IF(B960="", "",'Lighting Inventory (Ref only)'!R971/1000)</f>
        <v/>
      </c>
      <c r="AB960" s="298" t="str">
        <f>IF(B960="", "", Inventory!M968)</f>
        <v/>
      </c>
      <c r="AC960" s="298" t="str">
        <f>IF(B960="", "", 'Lighting Inventory (Ref only)'!T971)</f>
        <v/>
      </c>
      <c r="AD960" s="298" t="str">
        <f>IF(C960="", "", 'Lighting Inventory (Ref only)'!AA971)</f>
        <v/>
      </c>
      <c r="AE960" s="298" t="str">
        <f>IF(B960="", "", 'Lighting Inventory (Ref only)'!U971)</f>
        <v/>
      </c>
      <c r="AF960" s="298" t="str">
        <f>IF(B960="", "",'Lighting Inventory (Ref only)'!W971)</f>
        <v/>
      </c>
      <c r="AH960" s="298" t="str">
        <f>IF(B960="", "",'Lighting Inventory (Ref only)'!Z971)</f>
        <v/>
      </c>
      <c r="AI960" s="298" t="str">
        <f>IF(B960="", "", 'Lighting Inventory (Ref only)'!Y971)</f>
        <v/>
      </c>
      <c r="AJ960" s="298" t="str">
        <f>IF(C960="", "",'Lighting Inventory (Ref only)'!AB971)</f>
        <v/>
      </c>
      <c r="AK960" s="375" t="str">
        <f>IF(B960="", "", 'Lighting Inventory (Ref only)'!AG971)</f>
        <v/>
      </c>
      <c r="AL960" s="375" t="str">
        <f>IF(B960="", "", 'Lighting Inventory (Ref only)'!AD971)</f>
        <v/>
      </c>
      <c r="AM960" s="375" t="str">
        <f>IF(B960="", "", 'Lighting Inventory (Ref only)'!AE971)</f>
        <v/>
      </c>
      <c r="AN960" s="375" t="str">
        <f>IF(B960="", "", 'Lighting Inventory (Ref only)'!AF971)</f>
        <v/>
      </c>
      <c r="AO960" s="375" t="str">
        <f>IF(B960="", "", 'Lighting Inventory (Ref only)'!AG971)</f>
        <v/>
      </c>
    </row>
    <row r="961" spans="1:41">
      <c r="A961" s="298" t="str">
        <f>IF(G961="", "", Lookups!BF963)</f>
        <v/>
      </c>
      <c r="B961" s="298" t="str">
        <f>IF('Lighting Inventory (Ref only)'!Q972="", "", 'Lighting Inventory (Ref only)'!Q972)</f>
        <v/>
      </c>
      <c r="C961" s="298" t="str">
        <f>IF(A961="", "", 'Lighting Inventory (Ref only)'!AO972)</f>
        <v/>
      </c>
      <c r="D961" s="298" t="str">
        <f>IF(B961= "","", Inventory!S969)</f>
        <v/>
      </c>
      <c r="F961" s="298" t="str">
        <f>IF(B961="", "", 'Version Log'!$B$34)</f>
        <v/>
      </c>
      <c r="G961" s="298" t="str">
        <f t="shared" si="60"/>
        <v/>
      </c>
      <c r="H961" s="298" t="str">
        <f t="shared" si="61"/>
        <v/>
      </c>
      <c r="I961" s="298" t="str">
        <f>IF(B961="", "",Inventory!D969)</f>
        <v/>
      </c>
      <c r="J961" s="298" t="str">
        <f>IF(B961="","",IF(Inventory!C969="N","Interior","Exterior"))</f>
        <v/>
      </c>
      <c r="K961" s="298" t="str">
        <f t="shared" si="62"/>
        <v/>
      </c>
      <c r="L961" s="298" t="str">
        <f>IF(B961="", "", Inventory!E969)</f>
        <v/>
      </c>
      <c r="M961" s="298" t="str">
        <f>IF(B961="","",IF(Cool_Type=Lookups!$L$9,Cool_Type,IF(Cool_Type=Lookups!$L$10,Cool_Type,IF(Cool_Type=Lookups!$L$11,Cool_Type,IF(Cool_Type=Lookups!L971,Cool_Type,IF('Project Info and Summary'!$C$20="Electric",CONCATENATE(Cool_Type," ",Heating_Type," Heat"),IF('Project Info and Summary'!$C$20="Non-Electric",CONCATENATE(Cool_Type," ",Heating_Type," Heat"),CONCATENATE(Cool_Type," ",Heating_Type))))))))</f>
        <v/>
      </c>
      <c r="N961" s="298" t="str">
        <f t="shared" si="63"/>
        <v/>
      </c>
      <c r="O961" s="298" t="str">
        <f>IF(B961="", "", 'Lighting Inventory (Ref only)'!G972)</f>
        <v/>
      </c>
      <c r="P961" s="298" t="str">
        <f>IF(B961="", "", 'Lighting Inventory (Ref only)'!E972)</f>
        <v/>
      </c>
      <c r="Q961" s="298" t="str">
        <f>IF(B961="", "", 'Lighting Inventory (Ref only)'!J972)</f>
        <v/>
      </c>
      <c r="R961" s="298" t="str">
        <f>IF(B961="", "",'Lighting Inventory (Ref only)'!K972)</f>
        <v/>
      </c>
      <c r="S961" s="372" t="str">
        <f>IF(B961="", "", 'Lighting Inventory (Ref only)'!G972*'Lighting Inventory (Ref only)'!K972/1000)</f>
        <v/>
      </c>
      <c r="T961" s="298" t="str">
        <f>IF(B961="", "", IF('Lighting Inventory (Ref only)'!I972="", "Light Switch",Inventory!H969))</f>
        <v/>
      </c>
      <c r="X961" s="298" t="str">
        <f>IF(B961="", "", 'Lighting Inventory (Ref only)'!Q972)</f>
        <v/>
      </c>
      <c r="AA961" s="298" t="str">
        <f>IF(B961="", "",'Lighting Inventory (Ref only)'!R972/1000)</f>
        <v/>
      </c>
      <c r="AB961" s="298" t="str">
        <f>IF(B961="", "", Inventory!M969)</f>
        <v/>
      </c>
      <c r="AC961" s="298" t="str">
        <f>IF(B961="", "", 'Lighting Inventory (Ref only)'!T972)</f>
        <v/>
      </c>
      <c r="AD961" s="298" t="str">
        <f>IF(C961="", "", 'Lighting Inventory (Ref only)'!AA972)</f>
        <v/>
      </c>
      <c r="AE961" s="298" t="str">
        <f>IF(B961="", "", 'Lighting Inventory (Ref only)'!U972)</f>
        <v/>
      </c>
      <c r="AF961" s="298" t="str">
        <f>IF(B961="", "",'Lighting Inventory (Ref only)'!W972)</f>
        <v/>
      </c>
      <c r="AH961" s="298" t="str">
        <f>IF(B961="", "",'Lighting Inventory (Ref only)'!Z972)</f>
        <v/>
      </c>
      <c r="AI961" s="298" t="str">
        <f>IF(B961="", "", 'Lighting Inventory (Ref only)'!Y972)</f>
        <v/>
      </c>
      <c r="AJ961" s="298" t="str">
        <f>IF(C961="", "",'Lighting Inventory (Ref only)'!AB972)</f>
        <v/>
      </c>
      <c r="AK961" s="375" t="str">
        <f>IF(B961="", "", 'Lighting Inventory (Ref only)'!AG972)</f>
        <v/>
      </c>
      <c r="AL961" s="375" t="str">
        <f>IF(B961="", "", 'Lighting Inventory (Ref only)'!AD972)</f>
        <v/>
      </c>
      <c r="AM961" s="375" t="str">
        <f>IF(B961="", "", 'Lighting Inventory (Ref only)'!AE972)</f>
        <v/>
      </c>
      <c r="AN961" s="375" t="str">
        <f>IF(B961="", "", 'Lighting Inventory (Ref only)'!AF972)</f>
        <v/>
      </c>
      <c r="AO961" s="375" t="str">
        <f>IF(B961="", "", 'Lighting Inventory (Ref only)'!AG972)</f>
        <v/>
      </c>
    </row>
    <row r="962" spans="1:41">
      <c r="A962" s="298" t="str">
        <f>IF(G962="", "", Lookups!BF964)</f>
        <v/>
      </c>
      <c r="B962" s="298" t="str">
        <f>IF('Lighting Inventory (Ref only)'!Q973="", "", 'Lighting Inventory (Ref only)'!Q973)</f>
        <v/>
      </c>
      <c r="C962" s="298" t="str">
        <f>IF(A962="", "", 'Lighting Inventory (Ref only)'!AO973)</f>
        <v/>
      </c>
      <c r="D962" s="298" t="str">
        <f>IF(B962= "","", Inventory!S970)</f>
        <v/>
      </c>
      <c r="F962" s="298" t="str">
        <f>IF(B962="", "", 'Version Log'!$B$34)</f>
        <v/>
      </c>
      <c r="G962" s="298" t="str">
        <f t="shared" si="60"/>
        <v/>
      </c>
      <c r="H962" s="298" t="str">
        <f t="shared" si="61"/>
        <v/>
      </c>
      <c r="I962" s="298" t="str">
        <f>IF(B962="", "",Inventory!D970)</f>
        <v/>
      </c>
      <c r="J962" s="298" t="str">
        <f>IF(B962="","",IF(Inventory!C970="N","Interior","Exterior"))</f>
        <v/>
      </c>
      <c r="K962" s="298" t="str">
        <f t="shared" si="62"/>
        <v/>
      </c>
      <c r="L962" s="298" t="str">
        <f>IF(B962="", "", Inventory!E970)</f>
        <v/>
      </c>
      <c r="M962" s="298" t="str">
        <f>IF(B962="","",IF(Cool_Type=Lookups!$L$9,Cool_Type,IF(Cool_Type=Lookups!$L$10,Cool_Type,IF(Cool_Type=Lookups!$L$11,Cool_Type,IF(Cool_Type=Lookups!L972,Cool_Type,IF('Project Info and Summary'!$C$20="Electric",CONCATENATE(Cool_Type," ",Heating_Type," Heat"),IF('Project Info and Summary'!$C$20="Non-Electric",CONCATENATE(Cool_Type," ",Heating_Type," Heat"),CONCATENATE(Cool_Type," ",Heating_Type))))))))</f>
        <v/>
      </c>
      <c r="N962" s="298" t="str">
        <f t="shared" si="63"/>
        <v/>
      </c>
      <c r="O962" s="298" t="str">
        <f>IF(B962="", "", 'Lighting Inventory (Ref only)'!G973)</f>
        <v/>
      </c>
      <c r="P962" s="298" t="str">
        <f>IF(B962="", "", 'Lighting Inventory (Ref only)'!E973)</f>
        <v/>
      </c>
      <c r="Q962" s="298" t="str">
        <f>IF(B962="", "", 'Lighting Inventory (Ref only)'!J973)</f>
        <v/>
      </c>
      <c r="R962" s="298" t="str">
        <f>IF(B962="", "",'Lighting Inventory (Ref only)'!K973)</f>
        <v/>
      </c>
      <c r="S962" s="372" t="str">
        <f>IF(B962="", "", 'Lighting Inventory (Ref only)'!G973*'Lighting Inventory (Ref only)'!K973/1000)</f>
        <v/>
      </c>
      <c r="T962" s="298" t="str">
        <f>IF(B962="", "", IF('Lighting Inventory (Ref only)'!I973="", "Light Switch",Inventory!H970))</f>
        <v/>
      </c>
      <c r="X962" s="298" t="str">
        <f>IF(B962="", "", 'Lighting Inventory (Ref only)'!Q973)</f>
        <v/>
      </c>
      <c r="AA962" s="298" t="str">
        <f>IF(B962="", "",'Lighting Inventory (Ref only)'!R973/1000)</f>
        <v/>
      </c>
      <c r="AB962" s="298" t="str">
        <f>IF(B962="", "", Inventory!M970)</f>
        <v/>
      </c>
      <c r="AC962" s="298" t="str">
        <f>IF(B962="", "", 'Lighting Inventory (Ref only)'!T973)</f>
        <v/>
      </c>
      <c r="AD962" s="298" t="str">
        <f>IF(C962="", "", 'Lighting Inventory (Ref only)'!AA973)</f>
        <v/>
      </c>
      <c r="AE962" s="298" t="str">
        <f>IF(B962="", "", 'Lighting Inventory (Ref only)'!U973)</f>
        <v/>
      </c>
      <c r="AF962" s="298" t="str">
        <f>IF(B962="", "",'Lighting Inventory (Ref only)'!W973)</f>
        <v/>
      </c>
      <c r="AH962" s="298" t="str">
        <f>IF(B962="", "",'Lighting Inventory (Ref only)'!Z973)</f>
        <v/>
      </c>
      <c r="AI962" s="298" t="str">
        <f>IF(B962="", "", 'Lighting Inventory (Ref only)'!Y973)</f>
        <v/>
      </c>
      <c r="AJ962" s="298" t="str">
        <f>IF(C962="", "",'Lighting Inventory (Ref only)'!AB973)</f>
        <v/>
      </c>
      <c r="AK962" s="375" t="str">
        <f>IF(B962="", "", 'Lighting Inventory (Ref only)'!AG973)</f>
        <v/>
      </c>
      <c r="AL962" s="375" t="str">
        <f>IF(B962="", "", 'Lighting Inventory (Ref only)'!AD973)</f>
        <v/>
      </c>
      <c r="AM962" s="375" t="str">
        <f>IF(B962="", "", 'Lighting Inventory (Ref only)'!AE973)</f>
        <v/>
      </c>
      <c r="AN962" s="375" t="str">
        <f>IF(B962="", "", 'Lighting Inventory (Ref only)'!AF973)</f>
        <v/>
      </c>
      <c r="AO962" s="375" t="str">
        <f>IF(B962="", "", 'Lighting Inventory (Ref only)'!AG973)</f>
        <v/>
      </c>
    </row>
    <row r="963" spans="1:41">
      <c r="A963" s="298" t="str">
        <f>IF(G963="", "", Lookups!BF965)</f>
        <v/>
      </c>
      <c r="B963" s="298" t="str">
        <f>IF('Lighting Inventory (Ref only)'!Q974="", "", 'Lighting Inventory (Ref only)'!Q974)</f>
        <v/>
      </c>
      <c r="C963" s="298" t="str">
        <f>IF(A963="", "", 'Lighting Inventory (Ref only)'!AO974)</f>
        <v/>
      </c>
      <c r="D963" s="298" t="str">
        <f>IF(B963= "","", Inventory!S971)</f>
        <v/>
      </c>
      <c r="F963" s="298" t="str">
        <f>IF(B963="", "", 'Version Log'!$B$34)</f>
        <v/>
      </c>
      <c r="G963" s="298" t="str">
        <f t="shared" si="60"/>
        <v/>
      </c>
      <c r="H963" s="298" t="str">
        <f t="shared" si="61"/>
        <v/>
      </c>
      <c r="I963" s="298" t="str">
        <f>IF(B963="", "",Inventory!D971)</f>
        <v/>
      </c>
      <c r="J963" s="298" t="str">
        <f>IF(B963="","",IF(Inventory!C971="N","Interior","Exterior"))</f>
        <v/>
      </c>
      <c r="K963" s="298" t="str">
        <f t="shared" si="62"/>
        <v/>
      </c>
      <c r="L963" s="298" t="str">
        <f>IF(B963="", "", Inventory!E971)</f>
        <v/>
      </c>
      <c r="M963" s="298" t="str">
        <f>IF(B963="","",IF(Cool_Type=Lookups!$L$9,Cool_Type,IF(Cool_Type=Lookups!$L$10,Cool_Type,IF(Cool_Type=Lookups!$L$11,Cool_Type,IF(Cool_Type=Lookups!L973,Cool_Type,IF('Project Info and Summary'!$C$20="Electric",CONCATENATE(Cool_Type," ",Heating_Type," Heat"),IF('Project Info and Summary'!$C$20="Non-Electric",CONCATENATE(Cool_Type," ",Heating_Type," Heat"),CONCATENATE(Cool_Type," ",Heating_Type))))))))</f>
        <v/>
      </c>
      <c r="N963" s="298" t="str">
        <f t="shared" si="63"/>
        <v/>
      </c>
      <c r="O963" s="298" t="str">
        <f>IF(B963="", "", 'Lighting Inventory (Ref only)'!G974)</f>
        <v/>
      </c>
      <c r="P963" s="298" t="str">
        <f>IF(B963="", "", 'Lighting Inventory (Ref only)'!E974)</f>
        <v/>
      </c>
      <c r="Q963" s="298" t="str">
        <f>IF(B963="", "", 'Lighting Inventory (Ref only)'!J974)</f>
        <v/>
      </c>
      <c r="R963" s="298" t="str">
        <f>IF(B963="", "",'Lighting Inventory (Ref only)'!K974)</f>
        <v/>
      </c>
      <c r="S963" s="372" t="str">
        <f>IF(B963="", "", 'Lighting Inventory (Ref only)'!G974*'Lighting Inventory (Ref only)'!K974/1000)</f>
        <v/>
      </c>
      <c r="T963" s="298" t="str">
        <f>IF(B963="", "", IF('Lighting Inventory (Ref only)'!I974="", "Light Switch",Inventory!H971))</f>
        <v/>
      </c>
      <c r="X963" s="298" t="str">
        <f>IF(B963="", "", 'Lighting Inventory (Ref only)'!Q974)</f>
        <v/>
      </c>
      <c r="AA963" s="298" t="str">
        <f>IF(B963="", "",'Lighting Inventory (Ref only)'!R974/1000)</f>
        <v/>
      </c>
      <c r="AB963" s="298" t="str">
        <f>IF(B963="", "", Inventory!M971)</f>
        <v/>
      </c>
      <c r="AC963" s="298" t="str">
        <f>IF(B963="", "", 'Lighting Inventory (Ref only)'!T974)</f>
        <v/>
      </c>
      <c r="AD963" s="298" t="str">
        <f>IF(C963="", "", 'Lighting Inventory (Ref only)'!AA974)</f>
        <v/>
      </c>
      <c r="AE963" s="298" t="str">
        <f>IF(B963="", "", 'Lighting Inventory (Ref only)'!U974)</f>
        <v/>
      </c>
      <c r="AF963" s="298" t="str">
        <f>IF(B963="", "",'Lighting Inventory (Ref only)'!W974)</f>
        <v/>
      </c>
      <c r="AH963" s="298" t="str">
        <f>IF(B963="", "",'Lighting Inventory (Ref only)'!Z974)</f>
        <v/>
      </c>
      <c r="AI963" s="298" t="str">
        <f>IF(B963="", "", 'Lighting Inventory (Ref only)'!Y974)</f>
        <v/>
      </c>
      <c r="AJ963" s="298" t="str">
        <f>IF(C963="", "",'Lighting Inventory (Ref only)'!AB974)</f>
        <v/>
      </c>
      <c r="AK963" s="375" t="str">
        <f>IF(B963="", "", 'Lighting Inventory (Ref only)'!AG974)</f>
        <v/>
      </c>
      <c r="AL963" s="375" t="str">
        <f>IF(B963="", "", 'Lighting Inventory (Ref only)'!AD974)</f>
        <v/>
      </c>
      <c r="AM963" s="375" t="str">
        <f>IF(B963="", "", 'Lighting Inventory (Ref only)'!AE974)</f>
        <v/>
      </c>
      <c r="AN963" s="375" t="str">
        <f>IF(B963="", "", 'Lighting Inventory (Ref only)'!AF974)</f>
        <v/>
      </c>
      <c r="AO963" s="375" t="str">
        <f>IF(B963="", "", 'Lighting Inventory (Ref only)'!AG974)</f>
        <v/>
      </c>
    </row>
    <row r="964" spans="1:41">
      <c r="A964" s="298" t="str">
        <f>IF(G964="", "", Lookups!BF966)</f>
        <v/>
      </c>
      <c r="B964" s="298" t="str">
        <f>IF('Lighting Inventory (Ref only)'!Q975="", "", 'Lighting Inventory (Ref only)'!Q975)</f>
        <v/>
      </c>
      <c r="C964" s="298" t="str">
        <f>IF(A964="", "", 'Lighting Inventory (Ref only)'!AO975)</f>
        <v/>
      </c>
      <c r="D964" s="298" t="str">
        <f>IF(B964= "","", Inventory!S972)</f>
        <v/>
      </c>
      <c r="F964" s="298" t="str">
        <f>IF(B964="", "", 'Version Log'!$B$34)</f>
        <v/>
      </c>
      <c r="G964" s="298" t="str">
        <f t="shared" si="60"/>
        <v/>
      </c>
      <c r="H964" s="298" t="str">
        <f t="shared" si="61"/>
        <v/>
      </c>
      <c r="I964" s="298" t="str">
        <f>IF(B964="", "",Inventory!D972)</f>
        <v/>
      </c>
      <c r="J964" s="298" t="str">
        <f>IF(B964="","",IF(Inventory!C972="N","Interior","Exterior"))</f>
        <v/>
      </c>
      <c r="K964" s="298" t="str">
        <f t="shared" si="62"/>
        <v/>
      </c>
      <c r="L964" s="298" t="str">
        <f>IF(B964="", "", Inventory!E972)</f>
        <v/>
      </c>
      <c r="M964" s="298" t="str">
        <f>IF(B964="","",IF(Cool_Type=Lookups!$L$9,Cool_Type,IF(Cool_Type=Lookups!$L$10,Cool_Type,IF(Cool_Type=Lookups!$L$11,Cool_Type,IF(Cool_Type=Lookups!L974,Cool_Type,IF('Project Info and Summary'!$C$20="Electric",CONCATENATE(Cool_Type," ",Heating_Type," Heat"),IF('Project Info and Summary'!$C$20="Non-Electric",CONCATENATE(Cool_Type," ",Heating_Type," Heat"),CONCATENATE(Cool_Type," ",Heating_Type))))))))</f>
        <v/>
      </c>
      <c r="N964" s="298" t="str">
        <f t="shared" si="63"/>
        <v/>
      </c>
      <c r="O964" s="298" t="str">
        <f>IF(B964="", "", 'Lighting Inventory (Ref only)'!G975)</f>
        <v/>
      </c>
      <c r="P964" s="298" t="str">
        <f>IF(B964="", "", 'Lighting Inventory (Ref only)'!E975)</f>
        <v/>
      </c>
      <c r="Q964" s="298" t="str">
        <f>IF(B964="", "", 'Lighting Inventory (Ref only)'!J975)</f>
        <v/>
      </c>
      <c r="R964" s="298" t="str">
        <f>IF(B964="", "",'Lighting Inventory (Ref only)'!K975)</f>
        <v/>
      </c>
      <c r="S964" s="372" t="str">
        <f>IF(B964="", "", 'Lighting Inventory (Ref only)'!G975*'Lighting Inventory (Ref only)'!K975/1000)</f>
        <v/>
      </c>
      <c r="T964" s="298" t="str">
        <f>IF(B964="", "", IF('Lighting Inventory (Ref only)'!I975="", "Light Switch",Inventory!H972))</f>
        <v/>
      </c>
      <c r="X964" s="298" t="str">
        <f>IF(B964="", "", 'Lighting Inventory (Ref only)'!Q975)</f>
        <v/>
      </c>
      <c r="AA964" s="298" t="str">
        <f>IF(B964="", "",'Lighting Inventory (Ref only)'!R975/1000)</f>
        <v/>
      </c>
      <c r="AB964" s="298" t="str">
        <f>IF(B964="", "", Inventory!M972)</f>
        <v/>
      </c>
      <c r="AC964" s="298" t="str">
        <f>IF(B964="", "", 'Lighting Inventory (Ref only)'!T975)</f>
        <v/>
      </c>
      <c r="AD964" s="298" t="str">
        <f>IF(C964="", "", 'Lighting Inventory (Ref only)'!AA975)</f>
        <v/>
      </c>
      <c r="AE964" s="298" t="str">
        <f>IF(B964="", "", 'Lighting Inventory (Ref only)'!U975)</f>
        <v/>
      </c>
      <c r="AF964" s="298" t="str">
        <f>IF(B964="", "",'Lighting Inventory (Ref only)'!W975)</f>
        <v/>
      </c>
      <c r="AH964" s="298" t="str">
        <f>IF(B964="", "",'Lighting Inventory (Ref only)'!Z975)</f>
        <v/>
      </c>
      <c r="AI964" s="298" t="str">
        <f>IF(B964="", "", 'Lighting Inventory (Ref only)'!Y975)</f>
        <v/>
      </c>
      <c r="AJ964" s="298" t="str">
        <f>IF(C964="", "",'Lighting Inventory (Ref only)'!AB975)</f>
        <v/>
      </c>
      <c r="AK964" s="375" t="str">
        <f>IF(B964="", "", 'Lighting Inventory (Ref only)'!AG975)</f>
        <v/>
      </c>
      <c r="AL964" s="375" t="str">
        <f>IF(B964="", "", 'Lighting Inventory (Ref only)'!AD975)</f>
        <v/>
      </c>
      <c r="AM964" s="375" t="str">
        <f>IF(B964="", "", 'Lighting Inventory (Ref only)'!AE975)</f>
        <v/>
      </c>
      <c r="AN964" s="375" t="str">
        <f>IF(B964="", "", 'Lighting Inventory (Ref only)'!AF975)</f>
        <v/>
      </c>
      <c r="AO964" s="375" t="str">
        <f>IF(B964="", "", 'Lighting Inventory (Ref only)'!AG975)</f>
        <v/>
      </c>
    </row>
    <row r="965" spans="1:41">
      <c r="A965" s="298" t="str">
        <f>IF(G965="", "", Lookups!BF967)</f>
        <v/>
      </c>
      <c r="B965" s="298" t="str">
        <f>IF('Lighting Inventory (Ref only)'!Q976="", "", 'Lighting Inventory (Ref only)'!Q976)</f>
        <v/>
      </c>
      <c r="C965" s="298" t="str">
        <f>IF(A965="", "", 'Lighting Inventory (Ref only)'!AO976)</f>
        <v/>
      </c>
      <c r="D965" s="298" t="str">
        <f>IF(B965= "","", Inventory!S973)</f>
        <v/>
      </c>
      <c r="F965" s="298" t="str">
        <f>IF(B965="", "", 'Version Log'!$B$34)</f>
        <v/>
      </c>
      <c r="G965" s="298" t="str">
        <f t="shared" si="60"/>
        <v/>
      </c>
      <c r="H965" s="298" t="str">
        <f t="shared" si="61"/>
        <v/>
      </c>
      <c r="I965" s="298" t="str">
        <f>IF(B965="", "",Inventory!D973)</f>
        <v/>
      </c>
      <c r="J965" s="298" t="str">
        <f>IF(B965="","",IF(Inventory!C973="N","Interior","Exterior"))</f>
        <v/>
      </c>
      <c r="K965" s="298" t="str">
        <f t="shared" si="62"/>
        <v/>
      </c>
      <c r="L965" s="298" t="str">
        <f>IF(B965="", "", Inventory!E973)</f>
        <v/>
      </c>
      <c r="M965" s="298" t="str">
        <f>IF(B965="","",IF(Cool_Type=Lookups!$L$9,Cool_Type,IF(Cool_Type=Lookups!$L$10,Cool_Type,IF(Cool_Type=Lookups!$L$11,Cool_Type,IF(Cool_Type=Lookups!L975,Cool_Type,IF('Project Info and Summary'!$C$20="Electric",CONCATENATE(Cool_Type," ",Heating_Type," Heat"),IF('Project Info and Summary'!$C$20="Non-Electric",CONCATENATE(Cool_Type," ",Heating_Type," Heat"),CONCATENATE(Cool_Type," ",Heating_Type))))))))</f>
        <v/>
      </c>
      <c r="N965" s="298" t="str">
        <f t="shared" si="63"/>
        <v/>
      </c>
      <c r="O965" s="298" t="str">
        <f>IF(B965="", "", 'Lighting Inventory (Ref only)'!G976)</f>
        <v/>
      </c>
      <c r="P965" s="298" t="str">
        <f>IF(B965="", "", 'Lighting Inventory (Ref only)'!E976)</f>
        <v/>
      </c>
      <c r="Q965" s="298" t="str">
        <f>IF(B965="", "", 'Lighting Inventory (Ref only)'!J976)</f>
        <v/>
      </c>
      <c r="R965" s="298" t="str">
        <f>IF(B965="", "",'Lighting Inventory (Ref only)'!K976)</f>
        <v/>
      </c>
      <c r="S965" s="372" t="str">
        <f>IF(B965="", "", 'Lighting Inventory (Ref only)'!G976*'Lighting Inventory (Ref only)'!K976/1000)</f>
        <v/>
      </c>
      <c r="T965" s="298" t="str">
        <f>IF(B965="", "", IF('Lighting Inventory (Ref only)'!I976="", "Light Switch",Inventory!H973))</f>
        <v/>
      </c>
      <c r="X965" s="298" t="str">
        <f>IF(B965="", "", 'Lighting Inventory (Ref only)'!Q976)</f>
        <v/>
      </c>
      <c r="AA965" s="298" t="str">
        <f>IF(B965="", "",'Lighting Inventory (Ref only)'!R976/1000)</f>
        <v/>
      </c>
      <c r="AB965" s="298" t="str">
        <f>IF(B965="", "", Inventory!M973)</f>
        <v/>
      </c>
      <c r="AC965" s="298" t="str">
        <f>IF(B965="", "", 'Lighting Inventory (Ref only)'!T976)</f>
        <v/>
      </c>
      <c r="AD965" s="298" t="str">
        <f>IF(C965="", "", 'Lighting Inventory (Ref only)'!AA976)</f>
        <v/>
      </c>
      <c r="AE965" s="298" t="str">
        <f>IF(B965="", "", 'Lighting Inventory (Ref only)'!U976)</f>
        <v/>
      </c>
      <c r="AF965" s="298" t="str">
        <f>IF(B965="", "",'Lighting Inventory (Ref only)'!W976)</f>
        <v/>
      </c>
      <c r="AH965" s="298" t="str">
        <f>IF(B965="", "",'Lighting Inventory (Ref only)'!Z976)</f>
        <v/>
      </c>
      <c r="AI965" s="298" t="str">
        <f>IF(B965="", "", 'Lighting Inventory (Ref only)'!Y976)</f>
        <v/>
      </c>
      <c r="AJ965" s="298" t="str">
        <f>IF(C965="", "",'Lighting Inventory (Ref only)'!AB976)</f>
        <v/>
      </c>
      <c r="AK965" s="375" t="str">
        <f>IF(B965="", "", 'Lighting Inventory (Ref only)'!AG976)</f>
        <v/>
      </c>
      <c r="AL965" s="375" t="str">
        <f>IF(B965="", "", 'Lighting Inventory (Ref only)'!AD976)</f>
        <v/>
      </c>
      <c r="AM965" s="375" t="str">
        <f>IF(B965="", "", 'Lighting Inventory (Ref only)'!AE976)</f>
        <v/>
      </c>
      <c r="AN965" s="375" t="str">
        <f>IF(B965="", "", 'Lighting Inventory (Ref only)'!AF976)</f>
        <v/>
      </c>
      <c r="AO965" s="375" t="str">
        <f>IF(B965="", "", 'Lighting Inventory (Ref only)'!AG976)</f>
        <v/>
      </c>
    </row>
    <row r="966" spans="1:41">
      <c r="A966" s="298" t="str">
        <f>IF(G966="", "", Lookups!BF968)</f>
        <v/>
      </c>
      <c r="B966" s="298" t="str">
        <f>IF('Lighting Inventory (Ref only)'!Q977="", "", 'Lighting Inventory (Ref only)'!Q977)</f>
        <v/>
      </c>
      <c r="C966" s="298" t="str">
        <f>IF(A966="", "", 'Lighting Inventory (Ref only)'!AO977)</f>
        <v/>
      </c>
      <c r="D966" s="298" t="str">
        <f>IF(B966= "","", Inventory!S974)</f>
        <v/>
      </c>
      <c r="F966" s="298" t="str">
        <f>IF(B966="", "", 'Version Log'!$B$34)</f>
        <v/>
      </c>
      <c r="G966" s="298" t="str">
        <f t="shared" si="60"/>
        <v/>
      </c>
      <c r="H966" s="298" t="str">
        <f t="shared" si="61"/>
        <v/>
      </c>
      <c r="I966" s="298" t="str">
        <f>IF(B966="", "",Inventory!D974)</f>
        <v/>
      </c>
      <c r="J966" s="298" t="str">
        <f>IF(B966="","",IF(Inventory!C974="N","Interior","Exterior"))</f>
        <v/>
      </c>
      <c r="K966" s="298" t="str">
        <f t="shared" si="62"/>
        <v/>
      </c>
      <c r="L966" s="298" t="str">
        <f>IF(B966="", "", Inventory!E974)</f>
        <v/>
      </c>
      <c r="M966" s="298" t="str">
        <f>IF(B966="","",IF(Cool_Type=Lookups!$L$9,Cool_Type,IF(Cool_Type=Lookups!$L$10,Cool_Type,IF(Cool_Type=Lookups!$L$11,Cool_Type,IF(Cool_Type=Lookups!L976,Cool_Type,IF('Project Info and Summary'!$C$20="Electric",CONCATENATE(Cool_Type," ",Heating_Type," Heat"),IF('Project Info and Summary'!$C$20="Non-Electric",CONCATENATE(Cool_Type," ",Heating_Type," Heat"),CONCATENATE(Cool_Type," ",Heating_Type))))))))</f>
        <v/>
      </c>
      <c r="N966" s="298" t="str">
        <f t="shared" si="63"/>
        <v/>
      </c>
      <c r="O966" s="298" t="str">
        <f>IF(B966="", "", 'Lighting Inventory (Ref only)'!G977)</f>
        <v/>
      </c>
      <c r="P966" s="298" t="str">
        <f>IF(B966="", "", 'Lighting Inventory (Ref only)'!E977)</f>
        <v/>
      </c>
      <c r="Q966" s="298" t="str">
        <f>IF(B966="", "", 'Lighting Inventory (Ref only)'!J977)</f>
        <v/>
      </c>
      <c r="R966" s="298" t="str">
        <f>IF(B966="", "",'Lighting Inventory (Ref only)'!K977)</f>
        <v/>
      </c>
      <c r="S966" s="372" t="str">
        <f>IF(B966="", "", 'Lighting Inventory (Ref only)'!G977*'Lighting Inventory (Ref only)'!K977/1000)</f>
        <v/>
      </c>
      <c r="T966" s="298" t="str">
        <f>IF(B966="", "", IF('Lighting Inventory (Ref only)'!I977="", "Light Switch",Inventory!H974))</f>
        <v/>
      </c>
      <c r="X966" s="298" t="str">
        <f>IF(B966="", "", 'Lighting Inventory (Ref only)'!Q977)</f>
        <v/>
      </c>
      <c r="AA966" s="298" t="str">
        <f>IF(B966="", "",'Lighting Inventory (Ref only)'!R977/1000)</f>
        <v/>
      </c>
      <c r="AB966" s="298" t="str">
        <f>IF(B966="", "", Inventory!M974)</f>
        <v/>
      </c>
      <c r="AC966" s="298" t="str">
        <f>IF(B966="", "", 'Lighting Inventory (Ref only)'!T977)</f>
        <v/>
      </c>
      <c r="AD966" s="298" t="str">
        <f>IF(C966="", "", 'Lighting Inventory (Ref only)'!AA977)</f>
        <v/>
      </c>
      <c r="AE966" s="298" t="str">
        <f>IF(B966="", "", 'Lighting Inventory (Ref only)'!U977)</f>
        <v/>
      </c>
      <c r="AF966" s="298" t="str">
        <f>IF(B966="", "",'Lighting Inventory (Ref only)'!W977)</f>
        <v/>
      </c>
      <c r="AH966" s="298" t="str">
        <f>IF(B966="", "",'Lighting Inventory (Ref only)'!Z977)</f>
        <v/>
      </c>
      <c r="AI966" s="298" t="str">
        <f>IF(B966="", "", 'Lighting Inventory (Ref only)'!Y977)</f>
        <v/>
      </c>
      <c r="AJ966" s="298" t="str">
        <f>IF(C966="", "",'Lighting Inventory (Ref only)'!AB977)</f>
        <v/>
      </c>
      <c r="AK966" s="375" t="str">
        <f>IF(B966="", "", 'Lighting Inventory (Ref only)'!AG977)</f>
        <v/>
      </c>
      <c r="AL966" s="375" t="str">
        <f>IF(B966="", "", 'Lighting Inventory (Ref only)'!AD977)</f>
        <v/>
      </c>
      <c r="AM966" s="375" t="str">
        <f>IF(B966="", "", 'Lighting Inventory (Ref only)'!AE977)</f>
        <v/>
      </c>
      <c r="AN966" s="375" t="str">
        <f>IF(B966="", "", 'Lighting Inventory (Ref only)'!AF977)</f>
        <v/>
      </c>
      <c r="AO966" s="375" t="str">
        <f>IF(B966="", "", 'Lighting Inventory (Ref only)'!AG977)</f>
        <v/>
      </c>
    </row>
    <row r="967" spans="1:41">
      <c r="A967" s="298" t="str">
        <f>IF(G967="", "", Lookups!BF969)</f>
        <v/>
      </c>
      <c r="B967" s="298" t="str">
        <f>IF('Lighting Inventory (Ref only)'!Q978="", "", 'Lighting Inventory (Ref only)'!Q978)</f>
        <v/>
      </c>
      <c r="C967" s="298" t="str">
        <f>IF(A967="", "", 'Lighting Inventory (Ref only)'!AO978)</f>
        <v/>
      </c>
      <c r="D967" s="298" t="str">
        <f>IF(B967= "","", Inventory!S975)</f>
        <v/>
      </c>
      <c r="F967" s="298" t="str">
        <f>IF(B967="", "", 'Version Log'!$B$34)</f>
        <v/>
      </c>
      <c r="G967" s="298" t="str">
        <f t="shared" si="60"/>
        <v/>
      </c>
      <c r="H967" s="298" t="str">
        <f t="shared" si="61"/>
        <v/>
      </c>
      <c r="I967" s="298" t="str">
        <f>IF(B967="", "",Inventory!D975)</f>
        <v/>
      </c>
      <c r="J967" s="298" t="str">
        <f>IF(B967="","",IF(Inventory!C975="N","Interior","Exterior"))</f>
        <v/>
      </c>
      <c r="K967" s="298" t="str">
        <f t="shared" si="62"/>
        <v/>
      </c>
      <c r="L967" s="298" t="str">
        <f>IF(B967="", "", Inventory!E975)</f>
        <v/>
      </c>
      <c r="M967" s="298" t="str">
        <f>IF(B967="","",IF(Cool_Type=Lookups!$L$9,Cool_Type,IF(Cool_Type=Lookups!$L$10,Cool_Type,IF(Cool_Type=Lookups!$L$11,Cool_Type,IF(Cool_Type=Lookups!L977,Cool_Type,IF('Project Info and Summary'!$C$20="Electric",CONCATENATE(Cool_Type," ",Heating_Type," Heat"),IF('Project Info and Summary'!$C$20="Non-Electric",CONCATENATE(Cool_Type," ",Heating_Type," Heat"),CONCATENATE(Cool_Type," ",Heating_Type))))))))</f>
        <v/>
      </c>
      <c r="N967" s="298" t="str">
        <f t="shared" si="63"/>
        <v/>
      </c>
      <c r="O967" s="298" t="str">
        <f>IF(B967="", "", 'Lighting Inventory (Ref only)'!G978)</f>
        <v/>
      </c>
      <c r="P967" s="298" t="str">
        <f>IF(B967="", "", 'Lighting Inventory (Ref only)'!E978)</f>
        <v/>
      </c>
      <c r="Q967" s="298" t="str">
        <f>IF(B967="", "", 'Lighting Inventory (Ref only)'!J978)</f>
        <v/>
      </c>
      <c r="R967" s="298" t="str">
        <f>IF(B967="", "",'Lighting Inventory (Ref only)'!K978)</f>
        <v/>
      </c>
      <c r="S967" s="372" t="str">
        <f>IF(B967="", "", 'Lighting Inventory (Ref only)'!G978*'Lighting Inventory (Ref only)'!K978/1000)</f>
        <v/>
      </c>
      <c r="T967" s="298" t="str">
        <f>IF(B967="", "", IF('Lighting Inventory (Ref only)'!I978="", "Light Switch",Inventory!H975))</f>
        <v/>
      </c>
      <c r="X967" s="298" t="str">
        <f>IF(B967="", "", 'Lighting Inventory (Ref only)'!Q978)</f>
        <v/>
      </c>
      <c r="AA967" s="298" t="str">
        <f>IF(B967="", "",'Lighting Inventory (Ref only)'!R978/1000)</f>
        <v/>
      </c>
      <c r="AB967" s="298" t="str">
        <f>IF(B967="", "", Inventory!M975)</f>
        <v/>
      </c>
      <c r="AC967" s="298" t="str">
        <f>IF(B967="", "", 'Lighting Inventory (Ref only)'!T978)</f>
        <v/>
      </c>
      <c r="AD967" s="298" t="str">
        <f>IF(C967="", "", 'Lighting Inventory (Ref only)'!AA978)</f>
        <v/>
      </c>
      <c r="AE967" s="298" t="str">
        <f>IF(B967="", "", 'Lighting Inventory (Ref only)'!U978)</f>
        <v/>
      </c>
      <c r="AF967" s="298" t="str">
        <f>IF(B967="", "",'Lighting Inventory (Ref only)'!W978)</f>
        <v/>
      </c>
      <c r="AH967" s="298" t="str">
        <f>IF(B967="", "",'Lighting Inventory (Ref only)'!Z978)</f>
        <v/>
      </c>
      <c r="AI967" s="298" t="str">
        <f>IF(B967="", "", 'Lighting Inventory (Ref only)'!Y978)</f>
        <v/>
      </c>
      <c r="AJ967" s="298" t="str">
        <f>IF(C967="", "",'Lighting Inventory (Ref only)'!AB978)</f>
        <v/>
      </c>
      <c r="AK967" s="375" t="str">
        <f>IF(B967="", "", 'Lighting Inventory (Ref only)'!AG978)</f>
        <v/>
      </c>
      <c r="AL967" s="375" t="str">
        <f>IF(B967="", "", 'Lighting Inventory (Ref only)'!AD978)</f>
        <v/>
      </c>
      <c r="AM967" s="375" t="str">
        <f>IF(B967="", "", 'Lighting Inventory (Ref only)'!AE978)</f>
        <v/>
      </c>
      <c r="AN967" s="375" t="str">
        <f>IF(B967="", "", 'Lighting Inventory (Ref only)'!AF978)</f>
        <v/>
      </c>
      <c r="AO967" s="375" t="str">
        <f>IF(B967="", "", 'Lighting Inventory (Ref only)'!AG978)</f>
        <v/>
      </c>
    </row>
    <row r="968" spans="1:41">
      <c r="A968" s="298" t="str">
        <f>IF(G968="", "", Lookups!BF970)</f>
        <v/>
      </c>
      <c r="B968" s="298" t="str">
        <f>IF('Lighting Inventory (Ref only)'!Q979="", "", 'Lighting Inventory (Ref only)'!Q979)</f>
        <v/>
      </c>
      <c r="C968" s="298" t="str">
        <f>IF(A968="", "", 'Lighting Inventory (Ref only)'!AO979)</f>
        <v/>
      </c>
      <c r="D968" s="298" t="str">
        <f>IF(B968= "","", Inventory!S976)</f>
        <v/>
      </c>
      <c r="F968" s="298" t="str">
        <f>IF(B968="", "", 'Version Log'!$B$34)</f>
        <v/>
      </c>
      <c r="G968" s="298" t="str">
        <f t="shared" si="60"/>
        <v/>
      </c>
      <c r="H968" s="298" t="str">
        <f t="shared" si="61"/>
        <v/>
      </c>
      <c r="I968" s="298" t="str">
        <f>IF(B968="", "",Inventory!D976)</f>
        <v/>
      </c>
      <c r="J968" s="298" t="str">
        <f>IF(B968="","",IF(Inventory!C976="N","Interior","Exterior"))</f>
        <v/>
      </c>
      <c r="K968" s="298" t="str">
        <f t="shared" si="62"/>
        <v/>
      </c>
      <c r="L968" s="298" t="str">
        <f>IF(B968="", "", Inventory!E976)</f>
        <v/>
      </c>
      <c r="M968" s="298" t="str">
        <f>IF(B968="","",IF(Cool_Type=Lookups!$L$9,Cool_Type,IF(Cool_Type=Lookups!$L$10,Cool_Type,IF(Cool_Type=Lookups!$L$11,Cool_Type,IF(Cool_Type=Lookups!L978,Cool_Type,IF('Project Info and Summary'!$C$20="Electric",CONCATENATE(Cool_Type," ",Heating_Type," Heat"),IF('Project Info and Summary'!$C$20="Non-Electric",CONCATENATE(Cool_Type," ",Heating_Type," Heat"),CONCATENATE(Cool_Type," ",Heating_Type))))))))</f>
        <v/>
      </c>
      <c r="N968" s="298" t="str">
        <f t="shared" si="63"/>
        <v/>
      </c>
      <c r="O968" s="298" t="str">
        <f>IF(B968="", "", 'Lighting Inventory (Ref only)'!G979)</f>
        <v/>
      </c>
      <c r="P968" s="298" t="str">
        <f>IF(B968="", "", 'Lighting Inventory (Ref only)'!E979)</f>
        <v/>
      </c>
      <c r="Q968" s="298" t="str">
        <f>IF(B968="", "", 'Lighting Inventory (Ref only)'!J979)</f>
        <v/>
      </c>
      <c r="R968" s="298" t="str">
        <f>IF(B968="", "",'Lighting Inventory (Ref only)'!K979)</f>
        <v/>
      </c>
      <c r="S968" s="372" t="str">
        <f>IF(B968="", "", 'Lighting Inventory (Ref only)'!G979*'Lighting Inventory (Ref only)'!K979/1000)</f>
        <v/>
      </c>
      <c r="T968" s="298" t="str">
        <f>IF(B968="", "", IF('Lighting Inventory (Ref only)'!I979="", "Light Switch",Inventory!H976))</f>
        <v/>
      </c>
      <c r="X968" s="298" t="str">
        <f>IF(B968="", "", 'Lighting Inventory (Ref only)'!Q979)</f>
        <v/>
      </c>
      <c r="AA968" s="298" t="str">
        <f>IF(B968="", "",'Lighting Inventory (Ref only)'!R979/1000)</f>
        <v/>
      </c>
      <c r="AB968" s="298" t="str">
        <f>IF(B968="", "", Inventory!M976)</f>
        <v/>
      </c>
      <c r="AC968" s="298" t="str">
        <f>IF(B968="", "", 'Lighting Inventory (Ref only)'!T979)</f>
        <v/>
      </c>
      <c r="AD968" s="298" t="str">
        <f>IF(C968="", "", 'Lighting Inventory (Ref only)'!AA979)</f>
        <v/>
      </c>
      <c r="AE968" s="298" t="str">
        <f>IF(B968="", "", 'Lighting Inventory (Ref only)'!U979)</f>
        <v/>
      </c>
      <c r="AF968" s="298" t="str">
        <f>IF(B968="", "",'Lighting Inventory (Ref only)'!W979)</f>
        <v/>
      </c>
      <c r="AH968" s="298" t="str">
        <f>IF(B968="", "",'Lighting Inventory (Ref only)'!Z979)</f>
        <v/>
      </c>
      <c r="AI968" s="298" t="str">
        <f>IF(B968="", "", 'Lighting Inventory (Ref only)'!Y979)</f>
        <v/>
      </c>
      <c r="AJ968" s="298" t="str">
        <f>IF(C968="", "",'Lighting Inventory (Ref only)'!AB979)</f>
        <v/>
      </c>
      <c r="AK968" s="375" t="str">
        <f>IF(B968="", "", 'Lighting Inventory (Ref only)'!AG979)</f>
        <v/>
      </c>
      <c r="AL968" s="375" t="str">
        <f>IF(B968="", "", 'Lighting Inventory (Ref only)'!AD979)</f>
        <v/>
      </c>
      <c r="AM968" s="375" t="str">
        <f>IF(B968="", "", 'Lighting Inventory (Ref only)'!AE979)</f>
        <v/>
      </c>
      <c r="AN968" s="375" t="str">
        <f>IF(B968="", "", 'Lighting Inventory (Ref only)'!AF979)</f>
        <v/>
      </c>
      <c r="AO968" s="375" t="str">
        <f>IF(B968="", "", 'Lighting Inventory (Ref only)'!AG979)</f>
        <v/>
      </c>
    </row>
    <row r="969" spans="1:41">
      <c r="A969" s="298" t="str">
        <f>IF(G969="", "", Lookups!BF971)</f>
        <v/>
      </c>
      <c r="B969" s="298" t="str">
        <f>IF('Lighting Inventory (Ref only)'!Q980="", "", 'Lighting Inventory (Ref only)'!Q980)</f>
        <v/>
      </c>
      <c r="C969" s="298" t="str">
        <f>IF(A969="", "", 'Lighting Inventory (Ref only)'!AO980)</f>
        <v/>
      </c>
      <c r="D969" s="298" t="str">
        <f>IF(B969= "","", Inventory!S977)</f>
        <v/>
      </c>
      <c r="F969" s="298" t="str">
        <f>IF(B969="", "", 'Version Log'!$B$34)</f>
        <v/>
      </c>
      <c r="G969" s="298" t="str">
        <f t="shared" si="60"/>
        <v/>
      </c>
      <c r="H969" s="298" t="str">
        <f t="shared" si="61"/>
        <v/>
      </c>
      <c r="I969" s="298" t="str">
        <f>IF(B969="", "",Inventory!D977)</f>
        <v/>
      </c>
      <c r="J969" s="298" t="str">
        <f>IF(B969="","",IF(Inventory!C977="N","Interior","Exterior"))</f>
        <v/>
      </c>
      <c r="K969" s="298" t="str">
        <f t="shared" si="62"/>
        <v/>
      </c>
      <c r="L969" s="298" t="str">
        <f>IF(B969="", "", Inventory!E977)</f>
        <v/>
      </c>
      <c r="M969" s="298" t="str">
        <f>IF(B969="","",IF(Cool_Type=Lookups!$L$9,Cool_Type,IF(Cool_Type=Lookups!$L$10,Cool_Type,IF(Cool_Type=Lookups!$L$11,Cool_Type,IF(Cool_Type=Lookups!L979,Cool_Type,IF('Project Info and Summary'!$C$20="Electric",CONCATENATE(Cool_Type," ",Heating_Type," Heat"),IF('Project Info and Summary'!$C$20="Non-Electric",CONCATENATE(Cool_Type," ",Heating_Type," Heat"),CONCATENATE(Cool_Type," ",Heating_Type))))))))</f>
        <v/>
      </c>
      <c r="N969" s="298" t="str">
        <f t="shared" si="63"/>
        <v/>
      </c>
      <c r="O969" s="298" t="str">
        <f>IF(B969="", "", 'Lighting Inventory (Ref only)'!G980)</f>
        <v/>
      </c>
      <c r="P969" s="298" t="str">
        <f>IF(B969="", "", 'Lighting Inventory (Ref only)'!E980)</f>
        <v/>
      </c>
      <c r="Q969" s="298" t="str">
        <f>IF(B969="", "", 'Lighting Inventory (Ref only)'!J980)</f>
        <v/>
      </c>
      <c r="R969" s="298" t="str">
        <f>IF(B969="", "",'Lighting Inventory (Ref only)'!K980)</f>
        <v/>
      </c>
      <c r="S969" s="372" t="str">
        <f>IF(B969="", "", 'Lighting Inventory (Ref only)'!G980*'Lighting Inventory (Ref only)'!K980/1000)</f>
        <v/>
      </c>
      <c r="T969" s="298" t="str">
        <f>IF(B969="", "", IF('Lighting Inventory (Ref only)'!I980="", "Light Switch",Inventory!H977))</f>
        <v/>
      </c>
      <c r="X969" s="298" t="str">
        <f>IF(B969="", "", 'Lighting Inventory (Ref only)'!Q980)</f>
        <v/>
      </c>
      <c r="AA969" s="298" t="str">
        <f>IF(B969="", "",'Lighting Inventory (Ref only)'!R980/1000)</f>
        <v/>
      </c>
      <c r="AB969" s="298" t="str">
        <f>IF(B969="", "", Inventory!M977)</f>
        <v/>
      </c>
      <c r="AC969" s="298" t="str">
        <f>IF(B969="", "", 'Lighting Inventory (Ref only)'!T980)</f>
        <v/>
      </c>
      <c r="AD969" s="298" t="str">
        <f>IF(C969="", "", 'Lighting Inventory (Ref only)'!AA980)</f>
        <v/>
      </c>
      <c r="AE969" s="298" t="str">
        <f>IF(B969="", "", 'Lighting Inventory (Ref only)'!U980)</f>
        <v/>
      </c>
      <c r="AF969" s="298" t="str">
        <f>IF(B969="", "",'Lighting Inventory (Ref only)'!W980)</f>
        <v/>
      </c>
      <c r="AH969" s="298" t="str">
        <f>IF(B969="", "",'Lighting Inventory (Ref only)'!Z980)</f>
        <v/>
      </c>
      <c r="AI969" s="298" t="str">
        <f>IF(B969="", "", 'Lighting Inventory (Ref only)'!Y980)</f>
        <v/>
      </c>
      <c r="AJ969" s="298" t="str">
        <f>IF(C969="", "",'Lighting Inventory (Ref only)'!AB980)</f>
        <v/>
      </c>
      <c r="AK969" s="375" t="str">
        <f>IF(B969="", "", 'Lighting Inventory (Ref only)'!AG980)</f>
        <v/>
      </c>
      <c r="AL969" s="375" t="str">
        <f>IF(B969="", "", 'Lighting Inventory (Ref only)'!AD980)</f>
        <v/>
      </c>
      <c r="AM969" s="375" t="str">
        <f>IF(B969="", "", 'Lighting Inventory (Ref only)'!AE980)</f>
        <v/>
      </c>
      <c r="AN969" s="375" t="str">
        <f>IF(B969="", "", 'Lighting Inventory (Ref only)'!AF980)</f>
        <v/>
      </c>
      <c r="AO969" s="375" t="str">
        <f>IF(B969="", "", 'Lighting Inventory (Ref only)'!AG980)</f>
        <v/>
      </c>
    </row>
    <row r="970" spans="1:41">
      <c r="A970" s="298" t="str">
        <f>IF(G970="", "", Lookups!BF972)</f>
        <v/>
      </c>
      <c r="B970" s="298" t="str">
        <f>IF('Lighting Inventory (Ref only)'!Q981="", "", 'Lighting Inventory (Ref only)'!Q981)</f>
        <v/>
      </c>
      <c r="C970" s="298" t="str">
        <f>IF(A970="", "", 'Lighting Inventory (Ref only)'!AO981)</f>
        <v/>
      </c>
      <c r="D970" s="298" t="str">
        <f>IF(B970= "","", Inventory!S978)</f>
        <v/>
      </c>
      <c r="F970" s="298" t="str">
        <f>IF(B970="", "", 'Version Log'!$B$34)</f>
        <v/>
      </c>
      <c r="G970" s="298" t="str">
        <f t="shared" si="60"/>
        <v/>
      </c>
      <c r="H970" s="298" t="str">
        <f t="shared" si="61"/>
        <v/>
      </c>
      <c r="I970" s="298" t="str">
        <f>IF(B970="", "",Inventory!D978)</f>
        <v/>
      </c>
      <c r="J970" s="298" t="str">
        <f>IF(B970="","",IF(Inventory!C978="N","Interior","Exterior"))</f>
        <v/>
      </c>
      <c r="K970" s="298" t="str">
        <f t="shared" si="62"/>
        <v/>
      </c>
      <c r="L970" s="298" t="str">
        <f>IF(B970="", "", Inventory!E978)</f>
        <v/>
      </c>
      <c r="M970" s="298" t="str">
        <f>IF(B970="","",IF(Cool_Type=Lookups!$L$9,Cool_Type,IF(Cool_Type=Lookups!$L$10,Cool_Type,IF(Cool_Type=Lookups!$L$11,Cool_Type,IF(Cool_Type=Lookups!L980,Cool_Type,IF('Project Info and Summary'!$C$20="Electric",CONCATENATE(Cool_Type," ",Heating_Type," Heat"),IF('Project Info and Summary'!$C$20="Non-Electric",CONCATENATE(Cool_Type," ",Heating_Type," Heat"),CONCATENATE(Cool_Type," ",Heating_Type))))))))</f>
        <v/>
      </c>
      <c r="N970" s="298" t="str">
        <f t="shared" si="63"/>
        <v/>
      </c>
      <c r="O970" s="298" t="str">
        <f>IF(B970="", "", 'Lighting Inventory (Ref only)'!G981)</f>
        <v/>
      </c>
      <c r="P970" s="298" t="str">
        <f>IF(B970="", "", 'Lighting Inventory (Ref only)'!E981)</f>
        <v/>
      </c>
      <c r="Q970" s="298" t="str">
        <f>IF(B970="", "", 'Lighting Inventory (Ref only)'!J981)</f>
        <v/>
      </c>
      <c r="R970" s="298" t="str">
        <f>IF(B970="", "",'Lighting Inventory (Ref only)'!K981)</f>
        <v/>
      </c>
      <c r="S970" s="372" t="str">
        <f>IF(B970="", "", 'Lighting Inventory (Ref only)'!G981*'Lighting Inventory (Ref only)'!K981/1000)</f>
        <v/>
      </c>
      <c r="T970" s="298" t="str">
        <f>IF(B970="", "", IF('Lighting Inventory (Ref only)'!I981="", "Light Switch",Inventory!H978))</f>
        <v/>
      </c>
      <c r="X970" s="298" t="str">
        <f>IF(B970="", "", 'Lighting Inventory (Ref only)'!Q981)</f>
        <v/>
      </c>
      <c r="AA970" s="298" t="str">
        <f>IF(B970="", "",'Lighting Inventory (Ref only)'!R981/1000)</f>
        <v/>
      </c>
      <c r="AB970" s="298" t="str">
        <f>IF(B970="", "", Inventory!M978)</f>
        <v/>
      </c>
      <c r="AC970" s="298" t="str">
        <f>IF(B970="", "", 'Lighting Inventory (Ref only)'!T981)</f>
        <v/>
      </c>
      <c r="AD970" s="298" t="str">
        <f>IF(C970="", "", 'Lighting Inventory (Ref only)'!AA981)</f>
        <v/>
      </c>
      <c r="AE970" s="298" t="str">
        <f>IF(B970="", "", 'Lighting Inventory (Ref only)'!U981)</f>
        <v/>
      </c>
      <c r="AF970" s="298" t="str">
        <f>IF(B970="", "",'Lighting Inventory (Ref only)'!W981)</f>
        <v/>
      </c>
      <c r="AH970" s="298" t="str">
        <f>IF(B970="", "",'Lighting Inventory (Ref only)'!Z981)</f>
        <v/>
      </c>
      <c r="AI970" s="298" t="str">
        <f>IF(B970="", "", 'Lighting Inventory (Ref only)'!Y981)</f>
        <v/>
      </c>
      <c r="AJ970" s="298" t="str">
        <f>IF(C970="", "",'Lighting Inventory (Ref only)'!AB981)</f>
        <v/>
      </c>
      <c r="AK970" s="375" t="str">
        <f>IF(B970="", "", 'Lighting Inventory (Ref only)'!AG981)</f>
        <v/>
      </c>
      <c r="AL970" s="375" t="str">
        <f>IF(B970="", "", 'Lighting Inventory (Ref only)'!AD981)</f>
        <v/>
      </c>
      <c r="AM970" s="375" t="str">
        <f>IF(B970="", "", 'Lighting Inventory (Ref only)'!AE981)</f>
        <v/>
      </c>
      <c r="AN970" s="375" t="str">
        <f>IF(B970="", "", 'Lighting Inventory (Ref only)'!AF981)</f>
        <v/>
      </c>
      <c r="AO970" s="375" t="str">
        <f>IF(B970="", "", 'Lighting Inventory (Ref only)'!AG981)</f>
        <v/>
      </c>
    </row>
    <row r="971" spans="1:41">
      <c r="A971" s="298" t="str">
        <f>IF(G971="", "", Lookups!BF973)</f>
        <v/>
      </c>
      <c r="B971" s="298" t="str">
        <f>IF('Lighting Inventory (Ref only)'!Q982="", "", 'Lighting Inventory (Ref only)'!Q982)</f>
        <v/>
      </c>
      <c r="C971" s="298" t="str">
        <f>IF(A971="", "", 'Lighting Inventory (Ref only)'!AO982)</f>
        <v/>
      </c>
      <c r="D971" s="298" t="str">
        <f>IF(B971= "","", Inventory!S979)</f>
        <v/>
      </c>
      <c r="F971" s="298" t="str">
        <f>IF(B971="", "", 'Version Log'!$B$34)</f>
        <v/>
      </c>
      <c r="G971" s="298" t="str">
        <f t="shared" si="60"/>
        <v/>
      </c>
      <c r="H971" s="298" t="str">
        <f t="shared" si="61"/>
        <v/>
      </c>
      <c r="I971" s="298" t="str">
        <f>IF(B971="", "",Inventory!D979)</f>
        <v/>
      </c>
      <c r="J971" s="298" t="str">
        <f>IF(B971="","",IF(Inventory!C979="N","Interior","Exterior"))</f>
        <v/>
      </c>
      <c r="K971" s="298" t="str">
        <f t="shared" si="62"/>
        <v/>
      </c>
      <c r="L971" s="298" t="str">
        <f>IF(B971="", "", Inventory!E979)</f>
        <v/>
      </c>
      <c r="M971" s="298" t="str">
        <f>IF(B971="","",IF(Cool_Type=Lookups!$L$9,Cool_Type,IF(Cool_Type=Lookups!$L$10,Cool_Type,IF(Cool_Type=Lookups!$L$11,Cool_Type,IF(Cool_Type=Lookups!L981,Cool_Type,IF('Project Info and Summary'!$C$20="Electric",CONCATENATE(Cool_Type," ",Heating_Type," Heat"),IF('Project Info and Summary'!$C$20="Non-Electric",CONCATENATE(Cool_Type," ",Heating_Type," Heat"),CONCATENATE(Cool_Type," ",Heating_Type))))))))</f>
        <v/>
      </c>
      <c r="N971" s="298" t="str">
        <f t="shared" si="63"/>
        <v/>
      </c>
      <c r="O971" s="298" t="str">
        <f>IF(B971="", "", 'Lighting Inventory (Ref only)'!G982)</f>
        <v/>
      </c>
      <c r="P971" s="298" t="str">
        <f>IF(B971="", "", 'Lighting Inventory (Ref only)'!E982)</f>
        <v/>
      </c>
      <c r="Q971" s="298" t="str">
        <f>IF(B971="", "", 'Lighting Inventory (Ref only)'!J982)</f>
        <v/>
      </c>
      <c r="R971" s="298" t="str">
        <f>IF(B971="", "",'Lighting Inventory (Ref only)'!K982)</f>
        <v/>
      </c>
      <c r="S971" s="372" t="str">
        <f>IF(B971="", "", 'Lighting Inventory (Ref only)'!G982*'Lighting Inventory (Ref only)'!K982/1000)</f>
        <v/>
      </c>
      <c r="T971" s="298" t="str">
        <f>IF(B971="", "", IF('Lighting Inventory (Ref only)'!I982="", "Light Switch",Inventory!H979))</f>
        <v/>
      </c>
      <c r="X971" s="298" t="str">
        <f>IF(B971="", "", 'Lighting Inventory (Ref only)'!Q982)</f>
        <v/>
      </c>
      <c r="AA971" s="298" t="str">
        <f>IF(B971="", "",'Lighting Inventory (Ref only)'!R982/1000)</f>
        <v/>
      </c>
      <c r="AB971" s="298" t="str">
        <f>IF(B971="", "", Inventory!M979)</f>
        <v/>
      </c>
      <c r="AC971" s="298" t="str">
        <f>IF(B971="", "", 'Lighting Inventory (Ref only)'!T982)</f>
        <v/>
      </c>
      <c r="AD971" s="298" t="str">
        <f>IF(C971="", "", 'Lighting Inventory (Ref only)'!AA982)</f>
        <v/>
      </c>
      <c r="AE971" s="298" t="str">
        <f>IF(B971="", "", 'Lighting Inventory (Ref only)'!U982)</f>
        <v/>
      </c>
      <c r="AF971" s="298" t="str">
        <f>IF(B971="", "",'Lighting Inventory (Ref only)'!W982)</f>
        <v/>
      </c>
      <c r="AH971" s="298" t="str">
        <f>IF(B971="", "",'Lighting Inventory (Ref only)'!Z982)</f>
        <v/>
      </c>
      <c r="AI971" s="298" t="str">
        <f>IF(B971="", "", 'Lighting Inventory (Ref only)'!Y982)</f>
        <v/>
      </c>
      <c r="AJ971" s="298" t="str">
        <f>IF(C971="", "",'Lighting Inventory (Ref only)'!AB982)</f>
        <v/>
      </c>
      <c r="AK971" s="375" t="str">
        <f>IF(B971="", "", 'Lighting Inventory (Ref only)'!AG982)</f>
        <v/>
      </c>
      <c r="AL971" s="375" t="str">
        <f>IF(B971="", "", 'Lighting Inventory (Ref only)'!AD982)</f>
        <v/>
      </c>
      <c r="AM971" s="375" t="str">
        <f>IF(B971="", "", 'Lighting Inventory (Ref only)'!AE982)</f>
        <v/>
      </c>
      <c r="AN971" s="375" t="str">
        <f>IF(B971="", "", 'Lighting Inventory (Ref only)'!AF982)</f>
        <v/>
      </c>
      <c r="AO971" s="375" t="str">
        <f>IF(B971="", "", 'Lighting Inventory (Ref only)'!AG982)</f>
        <v/>
      </c>
    </row>
    <row r="972" spans="1:41">
      <c r="A972" s="298" t="str">
        <f>IF(G972="", "", Lookups!BF974)</f>
        <v/>
      </c>
      <c r="B972" s="298" t="str">
        <f>IF('Lighting Inventory (Ref only)'!Q983="", "", 'Lighting Inventory (Ref only)'!Q983)</f>
        <v/>
      </c>
      <c r="C972" s="298" t="str">
        <f>IF(A972="", "", 'Lighting Inventory (Ref only)'!AO983)</f>
        <v/>
      </c>
      <c r="D972" s="298" t="str">
        <f>IF(B972= "","", Inventory!S980)</f>
        <v/>
      </c>
      <c r="F972" s="298" t="str">
        <f>IF(B972="", "", 'Version Log'!$B$34)</f>
        <v/>
      </c>
      <c r="G972" s="298" t="str">
        <f t="shared" si="60"/>
        <v/>
      </c>
      <c r="H972" s="298" t="str">
        <f t="shared" si="61"/>
        <v/>
      </c>
      <c r="I972" s="298" t="str">
        <f>IF(B972="", "",Inventory!D980)</f>
        <v/>
      </c>
      <c r="J972" s="298" t="str">
        <f>IF(B972="","",IF(Inventory!C980="N","Interior","Exterior"))</f>
        <v/>
      </c>
      <c r="K972" s="298" t="str">
        <f t="shared" si="62"/>
        <v/>
      </c>
      <c r="L972" s="298" t="str">
        <f>IF(B972="", "", Inventory!E980)</f>
        <v/>
      </c>
      <c r="M972" s="298" t="str">
        <f>IF(B972="","",IF(Cool_Type=Lookups!$L$9,Cool_Type,IF(Cool_Type=Lookups!$L$10,Cool_Type,IF(Cool_Type=Lookups!$L$11,Cool_Type,IF(Cool_Type=Lookups!L982,Cool_Type,IF('Project Info and Summary'!$C$20="Electric",CONCATENATE(Cool_Type," ",Heating_Type," Heat"),IF('Project Info and Summary'!$C$20="Non-Electric",CONCATENATE(Cool_Type," ",Heating_Type," Heat"),CONCATENATE(Cool_Type," ",Heating_Type))))))))</f>
        <v/>
      </c>
      <c r="N972" s="298" t="str">
        <f t="shared" si="63"/>
        <v/>
      </c>
      <c r="O972" s="298" t="str">
        <f>IF(B972="", "", 'Lighting Inventory (Ref only)'!G983)</f>
        <v/>
      </c>
      <c r="P972" s="298" t="str">
        <f>IF(B972="", "", 'Lighting Inventory (Ref only)'!E983)</f>
        <v/>
      </c>
      <c r="Q972" s="298" t="str">
        <f>IF(B972="", "", 'Lighting Inventory (Ref only)'!J983)</f>
        <v/>
      </c>
      <c r="R972" s="298" t="str">
        <f>IF(B972="", "",'Lighting Inventory (Ref only)'!K983)</f>
        <v/>
      </c>
      <c r="S972" s="372" t="str">
        <f>IF(B972="", "", 'Lighting Inventory (Ref only)'!G983*'Lighting Inventory (Ref only)'!K983/1000)</f>
        <v/>
      </c>
      <c r="T972" s="298" t="str">
        <f>IF(B972="", "", IF('Lighting Inventory (Ref only)'!I983="", "Light Switch",Inventory!H980))</f>
        <v/>
      </c>
      <c r="X972" s="298" t="str">
        <f>IF(B972="", "", 'Lighting Inventory (Ref only)'!Q983)</f>
        <v/>
      </c>
      <c r="AA972" s="298" t="str">
        <f>IF(B972="", "",'Lighting Inventory (Ref only)'!R983/1000)</f>
        <v/>
      </c>
      <c r="AB972" s="298" t="str">
        <f>IF(B972="", "", Inventory!M980)</f>
        <v/>
      </c>
      <c r="AC972" s="298" t="str">
        <f>IF(B972="", "", 'Lighting Inventory (Ref only)'!T983)</f>
        <v/>
      </c>
      <c r="AD972" s="298" t="str">
        <f>IF(C972="", "", 'Lighting Inventory (Ref only)'!AA983)</f>
        <v/>
      </c>
      <c r="AE972" s="298" t="str">
        <f>IF(B972="", "", 'Lighting Inventory (Ref only)'!U983)</f>
        <v/>
      </c>
      <c r="AF972" s="298" t="str">
        <f>IF(B972="", "",'Lighting Inventory (Ref only)'!W983)</f>
        <v/>
      </c>
      <c r="AH972" s="298" t="str">
        <f>IF(B972="", "",'Lighting Inventory (Ref only)'!Z983)</f>
        <v/>
      </c>
      <c r="AI972" s="298" t="str">
        <f>IF(B972="", "", 'Lighting Inventory (Ref only)'!Y983)</f>
        <v/>
      </c>
      <c r="AJ972" s="298" t="str">
        <f>IF(C972="", "",'Lighting Inventory (Ref only)'!AB983)</f>
        <v/>
      </c>
      <c r="AK972" s="375" t="str">
        <f>IF(B972="", "", 'Lighting Inventory (Ref only)'!AG983)</f>
        <v/>
      </c>
      <c r="AL972" s="375" t="str">
        <f>IF(B972="", "", 'Lighting Inventory (Ref only)'!AD983)</f>
        <v/>
      </c>
      <c r="AM972" s="375" t="str">
        <f>IF(B972="", "", 'Lighting Inventory (Ref only)'!AE983)</f>
        <v/>
      </c>
      <c r="AN972" s="375" t="str">
        <f>IF(B972="", "", 'Lighting Inventory (Ref only)'!AF983)</f>
        <v/>
      </c>
      <c r="AO972" s="375" t="str">
        <f>IF(B972="", "", 'Lighting Inventory (Ref only)'!AG983)</f>
        <v/>
      </c>
    </row>
    <row r="973" spans="1:41">
      <c r="A973" s="298" t="str">
        <f>IF(G973="", "", Lookups!BF975)</f>
        <v/>
      </c>
      <c r="B973" s="298" t="str">
        <f>IF('Lighting Inventory (Ref only)'!Q984="", "", 'Lighting Inventory (Ref only)'!Q984)</f>
        <v/>
      </c>
      <c r="C973" s="298" t="str">
        <f>IF(A973="", "", 'Lighting Inventory (Ref only)'!AO984)</f>
        <v/>
      </c>
      <c r="D973" s="298" t="str">
        <f>IF(B973= "","", Inventory!S981)</f>
        <v/>
      </c>
      <c r="F973" s="298" t="str">
        <f>IF(B973="", "", 'Version Log'!$B$34)</f>
        <v/>
      </c>
      <c r="G973" s="298" t="str">
        <f t="shared" si="60"/>
        <v/>
      </c>
      <c r="H973" s="298" t="str">
        <f t="shared" si="61"/>
        <v/>
      </c>
      <c r="I973" s="298" t="str">
        <f>IF(B973="", "",Inventory!D981)</f>
        <v/>
      </c>
      <c r="J973" s="298" t="str">
        <f>IF(B973="","",IF(Inventory!C981="N","Interior","Exterior"))</f>
        <v/>
      </c>
      <c r="K973" s="298" t="str">
        <f t="shared" si="62"/>
        <v/>
      </c>
      <c r="L973" s="298" t="str">
        <f>IF(B973="", "", Inventory!E981)</f>
        <v/>
      </c>
      <c r="M973" s="298" t="str">
        <f>IF(B973="","",IF(Cool_Type=Lookups!$L$9,Cool_Type,IF(Cool_Type=Lookups!$L$10,Cool_Type,IF(Cool_Type=Lookups!$L$11,Cool_Type,IF(Cool_Type=Lookups!L983,Cool_Type,IF('Project Info and Summary'!$C$20="Electric",CONCATENATE(Cool_Type," ",Heating_Type," Heat"),IF('Project Info and Summary'!$C$20="Non-Electric",CONCATENATE(Cool_Type," ",Heating_Type," Heat"),CONCATENATE(Cool_Type," ",Heating_Type))))))))</f>
        <v/>
      </c>
      <c r="N973" s="298" t="str">
        <f t="shared" si="63"/>
        <v/>
      </c>
      <c r="O973" s="298" t="str">
        <f>IF(B973="", "", 'Lighting Inventory (Ref only)'!G984)</f>
        <v/>
      </c>
      <c r="P973" s="298" t="str">
        <f>IF(B973="", "", 'Lighting Inventory (Ref only)'!E984)</f>
        <v/>
      </c>
      <c r="Q973" s="298" t="str">
        <f>IF(B973="", "", 'Lighting Inventory (Ref only)'!J984)</f>
        <v/>
      </c>
      <c r="R973" s="298" t="str">
        <f>IF(B973="", "",'Lighting Inventory (Ref only)'!K984)</f>
        <v/>
      </c>
      <c r="S973" s="372" t="str">
        <f>IF(B973="", "", 'Lighting Inventory (Ref only)'!G984*'Lighting Inventory (Ref only)'!K984/1000)</f>
        <v/>
      </c>
      <c r="T973" s="298" t="str">
        <f>IF(B973="", "", IF('Lighting Inventory (Ref only)'!I984="", "Light Switch",Inventory!H981))</f>
        <v/>
      </c>
      <c r="X973" s="298" t="str">
        <f>IF(B973="", "", 'Lighting Inventory (Ref only)'!Q984)</f>
        <v/>
      </c>
      <c r="AA973" s="298" t="str">
        <f>IF(B973="", "",'Lighting Inventory (Ref only)'!R984/1000)</f>
        <v/>
      </c>
      <c r="AB973" s="298" t="str">
        <f>IF(B973="", "", Inventory!M981)</f>
        <v/>
      </c>
      <c r="AC973" s="298" t="str">
        <f>IF(B973="", "", 'Lighting Inventory (Ref only)'!T984)</f>
        <v/>
      </c>
      <c r="AD973" s="298" t="str">
        <f>IF(C973="", "", 'Lighting Inventory (Ref only)'!AA984)</f>
        <v/>
      </c>
      <c r="AE973" s="298" t="str">
        <f>IF(B973="", "", 'Lighting Inventory (Ref only)'!U984)</f>
        <v/>
      </c>
      <c r="AF973" s="298" t="str">
        <f>IF(B973="", "",'Lighting Inventory (Ref only)'!W984)</f>
        <v/>
      </c>
      <c r="AH973" s="298" t="str">
        <f>IF(B973="", "",'Lighting Inventory (Ref only)'!Z984)</f>
        <v/>
      </c>
      <c r="AI973" s="298" t="str">
        <f>IF(B973="", "", 'Lighting Inventory (Ref only)'!Y984)</f>
        <v/>
      </c>
      <c r="AJ973" s="298" t="str">
        <f>IF(C973="", "",'Lighting Inventory (Ref only)'!AB984)</f>
        <v/>
      </c>
      <c r="AK973" s="375" t="str">
        <f>IF(B973="", "", 'Lighting Inventory (Ref only)'!AG984)</f>
        <v/>
      </c>
      <c r="AL973" s="375" t="str">
        <f>IF(B973="", "", 'Lighting Inventory (Ref only)'!AD984)</f>
        <v/>
      </c>
      <c r="AM973" s="375" t="str">
        <f>IF(B973="", "", 'Lighting Inventory (Ref only)'!AE984)</f>
        <v/>
      </c>
      <c r="AN973" s="375" t="str">
        <f>IF(B973="", "", 'Lighting Inventory (Ref only)'!AF984)</f>
        <v/>
      </c>
      <c r="AO973" s="375" t="str">
        <f>IF(B973="", "", 'Lighting Inventory (Ref only)'!AG984)</f>
        <v/>
      </c>
    </row>
    <row r="974" spans="1:41">
      <c r="A974" s="298" t="str">
        <f>IF(G974="", "", Lookups!BF976)</f>
        <v/>
      </c>
      <c r="B974" s="298" t="str">
        <f>IF('Lighting Inventory (Ref only)'!Q985="", "", 'Lighting Inventory (Ref only)'!Q985)</f>
        <v/>
      </c>
      <c r="C974" s="298" t="str">
        <f>IF(A974="", "", 'Lighting Inventory (Ref only)'!AO985)</f>
        <v/>
      </c>
      <c r="D974" s="298" t="str">
        <f>IF(B974= "","", Inventory!S982)</f>
        <v/>
      </c>
      <c r="F974" s="298" t="str">
        <f>IF(B974="", "", 'Version Log'!$B$34)</f>
        <v/>
      </c>
      <c r="G974" s="298" t="str">
        <f t="shared" si="60"/>
        <v/>
      </c>
      <c r="H974" s="298" t="str">
        <f t="shared" si="61"/>
        <v/>
      </c>
      <c r="I974" s="298" t="str">
        <f>IF(B974="", "",Inventory!D982)</f>
        <v/>
      </c>
      <c r="J974" s="298" t="str">
        <f>IF(B974="","",IF(Inventory!C982="N","Interior","Exterior"))</f>
        <v/>
      </c>
      <c r="K974" s="298" t="str">
        <f t="shared" si="62"/>
        <v/>
      </c>
      <c r="L974" s="298" t="str">
        <f>IF(B974="", "", Inventory!E982)</f>
        <v/>
      </c>
      <c r="M974" s="298" t="str">
        <f>IF(B974="","",IF(Cool_Type=Lookups!$L$9,Cool_Type,IF(Cool_Type=Lookups!$L$10,Cool_Type,IF(Cool_Type=Lookups!$L$11,Cool_Type,IF(Cool_Type=Lookups!L984,Cool_Type,IF('Project Info and Summary'!$C$20="Electric",CONCATENATE(Cool_Type," ",Heating_Type," Heat"),IF('Project Info and Summary'!$C$20="Non-Electric",CONCATENATE(Cool_Type," ",Heating_Type," Heat"),CONCATENATE(Cool_Type," ",Heating_Type))))))))</f>
        <v/>
      </c>
      <c r="N974" s="298" t="str">
        <f t="shared" si="63"/>
        <v/>
      </c>
      <c r="O974" s="298" t="str">
        <f>IF(B974="", "", 'Lighting Inventory (Ref only)'!G985)</f>
        <v/>
      </c>
      <c r="P974" s="298" t="str">
        <f>IF(B974="", "", 'Lighting Inventory (Ref only)'!E985)</f>
        <v/>
      </c>
      <c r="Q974" s="298" t="str">
        <f>IF(B974="", "", 'Lighting Inventory (Ref only)'!J985)</f>
        <v/>
      </c>
      <c r="R974" s="298" t="str">
        <f>IF(B974="", "",'Lighting Inventory (Ref only)'!K985)</f>
        <v/>
      </c>
      <c r="S974" s="372" t="str">
        <f>IF(B974="", "", 'Lighting Inventory (Ref only)'!G985*'Lighting Inventory (Ref only)'!K985/1000)</f>
        <v/>
      </c>
      <c r="T974" s="298" t="str">
        <f>IF(B974="", "", IF('Lighting Inventory (Ref only)'!I985="", "Light Switch",Inventory!H982))</f>
        <v/>
      </c>
      <c r="X974" s="298" t="str">
        <f>IF(B974="", "", 'Lighting Inventory (Ref only)'!Q985)</f>
        <v/>
      </c>
      <c r="AA974" s="298" t="str">
        <f>IF(B974="", "",'Lighting Inventory (Ref only)'!R985/1000)</f>
        <v/>
      </c>
      <c r="AB974" s="298" t="str">
        <f>IF(B974="", "", Inventory!M982)</f>
        <v/>
      </c>
      <c r="AC974" s="298" t="str">
        <f>IF(B974="", "", 'Lighting Inventory (Ref only)'!T985)</f>
        <v/>
      </c>
      <c r="AD974" s="298" t="str">
        <f>IF(C974="", "", 'Lighting Inventory (Ref only)'!AA985)</f>
        <v/>
      </c>
      <c r="AE974" s="298" t="str">
        <f>IF(B974="", "", 'Lighting Inventory (Ref only)'!U985)</f>
        <v/>
      </c>
      <c r="AF974" s="298" t="str">
        <f>IF(B974="", "",'Lighting Inventory (Ref only)'!W985)</f>
        <v/>
      </c>
      <c r="AH974" s="298" t="str">
        <f>IF(B974="", "",'Lighting Inventory (Ref only)'!Z985)</f>
        <v/>
      </c>
      <c r="AI974" s="298" t="str">
        <f>IF(B974="", "", 'Lighting Inventory (Ref only)'!Y985)</f>
        <v/>
      </c>
      <c r="AJ974" s="298" t="str">
        <f>IF(C974="", "",'Lighting Inventory (Ref only)'!AB985)</f>
        <v/>
      </c>
      <c r="AK974" s="375" t="str">
        <f>IF(B974="", "", 'Lighting Inventory (Ref only)'!AG985)</f>
        <v/>
      </c>
      <c r="AL974" s="375" t="str">
        <f>IF(B974="", "", 'Lighting Inventory (Ref only)'!AD985)</f>
        <v/>
      </c>
      <c r="AM974" s="375" t="str">
        <f>IF(B974="", "", 'Lighting Inventory (Ref only)'!AE985)</f>
        <v/>
      </c>
      <c r="AN974" s="375" t="str">
        <f>IF(B974="", "", 'Lighting Inventory (Ref only)'!AF985)</f>
        <v/>
      </c>
      <c r="AO974" s="375" t="str">
        <f>IF(B974="", "", 'Lighting Inventory (Ref only)'!AG985)</f>
        <v/>
      </c>
    </row>
    <row r="975" spans="1:41">
      <c r="A975" s="298" t="str">
        <f>IF(G975="", "", Lookups!BF977)</f>
        <v/>
      </c>
      <c r="B975" s="298" t="str">
        <f>IF('Lighting Inventory (Ref only)'!Q986="", "", 'Lighting Inventory (Ref only)'!Q986)</f>
        <v/>
      </c>
      <c r="C975" s="298" t="str">
        <f>IF(A975="", "", 'Lighting Inventory (Ref only)'!AO986)</f>
        <v/>
      </c>
      <c r="D975" s="298" t="str">
        <f>IF(B975= "","", Inventory!S983)</f>
        <v/>
      </c>
      <c r="F975" s="298" t="str">
        <f>IF(B975="", "", 'Version Log'!$B$34)</f>
        <v/>
      </c>
      <c r="G975" s="298" t="str">
        <f t="shared" si="60"/>
        <v/>
      </c>
      <c r="H975" s="298" t="str">
        <f t="shared" si="61"/>
        <v/>
      </c>
      <c r="I975" s="298" t="str">
        <f>IF(B975="", "",Inventory!D983)</f>
        <v/>
      </c>
      <c r="J975" s="298" t="str">
        <f>IF(B975="","",IF(Inventory!C983="N","Interior","Exterior"))</f>
        <v/>
      </c>
      <c r="K975" s="298" t="str">
        <f t="shared" si="62"/>
        <v/>
      </c>
      <c r="L975" s="298" t="str">
        <f>IF(B975="", "", Inventory!E983)</f>
        <v/>
      </c>
      <c r="M975" s="298" t="str">
        <f>IF(B975="","",IF(Cool_Type=Lookups!$L$9,Cool_Type,IF(Cool_Type=Lookups!$L$10,Cool_Type,IF(Cool_Type=Lookups!$L$11,Cool_Type,IF(Cool_Type=Lookups!L985,Cool_Type,IF('Project Info and Summary'!$C$20="Electric",CONCATENATE(Cool_Type," ",Heating_Type," Heat"),IF('Project Info and Summary'!$C$20="Non-Electric",CONCATENATE(Cool_Type," ",Heating_Type," Heat"),CONCATENATE(Cool_Type," ",Heating_Type))))))))</f>
        <v/>
      </c>
      <c r="N975" s="298" t="str">
        <f t="shared" si="63"/>
        <v/>
      </c>
      <c r="O975" s="298" t="str">
        <f>IF(B975="", "", 'Lighting Inventory (Ref only)'!G986)</f>
        <v/>
      </c>
      <c r="P975" s="298" t="str">
        <f>IF(B975="", "", 'Lighting Inventory (Ref only)'!E986)</f>
        <v/>
      </c>
      <c r="Q975" s="298" t="str">
        <f>IF(B975="", "", 'Lighting Inventory (Ref only)'!J986)</f>
        <v/>
      </c>
      <c r="R975" s="298" t="str">
        <f>IF(B975="", "",'Lighting Inventory (Ref only)'!K986)</f>
        <v/>
      </c>
      <c r="S975" s="372" t="str">
        <f>IF(B975="", "", 'Lighting Inventory (Ref only)'!G986*'Lighting Inventory (Ref only)'!K986/1000)</f>
        <v/>
      </c>
      <c r="T975" s="298" t="str">
        <f>IF(B975="", "", IF('Lighting Inventory (Ref only)'!I986="", "Light Switch",Inventory!H983))</f>
        <v/>
      </c>
      <c r="X975" s="298" t="str">
        <f>IF(B975="", "", 'Lighting Inventory (Ref only)'!Q986)</f>
        <v/>
      </c>
      <c r="AA975" s="298" t="str">
        <f>IF(B975="", "",'Lighting Inventory (Ref only)'!R986/1000)</f>
        <v/>
      </c>
      <c r="AB975" s="298" t="str">
        <f>IF(B975="", "", Inventory!M983)</f>
        <v/>
      </c>
      <c r="AC975" s="298" t="str">
        <f>IF(B975="", "", 'Lighting Inventory (Ref only)'!T986)</f>
        <v/>
      </c>
      <c r="AD975" s="298" t="str">
        <f>IF(C975="", "", 'Lighting Inventory (Ref only)'!AA986)</f>
        <v/>
      </c>
      <c r="AE975" s="298" t="str">
        <f>IF(B975="", "", 'Lighting Inventory (Ref only)'!U986)</f>
        <v/>
      </c>
      <c r="AF975" s="298" t="str">
        <f>IF(B975="", "",'Lighting Inventory (Ref only)'!W986)</f>
        <v/>
      </c>
      <c r="AH975" s="298" t="str">
        <f>IF(B975="", "",'Lighting Inventory (Ref only)'!Z986)</f>
        <v/>
      </c>
      <c r="AI975" s="298" t="str">
        <f>IF(B975="", "", 'Lighting Inventory (Ref only)'!Y986)</f>
        <v/>
      </c>
      <c r="AJ975" s="298" t="str">
        <f>IF(C975="", "",'Lighting Inventory (Ref only)'!AB986)</f>
        <v/>
      </c>
      <c r="AK975" s="375" t="str">
        <f>IF(B975="", "", 'Lighting Inventory (Ref only)'!AG986)</f>
        <v/>
      </c>
      <c r="AL975" s="375" t="str">
        <f>IF(B975="", "", 'Lighting Inventory (Ref only)'!AD986)</f>
        <v/>
      </c>
      <c r="AM975" s="375" t="str">
        <f>IF(B975="", "", 'Lighting Inventory (Ref only)'!AE986)</f>
        <v/>
      </c>
      <c r="AN975" s="375" t="str">
        <f>IF(B975="", "", 'Lighting Inventory (Ref only)'!AF986)</f>
        <v/>
      </c>
      <c r="AO975" s="375" t="str">
        <f>IF(B975="", "", 'Lighting Inventory (Ref only)'!AG986)</f>
        <v/>
      </c>
    </row>
    <row r="976" spans="1:41">
      <c r="A976" s="298" t="str">
        <f>IF(G976="", "", Lookups!BF978)</f>
        <v/>
      </c>
      <c r="B976" s="298" t="str">
        <f>IF('Lighting Inventory (Ref only)'!Q987="", "", 'Lighting Inventory (Ref only)'!Q987)</f>
        <v/>
      </c>
      <c r="C976" s="298" t="str">
        <f>IF(A976="", "", 'Lighting Inventory (Ref only)'!AO987)</f>
        <v/>
      </c>
      <c r="D976" s="298" t="str">
        <f>IF(B976= "","", Inventory!S984)</f>
        <v/>
      </c>
      <c r="F976" s="298" t="str">
        <f>IF(B976="", "", 'Version Log'!$B$34)</f>
        <v/>
      </c>
      <c r="G976" s="298" t="str">
        <f t="shared" si="60"/>
        <v/>
      </c>
      <c r="H976" s="298" t="str">
        <f t="shared" si="61"/>
        <v/>
      </c>
      <c r="I976" s="298" t="str">
        <f>IF(B976="", "",Inventory!D984)</f>
        <v/>
      </c>
      <c r="J976" s="298" t="str">
        <f>IF(B976="","",IF(Inventory!C984="N","Interior","Exterior"))</f>
        <v/>
      </c>
      <c r="K976" s="298" t="str">
        <f t="shared" si="62"/>
        <v/>
      </c>
      <c r="L976" s="298" t="str">
        <f>IF(B976="", "", Inventory!E984)</f>
        <v/>
      </c>
      <c r="M976" s="298" t="str">
        <f>IF(B976="","",IF(Cool_Type=Lookups!$L$9,Cool_Type,IF(Cool_Type=Lookups!$L$10,Cool_Type,IF(Cool_Type=Lookups!$L$11,Cool_Type,IF(Cool_Type=Lookups!L986,Cool_Type,IF('Project Info and Summary'!$C$20="Electric",CONCATENATE(Cool_Type," ",Heating_Type," Heat"),IF('Project Info and Summary'!$C$20="Non-Electric",CONCATENATE(Cool_Type," ",Heating_Type," Heat"),CONCATENATE(Cool_Type," ",Heating_Type))))))))</f>
        <v/>
      </c>
      <c r="N976" s="298" t="str">
        <f t="shared" si="63"/>
        <v/>
      </c>
      <c r="O976" s="298" t="str">
        <f>IF(B976="", "", 'Lighting Inventory (Ref only)'!G987)</f>
        <v/>
      </c>
      <c r="P976" s="298" t="str">
        <f>IF(B976="", "", 'Lighting Inventory (Ref only)'!E987)</f>
        <v/>
      </c>
      <c r="Q976" s="298" t="str">
        <f>IF(B976="", "", 'Lighting Inventory (Ref only)'!J987)</f>
        <v/>
      </c>
      <c r="R976" s="298" t="str">
        <f>IF(B976="", "",'Lighting Inventory (Ref only)'!K987)</f>
        <v/>
      </c>
      <c r="S976" s="372" t="str">
        <f>IF(B976="", "", 'Lighting Inventory (Ref only)'!G987*'Lighting Inventory (Ref only)'!K987/1000)</f>
        <v/>
      </c>
      <c r="T976" s="298" t="str">
        <f>IF(B976="", "", IF('Lighting Inventory (Ref only)'!I987="", "Light Switch",Inventory!H984))</f>
        <v/>
      </c>
      <c r="X976" s="298" t="str">
        <f>IF(B976="", "", 'Lighting Inventory (Ref only)'!Q987)</f>
        <v/>
      </c>
      <c r="AA976" s="298" t="str">
        <f>IF(B976="", "",'Lighting Inventory (Ref only)'!R987/1000)</f>
        <v/>
      </c>
      <c r="AB976" s="298" t="str">
        <f>IF(B976="", "", Inventory!M984)</f>
        <v/>
      </c>
      <c r="AC976" s="298" t="str">
        <f>IF(B976="", "", 'Lighting Inventory (Ref only)'!T987)</f>
        <v/>
      </c>
      <c r="AD976" s="298" t="str">
        <f>IF(C976="", "", 'Lighting Inventory (Ref only)'!AA987)</f>
        <v/>
      </c>
      <c r="AE976" s="298" t="str">
        <f>IF(B976="", "", 'Lighting Inventory (Ref only)'!U987)</f>
        <v/>
      </c>
      <c r="AF976" s="298" t="str">
        <f>IF(B976="", "",'Lighting Inventory (Ref only)'!W987)</f>
        <v/>
      </c>
      <c r="AH976" s="298" t="str">
        <f>IF(B976="", "",'Lighting Inventory (Ref only)'!Z987)</f>
        <v/>
      </c>
      <c r="AI976" s="298" t="str">
        <f>IF(B976="", "", 'Lighting Inventory (Ref only)'!Y987)</f>
        <v/>
      </c>
      <c r="AJ976" s="298" t="str">
        <f>IF(C976="", "",'Lighting Inventory (Ref only)'!AB987)</f>
        <v/>
      </c>
      <c r="AK976" s="375" t="str">
        <f>IF(B976="", "", 'Lighting Inventory (Ref only)'!AG987)</f>
        <v/>
      </c>
      <c r="AL976" s="375" t="str">
        <f>IF(B976="", "", 'Lighting Inventory (Ref only)'!AD987)</f>
        <v/>
      </c>
      <c r="AM976" s="375" t="str">
        <f>IF(B976="", "", 'Lighting Inventory (Ref only)'!AE987)</f>
        <v/>
      </c>
      <c r="AN976" s="375" t="str">
        <f>IF(B976="", "", 'Lighting Inventory (Ref only)'!AF987)</f>
        <v/>
      </c>
      <c r="AO976" s="375" t="str">
        <f>IF(B976="", "", 'Lighting Inventory (Ref only)'!AG987)</f>
        <v/>
      </c>
    </row>
    <row r="977" spans="1:41">
      <c r="A977" s="298" t="str">
        <f>IF(G977="", "", Lookups!BF979)</f>
        <v/>
      </c>
      <c r="B977" s="298" t="str">
        <f>IF('Lighting Inventory (Ref only)'!Q988="", "", 'Lighting Inventory (Ref only)'!Q988)</f>
        <v/>
      </c>
      <c r="C977" s="298" t="str">
        <f>IF(A977="", "", 'Lighting Inventory (Ref only)'!AO988)</f>
        <v/>
      </c>
      <c r="D977" s="298" t="str">
        <f>IF(B977= "","", Inventory!S985)</f>
        <v/>
      </c>
      <c r="F977" s="298" t="str">
        <f>IF(B977="", "", 'Version Log'!$B$34)</f>
        <v/>
      </c>
      <c r="G977" s="298" t="str">
        <f t="shared" si="60"/>
        <v/>
      </c>
      <c r="H977" s="298" t="str">
        <f t="shared" si="61"/>
        <v/>
      </c>
      <c r="I977" s="298" t="str">
        <f>IF(B977="", "",Inventory!D985)</f>
        <v/>
      </c>
      <c r="J977" s="298" t="str">
        <f>IF(B977="","",IF(Inventory!C985="N","Interior","Exterior"))</f>
        <v/>
      </c>
      <c r="K977" s="298" t="str">
        <f t="shared" si="62"/>
        <v/>
      </c>
      <c r="L977" s="298" t="str">
        <f>IF(B977="", "", Inventory!E985)</f>
        <v/>
      </c>
      <c r="M977" s="298" t="str">
        <f>IF(B977="","",IF(Cool_Type=Lookups!$L$9,Cool_Type,IF(Cool_Type=Lookups!$L$10,Cool_Type,IF(Cool_Type=Lookups!$L$11,Cool_Type,IF(Cool_Type=Lookups!L987,Cool_Type,IF('Project Info and Summary'!$C$20="Electric",CONCATENATE(Cool_Type," ",Heating_Type," Heat"),IF('Project Info and Summary'!$C$20="Non-Electric",CONCATENATE(Cool_Type," ",Heating_Type," Heat"),CONCATENATE(Cool_Type," ",Heating_Type))))))))</f>
        <v/>
      </c>
      <c r="N977" s="298" t="str">
        <f t="shared" si="63"/>
        <v/>
      </c>
      <c r="O977" s="298" t="str">
        <f>IF(B977="", "", 'Lighting Inventory (Ref only)'!G988)</f>
        <v/>
      </c>
      <c r="P977" s="298" t="str">
        <f>IF(B977="", "", 'Lighting Inventory (Ref only)'!E988)</f>
        <v/>
      </c>
      <c r="Q977" s="298" t="str">
        <f>IF(B977="", "", 'Lighting Inventory (Ref only)'!J988)</f>
        <v/>
      </c>
      <c r="R977" s="298" t="str">
        <f>IF(B977="", "",'Lighting Inventory (Ref only)'!K988)</f>
        <v/>
      </c>
      <c r="S977" s="372" t="str">
        <f>IF(B977="", "", 'Lighting Inventory (Ref only)'!G988*'Lighting Inventory (Ref only)'!K988/1000)</f>
        <v/>
      </c>
      <c r="T977" s="298" t="str">
        <f>IF(B977="", "", IF('Lighting Inventory (Ref only)'!I988="", "Light Switch",Inventory!H985))</f>
        <v/>
      </c>
      <c r="X977" s="298" t="str">
        <f>IF(B977="", "", 'Lighting Inventory (Ref only)'!Q988)</f>
        <v/>
      </c>
      <c r="AA977" s="298" t="str">
        <f>IF(B977="", "",'Lighting Inventory (Ref only)'!R988/1000)</f>
        <v/>
      </c>
      <c r="AB977" s="298" t="str">
        <f>IF(B977="", "", Inventory!M985)</f>
        <v/>
      </c>
      <c r="AC977" s="298" t="str">
        <f>IF(B977="", "", 'Lighting Inventory (Ref only)'!T988)</f>
        <v/>
      </c>
      <c r="AD977" s="298" t="str">
        <f>IF(C977="", "", 'Lighting Inventory (Ref only)'!AA988)</f>
        <v/>
      </c>
      <c r="AE977" s="298" t="str">
        <f>IF(B977="", "", 'Lighting Inventory (Ref only)'!U988)</f>
        <v/>
      </c>
      <c r="AF977" s="298" t="str">
        <f>IF(B977="", "",'Lighting Inventory (Ref only)'!W988)</f>
        <v/>
      </c>
      <c r="AH977" s="298" t="str">
        <f>IF(B977="", "",'Lighting Inventory (Ref only)'!Z988)</f>
        <v/>
      </c>
      <c r="AI977" s="298" t="str">
        <f>IF(B977="", "", 'Lighting Inventory (Ref only)'!Y988)</f>
        <v/>
      </c>
      <c r="AJ977" s="298" t="str">
        <f>IF(C977="", "",'Lighting Inventory (Ref only)'!AB988)</f>
        <v/>
      </c>
      <c r="AK977" s="375" t="str">
        <f>IF(B977="", "", 'Lighting Inventory (Ref only)'!AG988)</f>
        <v/>
      </c>
      <c r="AL977" s="375" t="str">
        <f>IF(B977="", "", 'Lighting Inventory (Ref only)'!AD988)</f>
        <v/>
      </c>
      <c r="AM977" s="375" t="str">
        <f>IF(B977="", "", 'Lighting Inventory (Ref only)'!AE988)</f>
        <v/>
      </c>
      <c r="AN977" s="375" t="str">
        <f>IF(B977="", "", 'Lighting Inventory (Ref only)'!AF988)</f>
        <v/>
      </c>
      <c r="AO977" s="375" t="str">
        <f>IF(B977="", "", 'Lighting Inventory (Ref only)'!AG988)</f>
        <v/>
      </c>
    </row>
    <row r="978" spans="1:41">
      <c r="A978" s="298" t="str">
        <f>IF(G978="", "", Lookups!BF980)</f>
        <v/>
      </c>
      <c r="B978" s="298" t="str">
        <f>IF('Lighting Inventory (Ref only)'!Q989="", "", 'Lighting Inventory (Ref only)'!Q989)</f>
        <v/>
      </c>
      <c r="C978" s="298" t="str">
        <f>IF(A978="", "", 'Lighting Inventory (Ref only)'!AO989)</f>
        <v/>
      </c>
      <c r="D978" s="298" t="str">
        <f>IF(B978= "","", Inventory!S986)</f>
        <v/>
      </c>
      <c r="F978" s="298" t="str">
        <f>IF(B978="", "", 'Version Log'!$B$34)</f>
        <v/>
      </c>
      <c r="G978" s="298" t="str">
        <f t="shared" si="60"/>
        <v/>
      </c>
      <c r="H978" s="298" t="str">
        <f t="shared" si="61"/>
        <v/>
      </c>
      <c r="I978" s="298" t="str">
        <f>IF(B978="", "",Inventory!D986)</f>
        <v/>
      </c>
      <c r="J978" s="298" t="str">
        <f>IF(B978="","",IF(Inventory!C986="N","Interior","Exterior"))</f>
        <v/>
      </c>
      <c r="K978" s="298" t="str">
        <f t="shared" si="62"/>
        <v/>
      </c>
      <c r="L978" s="298" t="str">
        <f>IF(B978="", "", Inventory!E986)</f>
        <v/>
      </c>
      <c r="M978" s="298" t="str">
        <f>IF(B978="","",IF(Cool_Type=Lookups!$L$9,Cool_Type,IF(Cool_Type=Lookups!$L$10,Cool_Type,IF(Cool_Type=Lookups!$L$11,Cool_Type,IF(Cool_Type=Lookups!L988,Cool_Type,IF('Project Info and Summary'!$C$20="Electric",CONCATENATE(Cool_Type," ",Heating_Type," Heat"),IF('Project Info and Summary'!$C$20="Non-Electric",CONCATENATE(Cool_Type," ",Heating_Type," Heat"),CONCATENATE(Cool_Type," ",Heating_Type))))))))</f>
        <v/>
      </c>
      <c r="N978" s="298" t="str">
        <f t="shared" si="63"/>
        <v/>
      </c>
      <c r="O978" s="298" t="str">
        <f>IF(B978="", "", 'Lighting Inventory (Ref only)'!G989)</f>
        <v/>
      </c>
      <c r="P978" s="298" t="str">
        <f>IF(B978="", "", 'Lighting Inventory (Ref only)'!E989)</f>
        <v/>
      </c>
      <c r="Q978" s="298" t="str">
        <f>IF(B978="", "", 'Lighting Inventory (Ref only)'!J989)</f>
        <v/>
      </c>
      <c r="R978" s="298" t="str">
        <f>IF(B978="", "",'Lighting Inventory (Ref only)'!K989)</f>
        <v/>
      </c>
      <c r="S978" s="372" t="str">
        <f>IF(B978="", "", 'Lighting Inventory (Ref only)'!G989*'Lighting Inventory (Ref only)'!K989/1000)</f>
        <v/>
      </c>
      <c r="T978" s="298" t="str">
        <f>IF(B978="", "", IF('Lighting Inventory (Ref only)'!I989="", "Light Switch",Inventory!H986))</f>
        <v/>
      </c>
      <c r="X978" s="298" t="str">
        <f>IF(B978="", "", 'Lighting Inventory (Ref only)'!Q989)</f>
        <v/>
      </c>
      <c r="AA978" s="298" t="str">
        <f>IF(B978="", "",'Lighting Inventory (Ref only)'!R989/1000)</f>
        <v/>
      </c>
      <c r="AB978" s="298" t="str">
        <f>IF(B978="", "", Inventory!M986)</f>
        <v/>
      </c>
      <c r="AC978" s="298" t="str">
        <f>IF(B978="", "", 'Lighting Inventory (Ref only)'!T989)</f>
        <v/>
      </c>
      <c r="AD978" s="298" t="str">
        <f>IF(C978="", "", 'Lighting Inventory (Ref only)'!AA989)</f>
        <v/>
      </c>
      <c r="AE978" s="298" t="str">
        <f>IF(B978="", "", 'Lighting Inventory (Ref only)'!U989)</f>
        <v/>
      </c>
      <c r="AF978" s="298" t="str">
        <f>IF(B978="", "",'Lighting Inventory (Ref only)'!W989)</f>
        <v/>
      </c>
      <c r="AH978" s="298" t="str">
        <f>IF(B978="", "",'Lighting Inventory (Ref only)'!Z989)</f>
        <v/>
      </c>
      <c r="AI978" s="298" t="str">
        <f>IF(B978="", "", 'Lighting Inventory (Ref only)'!Y989)</f>
        <v/>
      </c>
      <c r="AJ978" s="298" t="str">
        <f>IF(C978="", "",'Lighting Inventory (Ref only)'!AB989)</f>
        <v/>
      </c>
      <c r="AK978" s="375" t="str">
        <f>IF(B978="", "", 'Lighting Inventory (Ref only)'!AG989)</f>
        <v/>
      </c>
      <c r="AL978" s="375" t="str">
        <f>IF(B978="", "", 'Lighting Inventory (Ref only)'!AD989)</f>
        <v/>
      </c>
      <c r="AM978" s="375" t="str">
        <f>IF(B978="", "", 'Lighting Inventory (Ref only)'!AE989)</f>
        <v/>
      </c>
      <c r="AN978" s="375" t="str">
        <f>IF(B978="", "", 'Lighting Inventory (Ref only)'!AF989)</f>
        <v/>
      </c>
      <c r="AO978" s="375" t="str">
        <f>IF(B978="", "", 'Lighting Inventory (Ref only)'!AG989)</f>
        <v/>
      </c>
    </row>
    <row r="979" spans="1:41">
      <c r="A979" s="298" t="str">
        <f>IF(G979="", "", Lookups!BF981)</f>
        <v/>
      </c>
      <c r="B979" s="298" t="str">
        <f>IF('Lighting Inventory (Ref only)'!Q990="", "", 'Lighting Inventory (Ref only)'!Q990)</f>
        <v/>
      </c>
      <c r="C979" s="298" t="str">
        <f>IF(A979="", "", 'Lighting Inventory (Ref only)'!AO990)</f>
        <v/>
      </c>
      <c r="D979" s="298" t="str">
        <f>IF(B979= "","", Inventory!S987)</f>
        <v/>
      </c>
      <c r="F979" s="298" t="str">
        <f>IF(B979="", "", 'Version Log'!$B$34)</f>
        <v/>
      </c>
      <c r="G979" s="298" t="str">
        <f t="shared" si="60"/>
        <v/>
      </c>
      <c r="H979" s="298" t="str">
        <f t="shared" si="61"/>
        <v/>
      </c>
      <c r="I979" s="298" t="str">
        <f>IF(B979="", "",Inventory!D987)</f>
        <v/>
      </c>
      <c r="J979" s="298" t="str">
        <f>IF(B979="","",IF(Inventory!C987="N","Interior","Exterior"))</f>
        <v/>
      </c>
      <c r="K979" s="298" t="str">
        <f t="shared" si="62"/>
        <v/>
      </c>
      <c r="L979" s="298" t="str">
        <f>IF(B979="", "", Inventory!E987)</f>
        <v/>
      </c>
      <c r="M979" s="298" t="str">
        <f>IF(B979="","",IF(Cool_Type=Lookups!$L$9,Cool_Type,IF(Cool_Type=Lookups!$L$10,Cool_Type,IF(Cool_Type=Lookups!$L$11,Cool_Type,IF(Cool_Type=Lookups!L989,Cool_Type,IF('Project Info and Summary'!$C$20="Electric",CONCATENATE(Cool_Type," ",Heating_Type," Heat"),IF('Project Info and Summary'!$C$20="Non-Electric",CONCATENATE(Cool_Type," ",Heating_Type," Heat"),CONCATENATE(Cool_Type," ",Heating_Type))))))))</f>
        <v/>
      </c>
      <c r="N979" s="298" t="str">
        <f t="shared" si="63"/>
        <v/>
      </c>
      <c r="O979" s="298" t="str">
        <f>IF(B979="", "", 'Lighting Inventory (Ref only)'!G990)</f>
        <v/>
      </c>
      <c r="P979" s="298" t="str">
        <f>IF(B979="", "", 'Lighting Inventory (Ref only)'!E990)</f>
        <v/>
      </c>
      <c r="Q979" s="298" t="str">
        <f>IF(B979="", "", 'Lighting Inventory (Ref only)'!J990)</f>
        <v/>
      </c>
      <c r="R979" s="298" t="str">
        <f>IF(B979="", "",'Lighting Inventory (Ref only)'!K990)</f>
        <v/>
      </c>
      <c r="S979" s="372" t="str">
        <f>IF(B979="", "", 'Lighting Inventory (Ref only)'!G990*'Lighting Inventory (Ref only)'!K990/1000)</f>
        <v/>
      </c>
      <c r="T979" s="298" t="str">
        <f>IF(B979="", "", IF('Lighting Inventory (Ref only)'!I990="", "Light Switch",Inventory!H987))</f>
        <v/>
      </c>
      <c r="X979" s="298" t="str">
        <f>IF(B979="", "", 'Lighting Inventory (Ref only)'!Q990)</f>
        <v/>
      </c>
      <c r="AA979" s="298" t="str">
        <f>IF(B979="", "",'Lighting Inventory (Ref only)'!R990/1000)</f>
        <v/>
      </c>
      <c r="AB979" s="298" t="str">
        <f>IF(B979="", "", Inventory!M987)</f>
        <v/>
      </c>
      <c r="AC979" s="298" t="str">
        <f>IF(B979="", "", 'Lighting Inventory (Ref only)'!T990)</f>
        <v/>
      </c>
      <c r="AD979" s="298" t="str">
        <f>IF(C979="", "", 'Lighting Inventory (Ref only)'!AA990)</f>
        <v/>
      </c>
      <c r="AE979" s="298" t="str">
        <f>IF(B979="", "", 'Lighting Inventory (Ref only)'!U990)</f>
        <v/>
      </c>
      <c r="AF979" s="298" t="str">
        <f>IF(B979="", "",'Lighting Inventory (Ref only)'!W990)</f>
        <v/>
      </c>
      <c r="AH979" s="298" t="str">
        <f>IF(B979="", "",'Lighting Inventory (Ref only)'!Z990)</f>
        <v/>
      </c>
      <c r="AI979" s="298" t="str">
        <f>IF(B979="", "", 'Lighting Inventory (Ref only)'!Y990)</f>
        <v/>
      </c>
      <c r="AJ979" s="298" t="str">
        <f>IF(C979="", "",'Lighting Inventory (Ref only)'!AB990)</f>
        <v/>
      </c>
      <c r="AK979" s="375" t="str">
        <f>IF(B979="", "", 'Lighting Inventory (Ref only)'!AG990)</f>
        <v/>
      </c>
      <c r="AL979" s="375" t="str">
        <f>IF(B979="", "", 'Lighting Inventory (Ref only)'!AD990)</f>
        <v/>
      </c>
      <c r="AM979" s="375" t="str">
        <f>IF(B979="", "", 'Lighting Inventory (Ref only)'!AE990)</f>
        <v/>
      </c>
      <c r="AN979" s="375" t="str">
        <f>IF(B979="", "", 'Lighting Inventory (Ref only)'!AF990)</f>
        <v/>
      </c>
      <c r="AO979" s="375" t="str">
        <f>IF(B979="", "", 'Lighting Inventory (Ref only)'!AG990)</f>
        <v/>
      </c>
    </row>
    <row r="980" spans="1:41">
      <c r="A980" s="298" t="str">
        <f>IF(G980="", "", Lookups!BF982)</f>
        <v/>
      </c>
      <c r="B980" s="298" t="str">
        <f>IF('Lighting Inventory (Ref only)'!Q991="", "", 'Lighting Inventory (Ref only)'!Q991)</f>
        <v/>
      </c>
      <c r="C980" s="298" t="str">
        <f>IF(A980="", "", 'Lighting Inventory (Ref only)'!AO991)</f>
        <v/>
      </c>
      <c r="D980" s="298" t="str">
        <f>IF(B980= "","", Inventory!S988)</f>
        <v/>
      </c>
      <c r="F980" s="298" t="str">
        <f>IF(B980="", "", 'Version Log'!$B$34)</f>
        <v/>
      </c>
      <c r="G980" s="298" t="str">
        <f t="shared" si="60"/>
        <v/>
      </c>
      <c r="H980" s="298" t="str">
        <f t="shared" si="61"/>
        <v/>
      </c>
      <c r="I980" s="298" t="str">
        <f>IF(B980="", "",Inventory!D988)</f>
        <v/>
      </c>
      <c r="J980" s="298" t="str">
        <f>IF(B980="","",IF(Inventory!C988="N","Interior","Exterior"))</f>
        <v/>
      </c>
      <c r="K980" s="298" t="str">
        <f t="shared" si="62"/>
        <v/>
      </c>
      <c r="L980" s="298" t="str">
        <f>IF(B980="", "", Inventory!E988)</f>
        <v/>
      </c>
      <c r="M980" s="298" t="str">
        <f>IF(B980="","",IF(Cool_Type=Lookups!$L$9,Cool_Type,IF(Cool_Type=Lookups!$L$10,Cool_Type,IF(Cool_Type=Lookups!$L$11,Cool_Type,IF(Cool_Type=Lookups!L990,Cool_Type,IF('Project Info and Summary'!$C$20="Electric",CONCATENATE(Cool_Type," ",Heating_Type," Heat"),IF('Project Info and Summary'!$C$20="Non-Electric",CONCATENATE(Cool_Type," ",Heating_Type," Heat"),CONCATENATE(Cool_Type," ",Heating_Type))))))))</f>
        <v/>
      </c>
      <c r="N980" s="298" t="str">
        <f t="shared" si="63"/>
        <v/>
      </c>
      <c r="O980" s="298" t="str">
        <f>IF(B980="", "", 'Lighting Inventory (Ref only)'!G991)</f>
        <v/>
      </c>
      <c r="P980" s="298" t="str">
        <f>IF(B980="", "", 'Lighting Inventory (Ref only)'!E991)</f>
        <v/>
      </c>
      <c r="Q980" s="298" t="str">
        <f>IF(B980="", "", 'Lighting Inventory (Ref only)'!J991)</f>
        <v/>
      </c>
      <c r="R980" s="298" t="str">
        <f>IF(B980="", "",'Lighting Inventory (Ref only)'!K991)</f>
        <v/>
      </c>
      <c r="S980" s="372" t="str">
        <f>IF(B980="", "", 'Lighting Inventory (Ref only)'!G991*'Lighting Inventory (Ref only)'!K991/1000)</f>
        <v/>
      </c>
      <c r="T980" s="298" t="str">
        <f>IF(B980="", "", IF('Lighting Inventory (Ref only)'!I991="", "Light Switch",Inventory!H988))</f>
        <v/>
      </c>
      <c r="X980" s="298" t="str">
        <f>IF(B980="", "", 'Lighting Inventory (Ref only)'!Q991)</f>
        <v/>
      </c>
      <c r="AA980" s="298" t="str">
        <f>IF(B980="", "",'Lighting Inventory (Ref only)'!R991/1000)</f>
        <v/>
      </c>
      <c r="AB980" s="298" t="str">
        <f>IF(B980="", "", Inventory!M988)</f>
        <v/>
      </c>
      <c r="AC980" s="298" t="str">
        <f>IF(B980="", "", 'Lighting Inventory (Ref only)'!T991)</f>
        <v/>
      </c>
      <c r="AD980" s="298" t="str">
        <f>IF(C980="", "", 'Lighting Inventory (Ref only)'!AA991)</f>
        <v/>
      </c>
      <c r="AE980" s="298" t="str">
        <f>IF(B980="", "", 'Lighting Inventory (Ref only)'!U991)</f>
        <v/>
      </c>
      <c r="AF980" s="298" t="str">
        <f>IF(B980="", "",'Lighting Inventory (Ref only)'!W991)</f>
        <v/>
      </c>
      <c r="AH980" s="298" t="str">
        <f>IF(B980="", "",'Lighting Inventory (Ref only)'!Z991)</f>
        <v/>
      </c>
      <c r="AI980" s="298" t="str">
        <f>IF(B980="", "", 'Lighting Inventory (Ref only)'!Y991)</f>
        <v/>
      </c>
      <c r="AJ980" s="298" t="str">
        <f>IF(C980="", "",'Lighting Inventory (Ref only)'!AB991)</f>
        <v/>
      </c>
      <c r="AK980" s="375" t="str">
        <f>IF(B980="", "", 'Lighting Inventory (Ref only)'!AG991)</f>
        <v/>
      </c>
      <c r="AL980" s="375" t="str">
        <f>IF(B980="", "", 'Lighting Inventory (Ref only)'!AD991)</f>
        <v/>
      </c>
      <c r="AM980" s="375" t="str">
        <f>IF(B980="", "", 'Lighting Inventory (Ref only)'!AE991)</f>
        <v/>
      </c>
      <c r="AN980" s="375" t="str">
        <f>IF(B980="", "", 'Lighting Inventory (Ref only)'!AF991)</f>
        <v/>
      </c>
      <c r="AO980" s="375" t="str">
        <f>IF(B980="", "", 'Lighting Inventory (Ref only)'!AG991)</f>
        <v/>
      </c>
    </row>
    <row r="981" spans="1:41">
      <c r="A981" s="298" t="str">
        <f>IF(G981="", "", Lookups!BF983)</f>
        <v/>
      </c>
      <c r="B981" s="298" t="str">
        <f>IF('Lighting Inventory (Ref only)'!Q992="", "", 'Lighting Inventory (Ref only)'!Q992)</f>
        <v/>
      </c>
      <c r="C981" s="298" t="str">
        <f>IF(A981="", "", 'Lighting Inventory (Ref only)'!AO992)</f>
        <v/>
      </c>
      <c r="D981" s="298" t="str">
        <f>IF(B981= "","", Inventory!S989)</f>
        <v/>
      </c>
      <c r="F981" s="298" t="str">
        <f>IF(B981="", "", 'Version Log'!$B$34)</f>
        <v/>
      </c>
      <c r="G981" s="298" t="str">
        <f t="shared" si="60"/>
        <v/>
      </c>
      <c r="H981" s="298" t="str">
        <f t="shared" si="61"/>
        <v/>
      </c>
      <c r="I981" s="298" t="str">
        <f>IF(B981="", "",Inventory!D989)</f>
        <v/>
      </c>
      <c r="J981" s="298" t="str">
        <f>IF(B981="","",IF(Inventory!C989="N","Interior","Exterior"))</f>
        <v/>
      </c>
      <c r="K981" s="298" t="str">
        <f t="shared" si="62"/>
        <v/>
      </c>
      <c r="L981" s="298" t="str">
        <f>IF(B981="", "", Inventory!E989)</f>
        <v/>
      </c>
      <c r="M981" s="298" t="str">
        <f>IF(B981="","",IF(Cool_Type=Lookups!$L$9,Cool_Type,IF(Cool_Type=Lookups!$L$10,Cool_Type,IF(Cool_Type=Lookups!$L$11,Cool_Type,IF(Cool_Type=Lookups!L991,Cool_Type,IF('Project Info and Summary'!$C$20="Electric",CONCATENATE(Cool_Type," ",Heating_Type," Heat"),IF('Project Info and Summary'!$C$20="Non-Electric",CONCATENATE(Cool_Type," ",Heating_Type," Heat"),CONCATENATE(Cool_Type," ",Heating_Type))))))))</f>
        <v/>
      </c>
      <c r="N981" s="298" t="str">
        <f t="shared" si="63"/>
        <v/>
      </c>
      <c r="O981" s="298" t="str">
        <f>IF(B981="", "", 'Lighting Inventory (Ref only)'!G992)</f>
        <v/>
      </c>
      <c r="P981" s="298" t="str">
        <f>IF(B981="", "", 'Lighting Inventory (Ref only)'!E992)</f>
        <v/>
      </c>
      <c r="Q981" s="298" t="str">
        <f>IF(B981="", "", 'Lighting Inventory (Ref only)'!J992)</f>
        <v/>
      </c>
      <c r="R981" s="298" t="str">
        <f>IF(B981="", "",'Lighting Inventory (Ref only)'!K992)</f>
        <v/>
      </c>
      <c r="S981" s="372" t="str">
        <f>IF(B981="", "", 'Lighting Inventory (Ref only)'!G992*'Lighting Inventory (Ref only)'!K992/1000)</f>
        <v/>
      </c>
      <c r="T981" s="298" t="str">
        <f>IF(B981="", "", IF('Lighting Inventory (Ref only)'!I992="", "Light Switch",Inventory!H989))</f>
        <v/>
      </c>
      <c r="X981" s="298" t="str">
        <f>IF(B981="", "", 'Lighting Inventory (Ref only)'!Q992)</f>
        <v/>
      </c>
      <c r="AA981" s="298" t="str">
        <f>IF(B981="", "",'Lighting Inventory (Ref only)'!R992/1000)</f>
        <v/>
      </c>
      <c r="AB981" s="298" t="str">
        <f>IF(B981="", "", Inventory!M989)</f>
        <v/>
      </c>
      <c r="AC981" s="298" t="str">
        <f>IF(B981="", "", 'Lighting Inventory (Ref only)'!T992)</f>
        <v/>
      </c>
      <c r="AD981" s="298" t="str">
        <f>IF(C981="", "", 'Lighting Inventory (Ref only)'!AA992)</f>
        <v/>
      </c>
      <c r="AE981" s="298" t="str">
        <f>IF(B981="", "", 'Lighting Inventory (Ref only)'!U992)</f>
        <v/>
      </c>
      <c r="AF981" s="298" t="str">
        <f>IF(B981="", "",'Lighting Inventory (Ref only)'!W992)</f>
        <v/>
      </c>
      <c r="AH981" s="298" t="str">
        <f>IF(B981="", "",'Lighting Inventory (Ref only)'!Z992)</f>
        <v/>
      </c>
      <c r="AI981" s="298" t="str">
        <f>IF(B981="", "", 'Lighting Inventory (Ref only)'!Y992)</f>
        <v/>
      </c>
      <c r="AJ981" s="298" t="str">
        <f>IF(C981="", "",'Lighting Inventory (Ref only)'!AB992)</f>
        <v/>
      </c>
      <c r="AK981" s="375" t="str">
        <f>IF(B981="", "", 'Lighting Inventory (Ref only)'!AG992)</f>
        <v/>
      </c>
      <c r="AL981" s="375" t="str">
        <f>IF(B981="", "", 'Lighting Inventory (Ref only)'!AD992)</f>
        <v/>
      </c>
      <c r="AM981" s="375" t="str">
        <f>IF(B981="", "", 'Lighting Inventory (Ref only)'!AE992)</f>
        <v/>
      </c>
      <c r="AN981" s="375" t="str">
        <f>IF(B981="", "", 'Lighting Inventory (Ref only)'!AF992)</f>
        <v/>
      </c>
      <c r="AO981" s="375" t="str">
        <f>IF(B981="", "", 'Lighting Inventory (Ref only)'!AG992)</f>
        <v/>
      </c>
    </row>
    <row r="982" spans="1:41">
      <c r="A982" s="298" t="str">
        <f>IF(G982="", "", Lookups!BF984)</f>
        <v/>
      </c>
      <c r="B982" s="298" t="str">
        <f>IF('Lighting Inventory (Ref only)'!Q993="", "", 'Lighting Inventory (Ref only)'!Q993)</f>
        <v/>
      </c>
      <c r="C982" s="298" t="str">
        <f>IF(A982="", "", 'Lighting Inventory (Ref only)'!AO993)</f>
        <v/>
      </c>
      <c r="D982" s="298" t="str">
        <f>IF(B982= "","", Inventory!S990)</f>
        <v/>
      </c>
      <c r="F982" s="298" t="str">
        <f>IF(B982="", "", 'Version Log'!$B$34)</f>
        <v/>
      </c>
      <c r="G982" s="298" t="str">
        <f t="shared" si="60"/>
        <v/>
      </c>
      <c r="H982" s="298" t="str">
        <f t="shared" si="61"/>
        <v/>
      </c>
      <c r="I982" s="298" t="str">
        <f>IF(B982="", "",Inventory!D990)</f>
        <v/>
      </c>
      <c r="J982" s="298" t="str">
        <f>IF(B982="","",IF(Inventory!C990="N","Interior","Exterior"))</f>
        <v/>
      </c>
      <c r="K982" s="298" t="str">
        <f t="shared" si="62"/>
        <v/>
      </c>
      <c r="L982" s="298" t="str">
        <f>IF(B982="", "", Inventory!E990)</f>
        <v/>
      </c>
      <c r="M982" s="298" t="str">
        <f>IF(B982="","",IF(Cool_Type=Lookups!$L$9,Cool_Type,IF(Cool_Type=Lookups!$L$10,Cool_Type,IF(Cool_Type=Lookups!$L$11,Cool_Type,IF(Cool_Type=Lookups!L992,Cool_Type,IF('Project Info and Summary'!$C$20="Electric",CONCATENATE(Cool_Type," ",Heating_Type," Heat"),IF('Project Info and Summary'!$C$20="Non-Electric",CONCATENATE(Cool_Type," ",Heating_Type," Heat"),CONCATENATE(Cool_Type," ",Heating_Type))))))))</f>
        <v/>
      </c>
      <c r="N982" s="298" t="str">
        <f t="shared" si="63"/>
        <v/>
      </c>
      <c r="O982" s="298" t="str">
        <f>IF(B982="", "", 'Lighting Inventory (Ref only)'!G993)</f>
        <v/>
      </c>
      <c r="P982" s="298" t="str">
        <f>IF(B982="", "", 'Lighting Inventory (Ref only)'!E993)</f>
        <v/>
      </c>
      <c r="Q982" s="298" t="str">
        <f>IF(B982="", "", 'Lighting Inventory (Ref only)'!J993)</f>
        <v/>
      </c>
      <c r="R982" s="298" t="str">
        <f>IF(B982="", "",'Lighting Inventory (Ref only)'!K993)</f>
        <v/>
      </c>
      <c r="S982" s="372" t="str">
        <f>IF(B982="", "", 'Lighting Inventory (Ref only)'!G993*'Lighting Inventory (Ref only)'!K993/1000)</f>
        <v/>
      </c>
      <c r="T982" s="298" t="str">
        <f>IF(B982="", "", IF('Lighting Inventory (Ref only)'!I993="", "Light Switch",Inventory!H990))</f>
        <v/>
      </c>
      <c r="X982" s="298" t="str">
        <f>IF(B982="", "", 'Lighting Inventory (Ref only)'!Q993)</f>
        <v/>
      </c>
      <c r="AA982" s="298" t="str">
        <f>IF(B982="", "",'Lighting Inventory (Ref only)'!R993/1000)</f>
        <v/>
      </c>
      <c r="AB982" s="298" t="str">
        <f>IF(B982="", "", Inventory!M990)</f>
        <v/>
      </c>
      <c r="AC982" s="298" t="str">
        <f>IF(B982="", "", 'Lighting Inventory (Ref only)'!T993)</f>
        <v/>
      </c>
      <c r="AD982" s="298" t="str">
        <f>IF(C982="", "", 'Lighting Inventory (Ref only)'!AA993)</f>
        <v/>
      </c>
      <c r="AE982" s="298" t="str">
        <f>IF(B982="", "", 'Lighting Inventory (Ref only)'!U993)</f>
        <v/>
      </c>
      <c r="AF982" s="298" t="str">
        <f>IF(B982="", "",'Lighting Inventory (Ref only)'!W993)</f>
        <v/>
      </c>
      <c r="AH982" s="298" t="str">
        <f>IF(B982="", "",'Lighting Inventory (Ref only)'!Z993)</f>
        <v/>
      </c>
      <c r="AI982" s="298" t="str">
        <f>IF(B982="", "", 'Lighting Inventory (Ref only)'!Y993)</f>
        <v/>
      </c>
      <c r="AJ982" s="298" t="str">
        <f>IF(C982="", "",'Lighting Inventory (Ref only)'!AB993)</f>
        <v/>
      </c>
      <c r="AK982" s="375" t="str">
        <f>IF(B982="", "", 'Lighting Inventory (Ref only)'!AG993)</f>
        <v/>
      </c>
      <c r="AL982" s="375" t="str">
        <f>IF(B982="", "", 'Lighting Inventory (Ref only)'!AD993)</f>
        <v/>
      </c>
      <c r="AM982" s="375" t="str">
        <f>IF(B982="", "", 'Lighting Inventory (Ref only)'!AE993)</f>
        <v/>
      </c>
      <c r="AN982" s="375" t="str">
        <f>IF(B982="", "", 'Lighting Inventory (Ref only)'!AF993)</f>
        <v/>
      </c>
      <c r="AO982" s="375" t="str">
        <f>IF(B982="", "", 'Lighting Inventory (Ref only)'!AG993)</f>
        <v/>
      </c>
    </row>
    <row r="983" spans="1:41">
      <c r="A983" s="298" t="str">
        <f>IF(G983="", "", Lookups!BF985)</f>
        <v/>
      </c>
      <c r="B983" s="298" t="str">
        <f>IF('Lighting Inventory (Ref only)'!Q994="", "", 'Lighting Inventory (Ref only)'!Q994)</f>
        <v/>
      </c>
      <c r="C983" s="298" t="str">
        <f>IF(A983="", "", 'Lighting Inventory (Ref only)'!AO994)</f>
        <v/>
      </c>
      <c r="D983" s="298" t="str">
        <f>IF(B983= "","", Inventory!S991)</f>
        <v/>
      </c>
      <c r="F983" s="298" t="str">
        <f>IF(B983="", "", 'Version Log'!$B$34)</f>
        <v/>
      </c>
      <c r="G983" s="298" t="str">
        <f t="shared" si="60"/>
        <v/>
      </c>
      <c r="H983" s="298" t="str">
        <f t="shared" si="61"/>
        <v/>
      </c>
      <c r="I983" s="298" t="str">
        <f>IF(B983="", "",Inventory!D991)</f>
        <v/>
      </c>
      <c r="J983" s="298" t="str">
        <f>IF(B983="","",IF(Inventory!C991="N","Interior","Exterior"))</f>
        <v/>
      </c>
      <c r="K983" s="298" t="str">
        <f t="shared" si="62"/>
        <v/>
      </c>
      <c r="L983" s="298" t="str">
        <f>IF(B983="", "", Inventory!E991)</f>
        <v/>
      </c>
      <c r="M983" s="298" t="str">
        <f>IF(B983="","",IF(Cool_Type=Lookups!$L$9,Cool_Type,IF(Cool_Type=Lookups!$L$10,Cool_Type,IF(Cool_Type=Lookups!$L$11,Cool_Type,IF(Cool_Type=Lookups!L993,Cool_Type,IF('Project Info and Summary'!$C$20="Electric",CONCATENATE(Cool_Type," ",Heating_Type," Heat"),IF('Project Info and Summary'!$C$20="Non-Electric",CONCATENATE(Cool_Type," ",Heating_Type," Heat"),CONCATENATE(Cool_Type," ",Heating_Type))))))))</f>
        <v/>
      </c>
      <c r="N983" s="298" t="str">
        <f t="shared" si="63"/>
        <v/>
      </c>
      <c r="O983" s="298" t="str">
        <f>IF(B983="", "", 'Lighting Inventory (Ref only)'!G994)</f>
        <v/>
      </c>
      <c r="P983" s="298" t="str">
        <f>IF(B983="", "", 'Lighting Inventory (Ref only)'!E994)</f>
        <v/>
      </c>
      <c r="Q983" s="298" t="str">
        <f>IF(B983="", "", 'Lighting Inventory (Ref only)'!J994)</f>
        <v/>
      </c>
      <c r="R983" s="298" t="str">
        <f>IF(B983="", "",'Lighting Inventory (Ref only)'!K994)</f>
        <v/>
      </c>
      <c r="S983" s="372" t="str">
        <f>IF(B983="", "", 'Lighting Inventory (Ref only)'!G994*'Lighting Inventory (Ref only)'!K994/1000)</f>
        <v/>
      </c>
      <c r="T983" s="298" t="str">
        <f>IF(B983="", "", IF('Lighting Inventory (Ref only)'!I994="", "Light Switch",Inventory!H991))</f>
        <v/>
      </c>
      <c r="X983" s="298" t="str">
        <f>IF(B983="", "", 'Lighting Inventory (Ref only)'!Q994)</f>
        <v/>
      </c>
      <c r="AA983" s="298" t="str">
        <f>IF(B983="", "",'Lighting Inventory (Ref only)'!R994/1000)</f>
        <v/>
      </c>
      <c r="AB983" s="298" t="str">
        <f>IF(B983="", "", Inventory!M991)</f>
        <v/>
      </c>
      <c r="AC983" s="298" t="str">
        <f>IF(B983="", "", 'Lighting Inventory (Ref only)'!T994)</f>
        <v/>
      </c>
      <c r="AD983" s="298" t="str">
        <f>IF(C983="", "", 'Lighting Inventory (Ref only)'!AA994)</f>
        <v/>
      </c>
      <c r="AE983" s="298" t="str">
        <f>IF(B983="", "", 'Lighting Inventory (Ref only)'!U994)</f>
        <v/>
      </c>
      <c r="AF983" s="298" t="str">
        <f>IF(B983="", "",'Lighting Inventory (Ref only)'!W994)</f>
        <v/>
      </c>
      <c r="AH983" s="298" t="str">
        <f>IF(B983="", "",'Lighting Inventory (Ref only)'!Z994)</f>
        <v/>
      </c>
      <c r="AI983" s="298" t="str">
        <f>IF(B983="", "", 'Lighting Inventory (Ref only)'!Y994)</f>
        <v/>
      </c>
      <c r="AJ983" s="298" t="str">
        <f>IF(C983="", "",'Lighting Inventory (Ref only)'!AB994)</f>
        <v/>
      </c>
      <c r="AK983" s="375" t="str">
        <f>IF(B983="", "", 'Lighting Inventory (Ref only)'!AG994)</f>
        <v/>
      </c>
      <c r="AL983" s="375" t="str">
        <f>IF(B983="", "", 'Lighting Inventory (Ref only)'!AD994)</f>
        <v/>
      </c>
      <c r="AM983" s="375" t="str">
        <f>IF(B983="", "", 'Lighting Inventory (Ref only)'!AE994)</f>
        <v/>
      </c>
      <c r="AN983" s="375" t="str">
        <f>IF(B983="", "", 'Lighting Inventory (Ref only)'!AF994)</f>
        <v/>
      </c>
      <c r="AO983" s="375" t="str">
        <f>IF(B983="", "", 'Lighting Inventory (Ref only)'!AG994)</f>
        <v/>
      </c>
    </row>
    <row r="984" spans="1:41">
      <c r="A984" s="298" t="str">
        <f>IF(G984="", "", Lookups!BF986)</f>
        <v/>
      </c>
      <c r="B984" s="298" t="str">
        <f>IF('Lighting Inventory (Ref only)'!Q995="", "", 'Lighting Inventory (Ref only)'!Q995)</f>
        <v/>
      </c>
      <c r="C984" s="298" t="str">
        <f>IF(A984="", "", 'Lighting Inventory (Ref only)'!AO995)</f>
        <v/>
      </c>
      <c r="D984" s="298" t="str">
        <f>IF(B984= "","", Inventory!S992)</f>
        <v/>
      </c>
      <c r="F984" s="298" t="str">
        <f>IF(B984="", "", 'Version Log'!$B$34)</f>
        <v/>
      </c>
      <c r="G984" s="298" t="str">
        <f t="shared" si="60"/>
        <v/>
      </c>
      <c r="H984" s="298" t="str">
        <f t="shared" si="61"/>
        <v/>
      </c>
      <c r="I984" s="298" t="str">
        <f>IF(B984="", "",Inventory!D992)</f>
        <v/>
      </c>
      <c r="J984" s="298" t="str">
        <f>IF(B984="","",IF(Inventory!C992="N","Interior","Exterior"))</f>
        <v/>
      </c>
      <c r="K984" s="298" t="str">
        <f t="shared" si="62"/>
        <v/>
      </c>
      <c r="L984" s="298" t="str">
        <f>IF(B984="", "", Inventory!E992)</f>
        <v/>
      </c>
      <c r="M984" s="298" t="str">
        <f>IF(B984="","",IF(Cool_Type=Lookups!$L$9,Cool_Type,IF(Cool_Type=Lookups!$L$10,Cool_Type,IF(Cool_Type=Lookups!$L$11,Cool_Type,IF(Cool_Type=Lookups!L994,Cool_Type,IF('Project Info and Summary'!$C$20="Electric",CONCATENATE(Cool_Type," ",Heating_Type," Heat"),IF('Project Info and Summary'!$C$20="Non-Electric",CONCATENATE(Cool_Type," ",Heating_Type," Heat"),CONCATENATE(Cool_Type," ",Heating_Type))))))))</f>
        <v/>
      </c>
      <c r="N984" s="298" t="str">
        <f t="shared" si="63"/>
        <v/>
      </c>
      <c r="O984" s="298" t="str">
        <f>IF(B984="", "", 'Lighting Inventory (Ref only)'!G995)</f>
        <v/>
      </c>
      <c r="P984" s="298" t="str">
        <f>IF(B984="", "", 'Lighting Inventory (Ref only)'!E995)</f>
        <v/>
      </c>
      <c r="Q984" s="298" t="str">
        <f>IF(B984="", "", 'Lighting Inventory (Ref only)'!J995)</f>
        <v/>
      </c>
      <c r="R984" s="298" t="str">
        <f>IF(B984="", "",'Lighting Inventory (Ref only)'!K995)</f>
        <v/>
      </c>
      <c r="S984" s="372" t="str">
        <f>IF(B984="", "", 'Lighting Inventory (Ref only)'!G995*'Lighting Inventory (Ref only)'!K995/1000)</f>
        <v/>
      </c>
      <c r="T984" s="298" t="str">
        <f>IF(B984="", "", IF('Lighting Inventory (Ref only)'!I995="", "Light Switch",Inventory!H992))</f>
        <v/>
      </c>
      <c r="X984" s="298" t="str">
        <f>IF(B984="", "", 'Lighting Inventory (Ref only)'!Q995)</f>
        <v/>
      </c>
      <c r="AA984" s="298" t="str">
        <f>IF(B984="", "",'Lighting Inventory (Ref only)'!R995/1000)</f>
        <v/>
      </c>
      <c r="AB984" s="298" t="str">
        <f>IF(B984="", "", Inventory!M992)</f>
        <v/>
      </c>
      <c r="AC984" s="298" t="str">
        <f>IF(B984="", "", 'Lighting Inventory (Ref only)'!T995)</f>
        <v/>
      </c>
      <c r="AD984" s="298" t="str">
        <f>IF(C984="", "", 'Lighting Inventory (Ref only)'!AA995)</f>
        <v/>
      </c>
      <c r="AE984" s="298" t="str">
        <f>IF(B984="", "", 'Lighting Inventory (Ref only)'!U995)</f>
        <v/>
      </c>
      <c r="AF984" s="298" t="str">
        <f>IF(B984="", "",'Lighting Inventory (Ref only)'!W995)</f>
        <v/>
      </c>
      <c r="AH984" s="298" t="str">
        <f>IF(B984="", "",'Lighting Inventory (Ref only)'!Z995)</f>
        <v/>
      </c>
      <c r="AI984" s="298" t="str">
        <f>IF(B984="", "", 'Lighting Inventory (Ref only)'!Y995)</f>
        <v/>
      </c>
      <c r="AJ984" s="298" t="str">
        <f>IF(C984="", "",'Lighting Inventory (Ref only)'!AB995)</f>
        <v/>
      </c>
      <c r="AK984" s="375" t="str">
        <f>IF(B984="", "", 'Lighting Inventory (Ref only)'!AG995)</f>
        <v/>
      </c>
      <c r="AL984" s="375" t="str">
        <f>IF(B984="", "", 'Lighting Inventory (Ref only)'!AD995)</f>
        <v/>
      </c>
      <c r="AM984" s="375" t="str">
        <f>IF(B984="", "", 'Lighting Inventory (Ref only)'!AE995)</f>
        <v/>
      </c>
      <c r="AN984" s="375" t="str">
        <f>IF(B984="", "", 'Lighting Inventory (Ref only)'!AF995)</f>
        <v/>
      </c>
      <c r="AO984" s="375" t="str">
        <f>IF(B984="", "", 'Lighting Inventory (Ref only)'!AG995)</f>
        <v/>
      </c>
    </row>
    <row r="985" spans="1:41">
      <c r="A985" s="298" t="str">
        <f>IF(G985="", "", Lookups!BF987)</f>
        <v/>
      </c>
      <c r="B985" s="298" t="str">
        <f>IF('Lighting Inventory (Ref only)'!Q996="", "", 'Lighting Inventory (Ref only)'!Q996)</f>
        <v/>
      </c>
      <c r="C985" s="298" t="str">
        <f>IF(A985="", "", 'Lighting Inventory (Ref only)'!AO996)</f>
        <v/>
      </c>
      <c r="D985" s="298" t="str">
        <f>IF(B985= "","", Inventory!S993)</f>
        <v/>
      </c>
      <c r="F985" s="298" t="str">
        <f>IF(B985="", "", 'Version Log'!$B$34)</f>
        <v/>
      </c>
      <c r="G985" s="298" t="str">
        <f t="shared" si="60"/>
        <v/>
      </c>
      <c r="H985" s="298" t="str">
        <f t="shared" si="61"/>
        <v/>
      </c>
      <c r="I985" s="298" t="str">
        <f>IF(B985="", "",Inventory!D993)</f>
        <v/>
      </c>
      <c r="J985" s="298" t="str">
        <f>IF(B985="","",IF(Inventory!C993="N","Interior","Exterior"))</f>
        <v/>
      </c>
      <c r="K985" s="298" t="str">
        <f t="shared" si="62"/>
        <v/>
      </c>
      <c r="L985" s="298" t="str">
        <f>IF(B985="", "", Inventory!E993)</f>
        <v/>
      </c>
      <c r="M985" s="298" t="str">
        <f>IF(B985="","",IF(Cool_Type=Lookups!$L$9,Cool_Type,IF(Cool_Type=Lookups!$L$10,Cool_Type,IF(Cool_Type=Lookups!$L$11,Cool_Type,IF(Cool_Type=Lookups!L995,Cool_Type,IF('Project Info and Summary'!$C$20="Electric",CONCATENATE(Cool_Type," ",Heating_Type," Heat"),IF('Project Info and Summary'!$C$20="Non-Electric",CONCATENATE(Cool_Type," ",Heating_Type," Heat"),CONCATENATE(Cool_Type," ",Heating_Type))))))))</f>
        <v/>
      </c>
      <c r="N985" s="298" t="str">
        <f t="shared" si="63"/>
        <v/>
      </c>
      <c r="O985" s="298" t="str">
        <f>IF(B985="", "", 'Lighting Inventory (Ref only)'!G996)</f>
        <v/>
      </c>
      <c r="P985" s="298" t="str">
        <f>IF(B985="", "", 'Lighting Inventory (Ref only)'!E996)</f>
        <v/>
      </c>
      <c r="Q985" s="298" t="str">
        <f>IF(B985="", "", 'Lighting Inventory (Ref only)'!J996)</f>
        <v/>
      </c>
      <c r="R985" s="298" t="str">
        <f>IF(B985="", "",'Lighting Inventory (Ref only)'!K996)</f>
        <v/>
      </c>
      <c r="S985" s="372" t="str">
        <f>IF(B985="", "", 'Lighting Inventory (Ref only)'!G996*'Lighting Inventory (Ref only)'!K996/1000)</f>
        <v/>
      </c>
      <c r="T985" s="298" t="str">
        <f>IF(B985="", "", IF('Lighting Inventory (Ref only)'!I996="", "Light Switch",Inventory!H993))</f>
        <v/>
      </c>
      <c r="X985" s="298" t="str">
        <f>IF(B985="", "", 'Lighting Inventory (Ref only)'!Q996)</f>
        <v/>
      </c>
      <c r="AA985" s="298" t="str">
        <f>IF(B985="", "",'Lighting Inventory (Ref only)'!R996/1000)</f>
        <v/>
      </c>
      <c r="AB985" s="298" t="str">
        <f>IF(B985="", "", Inventory!M993)</f>
        <v/>
      </c>
      <c r="AC985" s="298" t="str">
        <f>IF(B985="", "", 'Lighting Inventory (Ref only)'!T996)</f>
        <v/>
      </c>
      <c r="AD985" s="298" t="str">
        <f>IF(C985="", "", 'Lighting Inventory (Ref only)'!AA996)</f>
        <v/>
      </c>
      <c r="AE985" s="298" t="str">
        <f>IF(B985="", "", 'Lighting Inventory (Ref only)'!U996)</f>
        <v/>
      </c>
      <c r="AF985" s="298" t="str">
        <f>IF(B985="", "",'Lighting Inventory (Ref only)'!W996)</f>
        <v/>
      </c>
      <c r="AH985" s="298" t="str">
        <f>IF(B985="", "",'Lighting Inventory (Ref only)'!Z996)</f>
        <v/>
      </c>
      <c r="AI985" s="298" t="str">
        <f>IF(B985="", "", 'Lighting Inventory (Ref only)'!Y996)</f>
        <v/>
      </c>
      <c r="AJ985" s="298" t="str">
        <f>IF(C985="", "",'Lighting Inventory (Ref only)'!AB996)</f>
        <v/>
      </c>
      <c r="AK985" s="375" t="str">
        <f>IF(B985="", "", 'Lighting Inventory (Ref only)'!AG996)</f>
        <v/>
      </c>
      <c r="AL985" s="375" t="str">
        <f>IF(B985="", "", 'Lighting Inventory (Ref only)'!AD996)</f>
        <v/>
      </c>
      <c r="AM985" s="375" t="str">
        <f>IF(B985="", "", 'Lighting Inventory (Ref only)'!AE996)</f>
        <v/>
      </c>
      <c r="AN985" s="375" t="str">
        <f>IF(B985="", "", 'Lighting Inventory (Ref only)'!AF996)</f>
        <v/>
      </c>
      <c r="AO985" s="375" t="str">
        <f>IF(B985="", "", 'Lighting Inventory (Ref only)'!AG996)</f>
        <v/>
      </c>
    </row>
    <row r="986" spans="1:41">
      <c r="A986" s="298" t="str">
        <f>IF(G986="", "", Lookups!BF988)</f>
        <v/>
      </c>
      <c r="B986" s="298" t="str">
        <f>IF('Lighting Inventory (Ref only)'!Q997="", "", 'Lighting Inventory (Ref only)'!Q997)</f>
        <v/>
      </c>
      <c r="C986" s="298" t="str">
        <f>IF(A986="", "", 'Lighting Inventory (Ref only)'!AO997)</f>
        <v/>
      </c>
      <c r="D986" s="298" t="str">
        <f>IF(B986= "","", Inventory!S994)</f>
        <v/>
      </c>
      <c r="F986" s="298" t="str">
        <f>IF(B986="", "", 'Version Log'!$B$34)</f>
        <v/>
      </c>
      <c r="G986" s="298" t="str">
        <f t="shared" si="60"/>
        <v/>
      </c>
      <c r="H986" s="298" t="str">
        <f t="shared" si="61"/>
        <v/>
      </c>
      <c r="I986" s="298" t="str">
        <f>IF(B986="", "",Inventory!D994)</f>
        <v/>
      </c>
      <c r="J986" s="298" t="str">
        <f>IF(B986="","",IF(Inventory!C994="N","Interior","Exterior"))</f>
        <v/>
      </c>
      <c r="K986" s="298" t="str">
        <f t="shared" si="62"/>
        <v/>
      </c>
      <c r="L986" s="298" t="str">
        <f>IF(B986="", "", Inventory!E994)</f>
        <v/>
      </c>
      <c r="M986" s="298" t="str">
        <f>IF(B986="","",IF(Cool_Type=Lookups!$L$9,Cool_Type,IF(Cool_Type=Lookups!$L$10,Cool_Type,IF(Cool_Type=Lookups!$L$11,Cool_Type,IF(Cool_Type=Lookups!L996,Cool_Type,IF('Project Info and Summary'!$C$20="Electric",CONCATENATE(Cool_Type," ",Heating_Type," Heat"),IF('Project Info and Summary'!$C$20="Non-Electric",CONCATENATE(Cool_Type," ",Heating_Type," Heat"),CONCATENATE(Cool_Type," ",Heating_Type))))))))</f>
        <v/>
      </c>
      <c r="N986" s="298" t="str">
        <f t="shared" si="63"/>
        <v/>
      </c>
      <c r="O986" s="298" t="str">
        <f>IF(B986="", "", 'Lighting Inventory (Ref only)'!G997)</f>
        <v/>
      </c>
      <c r="P986" s="298" t="str">
        <f>IF(B986="", "", 'Lighting Inventory (Ref only)'!E997)</f>
        <v/>
      </c>
      <c r="Q986" s="298" t="str">
        <f>IF(B986="", "", 'Lighting Inventory (Ref only)'!J997)</f>
        <v/>
      </c>
      <c r="R986" s="298" t="str">
        <f>IF(B986="", "",'Lighting Inventory (Ref only)'!K997)</f>
        <v/>
      </c>
      <c r="S986" s="372" t="str">
        <f>IF(B986="", "", 'Lighting Inventory (Ref only)'!G997*'Lighting Inventory (Ref only)'!K997/1000)</f>
        <v/>
      </c>
      <c r="T986" s="298" t="str">
        <f>IF(B986="", "", IF('Lighting Inventory (Ref only)'!I997="", "Light Switch",Inventory!H994))</f>
        <v/>
      </c>
      <c r="X986" s="298" t="str">
        <f>IF(B986="", "", 'Lighting Inventory (Ref only)'!Q997)</f>
        <v/>
      </c>
      <c r="AA986" s="298" t="str">
        <f>IF(B986="", "",'Lighting Inventory (Ref only)'!R997/1000)</f>
        <v/>
      </c>
      <c r="AB986" s="298" t="str">
        <f>IF(B986="", "", Inventory!M994)</f>
        <v/>
      </c>
      <c r="AC986" s="298" t="str">
        <f>IF(B986="", "", 'Lighting Inventory (Ref only)'!T997)</f>
        <v/>
      </c>
      <c r="AD986" s="298" t="str">
        <f>IF(C986="", "", 'Lighting Inventory (Ref only)'!AA997)</f>
        <v/>
      </c>
      <c r="AE986" s="298" t="str">
        <f>IF(B986="", "", 'Lighting Inventory (Ref only)'!U997)</f>
        <v/>
      </c>
      <c r="AF986" s="298" t="str">
        <f>IF(B986="", "",'Lighting Inventory (Ref only)'!W997)</f>
        <v/>
      </c>
      <c r="AH986" s="298" t="str">
        <f>IF(B986="", "",'Lighting Inventory (Ref only)'!Z997)</f>
        <v/>
      </c>
      <c r="AI986" s="298" t="str">
        <f>IF(B986="", "", 'Lighting Inventory (Ref only)'!Y997)</f>
        <v/>
      </c>
      <c r="AJ986" s="298" t="str">
        <f>IF(C986="", "",'Lighting Inventory (Ref only)'!AB997)</f>
        <v/>
      </c>
      <c r="AK986" s="375" t="str">
        <f>IF(B986="", "", 'Lighting Inventory (Ref only)'!AG997)</f>
        <v/>
      </c>
      <c r="AL986" s="375" t="str">
        <f>IF(B986="", "", 'Lighting Inventory (Ref only)'!AD997)</f>
        <v/>
      </c>
      <c r="AM986" s="375" t="str">
        <f>IF(B986="", "", 'Lighting Inventory (Ref only)'!AE997)</f>
        <v/>
      </c>
      <c r="AN986" s="375" t="str">
        <f>IF(B986="", "", 'Lighting Inventory (Ref only)'!AF997)</f>
        <v/>
      </c>
      <c r="AO986" s="375" t="str">
        <f>IF(B986="", "", 'Lighting Inventory (Ref only)'!AG997)</f>
        <v/>
      </c>
    </row>
    <row r="987" spans="1:41">
      <c r="A987" s="298" t="str">
        <f>IF(G987="", "", Lookups!BF989)</f>
        <v/>
      </c>
      <c r="B987" s="298" t="str">
        <f>IF('Lighting Inventory (Ref only)'!Q998="", "", 'Lighting Inventory (Ref only)'!Q998)</f>
        <v/>
      </c>
      <c r="C987" s="298" t="str">
        <f>IF(A987="", "", 'Lighting Inventory (Ref only)'!AO998)</f>
        <v/>
      </c>
      <c r="D987" s="298" t="str">
        <f>IF(B987= "","", Inventory!S995)</f>
        <v/>
      </c>
      <c r="F987" s="298" t="str">
        <f>IF(B987="", "", 'Version Log'!$B$34)</f>
        <v/>
      </c>
      <c r="G987" s="298" t="str">
        <f t="shared" si="60"/>
        <v/>
      </c>
      <c r="H987" s="298" t="str">
        <f t="shared" si="61"/>
        <v/>
      </c>
      <c r="I987" s="298" t="str">
        <f>IF(B987="", "",Inventory!D995)</f>
        <v/>
      </c>
      <c r="J987" s="298" t="str">
        <f>IF(B987="","",IF(Inventory!C995="N","Interior","Exterior"))</f>
        <v/>
      </c>
      <c r="K987" s="298" t="str">
        <f t="shared" si="62"/>
        <v/>
      </c>
      <c r="L987" s="298" t="str">
        <f>IF(B987="", "", Inventory!E995)</f>
        <v/>
      </c>
      <c r="M987" s="298" t="str">
        <f>IF(B987="","",IF(Cool_Type=Lookups!$L$9,Cool_Type,IF(Cool_Type=Lookups!$L$10,Cool_Type,IF(Cool_Type=Lookups!$L$11,Cool_Type,IF(Cool_Type=Lookups!L997,Cool_Type,IF('Project Info and Summary'!$C$20="Electric",CONCATENATE(Cool_Type," ",Heating_Type," Heat"),IF('Project Info and Summary'!$C$20="Non-Electric",CONCATENATE(Cool_Type," ",Heating_Type," Heat"),CONCATENATE(Cool_Type," ",Heating_Type))))))))</f>
        <v/>
      </c>
      <c r="N987" s="298" t="str">
        <f t="shared" si="63"/>
        <v/>
      </c>
      <c r="O987" s="298" t="str">
        <f>IF(B987="", "", 'Lighting Inventory (Ref only)'!G998)</f>
        <v/>
      </c>
      <c r="P987" s="298" t="str">
        <f>IF(B987="", "", 'Lighting Inventory (Ref only)'!E998)</f>
        <v/>
      </c>
      <c r="Q987" s="298" t="str">
        <f>IF(B987="", "", 'Lighting Inventory (Ref only)'!J998)</f>
        <v/>
      </c>
      <c r="R987" s="298" t="str">
        <f>IF(B987="", "",'Lighting Inventory (Ref only)'!K998)</f>
        <v/>
      </c>
      <c r="S987" s="372" t="str">
        <f>IF(B987="", "", 'Lighting Inventory (Ref only)'!G998*'Lighting Inventory (Ref only)'!K998/1000)</f>
        <v/>
      </c>
      <c r="T987" s="298" t="str">
        <f>IF(B987="", "", IF('Lighting Inventory (Ref only)'!I998="", "Light Switch",Inventory!H995))</f>
        <v/>
      </c>
      <c r="X987" s="298" t="str">
        <f>IF(B987="", "", 'Lighting Inventory (Ref only)'!Q998)</f>
        <v/>
      </c>
      <c r="AA987" s="298" t="str">
        <f>IF(B987="", "",'Lighting Inventory (Ref only)'!R998/1000)</f>
        <v/>
      </c>
      <c r="AB987" s="298" t="str">
        <f>IF(B987="", "", Inventory!M995)</f>
        <v/>
      </c>
      <c r="AC987" s="298" t="str">
        <f>IF(B987="", "", 'Lighting Inventory (Ref only)'!T998)</f>
        <v/>
      </c>
      <c r="AD987" s="298" t="str">
        <f>IF(C987="", "", 'Lighting Inventory (Ref only)'!AA998)</f>
        <v/>
      </c>
      <c r="AE987" s="298" t="str">
        <f>IF(B987="", "", 'Lighting Inventory (Ref only)'!U998)</f>
        <v/>
      </c>
      <c r="AF987" s="298" t="str">
        <f>IF(B987="", "",'Lighting Inventory (Ref only)'!W998)</f>
        <v/>
      </c>
      <c r="AH987" s="298" t="str">
        <f>IF(B987="", "",'Lighting Inventory (Ref only)'!Z998)</f>
        <v/>
      </c>
      <c r="AI987" s="298" t="str">
        <f>IF(B987="", "", 'Lighting Inventory (Ref only)'!Y998)</f>
        <v/>
      </c>
      <c r="AJ987" s="298" t="str">
        <f>IF(C987="", "",'Lighting Inventory (Ref only)'!AB998)</f>
        <v/>
      </c>
      <c r="AK987" s="375" t="str">
        <f>IF(B987="", "", 'Lighting Inventory (Ref only)'!AG998)</f>
        <v/>
      </c>
      <c r="AL987" s="375" t="str">
        <f>IF(B987="", "", 'Lighting Inventory (Ref only)'!AD998)</f>
        <v/>
      </c>
      <c r="AM987" s="375" t="str">
        <f>IF(B987="", "", 'Lighting Inventory (Ref only)'!AE998)</f>
        <v/>
      </c>
      <c r="AN987" s="375" t="str">
        <f>IF(B987="", "", 'Lighting Inventory (Ref only)'!AF998)</f>
        <v/>
      </c>
      <c r="AO987" s="375" t="str">
        <f>IF(B987="", "", 'Lighting Inventory (Ref only)'!AG998)</f>
        <v/>
      </c>
    </row>
    <row r="988" spans="1:41">
      <c r="A988" s="298" t="str">
        <f>IF(G988="", "", Lookups!BF990)</f>
        <v/>
      </c>
      <c r="B988" s="298" t="str">
        <f>IF('Lighting Inventory (Ref only)'!Q999="", "", 'Lighting Inventory (Ref only)'!Q999)</f>
        <v/>
      </c>
      <c r="C988" s="298" t="str">
        <f>IF(A988="", "", 'Lighting Inventory (Ref only)'!AO999)</f>
        <v/>
      </c>
      <c r="D988" s="298" t="str">
        <f>IF(B988= "","", Inventory!S996)</f>
        <v/>
      </c>
      <c r="F988" s="298" t="str">
        <f>IF(B988="", "", 'Version Log'!$B$34)</f>
        <v/>
      </c>
      <c r="G988" s="298" t="str">
        <f t="shared" si="60"/>
        <v/>
      </c>
      <c r="H988" s="298" t="str">
        <f t="shared" si="61"/>
        <v/>
      </c>
      <c r="I988" s="298" t="str">
        <f>IF(B988="", "",Inventory!D996)</f>
        <v/>
      </c>
      <c r="J988" s="298" t="str">
        <f>IF(B988="","",IF(Inventory!C996="N","Interior","Exterior"))</f>
        <v/>
      </c>
      <c r="K988" s="298" t="str">
        <f t="shared" si="62"/>
        <v/>
      </c>
      <c r="L988" s="298" t="str">
        <f>IF(B988="", "", Inventory!E996)</f>
        <v/>
      </c>
      <c r="M988" s="298" t="str">
        <f>IF(B988="","",IF(Cool_Type=Lookups!$L$9,Cool_Type,IF(Cool_Type=Lookups!$L$10,Cool_Type,IF(Cool_Type=Lookups!$L$11,Cool_Type,IF(Cool_Type=Lookups!L998,Cool_Type,IF('Project Info and Summary'!$C$20="Electric",CONCATENATE(Cool_Type," ",Heating_Type," Heat"),IF('Project Info and Summary'!$C$20="Non-Electric",CONCATENATE(Cool_Type," ",Heating_Type," Heat"),CONCATENATE(Cool_Type," ",Heating_Type))))))))</f>
        <v/>
      </c>
      <c r="N988" s="298" t="str">
        <f t="shared" si="63"/>
        <v/>
      </c>
      <c r="O988" s="298" t="str">
        <f>IF(B988="", "", 'Lighting Inventory (Ref only)'!G999)</f>
        <v/>
      </c>
      <c r="P988" s="298" t="str">
        <f>IF(B988="", "", 'Lighting Inventory (Ref only)'!E999)</f>
        <v/>
      </c>
      <c r="Q988" s="298" t="str">
        <f>IF(B988="", "", 'Lighting Inventory (Ref only)'!J999)</f>
        <v/>
      </c>
      <c r="R988" s="298" t="str">
        <f>IF(B988="", "",'Lighting Inventory (Ref only)'!K999)</f>
        <v/>
      </c>
      <c r="S988" s="372" t="str">
        <f>IF(B988="", "", 'Lighting Inventory (Ref only)'!G999*'Lighting Inventory (Ref only)'!K999/1000)</f>
        <v/>
      </c>
      <c r="T988" s="298" t="str">
        <f>IF(B988="", "", IF('Lighting Inventory (Ref only)'!I999="", "Light Switch",Inventory!H996))</f>
        <v/>
      </c>
      <c r="X988" s="298" t="str">
        <f>IF(B988="", "", 'Lighting Inventory (Ref only)'!Q999)</f>
        <v/>
      </c>
      <c r="AA988" s="298" t="str">
        <f>IF(B988="", "",'Lighting Inventory (Ref only)'!R999/1000)</f>
        <v/>
      </c>
      <c r="AB988" s="298" t="str">
        <f>IF(B988="", "", Inventory!M996)</f>
        <v/>
      </c>
      <c r="AC988" s="298" t="str">
        <f>IF(B988="", "", 'Lighting Inventory (Ref only)'!T999)</f>
        <v/>
      </c>
      <c r="AD988" s="298" t="str">
        <f>IF(C988="", "", 'Lighting Inventory (Ref only)'!AA999)</f>
        <v/>
      </c>
      <c r="AE988" s="298" t="str">
        <f>IF(B988="", "", 'Lighting Inventory (Ref only)'!U999)</f>
        <v/>
      </c>
      <c r="AF988" s="298" t="str">
        <f>IF(B988="", "",'Lighting Inventory (Ref only)'!W999)</f>
        <v/>
      </c>
      <c r="AH988" s="298" t="str">
        <f>IF(B988="", "",'Lighting Inventory (Ref only)'!Z999)</f>
        <v/>
      </c>
      <c r="AI988" s="298" t="str">
        <f>IF(B988="", "", 'Lighting Inventory (Ref only)'!Y999)</f>
        <v/>
      </c>
      <c r="AJ988" s="298" t="str">
        <f>IF(C988="", "",'Lighting Inventory (Ref only)'!AB999)</f>
        <v/>
      </c>
      <c r="AK988" s="375" t="str">
        <f>IF(B988="", "", 'Lighting Inventory (Ref only)'!AG999)</f>
        <v/>
      </c>
      <c r="AL988" s="375" t="str">
        <f>IF(B988="", "", 'Lighting Inventory (Ref only)'!AD999)</f>
        <v/>
      </c>
      <c r="AM988" s="375" t="str">
        <f>IF(B988="", "", 'Lighting Inventory (Ref only)'!AE999)</f>
        <v/>
      </c>
      <c r="AN988" s="375" t="str">
        <f>IF(B988="", "", 'Lighting Inventory (Ref only)'!AF999)</f>
        <v/>
      </c>
      <c r="AO988" s="375" t="str">
        <f>IF(B988="", "", 'Lighting Inventory (Ref only)'!AG999)</f>
        <v/>
      </c>
    </row>
    <row r="989" spans="1:41">
      <c r="A989" s="298" t="str">
        <f>IF(G989="", "", Lookups!BF991)</f>
        <v/>
      </c>
      <c r="B989" s="298" t="str">
        <f>IF('Lighting Inventory (Ref only)'!Q1000="", "", 'Lighting Inventory (Ref only)'!Q1000)</f>
        <v/>
      </c>
      <c r="C989" s="298" t="str">
        <f>IF(A989="", "", 'Lighting Inventory (Ref only)'!AO1000)</f>
        <v/>
      </c>
      <c r="D989" s="298" t="str">
        <f>IF(B989= "","", Inventory!S997)</f>
        <v/>
      </c>
      <c r="F989" s="298" t="str">
        <f>IF(B989="", "", 'Version Log'!$B$34)</f>
        <v/>
      </c>
      <c r="G989" s="298" t="str">
        <f t="shared" si="60"/>
        <v/>
      </c>
      <c r="H989" s="298" t="str">
        <f t="shared" si="61"/>
        <v/>
      </c>
      <c r="I989" s="298" t="str">
        <f>IF(B989="", "",Inventory!D997)</f>
        <v/>
      </c>
      <c r="J989" s="298" t="str">
        <f>IF(B989="","",IF(Inventory!C997="N","Interior","Exterior"))</f>
        <v/>
      </c>
      <c r="K989" s="298" t="str">
        <f t="shared" si="62"/>
        <v/>
      </c>
      <c r="L989" s="298" t="str">
        <f>IF(B989="", "", Inventory!E997)</f>
        <v/>
      </c>
      <c r="M989" s="298" t="str">
        <f>IF(B989="","",IF(Cool_Type=Lookups!$L$9,Cool_Type,IF(Cool_Type=Lookups!$L$10,Cool_Type,IF(Cool_Type=Lookups!$L$11,Cool_Type,IF(Cool_Type=Lookups!L999,Cool_Type,IF('Project Info and Summary'!$C$20="Electric",CONCATENATE(Cool_Type," ",Heating_Type," Heat"),IF('Project Info and Summary'!$C$20="Non-Electric",CONCATENATE(Cool_Type," ",Heating_Type," Heat"),CONCATENATE(Cool_Type," ",Heating_Type))))))))</f>
        <v/>
      </c>
      <c r="N989" s="298" t="str">
        <f t="shared" si="63"/>
        <v/>
      </c>
      <c r="O989" s="298" t="str">
        <f>IF(B989="", "", 'Lighting Inventory (Ref only)'!G1000)</f>
        <v/>
      </c>
      <c r="P989" s="298" t="str">
        <f>IF(B989="", "", 'Lighting Inventory (Ref only)'!E1000)</f>
        <v/>
      </c>
      <c r="Q989" s="298" t="str">
        <f>IF(B989="", "", 'Lighting Inventory (Ref only)'!J1000)</f>
        <v/>
      </c>
      <c r="R989" s="298" t="str">
        <f>IF(B989="", "",'Lighting Inventory (Ref only)'!K1000)</f>
        <v/>
      </c>
      <c r="S989" s="372" t="str">
        <f>IF(B989="", "", 'Lighting Inventory (Ref only)'!G1000*'Lighting Inventory (Ref only)'!K1000/1000)</f>
        <v/>
      </c>
      <c r="T989" s="298" t="str">
        <f>IF(B989="", "", IF('Lighting Inventory (Ref only)'!I1000="", "Light Switch",Inventory!H997))</f>
        <v/>
      </c>
      <c r="X989" s="298" t="str">
        <f>IF(B989="", "", 'Lighting Inventory (Ref only)'!Q1000)</f>
        <v/>
      </c>
      <c r="AA989" s="298" t="str">
        <f>IF(B989="", "",'Lighting Inventory (Ref only)'!R1000/1000)</f>
        <v/>
      </c>
      <c r="AB989" s="298" t="str">
        <f>IF(B989="", "", Inventory!M997)</f>
        <v/>
      </c>
      <c r="AC989" s="298" t="str">
        <f>IF(B989="", "", 'Lighting Inventory (Ref only)'!T1000)</f>
        <v/>
      </c>
      <c r="AD989" s="298" t="str">
        <f>IF(C989="", "", 'Lighting Inventory (Ref only)'!AA1000)</f>
        <v/>
      </c>
      <c r="AE989" s="298" t="str">
        <f>IF(B989="", "", 'Lighting Inventory (Ref only)'!U1000)</f>
        <v/>
      </c>
      <c r="AF989" s="298" t="str">
        <f>IF(B989="", "",'Lighting Inventory (Ref only)'!W1000)</f>
        <v/>
      </c>
      <c r="AH989" s="298" t="str">
        <f>IF(B989="", "",'Lighting Inventory (Ref only)'!Z1000)</f>
        <v/>
      </c>
      <c r="AI989" s="298" t="str">
        <f>IF(B989="", "", 'Lighting Inventory (Ref only)'!Y1000)</f>
        <v/>
      </c>
      <c r="AJ989" s="298" t="str">
        <f>IF(C989="", "",'Lighting Inventory (Ref only)'!AB1000)</f>
        <v/>
      </c>
      <c r="AK989" s="375" t="str">
        <f>IF(B989="", "", 'Lighting Inventory (Ref only)'!AG1000)</f>
        <v/>
      </c>
      <c r="AL989" s="375" t="str">
        <f>IF(B989="", "", 'Lighting Inventory (Ref only)'!AD1000)</f>
        <v/>
      </c>
      <c r="AM989" s="375" t="str">
        <f>IF(B989="", "", 'Lighting Inventory (Ref only)'!AE1000)</f>
        <v/>
      </c>
      <c r="AN989" s="375" t="str">
        <f>IF(B989="", "", 'Lighting Inventory (Ref only)'!AF1000)</f>
        <v/>
      </c>
      <c r="AO989" s="375" t="str">
        <f>IF(B989="", "", 'Lighting Inventory (Ref only)'!AG1000)</f>
        <v/>
      </c>
    </row>
    <row r="990" spans="1:41">
      <c r="A990" s="298" t="str">
        <f>IF(G990="", "", Lookups!BF992)</f>
        <v/>
      </c>
      <c r="B990" s="298" t="str">
        <f>IF('Lighting Inventory (Ref only)'!Q1001="", "", 'Lighting Inventory (Ref only)'!Q1001)</f>
        <v/>
      </c>
      <c r="C990" s="298" t="str">
        <f>IF(A990="", "", 'Lighting Inventory (Ref only)'!AO1001)</f>
        <v/>
      </c>
      <c r="D990" s="298" t="str">
        <f>IF(B990= "","", Inventory!S998)</f>
        <v/>
      </c>
      <c r="F990" s="298" t="str">
        <f>IF(B990="", "", 'Version Log'!$B$34)</f>
        <v/>
      </c>
      <c r="G990" s="298" t="str">
        <f t="shared" si="60"/>
        <v/>
      </c>
      <c r="H990" s="298" t="str">
        <f t="shared" si="61"/>
        <v/>
      </c>
      <c r="I990" s="298" t="str">
        <f>IF(B990="", "",Inventory!D998)</f>
        <v/>
      </c>
      <c r="J990" s="298" t="str">
        <f>IF(B990="","",IF(Inventory!C998="N","Interior","Exterior"))</f>
        <v/>
      </c>
      <c r="K990" s="298" t="str">
        <f t="shared" si="62"/>
        <v/>
      </c>
      <c r="L990" s="298" t="str">
        <f>IF(B990="", "", Inventory!E998)</f>
        <v/>
      </c>
      <c r="M990" s="298" t="str">
        <f>IF(B990="","",IF(Cool_Type=Lookups!$L$9,Cool_Type,IF(Cool_Type=Lookups!$L$10,Cool_Type,IF(Cool_Type=Lookups!$L$11,Cool_Type,IF(Cool_Type=Lookups!L1000,Cool_Type,IF('Project Info and Summary'!$C$20="Electric",CONCATENATE(Cool_Type," ",Heating_Type," Heat"),IF('Project Info and Summary'!$C$20="Non-Electric",CONCATENATE(Cool_Type," ",Heating_Type," Heat"),CONCATENATE(Cool_Type," ",Heating_Type))))))))</f>
        <v/>
      </c>
      <c r="N990" s="298" t="str">
        <f t="shared" si="63"/>
        <v/>
      </c>
      <c r="O990" s="298" t="str">
        <f>IF(B990="", "", 'Lighting Inventory (Ref only)'!G1001)</f>
        <v/>
      </c>
      <c r="P990" s="298" t="str">
        <f>IF(B990="", "", 'Lighting Inventory (Ref only)'!E1001)</f>
        <v/>
      </c>
      <c r="Q990" s="298" t="str">
        <f>IF(B990="", "", 'Lighting Inventory (Ref only)'!J1001)</f>
        <v/>
      </c>
      <c r="R990" s="298" t="str">
        <f>IF(B990="", "",'Lighting Inventory (Ref only)'!K1001)</f>
        <v/>
      </c>
      <c r="S990" s="372" t="str">
        <f>IF(B990="", "", 'Lighting Inventory (Ref only)'!G1001*'Lighting Inventory (Ref only)'!K1001/1000)</f>
        <v/>
      </c>
      <c r="T990" s="298" t="str">
        <f>IF(B990="", "", IF('Lighting Inventory (Ref only)'!I1001="", "Light Switch",Inventory!H998))</f>
        <v/>
      </c>
      <c r="X990" s="298" t="str">
        <f>IF(B990="", "", 'Lighting Inventory (Ref only)'!Q1001)</f>
        <v/>
      </c>
      <c r="AA990" s="298" t="str">
        <f>IF(B990="", "",'Lighting Inventory (Ref only)'!R1001/1000)</f>
        <v/>
      </c>
      <c r="AB990" s="298" t="str">
        <f>IF(B990="", "", Inventory!M998)</f>
        <v/>
      </c>
      <c r="AC990" s="298" t="str">
        <f>IF(B990="", "", 'Lighting Inventory (Ref only)'!T1001)</f>
        <v/>
      </c>
      <c r="AD990" s="298" t="str">
        <f>IF(C990="", "", 'Lighting Inventory (Ref only)'!AA1001)</f>
        <v/>
      </c>
      <c r="AE990" s="298" t="str">
        <f>IF(B990="", "", 'Lighting Inventory (Ref only)'!U1001)</f>
        <v/>
      </c>
      <c r="AF990" s="298" t="str">
        <f>IF(B990="", "",'Lighting Inventory (Ref only)'!W1001)</f>
        <v/>
      </c>
      <c r="AH990" s="298" t="str">
        <f>IF(B990="", "",'Lighting Inventory (Ref only)'!Z1001)</f>
        <v/>
      </c>
      <c r="AI990" s="298" t="str">
        <f>IF(B990="", "", 'Lighting Inventory (Ref only)'!Y1001)</f>
        <v/>
      </c>
      <c r="AJ990" s="298" t="str">
        <f>IF(C990="", "",'Lighting Inventory (Ref only)'!AB1001)</f>
        <v/>
      </c>
      <c r="AK990" s="375" t="str">
        <f>IF(B990="", "", 'Lighting Inventory (Ref only)'!AG1001)</f>
        <v/>
      </c>
      <c r="AL990" s="375" t="str">
        <f>IF(B990="", "", 'Lighting Inventory (Ref only)'!AD1001)</f>
        <v/>
      </c>
      <c r="AM990" s="375" t="str">
        <f>IF(B990="", "", 'Lighting Inventory (Ref only)'!AE1001)</f>
        <v/>
      </c>
      <c r="AN990" s="375" t="str">
        <f>IF(B990="", "", 'Lighting Inventory (Ref only)'!AF1001)</f>
        <v/>
      </c>
      <c r="AO990" s="375" t="str">
        <f>IF(B990="", "", 'Lighting Inventory (Ref only)'!AG1001)</f>
        <v/>
      </c>
    </row>
    <row r="991" spans="1:41">
      <c r="A991" s="298" t="str">
        <f>IF(G991="", "", Lookups!BF993)</f>
        <v/>
      </c>
      <c r="B991" s="298" t="str">
        <f>IF('Lighting Inventory (Ref only)'!Q1002="", "", 'Lighting Inventory (Ref only)'!Q1002)</f>
        <v/>
      </c>
      <c r="C991" s="298" t="str">
        <f>IF(A991="", "", 'Lighting Inventory (Ref only)'!AO1002)</f>
        <v/>
      </c>
      <c r="D991" s="298" t="str">
        <f>IF(B991= "","", Inventory!S999)</f>
        <v/>
      </c>
      <c r="F991" s="298" t="str">
        <f>IF(B991="", "", 'Version Log'!$B$34)</f>
        <v/>
      </c>
      <c r="G991" s="298" t="str">
        <f t="shared" si="60"/>
        <v/>
      </c>
      <c r="H991" s="298" t="str">
        <f t="shared" si="61"/>
        <v/>
      </c>
      <c r="I991" s="298" t="str">
        <f>IF(B991="", "",Inventory!D999)</f>
        <v/>
      </c>
      <c r="J991" s="298" t="str">
        <f>IF(B991="","",IF(Inventory!C999="N","Interior","Exterior"))</f>
        <v/>
      </c>
      <c r="K991" s="298" t="str">
        <f t="shared" si="62"/>
        <v/>
      </c>
      <c r="L991" s="298" t="str">
        <f>IF(B991="", "", Inventory!E999)</f>
        <v/>
      </c>
      <c r="M991" s="298" t="str">
        <f>IF(B991="","",IF(Cool_Type=Lookups!$L$9,Cool_Type,IF(Cool_Type=Lookups!$L$10,Cool_Type,IF(Cool_Type=Lookups!$L$11,Cool_Type,IF(Cool_Type=Lookups!L1001,Cool_Type,IF('Project Info and Summary'!$C$20="Electric",CONCATENATE(Cool_Type," ",Heating_Type," Heat"),IF('Project Info and Summary'!$C$20="Non-Electric",CONCATENATE(Cool_Type," ",Heating_Type," Heat"),CONCATENATE(Cool_Type," ",Heating_Type))))))))</f>
        <v/>
      </c>
      <c r="N991" s="298" t="str">
        <f t="shared" si="63"/>
        <v/>
      </c>
      <c r="O991" s="298" t="str">
        <f>IF(B991="", "", 'Lighting Inventory (Ref only)'!G1002)</f>
        <v/>
      </c>
      <c r="P991" s="298" t="str">
        <f>IF(B991="", "", 'Lighting Inventory (Ref only)'!E1002)</f>
        <v/>
      </c>
      <c r="Q991" s="298" t="str">
        <f>IF(B991="", "", 'Lighting Inventory (Ref only)'!J1002)</f>
        <v/>
      </c>
      <c r="R991" s="298" t="str">
        <f>IF(B991="", "",'Lighting Inventory (Ref only)'!K1002)</f>
        <v/>
      </c>
      <c r="S991" s="372" t="str">
        <f>IF(B991="", "", 'Lighting Inventory (Ref only)'!G1002*'Lighting Inventory (Ref only)'!K1002/1000)</f>
        <v/>
      </c>
      <c r="T991" s="298" t="str">
        <f>IF(B991="", "", IF('Lighting Inventory (Ref only)'!I1002="", "Light Switch",Inventory!H999))</f>
        <v/>
      </c>
      <c r="X991" s="298" t="str">
        <f>IF(B991="", "", 'Lighting Inventory (Ref only)'!Q1002)</f>
        <v/>
      </c>
      <c r="AA991" s="298" t="str">
        <f>IF(B991="", "",'Lighting Inventory (Ref only)'!R1002/1000)</f>
        <v/>
      </c>
      <c r="AB991" s="298" t="str">
        <f>IF(B991="", "", Inventory!M999)</f>
        <v/>
      </c>
      <c r="AC991" s="298" t="str">
        <f>IF(B991="", "", 'Lighting Inventory (Ref only)'!T1002)</f>
        <v/>
      </c>
      <c r="AD991" s="298" t="str">
        <f>IF(C991="", "", 'Lighting Inventory (Ref only)'!AA1002)</f>
        <v/>
      </c>
      <c r="AE991" s="298" t="str">
        <f>IF(B991="", "", 'Lighting Inventory (Ref only)'!U1002)</f>
        <v/>
      </c>
      <c r="AF991" s="298" t="str">
        <f>IF(B991="", "",'Lighting Inventory (Ref only)'!W1002)</f>
        <v/>
      </c>
      <c r="AH991" s="298" t="str">
        <f>IF(B991="", "",'Lighting Inventory (Ref only)'!Z1002)</f>
        <v/>
      </c>
      <c r="AI991" s="298" t="str">
        <f>IF(B991="", "", 'Lighting Inventory (Ref only)'!Y1002)</f>
        <v/>
      </c>
      <c r="AJ991" s="298" t="str">
        <f>IF(C991="", "",'Lighting Inventory (Ref only)'!AB1002)</f>
        <v/>
      </c>
      <c r="AK991" s="375" t="str">
        <f>IF(B991="", "", 'Lighting Inventory (Ref only)'!AG1002)</f>
        <v/>
      </c>
      <c r="AL991" s="375" t="str">
        <f>IF(B991="", "", 'Lighting Inventory (Ref only)'!AD1002)</f>
        <v/>
      </c>
      <c r="AM991" s="375" t="str">
        <f>IF(B991="", "", 'Lighting Inventory (Ref only)'!AE1002)</f>
        <v/>
      </c>
      <c r="AN991" s="375" t="str">
        <f>IF(B991="", "", 'Lighting Inventory (Ref only)'!AF1002)</f>
        <v/>
      </c>
      <c r="AO991" s="375" t="str">
        <f>IF(B991="", "", 'Lighting Inventory (Ref only)'!AG1002)</f>
        <v/>
      </c>
    </row>
    <row r="992" spans="1:41">
      <c r="A992" s="298" t="str">
        <f>IF(G992="", "", Lookups!BF994)</f>
        <v/>
      </c>
      <c r="B992" s="298" t="str">
        <f>IF('Lighting Inventory (Ref only)'!Q1003="", "", 'Lighting Inventory (Ref only)'!Q1003)</f>
        <v/>
      </c>
      <c r="C992" s="298" t="str">
        <f>IF(A992="", "", 'Lighting Inventory (Ref only)'!AO1003)</f>
        <v/>
      </c>
      <c r="D992" s="298" t="str">
        <f>IF(B992= "","", Inventory!S1000)</f>
        <v/>
      </c>
      <c r="F992" s="298" t="str">
        <f>IF(B992="", "", 'Version Log'!$B$34)</f>
        <v/>
      </c>
      <c r="G992" s="298" t="str">
        <f t="shared" si="60"/>
        <v/>
      </c>
      <c r="H992" s="298" t="str">
        <f t="shared" si="61"/>
        <v/>
      </c>
      <c r="I992" s="298" t="str">
        <f>IF(B992="", "",Inventory!D1000)</f>
        <v/>
      </c>
      <c r="J992" s="298" t="str">
        <f>IF(B992="","",IF(Inventory!C1000="N","Interior","Exterior"))</f>
        <v/>
      </c>
      <c r="K992" s="298" t="str">
        <f t="shared" si="62"/>
        <v/>
      </c>
      <c r="L992" s="298" t="str">
        <f>IF(B992="", "", Inventory!E1000)</f>
        <v/>
      </c>
      <c r="M992" s="298" t="str">
        <f>IF(B992="","",IF(Cool_Type=Lookups!$L$9,Cool_Type,IF(Cool_Type=Lookups!$L$10,Cool_Type,IF(Cool_Type=Lookups!$L$11,Cool_Type,IF(Cool_Type=Lookups!L1002,Cool_Type,IF('Project Info and Summary'!$C$20="Electric",CONCATENATE(Cool_Type," ",Heating_Type," Heat"),IF('Project Info and Summary'!$C$20="Non-Electric",CONCATENATE(Cool_Type," ",Heating_Type," Heat"),CONCATENATE(Cool_Type," ",Heating_Type))))))))</f>
        <v/>
      </c>
      <c r="N992" s="298" t="str">
        <f t="shared" si="63"/>
        <v/>
      </c>
      <c r="O992" s="298" t="str">
        <f>IF(B992="", "", 'Lighting Inventory (Ref only)'!G1003)</f>
        <v/>
      </c>
      <c r="P992" s="298" t="str">
        <f>IF(B992="", "", 'Lighting Inventory (Ref only)'!E1003)</f>
        <v/>
      </c>
      <c r="Q992" s="298" t="str">
        <f>IF(B992="", "", 'Lighting Inventory (Ref only)'!J1003)</f>
        <v/>
      </c>
      <c r="R992" s="298" t="str">
        <f>IF(B992="", "",'Lighting Inventory (Ref only)'!K1003)</f>
        <v/>
      </c>
      <c r="S992" s="372" t="str">
        <f>IF(B992="", "", 'Lighting Inventory (Ref only)'!G1003*'Lighting Inventory (Ref only)'!K1003/1000)</f>
        <v/>
      </c>
      <c r="T992" s="298" t="str">
        <f>IF(B992="", "", IF('Lighting Inventory (Ref only)'!I1003="", "Light Switch",Inventory!H1000))</f>
        <v/>
      </c>
      <c r="X992" s="298" t="str">
        <f>IF(B992="", "", 'Lighting Inventory (Ref only)'!Q1003)</f>
        <v/>
      </c>
      <c r="AA992" s="298" t="str">
        <f>IF(B992="", "",'Lighting Inventory (Ref only)'!R1003/1000)</f>
        <v/>
      </c>
      <c r="AB992" s="298" t="str">
        <f>IF(B992="", "", Inventory!M1000)</f>
        <v/>
      </c>
      <c r="AC992" s="298" t="str">
        <f>IF(B992="", "", 'Lighting Inventory (Ref only)'!T1003)</f>
        <v/>
      </c>
      <c r="AD992" s="298" t="str">
        <f>IF(C992="", "", 'Lighting Inventory (Ref only)'!AA1003)</f>
        <v/>
      </c>
      <c r="AE992" s="298" t="str">
        <f>IF(B992="", "", 'Lighting Inventory (Ref only)'!U1003)</f>
        <v/>
      </c>
      <c r="AF992" s="298" t="str">
        <f>IF(B992="", "",'Lighting Inventory (Ref only)'!W1003)</f>
        <v/>
      </c>
      <c r="AH992" s="298" t="str">
        <f>IF(B992="", "",'Lighting Inventory (Ref only)'!Z1003)</f>
        <v/>
      </c>
      <c r="AI992" s="298" t="str">
        <f>IF(B992="", "", 'Lighting Inventory (Ref only)'!Y1003)</f>
        <v/>
      </c>
      <c r="AJ992" s="298" t="str">
        <f>IF(C992="", "",'Lighting Inventory (Ref only)'!AB1003)</f>
        <v/>
      </c>
      <c r="AK992" s="375" t="str">
        <f>IF(B992="", "", 'Lighting Inventory (Ref only)'!AG1003)</f>
        <v/>
      </c>
      <c r="AL992" s="375" t="str">
        <f>IF(B992="", "", 'Lighting Inventory (Ref only)'!AD1003)</f>
        <v/>
      </c>
      <c r="AM992" s="375" t="str">
        <f>IF(B992="", "", 'Lighting Inventory (Ref only)'!AE1003)</f>
        <v/>
      </c>
      <c r="AN992" s="375" t="str">
        <f>IF(B992="", "", 'Lighting Inventory (Ref only)'!AF1003)</f>
        <v/>
      </c>
      <c r="AO992" s="375" t="str">
        <f>IF(B992="", "", 'Lighting Inventory (Ref only)'!AG1003)</f>
        <v/>
      </c>
    </row>
    <row r="993" spans="1:41">
      <c r="A993" s="298" t="str">
        <f>IF(G993="", "", Lookups!BF995)</f>
        <v/>
      </c>
      <c r="B993" s="298" t="str">
        <f>IF('Lighting Inventory (Ref only)'!Q1004="", "", 'Lighting Inventory (Ref only)'!Q1004)</f>
        <v/>
      </c>
      <c r="C993" s="298" t="str">
        <f>IF(A993="", "", 'Lighting Inventory (Ref only)'!AO1004)</f>
        <v/>
      </c>
      <c r="D993" s="298" t="str">
        <f>IF(B993= "","", Inventory!S1001)</f>
        <v/>
      </c>
      <c r="F993" s="298" t="str">
        <f>IF(B993="", "", 'Version Log'!$B$34)</f>
        <v/>
      </c>
      <c r="G993" s="298" t="str">
        <f t="shared" si="60"/>
        <v/>
      </c>
      <c r="H993" s="298" t="str">
        <f t="shared" si="61"/>
        <v/>
      </c>
      <c r="I993" s="298" t="str">
        <f>IF(B993="", "",Inventory!D1001)</f>
        <v/>
      </c>
      <c r="J993" s="298" t="str">
        <f>IF(B993="","",IF(Inventory!C1001="N","Interior","Exterior"))</f>
        <v/>
      </c>
      <c r="K993" s="298" t="str">
        <f t="shared" si="62"/>
        <v/>
      </c>
      <c r="L993" s="298" t="str">
        <f>IF(B993="", "", Inventory!E1001)</f>
        <v/>
      </c>
      <c r="M993" s="298" t="str">
        <f>IF(B993="","",IF(Cool_Type=Lookups!$L$9,Cool_Type,IF(Cool_Type=Lookups!$L$10,Cool_Type,IF(Cool_Type=Lookups!$L$11,Cool_Type,IF(Cool_Type=Lookups!L1003,Cool_Type,IF('Project Info and Summary'!$C$20="Electric",CONCATENATE(Cool_Type," ",Heating_Type," Heat"),IF('Project Info and Summary'!$C$20="Non-Electric",CONCATENATE(Cool_Type," ",Heating_Type," Heat"),CONCATENATE(Cool_Type," ",Heating_Type))))))))</f>
        <v/>
      </c>
      <c r="N993" s="298" t="str">
        <f t="shared" si="63"/>
        <v/>
      </c>
      <c r="O993" s="298" t="str">
        <f>IF(B993="", "", 'Lighting Inventory (Ref only)'!G1004)</f>
        <v/>
      </c>
      <c r="P993" s="298" t="str">
        <f>IF(B993="", "", 'Lighting Inventory (Ref only)'!E1004)</f>
        <v/>
      </c>
      <c r="Q993" s="298" t="str">
        <f>IF(B993="", "", 'Lighting Inventory (Ref only)'!J1004)</f>
        <v/>
      </c>
      <c r="R993" s="298" t="str">
        <f>IF(B993="", "",'Lighting Inventory (Ref only)'!K1004)</f>
        <v/>
      </c>
      <c r="S993" s="372" t="str">
        <f>IF(B993="", "", 'Lighting Inventory (Ref only)'!G1004*'Lighting Inventory (Ref only)'!K1004/1000)</f>
        <v/>
      </c>
      <c r="T993" s="298" t="str">
        <f>IF(B993="", "", IF('Lighting Inventory (Ref only)'!I1004="", "Light Switch",Inventory!H1001))</f>
        <v/>
      </c>
      <c r="X993" s="298" t="str">
        <f>IF(B993="", "", 'Lighting Inventory (Ref only)'!Q1004)</f>
        <v/>
      </c>
      <c r="AA993" s="298" t="str">
        <f>IF(B993="", "",'Lighting Inventory (Ref only)'!R1004/1000)</f>
        <v/>
      </c>
      <c r="AB993" s="298" t="str">
        <f>IF(B993="", "", Inventory!M1001)</f>
        <v/>
      </c>
      <c r="AC993" s="298" t="str">
        <f>IF(B993="", "", 'Lighting Inventory (Ref only)'!T1004)</f>
        <v/>
      </c>
      <c r="AD993" s="298" t="str">
        <f>IF(C993="", "", 'Lighting Inventory (Ref only)'!AA1004)</f>
        <v/>
      </c>
      <c r="AE993" s="298" t="str">
        <f>IF(B993="", "", 'Lighting Inventory (Ref only)'!U1004)</f>
        <v/>
      </c>
      <c r="AF993" s="298" t="str">
        <f>IF(B993="", "",'Lighting Inventory (Ref only)'!W1004)</f>
        <v/>
      </c>
      <c r="AH993" s="298" t="str">
        <f>IF(B993="", "",'Lighting Inventory (Ref only)'!Z1004)</f>
        <v/>
      </c>
      <c r="AI993" s="298" t="str">
        <f>IF(B993="", "", 'Lighting Inventory (Ref only)'!Y1004)</f>
        <v/>
      </c>
      <c r="AJ993" s="298" t="str">
        <f>IF(C993="", "",'Lighting Inventory (Ref only)'!AB1004)</f>
        <v/>
      </c>
      <c r="AK993" s="375" t="str">
        <f>IF(B993="", "", 'Lighting Inventory (Ref only)'!AG1004)</f>
        <v/>
      </c>
      <c r="AL993" s="375" t="str">
        <f>IF(B993="", "", 'Lighting Inventory (Ref only)'!AD1004)</f>
        <v/>
      </c>
      <c r="AM993" s="375" t="str">
        <f>IF(B993="", "", 'Lighting Inventory (Ref only)'!AE1004)</f>
        <v/>
      </c>
      <c r="AN993" s="375" t="str">
        <f>IF(B993="", "", 'Lighting Inventory (Ref only)'!AF1004)</f>
        <v/>
      </c>
      <c r="AO993" s="375" t="str">
        <f>IF(B993="", "", 'Lighting Inventory (Ref only)'!AG1004)</f>
        <v/>
      </c>
    </row>
    <row r="994" spans="1:41">
      <c r="A994" s="298" t="str">
        <f>IF(G994="", "", Lookups!BF996)</f>
        <v/>
      </c>
      <c r="B994" s="298" t="str">
        <f>IF('Lighting Inventory (Ref only)'!Q1005="", "", 'Lighting Inventory (Ref only)'!Q1005)</f>
        <v/>
      </c>
      <c r="C994" s="298" t="str">
        <f>IF(A994="", "", 'Lighting Inventory (Ref only)'!AO1005)</f>
        <v/>
      </c>
      <c r="D994" s="298" t="str">
        <f>IF(B994= "","", Inventory!S1002)</f>
        <v/>
      </c>
      <c r="F994" s="298" t="str">
        <f>IF(B994="", "", 'Version Log'!$B$34)</f>
        <v/>
      </c>
      <c r="G994" s="298" t="str">
        <f t="shared" si="60"/>
        <v/>
      </c>
      <c r="H994" s="298" t="str">
        <f t="shared" si="61"/>
        <v/>
      </c>
      <c r="I994" s="298" t="str">
        <f>IF(B994="", "",Inventory!D1002)</f>
        <v/>
      </c>
      <c r="J994" s="298" t="str">
        <f>IF(B994="","",IF(Inventory!C1002="N","Interior","Exterior"))</f>
        <v/>
      </c>
      <c r="K994" s="298" t="str">
        <f t="shared" si="62"/>
        <v/>
      </c>
      <c r="L994" s="298" t="str">
        <f>IF(B994="", "", Inventory!E1002)</f>
        <v/>
      </c>
      <c r="M994" s="298" t="str">
        <f>IF(B994="","",IF(Cool_Type=Lookups!$L$9,Cool_Type,IF(Cool_Type=Lookups!$L$10,Cool_Type,IF(Cool_Type=Lookups!$L$11,Cool_Type,IF(Cool_Type=Lookups!L1004,Cool_Type,IF('Project Info and Summary'!$C$20="Electric",CONCATENATE(Cool_Type," ",Heating_Type," Heat"),IF('Project Info and Summary'!$C$20="Non-Electric",CONCATENATE(Cool_Type," ",Heating_Type," Heat"),CONCATENATE(Cool_Type," ",Heating_Type))))))))</f>
        <v/>
      </c>
      <c r="N994" s="298" t="str">
        <f t="shared" si="63"/>
        <v/>
      </c>
      <c r="O994" s="298" t="str">
        <f>IF(B994="", "", 'Lighting Inventory (Ref only)'!G1005)</f>
        <v/>
      </c>
      <c r="P994" s="298" t="str">
        <f>IF(B994="", "", 'Lighting Inventory (Ref only)'!E1005)</f>
        <v/>
      </c>
      <c r="Q994" s="298" t="str">
        <f>IF(B994="", "", 'Lighting Inventory (Ref only)'!J1005)</f>
        <v/>
      </c>
      <c r="R994" s="298" t="str">
        <f>IF(B994="", "",'Lighting Inventory (Ref only)'!K1005)</f>
        <v/>
      </c>
      <c r="S994" s="372" t="str">
        <f>IF(B994="", "", 'Lighting Inventory (Ref only)'!G1005*'Lighting Inventory (Ref only)'!K1005/1000)</f>
        <v/>
      </c>
      <c r="T994" s="298" t="str">
        <f>IF(B994="", "", IF('Lighting Inventory (Ref only)'!I1005="", "Light Switch",Inventory!H1002))</f>
        <v/>
      </c>
      <c r="X994" s="298" t="str">
        <f>IF(B994="", "", 'Lighting Inventory (Ref only)'!Q1005)</f>
        <v/>
      </c>
      <c r="AA994" s="298" t="str">
        <f>IF(B994="", "",'Lighting Inventory (Ref only)'!R1005/1000)</f>
        <v/>
      </c>
      <c r="AB994" s="298" t="str">
        <f>IF(B994="", "", Inventory!M1002)</f>
        <v/>
      </c>
      <c r="AC994" s="298" t="str">
        <f>IF(B994="", "", 'Lighting Inventory (Ref only)'!T1005)</f>
        <v/>
      </c>
      <c r="AD994" s="298" t="str">
        <f>IF(C994="", "", 'Lighting Inventory (Ref only)'!AA1005)</f>
        <v/>
      </c>
      <c r="AE994" s="298" t="str">
        <f>IF(B994="", "", 'Lighting Inventory (Ref only)'!U1005)</f>
        <v/>
      </c>
      <c r="AF994" s="298" t="str">
        <f>IF(B994="", "",'Lighting Inventory (Ref only)'!W1005)</f>
        <v/>
      </c>
      <c r="AH994" s="298" t="str">
        <f>IF(B994="", "",'Lighting Inventory (Ref only)'!Z1005)</f>
        <v/>
      </c>
      <c r="AI994" s="298" t="str">
        <f>IF(B994="", "", 'Lighting Inventory (Ref only)'!Y1005)</f>
        <v/>
      </c>
      <c r="AJ994" s="298" t="str">
        <f>IF(C994="", "",'Lighting Inventory (Ref only)'!AB1005)</f>
        <v/>
      </c>
      <c r="AK994" s="375" t="str">
        <f>IF(B994="", "", 'Lighting Inventory (Ref only)'!AG1005)</f>
        <v/>
      </c>
      <c r="AL994" s="375" t="str">
        <f>IF(B994="", "", 'Lighting Inventory (Ref only)'!AD1005)</f>
        <v/>
      </c>
      <c r="AM994" s="375" t="str">
        <f>IF(B994="", "", 'Lighting Inventory (Ref only)'!AE1005)</f>
        <v/>
      </c>
      <c r="AN994" s="375" t="str">
        <f>IF(B994="", "", 'Lighting Inventory (Ref only)'!AF1005)</f>
        <v/>
      </c>
      <c r="AO994" s="375" t="str">
        <f>IF(B994="", "", 'Lighting Inventory (Ref only)'!AG1005)</f>
        <v/>
      </c>
    </row>
    <row r="995" spans="1:41">
      <c r="A995" s="298" t="str">
        <f>IF(G995="", "", Lookups!BF997)</f>
        <v/>
      </c>
      <c r="B995" s="298" t="str">
        <f>IF('Lighting Inventory (Ref only)'!Q1006="", "", 'Lighting Inventory (Ref only)'!Q1006)</f>
        <v/>
      </c>
      <c r="C995" s="298" t="str">
        <f>IF(A995="", "", 'Lighting Inventory (Ref only)'!AO1006)</f>
        <v/>
      </c>
      <c r="D995" s="298" t="str">
        <f>IF(B995= "","", Inventory!S1003)</f>
        <v/>
      </c>
      <c r="F995" s="298" t="str">
        <f>IF(B995="", "", 'Version Log'!$B$34)</f>
        <v/>
      </c>
      <c r="G995" s="298" t="str">
        <f t="shared" si="60"/>
        <v/>
      </c>
      <c r="H995" s="298" t="str">
        <f t="shared" si="61"/>
        <v/>
      </c>
      <c r="I995" s="298" t="str">
        <f>IF(B995="", "",Inventory!D1003)</f>
        <v/>
      </c>
      <c r="J995" s="298" t="str">
        <f>IF(B995="","",IF(Inventory!C1003="N","Interior","Exterior"))</f>
        <v/>
      </c>
      <c r="K995" s="298" t="str">
        <f t="shared" si="62"/>
        <v/>
      </c>
      <c r="L995" s="298" t="str">
        <f>IF(B995="", "", Inventory!E1003)</f>
        <v/>
      </c>
      <c r="M995" s="298" t="str">
        <f>IF(B995="","",IF(Cool_Type=Lookups!$L$9,Cool_Type,IF(Cool_Type=Lookups!$L$10,Cool_Type,IF(Cool_Type=Lookups!$L$11,Cool_Type,IF(Cool_Type=Lookups!L1005,Cool_Type,IF('Project Info and Summary'!$C$20="Electric",CONCATENATE(Cool_Type," ",Heating_Type," Heat"),IF('Project Info and Summary'!$C$20="Non-Electric",CONCATENATE(Cool_Type," ",Heating_Type," Heat"),CONCATENATE(Cool_Type," ",Heating_Type))))))))</f>
        <v/>
      </c>
      <c r="N995" s="298" t="str">
        <f t="shared" si="63"/>
        <v/>
      </c>
      <c r="O995" s="298" t="str">
        <f>IF(B995="", "", 'Lighting Inventory (Ref only)'!G1006)</f>
        <v/>
      </c>
      <c r="P995" s="298" t="str">
        <f>IF(B995="", "", 'Lighting Inventory (Ref only)'!E1006)</f>
        <v/>
      </c>
      <c r="Q995" s="298" t="str">
        <f>IF(B995="", "", 'Lighting Inventory (Ref only)'!J1006)</f>
        <v/>
      </c>
      <c r="R995" s="298" t="str">
        <f>IF(B995="", "",'Lighting Inventory (Ref only)'!K1006)</f>
        <v/>
      </c>
      <c r="S995" s="372" t="str">
        <f>IF(B995="", "", 'Lighting Inventory (Ref only)'!G1006*'Lighting Inventory (Ref only)'!K1006/1000)</f>
        <v/>
      </c>
      <c r="T995" s="298" t="str">
        <f>IF(B995="", "", IF('Lighting Inventory (Ref only)'!I1006="", "Light Switch",Inventory!H1003))</f>
        <v/>
      </c>
      <c r="X995" s="298" t="str">
        <f>IF(B995="", "", 'Lighting Inventory (Ref only)'!Q1006)</f>
        <v/>
      </c>
      <c r="AA995" s="298" t="str">
        <f>IF(B995="", "",'Lighting Inventory (Ref only)'!R1006/1000)</f>
        <v/>
      </c>
      <c r="AB995" s="298" t="str">
        <f>IF(B995="", "", Inventory!M1003)</f>
        <v/>
      </c>
      <c r="AC995" s="298" t="str">
        <f>IF(B995="", "", 'Lighting Inventory (Ref only)'!T1006)</f>
        <v/>
      </c>
      <c r="AD995" s="298" t="str">
        <f>IF(C995="", "", 'Lighting Inventory (Ref only)'!AA1006)</f>
        <v/>
      </c>
      <c r="AE995" s="298" t="str">
        <f>IF(B995="", "", 'Lighting Inventory (Ref only)'!U1006)</f>
        <v/>
      </c>
      <c r="AF995" s="298" t="str">
        <f>IF(B995="", "",'Lighting Inventory (Ref only)'!W1006)</f>
        <v/>
      </c>
      <c r="AH995" s="298" t="str">
        <f>IF(B995="", "",'Lighting Inventory (Ref only)'!Z1006)</f>
        <v/>
      </c>
      <c r="AI995" s="298" t="str">
        <f>IF(B995="", "", 'Lighting Inventory (Ref only)'!Y1006)</f>
        <v/>
      </c>
      <c r="AJ995" s="298" t="str">
        <f>IF(C995="", "",'Lighting Inventory (Ref only)'!AB1006)</f>
        <v/>
      </c>
      <c r="AK995" s="375" t="str">
        <f>IF(B995="", "", 'Lighting Inventory (Ref only)'!AG1006)</f>
        <v/>
      </c>
      <c r="AL995" s="375" t="str">
        <f>IF(B995="", "", 'Lighting Inventory (Ref only)'!AD1006)</f>
        <v/>
      </c>
      <c r="AM995" s="375" t="str">
        <f>IF(B995="", "", 'Lighting Inventory (Ref only)'!AE1006)</f>
        <v/>
      </c>
      <c r="AN995" s="375" t="str">
        <f>IF(B995="", "", 'Lighting Inventory (Ref only)'!AF1006)</f>
        <v/>
      </c>
      <c r="AO995" s="375" t="str">
        <f>IF(B995="", "", 'Lighting Inventory (Ref only)'!AG1006)</f>
        <v/>
      </c>
    </row>
    <row r="996" spans="1:41">
      <c r="A996" s="298" t="str">
        <f>IF(G996="", "", Lookups!BF998)</f>
        <v/>
      </c>
      <c r="B996" s="298" t="str">
        <f>IF('Lighting Inventory (Ref only)'!Q1007="", "", 'Lighting Inventory (Ref only)'!Q1007)</f>
        <v/>
      </c>
      <c r="C996" s="298" t="str">
        <f>IF(A996="", "", 'Lighting Inventory (Ref only)'!AO1007)</f>
        <v/>
      </c>
      <c r="D996" s="298" t="str">
        <f>IF(B996= "","", Inventory!S1004)</f>
        <v/>
      </c>
      <c r="F996" s="298" t="str">
        <f>IF(B996="", "", 'Version Log'!$B$34)</f>
        <v/>
      </c>
      <c r="G996" s="298" t="str">
        <f t="shared" si="60"/>
        <v/>
      </c>
      <c r="H996" s="298" t="str">
        <f t="shared" si="61"/>
        <v/>
      </c>
      <c r="I996" s="298" t="str">
        <f>IF(B996="", "",Inventory!D1004)</f>
        <v/>
      </c>
      <c r="J996" s="298" t="str">
        <f>IF(B996="","",IF(Inventory!C1004="N","Interior","Exterior"))</f>
        <v/>
      </c>
      <c r="K996" s="298" t="str">
        <f t="shared" si="62"/>
        <v/>
      </c>
      <c r="L996" s="298" t="str">
        <f>IF(B996="", "", Inventory!E1004)</f>
        <v/>
      </c>
      <c r="M996" s="298" t="str">
        <f>IF(B996="","",IF(Cool_Type=Lookups!$L$9,Cool_Type,IF(Cool_Type=Lookups!$L$10,Cool_Type,IF(Cool_Type=Lookups!$L$11,Cool_Type,IF(Cool_Type=Lookups!L1006,Cool_Type,IF('Project Info and Summary'!$C$20="Electric",CONCATENATE(Cool_Type," ",Heating_Type," Heat"),IF('Project Info and Summary'!$C$20="Non-Electric",CONCATENATE(Cool_Type," ",Heating_Type," Heat"),CONCATENATE(Cool_Type," ",Heating_Type))))))))</f>
        <v/>
      </c>
      <c r="N996" s="298" t="str">
        <f t="shared" si="63"/>
        <v/>
      </c>
      <c r="O996" s="298" t="str">
        <f>IF(B996="", "", 'Lighting Inventory (Ref only)'!G1007)</f>
        <v/>
      </c>
      <c r="P996" s="298" t="str">
        <f>IF(B996="", "", 'Lighting Inventory (Ref only)'!E1007)</f>
        <v/>
      </c>
      <c r="Q996" s="298" t="str">
        <f>IF(B996="", "", 'Lighting Inventory (Ref only)'!J1007)</f>
        <v/>
      </c>
      <c r="R996" s="298" t="str">
        <f>IF(B996="", "",'Lighting Inventory (Ref only)'!K1007)</f>
        <v/>
      </c>
      <c r="S996" s="372" t="str">
        <f>IF(B996="", "", 'Lighting Inventory (Ref only)'!G1007*'Lighting Inventory (Ref only)'!K1007/1000)</f>
        <v/>
      </c>
      <c r="T996" s="298" t="str">
        <f>IF(B996="", "", IF('Lighting Inventory (Ref only)'!I1007="", "Light Switch",Inventory!H1004))</f>
        <v/>
      </c>
      <c r="X996" s="298" t="str">
        <f>IF(B996="", "", 'Lighting Inventory (Ref only)'!Q1007)</f>
        <v/>
      </c>
      <c r="AA996" s="298" t="str">
        <f>IF(B996="", "",'Lighting Inventory (Ref only)'!R1007/1000)</f>
        <v/>
      </c>
      <c r="AB996" s="298" t="str">
        <f>IF(B996="", "", Inventory!M1004)</f>
        <v/>
      </c>
      <c r="AC996" s="298" t="str">
        <f>IF(B996="", "", 'Lighting Inventory (Ref only)'!T1007)</f>
        <v/>
      </c>
      <c r="AD996" s="298" t="str">
        <f>IF(C996="", "", 'Lighting Inventory (Ref only)'!AA1007)</f>
        <v/>
      </c>
      <c r="AE996" s="298" t="str">
        <f>IF(B996="", "", 'Lighting Inventory (Ref only)'!U1007)</f>
        <v/>
      </c>
      <c r="AF996" s="298" t="str">
        <f>IF(B996="", "",'Lighting Inventory (Ref only)'!W1007)</f>
        <v/>
      </c>
      <c r="AH996" s="298" t="str">
        <f>IF(B996="", "",'Lighting Inventory (Ref only)'!Z1007)</f>
        <v/>
      </c>
      <c r="AI996" s="298" t="str">
        <f>IF(B996="", "", 'Lighting Inventory (Ref only)'!Y1007)</f>
        <v/>
      </c>
      <c r="AJ996" s="298" t="str">
        <f>IF(C996="", "",'Lighting Inventory (Ref only)'!AB1007)</f>
        <v/>
      </c>
      <c r="AK996" s="375" t="str">
        <f>IF(B996="", "", 'Lighting Inventory (Ref only)'!AG1007)</f>
        <v/>
      </c>
      <c r="AL996" s="375" t="str">
        <f>IF(B996="", "", 'Lighting Inventory (Ref only)'!AD1007)</f>
        <v/>
      </c>
      <c r="AM996" s="375" t="str">
        <f>IF(B996="", "", 'Lighting Inventory (Ref only)'!AE1007)</f>
        <v/>
      </c>
      <c r="AN996" s="375" t="str">
        <f>IF(B996="", "", 'Lighting Inventory (Ref only)'!AF1007)</f>
        <v/>
      </c>
      <c r="AO996" s="375" t="str">
        <f>IF(B996="", "", 'Lighting Inventory (Ref only)'!AG1007)</f>
        <v/>
      </c>
    </row>
    <row r="997" spans="1:41">
      <c r="A997" s="298" t="str">
        <f>IF(G997="", "", Lookups!BF999)</f>
        <v/>
      </c>
      <c r="B997" s="298" t="str">
        <f>IF('Lighting Inventory (Ref only)'!Q1008="", "", 'Lighting Inventory (Ref only)'!Q1008)</f>
        <v/>
      </c>
      <c r="C997" s="298" t="str">
        <f>IF(A997="", "", 'Lighting Inventory (Ref only)'!AO1008)</f>
        <v/>
      </c>
      <c r="D997" s="298" t="str">
        <f>IF(B997= "","", Inventory!S1005)</f>
        <v/>
      </c>
      <c r="F997" s="298" t="str">
        <f>IF(B997="", "", 'Version Log'!$B$34)</f>
        <v/>
      </c>
      <c r="G997" s="298" t="str">
        <f t="shared" si="60"/>
        <v/>
      </c>
      <c r="H997" s="298" t="str">
        <f t="shared" si="61"/>
        <v/>
      </c>
      <c r="I997" s="298" t="str">
        <f>IF(B997="", "",Inventory!D1005)</f>
        <v/>
      </c>
      <c r="J997" s="298" t="str">
        <f>IF(B997="","",IF(Inventory!C1005="N","Interior","Exterior"))</f>
        <v/>
      </c>
      <c r="K997" s="298" t="str">
        <f t="shared" si="62"/>
        <v/>
      </c>
      <c r="L997" s="298" t="str">
        <f>IF(B997="", "", Inventory!E1005)</f>
        <v/>
      </c>
      <c r="M997" s="298" t="str">
        <f>IF(B997="","",IF(Cool_Type=Lookups!$L$9,Cool_Type,IF(Cool_Type=Lookups!$L$10,Cool_Type,IF(Cool_Type=Lookups!$L$11,Cool_Type,IF(Cool_Type=Lookups!L1007,Cool_Type,IF('Project Info and Summary'!$C$20="Electric",CONCATENATE(Cool_Type," ",Heating_Type," Heat"),IF('Project Info and Summary'!$C$20="Non-Electric",CONCATENATE(Cool_Type," ",Heating_Type," Heat"),CONCATENATE(Cool_Type," ",Heating_Type))))))))</f>
        <v/>
      </c>
      <c r="N997" s="298" t="str">
        <f t="shared" si="63"/>
        <v/>
      </c>
      <c r="O997" s="298" t="str">
        <f>IF(B997="", "", 'Lighting Inventory (Ref only)'!G1008)</f>
        <v/>
      </c>
      <c r="P997" s="298" t="str">
        <f>IF(B997="", "", 'Lighting Inventory (Ref only)'!E1008)</f>
        <v/>
      </c>
      <c r="Q997" s="298" t="str">
        <f>IF(B997="", "", 'Lighting Inventory (Ref only)'!J1008)</f>
        <v/>
      </c>
      <c r="R997" s="298" t="str">
        <f>IF(B997="", "",'Lighting Inventory (Ref only)'!K1008)</f>
        <v/>
      </c>
      <c r="S997" s="372" t="str">
        <f>IF(B997="", "", 'Lighting Inventory (Ref only)'!G1008*'Lighting Inventory (Ref only)'!K1008/1000)</f>
        <v/>
      </c>
      <c r="T997" s="298" t="str">
        <f>IF(B997="", "", IF('Lighting Inventory (Ref only)'!I1008="", "Light Switch",Inventory!H1005))</f>
        <v/>
      </c>
      <c r="X997" s="298" t="str">
        <f>IF(B997="", "", 'Lighting Inventory (Ref only)'!Q1008)</f>
        <v/>
      </c>
      <c r="AA997" s="298" t="str">
        <f>IF(B997="", "",'Lighting Inventory (Ref only)'!R1008/1000)</f>
        <v/>
      </c>
      <c r="AB997" s="298" t="str">
        <f>IF(B997="", "", Inventory!M1005)</f>
        <v/>
      </c>
      <c r="AC997" s="298" t="str">
        <f>IF(B997="", "", 'Lighting Inventory (Ref only)'!T1008)</f>
        <v/>
      </c>
      <c r="AD997" s="298" t="str">
        <f>IF(C997="", "", 'Lighting Inventory (Ref only)'!AA1008)</f>
        <v/>
      </c>
      <c r="AE997" s="298" t="str">
        <f>IF(B997="", "", 'Lighting Inventory (Ref only)'!U1008)</f>
        <v/>
      </c>
      <c r="AF997" s="298" t="str">
        <f>IF(B997="", "",'Lighting Inventory (Ref only)'!W1008)</f>
        <v/>
      </c>
      <c r="AH997" s="298" t="str">
        <f>IF(B997="", "",'Lighting Inventory (Ref only)'!Z1008)</f>
        <v/>
      </c>
      <c r="AI997" s="298" t="str">
        <f>IF(B997="", "", 'Lighting Inventory (Ref only)'!Y1008)</f>
        <v/>
      </c>
      <c r="AJ997" s="298" t="str">
        <f>IF(C997="", "",'Lighting Inventory (Ref only)'!AB1008)</f>
        <v/>
      </c>
      <c r="AK997" s="375" t="str">
        <f>IF(B997="", "", 'Lighting Inventory (Ref only)'!AG1008)</f>
        <v/>
      </c>
      <c r="AL997" s="375" t="str">
        <f>IF(B997="", "", 'Lighting Inventory (Ref only)'!AD1008)</f>
        <v/>
      </c>
      <c r="AM997" s="375" t="str">
        <f>IF(B997="", "", 'Lighting Inventory (Ref only)'!AE1008)</f>
        <v/>
      </c>
      <c r="AN997" s="375" t="str">
        <f>IF(B997="", "", 'Lighting Inventory (Ref only)'!AF1008)</f>
        <v/>
      </c>
      <c r="AO997" s="375" t="str">
        <f>IF(B997="", "", 'Lighting Inventory (Ref only)'!AG1008)</f>
        <v/>
      </c>
    </row>
    <row r="998" spans="1:41">
      <c r="A998" s="298" t="str">
        <f>IF(G998="", "", Lookups!BF1000)</f>
        <v/>
      </c>
      <c r="B998" s="298" t="str">
        <f>IF('Lighting Inventory (Ref only)'!Q1009="", "", 'Lighting Inventory (Ref only)'!Q1009)</f>
        <v/>
      </c>
      <c r="C998" s="298" t="str">
        <f>IF(A998="", "", 'Lighting Inventory (Ref only)'!AO1009)</f>
        <v/>
      </c>
      <c r="D998" s="298" t="str">
        <f>IF(B998= "","", Inventory!S1006)</f>
        <v/>
      </c>
      <c r="F998" s="298" t="str">
        <f>IF(B998="", "", 'Version Log'!$B$34)</f>
        <v/>
      </c>
      <c r="G998" s="298" t="str">
        <f t="shared" si="60"/>
        <v/>
      </c>
      <c r="H998" s="298" t="str">
        <f t="shared" si="61"/>
        <v/>
      </c>
      <c r="I998" s="298" t="str">
        <f>IF(B998="", "",Inventory!D1006)</f>
        <v/>
      </c>
      <c r="J998" s="298" t="str">
        <f>IF(B998="","",IF(Inventory!C1006="N","Interior","Exterior"))</f>
        <v/>
      </c>
      <c r="K998" s="298" t="str">
        <f t="shared" si="62"/>
        <v/>
      </c>
      <c r="L998" s="298" t="str">
        <f>IF(B998="", "", Inventory!E1006)</f>
        <v/>
      </c>
      <c r="M998" s="298" t="str">
        <f>IF(B998="","",IF(Cool_Type=Lookups!$L$9,Cool_Type,IF(Cool_Type=Lookups!$L$10,Cool_Type,IF(Cool_Type=Lookups!$L$11,Cool_Type,IF(Cool_Type=Lookups!L1008,Cool_Type,IF('Project Info and Summary'!$C$20="Electric",CONCATENATE(Cool_Type," ",Heating_Type," Heat"),IF('Project Info and Summary'!$C$20="Non-Electric",CONCATENATE(Cool_Type," ",Heating_Type," Heat"),CONCATENATE(Cool_Type," ",Heating_Type))))))))</f>
        <v/>
      </c>
      <c r="N998" s="298" t="str">
        <f t="shared" si="63"/>
        <v/>
      </c>
      <c r="O998" s="298" t="str">
        <f>IF(B998="", "", 'Lighting Inventory (Ref only)'!G1009)</f>
        <v/>
      </c>
      <c r="P998" s="298" t="str">
        <f>IF(B998="", "", 'Lighting Inventory (Ref only)'!E1009)</f>
        <v/>
      </c>
      <c r="Q998" s="298" t="str">
        <f>IF(B998="", "", 'Lighting Inventory (Ref only)'!J1009)</f>
        <v/>
      </c>
      <c r="R998" s="298" t="str">
        <f>IF(B998="", "",'Lighting Inventory (Ref only)'!K1009)</f>
        <v/>
      </c>
      <c r="S998" s="372" t="str">
        <f>IF(B998="", "", 'Lighting Inventory (Ref only)'!G1009*'Lighting Inventory (Ref only)'!K1009/1000)</f>
        <v/>
      </c>
      <c r="T998" s="298" t="str">
        <f>IF(B998="", "", IF('Lighting Inventory (Ref only)'!I1009="", "Light Switch",Inventory!H1006))</f>
        <v/>
      </c>
      <c r="X998" s="298" t="str">
        <f>IF(B998="", "", 'Lighting Inventory (Ref only)'!Q1009)</f>
        <v/>
      </c>
      <c r="AA998" s="298" t="str">
        <f>IF(B998="", "",'Lighting Inventory (Ref only)'!R1009/1000)</f>
        <v/>
      </c>
      <c r="AB998" s="298" t="str">
        <f>IF(B998="", "", Inventory!M1006)</f>
        <v/>
      </c>
      <c r="AC998" s="298" t="str">
        <f>IF(B998="", "", 'Lighting Inventory (Ref only)'!T1009)</f>
        <v/>
      </c>
      <c r="AD998" s="298" t="str">
        <f>IF(C998="", "", 'Lighting Inventory (Ref only)'!AA1009)</f>
        <v/>
      </c>
      <c r="AE998" s="298" t="str">
        <f>IF(B998="", "", 'Lighting Inventory (Ref only)'!U1009)</f>
        <v/>
      </c>
      <c r="AF998" s="298" t="str">
        <f>IF(B998="", "",'Lighting Inventory (Ref only)'!W1009)</f>
        <v/>
      </c>
      <c r="AH998" s="298" t="str">
        <f>IF(B998="", "",'Lighting Inventory (Ref only)'!Z1009)</f>
        <v/>
      </c>
      <c r="AI998" s="298" t="str">
        <f>IF(B998="", "", 'Lighting Inventory (Ref only)'!Y1009)</f>
        <v/>
      </c>
      <c r="AJ998" s="298" t="str">
        <f>IF(C998="", "",'Lighting Inventory (Ref only)'!AB1009)</f>
        <v/>
      </c>
      <c r="AK998" s="375" t="str">
        <f>IF(B998="", "", 'Lighting Inventory (Ref only)'!AG1009)</f>
        <v/>
      </c>
      <c r="AL998" s="375" t="str">
        <f>IF(B998="", "", 'Lighting Inventory (Ref only)'!AD1009)</f>
        <v/>
      </c>
      <c r="AM998" s="375" t="str">
        <f>IF(B998="", "", 'Lighting Inventory (Ref only)'!AE1009)</f>
        <v/>
      </c>
      <c r="AN998" s="375" t="str">
        <f>IF(B998="", "", 'Lighting Inventory (Ref only)'!AF1009)</f>
        <v/>
      </c>
      <c r="AO998" s="375" t="str">
        <f>IF(B998="", "", 'Lighting Inventory (Ref only)'!AG1009)</f>
        <v/>
      </c>
    </row>
    <row r="999" spans="1:41">
      <c r="A999" s="298" t="str">
        <f>IF(G999="", "", Lookups!BF1001)</f>
        <v/>
      </c>
      <c r="B999" s="298" t="str">
        <f>IF('Lighting Inventory (Ref only)'!Q1010="", "", 'Lighting Inventory (Ref only)'!Q1010)</f>
        <v/>
      </c>
      <c r="C999" s="298" t="str">
        <f>IF(A999="", "", 'Lighting Inventory (Ref only)'!AO1010)</f>
        <v/>
      </c>
      <c r="D999" s="298" t="str">
        <f>IF(B999= "","", Inventory!S1007)</f>
        <v/>
      </c>
      <c r="F999" s="298" t="str">
        <f>IF(B999="", "", 'Version Log'!$B$34)</f>
        <v/>
      </c>
      <c r="G999" s="298" t="str">
        <f t="shared" si="60"/>
        <v/>
      </c>
      <c r="H999" s="298" t="str">
        <f t="shared" si="61"/>
        <v/>
      </c>
      <c r="I999" s="298" t="str">
        <f>IF(B999="", "",Inventory!D1007)</f>
        <v/>
      </c>
      <c r="J999" s="298" t="str">
        <f>IF(B999="","",IF(Inventory!C1007="N","Interior","Exterior"))</f>
        <v/>
      </c>
      <c r="K999" s="298" t="str">
        <f t="shared" si="62"/>
        <v/>
      </c>
      <c r="L999" s="298" t="str">
        <f>IF(B999="", "", Inventory!E1007)</f>
        <v/>
      </c>
      <c r="M999" s="298" t="str">
        <f>IF(B999="","",IF(Cool_Type=Lookups!$L$9,Cool_Type,IF(Cool_Type=Lookups!$L$10,Cool_Type,IF(Cool_Type=Lookups!$L$11,Cool_Type,IF(Cool_Type=Lookups!L1009,Cool_Type,IF('Project Info and Summary'!$C$20="Electric",CONCATENATE(Cool_Type," ",Heating_Type," Heat"),IF('Project Info and Summary'!$C$20="Non-Electric",CONCATENATE(Cool_Type," ",Heating_Type," Heat"),CONCATENATE(Cool_Type," ",Heating_Type))))))))</f>
        <v/>
      </c>
      <c r="N999" s="298" t="str">
        <f t="shared" si="63"/>
        <v/>
      </c>
      <c r="O999" s="298" t="str">
        <f>IF(B999="", "", 'Lighting Inventory (Ref only)'!G1010)</f>
        <v/>
      </c>
      <c r="P999" s="298" t="str">
        <f>IF(B999="", "", 'Lighting Inventory (Ref only)'!E1010)</f>
        <v/>
      </c>
      <c r="Q999" s="298" t="str">
        <f>IF(B999="", "", 'Lighting Inventory (Ref only)'!J1010)</f>
        <v/>
      </c>
      <c r="R999" s="298" t="str">
        <f>IF(B999="", "",'Lighting Inventory (Ref only)'!K1010)</f>
        <v/>
      </c>
      <c r="S999" s="372" t="str">
        <f>IF(B999="", "", 'Lighting Inventory (Ref only)'!G1010*'Lighting Inventory (Ref only)'!K1010/1000)</f>
        <v/>
      </c>
      <c r="T999" s="298" t="str">
        <f>IF(B999="", "", IF('Lighting Inventory (Ref only)'!I1010="", "Light Switch",Inventory!H1007))</f>
        <v/>
      </c>
      <c r="X999" s="298" t="str">
        <f>IF(B999="", "", 'Lighting Inventory (Ref only)'!Q1010)</f>
        <v/>
      </c>
      <c r="AA999" s="298" t="str">
        <f>IF(B999="", "",'Lighting Inventory (Ref only)'!R1010/1000)</f>
        <v/>
      </c>
      <c r="AB999" s="298" t="str">
        <f>IF(B999="", "", Inventory!M1007)</f>
        <v/>
      </c>
      <c r="AC999" s="298" t="str">
        <f>IF(B999="", "", 'Lighting Inventory (Ref only)'!T1010)</f>
        <v/>
      </c>
      <c r="AD999" s="298" t="str">
        <f>IF(C999="", "", 'Lighting Inventory (Ref only)'!AA1010)</f>
        <v/>
      </c>
      <c r="AE999" s="298" t="str">
        <f>IF(B999="", "", 'Lighting Inventory (Ref only)'!U1010)</f>
        <v/>
      </c>
      <c r="AF999" s="298" t="str">
        <f>IF(B999="", "",'Lighting Inventory (Ref only)'!W1010)</f>
        <v/>
      </c>
      <c r="AH999" s="298" t="str">
        <f>IF(B999="", "",'Lighting Inventory (Ref only)'!Z1010)</f>
        <v/>
      </c>
      <c r="AI999" s="298" t="str">
        <f>IF(B999="", "", 'Lighting Inventory (Ref only)'!Y1010)</f>
        <v/>
      </c>
      <c r="AJ999" s="298" t="str">
        <f>IF(C999="", "",'Lighting Inventory (Ref only)'!AB1010)</f>
        <v/>
      </c>
      <c r="AK999" s="375" t="str">
        <f>IF(B999="", "", 'Lighting Inventory (Ref only)'!AG1010)</f>
        <v/>
      </c>
      <c r="AL999" s="375" t="str">
        <f>IF(B999="", "", 'Lighting Inventory (Ref only)'!AD1010)</f>
        <v/>
      </c>
      <c r="AM999" s="375" t="str">
        <f>IF(B999="", "", 'Lighting Inventory (Ref only)'!AE1010)</f>
        <v/>
      </c>
      <c r="AN999" s="375" t="str">
        <f>IF(B999="", "", 'Lighting Inventory (Ref only)'!AF1010)</f>
        <v/>
      </c>
      <c r="AO999" s="375" t="str">
        <f>IF(B999="", "", 'Lighting Inventory (Ref only)'!AG1010)</f>
        <v/>
      </c>
    </row>
    <row r="1000" spans="1:41">
      <c r="A1000" s="298" t="str">
        <f>IF(G1000="", "", Lookups!BF1002)</f>
        <v/>
      </c>
      <c r="B1000" s="298" t="str">
        <f>IF('Lighting Inventory (Ref only)'!Q1011="", "", 'Lighting Inventory (Ref only)'!Q1011)</f>
        <v/>
      </c>
      <c r="C1000" s="298" t="str">
        <f>IF(A1000="", "", 'Lighting Inventory (Ref only)'!AO1011)</f>
        <v/>
      </c>
      <c r="D1000" s="298" t="str">
        <f>IF(B1000= "","", Inventory!S1008)</f>
        <v/>
      </c>
      <c r="F1000" s="298" t="str">
        <f>IF(B1000="", "", 'Version Log'!$B$34)</f>
        <v/>
      </c>
      <c r="G1000" s="298" t="str">
        <f t="shared" si="60"/>
        <v/>
      </c>
      <c r="H1000" s="298" t="str">
        <f t="shared" si="61"/>
        <v/>
      </c>
      <c r="I1000" s="298" t="str">
        <f>IF(B1000="", "",Inventory!D1008)</f>
        <v/>
      </c>
      <c r="J1000" s="298" t="str">
        <f>IF(B1000="","",IF(Inventory!C1008="N","Interior","Exterior"))</f>
        <v/>
      </c>
      <c r="K1000" s="298" t="str">
        <f t="shared" si="62"/>
        <v/>
      </c>
      <c r="L1000" s="298" t="str">
        <f>IF(B1000="", "", Inventory!E1008)</f>
        <v/>
      </c>
      <c r="M1000" s="298" t="str">
        <f>IF(B1000="","",IF(Cool_Type=Lookups!$L$9,Cool_Type,IF(Cool_Type=Lookups!$L$10,Cool_Type,IF(Cool_Type=Lookups!$L$11,Cool_Type,IF(Cool_Type=Lookups!L1010,Cool_Type,IF('Project Info and Summary'!$C$20="Electric",CONCATENATE(Cool_Type," ",Heating_Type," Heat"),IF('Project Info and Summary'!$C$20="Non-Electric",CONCATENATE(Cool_Type," ",Heating_Type," Heat"),CONCATENATE(Cool_Type," ",Heating_Type))))))))</f>
        <v/>
      </c>
      <c r="N1000" s="298" t="str">
        <f t="shared" si="63"/>
        <v/>
      </c>
      <c r="O1000" s="298" t="str">
        <f>IF(B1000="", "", 'Lighting Inventory (Ref only)'!G1011)</f>
        <v/>
      </c>
      <c r="P1000" s="298" t="str">
        <f>IF(B1000="", "", 'Lighting Inventory (Ref only)'!E1011)</f>
        <v/>
      </c>
      <c r="Q1000" s="298" t="str">
        <f>IF(B1000="", "", 'Lighting Inventory (Ref only)'!J1011)</f>
        <v/>
      </c>
      <c r="R1000" s="298" t="str">
        <f>IF(B1000="", "",'Lighting Inventory (Ref only)'!K1011)</f>
        <v/>
      </c>
      <c r="S1000" s="372" t="str">
        <f>IF(B1000="", "", 'Lighting Inventory (Ref only)'!G1011*'Lighting Inventory (Ref only)'!K1011/1000)</f>
        <v/>
      </c>
      <c r="T1000" s="298" t="str">
        <f>IF(B1000="", "", IF('Lighting Inventory (Ref only)'!I1011="", "Light Switch",Inventory!H1008))</f>
        <v/>
      </c>
      <c r="X1000" s="298" t="str">
        <f>IF(B1000="", "", 'Lighting Inventory (Ref only)'!Q1011)</f>
        <v/>
      </c>
      <c r="AA1000" s="298" t="str">
        <f>IF(B1000="", "",'Lighting Inventory (Ref only)'!R1011/1000)</f>
        <v/>
      </c>
      <c r="AB1000" s="298" t="str">
        <f>IF(B1000="", "", Inventory!M1008)</f>
        <v/>
      </c>
      <c r="AC1000" s="298" t="str">
        <f>IF(B1000="", "", 'Lighting Inventory (Ref only)'!T1011)</f>
        <v/>
      </c>
      <c r="AD1000" s="298" t="str">
        <f>IF(C1000="", "", 'Lighting Inventory (Ref only)'!AA1011)</f>
        <v/>
      </c>
      <c r="AE1000" s="298" t="str">
        <f>IF(B1000="", "", 'Lighting Inventory (Ref only)'!U1011)</f>
        <v/>
      </c>
      <c r="AF1000" s="298" t="str">
        <f>IF(B1000="", "",'Lighting Inventory (Ref only)'!W1011)</f>
        <v/>
      </c>
      <c r="AH1000" s="298" t="str">
        <f>IF(B1000="", "",'Lighting Inventory (Ref only)'!Z1011)</f>
        <v/>
      </c>
      <c r="AI1000" s="298" t="str">
        <f>IF(B1000="", "", 'Lighting Inventory (Ref only)'!Y1011)</f>
        <v/>
      </c>
      <c r="AJ1000" s="298" t="str">
        <f>IF(C1000="", "",'Lighting Inventory (Ref only)'!AB1011)</f>
        <v/>
      </c>
      <c r="AK1000" s="375" t="str">
        <f>IF(B1000="", "", 'Lighting Inventory (Ref only)'!AG1011)</f>
        <v/>
      </c>
      <c r="AL1000" s="375" t="str">
        <f>IF(B1000="", "", 'Lighting Inventory (Ref only)'!AD1011)</f>
        <v/>
      </c>
      <c r="AM1000" s="375" t="str">
        <f>IF(B1000="", "", 'Lighting Inventory (Ref only)'!AE1011)</f>
        <v/>
      </c>
      <c r="AN1000" s="375" t="str">
        <f>IF(B1000="", "", 'Lighting Inventory (Ref only)'!AF1011)</f>
        <v/>
      </c>
      <c r="AO1000" s="375" t="str">
        <f>IF(B1000="", "", 'Lighting Inventory (Ref only)'!AG1011)</f>
        <v/>
      </c>
    </row>
    <row r="1001" spans="1:41">
      <c r="A1001" s="298" t="str">
        <f>IF(G1001="", "", Lookups!BF1003)</f>
        <v/>
      </c>
      <c r="B1001" s="298" t="str">
        <f>IF('Lighting Inventory (Ref only)'!Q1012="", "", 'Lighting Inventory (Ref only)'!Q1012)</f>
        <v/>
      </c>
      <c r="C1001" s="298" t="str">
        <f>IF(A1001="", "", 'Lighting Inventory (Ref only)'!AO1012)</f>
        <v/>
      </c>
      <c r="D1001" s="298" t="str">
        <f>IF(B1001= "","", Inventory!S1009)</f>
        <v/>
      </c>
      <c r="F1001" s="298" t="str">
        <f>IF(B1001="", "", 'Version Log'!$B$34)</f>
        <v/>
      </c>
      <c r="G1001" s="298" t="str">
        <f t="shared" si="60"/>
        <v/>
      </c>
      <c r="H1001" s="298" t="str">
        <f t="shared" si="61"/>
        <v/>
      </c>
      <c r="I1001" s="298" t="str">
        <f>IF(B1001="", "",Inventory!D1009)</f>
        <v/>
      </c>
      <c r="J1001" s="298" t="str">
        <f>IF(B1001="","",IF(Inventory!C1009="N","Interior","Exterior"))</f>
        <v/>
      </c>
      <c r="K1001" s="298" t="str">
        <f t="shared" si="62"/>
        <v/>
      </c>
      <c r="L1001" s="298" t="str">
        <f>IF(B1001="", "", Inventory!E1009)</f>
        <v/>
      </c>
      <c r="M1001" s="298" t="str">
        <f>IF(B1001="","",IF(Cool_Type=Lookups!$L$9,Cool_Type,IF(Cool_Type=Lookups!$L$10,Cool_Type,IF(Cool_Type=Lookups!$L$11,Cool_Type,IF(Cool_Type=Lookups!L1011,Cool_Type,IF('Project Info and Summary'!$C$20="Electric",CONCATENATE(Cool_Type," ",Heating_Type," Heat"),IF('Project Info and Summary'!$C$20="Non-Electric",CONCATENATE(Cool_Type," ",Heating_Type," Heat"),CONCATENATE(Cool_Type," ",Heating_Type))))))))</f>
        <v/>
      </c>
      <c r="N1001" s="298" t="str">
        <f t="shared" si="63"/>
        <v/>
      </c>
      <c r="O1001" s="298" t="str">
        <f>IF(B1001="", "", 'Lighting Inventory (Ref only)'!G1012)</f>
        <v/>
      </c>
      <c r="P1001" s="298" t="str">
        <f>IF(B1001="", "", 'Lighting Inventory (Ref only)'!E1012)</f>
        <v/>
      </c>
      <c r="Q1001" s="298" t="str">
        <f>IF(B1001="", "", 'Lighting Inventory (Ref only)'!J1012)</f>
        <v/>
      </c>
      <c r="R1001" s="298" t="str">
        <f>IF(B1001="", "",'Lighting Inventory (Ref only)'!K1012)</f>
        <v/>
      </c>
      <c r="S1001" s="372" t="str">
        <f>IF(B1001="", "", 'Lighting Inventory (Ref only)'!G1012*'Lighting Inventory (Ref only)'!K1012/1000)</f>
        <v/>
      </c>
      <c r="T1001" s="298" t="str">
        <f>IF(B1001="", "", IF('Lighting Inventory (Ref only)'!I1012="", "Light Switch",Inventory!H1009))</f>
        <v/>
      </c>
      <c r="X1001" s="298" t="str">
        <f>IF(B1001="", "", 'Lighting Inventory (Ref only)'!Q1012)</f>
        <v/>
      </c>
      <c r="AA1001" s="298" t="str">
        <f>IF(B1001="", "",'Lighting Inventory (Ref only)'!R1012/1000)</f>
        <v/>
      </c>
      <c r="AB1001" s="298" t="str">
        <f>IF(B1001="", "", Inventory!M1009)</f>
        <v/>
      </c>
      <c r="AC1001" s="298" t="str">
        <f>IF(B1001="", "", 'Lighting Inventory (Ref only)'!T1012)</f>
        <v/>
      </c>
      <c r="AD1001" s="298" t="str">
        <f>IF(C1001="", "", 'Lighting Inventory (Ref only)'!AA1012)</f>
        <v/>
      </c>
      <c r="AE1001" s="298" t="str">
        <f>IF(B1001="", "", 'Lighting Inventory (Ref only)'!U1012)</f>
        <v/>
      </c>
      <c r="AF1001" s="298" t="str">
        <f>IF(B1001="", "",'Lighting Inventory (Ref only)'!W1012)</f>
        <v/>
      </c>
      <c r="AH1001" s="298" t="str">
        <f>IF(B1001="", "",'Lighting Inventory (Ref only)'!Z1012)</f>
        <v/>
      </c>
      <c r="AI1001" s="298" t="str">
        <f>IF(B1001="", "", 'Lighting Inventory (Ref only)'!Y1012)</f>
        <v/>
      </c>
      <c r="AJ1001" s="298" t="str">
        <f>IF(C1001="", "",'Lighting Inventory (Ref only)'!AB1012)</f>
        <v/>
      </c>
      <c r="AK1001" s="375" t="str">
        <f>IF(B1001="", "", 'Lighting Inventory (Ref only)'!AG1012)</f>
        <v/>
      </c>
      <c r="AL1001" s="375" t="str">
        <f>IF(B1001="", "", 'Lighting Inventory (Ref only)'!AD1012)</f>
        <v/>
      </c>
      <c r="AM1001" s="375" t="str">
        <f>IF(B1001="", "", 'Lighting Inventory (Ref only)'!AE1012)</f>
        <v/>
      </c>
      <c r="AN1001" s="375" t="str">
        <f>IF(B1001="", "", 'Lighting Inventory (Ref only)'!AF1012)</f>
        <v/>
      </c>
      <c r="AO1001" s="375" t="str">
        <f>IF(B1001="", "", 'Lighting Inventory (Ref only)'!AG1012)</f>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8"/>
    <pageSetUpPr fitToPage="1"/>
  </sheetPr>
  <dimension ref="A1:BF93"/>
  <sheetViews>
    <sheetView topLeftCell="M1" zoomScaleNormal="100" workbookViewId="0">
      <selection activeCell="AG29" sqref="AG29"/>
    </sheetView>
  </sheetViews>
  <sheetFormatPr defaultColWidth="8" defaultRowHeight="14.25"/>
  <cols>
    <col min="1" max="2" width="3.625" customWidth="1"/>
    <col min="3" max="3" width="25.625" customWidth="1"/>
    <col min="4" max="6" width="6.625" customWidth="1"/>
    <col min="7" max="7" width="12.5" customWidth="1"/>
    <col min="8" max="10" width="6.625" customWidth="1"/>
    <col min="11" max="11" width="3.625" customWidth="1"/>
    <col min="12" max="12" width="5.625" customWidth="1"/>
    <col min="13" max="13" width="1.625" customWidth="1"/>
    <col min="14" max="14" width="20.625" customWidth="1"/>
    <col min="15" max="22" width="6.625" customWidth="1"/>
    <col min="23" max="25" width="3.625" customWidth="1"/>
    <col min="26" max="26" width="4.25" bestFit="1" customWidth="1"/>
    <col min="27" max="31" width="6.625" customWidth="1"/>
    <col min="32" max="33" width="9.625" customWidth="1"/>
    <col min="34" max="34" width="3.625" customWidth="1"/>
    <col min="35" max="35" width="3.75" customWidth="1"/>
    <col min="36" max="37" width="9.125" customWidth="1"/>
    <col min="38" max="52" width="8.5" customWidth="1"/>
  </cols>
  <sheetData>
    <row r="1" spans="1:58" ht="15" customHeight="1"/>
    <row r="2" spans="1:58" s="7" customFormat="1" ht="21.75">
      <c r="B2" s="2" t="s">
        <v>586</v>
      </c>
      <c r="C2" s="8"/>
      <c r="D2" s="8"/>
      <c r="E2" s="8"/>
      <c r="F2" s="8"/>
      <c r="G2" s="8"/>
      <c r="H2" s="8"/>
      <c r="I2" s="8"/>
      <c r="J2" s="8"/>
      <c r="K2" s="8"/>
      <c r="L2" s="8"/>
      <c r="AT2" s="8"/>
      <c r="AU2" s="8"/>
      <c r="AV2" s="8"/>
      <c r="AW2" s="8"/>
      <c r="AX2" s="8"/>
      <c r="AY2" s="8"/>
      <c r="AZ2" s="8"/>
      <c r="BA2" s="8"/>
      <c r="BB2" s="8"/>
      <c r="BC2" s="8"/>
      <c r="BD2" s="8"/>
      <c r="BE2" s="8"/>
      <c r="BF2" s="8"/>
    </row>
    <row r="3" spans="1:58" s="19" customFormat="1" ht="16.5">
      <c r="A3" s="4"/>
      <c r="B3" s="6" t="s">
        <v>587</v>
      </c>
      <c r="C3" s="5"/>
      <c r="D3" s="5"/>
      <c r="E3" s="5"/>
      <c r="F3" s="5"/>
      <c r="G3" s="5"/>
      <c r="H3" s="5"/>
      <c r="I3" s="5"/>
      <c r="J3" s="5"/>
      <c r="K3" s="5"/>
      <c r="L3" s="5"/>
      <c r="M3" s="4"/>
      <c r="N3" s="4"/>
      <c r="AT3" s="5"/>
      <c r="AU3" s="5"/>
      <c r="AV3" s="5"/>
      <c r="AW3" s="5"/>
      <c r="AX3" s="5"/>
      <c r="AY3" s="5"/>
      <c r="AZ3" s="5"/>
      <c r="BA3" s="5"/>
      <c r="BB3" s="5"/>
      <c r="BC3" s="5"/>
      <c r="BD3" s="5"/>
      <c r="BE3" s="5"/>
      <c r="BF3" s="5"/>
    </row>
    <row r="4" spans="1:58" ht="9.75" customHeight="1" thickBot="1"/>
    <row r="5" spans="1:58" ht="15" customHeight="1">
      <c r="B5" s="33"/>
      <c r="C5" s="1049" t="s">
        <v>588</v>
      </c>
      <c r="D5" s="1051" t="s">
        <v>589</v>
      </c>
      <c r="E5" s="1051"/>
      <c r="F5" s="1051"/>
      <c r="G5" s="34"/>
      <c r="H5" s="1052" t="s">
        <v>590</v>
      </c>
      <c r="I5" s="1052"/>
      <c r="J5" s="1052"/>
      <c r="K5" s="35"/>
      <c r="L5" s="35"/>
      <c r="M5" s="1053" t="s">
        <v>591</v>
      </c>
      <c r="N5" s="1053"/>
      <c r="O5" s="1053"/>
      <c r="P5" s="36"/>
      <c r="Q5" s="37"/>
      <c r="R5" s="37"/>
      <c r="S5" s="37"/>
      <c r="T5" s="37"/>
      <c r="U5" s="37"/>
      <c r="V5" s="37"/>
      <c r="W5" s="37"/>
      <c r="X5" s="37"/>
      <c r="Y5" s="37"/>
      <c r="Z5" s="37"/>
      <c r="AA5" s="38"/>
      <c r="AB5" s="38"/>
      <c r="AC5" s="38"/>
      <c r="AD5" s="38"/>
      <c r="AE5" s="38"/>
      <c r="AF5" s="38"/>
      <c r="AG5" s="38"/>
      <c r="AH5" s="39"/>
    </row>
    <row r="6" spans="1:58" ht="15.75" customHeight="1" thickBot="1">
      <c r="B6" s="382"/>
      <c r="C6" s="1050"/>
      <c r="D6" s="1055" t="s">
        <v>592</v>
      </c>
      <c r="E6" s="1055"/>
      <c r="F6" s="1055"/>
      <c r="G6" s="383"/>
      <c r="H6" s="1056" t="s">
        <v>593</v>
      </c>
      <c r="I6" s="1056"/>
      <c r="J6" s="1056"/>
      <c r="K6" s="384"/>
      <c r="L6" s="384"/>
      <c r="M6" s="1054"/>
      <c r="N6" s="1054"/>
      <c r="O6" s="1054"/>
      <c r="P6" s="385"/>
      <c r="Q6" s="386"/>
      <c r="R6" s="386"/>
      <c r="S6" s="386"/>
      <c r="T6" s="386"/>
      <c r="U6" s="386"/>
      <c r="V6" s="386"/>
      <c r="W6" s="386"/>
      <c r="X6" s="386"/>
      <c r="Y6" s="386"/>
      <c r="Z6" s="386"/>
      <c r="AA6" s="387"/>
      <c r="AB6" s="387"/>
      <c r="AC6" s="387"/>
      <c r="AD6" s="387"/>
      <c r="AE6" s="387"/>
      <c r="AF6" s="387"/>
      <c r="AG6" s="387"/>
      <c r="AH6" s="388"/>
    </row>
    <row r="7" spans="1:58" ht="15" customHeight="1" thickBot="1"/>
    <row r="8" spans="1:58" ht="15" customHeight="1">
      <c r="B8" s="986" t="s">
        <v>594</v>
      </c>
      <c r="C8" s="987"/>
      <c r="D8" s="987"/>
      <c r="E8" s="987"/>
      <c r="F8" s="987"/>
      <c r="G8" s="987"/>
      <c r="H8" s="987"/>
      <c r="I8" s="987"/>
      <c r="J8" s="987"/>
      <c r="K8" s="988"/>
      <c r="M8" s="986" t="str">
        <f>IF(I26="Custom","❷ Custom Lighting Operation Schedules","Lighting Operation Schedule")</f>
        <v>Lighting Operation Schedule</v>
      </c>
      <c r="N8" s="987"/>
      <c r="O8" s="987"/>
      <c r="P8" s="987"/>
      <c r="Q8" s="987"/>
      <c r="R8" s="987"/>
      <c r="S8" s="987"/>
      <c r="T8" s="987"/>
      <c r="U8" s="987"/>
      <c r="V8" s="987"/>
      <c r="W8" s="987"/>
      <c r="X8" s="987"/>
      <c r="Y8" s="987"/>
      <c r="Z8" s="987"/>
      <c r="AA8" s="987"/>
      <c r="AB8" s="987"/>
      <c r="AC8" s="987"/>
      <c r="AD8" s="987"/>
      <c r="AE8" s="987"/>
      <c r="AF8" s="987"/>
      <c r="AG8" s="987"/>
      <c r="AH8" s="988"/>
      <c r="AI8" s="29"/>
      <c r="AP8" s="29"/>
      <c r="AQ8" s="29"/>
      <c r="AR8" s="29"/>
    </row>
    <row r="9" spans="1:58" ht="15" customHeight="1" thickBot="1">
      <c r="B9" s="989"/>
      <c r="C9" s="990"/>
      <c r="D9" s="990"/>
      <c r="E9" s="990"/>
      <c r="F9" s="990"/>
      <c r="G9" s="990"/>
      <c r="H9" s="990"/>
      <c r="I9" s="990"/>
      <c r="J9" s="990"/>
      <c r="K9" s="991"/>
      <c r="M9" s="989"/>
      <c r="N9" s="990"/>
      <c r="O9" s="990"/>
      <c r="P9" s="990"/>
      <c r="Q9" s="990"/>
      <c r="R9" s="990"/>
      <c r="S9" s="990"/>
      <c r="T9" s="990"/>
      <c r="U9" s="990"/>
      <c r="V9" s="990"/>
      <c r="W9" s="990"/>
      <c r="X9" s="990"/>
      <c r="Y9" s="990"/>
      <c r="Z9" s="990"/>
      <c r="AA9" s="990"/>
      <c r="AB9" s="990"/>
      <c r="AC9" s="990"/>
      <c r="AD9" s="990"/>
      <c r="AE9" s="990"/>
      <c r="AF9" s="990"/>
      <c r="AG9" s="990"/>
      <c r="AH9" s="991"/>
      <c r="AI9" s="29"/>
      <c r="AP9" s="29"/>
      <c r="AQ9" s="29"/>
      <c r="AR9" s="29"/>
    </row>
    <row r="10" spans="1:58" ht="15" customHeight="1">
      <c r="B10" s="40"/>
      <c r="C10" s="20"/>
      <c r="D10" s="20"/>
      <c r="E10" s="20"/>
      <c r="F10" s="20"/>
      <c r="G10" s="20"/>
      <c r="H10" s="20"/>
      <c r="I10" s="20"/>
      <c r="J10" s="20"/>
      <c r="K10" s="41"/>
      <c r="M10" s="50"/>
      <c r="N10" s="9"/>
      <c r="O10" s="9"/>
      <c r="P10" s="9"/>
      <c r="Q10" s="9"/>
      <c r="R10" s="9"/>
      <c r="S10" s="9"/>
      <c r="T10" s="9"/>
      <c r="U10" s="9"/>
      <c r="V10" s="9"/>
      <c r="W10" s="9"/>
      <c r="X10" s="20"/>
      <c r="Y10" s="20"/>
      <c r="Z10" s="20"/>
      <c r="AA10" s="20"/>
      <c r="AB10" s="20"/>
      <c r="AC10" s="20"/>
      <c r="AD10" s="20"/>
      <c r="AE10" s="20"/>
      <c r="AF10" s="20"/>
      <c r="AG10" s="20"/>
      <c r="AH10" s="41"/>
      <c r="AI10" s="30"/>
      <c r="AP10" s="30"/>
      <c r="AQ10" s="30"/>
      <c r="AR10" s="30"/>
    </row>
    <row r="11" spans="1:58" ht="15" customHeight="1">
      <c r="B11" s="40"/>
      <c r="C11" s="1057" t="s">
        <v>595</v>
      </c>
      <c r="D11" s="1057"/>
      <c r="E11" s="1057"/>
      <c r="F11" s="1057"/>
      <c r="G11" s="1057"/>
      <c r="H11" s="1057"/>
      <c r="I11" s="1057"/>
      <c r="J11" s="1057"/>
      <c r="K11" s="41"/>
      <c r="M11" s="50"/>
      <c r="N11" s="1036" t="s">
        <v>596</v>
      </c>
      <c r="O11" s="1036"/>
      <c r="P11" s="1036"/>
      <c r="Q11" s="1036"/>
      <c r="R11" s="1036"/>
      <c r="S11" s="1036"/>
      <c r="T11" s="1036"/>
      <c r="U11" s="1036"/>
      <c r="V11" s="1036"/>
      <c r="W11" s="1036"/>
      <c r="X11" s="1036"/>
      <c r="Y11" s="1036"/>
      <c r="Z11" s="1036"/>
      <c r="AA11" s="1036"/>
      <c r="AB11" s="1036"/>
      <c r="AC11" s="1036"/>
      <c r="AD11" s="1036"/>
      <c r="AE11" s="1036"/>
      <c r="AF11" s="1036"/>
      <c r="AG11" s="1036"/>
      <c r="AH11" s="41"/>
      <c r="AI11" s="30"/>
      <c r="AP11" s="30"/>
      <c r="AQ11" s="30"/>
      <c r="AR11" s="30"/>
    </row>
    <row r="12" spans="1:58" ht="15" customHeight="1">
      <c r="B12" s="40"/>
      <c r="C12" s="42"/>
      <c r="D12" s="42"/>
      <c r="E12" s="42"/>
      <c r="F12" s="42"/>
      <c r="G12" s="42"/>
      <c r="H12" s="42"/>
      <c r="I12" s="42"/>
      <c r="J12" s="42"/>
      <c r="K12" s="41"/>
      <c r="M12" s="50"/>
      <c r="N12" s="1036"/>
      <c r="O12" s="1036"/>
      <c r="P12" s="1036"/>
      <c r="Q12" s="1036"/>
      <c r="R12" s="1036"/>
      <c r="S12" s="1036"/>
      <c r="T12" s="1036"/>
      <c r="U12" s="1036"/>
      <c r="V12" s="1036"/>
      <c r="W12" s="1036"/>
      <c r="X12" s="1036"/>
      <c r="Y12" s="1036"/>
      <c r="Z12" s="1036"/>
      <c r="AA12" s="1036"/>
      <c r="AB12" s="1036"/>
      <c r="AC12" s="1036"/>
      <c r="AD12" s="1036"/>
      <c r="AE12" s="1036"/>
      <c r="AF12" s="1036"/>
      <c r="AG12" s="1036"/>
      <c r="AH12" s="41"/>
      <c r="AI12" s="30"/>
      <c r="AP12" s="30"/>
      <c r="AQ12" s="30"/>
      <c r="AR12" s="30"/>
    </row>
    <row r="13" spans="1:58" ht="15" customHeight="1">
      <c r="B13" s="40"/>
      <c r="C13" s="47" t="s">
        <v>597</v>
      </c>
      <c r="D13" s="1022">
        <f>'Project Info and Summary'!C3</f>
        <v>0</v>
      </c>
      <c r="E13" s="1022"/>
      <c r="F13" s="1022"/>
      <c r="G13" s="1022"/>
      <c r="H13" s="1022"/>
      <c r="I13" s="1022"/>
      <c r="J13" s="1022"/>
      <c r="K13" s="41"/>
      <c r="M13" s="50"/>
      <c r="N13" s="1036"/>
      <c r="O13" s="1036"/>
      <c r="P13" s="1036"/>
      <c r="Q13" s="1036"/>
      <c r="R13" s="1036"/>
      <c r="S13" s="1036"/>
      <c r="T13" s="1036"/>
      <c r="U13" s="1036"/>
      <c r="V13" s="1036"/>
      <c r="W13" s="1036"/>
      <c r="X13" s="1036"/>
      <c r="Y13" s="1036"/>
      <c r="Z13" s="1036"/>
      <c r="AA13" s="1036"/>
      <c r="AB13" s="1036"/>
      <c r="AC13" s="1036"/>
      <c r="AD13" s="1036"/>
      <c r="AE13" s="1036"/>
      <c r="AF13" s="1036"/>
      <c r="AG13" s="1036"/>
      <c r="AH13" s="41"/>
      <c r="AI13" s="30"/>
      <c r="AJ13" s="152"/>
      <c r="AP13" s="30"/>
      <c r="AQ13" s="30"/>
      <c r="AR13" s="30"/>
    </row>
    <row r="14" spans="1:58" ht="15" customHeight="1" thickBot="1">
      <c r="B14" s="40"/>
      <c r="C14" s="47" t="s">
        <v>598</v>
      </c>
      <c r="D14" s="1018">
        <f>'Project Info and Summary'!C4</f>
        <v>0</v>
      </c>
      <c r="E14" s="1018"/>
      <c r="F14" s="1018"/>
      <c r="G14" s="1018"/>
      <c r="H14" s="1018"/>
      <c r="I14" s="1018"/>
      <c r="J14" s="1018"/>
      <c r="K14" s="41"/>
      <c r="M14" s="50"/>
      <c r="N14" s="9"/>
      <c r="O14" s="51"/>
      <c r="P14" s="51"/>
      <c r="Q14" s="51"/>
      <c r="R14" s="51"/>
      <c r="S14" s="51"/>
      <c r="T14" s="51"/>
      <c r="U14" s="51"/>
      <c r="V14" s="51"/>
      <c r="W14" s="51"/>
      <c r="X14" s="51"/>
      <c r="Y14" s="51"/>
      <c r="Z14" s="51"/>
      <c r="AA14" s="51"/>
      <c r="AB14" s="51"/>
      <c r="AC14" s="51"/>
      <c r="AD14" s="51"/>
      <c r="AE14" s="51"/>
      <c r="AF14" s="51"/>
      <c r="AG14" s="51"/>
      <c r="AH14" s="41"/>
      <c r="AI14" s="30"/>
      <c r="AP14" s="30"/>
      <c r="AQ14" s="30"/>
      <c r="AR14" s="30"/>
    </row>
    <row r="15" spans="1:58" ht="15" customHeight="1">
      <c r="B15" s="40"/>
      <c r="C15" s="47"/>
      <c r="D15" s="43"/>
      <c r="E15" s="43"/>
      <c r="F15" s="43"/>
      <c r="G15" s="43"/>
      <c r="H15" s="43"/>
      <c r="I15" s="43"/>
      <c r="J15" s="43"/>
      <c r="K15" s="41"/>
      <c r="M15" s="50"/>
      <c r="N15" s="9"/>
      <c r="O15" s="52" t="s">
        <v>599</v>
      </c>
      <c r="P15" s="1037" t="s">
        <v>516</v>
      </c>
      <c r="Q15" s="1038"/>
      <c r="R15" s="1039" t="str">
        <f>'Usage Groups (&gt;120 MWh only)'!B7</f>
        <v>Exterior Photocell controlled</v>
      </c>
      <c r="S15" s="1040"/>
      <c r="T15" s="1039">
        <f>'Usage Groups (&gt;120 MWh only)'!B8</f>
        <v>0</v>
      </c>
      <c r="U15" s="1040"/>
      <c r="V15" s="1039">
        <f>'Usage Groups (&gt;120 MWh only)'!B9</f>
        <v>0</v>
      </c>
      <c r="W15" s="1064"/>
      <c r="X15" s="1040"/>
      <c r="Y15" s="1039">
        <f>'Usage Groups (&gt;120 MWh only)'!B10</f>
        <v>0</v>
      </c>
      <c r="Z15" s="1064"/>
      <c r="AA15" s="1040"/>
      <c r="AB15" s="1058">
        <f>'Usage Groups (&gt;120 MWh only)'!B11</f>
        <v>0</v>
      </c>
      <c r="AC15" s="1059"/>
      <c r="AD15" s="1060">
        <f>'Usage Groups (&gt;120 MWh only)'!B12</f>
        <v>0</v>
      </c>
      <c r="AE15" s="1061"/>
      <c r="AF15" s="1062" t="s">
        <v>600</v>
      </c>
      <c r="AG15" s="1063"/>
      <c r="AH15" s="45"/>
      <c r="AJ15" t="s">
        <v>601</v>
      </c>
    </row>
    <row r="16" spans="1:58" ht="15" customHeight="1">
      <c r="B16" s="44"/>
      <c r="C16" s="47" t="s">
        <v>602</v>
      </c>
      <c r="D16" s="1022">
        <f>'Project Info and Summary'!C9</f>
        <v>0</v>
      </c>
      <c r="E16" s="1022"/>
      <c r="F16" s="1022"/>
      <c r="G16" s="1022"/>
      <c r="H16" s="1022"/>
      <c r="I16" s="1022"/>
      <c r="J16" s="1022"/>
      <c r="K16" s="45"/>
      <c r="M16" s="50"/>
      <c r="N16" s="9"/>
      <c r="O16" s="52"/>
      <c r="P16" s="552" t="s">
        <v>603</v>
      </c>
      <c r="Q16" s="553" t="s">
        <v>604</v>
      </c>
      <c r="R16" s="554" t="s">
        <v>603</v>
      </c>
      <c r="S16" s="555" t="s">
        <v>604</v>
      </c>
      <c r="T16" s="554" t="s">
        <v>603</v>
      </c>
      <c r="U16" s="555" t="s">
        <v>604</v>
      </c>
      <c r="V16" s="554" t="s">
        <v>603</v>
      </c>
      <c r="W16" s="994" t="s">
        <v>604</v>
      </c>
      <c r="X16" s="995"/>
      <c r="Y16" s="1041" t="s">
        <v>603</v>
      </c>
      <c r="Z16" s="1042"/>
      <c r="AA16" s="556" t="s">
        <v>604</v>
      </c>
      <c r="AB16" s="557" t="s">
        <v>603</v>
      </c>
      <c r="AC16" s="558" t="s">
        <v>604</v>
      </c>
      <c r="AD16" s="554" t="s">
        <v>603</v>
      </c>
      <c r="AE16" s="555" t="s">
        <v>604</v>
      </c>
      <c r="AF16" s="554" t="s">
        <v>605</v>
      </c>
      <c r="AG16" s="555" t="s">
        <v>606</v>
      </c>
      <c r="AH16" s="45"/>
      <c r="AJ16" s="1077" t="str">
        <f>R15</f>
        <v>Exterior Photocell controlled</v>
      </c>
      <c r="AK16" s="1077"/>
      <c r="AL16" s="1077">
        <f t="shared" ref="AL16" si="0">T15</f>
        <v>0</v>
      </c>
      <c r="AM16" s="1077"/>
      <c r="AN16" s="1077">
        <f t="shared" ref="AN16" si="1">V15</f>
        <v>0</v>
      </c>
      <c r="AO16" s="1077"/>
      <c r="AP16" s="157"/>
      <c r="AQ16" s="158"/>
      <c r="AR16" s="1077">
        <f>Y15</f>
        <v>0</v>
      </c>
      <c r="AS16" s="1077"/>
      <c r="AT16" s="1077">
        <f t="shared" ref="AT16" si="2">AB15</f>
        <v>0</v>
      </c>
      <c r="AU16" s="1077"/>
      <c r="AV16" s="1077">
        <f t="shared" ref="AV16" si="3">AD15</f>
        <v>0</v>
      </c>
      <c r="AW16" s="1077"/>
    </row>
    <row r="17" spans="2:52" ht="15" customHeight="1">
      <c r="B17" s="44"/>
      <c r="C17" s="47" t="s">
        <v>607</v>
      </c>
      <c r="D17" s="1018">
        <f>'Project Info and Summary'!C10</f>
        <v>0</v>
      </c>
      <c r="E17" s="1018"/>
      <c r="F17" s="1018"/>
      <c r="G17" s="46" t="s">
        <v>608</v>
      </c>
      <c r="H17" s="64" t="s">
        <v>609</v>
      </c>
      <c r="I17" s="46" t="s">
        <v>610</v>
      </c>
      <c r="J17" s="65">
        <f>'Project Info and Summary'!C11</f>
        <v>0</v>
      </c>
      <c r="K17" s="45"/>
      <c r="M17" s="50"/>
      <c r="N17" s="9"/>
      <c r="O17" s="53" t="s">
        <v>611</v>
      </c>
      <c r="P17" s="559">
        <v>8</v>
      </c>
      <c r="Q17" s="560">
        <v>17</v>
      </c>
      <c r="R17" s="561">
        <f>IF(OR('Usage Groups (&gt;120 MWh only)'!$D$7="24 hrs",'Usage Groups (&gt;120 MWh only)'!$E$7="24 hrs"),0,IF(OR('Usage Groups (&gt;120 MWh only)'!$D$7="Off",'Usage Groups (&gt;120 MWh only)'!$E$7="Off"),0,HOUR('Usage Groups (&gt;120 MWh only)'!$D$7)+MINUTE('Usage Groups (&gt;120 MWh only)'!$D$7)/60))</f>
        <v>17.5</v>
      </c>
      <c r="S17" s="561">
        <f>IF(OR('Usage Groups (&gt;120 MWh only)'!$D$7="24 hrs",'Usage Groups (&gt;120 MWh only)'!$E$7="24 hrs"),24,IF(OR('Usage Groups (&gt;120 MWh only)'!$D$7="Off",'Usage Groups (&gt;120 MWh only)'!$E$7="Off"),0,HOUR('Usage Groups (&gt;120 MWh only)'!$E$7)+MINUTE('Usage Groups (&gt;120 MWh only)'!$E$7)/60))</f>
        <v>5</v>
      </c>
      <c r="T17" s="561">
        <f>IF(OR('Usage Groups (&gt;120 MWh only)'!$D$8="24 hrs",'Usage Groups (&gt;120 MWh only)'!$E$8="24 hrs"),0,IF(OR('Usage Groups (&gt;120 MWh only)'!$D$8="Off",'Usage Groups (&gt;120 MWh only)'!$E$8="Off"),0,HOUR('Usage Groups (&gt;120 MWh only)'!$D$8)+MINUTE('Usage Groups (&gt;120 MWh only)'!$D$8)/60))</f>
        <v>0</v>
      </c>
      <c r="U17" s="561">
        <f>IF(OR('Usage Groups (&gt;120 MWh only)'!$D$8="24 hrs",'Usage Groups (&gt;120 MWh only)'!$E$8="24 hrs"),24,IF(OR('Usage Groups (&gt;120 MWh only)'!$D$8="Off",'Usage Groups (&gt;120 MWh only)'!$E$8="Off"),0,HOUR('Usage Groups (&gt;120 MWh only)'!$E$8)+MINUTE('Usage Groups (&gt;120 MWh only)'!$E$8)/60))</f>
        <v>0</v>
      </c>
      <c r="V17" s="561">
        <f>IF(OR('Usage Groups (&gt;120 MWh only)'!$D$9="24 hrs",'Usage Groups (&gt;120 MWh only)'!$E$9="24 hrs"),0,IF(OR('Usage Groups (&gt;120 MWh only)'!$D$9="Off",'Usage Groups (&gt;120 MWh only)'!$E$9="Off"),0,HOUR('Usage Groups (&gt;120 MWh only)'!$D$9)+MINUTE('Usage Groups (&gt;120 MWh only)'!$D$9)/60))</f>
        <v>0</v>
      </c>
      <c r="W17" s="996">
        <f>IF(OR('Usage Groups (&gt;120 MWh only)'!$D$9="24 hrs",'Usage Groups (&gt;120 MWh only)'!$E$9="24 hrs"),24,IF(OR('Usage Groups (&gt;120 MWh only)'!$D$9="Off",'Usage Groups (&gt;120 MWh only)'!$E$9="Off"),0,HOUR('Usage Groups (&gt;120 MWh only)'!$E$9)+MINUTE('Usage Groups (&gt;120 MWh only)'!$E$9)/60))</f>
        <v>0</v>
      </c>
      <c r="X17" s="997"/>
      <c r="Y17" s="1013">
        <f>IF(OR('Usage Groups (&gt;120 MWh only)'!$D$10="24 hrs",'Usage Groups (&gt;120 MWh only)'!$E$10="24 hrs"),0,IF(OR('Usage Groups (&gt;120 MWh only)'!$D$10="Off",'Usage Groups (&gt;120 MWh only)'!$E$10="Off"),0,HOUR('Usage Groups (&gt;120 MWh only)'!$D$10)+MINUTE('Usage Groups (&gt;120 MWh only)'!$D$10)/60))</f>
        <v>0</v>
      </c>
      <c r="Z17" s="1014"/>
      <c r="AA17" s="562">
        <f>IF(OR('Usage Groups (&gt;120 MWh only)'!$D$10="24 hrs",'Usage Groups (&gt;120 MWh only)'!$E$10="24 hrs"),24,IF(OR('Usage Groups (&gt;120 MWh only)'!$D$10="Off",'Usage Groups (&gt;120 MWh only)'!$E$10="Off"),0,HOUR('Usage Groups (&gt;120 MWh only)'!$E$10)+MINUTE('Usage Groups (&gt;120 MWh only)'!$E$10)/60))</f>
        <v>0</v>
      </c>
      <c r="AB17" s="561">
        <f>IF(OR('Usage Groups (&gt;120 MWh only)'!$D$11="24 hrs",'Usage Groups (&gt;120 MWh only)'!$E$11="24 hrs"),0,IF(OR('Usage Groups (&gt;120 MWh only)'!$D$11="Off",'Usage Groups (&gt;120 MWh only)'!$E$11="Off"),0,HOUR('Usage Groups (&gt;120 MWh only)'!$D$11)+MINUTE('Usage Groups (&gt;120 MWh only)'!$D$11)/60))</f>
        <v>0</v>
      </c>
      <c r="AC17" s="561">
        <f>IF(OR('Usage Groups (&gt;120 MWh only)'!$D$11="24 hrs",'Usage Groups (&gt;120 MWh only)'!$E$11="24 hrs"),24,IF(OR('Usage Groups (&gt;120 MWh only)'!$D$11="Off",'Usage Groups (&gt;120 MWh only)'!$E$11="Off"),0,HOUR('Usage Groups (&gt;120 MWh only)'!$E$11)+MINUTE('Usage Groups (&gt;120 MWh only)'!$E$11)/60))</f>
        <v>0</v>
      </c>
      <c r="AD17" s="561">
        <f>IF(OR('Usage Groups (&gt;120 MWh only)'!$D$12="24 hrs",'Usage Groups (&gt;120 MWh only)'!$E$12="24 hrs"),0,IF(OR('Usage Groups (&gt;120 MWh only)'!$D$12="Off",'Usage Groups (&gt;120 MWh only)'!$E$12="Off"),0,HOUR('Usage Groups (&gt;120 MWh only)'!$D$12)+MINUTE('Usage Groups (&gt;120 MWh only)'!$D$12)/60))</f>
        <v>0</v>
      </c>
      <c r="AE17" s="561">
        <f>IF(OR('Usage Groups (&gt;120 MWh only)'!$D$12="24 hrs",'Usage Groups (&gt;120 MWh only)'!$E$12="24 hrs"),24,IF(OR('Usage Groups (&gt;120 MWh only)'!$D$12="Off",'Usage Groups (&gt;120 MWh only)'!$E$12="Off"),0,HOUR('Usage Groups (&gt;120 MWh only)'!$E$12)+MINUTE('Usage Groups (&gt;120 MWh only)'!$E$12)/60))</f>
        <v>0</v>
      </c>
      <c r="AF17" s="563"/>
      <c r="AG17" s="564"/>
      <c r="AH17" s="45"/>
      <c r="AJ17" s="1078">
        <f t="shared" ref="AJ17:AJ23" si="4">IF(S17-R17&lt;0,24-R17+S17,S17-R17)</f>
        <v>11.5</v>
      </c>
      <c r="AK17" s="1078"/>
      <c r="AL17" s="1078">
        <f t="shared" ref="AL17:AL23" si="5">IF(U17-T17&lt;0,24-T17+U17,U17-T17)</f>
        <v>0</v>
      </c>
      <c r="AM17" s="1078"/>
      <c r="AN17" s="1078">
        <f t="shared" ref="AN17:AN23" si="6">IF(W17-V17&lt;0,24-V17+W17,W17-V17)</f>
        <v>0</v>
      </c>
      <c r="AO17" s="1078"/>
      <c r="AP17" s="157"/>
      <c r="AQ17" s="158"/>
      <c r="AR17" s="1078">
        <f t="shared" ref="AR17:AR23" si="7">IF(AA17-Y17&lt;0,24-Y17+AA17,AA17-Y17)</f>
        <v>0</v>
      </c>
      <c r="AS17" s="1078"/>
      <c r="AT17" s="1078">
        <f t="shared" ref="AT17:AT23" si="8">IF(AC17-AB17&lt;0,24-AB17+AC17,AC17-AB17)</f>
        <v>0</v>
      </c>
      <c r="AU17" s="1078"/>
      <c r="AV17" s="1078">
        <f t="shared" ref="AV17:AV23" si="9">IF(AE17-AD17&lt;0,24-AD17+AE17,AE17-AD17)</f>
        <v>0</v>
      </c>
      <c r="AW17" s="1078"/>
      <c r="AY17" s="153"/>
      <c r="AZ17" s="153"/>
    </row>
    <row r="18" spans="2:52" ht="15" customHeight="1">
      <c r="B18" s="44"/>
      <c r="C18" s="47" t="s">
        <v>612</v>
      </c>
      <c r="D18" s="1018" t="s">
        <v>613</v>
      </c>
      <c r="E18" s="1018"/>
      <c r="F18" s="1019" t="s">
        <v>614</v>
      </c>
      <c r="G18" s="1020"/>
      <c r="H18" s="1021"/>
      <c r="I18" s="1022"/>
      <c r="J18" s="1022"/>
      <c r="K18" s="45"/>
      <c r="M18" s="50"/>
      <c r="N18" s="9"/>
      <c r="O18" s="54" t="s">
        <v>615</v>
      </c>
      <c r="P18" s="559">
        <v>8</v>
      </c>
      <c r="Q18" s="560">
        <v>17</v>
      </c>
      <c r="R18" s="561">
        <f>IF(OR('Usage Groups (&gt;120 MWh only)'!$D$7="24 hrs",'Usage Groups (&gt;120 MWh only)'!$E$7="24 hrs"),0,IF(OR('Usage Groups (&gt;120 MWh only)'!$D$7="Off",'Usage Groups (&gt;120 MWh only)'!$E$7="Off"),0,HOUR('Usage Groups (&gt;120 MWh only)'!$D$7)+MINUTE('Usage Groups (&gt;120 MWh only)'!$D$7)/60))</f>
        <v>17.5</v>
      </c>
      <c r="S18" s="561">
        <f>IF(OR('Usage Groups (&gt;120 MWh only)'!$D$7="24 hrs",'Usage Groups (&gt;120 MWh only)'!$E$7="24 hrs"),24,IF(OR('Usage Groups (&gt;120 MWh only)'!$D$7="Off",'Usage Groups (&gt;120 MWh only)'!$E$7="Off"),0,HOUR('Usage Groups (&gt;120 MWh only)'!$E$7)+MINUTE('Usage Groups (&gt;120 MWh only)'!$E$7)/60))</f>
        <v>5</v>
      </c>
      <c r="T18" s="561">
        <f>IF(OR('Usage Groups (&gt;120 MWh only)'!$D$8="24 hrs",'Usage Groups (&gt;120 MWh only)'!$E$8="24 hrs"),0,IF(OR('Usage Groups (&gt;120 MWh only)'!$D$8="Off",'Usage Groups (&gt;120 MWh only)'!$E$8="Off"),0,HOUR('Usage Groups (&gt;120 MWh only)'!$D$8)+MINUTE('Usage Groups (&gt;120 MWh only)'!$D$8)/60))</f>
        <v>0</v>
      </c>
      <c r="U18" s="561">
        <f>IF(OR('Usage Groups (&gt;120 MWh only)'!$D$8="24 hrs",'Usage Groups (&gt;120 MWh only)'!$E$8="24 hrs"),24,IF(OR('Usage Groups (&gt;120 MWh only)'!$D$8="Off",'Usage Groups (&gt;120 MWh only)'!$E$8="Off"),0,HOUR('Usage Groups (&gt;120 MWh only)'!$E$8)+MINUTE('Usage Groups (&gt;120 MWh only)'!$E$8)/60))</f>
        <v>0</v>
      </c>
      <c r="V18" s="561">
        <f>IF(OR('Usage Groups (&gt;120 MWh only)'!$D$9="24 hrs",'Usage Groups (&gt;120 MWh only)'!$E$9="24 hrs"),0,IF(OR('Usage Groups (&gt;120 MWh only)'!$D$9="Off",'Usage Groups (&gt;120 MWh only)'!$E$9="Off"),0,HOUR('Usage Groups (&gt;120 MWh only)'!$D$9)+MINUTE('Usage Groups (&gt;120 MWh only)'!$D$9)/60))</f>
        <v>0</v>
      </c>
      <c r="W18" s="996">
        <f>IF(OR('Usage Groups (&gt;120 MWh only)'!$D$9="24 hrs",'Usage Groups (&gt;120 MWh only)'!$E$9="24 hrs"),24,IF(OR('Usage Groups (&gt;120 MWh only)'!$D$9="Off",'Usage Groups (&gt;120 MWh only)'!$E$9="Off"),0,HOUR('Usage Groups (&gt;120 MWh only)'!$E$9)+MINUTE('Usage Groups (&gt;120 MWh only)'!$E$9)/60))</f>
        <v>0</v>
      </c>
      <c r="X18" s="997"/>
      <c r="Y18" s="1013">
        <f>IF(OR('Usage Groups (&gt;120 MWh only)'!$D$10="24 hrs",'Usage Groups (&gt;120 MWh only)'!$E$10="24 hrs"),0,IF(OR('Usage Groups (&gt;120 MWh only)'!$D$10="Off",'Usage Groups (&gt;120 MWh only)'!$E$10="Off"),0,HOUR('Usage Groups (&gt;120 MWh only)'!$D$10)+MINUTE('Usage Groups (&gt;120 MWh only)'!$D$10)/60))</f>
        <v>0</v>
      </c>
      <c r="Z18" s="1014"/>
      <c r="AA18" s="562">
        <f>IF(OR('Usage Groups (&gt;120 MWh only)'!$D$10="24 hrs",'Usage Groups (&gt;120 MWh only)'!$E$10="24 hrs"),24,IF(OR('Usage Groups (&gt;120 MWh only)'!$D$10="Off",'Usage Groups (&gt;120 MWh only)'!$E$10="Off"),0,HOUR('Usage Groups (&gt;120 MWh only)'!$E$10)+MINUTE('Usage Groups (&gt;120 MWh only)'!$E$10)/60))</f>
        <v>0</v>
      </c>
      <c r="AB18" s="561">
        <f>IF(OR('Usage Groups (&gt;120 MWh only)'!$D$11="24 hrs",'Usage Groups (&gt;120 MWh only)'!$E$11="24 hrs"),0,IF(OR('Usage Groups (&gt;120 MWh only)'!$D$11="Off",'Usage Groups (&gt;120 MWh only)'!$E$11="Off"),0,HOUR('Usage Groups (&gt;120 MWh only)'!$D$11)+MINUTE('Usage Groups (&gt;120 MWh only)'!$D$11)/60))</f>
        <v>0</v>
      </c>
      <c r="AC18" s="561">
        <f>IF(OR('Usage Groups (&gt;120 MWh only)'!$D$11="24 hrs",'Usage Groups (&gt;120 MWh only)'!$E$11="24 hrs"),24,IF(OR('Usage Groups (&gt;120 MWh only)'!$D$11="Off",'Usage Groups (&gt;120 MWh only)'!$E$11="Off"),0,HOUR('Usage Groups (&gt;120 MWh only)'!$E$11)+MINUTE('Usage Groups (&gt;120 MWh only)'!$E$11)/60))</f>
        <v>0</v>
      </c>
      <c r="AD18" s="561">
        <f>IF(OR('Usage Groups (&gt;120 MWh only)'!$D$12="24 hrs",'Usage Groups (&gt;120 MWh only)'!$E$12="24 hrs"),0,IF(OR('Usage Groups (&gt;120 MWh only)'!$D$12="Off",'Usage Groups (&gt;120 MWh only)'!$E$12="Off"),0,HOUR('Usage Groups (&gt;120 MWh only)'!$D$12)+MINUTE('Usage Groups (&gt;120 MWh only)'!$D$12)/60))</f>
        <v>0</v>
      </c>
      <c r="AE18" s="561">
        <f>IF(OR('Usage Groups (&gt;120 MWh only)'!$D$12="24 hrs",'Usage Groups (&gt;120 MWh only)'!$E$12="24 hrs"),24,IF(OR('Usage Groups (&gt;120 MWh only)'!$D$12="Off",'Usage Groups (&gt;120 MWh only)'!$E$12="Off"),0,HOUR('Usage Groups (&gt;120 MWh only)'!$E$12)+MINUTE('Usage Groups (&gt;120 MWh only)'!$E$12)/60))</f>
        <v>0</v>
      </c>
      <c r="AF18" s="563"/>
      <c r="AG18" s="564"/>
      <c r="AH18" s="45"/>
      <c r="AJ18" s="1078">
        <f t="shared" si="4"/>
        <v>11.5</v>
      </c>
      <c r="AK18" s="1078"/>
      <c r="AL18" s="1078">
        <f t="shared" si="5"/>
        <v>0</v>
      </c>
      <c r="AM18" s="1078"/>
      <c r="AN18" s="1078">
        <f t="shared" si="6"/>
        <v>0</v>
      </c>
      <c r="AO18" s="1078"/>
      <c r="AP18" s="157"/>
      <c r="AQ18" s="158"/>
      <c r="AR18" s="1078">
        <f t="shared" si="7"/>
        <v>0</v>
      </c>
      <c r="AS18" s="1078"/>
      <c r="AT18" s="1078">
        <f t="shared" si="8"/>
        <v>0</v>
      </c>
      <c r="AU18" s="1078"/>
      <c r="AV18" s="1078">
        <f t="shared" si="9"/>
        <v>0</v>
      </c>
      <c r="AW18" s="1078"/>
      <c r="AY18" s="153"/>
      <c r="AZ18" s="153"/>
    </row>
    <row r="19" spans="2:52" ht="15" customHeight="1">
      <c r="B19" s="44"/>
      <c r="C19" s="47" t="s">
        <v>616</v>
      </c>
      <c r="D19" s="1022">
        <f>'Project Info and Summary'!C5</f>
        <v>0</v>
      </c>
      <c r="E19" s="1022"/>
      <c r="F19" s="1022"/>
      <c r="G19" s="1022"/>
      <c r="H19" s="1022"/>
      <c r="I19" s="1022"/>
      <c r="J19" s="1022"/>
      <c r="K19" s="45"/>
      <c r="M19" s="50"/>
      <c r="N19" s="9"/>
      <c r="O19" s="54" t="s">
        <v>617</v>
      </c>
      <c r="P19" s="559">
        <v>8</v>
      </c>
      <c r="Q19" s="560">
        <v>17</v>
      </c>
      <c r="R19" s="561">
        <f>IF(OR('Usage Groups (&gt;120 MWh only)'!$D$7="24 hrs",'Usage Groups (&gt;120 MWh only)'!$E$7="24 hrs"),0,IF(OR('Usage Groups (&gt;120 MWh only)'!$D$7="Off",'Usage Groups (&gt;120 MWh only)'!$E$7="Off"),0,HOUR('Usage Groups (&gt;120 MWh only)'!$D$7)+MINUTE('Usage Groups (&gt;120 MWh only)'!$D$7)/60))</f>
        <v>17.5</v>
      </c>
      <c r="S19" s="561">
        <f>IF(OR('Usage Groups (&gt;120 MWh only)'!$D$7="24 hrs",'Usage Groups (&gt;120 MWh only)'!$E$7="24 hrs"),24,IF(OR('Usage Groups (&gt;120 MWh only)'!$D$7="Off",'Usage Groups (&gt;120 MWh only)'!$E$7="Off"),0,HOUR('Usage Groups (&gt;120 MWh only)'!$E$7)+MINUTE('Usage Groups (&gt;120 MWh only)'!$E$7)/60))</f>
        <v>5</v>
      </c>
      <c r="T19" s="561">
        <f>IF(OR('Usage Groups (&gt;120 MWh only)'!$D$8="24 hrs",'Usage Groups (&gt;120 MWh only)'!$E$8="24 hrs"),0,IF(OR('Usage Groups (&gt;120 MWh only)'!$D$8="Off",'Usage Groups (&gt;120 MWh only)'!$E$8="Off"),0,HOUR('Usage Groups (&gt;120 MWh only)'!$D$8)+MINUTE('Usage Groups (&gt;120 MWh only)'!$D$8)/60))</f>
        <v>0</v>
      </c>
      <c r="U19" s="561">
        <f>IF(OR('Usage Groups (&gt;120 MWh only)'!$D$8="24 hrs",'Usage Groups (&gt;120 MWh only)'!$E$8="24 hrs"),24,IF(OR('Usage Groups (&gt;120 MWh only)'!$D$8="Off",'Usage Groups (&gt;120 MWh only)'!$E$8="Off"),0,HOUR('Usage Groups (&gt;120 MWh only)'!$E$8)+MINUTE('Usage Groups (&gt;120 MWh only)'!$E$8)/60))</f>
        <v>0</v>
      </c>
      <c r="V19" s="561">
        <f>IF(OR('Usage Groups (&gt;120 MWh only)'!$D$9="24 hrs",'Usage Groups (&gt;120 MWh only)'!$E$9="24 hrs"),0,IF(OR('Usage Groups (&gt;120 MWh only)'!$D$9="Off",'Usage Groups (&gt;120 MWh only)'!$E$9="Off"),0,HOUR('Usage Groups (&gt;120 MWh only)'!$D$9)+MINUTE('Usage Groups (&gt;120 MWh only)'!$D$9)/60))</f>
        <v>0</v>
      </c>
      <c r="W19" s="996">
        <f>IF(OR('Usage Groups (&gt;120 MWh only)'!$D$9="24 hrs",'Usage Groups (&gt;120 MWh only)'!$E$9="24 hrs"),24,IF(OR('Usage Groups (&gt;120 MWh only)'!$D$9="Off",'Usage Groups (&gt;120 MWh only)'!$E$9="Off"),0,HOUR('Usage Groups (&gt;120 MWh only)'!$E$9)+MINUTE('Usage Groups (&gt;120 MWh only)'!$E$9)/60))</f>
        <v>0</v>
      </c>
      <c r="X19" s="997"/>
      <c r="Y19" s="1013">
        <f>IF(OR('Usage Groups (&gt;120 MWh only)'!$D$10="24 hrs",'Usage Groups (&gt;120 MWh only)'!$E$10="24 hrs"),0,IF(OR('Usage Groups (&gt;120 MWh only)'!$D$10="Off",'Usage Groups (&gt;120 MWh only)'!$E$10="Off"),0,HOUR('Usage Groups (&gt;120 MWh only)'!$D$10)+MINUTE('Usage Groups (&gt;120 MWh only)'!$D$10)/60))</f>
        <v>0</v>
      </c>
      <c r="Z19" s="1014"/>
      <c r="AA19" s="562">
        <f>IF(OR('Usage Groups (&gt;120 MWh only)'!$D$10="24 hrs",'Usage Groups (&gt;120 MWh only)'!$E$10="24 hrs"),24,IF(OR('Usage Groups (&gt;120 MWh only)'!$D$10="Off",'Usage Groups (&gt;120 MWh only)'!$E$10="Off"),0,HOUR('Usage Groups (&gt;120 MWh only)'!$E$10)+MINUTE('Usage Groups (&gt;120 MWh only)'!$E$10)/60))</f>
        <v>0</v>
      </c>
      <c r="AB19" s="561">
        <f>IF(OR('Usage Groups (&gt;120 MWh only)'!$D$11="24 hrs",'Usage Groups (&gt;120 MWh only)'!$E$11="24 hrs"),0,IF(OR('Usage Groups (&gt;120 MWh only)'!$D$11="Off",'Usage Groups (&gt;120 MWh only)'!$E$11="Off"),0,HOUR('Usage Groups (&gt;120 MWh only)'!$D$11)+MINUTE('Usage Groups (&gt;120 MWh only)'!$D$11)/60))</f>
        <v>0</v>
      </c>
      <c r="AC19" s="561">
        <f>IF(OR('Usage Groups (&gt;120 MWh only)'!$D$11="24 hrs",'Usage Groups (&gt;120 MWh only)'!$E$11="24 hrs"),24,IF(OR('Usage Groups (&gt;120 MWh only)'!$D$11="Off",'Usage Groups (&gt;120 MWh only)'!$E$11="Off"),0,HOUR('Usage Groups (&gt;120 MWh only)'!$E$11)+MINUTE('Usage Groups (&gt;120 MWh only)'!$E$11)/60))</f>
        <v>0</v>
      </c>
      <c r="AD19" s="561">
        <f>IF(OR('Usage Groups (&gt;120 MWh only)'!$D$12="24 hrs",'Usage Groups (&gt;120 MWh only)'!$E$12="24 hrs"),0,IF(OR('Usage Groups (&gt;120 MWh only)'!$D$12="Off",'Usage Groups (&gt;120 MWh only)'!$E$12="Off"),0,HOUR('Usage Groups (&gt;120 MWh only)'!$D$12)+MINUTE('Usage Groups (&gt;120 MWh only)'!$D$12)/60))</f>
        <v>0</v>
      </c>
      <c r="AE19" s="561">
        <f>IF(OR('Usage Groups (&gt;120 MWh only)'!$D$12="24 hrs",'Usage Groups (&gt;120 MWh only)'!$E$12="24 hrs"),24,IF(OR('Usage Groups (&gt;120 MWh only)'!$D$12="Off",'Usage Groups (&gt;120 MWh only)'!$E$12="Off"),0,HOUR('Usage Groups (&gt;120 MWh only)'!$E$12)+MINUTE('Usage Groups (&gt;120 MWh only)'!$E$12)/60))</f>
        <v>0</v>
      </c>
      <c r="AF19" s="563"/>
      <c r="AG19" s="564"/>
      <c r="AH19" s="45"/>
      <c r="AJ19" s="1078">
        <f t="shared" si="4"/>
        <v>11.5</v>
      </c>
      <c r="AK19" s="1078"/>
      <c r="AL19" s="1078">
        <f t="shared" si="5"/>
        <v>0</v>
      </c>
      <c r="AM19" s="1078"/>
      <c r="AN19" s="1078">
        <f t="shared" si="6"/>
        <v>0</v>
      </c>
      <c r="AO19" s="1078"/>
      <c r="AP19" s="157"/>
      <c r="AQ19" s="158"/>
      <c r="AR19" s="1078">
        <f t="shared" si="7"/>
        <v>0</v>
      </c>
      <c r="AS19" s="1078"/>
      <c r="AT19" s="1078">
        <f t="shared" si="8"/>
        <v>0</v>
      </c>
      <c r="AU19" s="1078"/>
      <c r="AV19" s="1078">
        <f t="shared" si="9"/>
        <v>0</v>
      </c>
      <c r="AW19" s="1078"/>
      <c r="AY19" s="153"/>
      <c r="AZ19" s="153"/>
    </row>
    <row r="20" spans="2:52" ht="15" customHeight="1">
      <c r="B20" s="44"/>
      <c r="C20" s="47" t="s">
        <v>618</v>
      </c>
      <c r="D20" s="1023">
        <f>'Project Info and Summary'!C6</f>
        <v>0</v>
      </c>
      <c r="E20" s="1023"/>
      <c r="F20" s="1023"/>
      <c r="G20" s="1023"/>
      <c r="H20" s="1023"/>
      <c r="I20" s="1023"/>
      <c r="J20" s="1023"/>
      <c r="K20" s="45"/>
      <c r="M20" s="50"/>
      <c r="N20" s="9"/>
      <c r="O20" s="54" t="s">
        <v>619</v>
      </c>
      <c r="P20" s="559">
        <v>8</v>
      </c>
      <c r="Q20" s="560">
        <v>17</v>
      </c>
      <c r="R20" s="561">
        <f>IF(OR('Usage Groups (&gt;120 MWh only)'!$D$7="24 hrs",'Usage Groups (&gt;120 MWh only)'!$E$7="24 hrs"),0,IF(OR('Usage Groups (&gt;120 MWh only)'!$D$7="Off",'Usage Groups (&gt;120 MWh only)'!$E$7="Off"),0,HOUR('Usage Groups (&gt;120 MWh only)'!$D$7)+MINUTE('Usage Groups (&gt;120 MWh only)'!$D$7)/60))</f>
        <v>17.5</v>
      </c>
      <c r="S20" s="561">
        <f>IF(OR('Usage Groups (&gt;120 MWh only)'!$D$7="24 hrs",'Usage Groups (&gt;120 MWh only)'!$E$7="24 hrs"),24,IF(OR('Usage Groups (&gt;120 MWh only)'!$D$7="Off",'Usage Groups (&gt;120 MWh only)'!$E$7="Off"),0,HOUR('Usage Groups (&gt;120 MWh only)'!$E$7)+MINUTE('Usage Groups (&gt;120 MWh only)'!$E$7)/60))</f>
        <v>5</v>
      </c>
      <c r="T20" s="561">
        <f>IF(OR('Usage Groups (&gt;120 MWh only)'!$D$8="24 hrs",'Usage Groups (&gt;120 MWh only)'!$E$8="24 hrs"),0,IF(OR('Usage Groups (&gt;120 MWh only)'!$D$8="Off",'Usage Groups (&gt;120 MWh only)'!$E$8="Off"),0,HOUR('Usage Groups (&gt;120 MWh only)'!$D$8)+MINUTE('Usage Groups (&gt;120 MWh only)'!$D$8)/60))</f>
        <v>0</v>
      </c>
      <c r="U20" s="561">
        <f>IF(OR('Usage Groups (&gt;120 MWh only)'!$D$8="24 hrs",'Usage Groups (&gt;120 MWh only)'!$E$8="24 hrs"),24,IF(OR('Usage Groups (&gt;120 MWh only)'!$D$8="Off",'Usage Groups (&gt;120 MWh only)'!$E$8="Off"),0,HOUR('Usage Groups (&gt;120 MWh only)'!$E$8)+MINUTE('Usage Groups (&gt;120 MWh only)'!$E$8)/60))</f>
        <v>0</v>
      </c>
      <c r="V20" s="561">
        <f>IF(OR('Usage Groups (&gt;120 MWh only)'!$D$9="24 hrs",'Usage Groups (&gt;120 MWh only)'!$E$9="24 hrs"),0,IF(OR('Usage Groups (&gt;120 MWh only)'!$D$9="Off",'Usage Groups (&gt;120 MWh only)'!$E$9="Off"),0,HOUR('Usage Groups (&gt;120 MWh only)'!$D$9)+MINUTE('Usage Groups (&gt;120 MWh only)'!$D$9)/60))</f>
        <v>0</v>
      </c>
      <c r="W20" s="996">
        <f>IF(OR('Usage Groups (&gt;120 MWh only)'!$D$9="24 hrs",'Usage Groups (&gt;120 MWh only)'!$E$9="24 hrs"),24,IF(OR('Usage Groups (&gt;120 MWh only)'!$D$9="Off",'Usage Groups (&gt;120 MWh only)'!$E$9="Off"),0,HOUR('Usage Groups (&gt;120 MWh only)'!$E$9)+MINUTE('Usage Groups (&gt;120 MWh only)'!$E$9)/60))</f>
        <v>0</v>
      </c>
      <c r="X20" s="997"/>
      <c r="Y20" s="1013">
        <f>IF(OR('Usage Groups (&gt;120 MWh only)'!$D$10="24 hrs",'Usage Groups (&gt;120 MWh only)'!$E$10="24 hrs"),0,IF(OR('Usage Groups (&gt;120 MWh only)'!$D$10="Off",'Usage Groups (&gt;120 MWh only)'!$E$10="Off"),0,HOUR('Usage Groups (&gt;120 MWh only)'!$D$10)+MINUTE('Usage Groups (&gt;120 MWh only)'!$D$10)/60))</f>
        <v>0</v>
      </c>
      <c r="Z20" s="1014"/>
      <c r="AA20" s="562">
        <f>IF(OR('Usage Groups (&gt;120 MWh only)'!$D$10="24 hrs",'Usage Groups (&gt;120 MWh only)'!$E$10="24 hrs"),24,IF(OR('Usage Groups (&gt;120 MWh only)'!$D$10="Off",'Usage Groups (&gt;120 MWh only)'!$E$10="Off"),0,HOUR('Usage Groups (&gt;120 MWh only)'!$E$10)+MINUTE('Usage Groups (&gt;120 MWh only)'!$E$10)/60))</f>
        <v>0</v>
      </c>
      <c r="AB20" s="561">
        <f>IF(OR('Usage Groups (&gt;120 MWh only)'!$D$11="24 hrs",'Usage Groups (&gt;120 MWh only)'!$E$11="24 hrs"),0,IF(OR('Usage Groups (&gt;120 MWh only)'!$D$11="Off",'Usage Groups (&gt;120 MWh only)'!$E$11="Off"),0,HOUR('Usage Groups (&gt;120 MWh only)'!$D$11)+MINUTE('Usage Groups (&gt;120 MWh only)'!$D$11)/60))</f>
        <v>0</v>
      </c>
      <c r="AC20" s="561">
        <f>IF(OR('Usage Groups (&gt;120 MWh only)'!$D$11="24 hrs",'Usage Groups (&gt;120 MWh only)'!$E$11="24 hrs"),24,IF(OR('Usage Groups (&gt;120 MWh only)'!$D$11="Off",'Usage Groups (&gt;120 MWh only)'!$E$11="Off"),0,HOUR('Usage Groups (&gt;120 MWh only)'!$E$11)+MINUTE('Usage Groups (&gt;120 MWh only)'!$E$11)/60))</f>
        <v>0</v>
      </c>
      <c r="AD20" s="561">
        <f>IF(OR('Usage Groups (&gt;120 MWh only)'!$D$12="24 hrs",'Usage Groups (&gt;120 MWh only)'!$E$12="24 hrs"),0,IF(OR('Usage Groups (&gt;120 MWh only)'!$D$12="Off",'Usage Groups (&gt;120 MWh only)'!$E$12="Off"),0,HOUR('Usage Groups (&gt;120 MWh only)'!$D$12)+MINUTE('Usage Groups (&gt;120 MWh only)'!$D$12)/60))</f>
        <v>0</v>
      </c>
      <c r="AE20" s="561">
        <f>IF(OR('Usage Groups (&gt;120 MWh only)'!$D$12="24 hrs",'Usage Groups (&gt;120 MWh only)'!$E$12="24 hrs"),24,IF(OR('Usage Groups (&gt;120 MWh only)'!$D$12="Off",'Usage Groups (&gt;120 MWh only)'!$E$12="Off"),0,HOUR('Usage Groups (&gt;120 MWh only)'!$E$12)+MINUTE('Usage Groups (&gt;120 MWh only)'!$E$12)/60))</f>
        <v>0</v>
      </c>
      <c r="AF20" s="563"/>
      <c r="AG20" s="564"/>
      <c r="AH20" s="45"/>
      <c r="AJ20" s="1078">
        <f t="shared" si="4"/>
        <v>11.5</v>
      </c>
      <c r="AK20" s="1078"/>
      <c r="AL20" s="1078">
        <f t="shared" si="5"/>
        <v>0</v>
      </c>
      <c r="AM20" s="1078"/>
      <c r="AN20" s="1078">
        <f t="shared" si="6"/>
        <v>0</v>
      </c>
      <c r="AO20" s="1078"/>
      <c r="AP20" s="157"/>
      <c r="AQ20" s="158"/>
      <c r="AR20" s="1078">
        <f t="shared" si="7"/>
        <v>0</v>
      </c>
      <c r="AS20" s="1078"/>
      <c r="AT20" s="1078">
        <f t="shared" si="8"/>
        <v>0</v>
      </c>
      <c r="AU20" s="1078"/>
      <c r="AV20" s="1078">
        <f t="shared" si="9"/>
        <v>0</v>
      </c>
      <c r="AW20" s="1078"/>
      <c r="AY20" s="153"/>
      <c r="AZ20" s="153"/>
    </row>
    <row r="21" spans="2:52" ht="15" customHeight="1">
      <c r="B21" s="44"/>
      <c r="C21" s="47" t="s">
        <v>620</v>
      </c>
      <c r="D21" s="1018">
        <f>'Project Info and Summary'!C7</f>
        <v>0</v>
      </c>
      <c r="E21" s="1018"/>
      <c r="F21" s="1018"/>
      <c r="G21" s="1018"/>
      <c r="H21" s="1018"/>
      <c r="I21" s="1018"/>
      <c r="J21" s="1018"/>
      <c r="K21" s="45"/>
      <c r="M21" s="50"/>
      <c r="N21" s="9"/>
      <c r="O21" s="54" t="s">
        <v>621</v>
      </c>
      <c r="P21" s="559">
        <v>8</v>
      </c>
      <c r="Q21" s="560">
        <v>17</v>
      </c>
      <c r="R21" s="561">
        <f>IF(OR('Usage Groups (&gt;120 MWh only)'!$D$7="24 hrs",'Usage Groups (&gt;120 MWh only)'!$E$7="24 hrs"),0,IF(OR('Usage Groups (&gt;120 MWh only)'!$D$7="Off",'Usage Groups (&gt;120 MWh only)'!$E$7="Off"),0,HOUR('Usage Groups (&gt;120 MWh only)'!$D$7)+MINUTE('Usage Groups (&gt;120 MWh only)'!$D$7)/60))</f>
        <v>17.5</v>
      </c>
      <c r="S21" s="561">
        <f>IF(OR('Usage Groups (&gt;120 MWh only)'!$D$7="24 hrs",'Usage Groups (&gt;120 MWh only)'!$E$7="24 hrs"),24,IF(OR('Usage Groups (&gt;120 MWh only)'!$D$7="Off",'Usage Groups (&gt;120 MWh only)'!$E$7="Off"),0,HOUR('Usage Groups (&gt;120 MWh only)'!$E$7)+MINUTE('Usage Groups (&gt;120 MWh only)'!$E$7)/60))</f>
        <v>5</v>
      </c>
      <c r="T21" s="561">
        <f>IF(OR('Usage Groups (&gt;120 MWh only)'!$D$8="24 hrs",'Usage Groups (&gt;120 MWh only)'!$E$8="24 hrs"),0,IF(OR('Usage Groups (&gt;120 MWh only)'!$D$8="Off",'Usage Groups (&gt;120 MWh only)'!$E$8="Off"),0,HOUR('Usage Groups (&gt;120 MWh only)'!$D$8)+MINUTE('Usage Groups (&gt;120 MWh only)'!$D$8)/60))</f>
        <v>0</v>
      </c>
      <c r="U21" s="561">
        <f>IF(OR('Usage Groups (&gt;120 MWh only)'!$D$8="24 hrs",'Usage Groups (&gt;120 MWh only)'!$E$8="24 hrs"),24,IF(OR('Usage Groups (&gt;120 MWh only)'!$D$8="Off",'Usage Groups (&gt;120 MWh only)'!$E$8="Off"),0,HOUR('Usage Groups (&gt;120 MWh only)'!$E$8)+MINUTE('Usage Groups (&gt;120 MWh only)'!$E$8)/60))</f>
        <v>0</v>
      </c>
      <c r="V21" s="561">
        <f>IF(OR('Usage Groups (&gt;120 MWh only)'!$D$9="24 hrs",'Usage Groups (&gt;120 MWh only)'!$E$9="24 hrs"),0,IF(OR('Usage Groups (&gt;120 MWh only)'!$D$9="Off",'Usage Groups (&gt;120 MWh only)'!$E$9="Off"),0,HOUR('Usage Groups (&gt;120 MWh only)'!$D$9)+MINUTE('Usage Groups (&gt;120 MWh only)'!$D$9)/60))</f>
        <v>0</v>
      </c>
      <c r="W21" s="996">
        <f>IF(OR('Usage Groups (&gt;120 MWh only)'!$D$9="24 hrs",'Usage Groups (&gt;120 MWh only)'!$E$9="24 hrs"),24,IF(OR('Usage Groups (&gt;120 MWh only)'!$D$9="Off",'Usage Groups (&gt;120 MWh only)'!$E$9="Off"),0,HOUR('Usage Groups (&gt;120 MWh only)'!$E$9)+MINUTE('Usage Groups (&gt;120 MWh only)'!$E$9)/60))</f>
        <v>0</v>
      </c>
      <c r="X21" s="997"/>
      <c r="Y21" s="1013">
        <f>IF(OR('Usage Groups (&gt;120 MWh only)'!$D$10="24 hrs",'Usage Groups (&gt;120 MWh only)'!$E$10="24 hrs"),0,IF(OR('Usage Groups (&gt;120 MWh only)'!$D$10="Off",'Usage Groups (&gt;120 MWh only)'!$E$10="Off"),0,HOUR('Usage Groups (&gt;120 MWh only)'!$D$10)+MINUTE('Usage Groups (&gt;120 MWh only)'!$D$10)/60))</f>
        <v>0</v>
      </c>
      <c r="Z21" s="1014"/>
      <c r="AA21" s="562">
        <f>IF(OR('Usage Groups (&gt;120 MWh only)'!$D$10="24 hrs",'Usage Groups (&gt;120 MWh only)'!$E$10="24 hrs"),24,IF(OR('Usage Groups (&gt;120 MWh only)'!$D$10="Off",'Usage Groups (&gt;120 MWh only)'!$E$10="Off"),0,HOUR('Usage Groups (&gt;120 MWh only)'!$E$10)+MINUTE('Usage Groups (&gt;120 MWh only)'!$E$10)/60))</f>
        <v>0</v>
      </c>
      <c r="AB21" s="561">
        <f>IF(OR('Usage Groups (&gt;120 MWh only)'!$D$11="24 hrs",'Usage Groups (&gt;120 MWh only)'!$E$11="24 hrs"),0,IF(OR('Usage Groups (&gt;120 MWh only)'!$D$11="Off",'Usage Groups (&gt;120 MWh only)'!$E$11="Off"),0,HOUR('Usage Groups (&gt;120 MWh only)'!$D$11)+MINUTE('Usage Groups (&gt;120 MWh only)'!$D$11)/60))</f>
        <v>0</v>
      </c>
      <c r="AC21" s="561">
        <f>IF(OR('Usage Groups (&gt;120 MWh only)'!$D$11="24 hrs",'Usage Groups (&gt;120 MWh only)'!$E$11="24 hrs"),24,IF(OR('Usage Groups (&gt;120 MWh only)'!$D$11="Off",'Usage Groups (&gt;120 MWh only)'!$E$11="Off"),0,HOUR('Usage Groups (&gt;120 MWh only)'!$E$11)+MINUTE('Usage Groups (&gt;120 MWh only)'!$E$11)/60))</f>
        <v>0</v>
      </c>
      <c r="AD21" s="561">
        <f>IF(OR('Usage Groups (&gt;120 MWh only)'!$D$12="24 hrs",'Usage Groups (&gt;120 MWh only)'!$E$12="24 hrs"),0,IF(OR('Usage Groups (&gt;120 MWh only)'!$D$12="Off",'Usage Groups (&gt;120 MWh only)'!$E$12="Off"),0,HOUR('Usage Groups (&gt;120 MWh only)'!$D$12)+MINUTE('Usage Groups (&gt;120 MWh only)'!$D$12)/60))</f>
        <v>0</v>
      </c>
      <c r="AE21" s="561">
        <f>IF(OR('Usage Groups (&gt;120 MWh only)'!$D$12="24 hrs",'Usage Groups (&gt;120 MWh only)'!$E$12="24 hrs"),24,IF(OR('Usage Groups (&gt;120 MWh only)'!$D$12="Off",'Usage Groups (&gt;120 MWh only)'!$E$12="Off"),0,HOUR('Usage Groups (&gt;120 MWh only)'!$E$12)+MINUTE('Usage Groups (&gt;120 MWh only)'!$E$12)/60))</f>
        <v>0</v>
      </c>
      <c r="AF21" s="563"/>
      <c r="AG21" s="564"/>
      <c r="AH21" s="45"/>
      <c r="AJ21" s="1078">
        <f t="shared" si="4"/>
        <v>11.5</v>
      </c>
      <c r="AK21" s="1078"/>
      <c r="AL21" s="1078">
        <f t="shared" si="5"/>
        <v>0</v>
      </c>
      <c r="AM21" s="1078"/>
      <c r="AN21" s="1078">
        <f t="shared" si="6"/>
        <v>0</v>
      </c>
      <c r="AO21" s="1078"/>
      <c r="AP21" s="157"/>
      <c r="AQ21" s="158"/>
      <c r="AR21" s="1078">
        <f t="shared" si="7"/>
        <v>0</v>
      </c>
      <c r="AS21" s="1078"/>
      <c r="AT21" s="1078">
        <f t="shared" si="8"/>
        <v>0</v>
      </c>
      <c r="AU21" s="1078"/>
      <c r="AV21" s="1078">
        <f t="shared" si="9"/>
        <v>0</v>
      </c>
      <c r="AW21" s="1078"/>
      <c r="AY21" s="153"/>
      <c r="AZ21" s="153"/>
    </row>
    <row r="22" spans="2:52" ht="15" customHeight="1">
      <c r="B22" s="44"/>
      <c r="C22" s="47"/>
      <c r="D22" s="48"/>
      <c r="E22" s="48"/>
      <c r="F22" s="48"/>
      <c r="G22" s="49"/>
      <c r="H22" s="49"/>
      <c r="I22" s="49"/>
      <c r="J22" s="48"/>
      <c r="K22" s="45"/>
      <c r="M22" s="50"/>
      <c r="N22" s="9"/>
      <c r="O22" s="54" t="s">
        <v>622</v>
      </c>
      <c r="P22" s="559">
        <v>0</v>
      </c>
      <c r="Q22" s="560">
        <v>24</v>
      </c>
      <c r="R22" s="561">
        <f>IF(OR('Usage Groups (&gt;120 MWh only)'!$F$7="24 hrs",'Usage Groups (&gt;120 MWh only)'!$G$7="24 hrs"),0,IF(OR('Usage Groups (&gt;120 MWh only)'!$F$7="Off",'Usage Groups (&gt;120 MWh only)'!$G$7="Off"),0,HOUR('Usage Groups (&gt;120 MWh only)'!$F$7)+MINUTE('Usage Groups (&gt;120 MWh only)'!$F$7)/60))</f>
        <v>17.5</v>
      </c>
      <c r="S22" s="561">
        <f>IF(OR('Usage Groups (&gt;120 MWh only)'!$F$7="24 hrs",'Usage Groups (&gt;120 MWh only)'!$G$7="24 hrs"),24,IF(OR('Usage Groups (&gt;120 MWh only)'!$F$7="Off",'Usage Groups (&gt;120 MWh only)'!$G$7="Off"),0,HOUR('Usage Groups (&gt;120 MWh only)'!$G$7)+MINUTE('Usage Groups (&gt;120 MWh only)'!$G$7)/60))</f>
        <v>5</v>
      </c>
      <c r="T22" s="561">
        <f>IF(OR('Usage Groups (&gt;120 MWh only)'!$F$8="24 hrs",'Usage Groups (&gt;120 MWh only)'!$G$8="24 hrs"),0,IF(OR('Usage Groups (&gt;120 MWh only)'!$F$8="Off",'Usage Groups (&gt;120 MWh only)'!$G$8="Off"),0,HOUR('Usage Groups (&gt;120 MWh only)'!$F$8)+MINUTE('Usage Groups (&gt;120 MWh only)'!$F$8)/60))</f>
        <v>0</v>
      </c>
      <c r="U22" s="561">
        <f>IF(OR('Usage Groups (&gt;120 MWh only)'!$F$8="24 hrs",'Usage Groups (&gt;120 MWh only)'!$G$8="24 hrs"),24,IF(OR('Usage Groups (&gt;120 MWh only)'!$F$8="Off",'Usage Groups (&gt;120 MWh only)'!$G$8="Off"),0,HOUR('Usage Groups (&gt;120 MWh only)'!$G$8)+MINUTE('Usage Groups (&gt;120 MWh only)'!$G$8)/60))</f>
        <v>0</v>
      </c>
      <c r="V22" s="561">
        <f>IF(OR('Usage Groups (&gt;120 MWh only)'!$F$9="24 hrs",'Usage Groups (&gt;120 MWh only)'!$G$9="24 hrs"),0,IF(OR('Usage Groups (&gt;120 MWh only)'!$F$9="Off",'Usage Groups (&gt;120 MWh only)'!$G$9="Off"),0,HOUR('Usage Groups (&gt;120 MWh only)'!$F$9)+MINUTE('Usage Groups (&gt;120 MWh only)'!$F$9)/60))</f>
        <v>0</v>
      </c>
      <c r="W22" s="996">
        <f>IF(OR('Usage Groups (&gt;120 MWh only)'!$F$9="24 hrs",'Usage Groups (&gt;120 MWh only)'!$G$9="24 hrs"),24,IF(OR('Usage Groups (&gt;120 MWh only)'!$F$9="Off",'Usage Groups (&gt;120 MWh only)'!$G$9="Off"),0,HOUR('Usage Groups (&gt;120 MWh only)'!$G$9)+MINUTE('Usage Groups (&gt;120 MWh only)'!$G$9)/60))</f>
        <v>0</v>
      </c>
      <c r="X22" s="997"/>
      <c r="Y22" s="1013">
        <f>IF(OR('Usage Groups (&gt;120 MWh only)'!$F$10="24 hrs",'Usage Groups (&gt;120 MWh only)'!$G$10="24 hrs"),0,IF(OR('Usage Groups (&gt;120 MWh only)'!$F$10="Off",'Usage Groups (&gt;120 MWh only)'!$G$10="Off"),0,HOUR('Usage Groups (&gt;120 MWh only)'!$F$10)+MINUTE('Usage Groups (&gt;120 MWh only)'!$F$10)/60))</f>
        <v>0</v>
      </c>
      <c r="Z22" s="1014"/>
      <c r="AA22" s="562">
        <f>IF(OR('Usage Groups (&gt;120 MWh only)'!$F$10="24 hrs",'Usage Groups (&gt;120 MWh only)'!$G$10="24 hrs"),24,IF(OR('Usage Groups (&gt;120 MWh only)'!$F$10="Off",'Usage Groups (&gt;120 MWh only)'!$G$10="Off"),0,HOUR('Usage Groups (&gt;120 MWh only)'!$G$10)+MINUTE('Usage Groups (&gt;120 MWh only)'!$G$10)/60))</f>
        <v>0</v>
      </c>
      <c r="AB22" s="561">
        <f>IF(OR('Usage Groups (&gt;120 MWh only)'!$F$11="24 hrs",'Usage Groups (&gt;120 MWh only)'!$G$11="24 hrs"),0,IF(OR('Usage Groups (&gt;120 MWh only)'!$F$11="Off",'Usage Groups (&gt;120 MWh only)'!$G$11="Off"),0,HOUR('Usage Groups (&gt;120 MWh only)'!$F$11)+MINUTE('Usage Groups (&gt;120 MWh only)'!$F$11)/60))</f>
        <v>0</v>
      </c>
      <c r="AC22" s="561">
        <f>IF(OR('Usage Groups (&gt;120 MWh only)'!$F$11="24 hrs",'Usage Groups (&gt;120 MWh only)'!$G$11="24 hrs"),24,IF(OR('Usage Groups (&gt;120 MWh only)'!$F$11="Off",'Usage Groups (&gt;120 MWh only)'!$G$11="Off"),0,HOUR('Usage Groups (&gt;120 MWh only)'!$G$11)+MINUTE('Usage Groups (&gt;120 MWh only)'!$G$11)/60))</f>
        <v>0</v>
      </c>
      <c r="AD22" s="561">
        <f>IF(OR('Usage Groups (&gt;120 MWh only)'!$F$12="24 hrs",'Usage Groups (&gt;120 MWh only)'!$G$12="24 hrs"),0,IF(OR('Usage Groups (&gt;120 MWh only)'!$F$12="Off",'Usage Groups (&gt;120 MWh only)'!$G$12="Off"),0,HOUR('Usage Groups (&gt;120 MWh only)'!$F$12)+MINUTE('Usage Groups (&gt;120 MWh only)'!$F$12)/60))</f>
        <v>0</v>
      </c>
      <c r="AE22" s="561">
        <f>IF(OR('Usage Groups (&gt;120 MWh only)'!$F$12="24 hrs",'Usage Groups (&gt;120 MWh only)'!$G$12="24 hrs"),24,IF(OR('Usage Groups (&gt;120 MWh only)'!$F$12="Off",'Usage Groups (&gt;120 MWh only)'!$G$12="Off"),0,HOUR('Usage Groups (&gt;120 MWh only)'!$G$12)+MINUTE('Usage Groups (&gt;120 MWh only)'!$G$12)/60))</f>
        <v>0</v>
      </c>
      <c r="AF22" s="563"/>
      <c r="AG22" s="564"/>
      <c r="AH22" s="45"/>
      <c r="AJ22" s="1078">
        <f t="shared" si="4"/>
        <v>11.5</v>
      </c>
      <c r="AK22" s="1078"/>
      <c r="AL22" s="1078">
        <f t="shared" si="5"/>
        <v>0</v>
      </c>
      <c r="AM22" s="1078"/>
      <c r="AN22" s="1078">
        <f t="shared" si="6"/>
        <v>0</v>
      </c>
      <c r="AO22" s="1078"/>
      <c r="AP22" s="157"/>
      <c r="AQ22" s="158"/>
      <c r="AR22" s="1078">
        <f t="shared" si="7"/>
        <v>0</v>
      </c>
      <c r="AS22" s="1078"/>
      <c r="AT22" s="1078">
        <f t="shared" si="8"/>
        <v>0</v>
      </c>
      <c r="AU22" s="1078"/>
      <c r="AV22" s="1078">
        <f t="shared" si="9"/>
        <v>0</v>
      </c>
      <c r="AW22" s="1078"/>
      <c r="AY22" s="153"/>
      <c r="AZ22" s="153"/>
    </row>
    <row r="23" spans="2:52" ht="15" customHeight="1">
      <c r="B23" s="44"/>
      <c r="C23" s="47" t="s">
        <v>623</v>
      </c>
      <c r="D23" s="1022">
        <f>Building_Type</f>
        <v>0</v>
      </c>
      <c r="E23" s="1022"/>
      <c r="F23" s="1022"/>
      <c r="G23" s="1022"/>
      <c r="H23" s="47"/>
      <c r="I23" s="49"/>
      <c r="J23" s="48"/>
      <c r="K23" s="45"/>
      <c r="M23" s="50"/>
      <c r="N23" s="9"/>
      <c r="O23" s="54" t="s">
        <v>624</v>
      </c>
      <c r="P23" s="559">
        <v>0</v>
      </c>
      <c r="Q23" s="560">
        <v>24</v>
      </c>
      <c r="R23" s="561">
        <f>IF(OR('Usage Groups (&gt;120 MWh only)'!$H$7="24 hrs",'Usage Groups (&gt;120 MWh only)'!$I$7="24 hrs"),0,IF(OR('Usage Groups (&gt;120 MWh only)'!$H$7="Off",'Usage Groups (&gt;120 MWh only)'!$I$7="Off"),0,HOUR('Usage Groups (&gt;120 MWh only)'!$H$7)+MINUTE('Usage Groups (&gt;120 MWh only)'!$H$7)/60))</f>
        <v>17.5</v>
      </c>
      <c r="S23" s="561">
        <f>IF(OR('Usage Groups (&gt;120 MWh only)'!$H$7="24 hrs",'Usage Groups (&gt;120 MWh only)'!$I$7="24 hrs"),24,IF(OR('Usage Groups (&gt;120 MWh only)'!$H$7="Off",'Usage Groups (&gt;120 MWh only)'!$I$7="Off"),0,HOUR('Usage Groups (&gt;120 MWh only)'!$I$7)+MINUTE('Usage Groups (&gt;120 MWh only)'!$I$7)/60))</f>
        <v>5</v>
      </c>
      <c r="T23" s="561">
        <f>IF(OR('Usage Groups (&gt;120 MWh only)'!$H$8="24 hrs",'Usage Groups (&gt;120 MWh only)'!$I$8="24 hrs"),0,IF(OR('Usage Groups (&gt;120 MWh only)'!$H$8="Off",'Usage Groups (&gt;120 MWh only)'!$I$8="Off"),0,HOUR('Usage Groups (&gt;120 MWh only)'!$H$8)+MINUTE('Usage Groups (&gt;120 MWh only)'!$H$8)/60))</f>
        <v>0</v>
      </c>
      <c r="U23" s="561">
        <f>IF(OR('Usage Groups (&gt;120 MWh only)'!$H$8="24 hrs",'Usage Groups (&gt;120 MWh only)'!$I$8="24 hrs"),24,IF(OR('Usage Groups (&gt;120 MWh only)'!$H$8="Off",'Usage Groups (&gt;120 MWh only)'!$I$8="Off"),0,HOUR('Usage Groups (&gt;120 MWh only)'!$I$8)+MINUTE('Usage Groups (&gt;120 MWh only)'!$I$8)/60))</f>
        <v>0</v>
      </c>
      <c r="V23" s="561">
        <f>IF(OR('Usage Groups (&gt;120 MWh only)'!$H$9="24 hrs",'Usage Groups (&gt;120 MWh only)'!$I$9="24 hrs"),0,IF(OR('Usage Groups (&gt;120 MWh only)'!$H$9="Off",'Usage Groups (&gt;120 MWh only)'!$I$9="Off"),0,HOUR('Usage Groups (&gt;120 MWh only)'!$H$9)+MINUTE('Usage Groups (&gt;120 MWh only)'!$H$9)/60))</f>
        <v>0</v>
      </c>
      <c r="W23" s="996">
        <f>IF(OR('Usage Groups (&gt;120 MWh only)'!$H$9="24 hrs",'Usage Groups (&gt;120 MWh only)'!$I$9="24 hrs"),24,IF(OR('Usage Groups (&gt;120 MWh only)'!$H$9="Off",'Usage Groups (&gt;120 MWh only)'!$I$9="Off"),0,HOUR('Usage Groups (&gt;120 MWh only)'!$I$9)+MINUTE('Usage Groups (&gt;120 MWh only)'!$I$9)/60))</f>
        <v>0</v>
      </c>
      <c r="X23" s="997"/>
      <c r="Y23" s="1013">
        <f>IF(OR('Usage Groups (&gt;120 MWh only)'!$H$10="24 hrs",'Usage Groups (&gt;120 MWh only)'!$I$10="24 hrs"),0,IF(OR('Usage Groups (&gt;120 MWh only)'!$H$10="Off",'Usage Groups (&gt;120 MWh only)'!$I$10="Off"),0,HOUR('Usage Groups (&gt;120 MWh only)'!$H$10)+MINUTE('Usage Groups (&gt;120 MWh only)'!$H$10)/60))</f>
        <v>0</v>
      </c>
      <c r="Z23" s="1014"/>
      <c r="AA23" s="562">
        <f>IF(OR('Usage Groups (&gt;120 MWh only)'!$H$10="24 hrs",'Usage Groups (&gt;120 MWh only)'!$I$10="24 hrs"),24,IF(OR('Usage Groups (&gt;120 MWh only)'!$H$10="Off",'Usage Groups (&gt;120 MWh only)'!$I$10="Off"),0,HOUR('Usage Groups (&gt;120 MWh only)'!$I$10)+MINUTE('Usage Groups (&gt;120 MWh only)'!$I$10)/60))</f>
        <v>0</v>
      </c>
      <c r="AB23" s="561">
        <f>IF(OR('Usage Groups (&gt;120 MWh only)'!$H$11="24 hrs",'Usage Groups (&gt;120 MWh only)'!$I$11="24 hrs"),0,IF(OR('Usage Groups (&gt;120 MWh only)'!$H$11="Off",'Usage Groups (&gt;120 MWh only)'!$I$11="Off"),0,HOUR('Usage Groups (&gt;120 MWh only)'!$H$11)+MINUTE('Usage Groups (&gt;120 MWh only)'!$H$11)/60))</f>
        <v>0</v>
      </c>
      <c r="AC23" s="561">
        <f>IF(OR('Usage Groups (&gt;120 MWh only)'!$H$11="24 hrs",'Usage Groups (&gt;120 MWh only)'!$I$11="24 hrs"),24,IF(OR('Usage Groups (&gt;120 MWh only)'!$H$11="Off",'Usage Groups (&gt;120 MWh only)'!$I$11="Off"),0,HOUR('Usage Groups (&gt;120 MWh only)'!$I$11)+MINUTE('Usage Groups (&gt;120 MWh only)'!$I$11)/60))</f>
        <v>0</v>
      </c>
      <c r="AD23" s="561">
        <f>IF(OR('Usage Groups (&gt;120 MWh only)'!$H$12="24 hrs",'Usage Groups (&gt;120 MWh only)'!$I$12="24 hrs"),0,IF(OR('Usage Groups (&gt;120 MWh only)'!$H$12="Off",'Usage Groups (&gt;120 MWh only)'!$I$12="Off"),0,HOUR('Usage Groups (&gt;120 MWh only)'!$H$12)+MINUTE('Usage Groups (&gt;120 MWh only)'!$H$12)/60))</f>
        <v>0</v>
      </c>
      <c r="AE23" s="561">
        <f>IF(OR('Usage Groups (&gt;120 MWh only)'!$H$12="24 hrs",'Usage Groups (&gt;120 MWh only)'!$I$12="24 hrs"),24,IF(OR('Usage Groups (&gt;120 MWh only)'!$H$12="Off",'Usage Groups (&gt;120 MWh only)'!$I$12="Off"),0,HOUR('Usage Groups (&gt;120 MWh only)'!$I$12)+MINUTE('Usage Groups (&gt;120 MWh only)'!$I$12)/60))</f>
        <v>0</v>
      </c>
      <c r="AF23" s="563"/>
      <c r="AG23" s="564"/>
      <c r="AH23" s="45"/>
      <c r="AJ23" s="1078">
        <f t="shared" si="4"/>
        <v>11.5</v>
      </c>
      <c r="AK23" s="1078"/>
      <c r="AL23" s="1078">
        <f t="shared" si="5"/>
        <v>0</v>
      </c>
      <c r="AM23" s="1078"/>
      <c r="AN23" s="1078">
        <f t="shared" si="6"/>
        <v>0</v>
      </c>
      <c r="AO23" s="1078"/>
      <c r="AP23" s="157"/>
      <c r="AQ23" s="158"/>
      <c r="AR23" s="1078">
        <f t="shared" si="7"/>
        <v>0</v>
      </c>
      <c r="AS23" s="1078"/>
      <c r="AT23" s="1078">
        <f t="shared" si="8"/>
        <v>0</v>
      </c>
      <c r="AU23" s="1078"/>
      <c r="AV23" s="1078">
        <f t="shared" si="9"/>
        <v>0</v>
      </c>
      <c r="AW23" s="1078"/>
      <c r="AY23" s="153"/>
      <c r="AZ23" s="153"/>
    </row>
    <row r="24" spans="2:52" ht="15" customHeight="1">
      <c r="B24" s="44"/>
      <c r="C24" s="47" t="s">
        <v>625</v>
      </c>
      <c r="D24" s="1018">
        <f>PRJ_Type</f>
        <v>0</v>
      </c>
      <c r="E24" s="1018"/>
      <c r="F24" s="1018"/>
      <c r="G24" s="1018"/>
      <c r="H24" s="47"/>
      <c r="I24" s="48"/>
      <c r="J24" s="48"/>
      <c r="K24" s="45"/>
      <c r="M24" s="50"/>
      <c r="N24" s="9"/>
      <c r="O24" s="54" t="s">
        <v>626</v>
      </c>
      <c r="P24" s="1024">
        <v>8</v>
      </c>
      <c r="Q24" s="1025"/>
      <c r="R24" s="1002">
        <f>'Usage Groups (&gt;120 MWh only)'!$J$7</f>
        <v>0</v>
      </c>
      <c r="S24" s="1001"/>
      <c r="T24" s="1002">
        <f>'Usage Groups (&gt;120 MWh only)'!$J$8</f>
        <v>0</v>
      </c>
      <c r="U24" s="1001"/>
      <c r="V24" s="1015">
        <f>'Usage Groups (&gt;120 MWh only)'!$J$9</f>
        <v>0</v>
      </c>
      <c r="W24" s="1016"/>
      <c r="X24" s="1017"/>
      <c r="Y24" s="1015">
        <f>'Usage Groups (&gt;120 MWh only)'!$J$10</f>
        <v>0</v>
      </c>
      <c r="Z24" s="1016"/>
      <c r="AA24" s="1017"/>
      <c r="AB24" s="1000">
        <f>'Usage Groups (&gt;120 MWh only)'!$J$11</f>
        <v>0</v>
      </c>
      <c r="AC24" s="1001"/>
      <c r="AD24" s="1002">
        <f>'Usage Groups (&gt;120 MWh only)'!$J$12</f>
        <v>0</v>
      </c>
      <c r="AE24" s="1001"/>
      <c r="AF24" s="563"/>
      <c r="AG24" s="564"/>
      <c r="AH24" s="45"/>
      <c r="AJ24" s="152"/>
      <c r="AK24" s="152"/>
      <c r="AL24" s="152"/>
      <c r="AM24" s="152"/>
      <c r="AN24" s="152"/>
      <c r="AO24" s="152"/>
      <c r="AP24" s="152"/>
      <c r="AQ24" s="152"/>
      <c r="AR24" s="152"/>
      <c r="AS24" s="152"/>
      <c r="AT24" s="152"/>
      <c r="AU24" s="152"/>
      <c r="AV24" s="152"/>
    </row>
    <row r="25" spans="2:52" ht="15" customHeight="1">
      <c r="B25" s="44"/>
      <c r="C25" s="47" t="s">
        <v>627</v>
      </c>
      <c r="D25" s="1026">
        <f>SqFt</f>
        <v>0</v>
      </c>
      <c r="E25" s="1026"/>
      <c r="F25" s="49"/>
      <c r="G25" s="49"/>
      <c r="H25" s="47" t="s">
        <v>628</v>
      </c>
      <c r="I25" s="1022">
        <f>'Project Info and Summary'!C20</f>
        <v>0</v>
      </c>
      <c r="J25" s="1022"/>
      <c r="K25" s="45"/>
      <c r="M25" s="50"/>
      <c r="N25" s="9"/>
      <c r="O25" s="54" t="s">
        <v>629</v>
      </c>
      <c r="P25" s="1024">
        <v>52</v>
      </c>
      <c r="Q25" s="1025"/>
      <c r="R25" s="1002">
        <f>'Usage Groups (&gt;120 MWh only)'!$K$7</f>
        <v>52</v>
      </c>
      <c r="S25" s="1001"/>
      <c r="T25" s="1002">
        <f>'Usage Groups (&gt;120 MWh only)'!$K$8</f>
        <v>0</v>
      </c>
      <c r="U25" s="1001"/>
      <c r="V25" s="1002">
        <f>'Usage Groups (&gt;120 MWh only)'!$K$9</f>
        <v>0</v>
      </c>
      <c r="W25" s="1000"/>
      <c r="X25" s="1001"/>
      <c r="Y25" s="1015">
        <f>'Usage Groups (&gt;120 MWh only)'!$K$10</f>
        <v>0</v>
      </c>
      <c r="Z25" s="1016"/>
      <c r="AA25" s="1017"/>
      <c r="AB25" s="1000">
        <f>'Usage Groups (&gt;120 MWh only)'!$K$11</f>
        <v>0</v>
      </c>
      <c r="AC25" s="1001"/>
      <c r="AD25" s="1002">
        <f>'Usage Groups (&gt;120 MWh only)'!$K$12</f>
        <v>0</v>
      </c>
      <c r="AE25" s="1001"/>
      <c r="AF25" s="563"/>
      <c r="AG25" s="564"/>
      <c r="AH25" s="45"/>
      <c r="AJ25" s="152"/>
      <c r="AK25" s="152"/>
      <c r="AL25" s="152"/>
      <c r="AM25" s="152"/>
      <c r="AN25" s="152"/>
      <c r="AO25" s="152"/>
      <c r="AP25" s="152"/>
      <c r="AQ25" s="152"/>
      <c r="AR25" s="152"/>
      <c r="AS25" s="152"/>
      <c r="AT25" s="152"/>
      <c r="AU25" s="152"/>
      <c r="AV25" s="152"/>
    </row>
    <row r="26" spans="2:52" ht="15" customHeight="1" thickBot="1">
      <c r="B26" s="44"/>
      <c r="C26" s="47" t="s">
        <v>630</v>
      </c>
      <c r="D26" s="1034">
        <f>'Project Info and Summary'!C12</f>
        <v>0</v>
      </c>
      <c r="E26" s="1034"/>
      <c r="F26" s="49"/>
      <c r="G26" s="49"/>
      <c r="H26" s="47" t="s">
        <v>631</v>
      </c>
      <c r="I26" s="1035" t="str">
        <f>IF('Lighting Inventory (Ref only)'!AG7&lt;120000,"Deemed","Custom")</f>
        <v>Deemed</v>
      </c>
      <c r="J26" s="1035"/>
      <c r="K26" s="45"/>
      <c r="M26" s="50"/>
      <c r="N26" s="9"/>
      <c r="O26" s="54" t="s">
        <v>632</v>
      </c>
      <c r="P26" s="1043">
        <v>0</v>
      </c>
      <c r="Q26" s="1044"/>
      <c r="R26" s="1005">
        <f>'Usage Groups (&gt;120 MWh only)'!$L$7</f>
        <v>0</v>
      </c>
      <c r="S26" s="1004"/>
      <c r="T26" s="1005">
        <f>'Usage Groups (&gt;120 MWh only)'!$L$8</f>
        <v>0</v>
      </c>
      <c r="U26" s="1004"/>
      <c r="V26" s="1005">
        <f>'Usage Groups (&gt;120 MWh only)'!$L$9</f>
        <v>0</v>
      </c>
      <c r="W26" s="1003"/>
      <c r="X26" s="1004"/>
      <c r="Y26" s="1027">
        <f>'Usage Groups (&gt;120 MWh only)'!$L$10</f>
        <v>0</v>
      </c>
      <c r="Z26" s="1028"/>
      <c r="AA26" s="1029"/>
      <c r="AB26" s="1003">
        <f>'Usage Groups (&gt;120 MWh only)'!$L$11</f>
        <v>0</v>
      </c>
      <c r="AC26" s="1004"/>
      <c r="AD26" s="1005">
        <f>'Usage Groups (&gt;120 MWh only)'!$L$12</f>
        <v>0</v>
      </c>
      <c r="AE26" s="1004"/>
      <c r="AF26" s="1006" t="s">
        <v>633</v>
      </c>
      <c r="AG26" s="1007"/>
      <c r="AH26" s="55"/>
      <c r="AI26" s="31"/>
      <c r="AJ26" s="152"/>
      <c r="AK26" s="152"/>
      <c r="AL26" s="152"/>
      <c r="AM26" s="152"/>
      <c r="AN26" s="152"/>
      <c r="AO26" s="152"/>
      <c r="AP26" s="152"/>
      <c r="AQ26" s="152"/>
      <c r="AR26" s="152"/>
      <c r="AS26" s="152"/>
      <c r="AT26" s="152"/>
      <c r="AU26" s="152"/>
      <c r="AV26" s="152"/>
    </row>
    <row r="27" spans="2:52" ht="15" customHeight="1">
      <c r="B27" s="50"/>
      <c r="C27" s="337"/>
      <c r="D27" s="337"/>
      <c r="E27" s="337"/>
      <c r="F27" s="337"/>
      <c r="G27" s="9"/>
      <c r="H27" s="47" t="s">
        <v>634</v>
      </c>
      <c r="I27" s="1018" t="s">
        <v>393</v>
      </c>
      <c r="J27" s="1018"/>
      <c r="K27" s="45"/>
      <c r="M27" s="50"/>
      <c r="N27" s="9"/>
      <c r="O27" s="56" t="s">
        <v>635</v>
      </c>
      <c r="P27" s="1032">
        <f>(((SUM(Q17:Q23)-SUM(P17:P23))*P25)/((7*24*52)/8760))-(P24*((SUM(Q17:Q21)-SUM(P17:P21))/5))</f>
        <v>4777.2857142857147</v>
      </c>
      <c r="Q27" s="1033"/>
      <c r="R27" s="1045">
        <v>4306</v>
      </c>
      <c r="S27" s="1046"/>
      <c r="T27" s="992">
        <f>SUM(AL17:AL23)*T25/((7*24*52)/8760)-SUM(AL17:AL21)/5*T24</f>
        <v>0</v>
      </c>
      <c r="U27" s="993"/>
      <c r="V27" s="992">
        <f>SUM(AN17:AN23)*V25/((7*24*52)/8760)-SUM(AN17:AN21)/5*V24</f>
        <v>0</v>
      </c>
      <c r="W27" s="1009"/>
      <c r="X27" s="993"/>
      <c r="Y27" s="992">
        <f>SUM(AR17:AR23)*Y25/((7*24*52)/8760)-SUM(AR17:AR21)/5*Y24</f>
        <v>0</v>
      </c>
      <c r="Z27" s="1009"/>
      <c r="AA27" s="993"/>
      <c r="AB27" s="992">
        <f>SUM(AT17:AT23)*AB25/((7*24*52)/8760)-SUM(AT17:AT21)/5*AB24</f>
        <v>0</v>
      </c>
      <c r="AC27" s="993"/>
      <c r="AD27" s="992">
        <f>SUM(AV17:AV23)*AD25/((7*24*52)/8760)-SUM(AV17:AV21)/5*AD24</f>
        <v>0</v>
      </c>
      <c r="AE27" s="993"/>
      <c r="AF27" s="159" t="e">
        <f>IF(D23="","",IF(D24="New Construction",VLOOKUP(INDEX(Lookups!$J$37:$K$75,MATCH(Building_Type,yNewConstructionBldgType,0),1),xyHOU_CF_IF,2,FALSE),VLOOKUP(D23,xyHOU_CF_IF,2,FALSE)))</f>
        <v>#N/A</v>
      </c>
      <c r="AG27" s="160" t="e">
        <f>IF(D23="","",IF(D24="New Construction",VLOOKUP(INDEX(Lookups!$J$37:$K$75,MATCH(Building_Type,yNewConstructionBldgType,0),1),xyHOU_CF_IF,4,FALSE),VLOOKUP(D23,xyHOU_CF_IF,4,FALSE)))</f>
        <v>#N/A</v>
      </c>
      <c r="AH27" s="55"/>
      <c r="AI27" s="31"/>
      <c r="AP27" s="31"/>
      <c r="AR27" s="31"/>
    </row>
    <row r="28" spans="2:52" ht="15" customHeight="1" thickBot="1">
      <c r="B28" s="50"/>
      <c r="C28" s="47"/>
      <c r="D28" s="338"/>
      <c r="E28" s="337"/>
      <c r="F28" s="339"/>
      <c r="G28" s="339"/>
      <c r="H28" s="340" t="str">
        <f>IF(D24="New Construction","Does this facility service the visually impaired? ","")</f>
        <v/>
      </c>
      <c r="I28" s="1065"/>
      <c r="J28" s="1065"/>
      <c r="K28" s="45"/>
      <c r="M28" s="50"/>
      <c r="N28" s="9"/>
      <c r="O28" s="56" t="s">
        <v>636</v>
      </c>
      <c r="P28" s="1030">
        <f>AC42-(P26/13)</f>
        <v>0.75</v>
      </c>
      <c r="Q28" s="1031"/>
      <c r="R28" s="998">
        <v>0.11</v>
      </c>
      <c r="S28" s="999"/>
      <c r="T28" s="998">
        <f>IF(T27="","",AC54*(1-(T26/13)))</f>
        <v>0</v>
      </c>
      <c r="U28" s="999"/>
      <c r="V28" s="1010">
        <f>IF(V27="","",AC60*(1-(V26/13)))</f>
        <v>0</v>
      </c>
      <c r="W28" s="1011"/>
      <c r="X28" s="1012"/>
      <c r="Y28" s="1010">
        <f>IF(Y27="","",AC66*(1-(Y26/13)))</f>
        <v>0</v>
      </c>
      <c r="Z28" s="1011"/>
      <c r="AA28" s="1012"/>
      <c r="AB28" s="1008">
        <f>IF(AB27="","",AC72*(1-(AB26/13)))</f>
        <v>0</v>
      </c>
      <c r="AC28" s="999"/>
      <c r="AD28" s="998">
        <f>IF(AD27="","",AC78*(1-(AD26/13)))</f>
        <v>0</v>
      </c>
      <c r="AE28" s="999"/>
      <c r="AF28" s="565" t="e">
        <f>IF(D23="","",IF(D24="New Construction",VLOOKUP(INDEX(Lookups!$J$37:$K$75,MATCH(Building_Type,yNewConstructionBldgType,0),1),xyHOU_CF_IF,3,FALSE),VLOOKUP(D23,xyHOU_CF_IF,3,FALSE)))</f>
        <v>#N/A</v>
      </c>
      <c r="AG28" s="566" t="e">
        <f>IF(D23="","",IF(D24="New Construction",VLOOKUP(INDEX(Lookups!$J$37:$K$75,MATCH(Building_Type,yNewConstructionBldgType,0),1),xyHOU_CF_IF,5,FALSE),VLOOKUP(D23,xyHOU_CF_IF,5,FALSE)))</f>
        <v>#N/A</v>
      </c>
      <c r="AH28" s="55"/>
      <c r="AI28" s="31"/>
      <c r="AK28" s="152"/>
      <c r="AP28" s="31"/>
      <c r="AY28" s="153"/>
    </row>
    <row r="29" spans="2:52" ht="15" customHeight="1" thickBot="1">
      <c r="B29" s="382"/>
      <c r="C29" s="47"/>
      <c r="D29" s="338"/>
      <c r="E29" s="337"/>
      <c r="F29" s="339"/>
      <c r="G29" s="341"/>
      <c r="H29" s="340" t="str">
        <f>IF(D24="New Construction","Which exterior lighting zone describes your project? ","")</f>
        <v/>
      </c>
      <c r="I29" s="1065"/>
      <c r="J29" s="1065"/>
      <c r="K29" s="388"/>
      <c r="M29" s="382"/>
      <c r="N29" s="387"/>
      <c r="O29" s="387"/>
      <c r="P29" s="387"/>
      <c r="Q29" s="387"/>
      <c r="R29" s="387"/>
      <c r="S29" s="387"/>
      <c r="T29" s="387"/>
      <c r="U29" s="387"/>
      <c r="V29" s="387"/>
      <c r="W29" s="387"/>
      <c r="X29" s="387"/>
      <c r="Y29" s="387"/>
      <c r="Z29" s="387"/>
      <c r="AA29" s="387"/>
      <c r="AB29" s="389"/>
      <c r="AC29" s="389"/>
      <c r="AD29" s="389"/>
      <c r="AE29" s="389"/>
      <c r="AF29" s="390"/>
      <c r="AG29" s="390"/>
      <c r="AH29" s="391"/>
      <c r="AI29" s="31"/>
      <c r="AP29" s="31"/>
      <c r="AY29" s="153"/>
    </row>
    <row r="30" spans="2:52" ht="15" customHeight="1" thickBot="1">
      <c r="AY30" s="153"/>
    </row>
    <row r="31" spans="2:52" ht="15" customHeight="1">
      <c r="B31" s="986" t="str">
        <f>IF(I26="","Space Type Details",IF(I26="Custom","❸ Space Type Details","❷ Space Type Details"))</f>
        <v>❷ Space Type Details</v>
      </c>
      <c r="C31" s="987"/>
      <c r="D31" s="987"/>
      <c r="E31" s="987"/>
      <c r="F31" s="987"/>
      <c r="G31" s="987"/>
      <c r="H31" s="987"/>
      <c r="I31" s="987"/>
      <c r="J31" s="987"/>
      <c r="K31" s="987"/>
      <c r="L31" s="987"/>
      <c r="M31" s="987"/>
      <c r="N31" s="987"/>
      <c r="O31" s="987"/>
      <c r="P31" s="987"/>
      <c r="Q31" s="987"/>
      <c r="R31" s="987"/>
      <c r="S31" s="987"/>
      <c r="T31" s="987"/>
      <c r="U31" s="987"/>
      <c r="V31" s="987"/>
      <c r="W31" s="988"/>
      <c r="Y31" s="986" t="s">
        <v>637</v>
      </c>
      <c r="Z31" s="987"/>
      <c r="AA31" s="987"/>
      <c r="AB31" s="987"/>
      <c r="AC31" s="987"/>
      <c r="AD31" s="987"/>
      <c r="AE31" s="987"/>
      <c r="AF31" s="987"/>
      <c r="AG31" s="987"/>
      <c r="AH31" s="988"/>
      <c r="AY31" s="153"/>
    </row>
    <row r="32" spans="2:52" ht="15" customHeight="1" thickBot="1">
      <c r="B32" s="989"/>
      <c r="C32" s="990"/>
      <c r="D32" s="990"/>
      <c r="E32" s="990"/>
      <c r="F32" s="990"/>
      <c r="G32" s="990"/>
      <c r="H32" s="990"/>
      <c r="I32" s="990"/>
      <c r="J32" s="990"/>
      <c r="K32" s="990"/>
      <c r="L32" s="990"/>
      <c r="M32" s="990"/>
      <c r="N32" s="990"/>
      <c r="O32" s="990"/>
      <c r="P32" s="990"/>
      <c r="Q32" s="990"/>
      <c r="R32" s="990"/>
      <c r="S32" s="990"/>
      <c r="T32" s="990"/>
      <c r="U32" s="990"/>
      <c r="V32" s="990"/>
      <c r="W32" s="991"/>
      <c r="Y32" s="989"/>
      <c r="Z32" s="990"/>
      <c r="AA32" s="990"/>
      <c r="AB32" s="990"/>
      <c r="AC32" s="990"/>
      <c r="AD32" s="990"/>
      <c r="AE32" s="990"/>
      <c r="AF32" s="990"/>
      <c r="AG32" s="990"/>
      <c r="AH32" s="991"/>
      <c r="AY32" s="153"/>
    </row>
    <row r="33" spans="2:51" ht="15" customHeight="1" thickBot="1">
      <c r="B33" s="40"/>
      <c r="C33" s="20"/>
      <c r="D33" s="20"/>
      <c r="E33" s="20"/>
      <c r="F33" s="20"/>
      <c r="G33" s="9"/>
      <c r="H33" s="9"/>
      <c r="I33" s="9"/>
      <c r="J33" s="20"/>
      <c r="K33" s="20"/>
      <c r="L33" s="9"/>
      <c r="M33" s="9"/>
      <c r="N33" s="20"/>
      <c r="O33" s="20"/>
      <c r="P33" s="20"/>
      <c r="Q33" s="20"/>
      <c r="R33" s="20"/>
      <c r="S33" s="20"/>
      <c r="T33" s="9"/>
      <c r="U33" s="9"/>
      <c r="V33" s="9"/>
      <c r="W33" s="45"/>
      <c r="Y33" s="50"/>
      <c r="Z33" s="9"/>
      <c r="AA33" s="9"/>
      <c r="AB33" s="9"/>
      <c r="AC33" s="9"/>
      <c r="AD33" s="9"/>
      <c r="AE33" s="9"/>
      <c r="AF33" s="9"/>
      <c r="AG33" s="9"/>
      <c r="AH33" s="45"/>
      <c r="AY33" s="153"/>
    </row>
    <row r="34" spans="2:51" ht="15" customHeight="1">
      <c r="B34" s="40"/>
      <c r="C34" s="1036" t="s">
        <v>638</v>
      </c>
      <c r="D34" s="1036"/>
      <c r="E34" s="1036"/>
      <c r="F34" s="1036"/>
      <c r="G34" s="1036"/>
      <c r="H34" s="1036"/>
      <c r="I34" s="1036"/>
      <c r="J34" s="1036"/>
      <c r="K34" s="1036"/>
      <c r="L34" s="1036"/>
      <c r="M34" s="1036"/>
      <c r="N34" s="1036"/>
      <c r="O34" s="1036"/>
      <c r="P34" s="1036"/>
      <c r="Q34" s="1036"/>
      <c r="R34" s="1036"/>
      <c r="S34" s="1036"/>
      <c r="T34" s="1036"/>
      <c r="U34" s="1036"/>
      <c r="V34" s="1036"/>
      <c r="W34" s="92"/>
      <c r="Y34" s="50"/>
      <c r="Z34" s="981" t="s">
        <v>639</v>
      </c>
      <c r="AA34" s="982"/>
      <c r="AB34" s="982"/>
      <c r="AC34" s="982"/>
      <c r="AD34" s="982"/>
      <c r="AE34" s="982"/>
      <c r="AF34" s="982"/>
      <c r="AG34" s="983"/>
      <c r="AH34" s="45"/>
      <c r="AY34" s="153"/>
    </row>
    <row r="35" spans="2:51" ht="15" customHeight="1" thickBot="1">
      <c r="B35" s="40"/>
      <c r="C35" s="1036"/>
      <c r="D35" s="1036"/>
      <c r="E35" s="1036"/>
      <c r="F35" s="1036"/>
      <c r="G35" s="1036"/>
      <c r="H35" s="1036"/>
      <c r="I35" s="1036"/>
      <c r="J35" s="1036"/>
      <c r="K35" s="1036"/>
      <c r="L35" s="1036"/>
      <c r="M35" s="1036"/>
      <c r="N35" s="1036"/>
      <c r="O35" s="1036"/>
      <c r="P35" s="1036"/>
      <c r="Q35" s="1036"/>
      <c r="R35" s="1036"/>
      <c r="S35" s="1036"/>
      <c r="T35" s="1036"/>
      <c r="U35" s="1036"/>
      <c r="V35" s="1036"/>
      <c r="W35" s="92"/>
      <c r="Y35" s="50"/>
      <c r="Z35" s="984"/>
      <c r="AA35" s="985"/>
      <c r="AB35" s="985"/>
      <c r="AC35" s="10"/>
      <c r="AD35" s="10"/>
      <c r="AE35" s="10"/>
      <c r="AF35" s="10"/>
      <c r="AG35" s="11"/>
      <c r="AH35" s="45"/>
      <c r="AJ35" s="153"/>
      <c r="AL35" s="153"/>
      <c r="AN35" s="153"/>
      <c r="AR35" s="153"/>
      <c r="AT35" s="153"/>
      <c r="AV35" s="153"/>
      <c r="AY35" s="153"/>
    </row>
    <row r="36" spans="2:51" ht="15" customHeight="1" thickBot="1">
      <c r="B36" s="40"/>
      <c r="C36" s="57"/>
      <c r="D36" s="57"/>
      <c r="E36" s="57"/>
      <c r="F36" s="57"/>
      <c r="G36" s="9"/>
      <c r="H36" s="9"/>
      <c r="I36" s="9"/>
      <c r="J36" s="57"/>
      <c r="K36" s="57"/>
      <c r="L36" s="9"/>
      <c r="M36" s="9"/>
      <c r="N36" s="57"/>
      <c r="O36" s="57"/>
      <c r="P36" s="57"/>
      <c r="Q36" s="57"/>
      <c r="R36" s="57"/>
      <c r="S36" s="20"/>
      <c r="T36" s="9"/>
      <c r="U36" s="9"/>
      <c r="V36" s="9"/>
      <c r="W36" s="45"/>
      <c r="Y36" s="50"/>
      <c r="Z36" s="984"/>
      <c r="AA36" s="985"/>
      <c r="AB36" s="985"/>
      <c r="AC36" s="96">
        <v>14</v>
      </c>
      <c r="AD36" s="97">
        <v>15</v>
      </c>
      <c r="AE36" s="97">
        <v>16</v>
      </c>
      <c r="AF36" s="98">
        <v>17</v>
      </c>
      <c r="AG36" s="11"/>
      <c r="AH36" s="45"/>
      <c r="AJ36" s="155"/>
      <c r="AK36" s="155"/>
      <c r="AL36" s="155"/>
      <c r="AM36" s="155"/>
      <c r="AN36" s="155"/>
      <c r="AO36" s="155"/>
      <c r="AP36" s="155"/>
      <c r="AQ36" s="155"/>
      <c r="AR36" s="155"/>
      <c r="AS36" s="155"/>
      <c r="AT36" s="155"/>
      <c r="AU36" s="155"/>
      <c r="AV36" s="155"/>
      <c r="AY36" s="153"/>
    </row>
    <row r="37" spans="2:51" ht="15" customHeight="1">
      <c r="B37" s="40"/>
      <c r="C37" s="58" t="s">
        <v>640</v>
      </c>
      <c r="D37" s="1048">
        <f>NC_Type</f>
        <v>0</v>
      </c>
      <c r="E37" s="1048"/>
      <c r="F37" s="1048"/>
      <c r="G37" s="1048"/>
      <c r="H37" s="9"/>
      <c r="I37" s="9"/>
      <c r="J37" s="59"/>
      <c r="K37" s="59"/>
      <c r="L37" s="9"/>
      <c r="M37" s="9"/>
      <c r="N37" s="47" t="s">
        <v>641</v>
      </c>
      <c r="O37" s="1075" t="str">
        <f>IF(D37="","",IF(D37="Space by Space Method",SUMPRODUCT(O41:O60,T41:T60),IF(D37="Building Area Method",VLOOKUP(D23,xyLPD_BuildingArea,4,FALSE)*D25,"")))</f>
        <v/>
      </c>
      <c r="P37" s="1075"/>
      <c r="Q37" s="1075"/>
      <c r="R37" s="9"/>
      <c r="S37" s="20"/>
      <c r="T37" s="9"/>
      <c r="U37" s="9"/>
      <c r="V37" s="9"/>
      <c r="W37" s="45"/>
      <c r="Y37" s="50"/>
      <c r="Z37" s="968" t="s">
        <v>611</v>
      </c>
      <c r="AA37" s="969"/>
      <c r="AB37" s="970"/>
      <c r="AC37" s="21">
        <f t="shared" ref="AC37:AF41" si="10">IF(AND(INDEX($P$17:$Q$23,MATCH($Z37,$O$17:$O$23,0),1)&lt;AC$36,AC$36&lt;INDEX($P$17:$Q$23,MATCH($Z37,$O$17:$O$23,0),2)),1,0)</f>
        <v>1</v>
      </c>
      <c r="AD37" s="12">
        <f t="shared" si="10"/>
        <v>1</v>
      </c>
      <c r="AE37" s="12">
        <f t="shared" si="10"/>
        <v>1</v>
      </c>
      <c r="AF37" s="13">
        <f t="shared" si="10"/>
        <v>0</v>
      </c>
      <c r="AG37" s="953" t="str">
        <f>P15</f>
        <v>Example</v>
      </c>
      <c r="AH37" s="45"/>
      <c r="AJ37" s="154"/>
      <c r="AK37" s="154"/>
      <c r="AL37" s="154"/>
      <c r="AM37" s="154"/>
      <c r="AN37" s="154"/>
      <c r="AO37" s="154"/>
      <c r="AP37" s="154"/>
      <c r="AQ37" s="154"/>
      <c r="AR37" s="154"/>
      <c r="AS37" s="154"/>
      <c r="AT37" s="154"/>
      <c r="AU37" s="154"/>
      <c r="AV37" s="154"/>
    </row>
    <row r="38" spans="2:51" ht="15" customHeight="1">
      <c r="B38" s="40"/>
      <c r="C38" s="60"/>
      <c r="D38" s="61"/>
      <c r="E38" s="61"/>
      <c r="F38" s="61"/>
      <c r="G38" s="9"/>
      <c r="H38" s="9"/>
      <c r="I38" s="9"/>
      <c r="J38" s="61"/>
      <c r="K38" s="61"/>
      <c r="L38" s="9"/>
      <c r="M38" s="9"/>
      <c r="N38" s="61"/>
      <c r="O38" s="60"/>
      <c r="P38" s="60"/>
      <c r="Q38" s="49"/>
      <c r="R38" s="47"/>
      <c r="S38" s="20"/>
      <c r="T38" s="1067" t="s">
        <v>642</v>
      </c>
      <c r="U38" s="1067"/>
      <c r="V38" s="1067"/>
      <c r="W38" s="45"/>
      <c r="Y38" s="50"/>
      <c r="Z38" s="971" t="s">
        <v>615</v>
      </c>
      <c r="AA38" s="972"/>
      <c r="AB38" s="973"/>
      <c r="AC38" s="26">
        <f t="shared" si="10"/>
        <v>1</v>
      </c>
      <c r="AD38" s="14">
        <f t="shared" si="10"/>
        <v>1</v>
      </c>
      <c r="AE38" s="14">
        <f t="shared" si="10"/>
        <v>1</v>
      </c>
      <c r="AF38" s="15">
        <f t="shared" si="10"/>
        <v>0</v>
      </c>
      <c r="AG38" s="954"/>
      <c r="AH38" s="45"/>
    </row>
    <row r="39" spans="2:51" ht="15" customHeight="1">
      <c r="B39" s="44"/>
      <c r="C39" s="62" t="s">
        <v>497</v>
      </c>
      <c r="D39" s="962" t="s">
        <v>643</v>
      </c>
      <c r="E39" s="962"/>
      <c r="F39" s="962"/>
      <c r="G39" s="962"/>
      <c r="H39" s="962"/>
      <c r="I39" s="962"/>
      <c r="J39" s="962" t="s">
        <v>644</v>
      </c>
      <c r="K39" s="962"/>
      <c r="L39" s="962"/>
      <c r="M39" s="962"/>
      <c r="N39" s="62" t="s">
        <v>645</v>
      </c>
      <c r="O39" s="962" t="s">
        <v>646</v>
      </c>
      <c r="P39" s="962"/>
      <c r="Q39" s="1076" t="s">
        <v>647</v>
      </c>
      <c r="R39" s="1076"/>
      <c r="S39" s="1076"/>
      <c r="T39" s="1068"/>
      <c r="U39" s="1068"/>
      <c r="V39" s="1068"/>
      <c r="W39" s="93"/>
      <c r="Y39" s="50"/>
      <c r="Z39" s="971" t="s">
        <v>617</v>
      </c>
      <c r="AA39" s="972"/>
      <c r="AB39" s="973"/>
      <c r="AC39" s="26">
        <f t="shared" si="10"/>
        <v>1</v>
      </c>
      <c r="AD39" s="14">
        <f t="shared" si="10"/>
        <v>1</v>
      </c>
      <c r="AE39" s="14">
        <f t="shared" si="10"/>
        <v>1</v>
      </c>
      <c r="AF39" s="15">
        <f t="shared" si="10"/>
        <v>0</v>
      </c>
      <c r="AG39" s="954"/>
      <c r="AH39" s="45"/>
      <c r="AJ39" s="156"/>
      <c r="AL39" s="156"/>
      <c r="AN39" s="156"/>
      <c r="AR39" s="156"/>
      <c r="AT39" s="156"/>
      <c r="AV39" s="156"/>
    </row>
    <row r="40" spans="2:51" ht="15" customHeight="1">
      <c r="B40" s="44"/>
      <c r="C40" s="567" t="s">
        <v>516</v>
      </c>
      <c r="D40" s="1074" t="str">
        <f>IF(D24="Retrofit","","Office - Enclosed")</f>
        <v>Office - Enclosed</v>
      </c>
      <c r="E40" s="1074"/>
      <c r="F40" s="1074"/>
      <c r="G40" s="1074"/>
      <c r="H40" s="1074"/>
      <c r="I40" s="1074"/>
      <c r="J40" s="1073" t="s">
        <v>516</v>
      </c>
      <c r="K40" s="1073"/>
      <c r="L40" s="1073"/>
      <c r="M40" s="1073"/>
      <c r="N40" s="567" t="s">
        <v>364</v>
      </c>
      <c r="O40" s="1047">
        <f>IF(D24="Retrofit","",20000)</f>
        <v>20000</v>
      </c>
      <c r="P40" s="1047"/>
      <c r="Q40" s="1047" t="str">
        <f>IF(D24="Retrofit","","Square Feet")</f>
        <v>Square Feet</v>
      </c>
      <c r="R40" s="1047"/>
      <c r="S40" s="1047"/>
      <c r="T40" s="1070" t="str">
        <f ca="1">IF(D24="Retrofit","",IFERROR(VLOOKUP(D40,xyLPD_SpaceBySpace,2,FALSE),""))</f>
        <v/>
      </c>
      <c r="U40" s="1071"/>
      <c r="V40" s="1072"/>
      <c r="W40" s="94"/>
      <c r="Y40" s="50"/>
      <c r="Z40" s="974" t="s">
        <v>619</v>
      </c>
      <c r="AA40" s="975"/>
      <c r="AB40" s="976"/>
      <c r="AC40" s="26">
        <f t="shared" si="10"/>
        <v>1</v>
      </c>
      <c r="AD40" s="14">
        <f t="shared" si="10"/>
        <v>1</v>
      </c>
      <c r="AE40" s="14">
        <f t="shared" si="10"/>
        <v>1</v>
      </c>
      <c r="AF40" s="15">
        <f t="shared" si="10"/>
        <v>0</v>
      </c>
      <c r="AG40" s="954"/>
      <c r="AH40" s="45"/>
    </row>
    <row r="41" spans="2:51" ht="15" customHeight="1">
      <c r="B41" s="50"/>
      <c r="C41" s="568">
        <f>Building_Type</f>
        <v>0</v>
      </c>
      <c r="D41" s="963" t="e">
        <f>IF(PRJ_Type="New Construction",INDEX(xyLPD_BuildingArea,MATCH(INDEX(Lookups!$J$37:$K$75,MATCH(Building_Type,yNewConstructionBldgType,0),1),yLPD_Space_Types,0),1),INDEX(xyLPD_BuildingArea,MATCH(C41,yLPD_Space_Types,0),1))</f>
        <v>#N/A</v>
      </c>
      <c r="E41" s="963"/>
      <c r="F41" s="963"/>
      <c r="G41" s="963"/>
      <c r="H41" s="963"/>
      <c r="I41" s="963"/>
      <c r="J41" s="964" t="s">
        <v>600</v>
      </c>
      <c r="K41" s="964"/>
      <c r="L41" s="964"/>
      <c r="M41" s="964"/>
      <c r="N41" s="569">
        <f>Cool_Type</f>
        <v>0</v>
      </c>
      <c r="O41" s="977" t="str">
        <f>IF($D$37="Building Area Method",SqFt,"")</f>
        <v/>
      </c>
      <c r="P41" s="977"/>
      <c r="Q41" s="1066" t="str">
        <f>IFERROR(IF(VLOOKUP(D41,xyLPD_SpaceBySpace,3,FALSE)="","Square Feet",VLOOKUP(D41,xyLPD_SpaceBySpace,3,FALSE)),"")</f>
        <v/>
      </c>
      <c r="R41" s="1066"/>
      <c r="S41" s="1066"/>
      <c r="T41" s="1069" t="e">
        <f>INDEX(xyLPD_BuildingArea,MATCH(Building_Type,Lookups!$F$37:$F$73,0),4)</f>
        <v>#N/A</v>
      </c>
      <c r="U41" s="1069"/>
      <c r="V41" s="1069"/>
      <c r="W41" s="95"/>
      <c r="Y41" s="50"/>
      <c r="Z41" s="974" t="s">
        <v>621</v>
      </c>
      <c r="AA41" s="975"/>
      <c r="AB41" s="976"/>
      <c r="AC41" s="26">
        <f t="shared" si="10"/>
        <v>1</v>
      </c>
      <c r="AD41" s="14">
        <f t="shared" si="10"/>
        <v>1</v>
      </c>
      <c r="AE41" s="14">
        <f t="shared" si="10"/>
        <v>1</v>
      </c>
      <c r="AF41" s="15">
        <f t="shared" si="10"/>
        <v>0</v>
      </c>
      <c r="AG41" s="954"/>
      <c r="AH41" s="45"/>
    </row>
    <row r="42" spans="2:51" ht="15" customHeight="1" thickBot="1">
      <c r="B42" s="50"/>
      <c r="C42" s="568" t="str">
        <f>IF('Usage Groups (&gt;120 MWh only)'!B7="","",'Usage Groups (&gt;120 MWh only)'!B7)</f>
        <v>Exterior Photocell controlled</v>
      </c>
      <c r="D42" s="963">
        <f>'Usage Groups (&gt;120 MWh only)'!N7</f>
        <v>0</v>
      </c>
      <c r="E42" s="963"/>
      <c r="F42" s="963"/>
      <c r="G42" s="963"/>
      <c r="H42" s="963"/>
      <c r="I42" s="963"/>
      <c r="J42" s="964" t="str">
        <f>IF($R$15=0,"",$R$15)</f>
        <v>Exterior Photocell controlled</v>
      </c>
      <c r="K42" s="964"/>
      <c r="L42" s="964"/>
      <c r="M42" s="964"/>
      <c r="N42" s="569" t="str">
        <f>'Usage Groups (&gt;120 MWh only)'!C7</f>
        <v>Unconditioned</v>
      </c>
      <c r="O42" s="977">
        <f>'Usage Groups (&gt;120 MWh only)'!N8</f>
        <v>0</v>
      </c>
      <c r="P42" s="977"/>
      <c r="Q42" s="1066" t="str">
        <f ca="1">IFERROR(IF(VLOOKUP(D42,xyLPD_SpaceBySpace,3,FALSE)="","Square Feet",VLOOKUP(D42,xyLPD_SpaceBySpace,3,FALSE)),"")</f>
        <v/>
      </c>
      <c r="R42" s="1066"/>
      <c r="S42" s="1066"/>
      <c r="T42" s="1069" t="str">
        <f ca="1">IFERROR(VLOOKUP(D42,xyLPD_SpaceBySpace,2,FALSE),"")</f>
        <v/>
      </c>
      <c r="U42" s="1069"/>
      <c r="V42" s="1069"/>
      <c r="W42" s="95"/>
      <c r="Y42" s="50"/>
      <c r="Z42" s="978" t="s">
        <v>228</v>
      </c>
      <c r="AA42" s="979"/>
      <c r="AB42" s="980"/>
      <c r="AC42" s="89">
        <f>SUM(AC37:AF41)/20</f>
        <v>0.75</v>
      </c>
      <c r="AD42" s="89"/>
      <c r="AE42" s="89"/>
      <c r="AF42" s="90"/>
      <c r="AG42" s="955"/>
      <c r="AH42" s="45"/>
    </row>
    <row r="43" spans="2:51" ht="15" customHeight="1">
      <c r="B43" s="50"/>
      <c r="C43" s="568" t="str">
        <f>IF('Usage Groups (&gt;120 MWh only)'!B8="","",'Usage Groups (&gt;120 MWh only)'!B8)</f>
        <v/>
      </c>
      <c r="D43" s="963">
        <f>'Usage Groups (&gt;120 MWh only)'!N8</f>
        <v>0</v>
      </c>
      <c r="E43" s="963"/>
      <c r="F43" s="963"/>
      <c r="G43" s="963"/>
      <c r="H43" s="963"/>
      <c r="I43" s="963"/>
      <c r="J43" s="964" t="str">
        <f>IF($T$15=0,"",$T$15)</f>
        <v/>
      </c>
      <c r="K43" s="964"/>
      <c r="L43" s="964"/>
      <c r="M43" s="964"/>
      <c r="N43" s="569">
        <f>'Usage Groups (&gt;120 MWh only)'!C8</f>
        <v>0</v>
      </c>
      <c r="O43" s="977">
        <f>'Usage Groups (&gt;120 MWh only)'!N9</f>
        <v>0</v>
      </c>
      <c r="P43" s="977"/>
      <c r="Q43" s="965" t="str">
        <f t="shared" ref="Q43:Q60" ca="1" si="11">IFERROR(IF(VLOOKUP(D43,xyLPD_SpaceBySpace,3,FALSE)="","Square Feet",VLOOKUP(D43,xyLPD_SpaceBySpace,3,FALSE)),"")</f>
        <v/>
      </c>
      <c r="R43" s="966"/>
      <c r="S43" s="967"/>
      <c r="T43" s="956" t="str">
        <f t="shared" ref="T43:T60" ca="1" si="12">IFERROR(VLOOKUP(D43,xyLPD_SpaceBySpace,2,FALSE),"")</f>
        <v/>
      </c>
      <c r="U43" s="957"/>
      <c r="V43" s="958"/>
      <c r="W43" s="95"/>
      <c r="Y43" s="50"/>
      <c r="Z43" s="968" t="s">
        <v>611</v>
      </c>
      <c r="AA43" s="969"/>
      <c r="AB43" s="970"/>
      <c r="AC43" s="21">
        <f t="shared" ref="AC43:AF47" si="13">IF(AND(INDEX($R$17:$S$23,MATCH($Z43,$O$17:$O$23,0),1)&lt;=AC$36,AC$36&lt;INDEX($R$17:$S$23,MATCH($Z43,$O$17:$O$23,0),2)),1,0)</f>
        <v>0</v>
      </c>
      <c r="AD43" s="12">
        <f t="shared" si="13"/>
        <v>0</v>
      </c>
      <c r="AE43" s="12">
        <f t="shared" si="13"/>
        <v>0</v>
      </c>
      <c r="AF43" s="13">
        <f t="shared" si="13"/>
        <v>0</v>
      </c>
      <c r="AG43" s="953" t="str">
        <f>R15</f>
        <v>Exterior Photocell controlled</v>
      </c>
      <c r="AH43" s="45"/>
    </row>
    <row r="44" spans="2:51" ht="15" customHeight="1">
      <c r="B44" s="50"/>
      <c r="C44" s="568" t="str">
        <f>IF('Usage Groups (&gt;120 MWh only)'!B9="","",'Usage Groups (&gt;120 MWh only)'!B9)</f>
        <v/>
      </c>
      <c r="D44" s="963">
        <f>'Usage Groups (&gt;120 MWh only)'!N9</f>
        <v>0</v>
      </c>
      <c r="E44" s="963"/>
      <c r="F44" s="963"/>
      <c r="G44" s="963"/>
      <c r="H44" s="963"/>
      <c r="I44" s="963"/>
      <c r="J44" s="964" t="str">
        <f>IF($V$15=0,"",$V$15)</f>
        <v/>
      </c>
      <c r="K44" s="964"/>
      <c r="L44" s="964"/>
      <c r="M44" s="964"/>
      <c r="N44" s="569">
        <f>'Usage Groups (&gt;120 MWh only)'!C9</f>
        <v>0</v>
      </c>
      <c r="O44" s="977">
        <f>'Usage Groups (&gt;120 MWh only)'!N10</f>
        <v>0</v>
      </c>
      <c r="P44" s="977"/>
      <c r="Q44" s="965" t="str">
        <f t="shared" ca="1" si="11"/>
        <v/>
      </c>
      <c r="R44" s="966"/>
      <c r="S44" s="967"/>
      <c r="T44" s="956" t="str">
        <f t="shared" ca="1" si="12"/>
        <v/>
      </c>
      <c r="U44" s="957"/>
      <c r="V44" s="958"/>
      <c r="W44" s="95"/>
      <c r="Y44" s="50"/>
      <c r="Z44" s="971" t="s">
        <v>615</v>
      </c>
      <c r="AA44" s="972"/>
      <c r="AB44" s="973"/>
      <c r="AC44" s="26">
        <f t="shared" si="13"/>
        <v>0</v>
      </c>
      <c r="AD44" s="14">
        <f t="shared" si="13"/>
        <v>0</v>
      </c>
      <c r="AE44" s="14">
        <f t="shared" si="13"/>
        <v>0</v>
      </c>
      <c r="AF44" s="15">
        <f t="shared" si="13"/>
        <v>0</v>
      </c>
      <c r="AG44" s="954"/>
      <c r="AH44" s="45"/>
    </row>
    <row r="45" spans="2:51" ht="15" customHeight="1">
      <c r="B45" s="50"/>
      <c r="C45" s="568" t="str">
        <f>IF('Usage Groups (&gt;120 MWh only)'!B10="","",'Usage Groups (&gt;120 MWh only)'!B10)</f>
        <v/>
      </c>
      <c r="D45" s="963">
        <f>'Usage Groups (&gt;120 MWh only)'!N10</f>
        <v>0</v>
      </c>
      <c r="E45" s="963"/>
      <c r="F45" s="963"/>
      <c r="G45" s="963"/>
      <c r="H45" s="963"/>
      <c r="I45" s="963"/>
      <c r="J45" s="964" t="str">
        <f>IF($Y$15=0,"",$Y$15)</f>
        <v/>
      </c>
      <c r="K45" s="964"/>
      <c r="L45" s="964"/>
      <c r="M45" s="964"/>
      <c r="N45" s="569">
        <f>'Usage Groups (&gt;120 MWh only)'!C10</f>
        <v>0</v>
      </c>
      <c r="O45" s="977">
        <f>'Usage Groups (&gt;120 MWh only)'!N11</f>
        <v>0</v>
      </c>
      <c r="P45" s="977"/>
      <c r="Q45" s="965" t="str">
        <f t="shared" ca="1" si="11"/>
        <v/>
      </c>
      <c r="R45" s="966"/>
      <c r="S45" s="967"/>
      <c r="T45" s="956" t="str">
        <f t="shared" ca="1" si="12"/>
        <v/>
      </c>
      <c r="U45" s="957"/>
      <c r="V45" s="958"/>
      <c r="W45" s="95"/>
      <c r="Y45" s="50"/>
      <c r="Z45" s="971" t="s">
        <v>617</v>
      </c>
      <c r="AA45" s="972"/>
      <c r="AB45" s="973"/>
      <c r="AC45" s="26">
        <f t="shared" si="13"/>
        <v>0</v>
      </c>
      <c r="AD45" s="14">
        <f t="shared" si="13"/>
        <v>0</v>
      </c>
      <c r="AE45" s="14">
        <f t="shared" si="13"/>
        <v>0</v>
      </c>
      <c r="AF45" s="15">
        <f t="shared" si="13"/>
        <v>0</v>
      </c>
      <c r="AG45" s="954"/>
      <c r="AH45" s="45"/>
    </row>
    <row r="46" spans="2:51" ht="15" customHeight="1">
      <c r="B46" s="50"/>
      <c r="C46" s="568" t="str">
        <f>IF('Usage Groups (&gt;120 MWh only)'!B11="","",'Usage Groups (&gt;120 MWh only)'!B11)</f>
        <v/>
      </c>
      <c r="D46" s="963">
        <f>'Usage Groups (&gt;120 MWh only)'!N11</f>
        <v>0</v>
      </c>
      <c r="E46" s="963"/>
      <c r="F46" s="963"/>
      <c r="G46" s="963"/>
      <c r="H46" s="963"/>
      <c r="I46" s="963"/>
      <c r="J46" s="964" t="str">
        <f>IF($AB$15=0,"",$AB$15)</f>
        <v/>
      </c>
      <c r="K46" s="964"/>
      <c r="L46" s="964"/>
      <c r="M46" s="964"/>
      <c r="N46" s="569">
        <f>'Usage Groups (&gt;120 MWh only)'!C11</f>
        <v>0</v>
      </c>
      <c r="O46" s="977">
        <f>'Usage Groups (&gt;120 MWh only)'!N12</f>
        <v>0</v>
      </c>
      <c r="P46" s="977"/>
      <c r="Q46" s="965" t="str">
        <f t="shared" ca="1" si="11"/>
        <v/>
      </c>
      <c r="R46" s="966"/>
      <c r="S46" s="967"/>
      <c r="T46" s="956" t="str">
        <f t="shared" ca="1" si="12"/>
        <v/>
      </c>
      <c r="U46" s="957"/>
      <c r="V46" s="958"/>
      <c r="W46" s="95"/>
      <c r="Y46" s="50"/>
      <c r="Z46" s="974" t="s">
        <v>619</v>
      </c>
      <c r="AA46" s="975"/>
      <c r="AB46" s="976"/>
      <c r="AC46" s="26">
        <f t="shared" si="13"/>
        <v>0</v>
      </c>
      <c r="AD46" s="14">
        <f t="shared" si="13"/>
        <v>0</v>
      </c>
      <c r="AE46" s="14">
        <f t="shared" si="13"/>
        <v>0</v>
      </c>
      <c r="AF46" s="15">
        <f t="shared" si="13"/>
        <v>0</v>
      </c>
      <c r="AG46" s="954"/>
      <c r="AH46" s="45"/>
    </row>
    <row r="47" spans="2:51" ht="15" customHeight="1">
      <c r="B47" s="50"/>
      <c r="C47" s="568" t="str">
        <f>IF('Usage Groups (&gt;120 MWh only)'!B12="","",'Usage Groups (&gt;120 MWh only)'!B12)</f>
        <v/>
      </c>
      <c r="D47" s="963">
        <f>'Usage Groups (&gt;120 MWh only)'!N12</f>
        <v>0</v>
      </c>
      <c r="E47" s="963"/>
      <c r="F47" s="963"/>
      <c r="G47" s="963"/>
      <c r="H47" s="963"/>
      <c r="I47" s="963"/>
      <c r="J47" s="964" t="str">
        <f>IF($AD$15=0,"",$AD$15)</f>
        <v/>
      </c>
      <c r="K47" s="964"/>
      <c r="L47" s="964"/>
      <c r="M47" s="964"/>
      <c r="N47" s="569">
        <f>'Usage Groups (&gt;120 MWh only)'!C12</f>
        <v>0</v>
      </c>
      <c r="O47" s="977">
        <f>'Usage Groups (&gt;120 MWh only)'!N13</f>
        <v>0</v>
      </c>
      <c r="P47" s="977"/>
      <c r="Q47" s="965" t="str">
        <f t="shared" ca="1" si="11"/>
        <v/>
      </c>
      <c r="R47" s="966"/>
      <c r="S47" s="967"/>
      <c r="T47" s="956" t="str">
        <f t="shared" ca="1" si="12"/>
        <v/>
      </c>
      <c r="U47" s="957"/>
      <c r="V47" s="958"/>
      <c r="W47" s="95"/>
      <c r="Y47" s="50"/>
      <c r="Z47" s="974" t="s">
        <v>621</v>
      </c>
      <c r="AA47" s="975"/>
      <c r="AB47" s="976"/>
      <c r="AC47" s="26">
        <f t="shared" si="13"/>
        <v>0</v>
      </c>
      <c r="AD47" s="14">
        <f t="shared" si="13"/>
        <v>0</v>
      </c>
      <c r="AE47" s="14">
        <f t="shared" si="13"/>
        <v>0</v>
      </c>
      <c r="AF47" s="15">
        <f t="shared" si="13"/>
        <v>0</v>
      </c>
      <c r="AG47" s="954"/>
      <c r="AH47" s="45"/>
    </row>
    <row r="48" spans="2:51" ht="15" customHeight="1" thickBot="1">
      <c r="B48" s="50"/>
      <c r="C48" s="570" t="s">
        <v>648</v>
      </c>
      <c r="D48" s="960"/>
      <c r="E48" s="960"/>
      <c r="F48" s="960"/>
      <c r="G48" s="960"/>
      <c r="H48" s="960"/>
      <c r="I48" s="960"/>
      <c r="J48" s="959"/>
      <c r="K48" s="959"/>
      <c r="L48" s="959"/>
      <c r="M48" s="959"/>
      <c r="N48" s="571"/>
      <c r="O48" s="961"/>
      <c r="P48" s="961"/>
      <c r="Q48" s="965" t="str">
        <f t="shared" ca="1" si="11"/>
        <v/>
      </c>
      <c r="R48" s="966"/>
      <c r="S48" s="967"/>
      <c r="T48" s="956" t="str">
        <f t="shared" ca="1" si="12"/>
        <v/>
      </c>
      <c r="U48" s="957"/>
      <c r="V48" s="958"/>
      <c r="W48" s="95"/>
      <c r="Y48" s="50"/>
      <c r="Z48" s="978" t="s">
        <v>228</v>
      </c>
      <c r="AA48" s="979"/>
      <c r="AB48" s="980"/>
      <c r="AC48" s="91">
        <f>SUM(AC43:AF47)/20</f>
        <v>0</v>
      </c>
      <c r="AD48" s="89"/>
      <c r="AE48" s="89"/>
      <c r="AF48" s="90"/>
      <c r="AG48" s="955"/>
      <c r="AH48" s="45"/>
    </row>
    <row r="49" spans="2:34" ht="15" customHeight="1">
      <c r="B49" s="50"/>
      <c r="C49" s="570" t="s">
        <v>648</v>
      </c>
      <c r="D49" s="960"/>
      <c r="E49" s="960"/>
      <c r="F49" s="960"/>
      <c r="G49" s="960"/>
      <c r="H49" s="960"/>
      <c r="I49" s="960"/>
      <c r="J49" s="959"/>
      <c r="K49" s="959"/>
      <c r="L49" s="959"/>
      <c r="M49" s="959"/>
      <c r="N49" s="571"/>
      <c r="O49" s="961"/>
      <c r="P49" s="961"/>
      <c r="Q49" s="965" t="str">
        <f t="shared" ca="1" si="11"/>
        <v/>
      </c>
      <c r="R49" s="966"/>
      <c r="S49" s="967"/>
      <c r="T49" s="956" t="str">
        <f t="shared" ca="1" si="12"/>
        <v/>
      </c>
      <c r="U49" s="957"/>
      <c r="V49" s="958"/>
      <c r="W49" s="95"/>
      <c r="Y49" s="50"/>
      <c r="Z49" s="968" t="s">
        <v>611</v>
      </c>
      <c r="AA49" s="969"/>
      <c r="AB49" s="970"/>
      <c r="AC49" s="23">
        <f t="shared" ref="AC49:AF53" si="14">IF(AND(INDEX($T$17:$U$23,MATCH($Z49,$O$17:$O$23,0),1)&lt;=AC$36,AC$36&lt;INDEX($T$17:$U$23,MATCH($Z49,$O$17:$O$23,0),2)),1,0)</f>
        <v>0</v>
      </c>
      <c r="AD49" s="12">
        <f t="shared" si="14"/>
        <v>0</v>
      </c>
      <c r="AE49" s="21">
        <f t="shared" si="14"/>
        <v>0</v>
      </c>
      <c r="AF49" s="22">
        <f t="shared" si="14"/>
        <v>0</v>
      </c>
      <c r="AG49" s="953">
        <f>T15</f>
        <v>0</v>
      </c>
      <c r="AH49" s="45"/>
    </row>
    <row r="50" spans="2:34" ht="15" customHeight="1">
      <c r="B50" s="50"/>
      <c r="C50" s="570" t="s">
        <v>648</v>
      </c>
      <c r="D50" s="960"/>
      <c r="E50" s="960"/>
      <c r="F50" s="960"/>
      <c r="G50" s="960"/>
      <c r="H50" s="960"/>
      <c r="I50" s="960"/>
      <c r="J50" s="959"/>
      <c r="K50" s="959"/>
      <c r="L50" s="959"/>
      <c r="M50" s="959"/>
      <c r="N50" s="571"/>
      <c r="O50" s="961"/>
      <c r="P50" s="961"/>
      <c r="Q50" s="965" t="str">
        <f t="shared" ca="1" si="11"/>
        <v/>
      </c>
      <c r="R50" s="966"/>
      <c r="S50" s="967"/>
      <c r="T50" s="956" t="str">
        <f t="shared" ca="1" si="12"/>
        <v/>
      </c>
      <c r="U50" s="957"/>
      <c r="V50" s="958"/>
      <c r="W50" s="95"/>
      <c r="Y50" s="50"/>
      <c r="Z50" s="971" t="s">
        <v>615</v>
      </c>
      <c r="AA50" s="972"/>
      <c r="AB50" s="973"/>
      <c r="AC50" s="24">
        <f t="shared" si="14"/>
        <v>0</v>
      </c>
      <c r="AD50" s="14">
        <f t="shared" si="14"/>
        <v>0</v>
      </c>
      <c r="AE50" s="26">
        <f t="shared" si="14"/>
        <v>0</v>
      </c>
      <c r="AF50" s="25">
        <f t="shared" si="14"/>
        <v>0</v>
      </c>
      <c r="AG50" s="954"/>
      <c r="AH50" s="45"/>
    </row>
    <row r="51" spans="2:34" ht="15" customHeight="1">
      <c r="B51" s="50"/>
      <c r="C51" s="570" t="s">
        <v>648</v>
      </c>
      <c r="D51" s="960"/>
      <c r="E51" s="960"/>
      <c r="F51" s="960"/>
      <c r="G51" s="960"/>
      <c r="H51" s="960"/>
      <c r="I51" s="960"/>
      <c r="J51" s="959"/>
      <c r="K51" s="959"/>
      <c r="L51" s="959"/>
      <c r="M51" s="959"/>
      <c r="N51" s="571"/>
      <c r="O51" s="961"/>
      <c r="P51" s="961"/>
      <c r="Q51" s="965" t="str">
        <f t="shared" ca="1" si="11"/>
        <v/>
      </c>
      <c r="R51" s="966"/>
      <c r="S51" s="967"/>
      <c r="T51" s="956" t="str">
        <f t="shared" ca="1" si="12"/>
        <v/>
      </c>
      <c r="U51" s="957"/>
      <c r="V51" s="958"/>
      <c r="W51" s="95"/>
      <c r="Y51" s="50"/>
      <c r="Z51" s="971" t="s">
        <v>617</v>
      </c>
      <c r="AA51" s="972"/>
      <c r="AB51" s="973"/>
      <c r="AC51" s="24">
        <f t="shared" si="14"/>
        <v>0</v>
      </c>
      <c r="AD51" s="14">
        <f t="shared" si="14"/>
        <v>0</v>
      </c>
      <c r="AE51" s="26">
        <f t="shared" si="14"/>
        <v>0</v>
      </c>
      <c r="AF51" s="25">
        <f t="shared" si="14"/>
        <v>0</v>
      </c>
      <c r="AG51" s="954"/>
      <c r="AH51" s="45"/>
    </row>
    <row r="52" spans="2:34" ht="15" customHeight="1">
      <c r="B52" s="50"/>
      <c r="C52" s="570" t="s">
        <v>648</v>
      </c>
      <c r="D52" s="960"/>
      <c r="E52" s="960"/>
      <c r="F52" s="960"/>
      <c r="G52" s="960"/>
      <c r="H52" s="960"/>
      <c r="I52" s="960"/>
      <c r="J52" s="959"/>
      <c r="K52" s="959"/>
      <c r="L52" s="959"/>
      <c r="M52" s="959"/>
      <c r="N52" s="571"/>
      <c r="O52" s="961"/>
      <c r="P52" s="961"/>
      <c r="Q52" s="965" t="str">
        <f t="shared" ca="1" si="11"/>
        <v/>
      </c>
      <c r="R52" s="966"/>
      <c r="S52" s="967"/>
      <c r="T52" s="956" t="str">
        <f t="shared" ca="1" si="12"/>
        <v/>
      </c>
      <c r="U52" s="957"/>
      <c r="V52" s="958"/>
      <c r="W52" s="95"/>
      <c r="Y52" s="50"/>
      <c r="Z52" s="974" t="s">
        <v>619</v>
      </c>
      <c r="AA52" s="975"/>
      <c r="AB52" s="976"/>
      <c r="AC52" s="24">
        <f t="shared" si="14"/>
        <v>0</v>
      </c>
      <c r="AD52" s="14">
        <f t="shared" si="14"/>
        <v>0</v>
      </c>
      <c r="AE52" s="26">
        <f t="shared" si="14"/>
        <v>0</v>
      </c>
      <c r="AF52" s="25">
        <f t="shared" si="14"/>
        <v>0</v>
      </c>
      <c r="AG52" s="954"/>
      <c r="AH52" s="45"/>
    </row>
    <row r="53" spans="2:34" ht="15" customHeight="1">
      <c r="B53" s="50"/>
      <c r="C53" s="570" t="s">
        <v>648</v>
      </c>
      <c r="D53" s="960"/>
      <c r="E53" s="960"/>
      <c r="F53" s="960"/>
      <c r="G53" s="960"/>
      <c r="H53" s="960"/>
      <c r="I53" s="960"/>
      <c r="J53" s="959"/>
      <c r="K53" s="959"/>
      <c r="L53" s="959"/>
      <c r="M53" s="959"/>
      <c r="N53" s="571"/>
      <c r="O53" s="961"/>
      <c r="P53" s="961"/>
      <c r="Q53" s="965" t="str">
        <f t="shared" ca="1" si="11"/>
        <v/>
      </c>
      <c r="R53" s="966"/>
      <c r="S53" s="967"/>
      <c r="T53" s="956" t="str">
        <f t="shared" ca="1" si="12"/>
        <v/>
      </c>
      <c r="U53" s="957"/>
      <c r="V53" s="958"/>
      <c r="W53" s="95"/>
      <c r="Y53" s="50"/>
      <c r="Z53" s="974" t="s">
        <v>621</v>
      </c>
      <c r="AA53" s="975"/>
      <c r="AB53" s="976"/>
      <c r="AC53" s="24">
        <f t="shared" si="14"/>
        <v>0</v>
      </c>
      <c r="AD53" s="14">
        <f t="shared" si="14"/>
        <v>0</v>
      </c>
      <c r="AE53" s="26">
        <f t="shared" si="14"/>
        <v>0</v>
      </c>
      <c r="AF53" s="25">
        <f t="shared" si="14"/>
        <v>0</v>
      </c>
      <c r="AG53" s="954"/>
      <c r="AH53" s="45"/>
    </row>
    <row r="54" spans="2:34" ht="15" customHeight="1" thickBot="1">
      <c r="B54" s="63"/>
      <c r="C54" s="570" t="s">
        <v>648</v>
      </c>
      <c r="D54" s="960"/>
      <c r="E54" s="960"/>
      <c r="F54" s="960"/>
      <c r="G54" s="960"/>
      <c r="H54" s="960"/>
      <c r="I54" s="960"/>
      <c r="J54" s="959"/>
      <c r="K54" s="959"/>
      <c r="L54" s="959"/>
      <c r="M54" s="959"/>
      <c r="N54" s="571"/>
      <c r="O54" s="961"/>
      <c r="P54" s="961"/>
      <c r="Q54" s="965" t="str">
        <f t="shared" ca="1" si="11"/>
        <v/>
      </c>
      <c r="R54" s="966"/>
      <c r="S54" s="967"/>
      <c r="T54" s="956" t="str">
        <f t="shared" ca="1" si="12"/>
        <v/>
      </c>
      <c r="U54" s="957"/>
      <c r="V54" s="958"/>
      <c r="W54" s="95"/>
      <c r="Y54" s="50"/>
      <c r="Z54" s="978" t="s">
        <v>228</v>
      </c>
      <c r="AA54" s="979"/>
      <c r="AB54" s="980"/>
      <c r="AC54" s="91">
        <f>SUM(AC49:AF53)/20</f>
        <v>0</v>
      </c>
      <c r="AD54" s="89"/>
      <c r="AE54" s="89"/>
      <c r="AF54" s="90"/>
      <c r="AG54" s="955"/>
      <c r="AH54" s="45"/>
    </row>
    <row r="55" spans="2:34" ht="15" customHeight="1">
      <c r="B55" s="63"/>
      <c r="C55" s="570" t="s">
        <v>648</v>
      </c>
      <c r="D55" s="960"/>
      <c r="E55" s="960"/>
      <c r="F55" s="960"/>
      <c r="G55" s="960"/>
      <c r="H55" s="960"/>
      <c r="I55" s="960"/>
      <c r="J55" s="959"/>
      <c r="K55" s="959"/>
      <c r="L55" s="959"/>
      <c r="M55" s="959"/>
      <c r="N55" s="571"/>
      <c r="O55" s="961"/>
      <c r="P55" s="961"/>
      <c r="Q55" s="965" t="str">
        <f t="shared" ca="1" si="11"/>
        <v/>
      </c>
      <c r="R55" s="966"/>
      <c r="S55" s="967"/>
      <c r="T55" s="956" t="str">
        <f t="shared" ca="1" si="12"/>
        <v/>
      </c>
      <c r="U55" s="957"/>
      <c r="V55" s="958"/>
      <c r="W55" s="95"/>
      <c r="Y55" s="50"/>
      <c r="Z55" s="968" t="s">
        <v>611</v>
      </c>
      <c r="AA55" s="969"/>
      <c r="AB55" s="970"/>
      <c r="AC55" s="23">
        <f>IF(AND(INDEX($V$17:$W$23,MATCH($Z49,$O$17:$O$23,0),1)&lt;=AC$36,AC$36&lt;INDEX($V$17:$W$23,MATCH($Z49,$O$17:$O$23,0),2)),1,0)</f>
        <v>0</v>
      </c>
      <c r="AD55" s="12">
        <f t="shared" ref="AC55:AF59" si="15">IF(AND(INDEX($V$17:$X$23,MATCH($Z49,$O$17:$O$23,0),1)&lt;=AD$36,AD$36&lt;INDEX($V$17:$X$23,MATCH($Z49,$O$17:$O$23,0),2)),1,0)</f>
        <v>0</v>
      </c>
      <c r="AE55" s="21">
        <f t="shared" si="15"/>
        <v>0</v>
      </c>
      <c r="AF55" s="22">
        <f t="shared" si="15"/>
        <v>0</v>
      </c>
      <c r="AG55" s="953">
        <f>V15</f>
        <v>0</v>
      </c>
      <c r="AH55" s="45"/>
    </row>
    <row r="56" spans="2:34" ht="15" customHeight="1">
      <c r="B56" s="63"/>
      <c r="C56" s="570" t="s">
        <v>648</v>
      </c>
      <c r="D56" s="960"/>
      <c r="E56" s="960"/>
      <c r="F56" s="960"/>
      <c r="G56" s="960"/>
      <c r="H56" s="960"/>
      <c r="I56" s="960"/>
      <c r="J56" s="959"/>
      <c r="K56" s="959"/>
      <c r="L56" s="959"/>
      <c r="M56" s="959"/>
      <c r="N56" s="571"/>
      <c r="O56" s="961"/>
      <c r="P56" s="961"/>
      <c r="Q56" s="965" t="str">
        <f t="shared" ca="1" si="11"/>
        <v/>
      </c>
      <c r="R56" s="966"/>
      <c r="S56" s="967"/>
      <c r="T56" s="956" t="str">
        <f t="shared" ca="1" si="12"/>
        <v/>
      </c>
      <c r="U56" s="957"/>
      <c r="V56" s="958"/>
      <c r="W56" s="95"/>
      <c r="Y56" s="50"/>
      <c r="Z56" s="971" t="s">
        <v>615</v>
      </c>
      <c r="AA56" s="972"/>
      <c r="AB56" s="973"/>
      <c r="AC56" s="24">
        <f t="shared" si="15"/>
        <v>0</v>
      </c>
      <c r="AD56" s="14">
        <f t="shared" si="15"/>
        <v>0</v>
      </c>
      <c r="AE56" s="26">
        <f t="shared" si="15"/>
        <v>0</v>
      </c>
      <c r="AF56" s="25">
        <f t="shared" si="15"/>
        <v>0</v>
      </c>
      <c r="AG56" s="954"/>
      <c r="AH56" s="45"/>
    </row>
    <row r="57" spans="2:34" ht="15" customHeight="1">
      <c r="B57" s="63"/>
      <c r="C57" s="570" t="s">
        <v>648</v>
      </c>
      <c r="D57" s="960"/>
      <c r="E57" s="960"/>
      <c r="F57" s="960"/>
      <c r="G57" s="960"/>
      <c r="H57" s="960"/>
      <c r="I57" s="960"/>
      <c r="J57" s="959"/>
      <c r="K57" s="959"/>
      <c r="L57" s="959"/>
      <c r="M57" s="959"/>
      <c r="N57" s="571"/>
      <c r="O57" s="961"/>
      <c r="P57" s="961"/>
      <c r="Q57" s="965" t="str">
        <f t="shared" ca="1" si="11"/>
        <v/>
      </c>
      <c r="R57" s="966"/>
      <c r="S57" s="967"/>
      <c r="T57" s="956" t="str">
        <f t="shared" ca="1" si="12"/>
        <v/>
      </c>
      <c r="U57" s="957"/>
      <c r="V57" s="958"/>
      <c r="W57" s="95"/>
      <c r="Y57" s="50"/>
      <c r="Z57" s="971" t="s">
        <v>617</v>
      </c>
      <c r="AA57" s="972"/>
      <c r="AB57" s="973"/>
      <c r="AC57" s="24">
        <f t="shared" si="15"/>
        <v>0</v>
      </c>
      <c r="AD57" s="14">
        <f t="shared" si="15"/>
        <v>0</v>
      </c>
      <c r="AE57" s="26">
        <f t="shared" si="15"/>
        <v>0</v>
      </c>
      <c r="AF57" s="25">
        <f t="shared" si="15"/>
        <v>0</v>
      </c>
      <c r="AG57" s="954"/>
      <c r="AH57" s="45"/>
    </row>
    <row r="58" spans="2:34" ht="15" customHeight="1">
      <c r="B58" s="63"/>
      <c r="C58" s="570" t="s">
        <v>648</v>
      </c>
      <c r="D58" s="960"/>
      <c r="E58" s="960"/>
      <c r="F58" s="960"/>
      <c r="G58" s="960"/>
      <c r="H58" s="960"/>
      <c r="I58" s="960"/>
      <c r="J58" s="959"/>
      <c r="K58" s="959"/>
      <c r="L58" s="959"/>
      <c r="M58" s="959"/>
      <c r="N58" s="571"/>
      <c r="O58" s="961"/>
      <c r="P58" s="961"/>
      <c r="Q58" s="965" t="str">
        <f t="shared" ca="1" si="11"/>
        <v/>
      </c>
      <c r="R58" s="966"/>
      <c r="S58" s="967"/>
      <c r="T58" s="956" t="str">
        <f t="shared" ca="1" si="12"/>
        <v/>
      </c>
      <c r="U58" s="957"/>
      <c r="V58" s="958"/>
      <c r="W58" s="95"/>
      <c r="Y58" s="50"/>
      <c r="Z58" s="974" t="s">
        <v>619</v>
      </c>
      <c r="AA58" s="975"/>
      <c r="AB58" s="976"/>
      <c r="AC58" s="24">
        <f t="shared" si="15"/>
        <v>0</v>
      </c>
      <c r="AD58" s="14">
        <f t="shared" si="15"/>
        <v>0</v>
      </c>
      <c r="AE58" s="26">
        <f t="shared" si="15"/>
        <v>0</v>
      </c>
      <c r="AF58" s="25">
        <f t="shared" si="15"/>
        <v>0</v>
      </c>
      <c r="AG58" s="954"/>
      <c r="AH58" s="45"/>
    </row>
    <row r="59" spans="2:34" ht="15" customHeight="1">
      <c r="B59" s="63"/>
      <c r="C59" s="570" t="s">
        <v>648</v>
      </c>
      <c r="D59" s="960"/>
      <c r="E59" s="960"/>
      <c r="F59" s="960"/>
      <c r="G59" s="960"/>
      <c r="H59" s="960"/>
      <c r="I59" s="960"/>
      <c r="J59" s="959"/>
      <c r="K59" s="959"/>
      <c r="L59" s="959"/>
      <c r="M59" s="959"/>
      <c r="N59" s="571"/>
      <c r="O59" s="961"/>
      <c r="P59" s="961"/>
      <c r="Q59" s="965" t="str">
        <f t="shared" ca="1" si="11"/>
        <v/>
      </c>
      <c r="R59" s="966"/>
      <c r="S59" s="967"/>
      <c r="T59" s="956" t="str">
        <f t="shared" ca="1" si="12"/>
        <v/>
      </c>
      <c r="U59" s="957"/>
      <c r="V59" s="958"/>
      <c r="W59" s="95"/>
      <c r="Y59" s="50"/>
      <c r="Z59" s="974" t="s">
        <v>621</v>
      </c>
      <c r="AA59" s="975"/>
      <c r="AB59" s="976"/>
      <c r="AC59" s="24">
        <f t="shared" si="15"/>
        <v>0</v>
      </c>
      <c r="AD59" s="14">
        <f t="shared" si="15"/>
        <v>0</v>
      </c>
      <c r="AE59" s="26">
        <f t="shared" si="15"/>
        <v>0</v>
      </c>
      <c r="AF59" s="25">
        <f t="shared" si="15"/>
        <v>0</v>
      </c>
      <c r="AG59" s="954"/>
      <c r="AH59" s="45"/>
    </row>
    <row r="60" spans="2:34" ht="15" customHeight="1" thickBot="1">
      <c r="B60" s="50"/>
      <c r="C60" s="570" t="s">
        <v>648</v>
      </c>
      <c r="D60" s="960"/>
      <c r="E60" s="960"/>
      <c r="F60" s="960"/>
      <c r="G60" s="960"/>
      <c r="H60" s="960"/>
      <c r="I60" s="960"/>
      <c r="J60" s="959"/>
      <c r="K60" s="959"/>
      <c r="L60" s="959"/>
      <c r="M60" s="959"/>
      <c r="N60" s="571"/>
      <c r="O60" s="961"/>
      <c r="P60" s="961"/>
      <c r="Q60" s="965" t="str">
        <f t="shared" ca="1" si="11"/>
        <v/>
      </c>
      <c r="R60" s="966"/>
      <c r="S60" s="967"/>
      <c r="T60" s="956" t="str">
        <f t="shared" ca="1" si="12"/>
        <v/>
      </c>
      <c r="U60" s="957"/>
      <c r="V60" s="958"/>
      <c r="W60" s="95"/>
      <c r="Y60" s="50"/>
      <c r="Z60" s="978" t="s">
        <v>228</v>
      </c>
      <c r="AA60" s="979"/>
      <c r="AB60" s="980"/>
      <c r="AC60" s="91">
        <f>SUM(AC55:AF59)/20</f>
        <v>0</v>
      </c>
      <c r="AD60" s="89"/>
      <c r="AE60" s="89"/>
      <c r="AF60" s="90"/>
      <c r="AG60" s="955"/>
      <c r="AH60" s="45"/>
    </row>
    <row r="61" spans="2:34" ht="15" customHeight="1" thickBot="1">
      <c r="B61" s="382"/>
      <c r="C61" s="392"/>
      <c r="D61" s="387"/>
      <c r="E61" s="387"/>
      <c r="F61" s="387"/>
      <c r="G61" s="387"/>
      <c r="H61" s="387"/>
      <c r="I61" s="387"/>
      <c r="J61" s="387"/>
      <c r="K61" s="387"/>
      <c r="L61" s="387"/>
      <c r="M61" s="387"/>
      <c r="N61" s="387"/>
      <c r="O61" s="387"/>
      <c r="P61" s="387"/>
      <c r="Q61" s="393"/>
      <c r="R61" s="387"/>
      <c r="S61" s="387"/>
      <c r="T61" s="387"/>
      <c r="U61" s="387"/>
      <c r="V61" s="387"/>
      <c r="W61" s="388"/>
      <c r="Y61" s="50"/>
      <c r="Z61" s="968" t="s">
        <v>611</v>
      </c>
      <c r="AA61" s="969"/>
      <c r="AB61" s="970"/>
      <c r="AC61" s="23">
        <f>IF(AND(INDEX($Z$17:$AA$23,MATCH($Z61,$O$17:$O$23,0),1)&lt;=AC$36,AC$36&lt;INDEX($Z$17:$AA$23,MATCH($Z61,$O$17:$O$23,0),2)),1,0)</f>
        <v>0</v>
      </c>
      <c r="AD61" s="12">
        <f t="shared" ref="AD61:AF65" si="16">IF(AND(INDEX($Z$17:$AA$23,MATCH($Z61,$O$17:$O$23,0),1)&lt;=AD$36,AD$36&lt;INDEX($Z$17:$AA$23,MATCH($Z61,$O$17:$O$23,0),2)),1,0)</f>
        <v>0</v>
      </c>
      <c r="AE61" s="21">
        <f t="shared" si="16"/>
        <v>0</v>
      </c>
      <c r="AF61" s="22">
        <f t="shared" si="16"/>
        <v>0</v>
      </c>
      <c r="AG61" s="953">
        <f>Y15</f>
        <v>0</v>
      </c>
      <c r="AH61" s="45"/>
    </row>
    <row r="62" spans="2:34" ht="15" customHeight="1">
      <c r="Y62" s="50"/>
      <c r="Z62" s="971" t="s">
        <v>615</v>
      </c>
      <c r="AA62" s="972"/>
      <c r="AB62" s="973"/>
      <c r="AC62" s="24">
        <f t="shared" ref="AC62:AC65" si="17">IF(AND(INDEX($Z$17:$AA$23,MATCH($Z62,$O$17:$O$23,0),1)&lt;=AC$36,AC$36&lt;INDEX($Z$17:$AA$23,MATCH($Z62,$O$17:$O$23,0),2)),1,0)</f>
        <v>0</v>
      </c>
      <c r="AD62" s="14">
        <f t="shared" si="16"/>
        <v>0</v>
      </c>
      <c r="AE62" s="26">
        <f t="shared" si="16"/>
        <v>0</v>
      </c>
      <c r="AF62" s="25">
        <f t="shared" si="16"/>
        <v>0</v>
      </c>
      <c r="AG62" s="954"/>
      <c r="AH62" s="45"/>
    </row>
    <row r="63" spans="2:34" ht="15" customHeight="1">
      <c r="Y63" s="50"/>
      <c r="Z63" s="971" t="s">
        <v>617</v>
      </c>
      <c r="AA63" s="972"/>
      <c r="AB63" s="973"/>
      <c r="AC63" s="24">
        <f t="shared" si="17"/>
        <v>0</v>
      </c>
      <c r="AD63" s="14">
        <f t="shared" si="16"/>
        <v>0</v>
      </c>
      <c r="AE63" s="26">
        <f t="shared" si="16"/>
        <v>0</v>
      </c>
      <c r="AF63" s="25">
        <f t="shared" si="16"/>
        <v>0</v>
      </c>
      <c r="AG63" s="954"/>
      <c r="AH63" s="45"/>
    </row>
    <row r="64" spans="2:34" ht="15" customHeight="1">
      <c r="Y64" s="50"/>
      <c r="Z64" s="974" t="s">
        <v>619</v>
      </c>
      <c r="AA64" s="975"/>
      <c r="AB64" s="976"/>
      <c r="AC64" s="24">
        <f t="shared" si="17"/>
        <v>0</v>
      </c>
      <c r="AD64" s="14">
        <f t="shared" si="16"/>
        <v>0</v>
      </c>
      <c r="AE64" s="26">
        <f t="shared" si="16"/>
        <v>0</v>
      </c>
      <c r="AF64" s="25">
        <f t="shared" si="16"/>
        <v>0</v>
      </c>
      <c r="AG64" s="954"/>
      <c r="AH64" s="45"/>
    </row>
    <row r="65" spans="25:34" ht="15" customHeight="1">
      <c r="Y65" s="50"/>
      <c r="Z65" s="974" t="s">
        <v>621</v>
      </c>
      <c r="AA65" s="975"/>
      <c r="AB65" s="976"/>
      <c r="AC65" s="24">
        <f t="shared" si="17"/>
        <v>0</v>
      </c>
      <c r="AD65" s="14">
        <f t="shared" si="16"/>
        <v>0</v>
      </c>
      <c r="AE65" s="26">
        <f t="shared" si="16"/>
        <v>0</v>
      </c>
      <c r="AF65" s="25">
        <f t="shared" si="16"/>
        <v>0</v>
      </c>
      <c r="AG65" s="954"/>
      <c r="AH65" s="45"/>
    </row>
    <row r="66" spans="25:34" ht="15" customHeight="1" thickBot="1">
      <c r="Y66" s="50"/>
      <c r="Z66" s="978" t="s">
        <v>228</v>
      </c>
      <c r="AA66" s="979"/>
      <c r="AB66" s="980"/>
      <c r="AC66" s="91">
        <f>SUM(AC61:AF65)/20</f>
        <v>0</v>
      </c>
      <c r="AD66" s="89"/>
      <c r="AE66" s="89"/>
      <c r="AF66" s="90"/>
      <c r="AG66" s="955"/>
      <c r="AH66" s="45"/>
    </row>
    <row r="67" spans="25:34" ht="15" customHeight="1">
      <c r="Y67" s="50"/>
      <c r="Z67" s="968" t="s">
        <v>611</v>
      </c>
      <c r="AA67" s="969"/>
      <c r="AB67" s="970"/>
      <c r="AC67" s="21">
        <f t="shared" ref="AC67:AF71" si="18">IF(AND(INDEX($AB$17:$AC$23,MATCH($Z67,$O$17:$O$23,0),1)&lt;=AC$36,AC$36&lt;INDEX($AB$17:$AC$23,MATCH($Z67,$O$17:$O$23,0),2)),1,0)</f>
        <v>0</v>
      </c>
      <c r="AD67" s="12">
        <f t="shared" si="18"/>
        <v>0</v>
      </c>
      <c r="AE67" s="12">
        <f t="shared" si="18"/>
        <v>0</v>
      </c>
      <c r="AF67" s="13">
        <f t="shared" si="18"/>
        <v>0</v>
      </c>
      <c r="AG67" s="953">
        <f>AB15</f>
        <v>0</v>
      </c>
      <c r="AH67" s="45"/>
    </row>
    <row r="68" spans="25:34" ht="15" customHeight="1">
      <c r="Y68" s="50"/>
      <c r="Z68" s="971" t="s">
        <v>615</v>
      </c>
      <c r="AA68" s="972"/>
      <c r="AB68" s="973"/>
      <c r="AC68" s="26">
        <f t="shared" si="18"/>
        <v>0</v>
      </c>
      <c r="AD68" s="14">
        <f t="shared" si="18"/>
        <v>0</v>
      </c>
      <c r="AE68" s="14">
        <f t="shared" si="18"/>
        <v>0</v>
      </c>
      <c r="AF68" s="15">
        <f t="shared" si="18"/>
        <v>0</v>
      </c>
      <c r="AG68" s="954"/>
      <c r="AH68" s="45"/>
    </row>
    <row r="69" spans="25:34" ht="15" customHeight="1">
      <c r="Y69" s="50"/>
      <c r="Z69" s="971" t="s">
        <v>617</v>
      </c>
      <c r="AA69" s="972"/>
      <c r="AB69" s="973"/>
      <c r="AC69" s="26">
        <f t="shared" si="18"/>
        <v>0</v>
      </c>
      <c r="AD69" s="14">
        <f t="shared" si="18"/>
        <v>0</v>
      </c>
      <c r="AE69" s="14">
        <f t="shared" si="18"/>
        <v>0</v>
      </c>
      <c r="AF69" s="15">
        <f t="shared" si="18"/>
        <v>0</v>
      </c>
      <c r="AG69" s="954"/>
      <c r="AH69" s="45"/>
    </row>
    <row r="70" spans="25:34" ht="15" customHeight="1">
      <c r="Y70" s="50"/>
      <c r="Z70" s="974" t="s">
        <v>619</v>
      </c>
      <c r="AA70" s="975"/>
      <c r="AB70" s="976"/>
      <c r="AC70" s="26">
        <f t="shared" si="18"/>
        <v>0</v>
      </c>
      <c r="AD70" s="14">
        <f t="shared" si="18"/>
        <v>0</v>
      </c>
      <c r="AE70" s="14">
        <f t="shared" si="18"/>
        <v>0</v>
      </c>
      <c r="AF70" s="15">
        <f t="shared" si="18"/>
        <v>0</v>
      </c>
      <c r="AG70" s="954"/>
      <c r="AH70" s="45"/>
    </row>
    <row r="71" spans="25:34" ht="15" customHeight="1">
      <c r="Y71" s="50"/>
      <c r="Z71" s="974" t="s">
        <v>621</v>
      </c>
      <c r="AA71" s="975"/>
      <c r="AB71" s="976"/>
      <c r="AC71" s="26">
        <f t="shared" si="18"/>
        <v>0</v>
      </c>
      <c r="AD71" s="14">
        <f t="shared" si="18"/>
        <v>0</v>
      </c>
      <c r="AE71" s="14">
        <f t="shared" si="18"/>
        <v>0</v>
      </c>
      <c r="AF71" s="15">
        <f t="shared" si="18"/>
        <v>0</v>
      </c>
      <c r="AG71" s="954"/>
      <c r="AH71" s="45"/>
    </row>
    <row r="72" spans="25:34" ht="15" customHeight="1" thickBot="1">
      <c r="Y72" s="50"/>
      <c r="Z72" s="978" t="s">
        <v>228</v>
      </c>
      <c r="AA72" s="979"/>
      <c r="AB72" s="980"/>
      <c r="AC72" s="91">
        <f>SUM(AC67:AF71)/20</f>
        <v>0</v>
      </c>
      <c r="AD72" s="89"/>
      <c r="AE72" s="89"/>
      <c r="AF72" s="90"/>
      <c r="AG72" s="955"/>
      <c r="AH72" s="45"/>
    </row>
    <row r="73" spans="25:34" ht="15" customHeight="1">
      <c r="Y73" s="50"/>
      <c r="Z73" s="968" t="s">
        <v>611</v>
      </c>
      <c r="AA73" s="969"/>
      <c r="AB73" s="970"/>
      <c r="AC73" s="21">
        <f t="shared" ref="AC73:AF77" si="19">IF(AND(INDEX($AD$17:$AE$23,MATCH($Z73,$O$17:$O$23,0),1)&lt;=AC$36,AC$36&lt;INDEX($AD$17:$AE$23,MATCH($Z73,$O$17:$O$23,0),2)),1,0)</f>
        <v>0</v>
      </c>
      <c r="AD73" s="12">
        <f t="shared" si="19"/>
        <v>0</v>
      </c>
      <c r="AE73" s="12">
        <f t="shared" si="19"/>
        <v>0</v>
      </c>
      <c r="AF73" s="13">
        <f t="shared" si="19"/>
        <v>0</v>
      </c>
      <c r="AG73" s="953">
        <f>AD15</f>
        <v>0</v>
      </c>
      <c r="AH73" s="45"/>
    </row>
    <row r="74" spans="25:34" ht="15" customHeight="1">
      <c r="Y74" s="50"/>
      <c r="Z74" s="971" t="s">
        <v>615</v>
      </c>
      <c r="AA74" s="972"/>
      <c r="AB74" s="973"/>
      <c r="AC74" s="26">
        <f t="shared" si="19"/>
        <v>0</v>
      </c>
      <c r="AD74" s="14">
        <f t="shared" si="19"/>
        <v>0</v>
      </c>
      <c r="AE74" s="14">
        <f t="shared" si="19"/>
        <v>0</v>
      </c>
      <c r="AF74" s="15">
        <f t="shared" si="19"/>
        <v>0</v>
      </c>
      <c r="AG74" s="954"/>
      <c r="AH74" s="45"/>
    </row>
    <row r="75" spans="25:34" ht="15" customHeight="1">
      <c r="Y75" s="50"/>
      <c r="Z75" s="971" t="s">
        <v>617</v>
      </c>
      <c r="AA75" s="972"/>
      <c r="AB75" s="973"/>
      <c r="AC75" s="26">
        <f t="shared" si="19"/>
        <v>0</v>
      </c>
      <c r="AD75" s="14">
        <f t="shared" si="19"/>
        <v>0</v>
      </c>
      <c r="AE75" s="14">
        <f t="shared" si="19"/>
        <v>0</v>
      </c>
      <c r="AF75" s="15">
        <f t="shared" si="19"/>
        <v>0</v>
      </c>
      <c r="AG75" s="954"/>
      <c r="AH75" s="45"/>
    </row>
    <row r="76" spans="25:34" ht="15" customHeight="1">
      <c r="Y76" s="50"/>
      <c r="Z76" s="974" t="s">
        <v>619</v>
      </c>
      <c r="AA76" s="975"/>
      <c r="AB76" s="976"/>
      <c r="AC76" s="26">
        <f t="shared" si="19"/>
        <v>0</v>
      </c>
      <c r="AD76" s="14">
        <f t="shared" si="19"/>
        <v>0</v>
      </c>
      <c r="AE76" s="14">
        <f t="shared" si="19"/>
        <v>0</v>
      </c>
      <c r="AF76" s="15">
        <f t="shared" si="19"/>
        <v>0</v>
      </c>
      <c r="AG76" s="954"/>
      <c r="AH76" s="45"/>
    </row>
    <row r="77" spans="25:34" ht="15" customHeight="1">
      <c r="Y77" s="50"/>
      <c r="Z77" s="974" t="s">
        <v>621</v>
      </c>
      <c r="AA77" s="975"/>
      <c r="AB77" s="976"/>
      <c r="AC77" s="26">
        <f t="shared" si="19"/>
        <v>0</v>
      </c>
      <c r="AD77" s="14">
        <f t="shared" si="19"/>
        <v>0</v>
      </c>
      <c r="AE77" s="14">
        <f t="shared" si="19"/>
        <v>0</v>
      </c>
      <c r="AF77" s="15">
        <f t="shared" si="19"/>
        <v>0</v>
      </c>
      <c r="AG77" s="954"/>
      <c r="AH77" s="45"/>
    </row>
    <row r="78" spans="25:34" ht="15" customHeight="1" thickBot="1">
      <c r="Y78" s="50"/>
      <c r="Z78" s="978" t="s">
        <v>228</v>
      </c>
      <c r="AA78" s="979"/>
      <c r="AB78" s="980"/>
      <c r="AC78" s="91">
        <f>SUM(AC73:AF77)/20</f>
        <v>0</v>
      </c>
      <c r="AD78" s="89"/>
      <c r="AE78" s="89"/>
      <c r="AF78" s="90"/>
      <c r="AG78" s="955"/>
      <c r="AH78" s="45"/>
    </row>
    <row r="79" spans="25:34" ht="15" customHeight="1" thickBot="1">
      <c r="Y79" s="382"/>
      <c r="Z79" s="387"/>
      <c r="AA79" s="387"/>
      <c r="AB79" s="387"/>
      <c r="AC79" s="387"/>
      <c r="AD79" s="387"/>
      <c r="AE79" s="387"/>
      <c r="AF79" s="387"/>
      <c r="AG79" s="387"/>
      <c r="AH79" s="388"/>
    </row>
    <row r="80" spans="25:3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mergeCells count="303">
    <mergeCell ref="AJ19:AK19"/>
    <mergeCell ref="AJ20:AK20"/>
    <mergeCell ref="AJ21:AK21"/>
    <mergeCell ref="AJ22:AK22"/>
    <mergeCell ref="AJ23:AK23"/>
    <mergeCell ref="AL17:AM17"/>
    <mergeCell ref="AL18:AM18"/>
    <mergeCell ref="AL19:AM19"/>
    <mergeCell ref="AL20:AM20"/>
    <mergeCell ref="AL21:AM21"/>
    <mergeCell ref="AL22:AM22"/>
    <mergeCell ref="AL23:AM23"/>
    <mergeCell ref="AT23:AU23"/>
    <mergeCell ref="AV23:AW23"/>
    <mergeCell ref="AN19:AO19"/>
    <mergeCell ref="AN20:AO20"/>
    <mergeCell ref="AN21:AO21"/>
    <mergeCell ref="AN22:AO22"/>
    <mergeCell ref="AN23:AO23"/>
    <mergeCell ref="AR17:AS17"/>
    <mergeCell ref="AT17:AU17"/>
    <mergeCell ref="AV17:AW17"/>
    <mergeCell ref="AR23:AS23"/>
    <mergeCell ref="AR22:AS22"/>
    <mergeCell ref="AT22:AU22"/>
    <mergeCell ref="AR19:AS19"/>
    <mergeCell ref="AT19:AU19"/>
    <mergeCell ref="AV19:AW19"/>
    <mergeCell ref="AR20:AS20"/>
    <mergeCell ref="AT20:AU20"/>
    <mergeCell ref="AV20:AW20"/>
    <mergeCell ref="AR21:AS21"/>
    <mergeCell ref="AT21:AU21"/>
    <mergeCell ref="AV21:AW21"/>
    <mergeCell ref="AV22:AW22"/>
    <mergeCell ref="AJ16:AK16"/>
    <mergeCell ref="AL16:AM16"/>
    <mergeCell ref="AN16:AO16"/>
    <mergeCell ref="AR16:AS16"/>
    <mergeCell ref="AT16:AU16"/>
    <mergeCell ref="AV16:AW16"/>
    <mergeCell ref="AJ17:AK17"/>
    <mergeCell ref="AJ18:AK18"/>
    <mergeCell ref="AN17:AO17"/>
    <mergeCell ref="AN18:AO18"/>
    <mergeCell ref="AR18:AS18"/>
    <mergeCell ref="AT18:AU18"/>
    <mergeCell ref="AV18:AW18"/>
    <mergeCell ref="D48:I48"/>
    <mergeCell ref="J48:M48"/>
    <mergeCell ref="O48:P48"/>
    <mergeCell ref="Q48:S48"/>
    <mergeCell ref="T48:V48"/>
    <mergeCell ref="Q49:S49"/>
    <mergeCell ref="D40:I40"/>
    <mergeCell ref="V27:X27"/>
    <mergeCell ref="Q45:S45"/>
    <mergeCell ref="T45:V45"/>
    <mergeCell ref="D44:I44"/>
    <mergeCell ref="O37:Q37"/>
    <mergeCell ref="Q46:S46"/>
    <mergeCell ref="J44:M44"/>
    <mergeCell ref="D45:I45"/>
    <mergeCell ref="J45:M45"/>
    <mergeCell ref="D46:I46"/>
    <mergeCell ref="J46:M46"/>
    <mergeCell ref="D47:I47"/>
    <mergeCell ref="J47:M47"/>
    <mergeCell ref="O39:P39"/>
    <mergeCell ref="Q47:S47"/>
    <mergeCell ref="Q39:S39"/>
    <mergeCell ref="Q40:S40"/>
    <mergeCell ref="O45:P45"/>
    <mergeCell ref="O46:P46"/>
    <mergeCell ref="C34:V35"/>
    <mergeCell ref="B31:W32"/>
    <mergeCell ref="T28:U28"/>
    <mergeCell ref="V28:X28"/>
    <mergeCell ref="I27:J27"/>
    <mergeCell ref="I28:J28"/>
    <mergeCell ref="I29:J29"/>
    <mergeCell ref="Q41:S41"/>
    <mergeCell ref="O42:P42"/>
    <mergeCell ref="T38:V39"/>
    <mergeCell ref="T42:V42"/>
    <mergeCell ref="T43:V43"/>
    <mergeCell ref="Q42:S42"/>
    <mergeCell ref="Q43:S43"/>
    <mergeCell ref="Q44:S44"/>
    <mergeCell ref="T40:V40"/>
    <mergeCell ref="T41:V41"/>
    <mergeCell ref="T44:V44"/>
    <mergeCell ref="J42:M42"/>
    <mergeCell ref="J39:M39"/>
    <mergeCell ref="J40:M40"/>
    <mergeCell ref="J41:M41"/>
    <mergeCell ref="O40:P40"/>
    <mergeCell ref="O41:P41"/>
    <mergeCell ref="D37:G37"/>
    <mergeCell ref="O43:P43"/>
    <mergeCell ref="O44:P44"/>
    <mergeCell ref="C5:C6"/>
    <mergeCell ref="D5:F5"/>
    <mergeCell ref="H5:J5"/>
    <mergeCell ref="M5:O6"/>
    <mergeCell ref="D6:F6"/>
    <mergeCell ref="H6:J6"/>
    <mergeCell ref="D16:J16"/>
    <mergeCell ref="D17:F17"/>
    <mergeCell ref="B8:K9"/>
    <mergeCell ref="C11:J11"/>
    <mergeCell ref="D13:J13"/>
    <mergeCell ref="D14:J14"/>
    <mergeCell ref="M8:AH9"/>
    <mergeCell ref="AB15:AC15"/>
    <mergeCell ref="AD15:AE15"/>
    <mergeCell ref="AF15:AG15"/>
    <mergeCell ref="T15:U15"/>
    <mergeCell ref="V15:X15"/>
    <mergeCell ref="Y15:AA15"/>
    <mergeCell ref="N11:AG13"/>
    <mergeCell ref="P15:Q15"/>
    <mergeCell ref="R15:S15"/>
    <mergeCell ref="Y16:Z16"/>
    <mergeCell ref="Y17:Z17"/>
    <mergeCell ref="D59:I59"/>
    <mergeCell ref="J56:M56"/>
    <mergeCell ref="J57:M57"/>
    <mergeCell ref="J58:M58"/>
    <mergeCell ref="J59:M59"/>
    <mergeCell ref="D53:I53"/>
    <mergeCell ref="D54:I54"/>
    <mergeCell ref="J55:M55"/>
    <mergeCell ref="D49:I49"/>
    <mergeCell ref="J49:M49"/>
    <mergeCell ref="D50:I50"/>
    <mergeCell ref="J50:M50"/>
    <mergeCell ref="D51:I51"/>
    <mergeCell ref="J53:M53"/>
    <mergeCell ref="J54:M54"/>
    <mergeCell ref="P25:Q25"/>
    <mergeCell ref="P26:Q26"/>
    <mergeCell ref="T24:U24"/>
    <mergeCell ref="R27:S27"/>
    <mergeCell ref="R28:S28"/>
    <mergeCell ref="D25:E25"/>
    <mergeCell ref="I25:J25"/>
    <mergeCell ref="V25:X25"/>
    <mergeCell ref="Y25:AA25"/>
    <mergeCell ref="R26:S26"/>
    <mergeCell ref="V26:X26"/>
    <mergeCell ref="Y26:AA26"/>
    <mergeCell ref="P28:Q28"/>
    <mergeCell ref="P27:Q27"/>
    <mergeCell ref="D26:E26"/>
    <mergeCell ref="I26:J26"/>
    <mergeCell ref="T25:U25"/>
    <mergeCell ref="T26:U26"/>
    <mergeCell ref="R25:S25"/>
    <mergeCell ref="D18:E18"/>
    <mergeCell ref="F18:G18"/>
    <mergeCell ref="H18:J18"/>
    <mergeCell ref="D19:J19"/>
    <mergeCell ref="D20:J20"/>
    <mergeCell ref="D23:G23"/>
    <mergeCell ref="D24:G24"/>
    <mergeCell ref="D21:J21"/>
    <mergeCell ref="P24:Q24"/>
    <mergeCell ref="R24:S24"/>
    <mergeCell ref="T27:U27"/>
    <mergeCell ref="Y18:Z18"/>
    <mergeCell ref="Y19:Z19"/>
    <mergeCell ref="Y20:Z20"/>
    <mergeCell ref="Y21:Z21"/>
    <mergeCell ref="Y22:Z22"/>
    <mergeCell ref="Y23:Z23"/>
    <mergeCell ref="V24:X24"/>
    <mergeCell ref="Y24:AA24"/>
    <mergeCell ref="Y31:AH32"/>
    <mergeCell ref="AB27:AC27"/>
    <mergeCell ref="AD27:AE27"/>
    <mergeCell ref="W16:X16"/>
    <mergeCell ref="W17:X17"/>
    <mergeCell ref="W18:X18"/>
    <mergeCell ref="W19:X19"/>
    <mergeCell ref="W20:X20"/>
    <mergeCell ref="W21:X21"/>
    <mergeCell ref="W22:X22"/>
    <mergeCell ref="W23:X23"/>
    <mergeCell ref="AD28:AE28"/>
    <mergeCell ref="AB24:AC24"/>
    <mergeCell ref="AD24:AE24"/>
    <mergeCell ref="AB25:AC25"/>
    <mergeCell ref="AD25:AE25"/>
    <mergeCell ref="AB26:AC26"/>
    <mergeCell ref="AD26:AE26"/>
    <mergeCell ref="AF26:AG26"/>
    <mergeCell ref="AB28:AC28"/>
    <mergeCell ref="Y27:AA27"/>
    <mergeCell ref="Y28:AA28"/>
    <mergeCell ref="AG61:AG66"/>
    <mergeCell ref="AG67:AG72"/>
    <mergeCell ref="Z58:AB58"/>
    <mergeCell ref="Z59:AB59"/>
    <mergeCell ref="Z61:AB61"/>
    <mergeCell ref="Z62:AB62"/>
    <mergeCell ref="Z63:AB63"/>
    <mergeCell ref="Z64:AB64"/>
    <mergeCell ref="Z65:AB65"/>
    <mergeCell ref="Z66:AB66"/>
    <mergeCell ref="Z67:AB67"/>
    <mergeCell ref="Z68:AB68"/>
    <mergeCell ref="Z70:AB70"/>
    <mergeCell ref="Z71:AB71"/>
    <mergeCell ref="Z72:AB72"/>
    <mergeCell ref="AG73:AG78"/>
    <mergeCell ref="Z34:AG34"/>
    <mergeCell ref="Z37:AB37"/>
    <mergeCell ref="Z38:AB38"/>
    <mergeCell ref="Z39:AB39"/>
    <mergeCell ref="Z40:AB40"/>
    <mergeCell ref="Z41:AB41"/>
    <mergeCell ref="Z42:AB42"/>
    <mergeCell ref="Z35:AB36"/>
    <mergeCell ref="Z43:AB43"/>
    <mergeCell ref="Z44:AB44"/>
    <mergeCell ref="Z45:AB45"/>
    <mergeCell ref="Z46:AB46"/>
    <mergeCell ref="Z47:AB47"/>
    <mergeCell ref="Z48:AB48"/>
    <mergeCell ref="Z49:AB49"/>
    <mergeCell ref="Z50:AB50"/>
    <mergeCell ref="Z78:AB78"/>
    <mergeCell ref="Z52:AB52"/>
    <mergeCell ref="Z53:AB53"/>
    <mergeCell ref="Z54:AB54"/>
    <mergeCell ref="Z55:AB55"/>
    <mergeCell ref="Z56:AB56"/>
    <mergeCell ref="Z57:AB57"/>
    <mergeCell ref="Z73:AB73"/>
    <mergeCell ref="Z74:AB74"/>
    <mergeCell ref="Z75:AB75"/>
    <mergeCell ref="Z76:AB76"/>
    <mergeCell ref="Z77:AB77"/>
    <mergeCell ref="O47:P47"/>
    <mergeCell ref="Z69:AB69"/>
    <mergeCell ref="Z60:AB60"/>
    <mergeCell ref="Z51:AB51"/>
    <mergeCell ref="O55:P55"/>
    <mergeCell ref="O56:P56"/>
    <mergeCell ref="O57:P57"/>
    <mergeCell ref="O58:P58"/>
    <mergeCell ref="O59:P59"/>
    <mergeCell ref="T49:V49"/>
    <mergeCell ref="Q50:S50"/>
    <mergeCell ref="T50:V50"/>
    <mergeCell ref="Q51:S51"/>
    <mergeCell ref="T51:V51"/>
    <mergeCell ref="Q52:S52"/>
    <mergeCell ref="O53:P53"/>
    <mergeCell ref="O54:P54"/>
    <mergeCell ref="O60:P60"/>
    <mergeCell ref="Q59:S59"/>
    <mergeCell ref="T59:V59"/>
    <mergeCell ref="Q60:S60"/>
    <mergeCell ref="T60:V60"/>
    <mergeCell ref="Q54:S54"/>
    <mergeCell ref="T54:V54"/>
    <mergeCell ref="Q55:S55"/>
    <mergeCell ref="T52:V52"/>
    <mergeCell ref="Q53:S53"/>
    <mergeCell ref="T53:V53"/>
    <mergeCell ref="T55:V55"/>
    <mergeCell ref="Q56:S56"/>
    <mergeCell ref="T56:V56"/>
    <mergeCell ref="Q57:S57"/>
    <mergeCell ref="T57:V57"/>
    <mergeCell ref="Q58:S58"/>
    <mergeCell ref="T58:V58"/>
    <mergeCell ref="AG37:AG42"/>
    <mergeCell ref="AG43:AG48"/>
    <mergeCell ref="AG49:AG54"/>
    <mergeCell ref="T46:V46"/>
    <mergeCell ref="T47:V47"/>
    <mergeCell ref="J51:M51"/>
    <mergeCell ref="D52:I52"/>
    <mergeCell ref="D55:I55"/>
    <mergeCell ref="O49:P49"/>
    <mergeCell ref="O50:P50"/>
    <mergeCell ref="O51:P51"/>
    <mergeCell ref="O52:P52"/>
    <mergeCell ref="AG55:AG60"/>
    <mergeCell ref="D60:I60"/>
    <mergeCell ref="J52:M52"/>
    <mergeCell ref="J60:M60"/>
    <mergeCell ref="D39:I39"/>
    <mergeCell ref="D56:I56"/>
    <mergeCell ref="D57:I57"/>
    <mergeCell ref="D43:I43"/>
    <mergeCell ref="J43:M43"/>
    <mergeCell ref="D41:I41"/>
    <mergeCell ref="D42:I42"/>
    <mergeCell ref="D58:I58"/>
  </mergeCells>
  <conditionalFormatting sqref="H26">
    <cfRule type="expression" dxfId="61" priority="69">
      <formula>$I$26=""</formula>
    </cfRule>
  </conditionalFormatting>
  <conditionalFormatting sqref="C18">
    <cfRule type="expression" dxfId="60" priority="66">
      <formula>$D$18=""</formula>
    </cfRule>
  </conditionalFormatting>
  <conditionalFormatting sqref="C23">
    <cfRule type="expression" dxfId="59" priority="186">
      <formula>$D$23=""</formula>
    </cfRule>
    <cfRule type="expression" dxfId="58" priority="187">
      <formula>AND($I$26="Deemed",$D$23="")</formula>
    </cfRule>
    <cfRule type="expression" dxfId="57" priority="188">
      <formula>AND($D$37="Building Area Method",$D$23="")</formula>
    </cfRule>
  </conditionalFormatting>
  <conditionalFormatting sqref="C25">
    <cfRule type="expression" dxfId="56" priority="189">
      <formula>AND($D$37="Building Area Method",$D$25="")</formula>
    </cfRule>
  </conditionalFormatting>
  <conditionalFormatting sqref="H28">
    <cfRule type="expression" dxfId="55" priority="6">
      <formula>$D$23=""</formula>
    </cfRule>
    <cfRule type="expression" dxfId="54" priority="7">
      <formula>AND($I$26="Deemed",$D$23="")</formula>
    </cfRule>
    <cfRule type="expression" dxfId="53" priority="8">
      <formula>AND($D$38="Building Area Method",$D$23="")</formula>
    </cfRule>
  </conditionalFormatting>
  <conditionalFormatting sqref="I28:J28">
    <cfRule type="expression" dxfId="52" priority="5">
      <formula>$D$24&lt;&gt;"New Construction"</formula>
    </cfRule>
    <cfRule type="containsBlanks" dxfId="51" priority="9">
      <formula>LEN(TRIM(I28))=0</formula>
    </cfRule>
  </conditionalFormatting>
  <conditionalFormatting sqref="H29">
    <cfRule type="expression" dxfId="50" priority="2">
      <formula>$D$23=""</formula>
    </cfRule>
    <cfRule type="expression" dxfId="49" priority="3">
      <formula>AND($I$26="Deemed",$D$23="")</formula>
    </cfRule>
    <cfRule type="expression" dxfId="48" priority="4">
      <formula>AND($D$38="Building Area Method",$D$23="")</formula>
    </cfRule>
  </conditionalFormatting>
  <conditionalFormatting sqref="I29:J29">
    <cfRule type="expression" dxfId="47" priority="1">
      <formula>$D$24&lt;&gt;"New Construction"</formula>
    </cfRule>
    <cfRule type="containsBlanks" dxfId="46" priority="10">
      <formula>LEN(TRIM(I29))=0</formula>
    </cfRule>
  </conditionalFormatting>
  <dataValidations xWindow="464" yWindow="511" count="11">
    <dataValidation type="list" allowBlank="1" showInputMessage="1" showErrorMessage="1" sqref="I26:J26" xr:uid="{00000000-0002-0000-0C00-000000000000}">
      <formula1>"Custom,Deemed"</formula1>
    </dataValidation>
    <dataValidation type="list" allowBlank="1" showInputMessage="1" showErrorMessage="1" sqref="D37" xr:uid="{00000000-0002-0000-0C00-000001000000}">
      <formula1>"Space by Space Method, Building Area Method"</formula1>
    </dataValidation>
    <dataValidation type="decimal" allowBlank="1" showInputMessage="1" showErrorMessage="1" prompt="Input time in 24-hr format" sqref="V17:V23 S22:S23 R17:R23 T17:T23 U22:U23 W22:W23 AB17:AB23 AC22:AC23 AE22:AE23 AD17:AD23 Y17:Y23 AA22:AA23" xr:uid="{00000000-0002-0000-0C00-000002000000}">
      <formula1>0</formula1>
      <formula2>24</formula2>
    </dataValidation>
    <dataValidation type="list" allowBlank="1" showInputMessage="1" showErrorMessage="1" sqref="J48:J60" xr:uid="{00000000-0002-0000-0C00-000003000000}">
      <formula1>ySchedules</formula1>
    </dataValidation>
    <dataValidation type="whole" allowBlank="1" showInputMessage="1" showErrorMessage="1" prompt="Input number of holidays this schedule observes annually." sqref="R24 T24 AD24 V24 Y24 AB24" xr:uid="{00000000-0002-0000-0C00-000004000000}">
      <formula1>0</formula1>
      <formula2>365</formula2>
    </dataValidation>
    <dataValidation type="whole" allowBlank="1" showInputMessage="1" showErrorMessage="1" prompt="Input number of weeks this schedule is operational." sqref="AB25:AE25 Y25 R25 T25:V25" xr:uid="{00000000-0002-0000-0C00-000005000000}">
      <formula1>0</formula1>
      <formula2>52</formula2>
    </dataValidation>
    <dataValidation allowBlank="1" showInputMessage="1" showErrorMessage="1" prompt="Input the number of unoccupied weeks that occur within the months of June, July, and August." sqref="AB26:AE26 R26:V26 Y26" xr:uid="{00000000-0002-0000-0C00-000006000000}"/>
    <dataValidation allowBlank="1" showInputMessage="1" showErrorMessage="1" prompt="Provide a name for your custom schedule." sqref="R15:V15 Y15 AB15:AE15" xr:uid="{00000000-0002-0000-0C00-000007000000}"/>
    <dataValidation allowBlank="1" showInputMessage="1" showErrorMessage="1" prompt="Input time in 24-hr format" sqref="S17:S21 U17:U21 W17:W21 AA17:AA21 AC17:AC21 AE17:AE21" xr:uid="{00000000-0002-0000-0C00-000008000000}"/>
    <dataValidation type="list" allowBlank="1" showInputMessage="1" showErrorMessage="1" prompt="Zone 1: Developed areas of national parks and rural areas_x000a_Zone 2: Areas predominantly consisting of residential zoning_x000a_Zone 3: All areas not classified as zones 1, 2, or 4_x000a_Zone 4: High-activity commercial districs in major metropolitan areas" sqref="I29" xr:uid="{855086E1-EB49-4649-A954-9ED8E30DEC8E}">
      <formula1>"Zone 1,Zone 2,Zone 3,Zone 4"</formula1>
    </dataValidation>
    <dataValidation type="list" allowBlank="1" showInputMessage="1" showErrorMessage="1" sqref="I27:J28" xr:uid="{7AE30DF9-0C59-4F81-9452-362CAE573031}">
      <formula1>"Yes,No"</formula1>
    </dataValidation>
  </dataValidations>
  <pageMargins left="0.7" right="0.7" top="0.75" bottom="0.75" header="0.3" footer="0.3"/>
  <pageSetup scale="25" fitToHeight="0" orientation="landscape" r:id="rId1"/>
  <ignoredErrors>
    <ignoredError sqref="I25 R25:S25 S26 R24:S24 U24 U25 AC24 AC25 AE24 AE25 AC26 AE26 K47:M47 K42:M42 K43:M43 K44:M44 K45:M45 K46:M46 U26" unlockedFormula="1"/>
  </ignoredErrors>
  <legacyDrawing r:id="rId2"/>
  <extLst>
    <ext xmlns:x14="http://schemas.microsoft.com/office/spreadsheetml/2009/9/main" uri="{CCE6A557-97BC-4b89-ADB6-D9C93CAAB3DF}">
      <x14:dataValidations xmlns:xm="http://schemas.microsoft.com/office/excel/2006/main" xWindow="464" yWindow="511" count="4">
        <x14:dataValidation type="list" allowBlank="1" showInputMessage="1" showErrorMessage="1" xr:uid="{00000000-0002-0000-0C00-000009000000}">
          <x14:formula1>
            <xm:f>'C:\Users\vdecicco\Desktop\[2016 App C_E.xlsm]Lookups'!#REF!</xm:f>
          </x14:formula1>
          <xm:sqref>N40</xm:sqref>
        </x14:dataValidation>
        <x14:dataValidation type="list" allowBlank="1" showInputMessage="1" showErrorMessage="1" xr:uid="{00000000-0002-0000-0C00-00000C000000}">
          <x14:formula1>
            <xm:f>Lookups!$L$8:$L$12</xm:f>
          </x14:formula1>
          <xm:sqref>N48:N60</xm:sqref>
        </x14:dataValidation>
        <x14:dataValidation type="list" allowBlank="1" showInputMessage="1" showErrorMessage="1" xr:uid="{00000000-0002-0000-0C00-00000A000000}">
          <x14:formula1>
            <xm:f>Lookups!$B$37:$B$149</xm:f>
          </x14:formula1>
          <xm:sqref>D40:I40 D48:I60</xm:sqref>
        </x14:dataValidation>
        <x14:dataValidation type="list" allowBlank="1" showInputMessage="1" showErrorMessage="1" xr:uid="{00000000-0002-0000-0C00-00000B000000}">
          <x14:formula1>
            <xm:f>Lookups!$F$37:$F$73</xm:f>
          </x14:formula1>
          <xm:sqref>D23:G23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9"/>
  </sheetPr>
  <dimension ref="A1:BI2003"/>
  <sheetViews>
    <sheetView topLeftCell="A29" zoomScale="70" zoomScaleNormal="70" workbookViewId="0">
      <selection activeCell="F37" sqref="F37:F75"/>
    </sheetView>
  </sheetViews>
  <sheetFormatPr defaultColWidth="9" defaultRowHeight="14.25"/>
  <cols>
    <col min="1" max="1" width="3.625" customWidth="1"/>
    <col min="2" max="2" width="54.5" style="84" customWidth="1"/>
    <col min="3" max="6" width="9.625" style="84" customWidth="1"/>
    <col min="7" max="10" width="9.625" customWidth="1"/>
    <col min="11" max="11" width="3.625" customWidth="1"/>
    <col min="12" max="12" width="20.625" customWidth="1"/>
    <col min="13" max="14" width="7.625" customWidth="1"/>
    <col min="15" max="15" width="3.625" style="32" customWidth="1"/>
    <col min="16" max="16" width="55.625" style="32" customWidth="1"/>
    <col min="17" max="17" width="12.625" customWidth="1"/>
    <col min="18" max="18" width="7.625" style="32" customWidth="1"/>
    <col min="19" max="19" width="3.625" customWidth="1"/>
    <col min="20" max="20" width="9" customWidth="1"/>
    <col min="21" max="21" width="3.625" customWidth="1"/>
    <col min="22" max="22" width="55.625" customWidth="1"/>
    <col min="58" max="58" width="24.375" style="32" customWidth="1"/>
    <col min="59" max="59" width="20.625" style="32" bestFit="1" customWidth="1"/>
    <col min="60" max="60" width="29.125" customWidth="1"/>
  </cols>
  <sheetData>
    <row r="1" spans="1:61" ht="15" customHeight="1">
      <c r="B1" s="1134"/>
      <c r="C1" s="1134"/>
      <c r="D1" s="1134"/>
      <c r="E1" s="1134"/>
      <c r="F1" s="1134"/>
      <c r="G1" s="1134"/>
      <c r="H1" s="1134"/>
      <c r="I1" s="1134"/>
      <c r="J1" s="1134"/>
      <c r="K1" s="1134"/>
      <c r="L1" s="1134"/>
      <c r="M1" s="1134"/>
      <c r="R1"/>
    </row>
    <row r="2" spans="1:61" s="7" customFormat="1" ht="23.25" customHeight="1">
      <c r="B2" s="2" t="str">
        <f>Manual!B2</f>
        <v>2021 TRM Appendix C: Lighting Audit &amp; Design Tool for Commercial and Industrial Projects</v>
      </c>
      <c r="C2" s="8"/>
      <c r="D2" s="8"/>
      <c r="E2" s="8"/>
      <c r="F2" s="8"/>
      <c r="G2" s="8"/>
      <c r="H2" s="8"/>
      <c r="I2" s="8"/>
      <c r="J2" s="8"/>
      <c r="K2" s="8"/>
      <c r="L2" s="8"/>
      <c r="M2" s="8"/>
      <c r="O2" s="342"/>
      <c r="P2" s="342"/>
    </row>
    <row r="3" spans="1:61" s="86" customFormat="1" ht="17.25" customHeight="1">
      <c r="A3" s="4"/>
      <c r="B3" s="6" t="s">
        <v>649</v>
      </c>
      <c r="C3" s="5"/>
      <c r="D3" s="5"/>
      <c r="E3" s="5"/>
      <c r="F3" s="5"/>
      <c r="G3" s="5"/>
      <c r="H3" s="5"/>
      <c r="I3" s="5"/>
      <c r="J3" s="5"/>
      <c r="K3" s="5"/>
      <c r="L3" s="5"/>
      <c r="M3" s="5"/>
      <c r="N3" s="5"/>
      <c r="O3" s="5"/>
      <c r="P3" s="5"/>
      <c r="Q3" s="5"/>
      <c r="R3" s="5"/>
      <c r="S3" s="5"/>
      <c r="T3" s="5"/>
      <c r="U3" s="5"/>
      <c r="V3" s="5"/>
      <c r="W3" s="5"/>
      <c r="X3" s="5"/>
      <c r="Y3" s="5"/>
      <c r="Z3" s="4"/>
      <c r="AA3" s="4"/>
      <c r="BF3" s="86" t="s">
        <v>650</v>
      </c>
      <c r="BG3" s="86" t="s">
        <v>651</v>
      </c>
    </row>
    <row r="4" spans="1:61" ht="9.75" customHeight="1" thickBot="1">
      <c r="B4" s="75"/>
      <c r="C4" s="75"/>
      <c r="D4" s="75"/>
      <c r="E4" s="75"/>
      <c r="F4" s="75"/>
      <c r="G4" s="75"/>
      <c r="H4" s="75"/>
      <c r="I4" s="75"/>
      <c r="J4" s="75"/>
      <c r="K4" s="75"/>
      <c r="L4" s="75"/>
      <c r="M4" s="75"/>
      <c r="R4"/>
      <c r="BF4" s="32">
        <v>1</v>
      </c>
      <c r="BG4" s="32" t="s">
        <v>267</v>
      </c>
    </row>
    <row r="5" spans="1:61" ht="15" customHeight="1">
      <c r="B5" s="1137" t="s">
        <v>652</v>
      </c>
      <c r="C5" s="1139" t="s">
        <v>653</v>
      </c>
      <c r="D5" s="1140"/>
      <c r="E5" s="1139" t="s">
        <v>654</v>
      </c>
      <c r="F5" s="1140"/>
      <c r="G5" s="1139" t="s">
        <v>655</v>
      </c>
      <c r="H5" s="1140"/>
      <c r="I5" s="1139" t="s">
        <v>656</v>
      </c>
      <c r="J5" s="1140"/>
      <c r="K5" s="75"/>
      <c r="L5" s="1094" t="s">
        <v>657</v>
      </c>
      <c r="M5" s="1095"/>
      <c r="N5" s="1096"/>
      <c r="P5" s="1094" t="s">
        <v>658</v>
      </c>
      <c r="Q5" s="1095"/>
      <c r="R5" s="1096"/>
      <c r="T5" s="1135" t="s">
        <v>659</v>
      </c>
      <c r="V5" s="1094" t="s">
        <v>660</v>
      </c>
      <c r="W5" s="1095"/>
      <c r="X5" s="1096"/>
      <c r="AC5" s="1094" t="s">
        <v>661</v>
      </c>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6"/>
      <c r="BF5" s="298">
        <v>2</v>
      </c>
      <c r="BG5" s="32" t="s">
        <v>662</v>
      </c>
      <c r="BH5" s="572" t="s">
        <v>515</v>
      </c>
      <c r="BI5" t="str">
        <f>IF(COUNTIF(Inventory!K10, "*"&amp;"LED"&amp;"*"),Lookups!BH13,Lookups!BH16)</f>
        <v>T5 Linear Fluorescent</v>
      </c>
    </row>
    <row r="6" spans="1:61" ht="15" customHeight="1" thickBot="1">
      <c r="B6" s="1138"/>
      <c r="C6" s="1141"/>
      <c r="D6" s="1142"/>
      <c r="E6" s="1141"/>
      <c r="F6" s="1142"/>
      <c r="G6" s="1141"/>
      <c r="H6" s="1142"/>
      <c r="I6" s="1141"/>
      <c r="J6" s="1142"/>
      <c r="L6" s="1097"/>
      <c r="M6" s="1098"/>
      <c r="N6" s="1099"/>
      <c r="O6"/>
      <c r="P6" s="1097"/>
      <c r="Q6" s="1098"/>
      <c r="R6" s="1099"/>
      <c r="T6" s="1136"/>
      <c r="V6" s="1097"/>
      <c r="W6" s="1098"/>
      <c r="X6" s="1099"/>
      <c r="AC6" s="1097"/>
      <c r="AD6" s="1098"/>
      <c r="AE6" s="1098"/>
      <c r="AF6" s="1098"/>
      <c r="AG6" s="1098"/>
      <c r="AH6" s="1098"/>
      <c r="AI6" s="1098"/>
      <c r="AJ6" s="1098"/>
      <c r="AK6" s="1098"/>
      <c r="AL6" s="1098"/>
      <c r="AM6" s="1098"/>
      <c r="AN6" s="1098"/>
      <c r="AO6" s="1098"/>
      <c r="AP6" s="1098"/>
      <c r="AQ6" s="1098"/>
      <c r="AR6" s="1098"/>
      <c r="AS6" s="1098"/>
      <c r="AT6" s="1098"/>
      <c r="AU6" s="1098"/>
      <c r="AV6" s="1098"/>
      <c r="AW6" s="1098"/>
      <c r="AX6" s="1098"/>
      <c r="AY6" s="1098"/>
      <c r="AZ6" s="1098"/>
      <c r="BA6" s="1098"/>
      <c r="BB6" s="1098"/>
      <c r="BC6" s="1098"/>
      <c r="BD6" s="1128"/>
      <c r="BF6" s="298">
        <v>3</v>
      </c>
      <c r="BG6" s="32" t="s">
        <v>663</v>
      </c>
      <c r="BH6" s="572" t="s">
        <v>521</v>
      </c>
    </row>
    <row r="7" spans="1:61" ht="18.75">
      <c r="B7" s="573" t="s">
        <v>664</v>
      </c>
      <c r="C7" s="574" t="s">
        <v>504</v>
      </c>
      <c r="D7" s="575" t="s">
        <v>228</v>
      </c>
      <c r="E7" s="576" t="s">
        <v>504</v>
      </c>
      <c r="F7" s="577" t="s">
        <v>228</v>
      </c>
      <c r="G7" s="574" t="s">
        <v>665</v>
      </c>
      <c r="H7" s="575" t="s">
        <v>666</v>
      </c>
      <c r="I7" s="576" t="s">
        <v>665</v>
      </c>
      <c r="J7" s="575" t="s">
        <v>666</v>
      </c>
      <c r="L7" s="87" t="s">
        <v>664</v>
      </c>
      <c r="M7" s="578" t="s">
        <v>665</v>
      </c>
      <c r="N7" s="579" t="s">
        <v>666</v>
      </c>
      <c r="O7"/>
      <c r="P7" s="87" t="s">
        <v>318</v>
      </c>
      <c r="Q7" s="578" t="s">
        <v>225</v>
      </c>
      <c r="R7" s="579" t="s">
        <v>667</v>
      </c>
      <c r="T7" s="580" t="str">
        <f>IF(OR('General Information'!$I$26="Deemed",'General Information'!$I$26="Mixed"),"TRM Interior",IF('General Information'!$S$15="&lt;Input Name&gt;","",'General Information'!$S$15))</f>
        <v>TRM Interior</v>
      </c>
      <c r="V7" s="87" t="s">
        <v>668</v>
      </c>
      <c r="W7" s="578" t="s">
        <v>669</v>
      </c>
      <c r="X7" s="581" t="s">
        <v>225</v>
      </c>
      <c r="AC7" s="1129" t="s">
        <v>643</v>
      </c>
      <c r="AD7" s="1131" t="s">
        <v>670</v>
      </c>
      <c r="AE7" s="1116" t="s">
        <v>671</v>
      </c>
      <c r="AF7" s="1116" t="s">
        <v>175</v>
      </c>
      <c r="AG7" s="1116" t="s">
        <v>178</v>
      </c>
      <c r="AH7" s="1116" t="s">
        <v>180</v>
      </c>
      <c r="AI7" s="1116" t="s">
        <v>181</v>
      </c>
      <c r="AJ7" s="1116" t="s">
        <v>188</v>
      </c>
      <c r="AK7" s="1116" t="s">
        <v>189</v>
      </c>
      <c r="AL7" s="1116" t="s">
        <v>190</v>
      </c>
      <c r="AM7" s="1116" t="s">
        <v>191</v>
      </c>
      <c r="AN7" s="1116" t="s">
        <v>193</v>
      </c>
      <c r="AO7" s="1116" t="s">
        <v>194</v>
      </c>
      <c r="AP7" s="1116" t="s">
        <v>196</v>
      </c>
      <c r="AQ7" s="1116" t="s">
        <v>198</v>
      </c>
      <c r="AR7" s="1116" t="s">
        <v>201</v>
      </c>
      <c r="AS7" s="1116" t="s">
        <v>203</v>
      </c>
      <c r="AT7" s="1116" t="s">
        <v>207</v>
      </c>
      <c r="AU7" s="1116" t="s">
        <v>208</v>
      </c>
      <c r="AV7" s="1116" t="s">
        <v>672</v>
      </c>
      <c r="AW7" s="1116" t="s">
        <v>211</v>
      </c>
      <c r="AX7" s="1116" t="s">
        <v>212</v>
      </c>
      <c r="AY7" s="1116" t="s">
        <v>213</v>
      </c>
      <c r="AZ7" s="1116" t="s">
        <v>214</v>
      </c>
      <c r="BA7" s="1116" t="s">
        <v>217</v>
      </c>
      <c r="BB7" s="1116" t="s">
        <v>218</v>
      </c>
      <c r="BC7" s="1118" t="s">
        <v>673</v>
      </c>
      <c r="BD7" s="1120" t="s">
        <v>674</v>
      </c>
      <c r="BF7" s="298">
        <v>4</v>
      </c>
      <c r="BG7" s="32" t="s">
        <v>314</v>
      </c>
      <c r="BH7" s="572" t="s">
        <v>522</v>
      </c>
    </row>
    <row r="8" spans="1:61" ht="15">
      <c r="B8" s="582" t="s">
        <v>183</v>
      </c>
      <c r="C8" s="583">
        <v>2944</v>
      </c>
      <c r="D8" s="584">
        <v>0.39</v>
      </c>
      <c r="E8" s="585">
        <v>2371</v>
      </c>
      <c r="F8" s="586">
        <v>0.45</v>
      </c>
      <c r="G8" s="587">
        <v>3.1323286238765929E-2</v>
      </c>
      <c r="H8" s="588">
        <v>0.19218786230837523</v>
      </c>
      <c r="I8" s="589">
        <v>-0.14227836441274094</v>
      </c>
      <c r="J8" s="588">
        <v>0.19218786230837523</v>
      </c>
      <c r="L8" s="590" t="s">
        <v>364</v>
      </c>
      <c r="M8" s="591" t="str">
        <f>IFERROR(IF('General Information'!I25="Unknown",0,IF('General Information'!I25="Non-Electric",0.031,IF('General Information'!I25="Electric",-0.142,""))),"")</f>
        <v/>
      </c>
      <c r="N8" s="592">
        <f>IFERROR(IF('General Information'!I25="","",0.192),"")</f>
        <v>0.192</v>
      </c>
      <c r="O8"/>
      <c r="P8" s="590" t="s">
        <v>319</v>
      </c>
      <c r="Q8" s="593" t="s">
        <v>427</v>
      </c>
      <c r="R8" s="594">
        <v>0</v>
      </c>
      <c r="T8" s="580" t="str">
        <f>IF(OR('General Information'!$I$26="Deemed",'General Information'!$I$26="Mixed"),"TRM Exterior",IF('General Information'!$U$15="&lt;Input Name&gt;","",'General Information'!$U$15))</f>
        <v>TRM Exterior</v>
      </c>
      <c r="V8" s="590" t="s">
        <v>675</v>
      </c>
      <c r="W8" s="593">
        <v>2</v>
      </c>
      <c r="X8" s="595" t="s">
        <v>676</v>
      </c>
      <c r="Y8" t="s">
        <v>530</v>
      </c>
      <c r="AC8" s="1130"/>
      <c r="AD8" s="1132"/>
      <c r="AE8" s="1117"/>
      <c r="AF8" s="1117"/>
      <c r="AG8" s="1117"/>
      <c r="AH8" s="1117"/>
      <c r="AI8" s="1117"/>
      <c r="AJ8" s="1117"/>
      <c r="AK8" s="1117"/>
      <c r="AL8" s="1117"/>
      <c r="AM8" s="1117"/>
      <c r="AN8" s="1117"/>
      <c r="AO8" s="1117"/>
      <c r="AP8" s="1117"/>
      <c r="AQ8" s="1117"/>
      <c r="AR8" s="1117"/>
      <c r="AS8" s="1117"/>
      <c r="AT8" s="1117"/>
      <c r="AU8" s="1117"/>
      <c r="AV8" s="1117"/>
      <c r="AW8" s="1117"/>
      <c r="AX8" s="1117"/>
      <c r="AY8" s="1117"/>
      <c r="AZ8" s="1117"/>
      <c r="BA8" s="1117"/>
      <c r="BB8" s="1117"/>
      <c r="BC8" s="1119"/>
      <c r="BD8" s="1121"/>
      <c r="BF8" s="298">
        <v>5</v>
      </c>
      <c r="BG8" s="32" t="s">
        <v>283</v>
      </c>
      <c r="BH8" s="572" t="s">
        <v>523</v>
      </c>
    </row>
    <row r="9" spans="1:61" ht="15">
      <c r="B9" s="582" t="s">
        <v>186</v>
      </c>
      <c r="C9" s="583">
        <v>3604</v>
      </c>
      <c r="D9" s="584">
        <v>0.11</v>
      </c>
      <c r="E9" s="585">
        <v>3604</v>
      </c>
      <c r="F9" s="586">
        <v>0.11</v>
      </c>
      <c r="G9" s="587">
        <v>3.1323286238765929E-2</v>
      </c>
      <c r="H9" s="588">
        <v>0.19218786230837523</v>
      </c>
      <c r="I9" s="589">
        <v>-0.14227836441274094</v>
      </c>
      <c r="J9" s="588">
        <v>0</v>
      </c>
      <c r="L9" s="590" t="s">
        <v>677</v>
      </c>
      <c r="M9" s="596">
        <v>0.5</v>
      </c>
      <c r="N9" s="584">
        <v>0.5</v>
      </c>
      <c r="O9"/>
      <c r="P9" s="590" t="s">
        <v>321</v>
      </c>
      <c r="Q9" s="593" t="s">
        <v>520</v>
      </c>
      <c r="R9" s="594">
        <v>0.24</v>
      </c>
      <c r="T9" s="580" t="str">
        <f>IF(OR('General Information'!$I$26="Deemed",'General Information'!$I$26="Mixed"),"TRM Refrigeration",IF('General Information'!$W$15="&lt;Input Name&gt;","",'General Information'!$W$15))</f>
        <v>TRM Refrigeration</v>
      </c>
      <c r="V9" s="590" t="s">
        <v>678</v>
      </c>
      <c r="W9" s="593">
        <v>2</v>
      </c>
      <c r="X9" s="595" t="s">
        <v>679</v>
      </c>
      <c r="Y9" t="s">
        <v>530</v>
      </c>
      <c r="AC9" s="1130"/>
      <c r="AD9" s="1133"/>
      <c r="AE9" s="1117"/>
      <c r="AF9" s="1117"/>
      <c r="AG9" s="1117"/>
      <c r="AH9" s="1117"/>
      <c r="AI9" s="1117"/>
      <c r="AJ9" s="1117"/>
      <c r="AK9" s="1117"/>
      <c r="AL9" s="1117"/>
      <c r="AM9" s="1117"/>
      <c r="AN9" s="1117"/>
      <c r="AO9" s="1117"/>
      <c r="AP9" s="1117"/>
      <c r="AQ9" s="1117"/>
      <c r="AR9" s="1117"/>
      <c r="AS9" s="1117"/>
      <c r="AT9" s="1117"/>
      <c r="AU9" s="1117"/>
      <c r="AV9" s="1117"/>
      <c r="AW9" s="1117"/>
      <c r="AX9" s="1117"/>
      <c r="AY9" s="1117"/>
      <c r="AZ9" s="1117"/>
      <c r="BA9" s="1117"/>
      <c r="BB9" s="1117"/>
      <c r="BC9" s="1119"/>
      <c r="BD9" s="1121"/>
      <c r="BF9" s="298">
        <v>6</v>
      </c>
      <c r="BG9" s="32" t="s">
        <v>242</v>
      </c>
      <c r="BH9" s="572" t="s">
        <v>524</v>
      </c>
    </row>
    <row r="10" spans="1:61" ht="15">
      <c r="B10" s="597" t="s">
        <v>680</v>
      </c>
      <c r="C10" s="598">
        <v>4306</v>
      </c>
      <c r="D10" s="599">
        <v>0.11</v>
      </c>
      <c r="E10" s="600">
        <v>4306</v>
      </c>
      <c r="F10" s="601">
        <v>0.11</v>
      </c>
      <c r="G10" s="587">
        <v>0</v>
      </c>
      <c r="H10" s="588">
        <v>0</v>
      </c>
      <c r="I10" s="589">
        <v>0</v>
      </c>
      <c r="J10" s="588">
        <v>0</v>
      </c>
      <c r="L10" s="590" t="s">
        <v>681</v>
      </c>
      <c r="M10" s="596">
        <v>0.28999999999999998</v>
      </c>
      <c r="N10" s="584">
        <v>0.28999999999999998</v>
      </c>
      <c r="O10"/>
      <c r="P10" s="590" t="s">
        <v>682</v>
      </c>
      <c r="Q10" s="593" t="s">
        <v>683</v>
      </c>
      <c r="R10" s="594">
        <v>0.24</v>
      </c>
      <c r="T10" s="580" t="str">
        <f>IF(OR('General Information'!$I$26="Deemed",'General Information'!$I$26="Mixed"),"TRM Exit",IF('General Information'!$Z$15="&lt;Input Name&gt;","",'General Information'!$Z$15))</f>
        <v>TRM Exit</v>
      </c>
      <c r="V10" s="590" t="s">
        <v>684</v>
      </c>
      <c r="W10" s="593">
        <v>2</v>
      </c>
      <c r="X10" s="595" t="s">
        <v>685</v>
      </c>
      <c r="Y10" t="s">
        <v>530</v>
      </c>
      <c r="AC10" s="602" t="s">
        <v>686</v>
      </c>
      <c r="AD10" s="603"/>
      <c r="AE10" s="604"/>
      <c r="AF10" s="604"/>
      <c r="AG10" s="604"/>
      <c r="AH10" s="604"/>
      <c r="AI10" s="604"/>
      <c r="AJ10" s="604"/>
      <c r="AK10" s="604"/>
      <c r="AL10" s="604"/>
      <c r="AM10" s="604"/>
      <c r="AN10" s="604"/>
      <c r="AO10" s="604"/>
      <c r="AP10" s="604"/>
      <c r="AQ10" s="604"/>
      <c r="AR10" s="604"/>
      <c r="AS10" s="604"/>
      <c r="AT10" s="604"/>
      <c r="AU10" s="604"/>
      <c r="AV10" s="604"/>
      <c r="AW10" s="604"/>
      <c r="AX10" s="604"/>
      <c r="AY10" s="604"/>
      <c r="AZ10" s="604"/>
      <c r="BA10" s="604">
        <v>0.36</v>
      </c>
      <c r="BB10" s="604"/>
      <c r="BC10" s="605"/>
      <c r="BD10" s="606" t="str">
        <f>IF(OR(IF('General Information'!$I$28="Yes",AE10&gt;0,IFERROR(INDEX(AE10:BC10,1,MATCH('General Information'!$D$23,Lookups!$AE$7:$BC$7,0))&gt;0,FALSE)),Lookups!BC10&gt;0),"X","")</f>
        <v/>
      </c>
      <c r="BF10" s="298">
        <v>7</v>
      </c>
      <c r="BG10" s="32" t="s">
        <v>279</v>
      </c>
      <c r="BH10" s="572" t="s">
        <v>525</v>
      </c>
    </row>
    <row r="11" spans="1:61" ht="15">
      <c r="B11" s="582" t="s">
        <v>187</v>
      </c>
      <c r="C11" s="583">
        <v>7798</v>
      </c>
      <c r="D11" s="584">
        <v>0.99</v>
      </c>
      <c r="E11" s="585">
        <v>6471</v>
      </c>
      <c r="F11" s="586">
        <v>0.93</v>
      </c>
      <c r="G11" s="587">
        <v>3.1323286238765929E-2</v>
      </c>
      <c r="H11" s="588">
        <v>0.19218786230837523</v>
      </c>
      <c r="I11" s="589">
        <v>-0.14227836441274094</v>
      </c>
      <c r="J11" s="588">
        <v>0.19218786230837523</v>
      </c>
      <c r="L11" s="590" t="s">
        <v>687</v>
      </c>
      <c r="M11" s="596">
        <v>0.18</v>
      </c>
      <c r="N11" s="584">
        <v>0.18</v>
      </c>
      <c r="O11"/>
      <c r="P11" s="590" t="s">
        <v>688</v>
      </c>
      <c r="Q11" s="593" t="s">
        <v>689</v>
      </c>
      <c r="R11" s="594">
        <v>0.24</v>
      </c>
      <c r="T11" s="580">
        <f>IF('General Information'!$I$26="Mixed",IF('General Information'!$S$15="&lt;Input Name&gt;","",'General Information'!$S$15),IF('General Information'!$AC$15="&lt;Input Name&gt;","",'General Information'!$AC$15))</f>
        <v>0</v>
      </c>
      <c r="V11" s="590" t="s">
        <v>690</v>
      </c>
      <c r="W11" s="593">
        <v>3</v>
      </c>
      <c r="X11" s="595" t="s">
        <v>676</v>
      </c>
      <c r="Y11" t="s">
        <v>530</v>
      </c>
      <c r="AC11" s="602" t="s">
        <v>691</v>
      </c>
      <c r="AD11" s="603"/>
      <c r="AE11" s="604"/>
      <c r="AF11" s="604"/>
      <c r="AG11" s="604"/>
      <c r="AH11" s="604"/>
      <c r="AI11" s="604"/>
      <c r="AJ11" s="604"/>
      <c r="AK11" s="604"/>
      <c r="AL11" s="604"/>
      <c r="AM11" s="604"/>
      <c r="AN11" s="604"/>
      <c r="AO11" s="604"/>
      <c r="AP11" s="604"/>
      <c r="AQ11" s="604"/>
      <c r="AR11" s="604"/>
      <c r="AS11" s="604"/>
      <c r="AT11" s="604"/>
      <c r="AU11" s="604"/>
      <c r="AV11" s="604"/>
      <c r="AW11" s="604"/>
      <c r="AX11" s="604"/>
      <c r="AY11" s="604"/>
      <c r="AZ11" s="604"/>
      <c r="BA11" s="604"/>
      <c r="BB11" s="604"/>
      <c r="BC11" s="605">
        <v>0.03</v>
      </c>
      <c r="BD11" s="606" t="str">
        <f>IF(OR(IF('General Information'!$I$28="Yes",AE11&gt;0,IFERROR(INDEX(AE11:BC11,1,MATCH('General Information'!$D$23,Lookups!$AE$7:$BC$7,0))&gt;0,FALSE)),Lookups!BC11&gt;0),"X","")</f>
        <v>X</v>
      </c>
      <c r="BF11" s="298">
        <v>8</v>
      </c>
      <c r="BG11" s="32" t="s">
        <v>248</v>
      </c>
      <c r="BH11" s="572" t="s">
        <v>526</v>
      </c>
    </row>
    <row r="12" spans="1:61" ht="15.75" thickBot="1">
      <c r="B12" s="582" t="s">
        <v>185</v>
      </c>
      <c r="C12" s="583">
        <v>2476</v>
      </c>
      <c r="D12" s="584">
        <v>0.47</v>
      </c>
      <c r="E12" s="585">
        <v>2943</v>
      </c>
      <c r="F12" s="586">
        <v>0.52</v>
      </c>
      <c r="G12" s="587">
        <v>3.1323286238765929E-2</v>
      </c>
      <c r="H12" s="588">
        <v>0.19218786230837523</v>
      </c>
      <c r="I12" s="589">
        <v>-0.14227836441274094</v>
      </c>
      <c r="J12" s="588">
        <v>0.19218786230837523</v>
      </c>
      <c r="L12" s="607" t="s">
        <v>692</v>
      </c>
      <c r="M12" s="608">
        <v>0</v>
      </c>
      <c r="N12" s="609">
        <v>0</v>
      </c>
      <c r="O12"/>
      <c r="P12" s="590" t="s">
        <v>693</v>
      </c>
      <c r="Q12" s="593" t="s">
        <v>694</v>
      </c>
      <c r="R12" s="594">
        <v>0.28000000000000003</v>
      </c>
      <c r="T12" s="580">
        <f>IF('General Information'!$I$26="Mixed",IF('General Information'!$U$15="&lt;Input Name&gt;","",'General Information'!$U$15),IF('General Information'!$AE$15="&lt;Input Name&gt;","",'General Information'!$AE$15))</f>
        <v>0</v>
      </c>
      <c r="V12" s="590" t="s">
        <v>695</v>
      </c>
      <c r="W12" s="593">
        <v>3</v>
      </c>
      <c r="X12" s="595" t="s">
        <v>679</v>
      </c>
      <c r="Y12" t="s">
        <v>530</v>
      </c>
      <c r="AC12" s="602" t="s">
        <v>696</v>
      </c>
      <c r="AD12" s="603"/>
      <c r="AE12" s="604"/>
      <c r="AF12" s="604"/>
      <c r="AG12" s="604"/>
      <c r="AH12" s="604"/>
      <c r="AI12" s="604"/>
      <c r="AJ12" s="604"/>
      <c r="AK12" s="604"/>
      <c r="AL12" s="604"/>
      <c r="AM12" s="604"/>
      <c r="AN12" s="604"/>
      <c r="AO12" s="604"/>
      <c r="AP12" s="604"/>
      <c r="AQ12" s="604"/>
      <c r="AR12" s="604"/>
      <c r="AS12" s="604"/>
      <c r="AT12" s="604"/>
      <c r="AU12" s="604"/>
      <c r="AV12" s="604"/>
      <c r="AW12" s="604"/>
      <c r="AX12" s="604"/>
      <c r="AY12" s="604"/>
      <c r="AZ12" s="604"/>
      <c r="BA12" s="604"/>
      <c r="BB12" s="604"/>
      <c r="BC12" s="605">
        <v>0.02</v>
      </c>
      <c r="BD12" s="606" t="str">
        <f>IF(OR(IF('General Information'!$I$28="Yes",AE12&gt;0,IFERROR(INDEX(AE12:BC12,1,MATCH('General Information'!$D$23,Lookups!$AE$7:$BC$7,0))&gt;0,FALSE)),Lookups!BC12&gt;0),"X","")</f>
        <v>X</v>
      </c>
      <c r="BF12" s="298">
        <v>9</v>
      </c>
      <c r="BG12" s="32" t="s">
        <v>254</v>
      </c>
      <c r="BH12" s="572" t="s">
        <v>527</v>
      </c>
    </row>
    <row r="13" spans="1:61" ht="15">
      <c r="B13" s="582" t="s">
        <v>195</v>
      </c>
      <c r="C13" s="598">
        <v>2857</v>
      </c>
      <c r="D13" s="599">
        <v>0.56999999999999995</v>
      </c>
      <c r="E13" s="600">
        <f t="shared" ref="E13:F15" si="0">C13</f>
        <v>2857</v>
      </c>
      <c r="F13" s="601">
        <f t="shared" si="0"/>
        <v>0.56999999999999995</v>
      </c>
      <c r="G13" s="587">
        <v>3.1323286238765929E-2</v>
      </c>
      <c r="H13" s="588">
        <v>0.19218786230837523</v>
      </c>
      <c r="I13" s="589">
        <v>-0.14227836441274094</v>
      </c>
      <c r="J13" s="588">
        <v>0.19218786230837523</v>
      </c>
      <c r="L13" s="1089"/>
      <c r="M13" s="1089"/>
      <c r="N13" s="1089"/>
      <c r="O13"/>
      <c r="P13" s="590" t="s">
        <v>435</v>
      </c>
      <c r="Q13" s="593" t="s">
        <v>697</v>
      </c>
      <c r="R13" s="594">
        <v>0.28000000000000003</v>
      </c>
      <c r="T13" s="580" t="str">
        <f>IF('General Information'!$I$26="Mixed",IF('General Information'!$W$15="&lt;Input Name&gt;","",'General Information'!$W$15),"")</f>
        <v/>
      </c>
      <c r="V13" s="590" t="s">
        <v>698</v>
      </c>
      <c r="W13" s="593">
        <v>3</v>
      </c>
      <c r="X13" s="595" t="s">
        <v>685</v>
      </c>
      <c r="Y13" t="s">
        <v>530</v>
      </c>
      <c r="AC13" s="602" t="s">
        <v>699</v>
      </c>
      <c r="AD13" s="603"/>
      <c r="AE13" s="604"/>
      <c r="AF13" s="604">
        <v>0.82</v>
      </c>
      <c r="AG13" s="604"/>
      <c r="AH13" s="604"/>
      <c r="AI13" s="604"/>
      <c r="AJ13" s="604">
        <v>0.65</v>
      </c>
      <c r="AK13" s="604"/>
      <c r="AL13" s="604"/>
      <c r="AM13" s="604"/>
      <c r="AN13" s="604"/>
      <c r="AO13" s="604"/>
      <c r="AP13" s="604"/>
      <c r="AQ13" s="604"/>
      <c r="AR13" s="604">
        <v>1.1399999999999999</v>
      </c>
      <c r="AS13" s="604"/>
      <c r="AT13" s="604">
        <v>0.28000000000000003</v>
      </c>
      <c r="AU13" s="604">
        <v>2.4300000000000002</v>
      </c>
      <c r="AV13" s="604"/>
      <c r="AW13" s="604">
        <v>1.53</v>
      </c>
      <c r="AX13" s="604"/>
      <c r="AY13" s="604">
        <v>0.63</v>
      </c>
      <c r="AZ13" s="604">
        <v>0.43</v>
      </c>
      <c r="BA13" s="604"/>
      <c r="BB13" s="604"/>
      <c r="BC13" s="605">
        <v>0.43</v>
      </c>
      <c r="BD13" s="606" t="str">
        <f>IF(OR(IF('General Information'!$I$28="Yes",AE13&gt;0,IFERROR(INDEX(AE13:BC13,1,MATCH('General Information'!$D$23,Lookups!$AE$7:$BC$7,0))&gt;0,FALSE)),Lookups!BC13&gt;0),"X","")</f>
        <v>X</v>
      </c>
      <c r="BF13" s="298">
        <v>10</v>
      </c>
      <c r="BG13" s="32" t="s">
        <v>700</v>
      </c>
      <c r="BH13" s="572" t="s">
        <v>528</v>
      </c>
    </row>
    <row r="14" spans="1:61" ht="15">
      <c r="B14" s="582" t="s">
        <v>197</v>
      </c>
      <c r="C14" s="598">
        <v>4730</v>
      </c>
      <c r="D14" s="599">
        <v>0.56999999999999995</v>
      </c>
      <c r="E14" s="600">
        <f t="shared" si="0"/>
        <v>4730</v>
      </c>
      <c r="F14" s="601">
        <f t="shared" si="0"/>
        <v>0.56999999999999995</v>
      </c>
      <c r="G14" s="587">
        <v>3.1323286238765929E-2</v>
      </c>
      <c r="H14" s="588">
        <v>0.19218786230837523</v>
      </c>
      <c r="I14" s="589">
        <v>-0.14227836441274094</v>
      </c>
      <c r="J14" s="588">
        <v>0.19218786230837523</v>
      </c>
      <c r="L14" s="1089"/>
      <c r="M14" s="1089"/>
      <c r="N14" s="1089"/>
      <c r="O14"/>
      <c r="P14" s="590" t="s">
        <v>701</v>
      </c>
      <c r="Q14" s="593" t="s">
        <v>702</v>
      </c>
      <c r="R14" s="594">
        <v>0.31</v>
      </c>
      <c r="T14" s="580" t="str">
        <f>IF('General Information'!$I$26="Mixed",IF('General Information'!$Z$15="&lt;Input Name&gt;","",'General Information'!$Z$15),"")</f>
        <v/>
      </c>
      <c r="V14" s="590" t="s">
        <v>703</v>
      </c>
      <c r="W14" s="593">
        <v>4</v>
      </c>
      <c r="X14" s="595" t="s">
        <v>676</v>
      </c>
      <c r="Y14" t="s">
        <v>530</v>
      </c>
      <c r="AC14" s="602" t="s">
        <v>704</v>
      </c>
      <c r="AD14" s="603"/>
      <c r="AE14" s="604"/>
      <c r="AF14" s="604"/>
      <c r="AG14" s="604"/>
      <c r="AH14" s="604"/>
      <c r="AI14" s="604"/>
      <c r="AJ14" s="604"/>
      <c r="AK14" s="604"/>
      <c r="AL14" s="604"/>
      <c r="AM14" s="604"/>
      <c r="AN14" s="604"/>
      <c r="AO14" s="604"/>
      <c r="AP14" s="604"/>
      <c r="AQ14" s="604"/>
      <c r="AR14" s="604"/>
      <c r="AS14" s="604"/>
      <c r="AT14" s="604"/>
      <c r="AU14" s="604"/>
      <c r="AV14" s="604"/>
      <c r="AW14" s="604"/>
      <c r="AX14" s="604"/>
      <c r="AY14" s="604"/>
      <c r="AZ14" s="604"/>
      <c r="BA14" s="604">
        <v>0.53</v>
      </c>
      <c r="BB14" s="604"/>
      <c r="BC14" s="605"/>
      <c r="BD14" s="606" t="str">
        <f>IF(OR(IF('General Information'!$I$28="Yes",AE14&gt;0,IFERROR(INDEX(AE14:BC14,1,MATCH('General Information'!$D$23,Lookups!$AE$7:$BC$7,0))&gt;0,FALSE)),Lookups!BC14&gt;0),"X","")</f>
        <v/>
      </c>
      <c r="BF14" s="298">
        <v>11</v>
      </c>
      <c r="BG14" s="32" t="s">
        <v>705</v>
      </c>
      <c r="BH14" s="572" t="s">
        <v>529</v>
      </c>
    </row>
    <row r="15" spans="1:61" ht="15">
      <c r="B15" s="582" t="s">
        <v>199</v>
      </c>
      <c r="C15" s="598">
        <v>6631</v>
      </c>
      <c r="D15" s="599">
        <v>0.56999999999999995</v>
      </c>
      <c r="E15" s="600">
        <f t="shared" si="0"/>
        <v>6631</v>
      </c>
      <c r="F15" s="601">
        <f t="shared" si="0"/>
        <v>0.56999999999999995</v>
      </c>
      <c r="G15" s="587">
        <v>3.1323286238765929E-2</v>
      </c>
      <c r="H15" s="588">
        <v>0.19218786230837523</v>
      </c>
      <c r="I15" s="589">
        <v>-0.14227836441274094</v>
      </c>
      <c r="J15" s="588">
        <v>0.19218786230837523</v>
      </c>
      <c r="L15" s="1089"/>
      <c r="M15" s="1089"/>
      <c r="N15" s="1089"/>
      <c r="O15"/>
      <c r="P15" s="590" t="s">
        <v>706</v>
      </c>
      <c r="Q15" s="593" t="s">
        <v>707</v>
      </c>
      <c r="R15" s="594">
        <v>0.31</v>
      </c>
      <c r="T15" s="580" t="str">
        <f>IF('General Information'!$I$26="Mixed",IF('General Information'!$AC$15="&lt;Input Name&gt;","",'General Information'!$AC$15),"")</f>
        <v/>
      </c>
      <c r="V15" s="590" t="s">
        <v>708</v>
      </c>
      <c r="W15" s="593">
        <v>4</v>
      </c>
      <c r="X15" s="595" t="s">
        <v>679</v>
      </c>
      <c r="Y15" t="s">
        <v>530</v>
      </c>
      <c r="AC15" s="602" t="s">
        <v>709</v>
      </c>
      <c r="AD15" s="603"/>
      <c r="AE15" s="604"/>
      <c r="AF15" s="604"/>
      <c r="AG15" s="604"/>
      <c r="AH15" s="604"/>
      <c r="AI15" s="604"/>
      <c r="AJ15" s="604"/>
      <c r="AK15" s="604"/>
      <c r="AL15" s="604"/>
      <c r="AM15" s="604"/>
      <c r="AN15" s="604"/>
      <c r="AO15" s="604"/>
      <c r="AP15" s="604"/>
      <c r="AQ15" s="604"/>
      <c r="AR15" s="604"/>
      <c r="AS15" s="604"/>
      <c r="AT15" s="604"/>
      <c r="AU15" s="604"/>
      <c r="AV15" s="604"/>
      <c r="AW15" s="604"/>
      <c r="AX15" s="604"/>
      <c r="AY15" s="604"/>
      <c r="AZ15" s="604"/>
      <c r="BA15" s="604"/>
      <c r="BB15" s="604"/>
      <c r="BC15" s="605">
        <v>1.01</v>
      </c>
      <c r="BD15" s="606" t="str">
        <f>IF(OR(IF('General Information'!$I$28="Yes",AE15&gt;0,IFERROR(INDEX(AE15:BC15,1,MATCH('General Information'!$D$23,Lookups!$AE$7:$BC$7,0))&gt;0,FALSE)),Lookups!BC15&gt;0),"X","")</f>
        <v>X</v>
      </c>
      <c r="BF15" s="298">
        <v>12</v>
      </c>
      <c r="BG15" s="32" t="s">
        <v>277</v>
      </c>
      <c r="BH15" s="572" t="s">
        <v>530</v>
      </c>
    </row>
    <row r="16" spans="1:61" ht="15.75" thickBot="1">
      <c r="B16" s="582" t="s">
        <v>177</v>
      </c>
      <c r="C16" s="583">
        <v>1456</v>
      </c>
      <c r="D16" s="584">
        <v>0.23</v>
      </c>
      <c r="E16" s="585">
        <v>1419</v>
      </c>
      <c r="F16" s="586">
        <v>0.23</v>
      </c>
      <c r="G16" s="587">
        <v>3.1323286238765929E-2</v>
      </c>
      <c r="H16" s="588">
        <v>0.19218786230837523</v>
      </c>
      <c r="I16" s="589">
        <v>-0.14227836441274094</v>
      </c>
      <c r="J16" s="588">
        <v>0.19218786230837523</v>
      </c>
      <c r="L16" s="1089"/>
      <c r="M16" s="1089"/>
      <c r="N16" s="1089"/>
      <c r="O16"/>
      <c r="P16" s="590" t="s">
        <v>710</v>
      </c>
      <c r="Q16" s="593" t="s">
        <v>711</v>
      </c>
      <c r="R16" s="594">
        <v>0.31</v>
      </c>
      <c r="T16" s="364" t="str">
        <f>IF('General Information'!$I$26="Mixed",IF('General Information'!$AE$15="&lt;Input Name&gt;","",'General Information'!$AE$15),"")</f>
        <v/>
      </c>
      <c r="V16" s="590" t="s">
        <v>712</v>
      </c>
      <c r="W16" s="593">
        <v>4</v>
      </c>
      <c r="X16" s="595" t="s">
        <v>685</v>
      </c>
      <c r="Y16" t="s">
        <v>530</v>
      </c>
      <c r="AC16" s="602" t="s">
        <v>713</v>
      </c>
      <c r="AD16" s="603"/>
      <c r="AE16" s="604">
        <v>2.21</v>
      </c>
      <c r="AF16" s="604"/>
      <c r="AG16" s="604"/>
      <c r="AH16" s="604"/>
      <c r="AI16" s="604"/>
      <c r="AJ16" s="604"/>
      <c r="AK16" s="604"/>
      <c r="AL16" s="604"/>
      <c r="AM16" s="604"/>
      <c r="AN16" s="604"/>
      <c r="AO16" s="604"/>
      <c r="AP16" s="604"/>
      <c r="AQ16" s="604"/>
      <c r="AR16" s="604"/>
      <c r="AS16" s="604"/>
      <c r="AT16" s="604"/>
      <c r="AU16" s="604"/>
      <c r="AV16" s="604"/>
      <c r="AW16" s="604"/>
      <c r="AX16" s="604"/>
      <c r="AY16" s="604"/>
      <c r="AZ16" s="604"/>
      <c r="BA16" s="604"/>
      <c r="BB16" s="604"/>
      <c r="BC16" s="605"/>
      <c r="BD16" s="606" t="str">
        <f>IF(OR(IF('General Information'!$I$28="Yes",AE16&gt;0,IFERROR(INDEX(AE16:BC16,1,MATCH('General Information'!$D$23,Lookups!$AE$7:$BC$7,0))&gt;0,FALSE)),Lookups!BC16&gt;0),"X","")</f>
        <v/>
      </c>
      <c r="BF16" s="298">
        <v>13</v>
      </c>
      <c r="BG16" s="32" t="s">
        <v>714</v>
      </c>
      <c r="BH16" s="572" t="s">
        <v>531</v>
      </c>
    </row>
    <row r="17" spans="1:60" ht="14.25" customHeight="1" thickBot="1">
      <c r="B17" s="582" t="s">
        <v>192</v>
      </c>
      <c r="C17" s="583">
        <v>2925</v>
      </c>
      <c r="D17" s="584">
        <v>0.38</v>
      </c>
      <c r="E17" s="585">
        <v>3579</v>
      </c>
      <c r="F17" s="586">
        <v>0.45</v>
      </c>
      <c r="G17" s="587">
        <v>3.1323286238765929E-2</v>
      </c>
      <c r="H17" s="588">
        <v>0.19218786230837523</v>
      </c>
      <c r="I17" s="589">
        <v>-0.14227836441274094</v>
      </c>
      <c r="J17" s="588">
        <v>0.19218786230837523</v>
      </c>
      <c r="L17" s="1094" t="s">
        <v>715</v>
      </c>
      <c r="M17" s="1095"/>
      <c r="N17" s="1096"/>
      <c r="O17"/>
      <c r="P17" s="590" t="s">
        <v>716</v>
      </c>
      <c r="Q17" s="593" t="s">
        <v>717</v>
      </c>
      <c r="R17" s="594">
        <v>0.31</v>
      </c>
      <c r="V17" s="590" t="s">
        <v>718</v>
      </c>
      <c r="W17" s="593">
        <v>8</v>
      </c>
      <c r="X17" s="595" t="s">
        <v>676</v>
      </c>
      <c r="Y17" t="s">
        <v>530</v>
      </c>
      <c r="AC17" s="602" t="s">
        <v>719</v>
      </c>
      <c r="AD17" s="603"/>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v>3.68</v>
      </c>
      <c r="BA17" s="604"/>
      <c r="BB17" s="604"/>
      <c r="BC17" s="605"/>
      <c r="BD17" s="606" t="str">
        <f>IF(OR(IF('General Information'!$I$28="Yes",AE17&gt;0,IFERROR(INDEX(AE17:BC17,1,MATCH('General Information'!$D$23,Lookups!$AE$7:$BC$7,0))&gt;0,FALSE)),Lookups!BC17&gt;0),"X","")</f>
        <v/>
      </c>
      <c r="BF17" s="298">
        <v>14</v>
      </c>
      <c r="BG17" s="32" t="s">
        <v>422</v>
      </c>
      <c r="BH17" s="572" t="s">
        <v>532</v>
      </c>
    </row>
    <row r="18" spans="1:60" ht="15" customHeight="1" thickBot="1">
      <c r="B18" s="582" t="s">
        <v>174</v>
      </c>
      <c r="C18" s="583">
        <v>2001</v>
      </c>
      <c r="D18" s="584">
        <v>0.33</v>
      </c>
      <c r="E18" s="585">
        <v>2830</v>
      </c>
      <c r="F18" s="586">
        <v>0.57999999999999996</v>
      </c>
      <c r="G18" s="587">
        <v>3.1323286238765929E-2</v>
      </c>
      <c r="H18" s="588">
        <v>0.19218786230837523</v>
      </c>
      <c r="I18" s="589">
        <v>-0.14227836441274094</v>
      </c>
      <c r="J18" s="588">
        <v>0.19218786230837523</v>
      </c>
      <c r="L18" s="1097"/>
      <c r="M18" s="1098"/>
      <c r="N18" s="1099"/>
      <c r="O18"/>
      <c r="P18" s="590" t="s">
        <v>720</v>
      </c>
      <c r="Q18" s="593" t="s">
        <v>721</v>
      </c>
      <c r="R18" s="594">
        <v>0.31</v>
      </c>
      <c r="T18" s="1135" t="s">
        <v>722</v>
      </c>
      <c r="V18" s="590" t="s">
        <v>723</v>
      </c>
      <c r="W18" s="593">
        <v>8</v>
      </c>
      <c r="X18" s="595" t="s">
        <v>679</v>
      </c>
      <c r="Y18" t="s">
        <v>530</v>
      </c>
      <c r="AC18" s="602" t="s">
        <v>724</v>
      </c>
      <c r="AD18" s="603"/>
      <c r="AE18" s="604"/>
      <c r="AF18" s="604"/>
      <c r="AG18" s="604"/>
      <c r="AH18" s="604"/>
      <c r="AI18" s="604"/>
      <c r="AJ18" s="604"/>
      <c r="AK18" s="604"/>
      <c r="AL18" s="604"/>
      <c r="AM18" s="604"/>
      <c r="AN18" s="604"/>
      <c r="AO18" s="604"/>
      <c r="AP18" s="604"/>
      <c r="AQ18" s="604"/>
      <c r="AR18" s="604"/>
      <c r="AS18" s="604"/>
      <c r="AT18" s="604"/>
      <c r="AU18" s="604"/>
      <c r="AV18" s="604"/>
      <c r="AW18" s="604"/>
      <c r="AX18" s="604"/>
      <c r="AY18" s="604"/>
      <c r="AZ18" s="604">
        <v>2.4</v>
      </c>
      <c r="BA18" s="604"/>
      <c r="BB18" s="604"/>
      <c r="BC18" s="605"/>
      <c r="BD18" s="606" t="str">
        <f>IF(OR(IF('General Information'!$I$28="Yes",AE18&gt;0,IFERROR(INDEX(AE18:BC18,1,MATCH('General Information'!$D$23,Lookups!$AE$7:$BC$7,0))&gt;0,FALSE)),Lookups!BC18&gt;0),"X","")</f>
        <v/>
      </c>
      <c r="BF18" s="298">
        <v>15</v>
      </c>
      <c r="BG18" s="32" t="s">
        <v>725</v>
      </c>
      <c r="BH18" s="572" t="s">
        <v>533</v>
      </c>
    </row>
    <row r="19" spans="1:60" ht="19.5" thickBot="1">
      <c r="B19" s="582" t="s">
        <v>726</v>
      </c>
      <c r="C19" s="598">
        <v>5950</v>
      </c>
      <c r="D19" s="599">
        <v>0.62</v>
      </c>
      <c r="E19" s="600">
        <v>5950</v>
      </c>
      <c r="F19" s="601">
        <v>0.62</v>
      </c>
      <c r="G19" s="587">
        <v>3.1323286238765929E-2</v>
      </c>
      <c r="H19" s="588">
        <v>0.19218786230837523</v>
      </c>
      <c r="I19" s="589">
        <v>-0.14227836441274094</v>
      </c>
      <c r="J19" s="588">
        <v>0.19218786230837523</v>
      </c>
      <c r="L19" s="87" t="s">
        <v>664</v>
      </c>
      <c r="M19" s="578" t="s">
        <v>665</v>
      </c>
      <c r="N19" s="579" t="s">
        <v>666</v>
      </c>
      <c r="O19"/>
      <c r="P19" s="590" t="s">
        <v>334</v>
      </c>
      <c r="Q19" s="593" t="s">
        <v>727</v>
      </c>
      <c r="R19" s="594">
        <v>0.36</v>
      </c>
      <c r="T19" s="1136"/>
      <c r="V19" s="590" t="s">
        <v>728</v>
      </c>
      <c r="W19" s="593">
        <v>8</v>
      </c>
      <c r="X19" s="595" t="s">
        <v>685</v>
      </c>
      <c r="Y19" t="s">
        <v>530</v>
      </c>
      <c r="AC19" s="602" t="s">
        <v>729</v>
      </c>
      <c r="AD19" s="603"/>
      <c r="AE19" s="604"/>
      <c r="AF19" s="604"/>
      <c r="AG19" s="604"/>
      <c r="AH19" s="604"/>
      <c r="AI19" s="604"/>
      <c r="AJ19" s="604"/>
      <c r="AK19" s="604"/>
      <c r="AL19" s="604"/>
      <c r="AM19" s="604"/>
      <c r="AN19" s="604"/>
      <c r="AO19" s="604"/>
      <c r="AP19" s="604"/>
      <c r="AQ19" s="604"/>
      <c r="AR19" s="604"/>
      <c r="AS19" s="604"/>
      <c r="AT19" s="604"/>
      <c r="AU19" s="604"/>
      <c r="AV19" s="604"/>
      <c r="AW19" s="604"/>
      <c r="AX19" s="604"/>
      <c r="AY19" s="604"/>
      <c r="AZ19" s="604">
        <v>1.8</v>
      </c>
      <c r="BA19" s="604"/>
      <c r="BB19" s="604"/>
      <c r="BC19" s="605"/>
      <c r="BD19" s="606" t="str">
        <f>IF(OR(IF('General Information'!$I$28="Yes",AE19&gt;0,IFERROR(INDEX(AE19:BC19,1,MATCH('General Information'!$D$23,Lookups!$AE$7:$BC$7,0))&gt;0,FALSE)),Lookups!BC19&gt;0),"X","")</f>
        <v/>
      </c>
      <c r="BF19" s="298">
        <v>16</v>
      </c>
      <c r="BG19" s="32" t="s">
        <v>730</v>
      </c>
      <c r="BH19" s="547" t="s">
        <v>534</v>
      </c>
    </row>
    <row r="20" spans="1:60" ht="15">
      <c r="B20" s="582" t="s">
        <v>204</v>
      </c>
      <c r="C20" s="583">
        <v>1420</v>
      </c>
      <c r="D20" s="584">
        <v>0.26</v>
      </c>
      <c r="E20" s="585">
        <v>2294</v>
      </c>
      <c r="F20" s="586">
        <v>0.48</v>
      </c>
      <c r="G20" s="587">
        <v>3.1323286238765929E-2</v>
      </c>
      <c r="H20" s="588">
        <v>0.19218786230837523</v>
      </c>
      <c r="I20" s="589">
        <v>-0.14227836441274094</v>
      </c>
      <c r="J20" s="588">
        <v>0.19218786230837523</v>
      </c>
      <c r="L20" s="590" t="s">
        <v>366</v>
      </c>
      <c r="M20" s="610">
        <v>3.1E-2</v>
      </c>
      <c r="N20" s="611">
        <v>0.192</v>
      </c>
      <c r="O20"/>
      <c r="P20" s="590" t="s">
        <v>336</v>
      </c>
      <c r="Q20" s="593" t="s">
        <v>727</v>
      </c>
      <c r="R20" s="594">
        <v>0.36</v>
      </c>
      <c r="T20" s="161">
        <f>IF('General Information'!C41="&lt;Name Your Space Type&gt;","",'General Information'!C41)</f>
        <v>0</v>
      </c>
      <c r="V20" s="590" t="s">
        <v>731</v>
      </c>
      <c r="W20" s="593"/>
      <c r="X20" s="595" t="s">
        <v>732</v>
      </c>
      <c r="Y20" t="s">
        <v>528</v>
      </c>
      <c r="AC20" s="602" t="s">
        <v>733</v>
      </c>
      <c r="AD20" s="603"/>
      <c r="AE20" s="604"/>
      <c r="AF20" s="604"/>
      <c r="AG20" s="604"/>
      <c r="AH20" s="604"/>
      <c r="AI20" s="604"/>
      <c r="AJ20" s="604"/>
      <c r="AK20" s="604"/>
      <c r="AL20" s="604"/>
      <c r="AM20" s="604"/>
      <c r="AN20" s="604"/>
      <c r="AO20" s="604"/>
      <c r="AP20" s="604"/>
      <c r="AQ20" s="604"/>
      <c r="AR20" s="604"/>
      <c r="AS20" s="604"/>
      <c r="AT20" s="604"/>
      <c r="AU20" s="604"/>
      <c r="AV20" s="604"/>
      <c r="AW20" s="604"/>
      <c r="AX20" s="604"/>
      <c r="AY20" s="604"/>
      <c r="AZ20" s="604">
        <v>1.2</v>
      </c>
      <c r="BA20" s="604"/>
      <c r="BB20" s="604"/>
      <c r="BC20" s="605"/>
      <c r="BD20" s="606" t="str">
        <f>IF(OR(IF('General Information'!$I$28="Yes",AE20&gt;0,IFERROR(INDEX(AE20:BC20,1,MATCH('General Information'!$D$23,Lookups!$AE$7:$BC$7,0))&gt;0,FALSE)),Lookups!BC20&gt;0),"X","")</f>
        <v/>
      </c>
      <c r="BF20" s="298">
        <v>17</v>
      </c>
      <c r="BG20" s="32" t="s">
        <v>734</v>
      </c>
      <c r="BH20" s="547" t="s">
        <v>535</v>
      </c>
    </row>
    <row r="21" spans="1:60" ht="15">
      <c r="B21" s="582" t="s">
        <v>206</v>
      </c>
      <c r="C21" s="598">
        <v>8678</v>
      </c>
      <c r="D21" s="599">
        <v>0.98</v>
      </c>
      <c r="E21" s="600">
        <f>C21</f>
        <v>8678</v>
      </c>
      <c r="F21" s="601">
        <f>D21</f>
        <v>0.98</v>
      </c>
      <c r="G21" s="587">
        <v>3.1323286238765929E-2</v>
      </c>
      <c r="H21" s="588">
        <v>0.19218786230837523</v>
      </c>
      <c r="I21" s="589">
        <v>-0.14227836441274094</v>
      </c>
      <c r="J21" s="588">
        <v>0.19218786230837523</v>
      </c>
      <c r="L21" s="590" t="s">
        <v>735</v>
      </c>
      <c r="M21" s="610">
        <v>-0.14199999999999999</v>
      </c>
      <c r="N21" s="611">
        <v>0.192</v>
      </c>
      <c r="O21"/>
      <c r="P21" s="590" t="s">
        <v>337</v>
      </c>
      <c r="Q21" s="593" t="s">
        <v>736</v>
      </c>
      <c r="R21" s="594">
        <v>0.38</v>
      </c>
      <c r="T21" s="612" t="str">
        <f>IF('General Information'!C42="&lt;Name Your Space Type&gt;","",'General Information'!C42)</f>
        <v>Exterior Photocell controlled</v>
      </c>
      <c r="V21" s="590" t="s">
        <v>737</v>
      </c>
      <c r="W21" s="593" t="str">
        <f>""</f>
        <v/>
      </c>
      <c r="X21" s="595" t="s">
        <v>738</v>
      </c>
      <c r="Y21" t="s">
        <v>528</v>
      </c>
      <c r="AC21" s="602" t="s">
        <v>423</v>
      </c>
      <c r="AD21" s="603"/>
      <c r="AE21" s="604"/>
      <c r="AF21" s="604"/>
      <c r="AG21" s="604"/>
      <c r="AH21" s="604"/>
      <c r="AI21" s="604"/>
      <c r="AJ21" s="604"/>
      <c r="AK21" s="604"/>
      <c r="AL21" s="604"/>
      <c r="AM21" s="604"/>
      <c r="AN21" s="604"/>
      <c r="AO21" s="604"/>
      <c r="AP21" s="604"/>
      <c r="AQ21" s="604"/>
      <c r="AR21" s="604"/>
      <c r="AS21" s="604"/>
      <c r="AT21" s="604">
        <v>1.34</v>
      </c>
      <c r="AU21" s="604"/>
      <c r="AV21" s="604"/>
      <c r="AW21" s="604"/>
      <c r="AX21" s="604"/>
      <c r="AY21" s="604"/>
      <c r="AZ21" s="604"/>
      <c r="BA21" s="604"/>
      <c r="BB21" s="604"/>
      <c r="BC21" s="605">
        <v>1.24</v>
      </c>
      <c r="BD21" s="606" t="str">
        <f>IF(OR(IF('General Information'!$I$28="Yes",AE21&gt;0,IFERROR(INDEX(AE21:BC21,1,MATCH('General Information'!$D$23,Lookups!$AE$7:$BC$7,0))&gt;0,FALSE)),Lookups!BC21&gt;0),"X","")</f>
        <v>X</v>
      </c>
      <c r="BF21" s="298">
        <v>18</v>
      </c>
      <c r="BG21" s="32" t="s">
        <v>307</v>
      </c>
      <c r="BH21" s="547" t="s">
        <v>536</v>
      </c>
    </row>
    <row r="22" spans="1:60" ht="15.75" thickBot="1">
      <c r="B22" s="582" t="s">
        <v>179</v>
      </c>
      <c r="C22" s="583">
        <v>3054</v>
      </c>
      <c r="D22" s="584">
        <v>0.55000000000000004</v>
      </c>
      <c r="E22" s="585">
        <v>4747</v>
      </c>
      <c r="F22" s="586">
        <v>0.77</v>
      </c>
      <c r="G22" s="587">
        <v>3.1323286238765929E-2</v>
      </c>
      <c r="H22" s="588">
        <v>0.19218786230837523</v>
      </c>
      <c r="I22" s="589">
        <v>-0.14227836441274094</v>
      </c>
      <c r="J22" s="588">
        <v>0.19218786230837523</v>
      </c>
      <c r="L22" s="607" t="s">
        <v>739</v>
      </c>
      <c r="M22" s="613">
        <v>0</v>
      </c>
      <c r="N22" s="614">
        <v>0.192</v>
      </c>
      <c r="O22"/>
      <c r="P22" s="615" t="s">
        <v>740</v>
      </c>
      <c r="Q22" s="616" t="s">
        <v>741</v>
      </c>
      <c r="R22" s="617">
        <v>0</v>
      </c>
      <c r="T22" s="612" t="str">
        <f>IF('General Information'!C43="&lt;Name Your Space Type&gt;","",'General Information'!C43)</f>
        <v/>
      </c>
      <c r="V22" s="590" t="s">
        <v>398</v>
      </c>
      <c r="W22" s="593" t="str">
        <f>""</f>
        <v/>
      </c>
      <c r="X22" s="595" t="s">
        <v>742</v>
      </c>
      <c r="Y22" t="s">
        <v>528</v>
      </c>
      <c r="AC22" s="602" t="s">
        <v>743</v>
      </c>
      <c r="AD22" s="603"/>
      <c r="AE22" s="604"/>
      <c r="AF22" s="604"/>
      <c r="AG22" s="604"/>
      <c r="AH22" s="604"/>
      <c r="AI22" s="604"/>
      <c r="AJ22" s="604"/>
      <c r="AK22" s="604"/>
      <c r="AL22" s="604"/>
      <c r="AM22" s="604"/>
      <c r="AN22" s="604"/>
      <c r="AO22" s="604"/>
      <c r="AP22" s="604"/>
      <c r="AQ22" s="604"/>
      <c r="AR22" s="604"/>
      <c r="AS22" s="604"/>
      <c r="AT22" s="604"/>
      <c r="AU22" s="604"/>
      <c r="AV22" s="604"/>
      <c r="AW22" s="604"/>
      <c r="AX22" s="604"/>
      <c r="AY22" s="604"/>
      <c r="AZ22" s="604"/>
      <c r="BA22" s="604"/>
      <c r="BB22" s="604"/>
      <c r="BC22" s="605">
        <v>1.71</v>
      </c>
      <c r="BD22" s="606" t="str">
        <f>IF(OR(IF('General Information'!$I$28="Yes",AE22&gt;0,IFERROR(INDEX(AE22:BC22,1,MATCH('General Information'!$D$23,Lookups!$AE$7:$BC$7,0))&gt;0,FALSE)),Lookups!BC22&gt;0),"X","")</f>
        <v>X</v>
      </c>
      <c r="BF22" s="298">
        <v>19</v>
      </c>
      <c r="BG22" s="32" t="s">
        <v>291</v>
      </c>
      <c r="BH22" s="548" t="s">
        <v>537</v>
      </c>
    </row>
    <row r="23" spans="1:60" ht="15">
      <c r="B23" s="582" t="s">
        <v>212</v>
      </c>
      <c r="C23" s="583">
        <v>2383</v>
      </c>
      <c r="D23" s="584">
        <v>0.56000000000000005</v>
      </c>
      <c r="E23" s="585">
        <v>2915</v>
      </c>
      <c r="F23" s="586">
        <v>0.66</v>
      </c>
      <c r="G23" s="587">
        <v>3.1323286238765929E-2</v>
      </c>
      <c r="H23" s="588">
        <v>0.19218786230837523</v>
      </c>
      <c r="I23" s="589">
        <v>-0.14227836441274094</v>
      </c>
      <c r="J23" s="588">
        <v>0.19218786230837523</v>
      </c>
      <c r="N23" s="84"/>
      <c r="O23"/>
      <c r="P23" s="618" t="s">
        <v>740</v>
      </c>
      <c r="Q23" s="619" t="s">
        <v>744</v>
      </c>
      <c r="R23" s="620">
        <v>0</v>
      </c>
      <c r="T23" s="612" t="str">
        <f>IF('General Information'!C44="&lt;Name Your Space Type&gt;","",'General Information'!C44)</f>
        <v/>
      </c>
      <c r="V23" s="590" t="s">
        <v>745</v>
      </c>
      <c r="W23" s="593" t="str">
        <f>""</f>
        <v/>
      </c>
      <c r="X23" s="595" t="s">
        <v>746</v>
      </c>
      <c r="Y23" t="s">
        <v>528</v>
      </c>
      <c r="AC23" s="602" t="s">
        <v>747</v>
      </c>
      <c r="AD23" s="603"/>
      <c r="AE23" s="604"/>
      <c r="AF23" s="604"/>
      <c r="AG23" s="604"/>
      <c r="AH23" s="604"/>
      <c r="AI23" s="604"/>
      <c r="AJ23" s="604"/>
      <c r="AK23" s="604"/>
      <c r="AL23" s="604"/>
      <c r="AM23" s="604"/>
      <c r="AN23" s="604"/>
      <c r="AO23" s="604"/>
      <c r="AP23" s="604"/>
      <c r="AQ23" s="604"/>
      <c r="AR23" s="604"/>
      <c r="AS23" s="604"/>
      <c r="AT23" s="604"/>
      <c r="AU23" s="604"/>
      <c r="AV23" s="604"/>
      <c r="AW23" s="604"/>
      <c r="AX23" s="604"/>
      <c r="AY23" s="604"/>
      <c r="AZ23" s="604"/>
      <c r="BA23" s="604"/>
      <c r="BB23" s="604"/>
      <c r="BC23" s="605">
        <v>1.23</v>
      </c>
      <c r="BD23" s="606" t="str">
        <f>IF(OR(IF('General Information'!$I$28="Yes",AE23&gt;0,IFERROR(INDEX(AE23:BC23,1,MATCH('General Information'!$D$23,Lookups!$AE$7:$BC$7,0))&gt;0,FALSE)),Lookups!BC23&gt;0),"X","")</f>
        <v>X</v>
      </c>
      <c r="BF23" s="298">
        <v>20</v>
      </c>
      <c r="BG23" s="32" t="s">
        <v>298</v>
      </c>
      <c r="BH23" s="548" t="s">
        <v>538</v>
      </c>
    </row>
    <row r="24" spans="1:60" ht="15">
      <c r="B24" s="621" t="s">
        <v>215</v>
      </c>
      <c r="C24" s="622">
        <f>IF('General Information'!D18="","",IF('General Information'!D18="PECO",4100,IF('General Information'!D18="PPL",4300,IF('General Information'!D18="Penn Power",4070,4200))))</f>
        <v>4300</v>
      </c>
      <c r="D24" s="623">
        <v>0</v>
      </c>
      <c r="E24" s="624">
        <f>C24</f>
        <v>4300</v>
      </c>
      <c r="F24" s="625">
        <v>0</v>
      </c>
      <c r="G24" s="587">
        <v>3.1323286238765929E-2</v>
      </c>
      <c r="H24" s="588">
        <v>0.19218786230837523</v>
      </c>
      <c r="I24" s="589">
        <v>-0.14227836441274094</v>
      </c>
      <c r="J24" s="588">
        <v>0.19218786230837523</v>
      </c>
      <c r="L24" s="84"/>
      <c r="M24" s="84"/>
      <c r="N24" s="84"/>
      <c r="O24"/>
      <c r="P24" s="618" t="s">
        <v>740</v>
      </c>
      <c r="Q24" s="619" t="s">
        <v>748</v>
      </c>
      <c r="R24" s="620">
        <v>0</v>
      </c>
      <c r="T24" s="612" t="str">
        <f>IF('General Information'!C45="&lt;Name Your Space Type&gt;","",'General Information'!C45)</f>
        <v/>
      </c>
      <c r="V24" s="590" t="s">
        <v>401</v>
      </c>
      <c r="W24" s="593" t="str">
        <f>""</f>
        <v/>
      </c>
      <c r="X24" s="595" t="s">
        <v>749</v>
      </c>
      <c r="Y24" t="s">
        <v>528</v>
      </c>
      <c r="AC24" s="602" t="s">
        <v>750</v>
      </c>
      <c r="AD24" s="603"/>
      <c r="AE24" s="604"/>
      <c r="AF24" s="604">
        <v>1.45</v>
      </c>
      <c r="AG24" s="604"/>
      <c r="AH24" s="604"/>
      <c r="AI24" s="604"/>
      <c r="AJ24" s="604"/>
      <c r="AK24" s="604"/>
      <c r="AL24" s="604"/>
      <c r="AM24" s="604"/>
      <c r="AN24" s="604"/>
      <c r="AO24" s="604"/>
      <c r="AP24" s="604"/>
      <c r="AQ24" s="604"/>
      <c r="AR24" s="604"/>
      <c r="AS24" s="604"/>
      <c r="AT24" s="604"/>
      <c r="AU24" s="604"/>
      <c r="AV24" s="604"/>
      <c r="AW24" s="604"/>
      <c r="AX24" s="604"/>
      <c r="AY24" s="604"/>
      <c r="AZ24" s="604"/>
      <c r="BA24" s="604"/>
      <c r="BB24" s="604"/>
      <c r="BC24" s="605"/>
      <c r="BD24" s="606" t="str">
        <f>IF(OR(IF('General Information'!$I$28="Yes",AE24&gt;0,IFERROR(INDEX(AE24:BC24,1,MATCH('General Information'!$D$23,Lookups!$AE$7:$BC$7,0))&gt;0,FALSE)),Lookups!BC24&gt;0),"X","")</f>
        <v/>
      </c>
      <c r="BF24" s="298">
        <v>21</v>
      </c>
      <c r="BG24" s="32" t="s">
        <v>304</v>
      </c>
      <c r="BH24" s="548" t="s">
        <v>539</v>
      </c>
    </row>
    <row r="25" spans="1:60" ht="15.75" thickBot="1">
      <c r="B25" s="626" t="s">
        <v>218</v>
      </c>
      <c r="C25" s="627">
        <v>2815</v>
      </c>
      <c r="D25" s="609">
        <v>0.5</v>
      </c>
      <c r="E25" s="628">
        <v>2545</v>
      </c>
      <c r="F25" s="629">
        <v>0.48</v>
      </c>
      <c r="G25" s="587">
        <v>3.1323286238765929E-2</v>
      </c>
      <c r="H25" s="588">
        <v>0.19218786230837523</v>
      </c>
      <c r="I25" s="589">
        <v>-0.14227836441274094</v>
      </c>
      <c r="J25" s="588">
        <v>0.19218786230837523</v>
      </c>
      <c r="L25" s="84"/>
      <c r="M25" s="84"/>
      <c r="N25" s="84"/>
      <c r="O25"/>
      <c r="P25" s="618" t="s">
        <v>740</v>
      </c>
      <c r="Q25" s="619" t="s">
        <v>751</v>
      </c>
      <c r="R25" s="620">
        <v>0</v>
      </c>
      <c r="T25" s="612" t="str">
        <f>IF('General Information'!C46="&lt;Name Your Space Type&gt;","",'General Information'!C46)</f>
        <v/>
      </c>
      <c r="V25" s="590" t="s">
        <v>752</v>
      </c>
      <c r="W25" s="593" t="str">
        <f>""</f>
        <v/>
      </c>
      <c r="X25" s="595" t="s">
        <v>753</v>
      </c>
      <c r="Y25" t="s">
        <v>528</v>
      </c>
      <c r="AC25" s="602" t="s">
        <v>754</v>
      </c>
      <c r="AD25" s="603"/>
      <c r="AE25" s="604"/>
      <c r="AF25" s="604"/>
      <c r="AG25" s="604"/>
      <c r="AH25" s="604"/>
      <c r="AI25" s="604"/>
      <c r="AJ25" s="604"/>
      <c r="AK25" s="604"/>
      <c r="AL25" s="604"/>
      <c r="AM25" s="604"/>
      <c r="AN25" s="604"/>
      <c r="AO25" s="604"/>
      <c r="AP25" s="604"/>
      <c r="AQ25" s="604"/>
      <c r="AR25" s="604"/>
      <c r="AS25" s="604"/>
      <c r="AT25" s="604"/>
      <c r="AU25" s="604"/>
      <c r="AV25" s="604"/>
      <c r="AW25" s="604"/>
      <c r="AX25" s="604"/>
      <c r="AY25" s="604"/>
      <c r="AZ25" s="604"/>
      <c r="BA25" s="604"/>
      <c r="BB25" s="604"/>
      <c r="BC25" s="605">
        <v>0.72</v>
      </c>
      <c r="BD25" s="606" t="str">
        <f>IF(OR(IF('General Information'!$I$28="Yes",AE25&gt;0,IFERROR(INDEX(AE25:BC25,1,MATCH('General Information'!$D$23,Lookups!$AE$7:$BC$7,0))&gt;0,FALSE)),Lookups!BC25&gt;0),"X","")</f>
        <v>X</v>
      </c>
      <c r="BF25" s="298">
        <v>22</v>
      </c>
      <c r="BG25" s="32" t="s">
        <v>310</v>
      </c>
      <c r="BH25" s="548" t="s">
        <v>540</v>
      </c>
    </row>
    <row r="26" spans="1:60" ht="15.75" thickBot="1">
      <c r="B26" s="630" t="s">
        <v>755</v>
      </c>
      <c r="C26" s="631" t="e">
        <f>VLOOKUP(VLOOKUP('General Information'!$D$23,LPD_BuildingArea,5,FALSE),HOU_CF_IF,C4,FALSE)</f>
        <v>#N/A</v>
      </c>
      <c r="D26" s="632" t="e">
        <f>VLOOKUP(VLOOKUP('General Information'!$D$23,LPD_BuildingArea,5,FALSE),HOU_CF_IF,D4,FALSE)</f>
        <v>#N/A</v>
      </c>
      <c r="E26" s="633" t="e">
        <f>VLOOKUP(VLOOKUP('General Information'!$D$23,LPD_BuildingArea,5,FALSE),HOU_CF_IF,E4,FALSE)</f>
        <v>#N/A</v>
      </c>
      <c r="F26" s="634" t="e">
        <f>VLOOKUP(VLOOKUP('General Information'!$D$23,LPD_BuildingArea,5,FALSE),HOU_CF_IF,F4,FALSE)</f>
        <v>#N/A</v>
      </c>
      <c r="G26" s="635" t="e">
        <f>VLOOKUP(VLOOKUP('General Information'!$D$23,LPD_BuildingArea,5,FALSE),HOU_CF_IF,G4,FALSE)</f>
        <v>#N/A</v>
      </c>
      <c r="H26" s="636" t="e">
        <f>VLOOKUP(VLOOKUP('General Information'!$D$23,LPD_BuildingArea,5,FALSE),HOU_CF_IF,H4,FALSE)</f>
        <v>#N/A</v>
      </c>
      <c r="I26" s="637" t="e">
        <f>VLOOKUP(VLOOKUP('General Information'!$D$23,LPD_BuildingArea,5,FALSE),HOU_CF_IF,I4,FALSE)</f>
        <v>#N/A</v>
      </c>
      <c r="J26" s="636" t="e">
        <f>VLOOKUP(VLOOKUP('General Information'!$D$23,LPD_BuildingArea,5,FALSE),HOU_CF_IF,J4,FALSE)</f>
        <v>#N/A</v>
      </c>
      <c r="L26" s="84"/>
      <c r="M26" s="84"/>
      <c r="N26" s="84"/>
      <c r="O26"/>
      <c r="P26" s="638" t="s">
        <v>740</v>
      </c>
      <c r="Q26" s="639" t="s">
        <v>756</v>
      </c>
      <c r="R26" s="620">
        <v>0</v>
      </c>
      <c r="S26" s="32"/>
      <c r="T26" s="612" t="str">
        <f>IF('General Information'!C47="&lt;Name Your Space Type&gt;","",'General Information'!C47)</f>
        <v/>
      </c>
      <c r="V26" s="607" t="s">
        <v>400</v>
      </c>
      <c r="W26" s="640"/>
      <c r="X26" s="641" t="s">
        <v>663</v>
      </c>
      <c r="Y26" t="s">
        <v>528</v>
      </c>
      <c r="AC26" s="602" t="s">
        <v>757</v>
      </c>
      <c r="AD26" s="603"/>
      <c r="AE26" s="604">
        <v>0.92</v>
      </c>
      <c r="AF26" s="604"/>
      <c r="AG26" s="604"/>
      <c r="AH26" s="604"/>
      <c r="AI26" s="604"/>
      <c r="AJ26" s="604"/>
      <c r="AK26" s="604"/>
      <c r="AL26" s="604">
        <v>0.79</v>
      </c>
      <c r="AM26" s="604"/>
      <c r="AN26" s="604"/>
      <c r="AO26" s="604">
        <v>0.41</v>
      </c>
      <c r="AP26" s="604">
        <v>0.41</v>
      </c>
      <c r="AQ26" s="604">
        <v>0.41</v>
      </c>
      <c r="AR26" s="604"/>
      <c r="AS26" s="604"/>
      <c r="AT26" s="604"/>
      <c r="AU26" s="604"/>
      <c r="AV26" s="604"/>
      <c r="AW26" s="604"/>
      <c r="AX26" s="604"/>
      <c r="AY26" s="604"/>
      <c r="AZ26" s="604"/>
      <c r="BA26" s="604"/>
      <c r="BB26" s="604"/>
      <c r="BC26" s="605">
        <v>0.66</v>
      </c>
      <c r="BD26" s="606" t="str">
        <f>IF(OR(IF('General Information'!$I$28="Yes",AE26&gt;0,IFERROR(INDEX(AE26:BC26,1,MATCH('General Information'!$D$23,Lookups!$AE$7:$BC$7,0))&gt;0,FALSE)),Lookups!BC26&gt;0),"X","")</f>
        <v>X</v>
      </c>
      <c r="BF26" s="298">
        <v>23</v>
      </c>
      <c r="BG26" s="32" t="s">
        <v>758</v>
      </c>
      <c r="BH26" s="548" t="s">
        <v>541</v>
      </c>
    </row>
    <row r="27" spans="1:60" ht="18.75" customHeight="1">
      <c r="B27" s="630" t="s">
        <v>759</v>
      </c>
      <c r="C27" s="631" t="e">
        <f>IF(VLOOKUP('General Information'!$D$23,LPD_BuildingArea,5,FALSE)=$B$25,VLOOKUP(VLOOKUP('General Information'!$D$23,LPD_BuildingArea,5,FALSE),HOU_CF_IF,C4,FALSE),IF(VLOOKUP('General Information'!$D$23,LPD_BuildingArea,5,FALSE)=$B$11,VLOOKUP(VLOOKUP('General Information'!$D$23,LPD_BuildingArea,5,FALSE),HOU_CF_IF,C4,FALSE),C9))</f>
        <v>#N/A</v>
      </c>
      <c r="D27" s="632" t="e">
        <f>IF(VLOOKUP('General Information'!$D$23,LPD_BuildingArea,5,FALSE)=$B$25,VLOOKUP(VLOOKUP('General Information'!$D$23,LPD_BuildingArea,5,FALSE),HOU_CF_IF,D4,FALSE),IF(VLOOKUP('General Information'!$D$23,LPD_BuildingArea,5,FALSE)=$B$11,VLOOKUP(VLOOKUP('General Information'!$D$23,LPD_BuildingArea,5,FALSE),HOU_CF_IF,D4,FALSE),D9))</f>
        <v>#N/A</v>
      </c>
      <c r="E27" s="633" t="e">
        <f>IF(VLOOKUP('General Information'!$D$23,LPD_BuildingArea,5,FALSE)=$B$25,VLOOKUP(VLOOKUP('General Information'!$D$23,LPD_BuildingArea,5,FALSE),HOU_CF_IF,E4,FALSE),IF(VLOOKUP('General Information'!$D$23,LPD_BuildingArea,5,FALSE)=$B$11,VLOOKUP(VLOOKUP('General Information'!$D$23,LPD_BuildingArea,5,FALSE),HOU_CF_IF,E4,FALSE),E9))</f>
        <v>#N/A</v>
      </c>
      <c r="F27" s="634" t="e">
        <f>IF(VLOOKUP('General Information'!$D$23,LPD_BuildingArea,5,FALSE)=$B$25,VLOOKUP(VLOOKUP('General Information'!$D$23,LPD_BuildingArea,5,FALSE),HOU_CF_IF,F4,FALSE),IF(VLOOKUP('General Information'!$D$23,LPD_BuildingArea,5,FALSE)=$B$11,VLOOKUP(VLOOKUP('General Information'!$D$23,LPD_BuildingArea,5,FALSE),HOU_CF_IF,F4,FALSE),F9))</f>
        <v>#N/A</v>
      </c>
      <c r="G27" s="635" t="e">
        <f>IF(VLOOKUP('General Information'!$D$23,LPD_BuildingArea,5,FALSE)=$B$25,VLOOKUP(VLOOKUP('General Information'!$D$23,LPD_BuildingArea,5,FALSE),HOU_CF_IF,G4,FALSE),IF(VLOOKUP('General Information'!$D$23,LPD_BuildingArea,5,FALSE)=$B$11,VLOOKUP(VLOOKUP('General Information'!$D$23,LPD_BuildingArea,5,FALSE),HOU_CF_IF,G4,FALSE),G9))</f>
        <v>#N/A</v>
      </c>
      <c r="H27" s="636" t="e">
        <f>IF(VLOOKUP('General Information'!$D$23,LPD_BuildingArea,5,FALSE)=$B$25,VLOOKUP(VLOOKUP('General Information'!$D$23,LPD_BuildingArea,5,FALSE),HOU_CF_IF,H4,FALSE),IF(VLOOKUP('General Information'!$D$23,LPD_BuildingArea,5,FALSE)=$B$11,VLOOKUP(VLOOKUP('General Information'!$D$23,LPD_BuildingArea,5,FALSE),HOU_CF_IF,H4,FALSE),H9))</f>
        <v>#N/A</v>
      </c>
      <c r="I27" s="637" t="e">
        <f>IF(VLOOKUP('General Information'!$D$23,LPD_BuildingArea,5,FALSE)=$B$25,VLOOKUP(VLOOKUP('General Information'!$D$23,LPD_BuildingArea,5,FALSE),HOU_CF_IF,I4,FALSE),IF(VLOOKUP('General Information'!$D$23,LPD_BuildingArea,5,FALSE)=$B$11,VLOOKUP(VLOOKUP('General Information'!$D$23,LPD_BuildingArea,5,FALSE),HOU_CF_IF,I4,FALSE),I9))</f>
        <v>#N/A</v>
      </c>
      <c r="J27" s="636" t="e">
        <f>IF(VLOOKUP('General Information'!$D$23,LPD_BuildingArea,5,FALSE)=$B$25,VLOOKUP(VLOOKUP('General Information'!$D$23,LPD_BuildingArea,5,FALSE),HOU_CF_IF,J4,FALSE),IF(VLOOKUP('General Information'!$D$23,LPD_BuildingArea,5,FALSE)=$B$11,VLOOKUP(VLOOKUP('General Information'!$D$23,LPD_BuildingArea,5,FALSE),HOU_CF_IF,J4,FALSE),J9))</f>
        <v>#N/A</v>
      </c>
      <c r="L27" s="84"/>
      <c r="M27" s="84"/>
      <c r="N27" s="84"/>
      <c r="O27"/>
      <c r="P27" s="1110" t="s">
        <v>760</v>
      </c>
      <c r="Q27" s="1111"/>
      <c r="R27" s="1112"/>
      <c r="S27" s="32"/>
      <c r="T27" s="612" t="str">
        <f>IF('General Information'!C48="&lt;Name Your Space Type&gt;","",'General Information'!C48)</f>
        <v/>
      </c>
      <c r="AC27" s="602" t="s">
        <v>761</v>
      </c>
      <c r="AD27" s="603"/>
      <c r="AE27" s="604"/>
      <c r="AF27" s="604"/>
      <c r="AG27" s="604"/>
      <c r="AH27" s="604"/>
      <c r="AI27" s="604"/>
      <c r="AJ27" s="604"/>
      <c r="AK27" s="604"/>
      <c r="AL27" s="604"/>
      <c r="AM27" s="604"/>
      <c r="AN27" s="604"/>
      <c r="AO27" s="604"/>
      <c r="AP27" s="604"/>
      <c r="AQ27" s="604"/>
      <c r="AR27" s="604"/>
      <c r="AS27" s="604"/>
      <c r="AT27" s="604"/>
      <c r="AU27" s="604"/>
      <c r="AV27" s="604"/>
      <c r="AW27" s="604"/>
      <c r="AX27" s="604"/>
      <c r="AY27" s="604"/>
      <c r="AZ27" s="604"/>
      <c r="BA27" s="604"/>
      <c r="BB27" s="604"/>
      <c r="BC27" s="605">
        <v>1.72</v>
      </c>
      <c r="BD27" s="606" t="str">
        <f>IF(OR(IF('General Information'!$I$28="Yes",AE27&gt;0,IFERROR(INDEX(AE27:BC27,1,MATCH('General Information'!$D$23,Lookups!$AE$7:$BC$7,0))&gt;0,FALSE)),Lookups!BC27&gt;0),"X","")</f>
        <v>X</v>
      </c>
      <c r="BF27" s="298">
        <v>24</v>
      </c>
      <c r="BG27" s="32" t="s">
        <v>762</v>
      </c>
      <c r="BH27" s="548" t="s">
        <v>542</v>
      </c>
    </row>
    <row r="28" spans="1:60" ht="14.25" customHeight="1" thickBot="1">
      <c r="B28" s="597" t="s">
        <v>763</v>
      </c>
      <c r="C28" s="583">
        <v>6205</v>
      </c>
      <c r="D28" s="584">
        <v>0.92</v>
      </c>
      <c r="E28" s="585">
        <v>6205</v>
      </c>
      <c r="F28" s="586">
        <v>0.92</v>
      </c>
      <c r="G28" s="587" t="s">
        <v>764</v>
      </c>
      <c r="H28" s="588" t="s">
        <v>764</v>
      </c>
      <c r="I28" s="589" t="s">
        <v>764</v>
      </c>
      <c r="J28" s="588" t="s">
        <v>764</v>
      </c>
      <c r="L28" s="84"/>
      <c r="M28" s="84"/>
      <c r="O28"/>
      <c r="P28" s="282"/>
      <c r="Q28" s="283"/>
      <c r="R28" s="284"/>
      <c r="S28" s="32"/>
      <c r="T28" s="612" t="str">
        <f>IF('General Information'!C49="&lt;Name Your Space Type&gt;","",'General Information'!C49)</f>
        <v/>
      </c>
      <c r="AC28" s="602" t="s">
        <v>765</v>
      </c>
      <c r="AD28" s="603"/>
      <c r="AE28" s="604"/>
      <c r="AF28" s="604"/>
      <c r="AG28" s="604"/>
      <c r="AH28" s="604"/>
      <c r="AI28" s="604"/>
      <c r="AJ28" s="604"/>
      <c r="AK28" s="604"/>
      <c r="AL28" s="604"/>
      <c r="AM28" s="604"/>
      <c r="AN28" s="604"/>
      <c r="AO28" s="604">
        <v>1.29</v>
      </c>
      <c r="AP28" s="604">
        <v>1.29</v>
      </c>
      <c r="AQ28" s="604">
        <v>1.29</v>
      </c>
      <c r="AR28" s="604"/>
      <c r="AS28" s="604"/>
      <c r="AT28" s="604"/>
      <c r="AU28" s="604"/>
      <c r="AV28" s="604"/>
      <c r="AW28" s="604"/>
      <c r="AX28" s="604"/>
      <c r="AY28" s="604"/>
      <c r="AZ28" s="604"/>
      <c r="BA28" s="604"/>
      <c r="BB28" s="604"/>
      <c r="BC28" s="605"/>
      <c r="BD28" s="606" t="str">
        <f>IF(OR(IF('General Information'!$I$28="Yes",AE28&gt;0,IFERROR(INDEX(AE28:BC28,1,MATCH('General Information'!$D$23,Lookups!$AE$7:$BC$7,0))&gt;0,FALSE)),Lookups!BC28&gt;0),"X","")</f>
        <v/>
      </c>
      <c r="BF28" s="298">
        <v>25</v>
      </c>
      <c r="BG28" s="32" t="s">
        <v>428</v>
      </c>
      <c r="BH28" s="548" t="s">
        <v>543</v>
      </c>
    </row>
    <row r="29" spans="1:60" ht="15.75" thickBot="1">
      <c r="A29" s="84"/>
      <c r="B29" s="642" t="s">
        <v>766</v>
      </c>
      <c r="C29" s="627">
        <v>8760</v>
      </c>
      <c r="D29" s="609">
        <v>1</v>
      </c>
      <c r="E29" s="628">
        <v>8760</v>
      </c>
      <c r="F29" s="629">
        <v>1</v>
      </c>
      <c r="G29" s="643">
        <f>G8</f>
        <v>3.1323286238765929E-2</v>
      </c>
      <c r="H29" s="644">
        <f>H8</f>
        <v>0.19218786230837523</v>
      </c>
      <c r="I29" s="645">
        <f>I8</f>
        <v>-0.14227836441274094</v>
      </c>
      <c r="J29" s="644">
        <f>J8</f>
        <v>0.19218786230837523</v>
      </c>
      <c r="L29" s="84"/>
      <c r="M29" s="84"/>
      <c r="O29" s="84"/>
      <c r="S29" s="85"/>
      <c r="T29" s="612" t="str">
        <f>IF('General Information'!C50="&lt;Name Your Space Type&gt;","",'General Information'!C50)</f>
        <v/>
      </c>
      <c r="V29" s="185"/>
      <c r="W29" s="85"/>
      <c r="X29" s="85"/>
      <c r="AC29" s="602" t="s">
        <v>767</v>
      </c>
      <c r="AD29" s="603"/>
      <c r="AE29" s="604">
        <v>1.9</v>
      </c>
      <c r="AF29" s="604"/>
      <c r="AG29" s="604">
        <v>1.07</v>
      </c>
      <c r="AH29" s="604">
        <v>0.65</v>
      </c>
      <c r="AI29" s="604">
        <v>0.89</v>
      </c>
      <c r="AJ29" s="604"/>
      <c r="AK29" s="604"/>
      <c r="AL29" s="604"/>
      <c r="AM29" s="604"/>
      <c r="AN29" s="604"/>
      <c r="AO29" s="604"/>
      <c r="AP29" s="604"/>
      <c r="AQ29" s="604"/>
      <c r="AR29" s="604"/>
      <c r="AS29" s="604"/>
      <c r="AT29" s="604">
        <v>0.96</v>
      </c>
      <c r="AU29" s="604"/>
      <c r="AV29" s="604"/>
      <c r="AW29" s="604"/>
      <c r="AX29" s="604"/>
      <c r="AY29" s="604"/>
      <c r="AZ29" s="604"/>
      <c r="BA29" s="604"/>
      <c r="BB29" s="604"/>
      <c r="BC29" s="605">
        <v>0.65</v>
      </c>
      <c r="BD29" s="606" t="str">
        <f>IF(OR(IF('General Information'!$I$28="Yes",AE29&gt;0,IFERROR(INDEX(AE29:BC29,1,MATCH('General Information'!$D$23,Lookups!$AE$7:$BC$7,0))&gt;0,FALSE)),Lookups!BC29&gt;0),"X","")</f>
        <v>X</v>
      </c>
      <c r="BF29" s="298">
        <v>26</v>
      </c>
      <c r="BG29" s="32" t="s">
        <v>768</v>
      </c>
      <c r="BH29" s="548" t="s">
        <v>544</v>
      </c>
    </row>
    <row r="30" spans="1:60" ht="14.25" customHeight="1">
      <c r="A30" s="84"/>
      <c r="B30" s="1085" t="s">
        <v>769</v>
      </c>
      <c r="C30" s="1086"/>
      <c r="D30" s="1086"/>
      <c r="E30" s="1086"/>
      <c r="F30" s="1086"/>
      <c r="G30" s="1086"/>
      <c r="H30" s="1086"/>
      <c r="I30" s="1086"/>
      <c r="J30" s="1087"/>
      <c r="K30" s="84"/>
      <c r="L30" s="84"/>
      <c r="M30" s="84"/>
      <c r="O30" s="84"/>
      <c r="P30" s="243"/>
      <c r="Q30" s="244"/>
      <c r="R30" s="245"/>
      <c r="S30" s="85"/>
      <c r="T30" s="612" t="str">
        <f>IF('General Information'!C51="&lt;Name Your Space Type&gt;","",'General Information'!C51)</f>
        <v/>
      </c>
      <c r="U30" s="84"/>
      <c r="V30" s="185"/>
      <c r="W30" s="85"/>
      <c r="X30" s="85"/>
      <c r="Y30" s="84"/>
      <c r="Z30" s="84"/>
      <c r="AA30" s="84"/>
      <c r="AC30" s="602" t="s">
        <v>770</v>
      </c>
      <c r="AD30" s="603"/>
      <c r="AE30" s="604"/>
      <c r="AF30" s="604"/>
      <c r="AG30" s="604"/>
      <c r="AH30" s="604"/>
      <c r="AI30" s="604"/>
      <c r="AJ30" s="604"/>
      <c r="AK30" s="604"/>
      <c r="AL30" s="604"/>
      <c r="AM30" s="604"/>
      <c r="AN30" s="604"/>
      <c r="AO30" s="604"/>
      <c r="AP30" s="604"/>
      <c r="AQ30" s="604"/>
      <c r="AR30" s="604"/>
      <c r="AS30" s="604"/>
      <c r="AT30" s="604"/>
      <c r="AU30" s="604"/>
      <c r="AV30" s="604"/>
      <c r="AW30" s="604"/>
      <c r="AX30" s="604"/>
      <c r="AY30" s="604"/>
      <c r="AZ30" s="604"/>
      <c r="BA30" s="604"/>
      <c r="BB30" s="604"/>
      <c r="BC30" s="605">
        <v>0.38</v>
      </c>
      <c r="BD30" s="606" t="str">
        <f>IF(OR(IF('General Information'!$I$28="Yes",AE30&gt;0,IFERROR(INDEX(AE30:BC30,1,MATCH('General Information'!$D$23,Lookups!$AE$7:$BC$7,0))&gt;0,FALSE)),Lookups!BC30&gt;0),"X","")</f>
        <v>X</v>
      </c>
      <c r="BF30" s="298">
        <v>27</v>
      </c>
      <c r="BG30" s="32" t="s">
        <v>771</v>
      </c>
      <c r="BH30" s="548" t="s">
        <v>545</v>
      </c>
    </row>
    <row r="31" spans="1:60" ht="14.25" customHeight="1" thickBot="1">
      <c r="A31" s="84"/>
      <c r="B31" s="1091"/>
      <c r="C31" s="1092"/>
      <c r="D31" s="1092"/>
      <c r="E31" s="1092"/>
      <c r="F31" s="1092"/>
      <c r="G31" s="1092"/>
      <c r="H31" s="1092"/>
      <c r="I31" s="1092"/>
      <c r="J31" s="1093"/>
      <c r="K31" s="84"/>
      <c r="L31" s="84"/>
      <c r="M31" s="84"/>
      <c r="O31" s="84"/>
      <c r="P31" s="120"/>
      <c r="Q31" s="246"/>
      <c r="R31" s="246"/>
      <c r="S31" s="85"/>
      <c r="T31" s="612" t="str">
        <f>IF('General Information'!C52="&lt;Name Your Space Type&gt;","",'General Information'!C52)</f>
        <v/>
      </c>
      <c r="U31" s="84"/>
      <c r="V31" s="185"/>
      <c r="W31" s="85"/>
      <c r="X31" s="85"/>
      <c r="Y31" s="84"/>
      <c r="Z31" s="84"/>
      <c r="AA31" s="84"/>
      <c r="AC31" s="602" t="s">
        <v>772</v>
      </c>
      <c r="AD31" s="603"/>
      <c r="AE31" s="604"/>
      <c r="AF31" s="604"/>
      <c r="AG31" s="604"/>
      <c r="AH31" s="604"/>
      <c r="AI31" s="604"/>
      <c r="AJ31" s="604"/>
      <c r="AK31" s="604"/>
      <c r="AL31" s="604"/>
      <c r="AM31" s="604"/>
      <c r="AN31" s="604"/>
      <c r="AO31" s="604"/>
      <c r="AP31" s="604"/>
      <c r="AQ31" s="604"/>
      <c r="AR31" s="604"/>
      <c r="AS31" s="604"/>
      <c r="AT31" s="604"/>
      <c r="AU31" s="604">
        <v>0.61</v>
      </c>
      <c r="AV31" s="604"/>
      <c r="AW31" s="604"/>
      <c r="AX31" s="604"/>
      <c r="AY31" s="604"/>
      <c r="AZ31" s="604"/>
      <c r="BA31" s="604"/>
      <c r="BB31" s="604"/>
      <c r="BC31" s="605"/>
      <c r="BD31" s="606" t="str">
        <f>IF(OR(IF('General Information'!$I$28="Yes",AE31&gt;0,IFERROR(INDEX(AE31:BC31,1,MATCH('General Information'!$D$23,Lookups!$AE$7:$BC$7,0))&gt;0,FALSE)),Lookups!BC31&gt;0),"X","")</f>
        <v/>
      </c>
      <c r="BF31" s="298">
        <v>28</v>
      </c>
      <c r="BG31" s="32" t="s">
        <v>773</v>
      </c>
      <c r="BH31" s="548" t="s">
        <v>546</v>
      </c>
    </row>
    <row r="32" spans="1:60" ht="15.75" thickBot="1">
      <c r="A32" s="84"/>
      <c r="B32" s="396"/>
      <c r="C32" s="397"/>
      <c r="D32" s="397"/>
      <c r="E32" s="397"/>
      <c r="F32" s="397"/>
      <c r="G32" s="397"/>
      <c r="H32" s="397"/>
      <c r="I32" s="397"/>
      <c r="J32" s="398"/>
      <c r="K32" s="84"/>
      <c r="L32" s="84"/>
      <c r="M32" s="84"/>
      <c r="O32" s="84"/>
      <c r="S32" s="85"/>
      <c r="T32" s="612" t="str">
        <f>IF('General Information'!C53="&lt;Name Your Space Type&gt;","",'General Information'!C53)</f>
        <v/>
      </c>
      <c r="U32" s="84"/>
      <c r="V32" s="185"/>
      <c r="W32" s="85"/>
      <c r="X32" s="85"/>
      <c r="Y32" s="84"/>
      <c r="Z32" s="84"/>
      <c r="AA32" s="84"/>
      <c r="AC32" s="602" t="s">
        <v>774</v>
      </c>
      <c r="AD32" s="603"/>
      <c r="AE32" s="604"/>
      <c r="AF32" s="604"/>
      <c r="AG32" s="604"/>
      <c r="AH32" s="604"/>
      <c r="AI32" s="604"/>
      <c r="AJ32" s="604"/>
      <c r="AK32" s="604"/>
      <c r="AL32" s="604"/>
      <c r="AM32" s="604"/>
      <c r="AN32" s="604"/>
      <c r="AO32" s="604"/>
      <c r="AP32" s="604"/>
      <c r="AQ32" s="604"/>
      <c r="AR32" s="604"/>
      <c r="AS32" s="604"/>
      <c r="AT32" s="604"/>
      <c r="AU32" s="604"/>
      <c r="AV32" s="604"/>
      <c r="AW32" s="604"/>
      <c r="AX32" s="604">
        <v>0.71</v>
      </c>
      <c r="AY32" s="604"/>
      <c r="AZ32" s="604"/>
      <c r="BA32" s="604"/>
      <c r="BB32" s="604"/>
      <c r="BC32" s="605"/>
      <c r="BD32" s="606" t="str">
        <f>IF(OR(IF('General Information'!$I$28="Yes",AE32&gt;0,IFERROR(INDEX(AE32:BC32,1,MATCH('General Information'!$D$23,Lookups!$AE$7:$BC$7,0))&gt;0,FALSE)),Lookups!BC32&gt;0),"X","")</f>
        <v/>
      </c>
      <c r="BF32" s="298">
        <v>29</v>
      </c>
      <c r="BG32" s="32" t="s">
        <v>775</v>
      </c>
      <c r="BH32" s="548" t="s">
        <v>547</v>
      </c>
    </row>
    <row r="33" spans="1:60" ht="14.25" customHeight="1">
      <c r="A33" s="84"/>
      <c r="B33" s="299" t="s">
        <v>776</v>
      </c>
      <c r="C33" s="300"/>
      <c r="D33" s="300"/>
      <c r="F33" s="1094" t="s">
        <v>777</v>
      </c>
      <c r="G33" s="1095"/>
      <c r="H33" s="1095"/>
      <c r="I33" s="1095"/>
      <c r="J33" s="1096"/>
      <c r="K33" s="336"/>
      <c r="L33" s="84"/>
      <c r="M33" s="84"/>
      <c r="O33" s="84"/>
      <c r="P33" s="1094" t="s">
        <v>778</v>
      </c>
      <c r="Q33" s="1095"/>
      <c r="R33" s="1096"/>
      <c r="S33" s="85"/>
      <c r="T33" s="612" t="str">
        <f>IF('General Information'!C54="&lt;Name Your Space Type&gt;","",'General Information'!C54)</f>
        <v/>
      </c>
      <c r="U33" s="84"/>
      <c r="V33" s="185"/>
      <c r="W33" s="85"/>
      <c r="X33" s="85"/>
      <c r="Y33" s="84"/>
      <c r="Z33" s="84"/>
      <c r="AA33" s="84"/>
      <c r="AC33" s="602" t="s">
        <v>779</v>
      </c>
      <c r="AD33" s="603"/>
      <c r="AE33" s="604"/>
      <c r="AF33" s="604"/>
      <c r="AG33" s="604"/>
      <c r="AH33" s="604"/>
      <c r="AI33" s="604"/>
      <c r="AJ33" s="604"/>
      <c r="AK33" s="604"/>
      <c r="AL33" s="604"/>
      <c r="AM33" s="604"/>
      <c r="AN33" s="604"/>
      <c r="AO33" s="604"/>
      <c r="AP33" s="604"/>
      <c r="AQ33" s="604"/>
      <c r="AR33" s="604"/>
      <c r="AS33" s="604"/>
      <c r="AT33" s="604"/>
      <c r="AU33" s="604"/>
      <c r="AV33" s="604"/>
      <c r="AW33" s="604"/>
      <c r="AX33" s="604"/>
      <c r="AY33" s="604"/>
      <c r="AZ33" s="604"/>
      <c r="BA33" s="604"/>
      <c r="BB33" s="604"/>
      <c r="BC33" s="605">
        <v>0.95</v>
      </c>
      <c r="BD33" s="606" t="str">
        <f>IF(OR(IF('General Information'!$I$28="Yes",AE33&gt;0,IFERROR(INDEX(AE33:BC33,1,MATCH('General Information'!$D$23,Lookups!$AE$7:$BC$7,0))&gt;0,FALSE)),Lookups!BC33&gt;0),"X","")</f>
        <v>X</v>
      </c>
      <c r="BF33" s="298">
        <v>30</v>
      </c>
      <c r="BG33" s="32" t="s">
        <v>780</v>
      </c>
      <c r="BH33" s="548" t="s">
        <v>548</v>
      </c>
    </row>
    <row r="34" spans="1:60" ht="14.25" customHeight="1" thickBot="1">
      <c r="A34" s="84"/>
      <c r="B34" s="299"/>
      <c r="C34" s="300"/>
      <c r="D34" s="300"/>
      <c r="F34" s="1097"/>
      <c r="G34" s="1098"/>
      <c r="H34" s="1098"/>
      <c r="I34" s="1098"/>
      <c r="J34" s="1099"/>
      <c r="K34" s="336"/>
      <c r="L34" s="84"/>
      <c r="M34" s="84"/>
      <c r="O34" s="84"/>
      <c r="P34" s="1113"/>
      <c r="Q34" s="1114"/>
      <c r="R34" s="1115"/>
      <c r="S34" s="85"/>
      <c r="T34" s="612" t="str">
        <f>IF('General Information'!C55="&lt;Name Your Space Type&gt;","",'General Information'!C55)</f>
        <v/>
      </c>
      <c r="U34" s="84"/>
      <c r="V34" s="185"/>
      <c r="W34" s="85"/>
      <c r="X34" s="85"/>
      <c r="Y34" s="84"/>
      <c r="Z34" s="84"/>
      <c r="AA34" s="84"/>
      <c r="AC34" s="602" t="s">
        <v>781</v>
      </c>
      <c r="AD34" s="603"/>
      <c r="AE34" s="604"/>
      <c r="AF34" s="604"/>
      <c r="AG34" s="604"/>
      <c r="AH34" s="604"/>
      <c r="AI34" s="604"/>
      <c r="AJ34" s="604"/>
      <c r="AK34" s="604"/>
      <c r="AL34" s="604"/>
      <c r="AM34" s="604"/>
      <c r="AN34" s="604"/>
      <c r="AO34" s="604"/>
      <c r="AP34" s="604"/>
      <c r="AQ34" s="604"/>
      <c r="AR34" s="604"/>
      <c r="AS34" s="604"/>
      <c r="AT34" s="604"/>
      <c r="AU34" s="604"/>
      <c r="AV34" s="604"/>
      <c r="AW34" s="604"/>
      <c r="AX34" s="604"/>
      <c r="AY34" s="604"/>
      <c r="AZ34" s="604"/>
      <c r="BA34" s="604"/>
      <c r="BB34" s="604"/>
      <c r="BC34" s="605">
        <v>0.64</v>
      </c>
      <c r="BD34" s="606" t="str">
        <f>IF(OR(IF('General Information'!$I$28="Yes",AE34&gt;0,IFERROR(INDEX(AE34:BC34,1,MATCH('General Information'!$D$23,Lookups!$AE$7:$BC$7,0))&gt;0,FALSE)),Lookups!BC34&gt;0),"X","")</f>
        <v>X</v>
      </c>
      <c r="BF34" s="298">
        <v>31</v>
      </c>
      <c r="BG34" s="32" t="s">
        <v>782</v>
      </c>
      <c r="BH34" s="572" t="s">
        <v>549</v>
      </c>
    </row>
    <row r="35" spans="1:60" ht="15" customHeight="1">
      <c r="A35" s="84"/>
      <c r="B35" s="1079" t="s">
        <v>783</v>
      </c>
      <c r="C35" s="1081" t="s">
        <v>784</v>
      </c>
      <c r="D35" s="1083" t="s">
        <v>670</v>
      </c>
      <c r="F35" s="1100" t="s">
        <v>785</v>
      </c>
      <c r="G35" s="1101"/>
      <c r="H35" s="1102"/>
      <c r="I35" s="1106" t="s">
        <v>786</v>
      </c>
      <c r="J35" s="1108" t="s">
        <v>787</v>
      </c>
      <c r="K35" s="83"/>
      <c r="M35" s="84"/>
      <c r="N35" s="84"/>
      <c r="O35" s="84"/>
      <c r="P35" s="646" t="s">
        <v>664</v>
      </c>
      <c r="Q35" s="647" t="s">
        <v>788</v>
      </c>
      <c r="R35" s="648" t="s">
        <v>789</v>
      </c>
      <c r="S35" s="85"/>
      <c r="T35" s="612" t="str">
        <f>IF('General Information'!C56="&lt;Name Your Space Type&gt;","",'General Information'!C56)</f>
        <v/>
      </c>
      <c r="U35" s="84"/>
      <c r="V35" s="185"/>
      <c r="W35" s="85"/>
      <c r="X35" s="85"/>
      <c r="Y35" s="84"/>
      <c r="Z35" s="84"/>
      <c r="AA35" s="84"/>
      <c r="AC35" s="602" t="s">
        <v>790</v>
      </c>
      <c r="AD35" s="603"/>
      <c r="AE35" s="604"/>
      <c r="AF35" s="604"/>
      <c r="AG35" s="604"/>
      <c r="AH35" s="604"/>
      <c r="AI35" s="604"/>
      <c r="AJ35" s="604"/>
      <c r="AK35" s="604"/>
      <c r="AL35" s="604"/>
      <c r="AM35" s="604"/>
      <c r="AN35" s="604"/>
      <c r="AO35" s="604"/>
      <c r="AP35" s="604"/>
      <c r="AQ35" s="604"/>
      <c r="AR35" s="604"/>
      <c r="AS35" s="604"/>
      <c r="AT35" s="604"/>
      <c r="AU35" s="604"/>
      <c r="AV35" s="604"/>
      <c r="AW35" s="604"/>
      <c r="AX35" s="604"/>
      <c r="AY35" s="604"/>
      <c r="AZ35" s="604"/>
      <c r="BA35" s="604"/>
      <c r="BB35" s="604"/>
      <c r="BC35" s="605">
        <v>0.56000000000000005</v>
      </c>
      <c r="BD35" s="606" t="str">
        <f>IF(OR(IF('General Information'!$I$28="Yes",AE35&gt;0,IFERROR(INDEX(AE35:BC35,1,MATCH('General Information'!$D$23,Lookups!$AE$7:$BC$7,0))&gt;0,FALSE)),Lookups!BC35&gt;0),"X","")</f>
        <v>X</v>
      </c>
      <c r="BF35" s="298">
        <v>32</v>
      </c>
      <c r="BG35" s="32" t="s">
        <v>791</v>
      </c>
      <c r="BH35" s="572" t="s">
        <v>550</v>
      </c>
    </row>
    <row r="36" spans="1:60" ht="15" customHeight="1" thickBot="1">
      <c r="A36" s="84"/>
      <c r="B36" s="1080"/>
      <c r="C36" s="1082"/>
      <c r="D36" s="1084"/>
      <c r="F36" s="1103"/>
      <c r="G36" s="1104"/>
      <c r="H36" s="1105"/>
      <c r="I36" s="1107"/>
      <c r="J36" s="1109"/>
      <c r="M36" s="84"/>
      <c r="N36" s="84"/>
      <c r="O36" s="84"/>
      <c r="P36" s="590" t="s">
        <v>183</v>
      </c>
      <c r="Q36" s="649">
        <v>0.69</v>
      </c>
      <c r="R36" s="650">
        <v>0.16559999999999997</v>
      </c>
      <c r="S36" s="85"/>
      <c r="T36" s="612" t="str">
        <f>IF('General Information'!C57="&lt;Name Your Space Type&gt;","",'General Information'!C57)</f>
        <v/>
      </c>
      <c r="U36" s="84"/>
      <c r="V36" s="185"/>
      <c r="W36" s="85"/>
      <c r="X36" s="85"/>
      <c r="Y36" s="84"/>
      <c r="Z36" s="84"/>
      <c r="AA36" s="84"/>
      <c r="AC36" s="602" t="s">
        <v>792</v>
      </c>
      <c r="AD36" s="603"/>
      <c r="AE36" s="604"/>
      <c r="AF36" s="604"/>
      <c r="AG36" s="604"/>
      <c r="AH36" s="604"/>
      <c r="AI36" s="604"/>
      <c r="AJ36" s="604"/>
      <c r="AK36" s="604"/>
      <c r="AL36" s="604"/>
      <c r="AM36" s="604"/>
      <c r="AN36" s="604"/>
      <c r="AO36" s="604">
        <v>0.74</v>
      </c>
      <c r="AP36" s="604">
        <v>0.74</v>
      </c>
      <c r="AQ36" s="604">
        <v>0.74</v>
      </c>
      <c r="AR36" s="604"/>
      <c r="AS36" s="604"/>
      <c r="AT36" s="604"/>
      <c r="AU36" s="604"/>
      <c r="AV36" s="604"/>
      <c r="AW36" s="604"/>
      <c r="AX36" s="604"/>
      <c r="AY36" s="604"/>
      <c r="AZ36" s="604"/>
      <c r="BA36" s="604"/>
      <c r="BB36" s="604"/>
      <c r="BC36" s="605"/>
      <c r="BD36" s="606" t="str">
        <f>IF(OR(IF('General Information'!$I$28="Yes",AE36&gt;0,IFERROR(INDEX(AE36:BC36,1,MATCH('General Information'!$D$23,Lookups!$AE$7:$BC$7,0))&gt;0,FALSE)),Lookups!BC36&gt;0),"X","")</f>
        <v/>
      </c>
      <c r="BF36" s="298">
        <v>33</v>
      </c>
      <c r="BG36" s="32" t="s">
        <v>793</v>
      </c>
      <c r="BH36" s="548" t="s">
        <v>551</v>
      </c>
    </row>
    <row r="37" spans="1:60" ht="15">
      <c r="A37" s="84"/>
      <c r="B37" s="590" t="s">
        <v>794</v>
      </c>
      <c r="C37" s="651" t="str">
        <f>IF('General Information'!D37="Building Area Method",VLOOKUP('General Information'!D23,xyLPD_BuildingArea,4,FALSE),"")</f>
        <v/>
      </c>
      <c r="D37" s="652" t="str">
        <f t="shared" ref="D37:D68" si="1">IFERROR(IF(VLOOKUP(B37,AC:AD,2,FALSE)&lt;&gt;"",VLOOKUP(B37,AC:AD,2,FALSE),""),"")</f>
        <v/>
      </c>
      <c r="F37" s="399" t="s">
        <v>173</v>
      </c>
      <c r="G37" s="653"/>
      <c r="H37" s="654"/>
      <c r="I37" s="655">
        <v>0.8</v>
      </c>
      <c r="J37" s="656" t="s">
        <v>174</v>
      </c>
      <c r="K37" s="185"/>
      <c r="M37" s="84"/>
      <c r="N37" s="84"/>
      <c r="O37" s="84"/>
      <c r="P37" s="590" t="s">
        <v>186</v>
      </c>
      <c r="Q37" s="649" t="s">
        <v>764</v>
      </c>
      <c r="R37" s="650">
        <v>0</v>
      </c>
      <c r="S37" s="85"/>
      <c r="T37" s="612" t="str">
        <f>IF('General Information'!C58="&lt;Name Your Space Type&gt;","",'General Information'!C58)</f>
        <v/>
      </c>
      <c r="U37" s="84"/>
      <c r="V37" s="84"/>
      <c r="W37" s="84"/>
      <c r="X37" s="84"/>
      <c r="Y37" s="84"/>
      <c r="Z37" s="84"/>
      <c r="AA37" s="84"/>
      <c r="AC37" s="602" t="s">
        <v>795</v>
      </c>
      <c r="AD37" s="603"/>
      <c r="AE37" s="604"/>
      <c r="AF37" s="604"/>
      <c r="AG37" s="604"/>
      <c r="AH37" s="604"/>
      <c r="AI37" s="604"/>
      <c r="AJ37" s="604"/>
      <c r="AK37" s="604">
        <v>1.66</v>
      </c>
      <c r="AL37" s="604">
        <v>1.66</v>
      </c>
      <c r="AM37" s="604"/>
      <c r="AN37" s="604"/>
      <c r="AO37" s="604"/>
      <c r="AP37" s="604"/>
      <c r="AQ37" s="604"/>
      <c r="AR37" s="604"/>
      <c r="AS37" s="604"/>
      <c r="AT37" s="604"/>
      <c r="AU37" s="604"/>
      <c r="AV37" s="604"/>
      <c r="AW37" s="604"/>
      <c r="AX37" s="604"/>
      <c r="AY37" s="604"/>
      <c r="AZ37" s="604"/>
      <c r="BA37" s="604"/>
      <c r="BB37" s="604"/>
      <c r="BC37" s="605"/>
      <c r="BD37" s="606" t="str">
        <f>IF(OR(IF('General Information'!$I$28="Yes",AE37&gt;0,IFERROR(INDEX(AE37:BC37,1,MATCH('General Information'!$D$23,Lookups!$AE$7:$BC$7,0))&gt;0,FALSE)),Lookups!BC37&gt;0),"X","")</f>
        <v/>
      </c>
      <c r="BF37" s="298">
        <v>34</v>
      </c>
      <c r="BG37" s="32" t="s">
        <v>796</v>
      </c>
      <c r="BH37" s="548" t="s">
        <v>552</v>
      </c>
    </row>
    <row r="38" spans="1:60" ht="15">
      <c r="A38" s="301">
        <f>MATCH("X",BD:BD,0)</f>
        <v>11</v>
      </c>
      <c r="B38" s="590" t="str">
        <f ca="1">INDIRECT("AC"&amp;A38)</f>
        <v>Atrium, &lt; 40 ft. in height</v>
      </c>
      <c r="C38" s="657" t="str">
        <f ca="1">IFERROR(INDEX($AE$10:$BC$105,MATCH(B43,Lookups!$AC$10:$AC$106,0),IF('General Information'!$I$28="Yes",1,IF(INDEX($AE$10:$BC$105,MATCH(B43,Lookups!$AC$10:$AC$106,0),MATCH('General Information'!$D$23,Lookups!$AE$7:$BC$7,0))&lt;&gt;0,MATCH('General Information'!$D$23,Lookups!$AE$7:$BC$7,0),25))),"")</f>
        <v/>
      </c>
      <c r="D38" s="652" t="str">
        <f t="shared" ca="1" si="1"/>
        <v/>
      </c>
      <c r="F38" s="658" t="s">
        <v>175</v>
      </c>
      <c r="G38" s="659"/>
      <c r="H38" s="660"/>
      <c r="I38" s="593">
        <v>1.01</v>
      </c>
      <c r="J38" s="661" t="s">
        <v>174</v>
      </c>
      <c r="K38" s="185"/>
      <c r="M38" s="84"/>
      <c r="N38" s="84"/>
      <c r="O38" s="84"/>
      <c r="P38" s="590" t="s">
        <v>187</v>
      </c>
      <c r="Q38" s="649">
        <v>0.2</v>
      </c>
      <c r="R38" s="650">
        <v>4.8000000000000001E-2</v>
      </c>
      <c r="S38" s="85"/>
      <c r="T38" s="612" t="str">
        <f>IF('General Information'!C59="&lt;Name Your Space Type&gt;","",'General Information'!C59)</f>
        <v/>
      </c>
      <c r="U38" s="84"/>
      <c r="V38" s="84"/>
      <c r="W38" s="84"/>
      <c r="X38" s="84"/>
      <c r="Y38" s="84"/>
      <c r="Z38" s="84"/>
      <c r="AA38" s="84"/>
      <c r="AC38" s="602" t="s">
        <v>797</v>
      </c>
      <c r="AD38" s="603"/>
      <c r="AE38" s="604"/>
      <c r="AF38" s="604"/>
      <c r="AG38" s="604"/>
      <c r="AH38" s="604"/>
      <c r="AI38" s="604"/>
      <c r="AJ38" s="604"/>
      <c r="AK38" s="604"/>
      <c r="AL38" s="604"/>
      <c r="AM38" s="604"/>
      <c r="AN38" s="604"/>
      <c r="AO38" s="604">
        <v>1.05</v>
      </c>
      <c r="AP38" s="604">
        <v>1.05</v>
      </c>
      <c r="AQ38" s="604">
        <v>1.05</v>
      </c>
      <c r="AR38" s="604"/>
      <c r="AS38" s="604"/>
      <c r="AT38" s="604"/>
      <c r="AU38" s="604"/>
      <c r="AV38" s="604"/>
      <c r="AW38" s="604"/>
      <c r="AX38" s="604"/>
      <c r="AY38" s="604"/>
      <c r="AZ38" s="604"/>
      <c r="BA38" s="604"/>
      <c r="BB38" s="604"/>
      <c r="BC38" s="605"/>
      <c r="BD38" s="606" t="str">
        <f>IF(OR(IF('General Information'!$I$28="Yes",AE38&gt;0,IFERROR(INDEX(AE38:BC38,1,MATCH('General Information'!$D$23,Lookups!$AE$7:$BC$7,0))&gt;0,FALSE)),Lookups!BC38&gt;0),"X","")</f>
        <v/>
      </c>
      <c r="BF38" s="298">
        <v>35</v>
      </c>
      <c r="BG38" s="32" t="s">
        <v>798</v>
      </c>
      <c r="BH38" s="548" t="s">
        <v>553</v>
      </c>
    </row>
    <row r="39" spans="1:60" ht="15.75" thickBot="1">
      <c r="A39" s="301">
        <f ca="1">IFERROR(MATCH("X",INDIRECT("$BD$"&amp;A38+1&amp;":$BD$105"),0)+A38,"")</f>
        <v>12</v>
      </c>
      <c r="B39" s="590" t="str">
        <f ca="1">IFERROR(INDIRECT("AC"&amp;A39),"")</f>
        <v>Atrium, &gt;= 40 ft. in height</v>
      </c>
      <c r="C39" s="657" t="str">
        <f ca="1">IFERROR(INDEX($AE$10:$BC$105,MATCH(B44,Lookups!$AC$10:$AC$106,0),IF('General Information'!$I$28="Yes",1,IF(INDEX($AE$10:$BC$105,MATCH(B44,Lookups!$AC$10:$AC$106,0),MATCH('General Information'!$D$23,Lookups!$AE$7:$BC$7,0))&lt;&gt;0,MATCH('General Information'!$D$23,Lookups!$AE$7:$BC$7,0),25))),"")</f>
        <v/>
      </c>
      <c r="D39" s="652" t="str">
        <f t="shared" ca="1" si="1"/>
        <v/>
      </c>
      <c r="F39" s="658" t="s">
        <v>176</v>
      </c>
      <c r="G39" s="659"/>
      <c r="H39" s="660"/>
      <c r="I39" s="593">
        <v>1.01</v>
      </c>
      <c r="J39" s="661" t="s">
        <v>177</v>
      </c>
      <c r="K39" s="185"/>
      <c r="M39" s="84"/>
      <c r="N39" s="84"/>
      <c r="O39" s="84"/>
      <c r="P39" s="590" t="s">
        <v>185</v>
      </c>
      <c r="Q39" s="649">
        <v>0.32</v>
      </c>
      <c r="R39" s="650">
        <v>7.6799999999999993E-2</v>
      </c>
      <c r="S39" s="85"/>
      <c r="T39" s="400" t="str">
        <f>IF('General Information'!C60="&lt;Name Your Space Type&gt;","",'General Information'!C60)</f>
        <v/>
      </c>
      <c r="U39" s="84"/>
      <c r="V39" s="84"/>
      <c r="W39" s="84"/>
      <c r="X39" s="84"/>
      <c r="Y39" s="84"/>
      <c r="Z39" s="84"/>
      <c r="AA39" s="84"/>
      <c r="AC39" s="602" t="s">
        <v>799</v>
      </c>
      <c r="AD39" s="603"/>
      <c r="AE39" s="604"/>
      <c r="AF39" s="604"/>
      <c r="AG39" s="604"/>
      <c r="AH39" s="604"/>
      <c r="AI39" s="604"/>
      <c r="AJ39" s="604"/>
      <c r="AK39" s="604"/>
      <c r="AL39" s="604"/>
      <c r="AM39" s="604"/>
      <c r="AN39" s="604"/>
      <c r="AO39" s="604"/>
      <c r="AP39" s="604"/>
      <c r="AQ39" s="604"/>
      <c r="AR39" s="604"/>
      <c r="AS39" s="604"/>
      <c r="AT39" s="604"/>
      <c r="AU39" s="604"/>
      <c r="AV39" s="604"/>
      <c r="AW39" s="604">
        <v>0.64</v>
      </c>
      <c r="AX39" s="604"/>
      <c r="AY39" s="604"/>
      <c r="AZ39" s="604"/>
      <c r="BA39" s="604"/>
      <c r="BB39" s="604"/>
      <c r="BC39" s="605"/>
      <c r="BD39" s="606" t="str">
        <f>IF(OR(IF('General Information'!$I$28="Yes",AE39&gt;0,IFERROR(INDEX(AE39:BC39,1,MATCH('General Information'!$D$23,Lookups!$AE$7:$BC$7,0))&gt;0,FALSE)),Lookups!BC39&gt;0),"X","")</f>
        <v/>
      </c>
      <c r="BF39" s="298">
        <v>36</v>
      </c>
      <c r="BG39" s="32" t="s">
        <v>800</v>
      </c>
      <c r="BH39" s="548" t="s">
        <v>554</v>
      </c>
    </row>
    <row r="40" spans="1:60" ht="15">
      <c r="A40" s="301">
        <f t="shared" ref="A40:A103" ca="1" si="2">IFERROR(MATCH("X",INDIRECT("$BD$"&amp;A39+1&amp;":$BD$105"),0)+A39,"")</f>
        <v>13</v>
      </c>
      <c r="B40" s="590" t="str">
        <f t="shared" ref="B40:B103" ca="1" si="3">IFERROR(INDIRECT("AC"&amp;A40),"")</f>
        <v>Audience Seating Area</v>
      </c>
      <c r="C40" s="657" t="str">
        <f ca="1">IFERROR(INDEX($AE$10:$BC$105,MATCH(B45,Lookups!$AC$10:$AC$106,0),IF('General Information'!$I$28="Yes",1,IF(INDEX($AE$10:$BC$105,MATCH(B45,Lookups!$AC$10:$AC$106,0),MATCH('General Information'!$D$23,Lookups!$AE$7:$BC$7,0))&lt;&gt;0,MATCH('General Information'!$D$23,Lookups!$AE$7:$BC$7,0),25))),"")</f>
        <v/>
      </c>
      <c r="D40" s="652" t="str">
        <f t="shared" ca="1" si="1"/>
        <v/>
      </c>
      <c r="F40" s="658" t="s">
        <v>178</v>
      </c>
      <c r="G40" s="659"/>
      <c r="H40" s="660"/>
      <c r="I40" s="593">
        <v>1.01</v>
      </c>
      <c r="J40" s="661" t="s">
        <v>179</v>
      </c>
      <c r="K40" s="185"/>
      <c r="M40" s="84"/>
      <c r="N40" s="84"/>
      <c r="O40" s="84"/>
      <c r="P40" s="590" t="s">
        <v>195</v>
      </c>
      <c r="Q40" s="649" t="s">
        <v>764</v>
      </c>
      <c r="R40" s="650">
        <v>0</v>
      </c>
      <c r="S40" s="85"/>
      <c r="T40" s="84">
        <f>IF(AND(PRJ_Type="New Construction",NC_Type="Space by Space Method"),18-COUNTBLANK(T22:T39),21-COUNTBLANK(T18:T39))</f>
        <v>2</v>
      </c>
      <c r="U40" s="84"/>
      <c r="V40" s="84"/>
      <c r="W40" s="84"/>
      <c r="X40" s="84"/>
      <c r="Y40" s="84"/>
      <c r="Z40" s="84"/>
      <c r="AA40" s="84"/>
      <c r="AC40" s="602" t="s">
        <v>801</v>
      </c>
      <c r="AD40" s="603"/>
      <c r="AE40" s="604"/>
      <c r="AF40" s="604"/>
      <c r="AG40" s="604"/>
      <c r="AH40" s="604"/>
      <c r="AI40" s="604"/>
      <c r="AJ40" s="604"/>
      <c r="AK40" s="604"/>
      <c r="AL40" s="604"/>
      <c r="AM40" s="604"/>
      <c r="AN40" s="604"/>
      <c r="AO40" s="604"/>
      <c r="AP40" s="604"/>
      <c r="AQ40" s="604"/>
      <c r="AR40" s="604"/>
      <c r="AS40" s="604"/>
      <c r="AT40" s="604"/>
      <c r="AU40" s="604"/>
      <c r="AV40" s="604"/>
      <c r="AW40" s="604"/>
      <c r="AX40" s="604"/>
      <c r="AY40" s="604"/>
      <c r="AZ40" s="604"/>
      <c r="BA40" s="604"/>
      <c r="BB40" s="604"/>
      <c r="BC40" s="605">
        <v>0.22</v>
      </c>
      <c r="BD40" s="606" t="str">
        <f>IF(OR(IF('General Information'!$I$28="Yes",AE40&gt;0,IFERROR(INDEX(AE40:BC40,1,MATCH('General Information'!$D$23,Lookups!$AE$7:$BC$7,0))&gt;0,FALSE)),Lookups!BC40&gt;0),"X","")</f>
        <v>X</v>
      </c>
      <c r="BF40" s="298">
        <v>37</v>
      </c>
      <c r="BG40" s="32" t="s">
        <v>802</v>
      </c>
      <c r="BH40" s="548" t="s">
        <v>555</v>
      </c>
    </row>
    <row r="41" spans="1:60" ht="15">
      <c r="A41" s="301">
        <f t="shared" ca="1" si="2"/>
        <v>15</v>
      </c>
      <c r="B41" s="590" t="str">
        <f t="shared" ca="1" si="3"/>
        <v>Bank Activity Area</v>
      </c>
      <c r="C41" s="657" t="str">
        <f ca="1">IFERROR(INDEX($AE$10:$BC$105,MATCH(B46,Lookups!$AC$10:$AC$106,0),IF('General Information'!$I$28="Yes",1,IF(INDEX($AE$10:$BC$105,MATCH(B46,Lookups!$AC$10:$AC$106,0),MATCH('General Information'!$D$23,Lookups!$AE$7:$BC$7,0))&lt;&gt;0,MATCH('General Information'!$D$23,Lookups!$AE$7:$BC$7,0),25))),"")</f>
        <v/>
      </c>
      <c r="D41" s="652" t="str">
        <f t="shared" ca="1" si="1"/>
        <v/>
      </c>
      <c r="F41" s="658" t="s">
        <v>180</v>
      </c>
      <c r="G41" s="659"/>
      <c r="H41" s="660"/>
      <c r="I41" s="593">
        <v>0.9</v>
      </c>
      <c r="J41" s="661" t="s">
        <v>179</v>
      </c>
      <c r="K41" s="185"/>
      <c r="M41" s="84"/>
      <c r="N41" s="84"/>
      <c r="O41" s="84"/>
      <c r="P41" s="590" t="s">
        <v>197</v>
      </c>
      <c r="Q41" s="649" t="s">
        <v>764</v>
      </c>
      <c r="R41" s="650">
        <v>0</v>
      </c>
      <c r="S41" s="85"/>
      <c r="T41" s="363">
        <f>IF(AND(PRJ_Type="New Construction",NC_Type="Space by Space Method"),18-COUNTBLANK(T21:T40),21-COUNTBLANK(T18:T40))</f>
        <v>2</v>
      </c>
      <c r="U41" s="84"/>
      <c r="V41" s="84"/>
      <c r="W41" s="84"/>
      <c r="X41" s="84"/>
      <c r="Y41" s="84"/>
      <c r="Z41" s="84"/>
      <c r="AA41" s="84"/>
      <c r="AC41" s="602" t="s">
        <v>803</v>
      </c>
      <c r="AD41" s="603"/>
      <c r="AE41" s="604"/>
      <c r="AF41" s="604"/>
      <c r="AG41" s="604"/>
      <c r="AH41" s="604"/>
      <c r="AI41" s="604"/>
      <c r="AJ41" s="604"/>
      <c r="AK41" s="604"/>
      <c r="AL41" s="604"/>
      <c r="AM41" s="604"/>
      <c r="AN41" s="604"/>
      <c r="AO41" s="604"/>
      <c r="AP41" s="604"/>
      <c r="AQ41" s="604"/>
      <c r="AR41" s="604"/>
      <c r="AS41" s="604"/>
      <c r="AT41" s="604"/>
      <c r="AU41" s="604"/>
      <c r="AV41" s="604"/>
      <c r="AW41" s="604"/>
      <c r="AX41" s="604"/>
      <c r="AY41" s="604"/>
      <c r="AZ41" s="604"/>
      <c r="BA41" s="604"/>
      <c r="BB41" s="604"/>
      <c r="BC41" s="605">
        <v>1.21</v>
      </c>
      <c r="BD41" s="606" t="str">
        <f>IF(OR(IF('General Information'!$I$28="Yes",AE41&gt;0,IFERROR(INDEX(AE41:BC41,1,MATCH('General Information'!$D$23,Lookups!$AE$7:$BC$7,0))&gt;0,FALSE)),Lookups!BC41&gt;0),"X","")</f>
        <v>X</v>
      </c>
      <c r="BF41" s="298">
        <v>38</v>
      </c>
      <c r="BG41" s="32" t="s">
        <v>804</v>
      </c>
      <c r="BH41" s="549" t="s">
        <v>556</v>
      </c>
    </row>
    <row r="42" spans="1:60" ht="15">
      <c r="A42" s="301">
        <f t="shared" ca="1" si="2"/>
        <v>21</v>
      </c>
      <c r="B42" s="590" t="str">
        <f t="shared" ca="1" si="3"/>
        <v>Classroom</v>
      </c>
      <c r="C42" s="657" t="str">
        <f ca="1">IFERROR(INDEX($AE$10:$BC$105,MATCH(B47,Lookups!$AC$10:$AC$106,0),IF('General Information'!$I$28="Yes",1,IF(INDEX($AE$10:$BC$105,MATCH(B47,Lookups!$AC$10:$AC$106,0),MATCH('General Information'!$D$23,Lookups!$AE$7:$BC$7,0))&lt;&gt;0,MATCH('General Information'!$D$23,Lookups!$AE$7:$BC$7,0),25))),"")</f>
        <v/>
      </c>
      <c r="D42" s="652" t="str">
        <f t="shared" ca="1" si="1"/>
        <v/>
      </c>
      <c r="F42" s="658" t="s">
        <v>181</v>
      </c>
      <c r="G42" s="659"/>
      <c r="H42" s="660"/>
      <c r="I42" s="593">
        <v>0.95</v>
      </c>
      <c r="J42" s="661" t="s">
        <v>179</v>
      </c>
      <c r="K42" s="185"/>
      <c r="M42" s="84"/>
      <c r="N42" s="84"/>
      <c r="O42" s="84"/>
      <c r="P42" s="590" t="s">
        <v>199</v>
      </c>
      <c r="Q42" s="649" t="s">
        <v>764</v>
      </c>
      <c r="R42" s="650">
        <v>0</v>
      </c>
      <c r="S42" s="85"/>
      <c r="T42" s="84"/>
      <c r="U42" s="84"/>
      <c r="V42" s="84"/>
      <c r="W42" s="84"/>
      <c r="X42" s="84"/>
      <c r="Y42" s="84"/>
      <c r="Z42" s="84"/>
      <c r="AA42" s="84"/>
      <c r="AC42" s="602" t="s">
        <v>805</v>
      </c>
      <c r="AD42" s="603"/>
      <c r="AE42" s="604"/>
      <c r="AF42" s="604"/>
      <c r="AG42" s="604"/>
      <c r="AH42" s="604"/>
      <c r="AI42" s="604"/>
      <c r="AJ42" s="604"/>
      <c r="AK42" s="604"/>
      <c r="AL42" s="604"/>
      <c r="AM42" s="604"/>
      <c r="AN42" s="604"/>
      <c r="AO42" s="604"/>
      <c r="AP42" s="604"/>
      <c r="AQ42" s="604"/>
      <c r="AR42" s="604"/>
      <c r="AS42" s="604">
        <v>1.05</v>
      </c>
      <c r="AT42" s="604"/>
      <c r="AU42" s="604"/>
      <c r="AV42" s="604"/>
      <c r="AW42" s="604"/>
      <c r="AX42" s="604"/>
      <c r="AY42" s="604"/>
      <c r="AZ42" s="604"/>
      <c r="BA42" s="604"/>
      <c r="BB42" s="604"/>
      <c r="BC42" s="605"/>
      <c r="BD42" s="606" t="str">
        <f>IF(OR(IF('General Information'!$I$28="Yes",AE42&gt;0,IFERROR(INDEX(AE42:BC42,1,MATCH('General Information'!$D$23,Lookups!$AE$7:$BC$7,0))&gt;0,FALSE)),Lookups!BC42&gt;0),"X","")</f>
        <v/>
      </c>
      <c r="BF42" s="298">
        <v>39</v>
      </c>
      <c r="BG42" s="32" t="s">
        <v>806</v>
      </c>
      <c r="BH42" s="549" t="s">
        <v>557</v>
      </c>
    </row>
    <row r="43" spans="1:60" ht="15">
      <c r="A43" s="301">
        <f t="shared" ca="1" si="2"/>
        <v>22</v>
      </c>
      <c r="B43" s="590" t="str">
        <f t="shared" ca="1" si="3"/>
        <v>Computer Room</v>
      </c>
      <c r="C43" s="657" t="str">
        <f ca="1">IFERROR(INDEX($AE$10:$BC$105,MATCH(B48,Lookups!$AC$10:$AC$106,0),IF('General Information'!$I$28="Yes",1,IF(INDEX($AE$10:$BC$105,MATCH(B48,Lookups!$AC$10:$AC$106,0),MATCH('General Information'!$D$23,Lookups!$AE$7:$BC$7,0))&lt;&gt;0,MATCH('General Information'!$D$23,Lookups!$AE$7:$BC$7,0),25))),"")</f>
        <v/>
      </c>
      <c r="D43" s="652" t="str">
        <f t="shared" ca="1" si="1"/>
        <v/>
      </c>
      <c r="F43" s="658" t="s">
        <v>182</v>
      </c>
      <c r="G43" s="659"/>
      <c r="H43" s="660"/>
      <c r="I43" s="593">
        <v>0.56999999999999995</v>
      </c>
      <c r="J43" s="661" t="s">
        <v>183</v>
      </c>
      <c r="K43" s="185"/>
      <c r="M43" s="84"/>
      <c r="N43" s="84"/>
      <c r="O43" s="84"/>
      <c r="P43" s="590" t="s">
        <v>177</v>
      </c>
      <c r="Q43" s="649">
        <v>0.51</v>
      </c>
      <c r="R43" s="650">
        <v>0.12239999999999999</v>
      </c>
      <c r="S43" s="85"/>
      <c r="T43" s="84"/>
      <c r="U43" s="84"/>
      <c r="V43" s="84"/>
      <c r="W43" s="84"/>
      <c r="X43" s="84"/>
      <c r="Y43" s="84"/>
      <c r="Z43" s="84"/>
      <c r="AA43" s="84"/>
      <c r="AC43" s="602" t="s">
        <v>807</v>
      </c>
      <c r="AD43" s="603"/>
      <c r="AE43" s="604"/>
      <c r="AF43" s="604"/>
      <c r="AG43" s="604"/>
      <c r="AH43" s="604"/>
      <c r="AI43" s="604"/>
      <c r="AJ43" s="604"/>
      <c r="AK43" s="604"/>
      <c r="AL43" s="604"/>
      <c r="AM43" s="604"/>
      <c r="AN43" s="604"/>
      <c r="AO43" s="604"/>
      <c r="AP43" s="604"/>
      <c r="AQ43" s="604"/>
      <c r="AR43" s="604"/>
      <c r="AS43" s="604"/>
      <c r="AT43" s="604"/>
      <c r="AU43" s="604"/>
      <c r="AV43" s="604"/>
      <c r="AW43" s="604"/>
      <c r="AX43" s="604"/>
      <c r="AY43" s="604"/>
      <c r="AZ43" s="604"/>
      <c r="BA43" s="604"/>
      <c r="BB43" s="604"/>
      <c r="BC43" s="605">
        <v>0.47</v>
      </c>
      <c r="BD43" s="606" t="str">
        <f>IF(OR(IF('General Information'!$I$28="Yes",AE43&gt;0,IFERROR(INDEX(AE43:BC43,1,MATCH('General Information'!$D$23,Lookups!$AE$7:$BC$7,0))&gt;0,FALSE)),Lookups!BC43&gt;0),"X","")</f>
        <v>X</v>
      </c>
      <c r="BF43" s="298">
        <v>40</v>
      </c>
      <c r="BG43" s="32" t="s">
        <v>808</v>
      </c>
      <c r="BH43" s="548" t="s">
        <v>558</v>
      </c>
    </row>
    <row r="44" spans="1:60" ht="15">
      <c r="A44" s="301">
        <f t="shared" ca="1" si="2"/>
        <v>23</v>
      </c>
      <c r="B44" s="590" t="str">
        <f t="shared" ca="1" si="3"/>
        <v>Conference/Multipurpose Room</v>
      </c>
      <c r="C44" s="657" t="str">
        <f ca="1">IFERROR(INDEX($AE$10:$BC$105,MATCH(B49,Lookups!$AC$10:$AC$106,0),IF('General Information'!$I$28="Yes",1,IF(INDEX($AE$10:$BC$105,MATCH(B49,Lookups!$AC$10:$AC$106,0),MATCH('General Information'!$D$23,Lookups!$AE$7:$BC$7,0))&lt;&gt;0,MATCH('General Information'!$D$23,Lookups!$AE$7:$BC$7,0),25))),"")</f>
        <v/>
      </c>
      <c r="D44" s="652" t="str">
        <f t="shared" ca="1" si="1"/>
        <v/>
      </c>
      <c r="F44" s="658" t="s">
        <v>184</v>
      </c>
      <c r="G44" s="659"/>
      <c r="H44" s="660"/>
      <c r="I44" s="593">
        <v>0.84</v>
      </c>
      <c r="J44" s="661" t="s">
        <v>185</v>
      </c>
      <c r="K44" s="185"/>
      <c r="M44" s="84"/>
      <c r="N44" s="84"/>
      <c r="O44" s="84"/>
      <c r="P44" s="590" t="s">
        <v>192</v>
      </c>
      <c r="Q44" s="649">
        <v>0.61</v>
      </c>
      <c r="R44" s="650">
        <v>0.1464</v>
      </c>
      <c r="S44" s="84"/>
      <c r="T44" s="84"/>
      <c r="U44" s="84"/>
      <c r="V44" s="84"/>
      <c r="W44" s="84"/>
      <c r="X44" s="84"/>
      <c r="Y44" s="84"/>
      <c r="Z44" s="84"/>
      <c r="AA44" s="84"/>
      <c r="AC44" s="602" t="s">
        <v>809</v>
      </c>
      <c r="AD44" s="603"/>
      <c r="AE44" s="604"/>
      <c r="AF44" s="604"/>
      <c r="AG44" s="604"/>
      <c r="AH44" s="604"/>
      <c r="AI44" s="604"/>
      <c r="AJ44" s="604">
        <v>0.72</v>
      </c>
      <c r="AK44" s="604"/>
      <c r="AL44" s="604"/>
      <c r="AM44" s="604"/>
      <c r="AN44" s="604"/>
      <c r="AO44" s="604"/>
      <c r="AP44" s="604"/>
      <c r="AQ44" s="604"/>
      <c r="AR44" s="604"/>
      <c r="AS44" s="604"/>
      <c r="AT44" s="604"/>
      <c r="AU44" s="604"/>
      <c r="AV44" s="604"/>
      <c r="AW44" s="604"/>
      <c r="AX44" s="604"/>
      <c r="AY44" s="604"/>
      <c r="AZ44" s="604"/>
      <c r="BA44" s="604"/>
      <c r="BB44" s="604"/>
      <c r="BC44" s="605"/>
      <c r="BD44" s="606" t="str">
        <f>IF(OR(IF('General Information'!$I$28="Yes",AE44&gt;0,IFERROR(INDEX(AE44:BC44,1,MATCH('General Information'!$D$23,Lookups!$AE$7:$BC$7,0))&gt;0,FALSE)),Lookups!BC44&gt;0),"X","")</f>
        <v/>
      </c>
      <c r="BF44" s="298">
        <v>41</v>
      </c>
      <c r="BG44" s="32" t="s">
        <v>810</v>
      </c>
      <c r="BH44" s="548" t="s">
        <v>559</v>
      </c>
    </row>
    <row r="45" spans="1:60" ht="15">
      <c r="A45" s="301">
        <f t="shared" ca="1" si="2"/>
        <v>25</v>
      </c>
      <c r="B45" s="590" t="str">
        <f t="shared" ca="1" si="3"/>
        <v>Copy/Print Room</v>
      </c>
      <c r="C45" s="657" t="str">
        <f ca="1">IFERROR(INDEX($AE$10:$BC$105,MATCH(B50,Lookups!$AC$10:$AC$106,0),IF('General Information'!$I$28="Yes",1,IF(INDEX($AE$10:$BC$105,MATCH(B50,Lookups!$AC$10:$AC$106,0),MATCH('General Information'!$D$23,Lookups!$AE$7:$BC$7,0))&lt;&gt;0,MATCH('General Information'!$D$23,Lookups!$AE$7:$BC$7,0),25))),"")</f>
        <v/>
      </c>
      <c r="D45" s="652" t="str">
        <f t="shared" ca="1" si="1"/>
        <v/>
      </c>
      <c r="F45" s="662" t="s">
        <v>186</v>
      </c>
      <c r="G45" s="663"/>
      <c r="H45" s="664"/>
      <c r="I45" s="665"/>
      <c r="J45" s="666" t="s">
        <v>186</v>
      </c>
      <c r="K45" s="333"/>
      <c r="M45" s="84"/>
      <c r="N45" s="84"/>
      <c r="O45" s="84"/>
      <c r="P45" s="590" t="s">
        <v>174</v>
      </c>
      <c r="Q45" s="649">
        <v>0.24</v>
      </c>
      <c r="R45" s="650">
        <v>5.7599999999999998E-2</v>
      </c>
      <c r="S45" s="84"/>
      <c r="T45" s="84"/>
      <c r="U45" s="84"/>
      <c r="V45" s="84"/>
      <c r="W45" s="84"/>
      <c r="X45" s="84"/>
      <c r="Y45" s="84"/>
      <c r="Z45" s="84"/>
      <c r="AA45" s="84"/>
      <c r="AC45" s="602" t="s">
        <v>811</v>
      </c>
      <c r="AD45" s="603"/>
      <c r="AE45" s="604"/>
      <c r="AF45" s="604"/>
      <c r="AG45" s="604"/>
      <c r="AH45" s="604"/>
      <c r="AI45" s="604"/>
      <c r="AJ45" s="604">
        <v>1.2</v>
      </c>
      <c r="AK45" s="604"/>
      <c r="AL45" s="604"/>
      <c r="AM45" s="604"/>
      <c r="AN45" s="604"/>
      <c r="AO45" s="604"/>
      <c r="AP45" s="604"/>
      <c r="AQ45" s="604"/>
      <c r="AR45" s="604"/>
      <c r="AS45" s="604"/>
      <c r="AT45" s="604"/>
      <c r="AU45" s="604"/>
      <c r="AV45" s="604"/>
      <c r="AW45" s="604"/>
      <c r="AX45" s="604"/>
      <c r="AY45" s="604"/>
      <c r="AZ45" s="604"/>
      <c r="BA45" s="604"/>
      <c r="BB45" s="604"/>
      <c r="BC45" s="605"/>
      <c r="BD45" s="606" t="str">
        <f>IF(OR(IF('General Information'!$I$28="Yes",AE45&gt;0,IFERROR(INDEX(AE45:BC45,1,MATCH('General Information'!$D$23,Lookups!$AE$7:$BC$7,0))&gt;0,FALSE)),Lookups!BC45&gt;0),"X","")</f>
        <v/>
      </c>
      <c r="BF45" s="298">
        <v>42</v>
      </c>
      <c r="BG45" s="32" t="s">
        <v>812</v>
      </c>
      <c r="BH45" s="550" t="s">
        <v>560</v>
      </c>
    </row>
    <row r="46" spans="1:60" ht="15">
      <c r="A46" s="301">
        <f t="shared" ca="1" si="2"/>
        <v>26</v>
      </c>
      <c r="B46" s="590" t="str">
        <f t="shared" ca="1" si="3"/>
        <v>Corridor</v>
      </c>
      <c r="C46" s="657" t="str">
        <f ca="1">IFERROR(INDEX($AE$10:$BC$105,MATCH(B51,Lookups!$AC$10:$AC$106,0),IF('General Information'!$I$28="Yes",1,IF(INDEX($AE$10:$BC$105,MATCH(B51,Lookups!$AC$10:$AC$106,0),MATCH('General Information'!$D$23,Lookups!$AE$7:$BC$7,0))&lt;&gt;0,MATCH('General Information'!$D$23,Lookups!$AE$7:$BC$7,0),25))),"")</f>
        <v/>
      </c>
      <c r="D46" s="652" t="str">
        <f t="shared" ca="1" si="1"/>
        <v/>
      </c>
      <c r="F46" s="662" t="s">
        <v>680</v>
      </c>
      <c r="G46" s="663"/>
      <c r="H46" s="664"/>
      <c r="I46" s="665"/>
      <c r="J46" s="666" t="s">
        <v>680</v>
      </c>
      <c r="K46" s="333"/>
      <c r="M46" s="84"/>
      <c r="N46" s="84"/>
      <c r="O46" s="84"/>
      <c r="P46" s="590" t="s">
        <v>204</v>
      </c>
      <c r="Q46" s="649">
        <v>0.62</v>
      </c>
      <c r="R46" s="650">
        <v>0.14879999999999999</v>
      </c>
      <c r="S46" s="84"/>
      <c r="T46" s="84"/>
      <c r="U46" s="84"/>
      <c r="V46" s="84"/>
      <c r="W46" s="84"/>
      <c r="X46" s="84"/>
      <c r="Y46" s="84"/>
      <c r="Z46" s="84"/>
      <c r="AA46" s="84"/>
      <c r="AC46" s="602" t="s">
        <v>813</v>
      </c>
      <c r="AD46" s="603"/>
      <c r="AE46" s="604"/>
      <c r="AF46" s="604"/>
      <c r="AG46" s="604"/>
      <c r="AH46" s="604"/>
      <c r="AI46" s="604"/>
      <c r="AJ46" s="604"/>
      <c r="AK46" s="604"/>
      <c r="AL46" s="604"/>
      <c r="AM46" s="604"/>
      <c r="AN46" s="604"/>
      <c r="AO46" s="604">
        <v>1.23</v>
      </c>
      <c r="AP46" s="604">
        <v>1.23</v>
      </c>
      <c r="AQ46" s="604">
        <v>1.23</v>
      </c>
      <c r="AR46" s="604"/>
      <c r="AS46" s="604"/>
      <c r="AT46" s="604"/>
      <c r="AU46" s="604"/>
      <c r="AV46" s="604"/>
      <c r="AW46" s="604"/>
      <c r="AX46" s="604"/>
      <c r="AY46" s="604"/>
      <c r="AZ46" s="604"/>
      <c r="BA46" s="604"/>
      <c r="BB46" s="604"/>
      <c r="BC46" s="605"/>
      <c r="BD46" s="606" t="str">
        <f>IF(OR(IF('General Information'!$I$28="Yes",AE46&gt;0,IFERROR(INDEX(AE46:BC46,1,MATCH('General Information'!$D$23,Lookups!$AE$7:$BC$7,0))&gt;0,FALSE)),Lookups!BC46&gt;0),"X","")</f>
        <v/>
      </c>
      <c r="BF46" s="298">
        <v>43</v>
      </c>
      <c r="BG46" s="32" t="s">
        <v>814</v>
      </c>
      <c r="BH46" s="550" t="s">
        <v>561</v>
      </c>
    </row>
    <row r="47" spans="1:60" ht="15">
      <c r="A47" s="301">
        <f t="shared" ca="1" si="2"/>
        <v>27</v>
      </c>
      <c r="B47" s="590" t="str">
        <f t="shared" ca="1" si="3"/>
        <v>Courtroom</v>
      </c>
      <c r="C47" s="657" t="str">
        <f ca="1">IFERROR(INDEX($AE$10:$BC$105,MATCH(B52,Lookups!$AC$10:$AC$106,0),IF('General Information'!$I$28="Yes",1,IF(INDEX($AE$10:$BC$105,MATCH(B52,Lookups!$AC$10:$AC$106,0),MATCH('General Information'!$D$23,Lookups!$AE$7:$BC$7,0))&lt;&gt;0,MATCH('General Information'!$D$23,Lookups!$AE$7:$BC$7,0),25))),"")</f>
        <v/>
      </c>
      <c r="D47" s="652" t="str">
        <f t="shared" ca="1" si="1"/>
        <v/>
      </c>
      <c r="F47" s="658" t="s">
        <v>815</v>
      </c>
      <c r="G47" s="659"/>
      <c r="H47" s="660"/>
      <c r="I47" s="593">
        <v>0.67</v>
      </c>
      <c r="J47" s="661" t="s">
        <v>177</v>
      </c>
      <c r="K47" s="185"/>
      <c r="M47" s="84"/>
      <c r="N47" s="84"/>
      <c r="O47" s="84"/>
      <c r="P47" s="590" t="s">
        <v>206</v>
      </c>
      <c r="Q47" s="649" t="s">
        <v>764</v>
      </c>
      <c r="R47" s="650">
        <v>0</v>
      </c>
      <c r="S47" s="84"/>
      <c r="T47" s="84"/>
      <c r="U47" s="84"/>
      <c r="V47" s="84"/>
      <c r="W47" s="84"/>
      <c r="X47" s="84"/>
      <c r="Y47" s="84"/>
      <c r="Z47" s="84"/>
      <c r="AA47" s="84"/>
      <c r="AC47" s="602" t="s">
        <v>816</v>
      </c>
      <c r="AD47" s="603"/>
      <c r="AE47" s="604"/>
      <c r="AF47" s="604"/>
      <c r="AG47" s="604"/>
      <c r="AH47" s="604"/>
      <c r="AI47" s="604"/>
      <c r="AJ47" s="604"/>
      <c r="AK47" s="604">
        <v>1.51</v>
      </c>
      <c r="AL47" s="604">
        <v>1.51</v>
      </c>
      <c r="AM47" s="604"/>
      <c r="AN47" s="604"/>
      <c r="AO47" s="604"/>
      <c r="AP47" s="604"/>
      <c r="AQ47" s="604"/>
      <c r="AR47" s="604"/>
      <c r="AS47" s="604"/>
      <c r="AT47" s="604"/>
      <c r="AU47" s="604"/>
      <c r="AV47" s="604"/>
      <c r="AW47" s="604"/>
      <c r="AX47" s="604"/>
      <c r="AY47" s="604"/>
      <c r="AZ47" s="604"/>
      <c r="BA47" s="604"/>
      <c r="BB47" s="604"/>
      <c r="BC47" s="605"/>
      <c r="BD47" s="606" t="str">
        <f>IF(OR(IF('General Information'!$I$28="Yes",AE47&gt;0,IFERROR(INDEX(AE47:BC47,1,MATCH('General Information'!$D$23,Lookups!$AE$7:$BC$7,0))&gt;0,FALSE)),Lookups!BC47&gt;0),"X","")</f>
        <v/>
      </c>
      <c r="BF47" s="298">
        <v>44</v>
      </c>
      <c r="BG47" s="32" t="s">
        <v>817</v>
      </c>
      <c r="BH47" s="550" t="s">
        <v>562</v>
      </c>
    </row>
    <row r="48" spans="1:60" ht="15">
      <c r="A48" s="301">
        <f t="shared" ca="1" si="2"/>
        <v>29</v>
      </c>
      <c r="B48" s="590" t="str">
        <f t="shared" ca="1" si="3"/>
        <v>Dining Area</v>
      </c>
      <c r="C48" s="657" t="str">
        <f ca="1">IFERROR(INDEX($AE$10:$BC$105,MATCH(B53,Lookups!$AC$10:$AC$106,0),IF('General Information'!$I$28="Yes",1,IF(INDEX($AE$10:$BC$105,MATCH(B53,Lookups!$AC$10:$AC$106,0),MATCH('General Information'!$D$23,Lookups!$AE$7:$BC$7,0))&lt;&gt;0,MATCH('General Information'!$D$23,Lookups!$AE$7:$BC$7,0),25))),"")</f>
        <v/>
      </c>
      <c r="D48" s="652" t="str">
        <f t="shared" ca="1" si="1"/>
        <v/>
      </c>
      <c r="F48" s="658" t="s">
        <v>187</v>
      </c>
      <c r="G48" s="659"/>
      <c r="H48" s="660"/>
      <c r="I48" s="593">
        <v>1.26</v>
      </c>
      <c r="J48" s="661" t="s">
        <v>187</v>
      </c>
      <c r="K48" s="185"/>
      <c r="M48" s="84"/>
      <c r="N48" s="84"/>
      <c r="O48" s="85"/>
      <c r="P48" s="590" t="s">
        <v>179</v>
      </c>
      <c r="Q48" s="649">
        <v>0.21</v>
      </c>
      <c r="R48" s="650">
        <v>5.0399999999999993E-2</v>
      </c>
      <c r="S48" s="84"/>
      <c r="T48" s="84"/>
      <c r="U48" s="84"/>
      <c r="V48" s="84"/>
      <c r="W48" s="84"/>
      <c r="X48" s="84"/>
      <c r="Y48" s="84"/>
      <c r="Z48" s="84"/>
      <c r="AA48" s="84"/>
      <c r="AC48" s="602" t="s">
        <v>818</v>
      </c>
      <c r="AD48" s="603"/>
      <c r="AE48" s="604"/>
      <c r="AF48" s="604"/>
      <c r="AG48" s="604"/>
      <c r="AH48" s="604"/>
      <c r="AI48" s="604"/>
      <c r="AJ48" s="604"/>
      <c r="AK48" s="604"/>
      <c r="AL48" s="604"/>
      <c r="AM48" s="604"/>
      <c r="AN48" s="604"/>
      <c r="AO48" s="604"/>
      <c r="AP48" s="604"/>
      <c r="AQ48" s="604"/>
      <c r="AR48" s="604"/>
      <c r="AS48" s="604"/>
      <c r="AT48" s="604"/>
      <c r="AU48" s="604"/>
      <c r="AV48" s="604"/>
      <c r="AW48" s="604"/>
      <c r="AX48" s="604"/>
      <c r="AY48" s="604">
        <v>1.43</v>
      </c>
      <c r="AZ48" s="604"/>
      <c r="BA48" s="604"/>
      <c r="BB48" s="604"/>
      <c r="BC48" s="605">
        <v>1.81</v>
      </c>
      <c r="BD48" s="606" t="str">
        <f>IF(OR(IF('General Information'!$I$28="Yes",AE48&gt;0,IFERROR(INDEX(AE48:BC48,1,MATCH('General Information'!$D$23,Lookups!$AE$7:$BC$7,0))&gt;0,FALSE)),Lookups!BC48&gt;0),"X","")</f>
        <v>X</v>
      </c>
      <c r="BF48" s="298">
        <v>45</v>
      </c>
      <c r="BG48" s="32" t="s">
        <v>819</v>
      </c>
      <c r="BH48" s="550" t="s">
        <v>563</v>
      </c>
    </row>
    <row r="49" spans="1:60" ht="15">
      <c r="A49" s="301">
        <f t="shared" ca="1" si="2"/>
        <v>30</v>
      </c>
      <c r="B49" s="590" t="str">
        <f t="shared" ca="1" si="3"/>
        <v>Dormitory/Living Quarters</v>
      </c>
      <c r="C49" s="657" t="str">
        <f ca="1">IFERROR(INDEX($AE$10:$BC$105,MATCH(B54,Lookups!$AC$10:$AC$106,0),IF('General Information'!$I$28="Yes",1,IF(INDEX($AE$10:$BC$105,MATCH(B54,Lookups!$AC$10:$AC$106,0),MATCH('General Information'!$D$23,Lookups!$AE$7:$BC$7,0))&lt;&gt;0,MATCH('General Information'!$D$23,Lookups!$AE$7:$BC$7,0),25))),"")</f>
        <v/>
      </c>
      <c r="D49" s="652" t="str">
        <f t="shared" ca="1" si="1"/>
        <v/>
      </c>
      <c r="F49" s="658" t="s">
        <v>188</v>
      </c>
      <c r="G49" s="659"/>
      <c r="H49" s="660"/>
      <c r="I49" s="593">
        <v>0.94</v>
      </c>
      <c r="J49" s="661" t="s">
        <v>185</v>
      </c>
      <c r="K49" s="185"/>
      <c r="M49" s="84"/>
      <c r="N49" s="84"/>
      <c r="O49" s="85"/>
      <c r="P49" s="590" t="s">
        <v>212</v>
      </c>
      <c r="Q49" s="649">
        <v>0.21</v>
      </c>
      <c r="R49" s="650">
        <v>5.0399999999999993E-2</v>
      </c>
      <c r="S49" s="84"/>
      <c r="T49" s="84"/>
      <c r="U49" s="84"/>
      <c r="V49" s="84"/>
      <c r="W49" s="84"/>
      <c r="X49" s="84"/>
      <c r="Y49" s="84"/>
      <c r="Z49" s="84"/>
      <c r="AA49" s="84"/>
      <c r="AC49" s="602" t="s">
        <v>820</v>
      </c>
      <c r="AD49" s="603"/>
      <c r="AE49" s="604"/>
      <c r="AF49" s="604"/>
      <c r="AG49" s="604"/>
      <c r="AH49" s="604"/>
      <c r="AI49" s="604"/>
      <c r="AJ49" s="604"/>
      <c r="AK49" s="604"/>
      <c r="AL49" s="604"/>
      <c r="AM49" s="604"/>
      <c r="AN49" s="604"/>
      <c r="AO49" s="604"/>
      <c r="AP49" s="604"/>
      <c r="AQ49" s="604"/>
      <c r="AR49" s="604"/>
      <c r="AS49" s="604"/>
      <c r="AT49" s="604"/>
      <c r="AU49" s="604"/>
      <c r="AV49" s="604"/>
      <c r="AW49" s="604"/>
      <c r="AX49" s="604"/>
      <c r="AY49" s="604"/>
      <c r="AZ49" s="604"/>
      <c r="BA49" s="604"/>
      <c r="BB49" s="604"/>
      <c r="BC49" s="605">
        <v>0.6</v>
      </c>
      <c r="BD49" s="606" t="str">
        <f>IF(OR(IF('General Information'!$I$28="Yes",AE49&gt;0,IFERROR(INDEX(AE49:BC49,1,MATCH('General Information'!$D$23,Lookups!$AE$7:$BC$7,0))&gt;0,FALSE)),Lookups!BC49&gt;0),"X","")</f>
        <v>X</v>
      </c>
      <c r="BF49" s="298">
        <v>46</v>
      </c>
      <c r="BG49" s="32" t="s">
        <v>821</v>
      </c>
      <c r="BH49" s="550" t="s">
        <v>564</v>
      </c>
    </row>
    <row r="50" spans="1:60" ht="15">
      <c r="A50" s="301">
        <f t="shared" ca="1" si="2"/>
        <v>33</v>
      </c>
      <c r="B50" s="590" t="str">
        <f t="shared" ca="1" si="3"/>
        <v>Electrical/Mechanical Room</v>
      </c>
      <c r="C50" s="657" t="str">
        <f ca="1">IFERROR(INDEX($AE$10:$BC$105,MATCH(B55,Lookups!$AC$10:$AC$106,0),IF('General Information'!$I$28="Yes",1,IF(INDEX($AE$10:$BC$105,MATCH(B55,Lookups!$AC$10:$AC$106,0),MATCH('General Information'!$D$23,Lookups!$AE$7:$BC$7,0))&lt;&gt;0,MATCH('General Information'!$D$23,Lookups!$AE$7:$BC$7,0),25))),"")</f>
        <v/>
      </c>
      <c r="D50" s="652" t="str">
        <f t="shared" ca="1" si="1"/>
        <v/>
      </c>
      <c r="F50" s="658" t="s">
        <v>189</v>
      </c>
      <c r="G50" s="659"/>
      <c r="H50" s="660"/>
      <c r="I50" s="593">
        <v>0.9</v>
      </c>
      <c r="J50" s="661" t="s">
        <v>185</v>
      </c>
      <c r="K50" s="185"/>
      <c r="M50" s="84"/>
      <c r="N50" s="84"/>
      <c r="O50" s="85"/>
      <c r="P50" s="667" t="s">
        <v>215</v>
      </c>
      <c r="Q50" s="668">
        <v>0</v>
      </c>
      <c r="R50" s="669">
        <v>0</v>
      </c>
      <c r="S50" s="84"/>
      <c r="T50" s="84"/>
      <c r="U50" s="84"/>
      <c r="V50" s="84"/>
      <c r="W50" s="84"/>
      <c r="X50" s="84"/>
      <c r="Y50" s="84"/>
      <c r="Z50" s="84"/>
      <c r="AA50" s="84"/>
      <c r="AC50" s="602" t="s">
        <v>822</v>
      </c>
      <c r="AD50" s="603"/>
      <c r="AE50" s="604"/>
      <c r="AF50" s="604"/>
      <c r="AG50" s="604"/>
      <c r="AH50" s="604"/>
      <c r="AI50" s="604"/>
      <c r="AJ50" s="604"/>
      <c r="AK50" s="604"/>
      <c r="AL50" s="604"/>
      <c r="AM50" s="604"/>
      <c r="AN50" s="604">
        <v>1.06</v>
      </c>
      <c r="AO50" s="604"/>
      <c r="AP50" s="604"/>
      <c r="AQ50" s="604"/>
      <c r="AR50" s="604"/>
      <c r="AS50" s="604"/>
      <c r="AT50" s="604"/>
      <c r="AU50" s="604"/>
      <c r="AV50" s="604"/>
      <c r="AW50" s="604"/>
      <c r="AX50" s="604"/>
      <c r="AY50" s="604"/>
      <c r="AZ50" s="604"/>
      <c r="BA50" s="604"/>
      <c r="BB50" s="604"/>
      <c r="BC50" s="605"/>
      <c r="BD50" s="606" t="str">
        <f>IF(OR(IF('General Information'!$I$28="Yes",AE50&gt;0,IFERROR(INDEX(AE50:BC50,1,MATCH('General Information'!$D$23,Lookups!$AE$7:$BC$7,0))&gt;0,FALSE)),Lookups!BC50&gt;0),"X","")</f>
        <v/>
      </c>
      <c r="BF50" s="298">
        <v>47</v>
      </c>
      <c r="BG50" s="32" t="s">
        <v>823</v>
      </c>
      <c r="BH50" s="550" t="s">
        <v>565</v>
      </c>
    </row>
    <row r="51" spans="1:60" ht="15">
      <c r="A51" s="301">
        <f t="shared" ca="1" si="2"/>
        <v>34</v>
      </c>
      <c r="B51" s="590" t="str">
        <f t="shared" ca="1" si="3"/>
        <v>Elevator Lobby</v>
      </c>
      <c r="C51" s="657" t="str">
        <f ca="1">IFERROR(INDEX($AE$10:$BC$105,MATCH(B56,Lookups!$AC$10:$AC$106,0),IF('General Information'!$I$28="Yes",1,IF(INDEX($AE$10:$BC$105,MATCH(B56,Lookups!$AC$10:$AC$106,0),MATCH('General Information'!$D$23,Lookups!$AE$7:$BC$7,0))&lt;&gt;0,MATCH('General Information'!$D$23,Lookups!$AE$7:$BC$7,0),25))),"")</f>
        <v/>
      </c>
      <c r="D51" s="652" t="str">
        <f t="shared" ca="1" si="1"/>
        <v/>
      </c>
      <c r="F51" s="658" t="s">
        <v>190</v>
      </c>
      <c r="G51" s="659"/>
      <c r="H51" s="660"/>
      <c r="I51" s="593">
        <v>1.05</v>
      </c>
      <c r="J51" s="661" t="s">
        <v>185</v>
      </c>
      <c r="K51" s="185"/>
      <c r="M51" s="84"/>
      <c r="N51" s="84"/>
      <c r="O51" s="85"/>
      <c r="P51" s="590" t="s">
        <v>218</v>
      </c>
      <c r="Q51" s="670">
        <v>0.6</v>
      </c>
      <c r="R51" s="650">
        <v>0.14399999999999999</v>
      </c>
      <c r="S51" s="84"/>
      <c r="T51" s="84"/>
      <c r="U51" s="84"/>
      <c r="V51" s="84"/>
      <c r="W51" s="84"/>
      <c r="X51" s="84"/>
      <c r="Y51" s="84"/>
      <c r="Z51" s="84"/>
      <c r="AA51" s="84"/>
      <c r="AC51" s="602" t="s">
        <v>824</v>
      </c>
      <c r="AD51" s="603"/>
      <c r="AE51" s="604"/>
      <c r="AF51" s="604"/>
      <c r="AG51" s="604"/>
      <c r="AH51" s="604"/>
      <c r="AI51" s="604"/>
      <c r="AJ51" s="604"/>
      <c r="AK51" s="604"/>
      <c r="AL51" s="604"/>
      <c r="AM51" s="604"/>
      <c r="AN51" s="604">
        <v>1.71</v>
      </c>
      <c r="AO51" s="604"/>
      <c r="AP51" s="604"/>
      <c r="AQ51" s="604"/>
      <c r="AR51" s="604"/>
      <c r="AS51" s="604"/>
      <c r="AT51" s="604"/>
      <c r="AU51" s="604"/>
      <c r="AV51" s="604"/>
      <c r="AW51" s="604"/>
      <c r="AX51" s="604"/>
      <c r="AY51" s="604"/>
      <c r="AZ51" s="604"/>
      <c r="BA51" s="604"/>
      <c r="BB51" s="604"/>
      <c r="BC51" s="605"/>
      <c r="BD51" s="606" t="str">
        <f>IF(OR(IF('General Information'!$I$28="Yes",AE51&gt;0,IFERROR(INDEX(AE51:BC51,1,MATCH('General Information'!$D$23,Lookups!$AE$7:$BC$7,0))&gt;0,FALSE)),Lookups!BC51&gt;0),"X","")</f>
        <v/>
      </c>
      <c r="BF51" s="298">
        <v>48</v>
      </c>
      <c r="BG51" s="32" t="s">
        <v>825</v>
      </c>
      <c r="BH51" s="550" t="s">
        <v>566</v>
      </c>
    </row>
    <row r="52" spans="1:60" ht="15">
      <c r="A52" s="301">
        <f t="shared" ca="1" si="2"/>
        <v>35</v>
      </c>
      <c r="B52" s="590" t="str">
        <f t="shared" ca="1" si="3"/>
        <v>Emergency Vehicle Garage</v>
      </c>
      <c r="C52" s="657" t="str">
        <f ca="1">IFERROR(INDEX($AE$10:$BC$105,MATCH(B57,Lookups!$AC$10:$AC$106,0),IF('General Information'!$I$28="Yes",1,IF(INDEX($AE$10:$BC$105,MATCH(B57,Lookups!$AC$10:$AC$106,0),MATCH('General Information'!$D$23,Lookups!$AE$7:$BC$7,0))&lt;&gt;0,MATCH('General Information'!$D$23,Lookups!$AE$7:$BC$7,0),25))),"")</f>
        <v/>
      </c>
      <c r="D52" s="652" t="str">
        <f t="shared" ca="1" si="1"/>
        <v/>
      </c>
      <c r="F52" s="658" t="s">
        <v>191</v>
      </c>
      <c r="G52" s="659"/>
      <c r="H52" s="660"/>
      <c r="I52" s="593">
        <v>0.87</v>
      </c>
      <c r="J52" s="661" t="s">
        <v>192</v>
      </c>
      <c r="K52" s="185"/>
      <c r="M52" s="84"/>
      <c r="N52" s="84"/>
      <c r="O52" s="85"/>
      <c r="P52" s="615" t="s">
        <v>826</v>
      </c>
      <c r="Q52" s="671"/>
      <c r="R52" s="672">
        <f>IFERROR(0.24*Q52,0)</f>
        <v>0</v>
      </c>
      <c r="S52" s="84"/>
      <c r="T52" s="84"/>
      <c r="U52" s="84"/>
      <c r="V52" s="84"/>
      <c r="W52" s="84"/>
      <c r="X52" s="84"/>
      <c r="Y52" s="84"/>
      <c r="Z52" s="84"/>
      <c r="AA52" s="84"/>
      <c r="AC52" s="602" t="s">
        <v>827</v>
      </c>
      <c r="AD52" s="603"/>
      <c r="AE52" s="604"/>
      <c r="AF52" s="604"/>
      <c r="AG52" s="604"/>
      <c r="AH52" s="604"/>
      <c r="AI52" s="604"/>
      <c r="AJ52" s="604"/>
      <c r="AK52" s="604"/>
      <c r="AL52" s="604"/>
      <c r="AM52" s="604"/>
      <c r="AN52" s="604"/>
      <c r="AO52" s="604"/>
      <c r="AP52" s="604"/>
      <c r="AQ52" s="604"/>
      <c r="AR52" s="604"/>
      <c r="AS52" s="604"/>
      <c r="AT52" s="604"/>
      <c r="AU52" s="604"/>
      <c r="AV52" s="604"/>
      <c r="AW52" s="604"/>
      <c r="AX52" s="604"/>
      <c r="AY52" s="604"/>
      <c r="AZ52" s="604"/>
      <c r="BA52" s="604"/>
      <c r="BB52" s="604"/>
      <c r="BC52" s="605">
        <v>0.47</v>
      </c>
      <c r="BD52" s="606" t="str">
        <f>IF(OR(IF('General Information'!$I$28="Yes",AE52&gt;0,IFERROR(INDEX(AE52:BC52,1,MATCH('General Information'!$D$23,Lookups!$AE$7:$BC$7,0))&gt;0,FALSE)),Lookups!BC52&gt;0),"X","")</f>
        <v>X</v>
      </c>
      <c r="BF52" s="298">
        <v>49</v>
      </c>
      <c r="BG52" s="32" t="s">
        <v>828</v>
      </c>
      <c r="BH52" s="550" t="s">
        <v>567</v>
      </c>
    </row>
    <row r="53" spans="1:60" ht="15">
      <c r="A53" s="301">
        <f t="shared" ca="1" si="2"/>
        <v>40</v>
      </c>
      <c r="B53" s="590" t="str">
        <f t="shared" ca="1" si="3"/>
        <v>Fire Station/Sleeping Quarters</v>
      </c>
      <c r="C53" s="657" t="str">
        <f ca="1">IFERROR(INDEX($AE$10:$BC$105,MATCH(B58,Lookups!$AC$10:$AC$106,0),IF('General Information'!$I$28="Yes",1,IF(INDEX($AE$10:$BC$105,MATCH(B58,Lookups!$AC$10:$AC$106,0),MATCH('General Information'!$D$23,Lookups!$AE$7:$BC$7,0))&lt;&gt;0,MATCH('General Information'!$D$23,Lookups!$AE$7:$BC$7,0),25))),"")</f>
        <v/>
      </c>
      <c r="D53" s="652" t="str">
        <f t="shared" ca="1" si="1"/>
        <v/>
      </c>
      <c r="F53" s="658" t="s">
        <v>193</v>
      </c>
      <c r="G53" s="659"/>
      <c r="H53" s="660"/>
      <c r="I53" s="593">
        <v>1.19</v>
      </c>
      <c r="J53" s="661" t="s">
        <v>177</v>
      </c>
      <c r="K53" s="185"/>
      <c r="M53" s="84"/>
      <c r="N53" s="84"/>
      <c r="O53" s="85"/>
      <c r="P53" s="618" t="s">
        <v>826</v>
      </c>
      <c r="Q53" s="673"/>
      <c r="R53" s="674">
        <f>IFERROR(0.24*Q53,0)</f>
        <v>0</v>
      </c>
      <c r="S53" s="84"/>
      <c r="T53" s="84"/>
      <c r="U53" s="84"/>
      <c r="V53" s="84"/>
      <c r="W53" s="84"/>
      <c r="X53" s="84"/>
      <c r="Y53" s="84"/>
      <c r="Z53" s="84"/>
      <c r="AA53" s="84"/>
      <c r="AC53" s="602" t="s">
        <v>829</v>
      </c>
      <c r="AD53" s="603"/>
      <c r="AE53" s="604">
        <v>1.8</v>
      </c>
      <c r="AF53" s="604"/>
      <c r="AG53" s="604"/>
      <c r="AH53" s="604"/>
      <c r="AI53" s="604"/>
      <c r="AJ53" s="604"/>
      <c r="AK53" s="604"/>
      <c r="AL53" s="604"/>
      <c r="AM53" s="604">
        <v>1.06</v>
      </c>
      <c r="AN53" s="604"/>
      <c r="AO53" s="604"/>
      <c r="AP53" s="604"/>
      <c r="AQ53" s="604"/>
      <c r="AR53" s="604">
        <v>0.59</v>
      </c>
      <c r="AS53" s="604"/>
      <c r="AT53" s="604"/>
      <c r="AU53" s="604">
        <v>2</v>
      </c>
      <c r="AV53" s="604"/>
      <c r="AW53" s="604"/>
      <c r="AX53" s="604"/>
      <c r="AY53" s="604"/>
      <c r="AZ53" s="604"/>
      <c r="BA53" s="604"/>
      <c r="BB53" s="604"/>
      <c r="BC53" s="605">
        <v>0.9</v>
      </c>
      <c r="BD53" s="606" t="str">
        <f>IF(OR(IF('General Information'!$I$28="Yes",AE53&gt;0,IFERROR(INDEX(AE53:BC53,1,MATCH('General Information'!$D$23,Lookups!$AE$7:$BC$7,0))&gt;0,FALSE)),Lookups!BC53&gt;0),"X","")</f>
        <v>X</v>
      </c>
      <c r="BF53" s="298">
        <v>50</v>
      </c>
      <c r="BG53" s="32" t="s">
        <v>830</v>
      </c>
      <c r="BH53" s="550" t="s">
        <v>568</v>
      </c>
    </row>
    <row r="54" spans="1:60" ht="15">
      <c r="A54" s="301">
        <f t="shared" ca="1" si="2"/>
        <v>41</v>
      </c>
      <c r="B54" s="590" t="str">
        <f t="shared" ca="1" si="3"/>
        <v>Food Preparation Area</v>
      </c>
      <c r="C54" s="657" t="str">
        <f ca="1">IFERROR(INDEX($AE$10:$BC$105,MATCH(B59,Lookups!$AC$10:$AC$106,0),IF('General Information'!$I$28="Yes",1,IF(INDEX($AE$10:$BC$105,MATCH(B59,Lookups!$AC$10:$AC$106,0),MATCH('General Information'!$D$23,Lookups!$AE$7:$BC$7,0))&lt;&gt;0,MATCH('General Information'!$D$23,Lookups!$AE$7:$BC$7,0),25))),"")</f>
        <v/>
      </c>
      <c r="D54" s="652" t="str">
        <f t="shared" ca="1" si="1"/>
        <v/>
      </c>
      <c r="F54" s="658" t="s">
        <v>194</v>
      </c>
      <c r="G54" s="659"/>
      <c r="H54" s="660"/>
      <c r="I54" s="593">
        <v>1.17</v>
      </c>
      <c r="J54" s="661" t="s">
        <v>195</v>
      </c>
      <c r="K54" s="185"/>
      <c r="M54" s="84"/>
      <c r="N54" s="84"/>
      <c r="O54" s="85"/>
      <c r="P54" s="618" t="s">
        <v>826</v>
      </c>
      <c r="Q54" s="673"/>
      <c r="R54" s="674">
        <f>IFERROR(0.24*Q54,0)</f>
        <v>0</v>
      </c>
      <c r="S54" s="84"/>
      <c r="T54" s="84"/>
      <c r="U54" s="84"/>
      <c r="V54" s="84"/>
      <c r="W54" s="84"/>
      <c r="X54" s="84"/>
      <c r="Y54" s="84"/>
      <c r="Z54" s="84"/>
      <c r="AA54" s="84"/>
      <c r="AC54" s="602" t="s">
        <v>831</v>
      </c>
      <c r="AD54" s="603"/>
      <c r="AE54" s="604"/>
      <c r="AF54" s="604"/>
      <c r="AG54" s="604"/>
      <c r="AH54" s="604"/>
      <c r="AI54" s="604"/>
      <c r="AJ54" s="604"/>
      <c r="AK54" s="604"/>
      <c r="AL54" s="604"/>
      <c r="AM54" s="604"/>
      <c r="AN54" s="604"/>
      <c r="AO54" s="604"/>
      <c r="AP54" s="604"/>
      <c r="AQ54" s="604"/>
      <c r="AR54" s="604"/>
      <c r="AS54" s="604"/>
      <c r="AT54" s="604"/>
      <c r="AU54" s="604"/>
      <c r="AV54" s="604"/>
      <c r="AW54" s="604"/>
      <c r="AX54" s="604"/>
      <c r="AY54" s="604"/>
      <c r="AZ54" s="604"/>
      <c r="BA54" s="604"/>
      <c r="BB54" s="604"/>
      <c r="BC54" s="605">
        <v>0.75</v>
      </c>
      <c r="BD54" s="606" t="str">
        <f>IF(OR(IF('General Information'!$I$28="Yes",AE54&gt;0,IFERROR(INDEX(AE54:BC54,1,MATCH('General Information'!$D$23,Lookups!$AE$7:$BC$7,0))&gt;0,FALSE)),Lookups!BC54&gt;0),"X","")</f>
        <v>X</v>
      </c>
      <c r="BF54" s="298">
        <v>51</v>
      </c>
      <c r="BG54" s="32" t="s">
        <v>832</v>
      </c>
      <c r="BH54" s="550" t="s">
        <v>569</v>
      </c>
    </row>
    <row r="55" spans="1:60" ht="15">
      <c r="A55" s="301">
        <f t="shared" ca="1" si="2"/>
        <v>43</v>
      </c>
      <c r="B55" s="590" t="str">
        <f t="shared" ca="1" si="3"/>
        <v>Guest Room</v>
      </c>
      <c r="C55" s="657" t="str">
        <f ca="1">IFERROR(INDEX($AE$10:$BC$105,MATCH(B60,Lookups!$AC$10:$AC$106,0),IF('General Information'!$I$28="Yes",1,IF(INDEX($AE$10:$BC$105,MATCH(B60,Lookups!$AC$10:$AC$106,0),MATCH('General Information'!$D$23,Lookups!$AE$7:$BC$7,0))&lt;&gt;0,MATCH('General Information'!$D$23,Lookups!$AE$7:$BC$7,0),25))),"")</f>
        <v/>
      </c>
      <c r="D55" s="652" t="str">
        <f t="shared" ca="1" si="1"/>
        <v/>
      </c>
      <c r="F55" s="658" t="s">
        <v>196</v>
      </c>
      <c r="G55" s="659"/>
      <c r="H55" s="660"/>
      <c r="I55" s="593">
        <v>1.17</v>
      </c>
      <c r="J55" s="661" t="s">
        <v>197</v>
      </c>
      <c r="K55" s="185"/>
      <c r="M55" s="84"/>
      <c r="N55" s="84"/>
      <c r="O55" s="85"/>
      <c r="P55" s="618" t="s">
        <v>826</v>
      </c>
      <c r="Q55" s="673"/>
      <c r="R55" s="674">
        <f>IFERROR(0.24*Q55,0)</f>
        <v>0</v>
      </c>
      <c r="S55" s="84"/>
      <c r="T55" s="84"/>
      <c r="U55" s="84"/>
      <c r="V55" s="84"/>
      <c r="W55" s="84"/>
      <c r="X55" s="84"/>
      <c r="Y55" s="84"/>
      <c r="Z55" s="84"/>
      <c r="AA55" s="84"/>
      <c r="AC55" s="602" t="s">
        <v>833</v>
      </c>
      <c r="AD55" s="603"/>
      <c r="AE55" s="604"/>
      <c r="AF55" s="604"/>
      <c r="AG55" s="604"/>
      <c r="AH55" s="604"/>
      <c r="AI55" s="604"/>
      <c r="AJ55" s="604"/>
      <c r="AK55" s="604">
        <v>0.92</v>
      </c>
      <c r="AL55" s="604">
        <v>0.92</v>
      </c>
      <c r="AM55" s="604"/>
      <c r="AN55" s="604"/>
      <c r="AO55" s="604"/>
      <c r="AP55" s="604"/>
      <c r="AQ55" s="604"/>
      <c r="AR55" s="604"/>
      <c r="AS55" s="604"/>
      <c r="AT55" s="604"/>
      <c r="AU55" s="604"/>
      <c r="AV55" s="604"/>
      <c r="AW55" s="604"/>
      <c r="AX55" s="604"/>
      <c r="AY55" s="604"/>
      <c r="AZ55" s="604"/>
      <c r="BA55" s="604"/>
      <c r="BB55" s="604"/>
      <c r="BC55" s="605">
        <v>0.73</v>
      </c>
      <c r="BD55" s="606" t="str">
        <f>IF(OR(IF('General Information'!$I$28="Yes",AE55&gt;0,IFERROR(INDEX(AE55:BC55,1,MATCH('General Information'!$D$23,Lookups!$AE$7:$BC$7,0))&gt;0,FALSE)),Lookups!BC55&gt;0),"X","")</f>
        <v>X</v>
      </c>
      <c r="BF55" s="298">
        <v>52</v>
      </c>
      <c r="BG55" s="32" t="s">
        <v>834</v>
      </c>
      <c r="BH55" s="550" t="s">
        <v>570</v>
      </c>
    </row>
    <row r="56" spans="1:60" ht="14.25" customHeight="1" thickBot="1">
      <c r="A56" s="301">
        <f t="shared" ca="1" si="2"/>
        <v>48</v>
      </c>
      <c r="B56" s="590" t="str">
        <f t="shared" ca="1" si="3"/>
        <v>Laboratory</v>
      </c>
      <c r="C56" s="657" t="str">
        <f ca="1">IFERROR(INDEX($AE$10:$BC$105,MATCH(B61,Lookups!$AC$10:$AC$106,0),IF('General Information'!$I$28="Yes",1,IF(INDEX($AE$10:$BC$105,MATCH(B61,Lookups!$AC$10:$AC$106,0),MATCH('General Information'!$D$23,Lookups!$AE$7:$BC$7,0))&lt;&gt;0,MATCH('General Information'!$D$23,Lookups!$AE$7:$BC$7,0),25))),"")</f>
        <v/>
      </c>
      <c r="D56" s="652" t="str">
        <f t="shared" ca="1" si="1"/>
        <v/>
      </c>
      <c r="F56" s="658" t="s">
        <v>198</v>
      </c>
      <c r="G56" s="659"/>
      <c r="H56" s="660"/>
      <c r="I56" s="593">
        <v>1.17</v>
      </c>
      <c r="J56" s="661" t="s">
        <v>199</v>
      </c>
      <c r="K56" s="185"/>
      <c r="M56" s="84"/>
      <c r="N56" s="84"/>
      <c r="O56" s="85"/>
      <c r="P56" s="675" t="s">
        <v>826</v>
      </c>
      <c r="Q56" s="676"/>
      <c r="R56" s="677">
        <f>IFERROR(0.24*Q56,0)</f>
        <v>0</v>
      </c>
      <c r="S56" s="84"/>
      <c r="T56" s="84"/>
      <c r="U56" s="84"/>
      <c r="V56" s="84"/>
      <c r="W56" s="84"/>
      <c r="X56" s="84"/>
      <c r="Y56" s="84"/>
      <c r="Z56" s="84"/>
      <c r="AA56" s="84"/>
      <c r="AC56" s="602" t="s">
        <v>835</v>
      </c>
      <c r="AD56" s="603"/>
      <c r="AE56" s="604"/>
      <c r="AF56" s="604"/>
      <c r="AG56" s="604"/>
      <c r="AH56" s="604"/>
      <c r="AI56" s="604"/>
      <c r="AJ56" s="604"/>
      <c r="AK56" s="604"/>
      <c r="AL56" s="604"/>
      <c r="AM56" s="604"/>
      <c r="AN56" s="604"/>
      <c r="AO56" s="604">
        <v>1.19</v>
      </c>
      <c r="AP56" s="604">
        <v>1.19</v>
      </c>
      <c r="AQ56" s="604">
        <v>1.19</v>
      </c>
      <c r="AR56" s="604"/>
      <c r="AS56" s="604"/>
      <c r="AT56" s="604"/>
      <c r="AU56" s="604"/>
      <c r="AV56" s="604"/>
      <c r="AW56" s="604"/>
      <c r="AX56" s="604"/>
      <c r="AY56" s="604"/>
      <c r="AZ56" s="604"/>
      <c r="BA56" s="604"/>
      <c r="BB56" s="604"/>
      <c r="BC56" s="605"/>
      <c r="BD56" s="606" t="str">
        <f>IF(OR(IF('General Information'!$I$28="Yes",AE56&gt;0,IFERROR(INDEX(AE56:BC56,1,MATCH('General Information'!$D$23,Lookups!$AE$7:$BC$7,0))&gt;0,FALSE)),Lookups!BC56&gt;0),"X","")</f>
        <v/>
      </c>
      <c r="BF56" s="298">
        <v>53</v>
      </c>
      <c r="BG56" s="32" t="s">
        <v>836</v>
      </c>
      <c r="BH56" s="550" t="s">
        <v>571</v>
      </c>
    </row>
    <row r="57" spans="1:60" ht="16.5" customHeight="1">
      <c r="A57" s="301">
        <f t="shared" ca="1" si="2"/>
        <v>49</v>
      </c>
      <c r="B57" s="590" t="str">
        <f t="shared" ca="1" si="3"/>
        <v>Laundry/Washing Area</v>
      </c>
      <c r="C57" s="657" t="str">
        <f ca="1">IFERROR(INDEX($AE$10:$BC$105,MATCH(B62,Lookups!$AC$10:$AC$106,0),IF('General Information'!$I$28="Yes",1,IF(INDEX($AE$10:$BC$105,MATCH(B62,Lookups!$AC$10:$AC$106,0),MATCH('General Information'!$D$23,Lookups!$AE$7:$BC$7,0))&lt;&gt;0,MATCH('General Information'!$D$23,Lookups!$AE$7:$BC$7,0),25))),"")</f>
        <v/>
      </c>
      <c r="D57" s="652" t="str">
        <f t="shared" ca="1" si="1"/>
        <v/>
      </c>
      <c r="F57" s="658" t="s">
        <v>200</v>
      </c>
      <c r="G57" s="659"/>
      <c r="H57" s="660"/>
      <c r="I57" s="593">
        <v>0.87</v>
      </c>
      <c r="J57" s="661" t="s">
        <v>192</v>
      </c>
      <c r="K57" s="185"/>
      <c r="M57" s="84"/>
      <c r="N57" s="84"/>
      <c r="O57" s="85"/>
      <c r="P57" s="1085" t="s">
        <v>837</v>
      </c>
      <c r="Q57" s="1086"/>
      <c r="R57" s="1087"/>
      <c r="S57" s="84"/>
      <c r="T57" s="84"/>
      <c r="U57" s="84"/>
      <c r="V57" s="84"/>
      <c r="W57" s="84"/>
      <c r="X57" s="84"/>
      <c r="Y57" s="84"/>
      <c r="Z57" s="84"/>
      <c r="AA57" s="84"/>
      <c r="AC57" s="602" t="s">
        <v>838</v>
      </c>
      <c r="AD57" s="603"/>
      <c r="AE57" s="604"/>
      <c r="AF57" s="604"/>
      <c r="AG57" s="604"/>
      <c r="AH57" s="604"/>
      <c r="AI57" s="604"/>
      <c r="AJ57" s="604"/>
      <c r="AK57" s="604"/>
      <c r="AL57" s="604"/>
      <c r="AM57" s="604"/>
      <c r="AN57" s="604"/>
      <c r="AO57" s="604"/>
      <c r="AP57" s="604"/>
      <c r="AQ57" s="604"/>
      <c r="AR57" s="604"/>
      <c r="AS57" s="604"/>
      <c r="AT57" s="604"/>
      <c r="AU57" s="604"/>
      <c r="AV57" s="604"/>
      <c r="AW57" s="604"/>
      <c r="AX57" s="604">
        <v>1.1000000000000001</v>
      </c>
      <c r="AY57" s="604"/>
      <c r="AZ57" s="604"/>
      <c r="BA57" s="604"/>
      <c r="BB57" s="604"/>
      <c r="BC57" s="605"/>
      <c r="BD57" s="606" t="str">
        <f>IF(OR(IF('General Information'!$I$28="Yes",AE57&gt;0,IFERROR(INDEX(AE57:BC57,1,MATCH('General Information'!$D$23,Lookups!$AE$7:$BC$7,0))&gt;0,FALSE)),Lookups!BC57&gt;0),"X","")</f>
        <v/>
      </c>
      <c r="BF57" s="298">
        <v>54</v>
      </c>
      <c r="BG57" s="32" t="s">
        <v>839</v>
      </c>
      <c r="BH57" s="550" t="s">
        <v>572</v>
      </c>
    </row>
    <row r="58" spans="1:60" ht="15">
      <c r="A58" s="301">
        <f t="shared" ca="1" si="2"/>
        <v>52</v>
      </c>
      <c r="B58" s="590" t="str">
        <f t="shared" ca="1" si="3"/>
        <v>Loading dock, interior</v>
      </c>
      <c r="C58" s="657" t="str">
        <f ca="1">IFERROR(INDEX($AE$10:$BC$105,MATCH(B63,Lookups!$AC$10:$AC$106,0),IF('General Information'!$I$28="Yes",1,IF(INDEX($AE$10:$BC$105,MATCH(B63,Lookups!$AC$10:$AC$106,0),MATCH('General Information'!$D$23,Lookups!$AE$7:$BC$7,0))&lt;&gt;0,MATCH('General Information'!$D$23,Lookups!$AE$7:$BC$7,0),25))),"")</f>
        <v/>
      </c>
      <c r="D58" s="652" t="str">
        <f t="shared" ca="1" si="1"/>
        <v/>
      </c>
      <c r="F58" s="658" t="s">
        <v>201</v>
      </c>
      <c r="G58" s="659"/>
      <c r="H58" s="660"/>
      <c r="I58" s="593">
        <v>0.76</v>
      </c>
      <c r="J58" s="661" t="s">
        <v>174</v>
      </c>
      <c r="K58" s="185"/>
      <c r="M58" s="84"/>
      <c r="N58" s="84"/>
      <c r="O58" s="85"/>
      <c r="P58" s="1088"/>
      <c r="Q58" s="1089"/>
      <c r="R58" s="1090"/>
      <c r="S58" s="84"/>
      <c r="T58" s="84"/>
      <c r="U58" s="84"/>
      <c r="V58" s="84"/>
      <c r="W58" s="84"/>
      <c r="X58" s="84"/>
      <c r="Y58" s="84"/>
      <c r="Z58" s="84"/>
      <c r="AA58" s="84"/>
      <c r="AC58" s="602" t="s">
        <v>840</v>
      </c>
      <c r="AD58" s="603"/>
      <c r="AE58" s="604"/>
      <c r="AF58" s="604"/>
      <c r="AG58" s="604"/>
      <c r="AH58" s="604"/>
      <c r="AI58" s="604"/>
      <c r="AJ58" s="604"/>
      <c r="AK58" s="604">
        <v>0.74</v>
      </c>
      <c r="AL58" s="604">
        <v>0.74</v>
      </c>
      <c r="AM58" s="604"/>
      <c r="AN58" s="604"/>
      <c r="AO58" s="604"/>
      <c r="AP58" s="604"/>
      <c r="AQ58" s="604"/>
      <c r="AR58" s="604"/>
      <c r="AS58" s="604"/>
      <c r="AT58" s="604"/>
      <c r="AU58" s="604"/>
      <c r="AV58" s="604"/>
      <c r="AW58" s="604"/>
      <c r="AX58" s="604"/>
      <c r="AY58" s="604"/>
      <c r="AZ58" s="604"/>
      <c r="BA58" s="604"/>
      <c r="BB58" s="604"/>
      <c r="BC58" s="605"/>
      <c r="BD58" s="606" t="str">
        <f>IF(OR(IF('General Information'!$I$28="Yes",AE58&gt;0,IFERROR(INDEX(AE58:BC58,1,MATCH('General Information'!$D$23,Lookups!$AE$7:$BC$7,0))&gt;0,FALSE)),Lookups!BC58&gt;0),"X","")</f>
        <v/>
      </c>
      <c r="BF58" s="298">
        <v>55</v>
      </c>
      <c r="BG58" s="32" t="s">
        <v>841</v>
      </c>
      <c r="BH58" s="550" t="s">
        <v>573</v>
      </c>
    </row>
    <row r="59" spans="1:60" ht="14.25" customHeight="1" thickBot="1">
      <c r="A59" s="301">
        <f t="shared" ca="1" si="2"/>
        <v>53</v>
      </c>
      <c r="B59" s="590" t="str">
        <f t="shared" ca="1" si="3"/>
        <v>Lobby</v>
      </c>
      <c r="C59" s="657" t="str">
        <f ca="1">IFERROR(INDEX($AE$10:$BC$105,MATCH(B64,Lookups!$AC$10:$AC$106,0),IF('General Information'!$I$28="Yes",1,IF(INDEX($AE$10:$BC$105,MATCH(B64,Lookups!$AC$10:$AC$106,0),MATCH('General Information'!$D$23,Lookups!$AE$7:$BC$7,0))&lt;&gt;0,MATCH('General Information'!$D$23,Lookups!$AE$7:$BC$7,0),25))),"")</f>
        <v/>
      </c>
      <c r="D59" s="652" t="str">
        <f t="shared" ca="1" si="1"/>
        <v/>
      </c>
      <c r="F59" s="658" t="s">
        <v>202</v>
      </c>
      <c r="G59" s="659"/>
      <c r="H59" s="660"/>
      <c r="I59" s="593">
        <v>0.51</v>
      </c>
      <c r="J59" s="661" t="s">
        <v>192</v>
      </c>
      <c r="K59" s="185"/>
      <c r="M59" s="84"/>
      <c r="N59" s="84"/>
      <c r="O59" s="85"/>
      <c r="P59" s="1091"/>
      <c r="Q59" s="1092"/>
      <c r="R59" s="1093"/>
      <c r="S59" s="84"/>
      <c r="T59" s="84"/>
      <c r="U59" s="84"/>
      <c r="V59" s="84"/>
      <c r="W59" s="84"/>
      <c r="X59" s="84"/>
      <c r="Y59" s="84"/>
      <c r="Z59" s="84"/>
      <c r="AA59" s="84"/>
      <c r="AC59" s="602" t="s">
        <v>842</v>
      </c>
      <c r="AD59" s="603"/>
      <c r="AE59" s="604"/>
      <c r="AF59" s="604"/>
      <c r="AG59" s="604"/>
      <c r="AH59" s="604"/>
      <c r="AI59" s="604"/>
      <c r="AJ59" s="604"/>
      <c r="AK59" s="604">
        <v>0.88</v>
      </c>
      <c r="AL59" s="604">
        <v>0.88</v>
      </c>
      <c r="AM59" s="604"/>
      <c r="AN59" s="604"/>
      <c r="AO59" s="604"/>
      <c r="AP59" s="604"/>
      <c r="AQ59" s="604"/>
      <c r="AR59" s="604"/>
      <c r="AS59" s="604"/>
      <c r="AT59" s="604"/>
      <c r="AU59" s="604"/>
      <c r="AV59" s="604"/>
      <c r="AW59" s="604"/>
      <c r="AX59" s="604"/>
      <c r="AY59" s="604"/>
      <c r="AZ59" s="604"/>
      <c r="BA59" s="604"/>
      <c r="BB59" s="604"/>
      <c r="BC59" s="605"/>
      <c r="BD59" s="606" t="str">
        <f>IF(OR(IF('General Information'!$I$28="Yes",AE59&gt;0,IFERROR(INDEX(AE59:BC59,1,MATCH('General Information'!$D$23,Lookups!$AE$7:$BC$7,0))&gt;0,FALSE)),Lookups!BC59&gt;0),"X","")</f>
        <v/>
      </c>
      <c r="BF59" s="298">
        <v>56</v>
      </c>
      <c r="BG59" s="32" t="s">
        <v>843</v>
      </c>
      <c r="BH59" s="550" t="s">
        <v>574</v>
      </c>
    </row>
    <row r="60" spans="1:60" ht="15.75" customHeight="1">
      <c r="A60" s="301">
        <f t="shared" ca="1" si="2"/>
        <v>54</v>
      </c>
      <c r="B60" s="590" t="str">
        <f t="shared" ca="1" si="3"/>
        <v>Locker Room</v>
      </c>
      <c r="C60" s="657" t="str">
        <f ca="1">IFERROR(INDEX($AE$10:$BC$105,MATCH(B65,Lookups!$AC$10:$AC$106,0),IF('General Information'!$I$28="Yes",1,IF(INDEX($AE$10:$BC$105,MATCH(B65,Lookups!$AC$10:$AC$106,0),MATCH('General Information'!$D$23,Lookups!$AE$7:$BC$7,0))&lt;&gt;0,MATCH('General Information'!$D$23,Lookups!$AE$7:$BC$7,0),25))),"")</f>
        <v/>
      </c>
      <c r="D60" s="652" t="str">
        <f t="shared" ca="1" si="1"/>
        <v/>
      </c>
      <c r="F60" s="658" t="s">
        <v>203</v>
      </c>
      <c r="G60" s="659"/>
      <c r="H60" s="660"/>
      <c r="I60" s="593">
        <v>1.02</v>
      </c>
      <c r="J60" s="661" t="s">
        <v>177</v>
      </c>
      <c r="K60" s="185"/>
      <c r="M60" s="84"/>
      <c r="N60" s="84"/>
      <c r="O60" s="85"/>
      <c r="P60" s="1085" t="s">
        <v>844</v>
      </c>
      <c r="Q60" s="1086"/>
      <c r="R60" s="1087"/>
      <c r="S60" s="84"/>
      <c r="T60" s="84"/>
      <c r="U60" s="84"/>
      <c r="V60" s="84"/>
      <c r="W60" s="84"/>
      <c r="X60" s="84"/>
      <c r="Y60" s="84"/>
      <c r="Z60" s="84"/>
      <c r="AA60" s="84"/>
      <c r="AC60" s="602" t="s">
        <v>845</v>
      </c>
      <c r="AD60" s="603"/>
      <c r="AE60" s="604"/>
      <c r="AF60" s="604"/>
      <c r="AG60" s="604"/>
      <c r="AH60" s="604"/>
      <c r="AI60" s="604"/>
      <c r="AJ60" s="604"/>
      <c r="AK60" s="604">
        <v>0.71</v>
      </c>
      <c r="AL60" s="604">
        <v>0.71</v>
      </c>
      <c r="AM60" s="604"/>
      <c r="AN60" s="604"/>
      <c r="AO60" s="604"/>
      <c r="AP60" s="604"/>
      <c r="AQ60" s="604"/>
      <c r="AR60" s="604"/>
      <c r="AS60" s="604"/>
      <c r="AT60" s="604"/>
      <c r="AU60" s="604"/>
      <c r="AV60" s="604"/>
      <c r="AW60" s="604"/>
      <c r="AX60" s="604"/>
      <c r="AY60" s="604"/>
      <c r="AZ60" s="604"/>
      <c r="BA60" s="604"/>
      <c r="BB60" s="604"/>
      <c r="BC60" s="605"/>
      <c r="BD60" s="606" t="str">
        <f>IF(OR(IF('General Information'!$I$28="Yes",AE60&gt;0,IFERROR(INDEX(AE60:BC60,1,MATCH('General Information'!$D$23,Lookups!$AE$7:$BC$7,0))&gt;0,FALSE)),Lookups!BC60&gt;0),"X","")</f>
        <v/>
      </c>
      <c r="BF60" s="298">
        <v>57</v>
      </c>
      <c r="BG60" s="32" t="s">
        <v>846</v>
      </c>
      <c r="BH60" s="550" t="s">
        <v>575</v>
      </c>
    </row>
    <row r="61" spans="1:60" ht="15.75" thickBot="1">
      <c r="A61" s="301">
        <f t="shared" ca="1" si="2"/>
        <v>55</v>
      </c>
      <c r="B61" s="590" t="str">
        <f t="shared" ca="1" si="3"/>
        <v>Lounge/Breakroom</v>
      </c>
      <c r="C61" s="657" t="str">
        <f ca="1">IFERROR(INDEX($AE$10:$BC$105,MATCH(B66,Lookups!$AC$10:$AC$106,0),IF('General Information'!$I$28="Yes",1,IF(INDEX($AE$10:$BC$105,MATCH(B66,Lookups!$AC$10:$AC$106,0),MATCH('General Information'!$D$23,Lookups!$AE$7:$BC$7,0))&lt;&gt;0,MATCH('General Information'!$D$23,Lookups!$AE$7:$BC$7,0),25))),"")</f>
        <v/>
      </c>
      <c r="D61" s="652" t="str">
        <f t="shared" ca="1" si="1"/>
        <v/>
      </c>
      <c r="F61" s="658" t="s">
        <v>204</v>
      </c>
      <c r="G61" s="659"/>
      <c r="H61" s="660"/>
      <c r="I61" s="593">
        <v>0.82</v>
      </c>
      <c r="J61" s="661" t="s">
        <v>204</v>
      </c>
      <c r="K61" s="185"/>
      <c r="M61" s="84"/>
      <c r="N61" s="84"/>
      <c r="O61" s="85"/>
      <c r="P61" s="1091"/>
      <c r="Q61" s="1092"/>
      <c r="R61" s="1093"/>
      <c r="S61" s="84"/>
      <c r="T61" s="84"/>
      <c r="U61" s="84"/>
      <c r="V61" s="84"/>
      <c r="W61" s="84"/>
      <c r="X61" s="84"/>
      <c r="Y61" s="84"/>
      <c r="Z61" s="84"/>
      <c r="AA61" s="84"/>
      <c r="AC61" s="602" t="s">
        <v>847</v>
      </c>
      <c r="AD61" s="603"/>
      <c r="AE61" s="604"/>
      <c r="AF61" s="604"/>
      <c r="AG61" s="604"/>
      <c r="AH61" s="604"/>
      <c r="AI61" s="604"/>
      <c r="AJ61" s="604"/>
      <c r="AK61" s="604"/>
      <c r="AL61" s="604"/>
      <c r="AM61" s="604"/>
      <c r="AN61" s="604"/>
      <c r="AO61" s="604"/>
      <c r="AP61" s="604"/>
      <c r="AQ61" s="604"/>
      <c r="AR61" s="604"/>
      <c r="AS61" s="604"/>
      <c r="AT61" s="604"/>
      <c r="AU61" s="604"/>
      <c r="AV61" s="604"/>
      <c r="AW61" s="604"/>
      <c r="AX61" s="604"/>
      <c r="AY61" s="604"/>
      <c r="AZ61" s="604"/>
      <c r="BA61" s="604"/>
      <c r="BB61" s="604"/>
      <c r="BC61" s="605">
        <v>1.1100000000000001</v>
      </c>
      <c r="BD61" s="606" t="str">
        <f>IF(OR(IF('General Information'!$I$28="Yes",AE61&gt;0,IFERROR(INDEX(AE61:BC61,1,MATCH('General Information'!$D$23,Lookups!$AE$7:$BC$7,0))&gt;0,FALSE)),Lookups!BC61&gt;0),"X","")</f>
        <v>X</v>
      </c>
      <c r="BF61" s="298">
        <v>58</v>
      </c>
      <c r="BG61" s="32" t="s">
        <v>848</v>
      </c>
      <c r="BH61" s="550" t="s">
        <v>576</v>
      </c>
    </row>
    <row r="62" spans="1:60" ht="15">
      <c r="A62" s="301">
        <f t="shared" ca="1" si="2"/>
        <v>61</v>
      </c>
      <c r="B62" s="590" t="str">
        <f t="shared" ca="1" si="3"/>
        <v>Office, Enclosed</v>
      </c>
      <c r="C62" s="657" t="str">
        <f ca="1">IFERROR(INDEX($AE$10:$BC$105,MATCH(B67,Lookups!$AC$10:$AC$106,0),IF('General Information'!$I$28="Yes",1,IF(INDEX($AE$10:$BC$105,MATCH(B67,Lookups!$AC$10:$AC$106,0),MATCH('General Information'!$D$23,Lookups!$AE$7:$BC$7,0))&lt;&gt;0,MATCH('General Information'!$D$23,Lookups!$AE$7:$BC$7,0),25))),"")</f>
        <v/>
      </c>
      <c r="D62" s="652" t="str">
        <f t="shared" ca="1" si="1"/>
        <v/>
      </c>
      <c r="F62" s="658" t="s">
        <v>205</v>
      </c>
      <c r="G62" s="659"/>
      <c r="H62" s="660"/>
      <c r="I62" s="593">
        <v>0.21</v>
      </c>
      <c r="J62" s="661" t="s">
        <v>206</v>
      </c>
      <c r="K62" s="185"/>
      <c r="M62" s="84"/>
      <c r="N62" s="84"/>
      <c r="O62" s="85"/>
      <c r="P62" s="84"/>
      <c r="Q62" s="84"/>
      <c r="R62" s="85"/>
      <c r="S62" s="84"/>
      <c r="T62" s="84"/>
      <c r="U62" s="84"/>
      <c r="V62" s="84"/>
      <c r="W62" s="84"/>
      <c r="X62" s="84"/>
      <c r="Y62" s="84"/>
      <c r="Z62" s="84"/>
      <c r="AA62" s="84"/>
      <c r="AC62" s="602" t="s">
        <v>849</v>
      </c>
      <c r="AD62" s="603"/>
      <c r="AE62" s="604"/>
      <c r="AF62" s="604"/>
      <c r="AG62" s="604"/>
      <c r="AH62" s="604"/>
      <c r="AI62" s="604"/>
      <c r="AJ62" s="604"/>
      <c r="AK62" s="604"/>
      <c r="AL62" s="604"/>
      <c r="AM62" s="604"/>
      <c r="AN62" s="604"/>
      <c r="AO62" s="604"/>
      <c r="AP62" s="604"/>
      <c r="AQ62" s="604"/>
      <c r="AR62" s="604"/>
      <c r="AS62" s="604"/>
      <c r="AT62" s="604"/>
      <c r="AU62" s="604"/>
      <c r="AV62" s="604"/>
      <c r="AW62" s="604"/>
      <c r="AX62" s="604"/>
      <c r="AY62" s="604"/>
      <c r="AZ62" s="604"/>
      <c r="BA62" s="604"/>
      <c r="BB62" s="604"/>
      <c r="BC62" s="605">
        <v>0.98</v>
      </c>
      <c r="BD62" s="606" t="str">
        <f>IF(OR(IF('General Information'!$I$28="Yes",AE62&gt;0,IFERROR(INDEX(AE62:BC62,1,MATCH('General Information'!$D$23,Lookups!$AE$7:$BC$7,0))&gt;0,FALSE)),Lookups!BC62&gt;0),"X","")</f>
        <v>X</v>
      </c>
      <c r="BF62" s="298">
        <v>59</v>
      </c>
      <c r="BG62" s="32" t="s">
        <v>850</v>
      </c>
      <c r="BH62" s="550" t="s">
        <v>577</v>
      </c>
    </row>
    <row r="63" spans="1:60" ht="15">
      <c r="A63" s="301">
        <f t="shared" ca="1" si="2"/>
        <v>62</v>
      </c>
      <c r="B63" s="590" t="str">
        <f t="shared" ca="1" si="3"/>
        <v>Office, Open</v>
      </c>
      <c r="C63" s="657" t="str">
        <f ca="1">IFERROR(INDEX($AE$10:$BC$105,MATCH(B68,Lookups!$AC$10:$AC$106,0),IF('General Information'!$I$28="Yes",1,IF(INDEX($AE$10:$BC$105,MATCH(B68,Lookups!$AC$10:$AC$106,0),MATCH('General Information'!$D$23,Lookups!$AE$7:$BC$7,0))&lt;&gt;0,MATCH('General Information'!$D$23,Lookups!$AE$7:$BC$7,0),25))),"")</f>
        <v/>
      </c>
      <c r="D63" s="652" t="str">
        <f t="shared" ca="1" si="1"/>
        <v/>
      </c>
      <c r="F63" s="658" t="s">
        <v>207</v>
      </c>
      <c r="G63" s="659"/>
      <c r="H63" s="660"/>
      <c r="I63" s="593">
        <v>0.81</v>
      </c>
      <c r="J63" s="661" t="s">
        <v>177</v>
      </c>
      <c r="K63" s="185"/>
      <c r="M63" s="84"/>
      <c r="N63" s="84"/>
      <c r="O63" s="85"/>
      <c r="P63" s="85"/>
      <c r="Q63" s="84"/>
      <c r="R63" s="85"/>
      <c r="S63" s="84"/>
      <c r="T63" s="84"/>
      <c r="U63" s="84"/>
      <c r="V63" s="84"/>
      <c r="W63" s="84"/>
      <c r="X63" s="84"/>
      <c r="Y63" s="84"/>
      <c r="Z63" s="84"/>
      <c r="AA63" s="84"/>
      <c r="AC63" s="602" t="s">
        <v>851</v>
      </c>
      <c r="AD63" s="603"/>
      <c r="AE63" s="604"/>
      <c r="AF63" s="604"/>
      <c r="AG63" s="604"/>
      <c r="AH63" s="604"/>
      <c r="AI63" s="604"/>
      <c r="AJ63" s="604"/>
      <c r="AK63" s="604">
        <v>2.48</v>
      </c>
      <c r="AL63" s="604">
        <v>2.48</v>
      </c>
      <c r="AM63" s="604"/>
      <c r="AN63" s="604"/>
      <c r="AO63" s="604"/>
      <c r="AP63" s="604"/>
      <c r="AQ63" s="604"/>
      <c r="AR63" s="604"/>
      <c r="AS63" s="604"/>
      <c r="AT63" s="604"/>
      <c r="AU63" s="604"/>
      <c r="AV63" s="604"/>
      <c r="AW63" s="604"/>
      <c r="AX63" s="604"/>
      <c r="AY63" s="604"/>
      <c r="AZ63" s="604"/>
      <c r="BA63" s="604"/>
      <c r="BB63" s="604"/>
      <c r="BC63" s="605"/>
      <c r="BD63" s="606" t="str">
        <f>IF(OR(IF('General Information'!$I$28="Yes",AE63&gt;0,IFERROR(INDEX(AE63:BC63,1,MATCH('General Information'!$D$23,Lookups!$AE$7:$BC$7,0))&gt;0,FALSE)),Lookups!BC63&gt;0),"X","")</f>
        <v/>
      </c>
      <c r="BF63" s="298">
        <v>60</v>
      </c>
      <c r="BG63" s="32" t="s">
        <v>852</v>
      </c>
      <c r="BH63" s="550" t="s">
        <v>578</v>
      </c>
    </row>
    <row r="64" spans="1:60" ht="15">
      <c r="A64" s="301">
        <f t="shared" ca="1" si="2"/>
        <v>64</v>
      </c>
      <c r="B64" s="590" t="str">
        <f t="shared" ca="1" si="3"/>
        <v>Parking Area, Interior</v>
      </c>
      <c r="C64" s="657" t="str">
        <f ca="1">IFERROR(INDEX($AE$10:$BC$105,MATCH(B69,Lookups!$AC$10:$AC$106,0),IF('General Information'!$I$28="Yes",1,IF(INDEX($AE$10:$BC$105,MATCH(B69,Lookups!$AC$10:$AC$106,0),MATCH('General Information'!$D$23,Lookups!$AE$7:$BC$7,0))&lt;&gt;0,MATCH('General Information'!$D$23,Lookups!$AE$7:$BC$7,0),25))),"")</f>
        <v/>
      </c>
      <c r="D64" s="652" t="str">
        <f t="shared" ca="1" si="1"/>
        <v/>
      </c>
      <c r="F64" s="658" t="s">
        <v>208</v>
      </c>
      <c r="G64" s="659"/>
      <c r="H64" s="660"/>
      <c r="I64" s="593">
        <v>1.39</v>
      </c>
      <c r="J64" s="661" t="s">
        <v>174</v>
      </c>
      <c r="K64" s="185"/>
      <c r="M64" s="84"/>
      <c r="N64" s="84"/>
      <c r="O64" s="85"/>
      <c r="P64" s="85"/>
      <c r="Q64" s="84"/>
      <c r="R64" s="85"/>
      <c r="S64" s="84"/>
      <c r="T64" s="84"/>
      <c r="U64" s="84"/>
      <c r="V64" s="84"/>
      <c r="W64" s="84"/>
      <c r="X64" s="84"/>
      <c r="Y64" s="84"/>
      <c r="Z64" s="84"/>
      <c r="AA64" s="84"/>
      <c r="AC64" s="602" t="s">
        <v>853</v>
      </c>
      <c r="AD64" s="603"/>
      <c r="AE64" s="604"/>
      <c r="AF64" s="604"/>
      <c r="AG64" s="604"/>
      <c r="AH64" s="604"/>
      <c r="AI64" s="604"/>
      <c r="AJ64" s="604"/>
      <c r="AK64" s="604"/>
      <c r="AL64" s="604"/>
      <c r="AM64" s="604"/>
      <c r="AN64" s="604"/>
      <c r="AO64" s="604"/>
      <c r="AP64" s="604"/>
      <c r="AQ64" s="604"/>
      <c r="AR64" s="604"/>
      <c r="AS64" s="604"/>
      <c r="AT64" s="604"/>
      <c r="AU64" s="604"/>
      <c r="AV64" s="604"/>
      <c r="AW64" s="604"/>
      <c r="AX64" s="604"/>
      <c r="AY64" s="604"/>
      <c r="AZ64" s="604"/>
      <c r="BA64" s="604"/>
      <c r="BB64" s="604"/>
      <c r="BC64" s="605">
        <v>0.19</v>
      </c>
      <c r="BD64" s="606" t="str">
        <f>IF(OR(IF('General Information'!$I$28="Yes",AE64&gt;0,IFERROR(INDEX(AE64:BC64,1,MATCH('General Information'!$D$23,Lookups!$AE$7:$BC$7,0))&gt;0,FALSE)),Lookups!BC64&gt;0),"X","")</f>
        <v>X</v>
      </c>
      <c r="BF64" s="298">
        <v>61</v>
      </c>
      <c r="BG64" s="32" t="s">
        <v>854</v>
      </c>
      <c r="BH64" s="550" t="s">
        <v>579</v>
      </c>
    </row>
    <row r="65" spans="1:60" ht="15">
      <c r="A65" s="301">
        <f t="shared" ca="1" si="2"/>
        <v>66</v>
      </c>
      <c r="B65" s="590" t="str">
        <f t="shared" ca="1" si="3"/>
        <v>Pharmacy Area</v>
      </c>
      <c r="C65" s="657" t="str">
        <f ca="1">IFERROR(INDEX($AE$10:$BC$105,MATCH(B70,Lookups!$AC$10:$AC$106,0),IF('General Information'!$I$28="Yes",1,IF(INDEX($AE$10:$BC$105,MATCH(B70,Lookups!$AC$10:$AC$106,0),MATCH('General Information'!$D$23,Lookups!$AE$7:$BC$7,0))&lt;&gt;0,MATCH('General Information'!$D$23,Lookups!$AE$7:$BC$7,0),25))),"")</f>
        <v/>
      </c>
      <c r="D65" s="652" t="str">
        <f t="shared" ca="1" si="1"/>
        <v/>
      </c>
      <c r="F65" s="658" t="s">
        <v>855</v>
      </c>
      <c r="G65" s="659"/>
      <c r="H65" s="660"/>
      <c r="I65" s="593">
        <v>0.87</v>
      </c>
      <c r="J65" s="661" t="s">
        <v>177</v>
      </c>
      <c r="K65" s="185"/>
      <c r="M65" s="84"/>
      <c r="N65" s="84"/>
      <c r="O65" s="85"/>
      <c r="P65" s="85"/>
      <c r="Q65" s="84"/>
      <c r="R65" s="85"/>
      <c r="S65" s="84"/>
      <c r="T65" s="84"/>
      <c r="U65" s="84"/>
      <c r="V65" s="84"/>
      <c r="W65" s="84"/>
      <c r="X65" s="84"/>
      <c r="Y65" s="84"/>
      <c r="Z65" s="84"/>
      <c r="AA65" s="84"/>
      <c r="AC65" s="602" t="s">
        <v>856</v>
      </c>
      <c r="AD65" s="603"/>
      <c r="AE65" s="604"/>
      <c r="AF65" s="604"/>
      <c r="AG65" s="604"/>
      <c r="AH65" s="604"/>
      <c r="AI65" s="604"/>
      <c r="AJ65" s="604"/>
      <c r="AK65" s="604">
        <v>0.62</v>
      </c>
      <c r="AL65" s="604">
        <v>0.62</v>
      </c>
      <c r="AM65" s="604"/>
      <c r="AN65" s="604"/>
      <c r="AO65" s="604"/>
      <c r="AP65" s="604"/>
      <c r="AQ65" s="604"/>
      <c r="AR65" s="604"/>
      <c r="AS65" s="604"/>
      <c r="AT65" s="604"/>
      <c r="AU65" s="604"/>
      <c r="AV65" s="604"/>
      <c r="AW65" s="604"/>
      <c r="AX65" s="604"/>
      <c r="AY65" s="604"/>
      <c r="AZ65" s="604"/>
      <c r="BA65" s="604"/>
      <c r="BB65" s="604"/>
      <c r="BC65" s="605"/>
      <c r="BD65" s="606" t="str">
        <f>IF(OR(IF('General Information'!$I$28="Yes",AE65&gt;0,IFERROR(INDEX(AE65:BC65,1,MATCH('General Information'!$D$23,Lookups!$AE$7:$BC$7,0))&gt;0,FALSE)),Lookups!BC65&gt;0),"X","")</f>
        <v/>
      </c>
      <c r="BF65" s="298">
        <v>62</v>
      </c>
      <c r="BG65" s="32" t="s">
        <v>857</v>
      </c>
      <c r="BH65" s="550" t="s">
        <v>580</v>
      </c>
    </row>
    <row r="66" spans="1:60" ht="15">
      <c r="A66" s="301">
        <f t="shared" ca="1" si="2"/>
        <v>71</v>
      </c>
      <c r="B66" s="590" t="str">
        <f t="shared" ca="1" si="3"/>
        <v>Restroom</v>
      </c>
      <c r="C66" s="657" t="str">
        <f ca="1">IFERROR(INDEX($AE$10:$BC$105,MATCH(B71,Lookups!$AC$10:$AC$106,0),IF('General Information'!$I$28="Yes",1,IF(INDEX($AE$10:$BC$105,MATCH(B71,Lookups!$AC$10:$AC$106,0),MATCH('General Information'!$D$23,Lookups!$AE$7:$BC$7,0))&lt;&gt;0,MATCH('General Information'!$D$23,Lookups!$AE$7:$BC$7,0),25))),"")</f>
        <v/>
      </c>
      <c r="D66" s="652" t="str">
        <f t="shared" ca="1" si="1"/>
        <v/>
      </c>
      <c r="F66" s="658" t="s">
        <v>210</v>
      </c>
      <c r="G66" s="659"/>
      <c r="H66" s="660"/>
      <c r="I66" s="593">
        <v>0.87</v>
      </c>
      <c r="J66" s="661" t="s">
        <v>177</v>
      </c>
      <c r="K66" s="185"/>
      <c r="M66" s="84"/>
      <c r="N66" s="84"/>
      <c r="O66" s="85"/>
      <c r="P66" s="85"/>
      <c r="Q66" s="84"/>
      <c r="R66" s="85"/>
      <c r="S66" s="84"/>
      <c r="T66" s="84"/>
      <c r="U66" s="84"/>
      <c r="V66" s="84"/>
      <c r="W66" s="84"/>
      <c r="X66" s="84"/>
      <c r="Y66" s="84"/>
      <c r="Z66" s="84"/>
      <c r="AA66" s="84"/>
      <c r="AC66" s="602" t="s">
        <v>858</v>
      </c>
      <c r="AD66" s="603"/>
      <c r="AE66" s="604"/>
      <c r="AF66" s="604"/>
      <c r="AG66" s="604"/>
      <c r="AH66" s="604"/>
      <c r="AI66" s="604"/>
      <c r="AJ66" s="604"/>
      <c r="AK66" s="604"/>
      <c r="AL66" s="604"/>
      <c r="AM66" s="604"/>
      <c r="AN66" s="604"/>
      <c r="AO66" s="604"/>
      <c r="AP66" s="604"/>
      <c r="AQ66" s="604"/>
      <c r="AR66" s="604"/>
      <c r="AS66" s="604"/>
      <c r="AT66" s="604"/>
      <c r="AU66" s="604"/>
      <c r="AV66" s="604"/>
      <c r="AW66" s="604"/>
      <c r="AX66" s="604"/>
      <c r="AY66" s="604"/>
      <c r="AZ66" s="604"/>
      <c r="BA66" s="604"/>
      <c r="BB66" s="604"/>
      <c r="BC66" s="605">
        <v>1.68</v>
      </c>
      <c r="BD66" s="606" t="str">
        <f>IF(OR(IF('General Information'!$I$28="Yes",AE66&gt;0,IFERROR(INDEX(AE66:BC66,1,MATCH('General Information'!$D$23,Lookups!$AE$7:$BC$7,0))&gt;0,FALSE)),Lookups!BC66&gt;0),"X","")</f>
        <v>X</v>
      </c>
      <c r="BF66" s="298">
        <v>63</v>
      </c>
      <c r="BG66" s="32" t="s">
        <v>859</v>
      </c>
      <c r="BH66" s="550" t="s">
        <v>581</v>
      </c>
    </row>
    <row r="67" spans="1:60" ht="15">
      <c r="A67" s="301">
        <f t="shared" ca="1" si="2"/>
        <v>72</v>
      </c>
      <c r="B67" s="590" t="str">
        <f t="shared" ca="1" si="3"/>
        <v>Sales Area</v>
      </c>
      <c r="C67" s="657" t="str">
        <f ca="1">IFERROR(INDEX($AE$10:$BC$105,MATCH(B72,Lookups!$AC$10:$AC$106,0),IF('General Information'!$I$28="Yes",1,IF(INDEX($AE$10:$BC$105,MATCH(B72,Lookups!$AC$10:$AC$106,0),MATCH('General Information'!$D$23,Lookups!$AE$7:$BC$7,0))&lt;&gt;0,MATCH('General Information'!$D$23,Lookups!$AE$7:$BC$7,0),25))),"")</f>
        <v/>
      </c>
      <c r="D67" s="652" t="str">
        <f t="shared" ca="1" si="1"/>
        <v/>
      </c>
      <c r="F67" s="658" t="s">
        <v>211</v>
      </c>
      <c r="G67" s="659"/>
      <c r="H67" s="660"/>
      <c r="I67" s="593">
        <v>1</v>
      </c>
      <c r="J67" s="661" t="s">
        <v>177</v>
      </c>
      <c r="K67" s="185"/>
      <c r="M67" s="84"/>
      <c r="N67" s="84"/>
      <c r="O67" s="85"/>
      <c r="P67" s="85"/>
      <c r="Q67" s="84"/>
      <c r="R67" s="85"/>
      <c r="S67" s="84"/>
      <c r="T67" s="84"/>
      <c r="U67" s="84"/>
      <c r="V67" s="84"/>
      <c r="W67" s="84"/>
      <c r="X67" s="84"/>
      <c r="Y67" s="84"/>
      <c r="Z67" s="84"/>
      <c r="AA67" s="84"/>
      <c r="AC67" s="602" t="s">
        <v>860</v>
      </c>
      <c r="AD67" s="603"/>
      <c r="AE67" s="604"/>
      <c r="AF67" s="604"/>
      <c r="AG67" s="604"/>
      <c r="AH67" s="604"/>
      <c r="AI67" s="604"/>
      <c r="AJ67" s="604"/>
      <c r="AK67" s="604">
        <v>0.91</v>
      </c>
      <c r="AL67" s="604">
        <v>0.91</v>
      </c>
      <c r="AM67" s="604"/>
      <c r="AN67" s="604"/>
      <c r="AO67" s="604"/>
      <c r="AP67" s="604"/>
      <c r="AQ67" s="604"/>
      <c r="AR67" s="604"/>
      <c r="AS67" s="604"/>
      <c r="AT67" s="604"/>
      <c r="AU67" s="604"/>
      <c r="AV67" s="604"/>
      <c r="AW67" s="604"/>
      <c r="AX67" s="604"/>
      <c r="AY67" s="604"/>
      <c r="AZ67" s="604"/>
      <c r="BA67" s="604"/>
      <c r="BB67" s="604"/>
      <c r="BC67" s="605"/>
      <c r="BD67" s="606" t="str">
        <f>IF(OR(IF('General Information'!$I$28="Yes",AE67&gt;0,IFERROR(INDEX(AE67:BC67,1,MATCH('General Information'!$D$23,Lookups!$AE$7:$BC$7,0))&gt;0,FALSE)),Lookups!BC67&gt;0),"X","")</f>
        <v/>
      </c>
      <c r="BF67" s="298">
        <v>64</v>
      </c>
      <c r="BG67" s="32" t="s">
        <v>861</v>
      </c>
      <c r="BH67" s="548" t="s">
        <v>582</v>
      </c>
    </row>
    <row r="68" spans="1:60" ht="15">
      <c r="A68" s="301">
        <f t="shared" ca="1" si="2"/>
        <v>73</v>
      </c>
      <c r="B68" s="590" t="str">
        <f t="shared" ca="1" si="3"/>
        <v>Seating Area, General</v>
      </c>
      <c r="C68" s="657" t="str">
        <f ca="1">IFERROR(INDEX($AE$10:$BC$105,MATCH(B73,Lookups!$AC$10:$AC$106,0),IF('General Information'!$I$28="Yes",1,IF(INDEX($AE$10:$BC$105,MATCH(B73,Lookups!$AC$10:$AC$106,0),MATCH('General Information'!$D$23,Lookups!$AE$7:$BC$7,0))&lt;&gt;0,MATCH('General Information'!$D$23,Lookups!$AE$7:$BC$7,0),25))),"")</f>
        <v/>
      </c>
      <c r="D68" s="652" t="str">
        <f t="shared" ca="1" si="1"/>
        <v/>
      </c>
      <c r="F68" s="658" t="s">
        <v>212</v>
      </c>
      <c r="G68" s="659"/>
      <c r="H68" s="660"/>
      <c r="I68" s="593">
        <v>1.26</v>
      </c>
      <c r="J68" s="661" t="s">
        <v>212</v>
      </c>
      <c r="K68" s="185"/>
      <c r="M68" s="84"/>
      <c r="N68" s="84"/>
      <c r="O68" s="85"/>
      <c r="P68" s="85"/>
      <c r="Q68" s="84"/>
      <c r="R68" s="85"/>
      <c r="S68" s="84"/>
      <c r="T68" s="84"/>
      <c r="U68" s="84"/>
      <c r="V68" s="84"/>
      <c r="W68" s="84"/>
      <c r="X68" s="84"/>
      <c r="Y68" s="84"/>
      <c r="Z68" s="84"/>
      <c r="AA68" s="84"/>
      <c r="AC68" s="602" t="s">
        <v>862</v>
      </c>
      <c r="AD68" s="603"/>
      <c r="AE68" s="604"/>
      <c r="AF68" s="604"/>
      <c r="AG68" s="604"/>
      <c r="AH68" s="604"/>
      <c r="AI68" s="604"/>
      <c r="AJ68" s="604"/>
      <c r="AK68" s="604">
        <v>1.1499999999999999</v>
      </c>
      <c r="AL68" s="604">
        <v>1.1499999999999999</v>
      </c>
      <c r="AM68" s="604"/>
      <c r="AN68" s="604"/>
      <c r="AO68" s="604"/>
      <c r="AP68" s="604"/>
      <c r="AQ68" s="604"/>
      <c r="AR68" s="604"/>
      <c r="AS68" s="604"/>
      <c r="AT68" s="604"/>
      <c r="AU68" s="604"/>
      <c r="AV68" s="604"/>
      <c r="AW68" s="604"/>
      <c r="AX68" s="604"/>
      <c r="AY68" s="604"/>
      <c r="AZ68" s="604"/>
      <c r="BA68" s="604"/>
      <c r="BB68" s="604"/>
      <c r="BC68" s="605"/>
      <c r="BD68" s="606" t="str">
        <f>IF(OR(IF('General Information'!$I$28="Yes",AE68&gt;0,IFERROR(INDEX(AE68:BC68,1,MATCH('General Information'!$D$23,Lookups!$AE$7:$BC$7,0))&gt;0,FALSE)),Lookups!BC68&gt;0),"X","")</f>
        <v/>
      </c>
      <c r="BF68" s="298">
        <v>65</v>
      </c>
      <c r="BG68" s="32" t="s">
        <v>863</v>
      </c>
      <c r="BH68" s="548" t="s">
        <v>583</v>
      </c>
    </row>
    <row r="69" spans="1:60" ht="14.25" customHeight="1">
      <c r="A69" s="301">
        <f t="shared" ca="1" si="2"/>
        <v>75</v>
      </c>
      <c r="B69" s="590" t="str">
        <f t="shared" ca="1" si="3"/>
        <v>Stairway</v>
      </c>
      <c r="C69" s="657" t="str">
        <f ca="1">IFERROR(INDEX($AE$10:$BC$105,MATCH(B74,Lookups!$AC$10:$AC$106,0),IF('General Information'!$I$28="Yes",1,IF(INDEX($AE$10:$BC$105,MATCH(B74,Lookups!$AC$10:$AC$106,0),MATCH('General Information'!$D$23,Lookups!$AE$7:$BC$7,0))&lt;&gt;0,MATCH('General Information'!$D$23,Lookups!$AE$7:$BC$7,0),25))),"")</f>
        <v/>
      </c>
      <c r="D69" s="652" t="str">
        <f t="shared" ref="D69:D105" ca="1" si="4">IFERROR(IF(VLOOKUP(B69,AC:AD,2,FALSE)&lt;&gt;"",VLOOKUP(B69,AC:AD,2,FALSE),""),"")</f>
        <v/>
      </c>
      <c r="F69" s="662" t="s">
        <v>213</v>
      </c>
      <c r="G69" s="663"/>
      <c r="H69" s="664"/>
      <c r="I69" s="665">
        <v>0.87</v>
      </c>
      <c r="J69" s="666" t="s">
        <v>183</v>
      </c>
      <c r="K69" s="333"/>
      <c r="M69" s="84"/>
      <c r="O69"/>
      <c r="P69" s="85"/>
      <c r="Q69" s="84"/>
      <c r="R69" s="85"/>
      <c r="S69" s="84"/>
      <c r="T69" s="84"/>
      <c r="U69" s="84"/>
      <c r="V69" s="84"/>
      <c r="W69" s="84"/>
      <c r="X69" s="84"/>
      <c r="Y69" s="84"/>
      <c r="Z69" s="84"/>
      <c r="AA69" s="84"/>
      <c r="AC69" s="602" t="s">
        <v>864</v>
      </c>
      <c r="AD69" s="603"/>
      <c r="AE69" s="604">
        <v>2.41</v>
      </c>
      <c r="AF69" s="604"/>
      <c r="AG69" s="604"/>
      <c r="AH69" s="604"/>
      <c r="AI69" s="604"/>
      <c r="AJ69" s="604"/>
      <c r="AK69" s="604"/>
      <c r="AL69" s="604"/>
      <c r="AM69" s="604"/>
      <c r="AN69" s="604"/>
      <c r="AO69" s="604"/>
      <c r="AP69" s="604"/>
      <c r="AQ69" s="604"/>
      <c r="AR69" s="604"/>
      <c r="AS69" s="604"/>
      <c r="AT69" s="604"/>
      <c r="AU69" s="604"/>
      <c r="AV69" s="604"/>
      <c r="AW69" s="604"/>
      <c r="AX69" s="604"/>
      <c r="AY69" s="604"/>
      <c r="AZ69" s="604"/>
      <c r="BA69" s="604"/>
      <c r="BB69" s="604"/>
      <c r="BC69" s="605"/>
      <c r="BD69" s="606" t="str">
        <f>IF(OR(IF('General Information'!$I$28="Yes",AE69&gt;0,IFERROR(INDEX(AE69:BC69,1,MATCH('General Information'!$D$23,Lookups!$AE$7:$BC$7,0))&gt;0,FALSE)),Lookups!BC69&gt;0),"X","")</f>
        <v/>
      </c>
      <c r="BF69" s="298">
        <v>66</v>
      </c>
      <c r="BG69" s="32" t="s">
        <v>865</v>
      </c>
      <c r="BH69" s="572" t="s">
        <v>584</v>
      </c>
    </row>
    <row r="70" spans="1:60" ht="15">
      <c r="A70" s="301">
        <f t="shared" ca="1" si="2"/>
        <v>78</v>
      </c>
      <c r="B70" s="590" t="str">
        <f t="shared" ca="1" si="3"/>
        <v>Storage Room</v>
      </c>
      <c r="C70" s="657" t="str">
        <f ca="1">IFERROR(INDEX($AE$10:$BC$105,MATCH(B75,Lookups!$AC$10:$AC$106,0),IF('General Information'!$I$28="Yes",1,IF(INDEX($AE$10:$BC$105,MATCH(B75,Lookups!$AC$10:$AC$106,0),MATCH('General Information'!$D$23,Lookups!$AE$7:$BC$7,0))&lt;&gt;0,MATCH('General Information'!$D$23,Lookups!$AE$7:$BC$7,0),25))),"")</f>
        <v/>
      </c>
      <c r="D70" s="652" t="str">
        <f t="shared" ca="1" si="4"/>
        <v/>
      </c>
      <c r="F70" s="658" t="s">
        <v>214</v>
      </c>
      <c r="G70" s="659"/>
      <c r="H70" s="660"/>
      <c r="I70" s="593">
        <v>0.91</v>
      </c>
      <c r="J70" s="661" t="s">
        <v>174</v>
      </c>
      <c r="K70" s="185"/>
      <c r="M70" s="84"/>
      <c r="O70"/>
      <c r="P70" s="85"/>
      <c r="Q70" s="84"/>
      <c r="R70" s="85"/>
      <c r="S70" s="84"/>
      <c r="T70" s="84"/>
      <c r="U70" s="84"/>
      <c r="V70" s="84"/>
      <c r="W70" s="84"/>
      <c r="X70" s="84"/>
      <c r="Y70" s="84"/>
      <c r="Z70" s="84"/>
      <c r="AA70" s="84"/>
      <c r="AC70" s="602" t="s">
        <v>866</v>
      </c>
      <c r="AD70" s="603"/>
      <c r="AE70" s="604"/>
      <c r="AF70" s="604"/>
      <c r="AG70" s="604"/>
      <c r="AH70" s="604"/>
      <c r="AI70" s="604"/>
      <c r="AJ70" s="604"/>
      <c r="AK70" s="604"/>
      <c r="AL70" s="604"/>
      <c r="AM70" s="604"/>
      <c r="AN70" s="604"/>
      <c r="AO70" s="604"/>
      <c r="AP70" s="604"/>
      <c r="AQ70" s="604"/>
      <c r="AR70" s="604"/>
      <c r="AS70" s="604">
        <v>1.02</v>
      </c>
      <c r="AT70" s="604"/>
      <c r="AU70" s="604"/>
      <c r="AV70" s="604"/>
      <c r="AW70" s="604"/>
      <c r="AX70" s="604"/>
      <c r="AY70" s="604"/>
      <c r="AZ70" s="604"/>
      <c r="BA70" s="604"/>
      <c r="BB70" s="604"/>
      <c r="BC70" s="605"/>
      <c r="BD70" s="606" t="str">
        <f>IF(OR(IF('General Information'!$I$28="Yes",AE70&gt;0,IFERROR(INDEX(AE70:BC70,1,MATCH('General Information'!$D$23,Lookups!$AE$7:$BC$7,0))&gt;0,FALSE)),Lookups!BC70&gt;0),"X","")</f>
        <v/>
      </c>
      <c r="BF70" s="298">
        <v>67</v>
      </c>
      <c r="BG70" s="32" t="s">
        <v>867</v>
      </c>
      <c r="BH70" s="572" t="s">
        <v>585</v>
      </c>
    </row>
    <row r="71" spans="1:60">
      <c r="A71" s="301">
        <f t="shared" ca="1" si="2"/>
        <v>80</v>
      </c>
      <c r="B71" s="590" t="str">
        <f t="shared" ca="1" si="3"/>
        <v>Vehicular Maintenance Area</v>
      </c>
      <c r="C71" s="657" t="str">
        <f ca="1">IFERROR(INDEX($AE$10:$BC$105,MATCH(B76,Lookups!$AC$10:$AC$106,0),IF('General Information'!$I$28="Yes",1,IF(INDEX($AE$10:$BC$105,MATCH(B76,Lookups!$AC$10:$AC$106,0),MATCH('General Information'!$D$23,Lookups!$AE$7:$BC$7,0))&lt;&gt;0,MATCH('General Information'!$D$23,Lookups!$AE$7:$BC$7,0),25))),"")</f>
        <v/>
      </c>
      <c r="D71" s="652" t="str">
        <f t="shared" ca="1" si="4"/>
        <v/>
      </c>
      <c r="F71" s="658" t="s">
        <v>215</v>
      </c>
      <c r="G71" s="659"/>
      <c r="H71" s="660"/>
      <c r="I71" s="593"/>
      <c r="J71" s="661" t="s">
        <v>215</v>
      </c>
      <c r="K71" s="185"/>
      <c r="M71" s="84"/>
      <c r="O71"/>
      <c r="P71" s="85"/>
      <c r="Q71" s="84"/>
      <c r="R71" s="85"/>
      <c r="S71" s="84"/>
      <c r="T71" s="84"/>
      <c r="U71" s="84"/>
      <c r="V71" s="84"/>
      <c r="W71" s="84"/>
      <c r="X71" s="84"/>
      <c r="Y71" s="84"/>
      <c r="Z71" s="84"/>
      <c r="AA71" s="84"/>
      <c r="AC71" s="602" t="s">
        <v>868</v>
      </c>
      <c r="AD71" s="603"/>
      <c r="AE71" s="604">
        <v>1.21</v>
      </c>
      <c r="AF71" s="604"/>
      <c r="AG71" s="604"/>
      <c r="AH71" s="604"/>
      <c r="AI71" s="604"/>
      <c r="AJ71" s="604"/>
      <c r="AK71" s="604"/>
      <c r="AL71" s="604"/>
      <c r="AM71" s="604"/>
      <c r="AN71" s="604"/>
      <c r="AO71" s="604"/>
      <c r="AP71" s="604"/>
      <c r="AQ71" s="604"/>
      <c r="AR71" s="604"/>
      <c r="AS71" s="604"/>
      <c r="AT71" s="604"/>
      <c r="AU71" s="604"/>
      <c r="AV71" s="604"/>
      <c r="AW71" s="604"/>
      <c r="AX71" s="604"/>
      <c r="AY71" s="604"/>
      <c r="AZ71" s="604"/>
      <c r="BA71" s="604"/>
      <c r="BB71" s="604"/>
      <c r="BC71" s="605">
        <v>0.98</v>
      </c>
      <c r="BD71" s="606" t="str">
        <f>IF(OR(IF('General Information'!$I$28="Yes",AE71&gt;0,IFERROR(INDEX(AE71:BC71,1,MATCH('General Information'!$D$23,Lookups!$AE$7:$BC$7,0))&gt;0,FALSE)),Lookups!BC71&gt;0),"X","")</f>
        <v>X</v>
      </c>
      <c r="BF71" s="298">
        <v>68</v>
      </c>
      <c r="BG71" s="32" t="s">
        <v>869</v>
      </c>
    </row>
    <row r="72" spans="1:60">
      <c r="A72" s="301">
        <f t="shared" ca="1" si="2"/>
        <v>81</v>
      </c>
      <c r="B72" s="590" t="str">
        <f t="shared" ca="1" si="3"/>
        <v>Workshop</v>
      </c>
      <c r="C72" s="657" t="str">
        <f ca="1">IFERROR(INDEX($AE$10:$BC$105,MATCH(B77,Lookups!$AC$10:$AC$106,0),IF('General Information'!$I$28="Yes",1,IF(INDEX($AE$10:$BC$105,MATCH(B77,Lookups!$AC$10:$AC$106,0),MATCH('General Information'!$D$23,Lookups!$AE$7:$BC$7,0))&lt;&gt;0,MATCH('General Information'!$D$23,Lookups!$AE$7:$BC$7,0),25))),"")</f>
        <v/>
      </c>
      <c r="D72" s="652" t="str">
        <f t="shared" ca="1" si="4"/>
        <v/>
      </c>
      <c r="F72" s="658" t="s">
        <v>216</v>
      </c>
      <c r="G72" s="659"/>
      <c r="H72" s="660"/>
      <c r="I72" s="593">
        <v>0.89</v>
      </c>
      <c r="J72" s="661" t="s">
        <v>177</v>
      </c>
      <c r="K72" s="185"/>
      <c r="M72" s="84"/>
      <c r="O72"/>
      <c r="P72" s="85"/>
      <c r="Q72" s="84"/>
      <c r="R72" s="85"/>
      <c r="S72" s="84"/>
      <c r="T72" s="84"/>
      <c r="U72" s="84"/>
      <c r="V72" s="84"/>
      <c r="W72" s="84"/>
      <c r="X72" s="84"/>
      <c r="Y72" s="84"/>
      <c r="Z72" s="84"/>
      <c r="AA72" s="84"/>
      <c r="AC72" s="602" t="s">
        <v>870</v>
      </c>
      <c r="AD72" s="603"/>
      <c r="AE72" s="604"/>
      <c r="AF72" s="604"/>
      <c r="AG72" s="604"/>
      <c r="AH72" s="604"/>
      <c r="AI72" s="604"/>
      <c r="AJ72" s="604"/>
      <c r="AK72" s="604"/>
      <c r="AL72" s="604"/>
      <c r="AM72" s="604"/>
      <c r="AN72" s="604"/>
      <c r="AO72" s="604"/>
      <c r="AP72" s="604"/>
      <c r="AQ72" s="604"/>
      <c r="AR72" s="604"/>
      <c r="AS72" s="604"/>
      <c r="AT72" s="604"/>
      <c r="AU72" s="604"/>
      <c r="AV72" s="604"/>
      <c r="AW72" s="604"/>
      <c r="AX72" s="604"/>
      <c r="AY72" s="604"/>
      <c r="AZ72" s="604"/>
      <c r="BA72" s="604"/>
      <c r="BB72" s="604"/>
      <c r="BC72" s="605">
        <v>1.59</v>
      </c>
      <c r="BD72" s="606" t="str">
        <f>IF(OR(IF('General Information'!$I$28="Yes",AE72&gt;0,IFERROR(INDEX(AE72:BC72,1,MATCH('General Information'!$D$23,Lookups!$AE$7:$BC$7,0))&gt;0,FALSE)),Lookups!BC72&gt;0),"X","")</f>
        <v>X</v>
      </c>
      <c r="BF72" s="298">
        <v>69</v>
      </c>
      <c r="BG72" s="32" t="s">
        <v>871</v>
      </c>
    </row>
    <row r="73" spans="1:60" ht="12.75" customHeight="1">
      <c r="A73" s="301">
        <f t="shared" ca="1" si="2"/>
        <v>84</v>
      </c>
      <c r="B73" s="590" t="str">
        <f t="shared" ca="1" si="3"/>
        <v>Base Site Allowance</v>
      </c>
      <c r="C73" s="657" t="str">
        <f ca="1">IFERROR(INDEX($AE$10:$BC$105,MATCH(B78,Lookups!$AC$10:$AC$106,0),IF('General Information'!$I$28="Yes",1,IF(INDEX($AE$10:$BC$105,MATCH(B78,Lookups!$AC$10:$AC$106,0),MATCH('General Information'!$D$23,Lookups!$AE$7:$BC$7,0))&lt;&gt;0,MATCH('General Information'!$D$23,Lookups!$AE$7:$BC$7,0),25))),"")</f>
        <v/>
      </c>
      <c r="D73" s="652" t="str">
        <f t="shared" ca="1" si="4"/>
        <v>Site</v>
      </c>
      <c r="F73" s="658" t="s">
        <v>217</v>
      </c>
      <c r="G73" s="659"/>
      <c r="H73" s="660"/>
      <c r="I73" s="593">
        <v>0.7</v>
      </c>
      <c r="J73" s="661" t="s">
        <v>174</v>
      </c>
      <c r="K73" s="185"/>
      <c r="M73" s="84"/>
      <c r="O73"/>
      <c r="P73" s="85"/>
      <c r="Q73" s="84"/>
      <c r="R73" s="85"/>
      <c r="S73" s="84"/>
      <c r="T73" s="84"/>
      <c r="U73" s="84"/>
      <c r="V73" s="84"/>
      <c r="W73" s="84"/>
      <c r="X73" s="84"/>
      <c r="Y73" s="84"/>
      <c r="Z73" s="84"/>
      <c r="AA73" s="84"/>
      <c r="AC73" s="602" t="s">
        <v>872</v>
      </c>
      <c r="AD73" s="603"/>
      <c r="AE73" s="604"/>
      <c r="AF73" s="604"/>
      <c r="AG73" s="604"/>
      <c r="AH73" s="604"/>
      <c r="AI73" s="604"/>
      <c r="AJ73" s="604"/>
      <c r="AK73" s="604"/>
      <c r="AL73" s="604"/>
      <c r="AM73" s="604"/>
      <c r="AN73" s="604"/>
      <c r="AO73" s="604"/>
      <c r="AP73" s="604"/>
      <c r="AQ73" s="604"/>
      <c r="AR73" s="604"/>
      <c r="AS73" s="604"/>
      <c r="AT73" s="604"/>
      <c r="AU73" s="604"/>
      <c r="AV73" s="604"/>
      <c r="AW73" s="604"/>
      <c r="AX73" s="604"/>
      <c r="AY73" s="604"/>
      <c r="AZ73" s="604"/>
      <c r="BA73" s="604"/>
      <c r="BB73" s="604"/>
      <c r="BC73" s="605">
        <v>0.54</v>
      </c>
      <c r="BD73" s="606" t="str">
        <f>IF(OR(IF('General Information'!$I$28="Yes",AE73&gt;0,IFERROR(INDEX(AE73:BC73,1,MATCH('General Information'!$D$23,Lookups!$AE$7:$BC$7,0))&gt;0,FALSE)),Lookups!BC73&gt;0),"X","")</f>
        <v>X</v>
      </c>
      <c r="BF73" s="298">
        <v>70</v>
      </c>
      <c r="BG73" s="32" t="s">
        <v>873</v>
      </c>
    </row>
    <row r="74" spans="1:60">
      <c r="A74" s="301">
        <f t="shared" ca="1" si="2"/>
        <v>85</v>
      </c>
      <c r="B74" s="590" t="str">
        <f t="shared" ca="1" si="3"/>
        <v>Uncovered Parking Areas and Drives</v>
      </c>
      <c r="C74" s="657" t="str">
        <f ca="1">IFERROR(INDEX($AE$10:$BC$105,MATCH(B79,Lookups!$AC$10:$AC$106,0),IF('General Information'!$I$28="Yes",1,IF(INDEX($AE$10:$BC$105,MATCH(B79,Lookups!$AC$10:$AC$106,0),MATCH('General Information'!$D$23,Lookups!$AE$7:$BC$7,0))&lt;&gt;0,MATCH('General Information'!$D$23,Lookups!$AE$7:$BC$7,0),25))),"")</f>
        <v/>
      </c>
      <c r="D74" s="652" t="str">
        <f t="shared" ca="1" si="4"/>
        <v/>
      </c>
      <c r="F74" s="658" t="s">
        <v>218</v>
      </c>
      <c r="G74" s="659"/>
      <c r="H74" s="660"/>
      <c r="I74" s="678">
        <v>0.66</v>
      </c>
      <c r="J74" s="661" t="s">
        <v>218</v>
      </c>
      <c r="K74" s="334"/>
      <c r="M74" s="84"/>
      <c r="O74"/>
      <c r="P74" s="85"/>
      <c r="Q74" s="84"/>
      <c r="R74" s="85"/>
      <c r="S74" s="84"/>
      <c r="T74" s="84"/>
      <c r="U74" s="84"/>
      <c r="V74" s="84"/>
      <c r="W74" s="84"/>
      <c r="X74" s="84"/>
      <c r="Y74" s="84"/>
      <c r="Z74" s="84"/>
      <c r="AA74" s="84"/>
      <c r="AC74" s="602" t="s">
        <v>874</v>
      </c>
      <c r="AD74" s="603"/>
      <c r="AE74" s="604"/>
      <c r="AF74" s="604"/>
      <c r="AG74" s="604"/>
      <c r="AH74" s="604"/>
      <c r="AI74" s="604"/>
      <c r="AJ74" s="604"/>
      <c r="AK74" s="604"/>
      <c r="AL74" s="604"/>
      <c r="AM74" s="604"/>
      <c r="AN74" s="604"/>
      <c r="AO74" s="604"/>
      <c r="AP74" s="604"/>
      <c r="AQ74" s="604"/>
      <c r="AR74" s="604"/>
      <c r="AS74" s="604"/>
      <c r="AT74" s="604"/>
      <c r="AU74" s="604"/>
      <c r="AV74" s="604">
        <v>0.94</v>
      </c>
      <c r="AW74" s="604"/>
      <c r="AX74" s="604"/>
      <c r="AY74" s="604"/>
      <c r="AZ74" s="604"/>
      <c r="BA74" s="604"/>
      <c r="BB74" s="604"/>
      <c r="BC74" s="605"/>
      <c r="BD74" s="606" t="str">
        <f>IF(OR(IF('General Information'!$I$28="Yes",AE74&gt;0,IFERROR(INDEX(AE74:BC74,1,MATCH('General Information'!$D$23,Lookups!$AE$7:$BC$7,0))&gt;0,FALSE)),Lookups!BC74&gt;0),"X","")</f>
        <v/>
      </c>
      <c r="BF74" s="298">
        <v>71</v>
      </c>
      <c r="BG74" s="32" t="s">
        <v>875</v>
      </c>
    </row>
    <row r="75" spans="1:60" ht="15" thickBot="1">
      <c r="A75" s="301">
        <f t="shared" ca="1" si="2"/>
        <v>86</v>
      </c>
      <c r="B75" s="590" t="str">
        <f t="shared" ca="1" si="3"/>
        <v>Building Grounds, Walkways less than 10' Wide</v>
      </c>
      <c r="C75" s="657" t="str">
        <f ca="1">IFERROR(INDEX($AE$10:$BC$105,MATCH(B80,Lookups!$AC$10:$AC$106,0),IF('General Information'!$I$28="Yes",1,IF(INDEX($AE$10:$BC$105,MATCH(B80,Lookups!$AC$10:$AC$106,0),MATCH('General Information'!$D$23,Lookups!$AE$7:$BC$7,0))&lt;&gt;0,MATCH('General Information'!$D$23,Lookups!$AE$7:$BC$7,0),25))),"")</f>
        <v/>
      </c>
      <c r="D75" s="652" t="str">
        <f t="shared" ca="1" si="4"/>
        <v>Linear Ft</v>
      </c>
      <c r="F75" s="679" t="s">
        <v>219</v>
      </c>
      <c r="G75" s="680"/>
      <c r="H75" s="681"/>
      <c r="I75" s="682">
        <v>1.19</v>
      </c>
      <c r="J75" s="661" t="s">
        <v>195</v>
      </c>
      <c r="K75" s="334"/>
      <c r="M75" s="84"/>
      <c r="O75"/>
      <c r="P75" s="85"/>
      <c r="Q75" s="84"/>
      <c r="R75" s="85"/>
      <c r="S75" s="84"/>
      <c r="T75" s="84"/>
      <c r="U75" s="84"/>
      <c r="V75" s="84"/>
      <c r="W75" s="84"/>
      <c r="X75" s="84"/>
      <c r="Y75" s="84"/>
      <c r="Z75" s="84"/>
      <c r="AA75" s="84"/>
      <c r="AC75" s="602" t="s">
        <v>876</v>
      </c>
      <c r="AD75" s="603"/>
      <c r="AE75" s="604"/>
      <c r="AF75" s="604"/>
      <c r="AG75" s="604"/>
      <c r="AH75" s="604"/>
      <c r="AI75" s="604"/>
      <c r="AJ75" s="604"/>
      <c r="AK75" s="604"/>
      <c r="AL75" s="604"/>
      <c r="AM75" s="604"/>
      <c r="AN75" s="604"/>
      <c r="AO75" s="604"/>
      <c r="AP75" s="604"/>
      <c r="AQ75" s="604"/>
      <c r="AR75" s="604"/>
      <c r="AS75" s="604"/>
      <c r="AT75" s="604"/>
      <c r="AU75" s="604"/>
      <c r="AV75" s="604"/>
      <c r="AW75" s="604"/>
      <c r="AX75" s="604"/>
      <c r="AY75" s="604"/>
      <c r="AZ75" s="604"/>
      <c r="BA75" s="604"/>
      <c r="BB75" s="604"/>
      <c r="BC75" s="605">
        <v>0.69</v>
      </c>
      <c r="BD75" s="606" t="str">
        <f>IF(OR(IF('General Information'!$I$28="Yes",AE75&gt;0,IFERROR(INDEX(AE75:BC75,1,MATCH('General Information'!$D$23,Lookups!$AE$7:$BC$7,0))&gt;0,FALSE)),Lookups!BC75&gt;0),"X","")</f>
        <v>X</v>
      </c>
      <c r="BF75" s="298">
        <v>72</v>
      </c>
      <c r="BG75" s="32" t="s">
        <v>877</v>
      </c>
    </row>
    <row r="76" spans="1:60" ht="17.25" customHeight="1">
      <c r="A76" s="301">
        <f t="shared" ca="1" si="2"/>
        <v>87</v>
      </c>
      <c r="B76" s="590" t="str">
        <f t="shared" ca="1" si="3"/>
        <v>Building Grounds, Walkways 10' Wide or Greater</v>
      </c>
      <c r="C76" s="657" t="str">
        <f ca="1">IFERROR(INDEX($AE$10:$BC$105,MATCH(B81,Lookups!$AC$10:$AC$106,0),IF('General Information'!$I$28="Yes",1,IF(INDEX($AE$10:$BC$105,MATCH(B81,Lookups!$AC$10:$AC$106,0),MATCH('General Information'!$D$23,Lookups!$AE$7:$BC$7,0))&lt;&gt;0,MATCH('General Information'!$D$23,Lookups!$AE$7:$BC$7,0),25))),"")</f>
        <v/>
      </c>
      <c r="D76" s="652" t="str">
        <f t="shared" ca="1" si="4"/>
        <v/>
      </c>
      <c r="F76" s="1085" t="s">
        <v>878</v>
      </c>
      <c r="G76" s="1086"/>
      <c r="H76" s="1086"/>
      <c r="I76" s="1086"/>
      <c r="J76" s="1087"/>
      <c r="K76" s="335"/>
      <c r="M76" s="84"/>
      <c r="O76"/>
      <c r="P76" s="85"/>
      <c r="Q76" s="84"/>
      <c r="R76" s="85"/>
      <c r="S76" s="84"/>
      <c r="T76" s="84"/>
      <c r="U76" s="84"/>
      <c r="V76" s="84"/>
      <c r="W76" s="84"/>
      <c r="X76" s="84"/>
      <c r="Y76" s="84"/>
      <c r="Z76" s="84"/>
      <c r="AA76" s="84"/>
      <c r="AC76" s="602" t="s">
        <v>879</v>
      </c>
      <c r="AD76" s="603"/>
      <c r="AE76" s="604"/>
      <c r="AF76" s="604"/>
      <c r="AG76" s="604"/>
      <c r="AH76" s="604"/>
      <c r="AI76" s="604"/>
      <c r="AJ76" s="604"/>
      <c r="AK76" s="604"/>
      <c r="AL76" s="604"/>
      <c r="AM76" s="604"/>
      <c r="AN76" s="604"/>
      <c r="AO76" s="604"/>
      <c r="AP76" s="604"/>
      <c r="AQ76" s="604"/>
      <c r="AR76" s="604"/>
      <c r="AS76" s="604"/>
      <c r="AT76" s="604"/>
      <c r="AU76" s="604"/>
      <c r="AV76" s="604"/>
      <c r="AW76" s="604"/>
      <c r="AX76" s="604"/>
      <c r="AY76" s="604"/>
      <c r="AZ76" s="604"/>
      <c r="BA76" s="604"/>
      <c r="BB76" s="604">
        <v>0.57999999999999996</v>
      </c>
      <c r="BC76" s="605"/>
      <c r="BD76" s="606" t="str">
        <f>IF(OR(IF('General Information'!$I$28="Yes",AE76&gt;0,IFERROR(INDEX(AE76:BC76,1,MATCH('General Information'!$D$23,Lookups!$AE$7:$BC$7,0))&gt;0,FALSE)),Lookups!BC76&gt;0),"X","")</f>
        <v/>
      </c>
      <c r="BF76" s="298">
        <v>73</v>
      </c>
      <c r="BG76" s="32" t="s">
        <v>880</v>
      </c>
    </row>
    <row r="77" spans="1:60" ht="14.25" customHeight="1">
      <c r="A77" s="301">
        <f t="shared" ca="1" si="2"/>
        <v>88</v>
      </c>
      <c r="B77" s="590" t="str">
        <f t="shared" ca="1" si="3"/>
        <v>Building Grounds, Stairways</v>
      </c>
      <c r="C77" s="657" t="str">
        <f ca="1">IFERROR(INDEX($AE$10:$BC$105,MATCH(B82,Lookups!$AC$10:$AC$106,0),IF('General Information'!$I$28="Yes",1,IF(INDEX($AE$10:$BC$105,MATCH(B82,Lookups!$AC$10:$AC$106,0),MATCH('General Information'!$D$23,Lookups!$AE$7:$BC$7,0))&lt;&gt;0,MATCH('General Information'!$D$23,Lookups!$AE$7:$BC$7,0),25))),"")</f>
        <v/>
      </c>
      <c r="D77" s="652" t="str">
        <f t="shared" ca="1" si="4"/>
        <v/>
      </c>
      <c r="F77" s="1088"/>
      <c r="G77" s="1089"/>
      <c r="H77" s="1089"/>
      <c r="I77" s="1089"/>
      <c r="J77" s="1090"/>
      <c r="K77" s="335"/>
      <c r="M77" s="84"/>
      <c r="O77"/>
      <c r="P77" s="85"/>
      <c r="Q77" s="84"/>
      <c r="R77" s="85"/>
      <c r="S77" s="84"/>
      <c r="T77" s="84"/>
      <c r="U77" s="84"/>
      <c r="V77" s="84"/>
      <c r="W77" s="84"/>
      <c r="X77" s="84"/>
      <c r="Y77" s="84"/>
      <c r="Z77" s="84"/>
      <c r="AA77" s="84"/>
      <c r="AC77" s="602" t="s">
        <v>881</v>
      </c>
      <c r="AD77" s="603"/>
      <c r="AE77" s="604"/>
      <c r="AF77" s="604"/>
      <c r="AG77" s="604"/>
      <c r="AH77" s="604"/>
      <c r="AI77" s="604"/>
      <c r="AJ77" s="604"/>
      <c r="AK77" s="604"/>
      <c r="AL77" s="604"/>
      <c r="AM77" s="604"/>
      <c r="AN77" s="604"/>
      <c r="AO77" s="604"/>
      <c r="AP77" s="604"/>
      <c r="AQ77" s="604"/>
      <c r="AR77" s="604"/>
      <c r="AS77" s="604"/>
      <c r="AT77" s="604"/>
      <c r="AU77" s="604"/>
      <c r="AV77" s="604"/>
      <c r="AW77" s="604"/>
      <c r="AX77" s="604"/>
      <c r="AY77" s="604"/>
      <c r="AZ77" s="604"/>
      <c r="BA77" s="604"/>
      <c r="BB77" s="604">
        <v>0.95</v>
      </c>
      <c r="BC77" s="605"/>
      <c r="BD77" s="606" t="str">
        <f>IF(OR(IF('General Information'!$I$28="Yes",AE77&gt;0,IFERROR(INDEX(AE77:BC77,1,MATCH('General Information'!$D$23,Lookups!$AE$7:$BC$7,0))&gt;0,FALSE)),Lookups!BC77&gt;0),"X","")</f>
        <v/>
      </c>
      <c r="BF77" s="298">
        <v>74</v>
      </c>
      <c r="BG77" s="32" t="s">
        <v>882</v>
      </c>
    </row>
    <row r="78" spans="1:60" ht="15" thickBot="1">
      <c r="A78" s="301">
        <f t="shared" ca="1" si="2"/>
        <v>89</v>
      </c>
      <c r="B78" s="590" t="str">
        <f t="shared" ca="1" si="3"/>
        <v>Building Grounds, Pedestrian Tunnels</v>
      </c>
      <c r="C78" s="657" t="str">
        <f ca="1">IFERROR(INDEX($AE$10:$BC$105,MATCH(B83,Lookups!$AC$10:$AC$106,0),IF('General Information'!$I$28="Yes",1,IF(INDEX($AE$10:$BC$105,MATCH(B83,Lookups!$AC$10:$AC$106,0),MATCH('General Information'!$D$23,Lookups!$AE$7:$BC$7,0))&lt;&gt;0,MATCH('General Information'!$D$23,Lookups!$AE$7:$BC$7,0),25))),"")</f>
        <v/>
      </c>
      <c r="D78" s="652" t="str">
        <f t="shared" ca="1" si="4"/>
        <v/>
      </c>
      <c r="F78" s="1091"/>
      <c r="G78" s="1092"/>
      <c r="H78" s="1092"/>
      <c r="I78" s="1092"/>
      <c r="J78" s="1093"/>
      <c r="K78" s="335"/>
      <c r="M78" s="84"/>
      <c r="O78"/>
      <c r="P78" s="85"/>
      <c r="Q78" s="84"/>
      <c r="R78" s="85"/>
      <c r="S78" s="84"/>
      <c r="T78" s="84"/>
      <c r="U78" s="84"/>
      <c r="V78" s="84"/>
      <c r="W78" s="84"/>
      <c r="X78" s="84"/>
      <c r="Y78" s="84"/>
      <c r="Z78" s="84"/>
      <c r="AA78" s="84"/>
      <c r="AC78" s="602" t="s">
        <v>883</v>
      </c>
      <c r="AD78" s="603"/>
      <c r="AE78" s="604"/>
      <c r="AF78" s="604"/>
      <c r="AG78" s="604"/>
      <c r="AH78" s="604"/>
      <c r="AI78" s="604"/>
      <c r="AJ78" s="604"/>
      <c r="AK78" s="604"/>
      <c r="AL78" s="604"/>
      <c r="AM78" s="604"/>
      <c r="AN78" s="604"/>
      <c r="AO78" s="604"/>
      <c r="AP78" s="604"/>
      <c r="AQ78" s="604"/>
      <c r="AR78" s="604"/>
      <c r="AS78" s="604"/>
      <c r="AT78" s="604"/>
      <c r="AU78" s="604"/>
      <c r="AV78" s="604"/>
      <c r="AW78" s="604"/>
      <c r="AX78" s="604"/>
      <c r="AY78" s="604"/>
      <c r="AZ78" s="604"/>
      <c r="BA78" s="604"/>
      <c r="BB78" s="604"/>
      <c r="BC78" s="605">
        <v>0.63</v>
      </c>
      <c r="BD78" s="606" t="str">
        <f>IF(OR(IF('General Information'!$I$28="Yes",AE78&gt;0,IFERROR(INDEX(AE78:BC78,1,MATCH('General Information'!$D$23,Lookups!$AE$7:$BC$7,0))&gt;0,FALSE)),Lookups!BC78&gt;0),"X","")</f>
        <v>X</v>
      </c>
      <c r="BF78" s="298">
        <v>75</v>
      </c>
      <c r="BG78" s="32" t="s">
        <v>884</v>
      </c>
    </row>
    <row r="79" spans="1:60">
      <c r="A79" s="301">
        <f t="shared" ca="1" si="2"/>
        <v>90</v>
      </c>
      <c r="B79" s="590" t="str">
        <f t="shared" ca="1" si="3"/>
        <v>Building Entrances, Main Entries</v>
      </c>
      <c r="C79" s="657" t="str">
        <f ca="1">IFERROR(INDEX($AE$10:$BC$105,MATCH(B84,Lookups!$AC$10:$AC$106,0),IF('General Information'!$I$28="Yes",1,IF(INDEX($AE$10:$BC$105,MATCH(B84,Lookups!$AC$10:$AC$106,0),MATCH('General Information'!$D$23,Lookups!$AE$7:$BC$7,0))&lt;&gt;0,MATCH('General Information'!$D$23,Lookups!$AE$7:$BC$7,0),25))),"")</f>
        <v/>
      </c>
      <c r="D79" s="652" t="str">
        <f t="shared" ca="1" si="4"/>
        <v>Linear Foot of Door Width</v>
      </c>
      <c r="G79" s="84"/>
      <c r="H79" s="84"/>
      <c r="I79" s="84"/>
      <c r="J79" s="84"/>
      <c r="K79" s="84"/>
      <c r="M79" s="84"/>
      <c r="O79"/>
      <c r="P79" s="85"/>
      <c r="Q79" s="84"/>
      <c r="R79" s="85"/>
      <c r="S79" s="84"/>
      <c r="T79" s="84"/>
      <c r="U79" s="84"/>
      <c r="V79" s="84"/>
      <c r="W79" s="84"/>
      <c r="X79" s="84"/>
      <c r="Y79" s="84"/>
      <c r="Z79" s="84"/>
      <c r="AA79" s="84"/>
      <c r="AC79" s="602" t="s">
        <v>885</v>
      </c>
      <c r="AD79" s="603"/>
      <c r="AE79" s="604"/>
      <c r="AF79" s="604"/>
      <c r="AG79" s="604"/>
      <c r="AH79" s="604"/>
      <c r="AI79" s="604"/>
      <c r="AJ79" s="604"/>
      <c r="AK79" s="604"/>
      <c r="AL79" s="604"/>
      <c r="AM79" s="604"/>
      <c r="AN79" s="604"/>
      <c r="AO79" s="604"/>
      <c r="AP79" s="604"/>
      <c r="AQ79" s="604"/>
      <c r="AR79" s="604"/>
      <c r="AS79" s="604"/>
      <c r="AT79" s="604"/>
      <c r="AU79" s="604"/>
      <c r="AV79" s="604"/>
      <c r="AW79" s="604"/>
      <c r="AX79" s="604"/>
      <c r="AY79" s="604"/>
      <c r="AZ79" s="604"/>
      <c r="BA79" s="604">
        <v>0.8</v>
      </c>
      <c r="BB79" s="604"/>
      <c r="BC79" s="605"/>
      <c r="BD79" s="606" t="str">
        <f>IF(OR(IF('General Information'!$I$28="Yes",AE79&gt;0,IFERROR(INDEX(AE79:BC79,1,MATCH('General Information'!$D$23,Lookups!$AE$7:$BC$7,0))&gt;0,FALSE)),Lookups!BC79&gt;0),"X","")</f>
        <v/>
      </c>
      <c r="BF79" s="298">
        <v>76</v>
      </c>
      <c r="BG79" s="32" t="s">
        <v>886</v>
      </c>
    </row>
    <row r="80" spans="1:60">
      <c r="A80" s="301">
        <f t="shared" ca="1" si="2"/>
        <v>91</v>
      </c>
      <c r="B80" s="590" t="str">
        <f t="shared" ca="1" si="3"/>
        <v>Building Entrances, Other Doors</v>
      </c>
      <c r="C80" s="657" t="str">
        <f ca="1">IFERROR(INDEX($AE$10:$BC$105,MATCH(B85,Lookups!$AC$10:$AC$106,0),IF('General Information'!$I$28="Yes",1,IF(INDEX($AE$10:$BC$105,MATCH(B85,Lookups!$AC$10:$AC$106,0),MATCH('General Information'!$D$23,Lookups!$AE$7:$BC$7,0))&lt;&gt;0,MATCH('General Information'!$D$23,Lookups!$AE$7:$BC$7,0),25))),"")</f>
        <v/>
      </c>
      <c r="D80" s="652" t="str">
        <f t="shared" ca="1" si="4"/>
        <v>Linear Foot of Door Width</v>
      </c>
      <c r="G80" s="84"/>
      <c r="H80" s="84"/>
      <c r="I80" s="84"/>
      <c r="J80" s="84"/>
      <c r="K80" s="84"/>
      <c r="M80" s="84"/>
      <c r="O80"/>
      <c r="P80" s="85"/>
      <c r="Q80" s="84"/>
      <c r="R80" s="85"/>
      <c r="S80" s="84"/>
      <c r="T80" s="84"/>
      <c r="U80" s="84"/>
      <c r="V80" s="84"/>
      <c r="W80" s="84"/>
      <c r="X80" s="84"/>
      <c r="Y80" s="84"/>
      <c r="Z80" s="84"/>
      <c r="AA80" s="84"/>
      <c r="AC80" s="602" t="s">
        <v>887</v>
      </c>
      <c r="AD80" s="603"/>
      <c r="AE80" s="604"/>
      <c r="AF80" s="604"/>
      <c r="AG80" s="604"/>
      <c r="AH80" s="604"/>
      <c r="AI80" s="604"/>
      <c r="AJ80" s="604"/>
      <c r="AK80" s="604"/>
      <c r="AL80" s="604"/>
      <c r="AM80" s="604"/>
      <c r="AN80" s="604"/>
      <c r="AO80" s="604"/>
      <c r="AP80" s="604"/>
      <c r="AQ80" s="604"/>
      <c r="AR80" s="604"/>
      <c r="AS80" s="604"/>
      <c r="AT80" s="604"/>
      <c r="AU80" s="604"/>
      <c r="AV80" s="604"/>
      <c r="AW80" s="604"/>
      <c r="AX80" s="604"/>
      <c r="AY80" s="604"/>
      <c r="AZ80" s="604"/>
      <c r="BA80" s="604"/>
      <c r="BB80" s="604"/>
      <c r="BC80" s="605">
        <v>0.67</v>
      </c>
      <c r="BD80" s="606" t="str">
        <f>IF(OR(IF('General Information'!$I$28="Yes",AE80&gt;0,IFERROR(INDEX(AE80:BC80,1,MATCH('General Information'!$D$23,Lookups!$AE$7:$BC$7,0))&gt;0,FALSE)),Lookups!BC80&gt;0),"X","")</f>
        <v>X</v>
      </c>
      <c r="BF80" s="298">
        <v>77</v>
      </c>
      <c r="BG80" s="32" t="s">
        <v>888</v>
      </c>
    </row>
    <row r="81" spans="1:59">
      <c r="A81" s="301">
        <f t="shared" ca="1" si="2"/>
        <v>92</v>
      </c>
      <c r="B81" s="590" t="str">
        <f t="shared" ca="1" si="3"/>
        <v>Building Entrances, Entry Canopies</v>
      </c>
      <c r="C81" s="657" t="str">
        <f ca="1">IFERROR(INDEX($AE$10:$BC$105,MATCH(B86,Lookups!$AC$10:$AC$106,0),IF('General Information'!$I$28="Yes",1,IF(INDEX($AE$10:$BC$105,MATCH(B86,Lookups!$AC$10:$AC$106,0),MATCH('General Information'!$D$23,Lookups!$AE$7:$BC$7,0))&lt;&gt;0,MATCH('General Information'!$D$23,Lookups!$AE$7:$BC$7,0),25))),"")</f>
        <v/>
      </c>
      <c r="D81" s="652" t="str">
        <f t="shared" ca="1" si="4"/>
        <v/>
      </c>
      <c r="G81" s="84"/>
      <c r="H81" s="84"/>
      <c r="I81" s="84"/>
      <c r="J81" s="84"/>
      <c r="K81" s="84"/>
      <c r="M81" s="84"/>
      <c r="O81"/>
      <c r="P81" s="85"/>
      <c r="Q81" s="84"/>
      <c r="R81" s="85"/>
      <c r="S81" s="84"/>
      <c r="T81" s="84"/>
      <c r="U81" s="84"/>
      <c r="V81" s="84"/>
      <c r="W81" s="84"/>
      <c r="X81" s="84"/>
      <c r="Y81" s="84"/>
      <c r="Z81" s="84"/>
      <c r="AA81" s="84"/>
      <c r="AC81" s="602" t="s">
        <v>219</v>
      </c>
      <c r="AD81" s="603"/>
      <c r="AE81" s="604"/>
      <c r="AF81" s="604"/>
      <c r="AG81" s="604"/>
      <c r="AH81" s="604"/>
      <c r="AI81" s="604"/>
      <c r="AJ81" s="604"/>
      <c r="AK81" s="604"/>
      <c r="AL81" s="604"/>
      <c r="AM81" s="604"/>
      <c r="AN81" s="604"/>
      <c r="AO81" s="604"/>
      <c r="AP81" s="604"/>
      <c r="AQ81" s="604"/>
      <c r="AR81" s="604"/>
      <c r="AS81" s="604"/>
      <c r="AT81" s="604"/>
      <c r="AU81" s="604"/>
      <c r="AV81" s="604"/>
      <c r="AW81" s="604"/>
      <c r="AX81" s="604"/>
      <c r="AY81" s="604"/>
      <c r="AZ81" s="604"/>
      <c r="BA81" s="604"/>
      <c r="BB81" s="604"/>
      <c r="BC81" s="605">
        <v>1.59</v>
      </c>
      <c r="BD81" s="606" t="str">
        <f>IF(OR(IF('General Information'!$I$28="Yes",AE81&gt;0,IFERROR(INDEX(AE81:BC81,1,MATCH('General Information'!$D$23,Lookups!$AE$7:$BC$7,0))&gt;0,FALSE)),Lookups!BC81&gt;0),"X","")</f>
        <v>X</v>
      </c>
      <c r="BF81" s="298">
        <v>78</v>
      </c>
      <c r="BG81" s="32" t="s">
        <v>889</v>
      </c>
    </row>
    <row r="82" spans="1:59" ht="15" thickBot="1">
      <c r="A82" s="301">
        <f t="shared" ca="1" si="2"/>
        <v>93</v>
      </c>
      <c r="B82" s="590" t="str">
        <f t="shared" ca="1" si="3"/>
        <v>Sales Canopies</v>
      </c>
      <c r="C82" s="657" t="str">
        <f ca="1">IFERROR(INDEX($AE$10:$BC$105,MATCH(B87,Lookups!$AC$10:$AC$106,0),IF('General Information'!$I$28="Yes",1,IF(INDEX($AE$10:$BC$105,MATCH(B87,Lookups!$AC$10:$AC$106,0),MATCH('General Information'!$D$23,Lookups!$AE$7:$BC$7,0))&lt;&gt;0,MATCH('General Information'!$D$23,Lookups!$AE$7:$BC$7,0),25))),"")</f>
        <v/>
      </c>
      <c r="D82" s="652" t="str">
        <f t="shared" ca="1" si="4"/>
        <v/>
      </c>
      <c r="G82" s="84"/>
      <c r="H82" s="84"/>
      <c r="I82" s="84"/>
      <c r="J82" s="84"/>
      <c r="K82" s="84"/>
      <c r="M82" s="84"/>
      <c r="O82"/>
      <c r="P82" s="85"/>
      <c r="Q82" s="84"/>
      <c r="R82" s="85"/>
      <c r="S82" s="84"/>
      <c r="T82" s="84"/>
      <c r="U82" s="84"/>
      <c r="V82" s="84"/>
      <c r="W82" s="84"/>
      <c r="X82" s="84"/>
      <c r="Y82" s="84"/>
      <c r="Z82" s="84"/>
      <c r="AA82" s="84"/>
      <c r="AC82" s="683" t="s">
        <v>890</v>
      </c>
      <c r="AD82" s="684"/>
      <c r="AE82" s="685"/>
      <c r="AF82" s="685"/>
      <c r="AG82" s="685"/>
      <c r="AH82" s="685"/>
      <c r="AI82" s="685"/>
      <c r="AJ82" s="685"/>
      <c r="AK82" s="685"/>
      <c r="AL82" s="685"/>
      <c r="AM82" s="685"/>
      <c r="AN82" s="685"/>
      <c r="AO82" s="685"/>
      <c r="AP82" s="685"/>
      <c r="AQ82" s="685"/>
      <c r="AR82" s="685"/>
      <c r="AS82" s="685"/>
      <c r="AT82" s="685"/>
      <c r="AU82" s="685"/>
      <c r="AV82" s="685"/>
      <c r="AW82" s="685">
        <v>1.53</v>
      </c>
      <c r="AX82" s="685"/>
      <c r="AY82" s="685"/>
      <c r="AZ82" s="685"/>
      <c r="BA82" s="685"/>
      <c r="BB82" s="685"/>
      <c r="BC82" s="686"/>
      <c r="BD82" s="606" t="str">
        <f>IF(OR(IF('General Information'!$I$28="Yes",AE82&gt;0,IFERROR(INDEX(AE82:BC82,1,MATCH('General Information'!$D$23,Lookups!$AE$7:$BC$7,0))&gt;0,FALSE)),Lookups!BC82&gt;0),"X","")</f>
        <v/>
      </c>
      <c r="BF82" s="298">
        <v>79</v>
      </c>
      <c r="BG82" s="32" t="s">
        <v>891</v>
      </c>
    </row>
    <row r="83" spans="1:59" ht="25.5">
      <c r="A83" s="301">
        <f t="shared" ca="1" si="2"/>
        <v>94</v>
      </c>
      <c r="B83" s="590" t="str">
        <f t="shared" ca="1" si="3"/>
        <v>Outdoor Sales, Open Areas</v>
      </c>
      <c r="C83" s="657" t="str">
        <f ca="1">IFERROR(INDEX($AE$10:$BC$105,MATCH(B88,Lookups!$AC$10:$AC$106,0),IF('General Information'!$I$28="Yes",1,IF(INDEX($AE$10:$BC$105,MATCH(B88,Lookups!$AC$10:$AC$106,0),MATCH('General Information'!$D$23,Lookups!$AE$7:$BC$7,0))&lt;&gt;0,MATCH('General Information'!$D$23,Lookups!$AE$7:$BC$7,0),25))),"")</f>
        <v/>
      </c>
      <c r="D83" s="652" t="str">
        <f t="shared" ca="1" si="4"/>
        <v/>
      </c>
      <c r="G83" s="84"/>
      <c r="H83" s="84"/>
      <c r="I83" s="84"/>
      <c r="J83" s="84"/>
      <c r="K83" s="84"/>
      <c r="M83" s="84"/>
      <c r="O83"/>
      <c r="P83" s="85"/>
      <c r="Q83" s="84"/>
      <c r="R83" s="85"/>
      <c r="S83" s="84"/>
      <c r="T83" s="84"/>
      <c r="U83" s="84"/>
      <c r="V83" s="84"/>
      <c r="W83" s="84"/>
      <c r="X83" s="84"/>
      <c r="Y83" s="84"/>
      <c r="Z83" s="84"/>
      <c r="AA83" s="84"/>
      <c r="AC83" s="401" t="s">
        <v>892</v>
      </c>
      <c r="AD83" s="687" t="s">
        <v>670</v>
      </c>
      <c r="AE83" s="688"/>
      <c r="AF83" s="688"/>
      <c r="AG83" s="688"/>
      <c r="AH83" s="688"/>
      <c r="AI83" s="688"/>
      <c r="AJ83" s="688"/>
      <c r="AK83" s="688"/>
      <c r="AL83" s="688"/>
      <c r="AM83" s="688"/>
      <c r="AN83" s="688"/>
      <c r="AO83" s="688"/>
      <c r="AP83" s="688"/>
      <c r="AQ83" s="688"/>
      <c r="AR83" s="688"/>
      <c r="AS83" s="688"/>
      <c r="AT83" s="688"/>
      <c r="AU83" s="688"/>
      <c r="AV83" s="688"/>
      <c r="AW83" s="688"/>
      <c r="AX83" s="688"/>
      <c r="AY83" s="688"/>
      <c r="AZ83" s="688"/>
      <c r="BA83" s="688"/>
      <c r="BB83" s="688"/>
      <c r="BC83" s="688"/>
      <c r="BD83" s="689" t="s">
        <v>674</v>
      </c>
      <c r="BF83" s="298">
        <v>80</v>
      </c>
      <c r="BG83" s="32" t="s">
        <v>893</v>
      </c>
    </row>
    <row r="84" spans="1:59">
      <c r="A84" s="301">
        <f t="shared" ca="1" si="2"/>
        <v>95</v>
      </c>
      <c r="B84" s="590" t="str">
        <f t="shared" ca="1" si="3"/>
        <v>Outdoor Sales, Street Frontage</v>
      </c>
      <c r="C84" s="657" t="str">
        <f ca="1">IFERROR(INDEX($AE$10:$BC$105,MATCH(B89,Lookups!$AC$10:$AC$106,0),IF('General Information'!$I$28="Yes",1,IF(INDEX($AE$10:$BC$105,MATCH(B89,Lookups!$AC$10:$AC$106,0),MATCH('General Information'!$D$23,Lookups!$AE$7:$BC$7,0))&lt;&gt;0,MATCH('General Information'!$D$23,Lookups!$AE$7:$BC$7,0),25))),"")</f>
        <v/>
      </c>
      <c r="D84" s="652" t="str">
        <f t="shared" ca="1" si="4"/>
        <v>Linear Foot of Frontage</v>
      </c>
      <c r="G84" s="84"/>
      <c r="H84" s="84"/>
      <c r="I84" s="84"/>
      <c r="J84" s="84"/>
      <c r="K84" s="84"/>
      <c r="M84" s="84"/>
      <c r="O84"/>
      <c r="P84" s="85"/>
      <c r="Q84" s="84"/>
      <c r="R84" s="85"/>
      <c r="S84" s="84"/>
      <c r="T84" s="84"/>
      <c r="U84" s="84"/>
      <c r="V84" s="84"/>
      <c r="W84" s="84"/>
      <c r="X84" s="84"/>
      <c r="Y84" s="84"/>
      <c r="Z84" s="84"/>
      <c r="AA84" s="84"/>
      <c r="AC84" s="690" t="s">
        <v>894</v>
      </c>
      <c r="AD84" s="691" t="s">
        <v>895</v>
      </c>
      <c r="AE84" s="692">
        <f>INDEX($AE$107:$AH$125,MATCH($AC84,$AC$84:$AC$102,0),IF('General Information'!$I$29="Zone 1",1,IF('General Information'!$I$29="Zone 2",2,IF('General Information'!$I$29="Zone 3",3,IF('General Information'!$I$29="Zone 4",4,0)))))</f>
        <v>500</v>
      </c>
      <c r="AF84" s="692">
        <f>INDEX($AE$107:$AH$125,MATCH($AC84,$AC$84:$AC$102,0),IF('General Information'!$I$29="Zone 1",1,IF('General Information'!$I$29="Zone 2",2,IF('General Information'!$I$29="Zone 3",3,IF('General Information'!$I$29="Zone 4",4,0)))))</f>
        <v>600</v>
      </c>
      <c r="AG84" s="692">
        <f>INDEX($AE$107:$AH$125,MATCH($AC84,$AC$84:$AC$102,0),IF('General Information'!$I$29="Zone 1",1,IF('General Information'!$I$29="Zone 2",2,IF('General Information'!$I$29="Zone 3",3,IF('General Information'!$I$29="Zone 4",4,0)))))</f>
        <v>750</v>
      </c>
      <c r="AH84" s="692">
        <f>INDEX($AE$107:$AH$125,MATCH($AC84,$AC$84:$AC$102,0),IF('General Information'!$I$29="Zone 1",1,IF('General Information'!$I$29="Zone 2",2,IF('General Information'!$I$29="Zone 3",3,IF('General Information'!$I$29="Zone 4",4,0)))))</f>
        <v>1300</v>
      </c>
      <c r="AI84" s="692" t="e">
        <f>INDEX($AE$107:$AH$125,MATCH($AC84,$AC$84:$AC$102,0),IF('General Information'!$I$29="Zone 1",1,IF('General Information'!$I$29="Zone 2",2,IF('General Information'!$I$29="Zone 3",3,IF('General Information'!$I$29="Zone 4",4,0)))))</f>
        <v>#VALUE!</v>
      </c>
      <c r="AJ84" s="692" t="e">
        <f>INDEX($AE$107:$AH$125,MATCH($AC84,$AC$84:$AC$102,0),IF('General Information'!$I$29="Zone 1",1,IF('General Information'!$I$29="Zone 2",2,IF('General Information'!$I$29="Zone 3",3,IF('General Information'!$I$29="Zone 4",4,0)))))</f>
        <v>#VALUE!</v>
      </c>
      <c r="AK84" s="692" t="e">
        <f>INDEX($AE$107:$AH$125,MATCH($AC84,$AC$84:$AC$102,0),IF('General Information'!$I$29="Zone 1",1,IF('General Information'!$I$29="Zone 2",2,IF('General Information'!$I$29="Zone 3",3,IF('General Information'!$I$29="Zone 4",4,0)))))</f>
        <v>#VALUE!</v>
      </c>
      <c r="AL84" s="692" t="e">
        <f>INDEX($AE$107:$AH$125,MATCH($AC84,$AC$84:$AC$102,0),IF('General Information'!$I$29="Zone 1",1,IF('General Information'!$I$29="Zone 2",2,IF('General Information'!$I$29="Zone 3",3,IF('General Information'!$I$29="Zone 4",4,0)))))</f>
        <v>#VALUE!</v>
      </c>
      <c r="AM84" s="692" t="e">
        <f>INDEX($AE$107:$AH$125,MATCH($AC84,$AC$84:$AC$102,0),IF('General Information'!$I$29="Zone 1",1,IF('General Information'!$I$29="Zone 2",2,IF('General Information'!$I$29="Zone 3",3,IF('General Information'!$I$29="Zone 4",4,0)))))</f>
        <v>#VALUE!</v>
      </c>
      <c r="AN84" s="692" t="e">
        <f>INDEX($AE$107:$AH$125,MATCH($AC84,$AC$84:$AC$102,0),IF('General Information'!$I$29="Zone 1",1,IF('General Information'!$I$29="Zone 2",2,IF('General Information'!$I$29="Zone 3",3,IF('General Information'!$I$29="Zone 4",4,0)))))</f>
        <v>#VALUE!</v>
      </c>
      <c r="AO84" s="692" t="e">
        <f>INDEX($AE$107:$AH$125,MATCH($AC84,$AC$84:$AC$102,0),IF('General Information'!$I$29="Zone 1",1,IF('General Information'!$I$29="Zone 2",2,IF('General Information'!$I$29="Zone 3",3,IF('General Information'!$I$29="Zone 4",4,0)))))</f>
        <v>#VALUE!</v>
      </c>
      <c r="AP84" s="692" t="e">
        <f>INDEX($AE$107:$AH$125,MATCH($AC84,$AC$84:$AC$102,0),IF('General Information'!$I$29="Zone 1",1,IF('General Information'!$I$29="Zone 2",2,IF('General Information'!$I$29="Zone 3",3,IF('General Information'!$I$29="Zone 4",4,0)))))</f>
        <v>#VALUE!</v>
      </c>
      <c r="AQ84" s="692" t="e">
        <f>INDEX($AE$107:$AH$125,MATCH($AC84,$AC$84:$AC$102,0),IF('General Information'!$I$29="Zone 1",1,IF('General Information'!$I$29="Zone 2",2,IF('General Information'!$I$29="Zone 3",3,IF('General Information'!$I$29="Zone 4",4,0)))))</f>
        <v>#VALUE!</v>
      </c>
      <c r="AR84" s="692" t="e">
        <f>INDEX($AE$107:$AH$125,MATCH($AC84,$AC$84:$AC$102,0),IF('General Information'!$I$29="Zone 1",1,IF('General Information'!$I$29="Zone 2",2,IF('General Information'!$I$29="Zone 3",3,IF('General Information'!$I$29="Zone 4",4,0)))))</f>
        <v>#VALUE!</v>
      </c>
      <c r="AS84" s="692" t="e">
        <f>INDEX($AE$107:$AH$125,MATCH($AC84,$AC$84:$AC$102,0),IF('General Information'!$I$29="Zone 1",1,IF('General Information'!$I$29="Zone 2",2,IF('General Information'!$I$29="Zone 3",3,IF('General Information'!$I$29="Zone 4",4,0)))))</f>
        <v>#VALUE!</v>
      </c>
      <c r="AT84" s="692" t="e">
        <f>INDEX($AE$107:$AH$125,MATCH($AC84,$AC$84:$AC$102,0),IF('General Information'!$I$29="Zone 1",1,IF('General Information'!$I$29="Zone 2",2,IF('General Information'!$I$29="Zone 3",3,IF('General Information'!$I$29="Zone 4",4,0)))))</f>
        <v>#VALUE!</v>
      </c>
      <c r="AU84" s="692" t="e">
        <f>INDEX($AE$107:$AH$125,MATCH($AC84,$AC$84:$AC$102,0),IF('General Information'!$I$29="Zone 1",1,IF('General Information'!$I$29="Zone 2",2,IF('General Information'!$I$29="Zone 3",3,IF('General Information'!$I$29="Zone 4",4,0)))))</f>
        <v>#VALUE!</v>
      </c>
      <c r="AV84" s="692" t="e">
        <f>INDEX($AE$107:$AH$125,MATCH($AC84,$AC$84:$AC$102,0),IF('General Information'!$I$29="Zone 1",1,IF('General Information'!$I$29="Zone 2",2,IF('General Information'!$I$29="Zone 3",3,IF('General Information'!$I$29="Zone 4",4,0)))))</f>
        <v>#VALUE!</v>
      </c>
      <c r="AW84" s="692" t="e">
        <f>INDEX($AE$107:$AH$125,MATCH($AC84,$AC$84:$AC$102,0),IF('General Information'!$I$29="Zone 1",1,IF('General Information'!$I$29="Zone 2",2,IF('General Information'!$I$29="Zone 3",3,IF('General Information'!$I$29="Zone 4",4,0)))))</f>
        <v>#VALUE!</v>
      </c>
      <c r="AX84" s="692" t="e">
        <f>INDEX($AE$107:$AH$125,MATCH($AC84,$AC$84:$AC$102,0),IF('General Information'!$I$29="Zone 1",1,IF('General Information'!$I$29="Zone 2",2,IF('General Information'!$I$29="Zone 3",3,IF('General Information'!$I$29="Zone 4",4,0)))))</f>
        <v>#VALUE!</v>
      </c>
      <c r="AY84" s="692" t="e">
        <f>INDEX($AE$107:$AH$125,MATCH($AC84,$AC$84:$AC$102,0),IF('General Information'!$I$29="Zone 1",1,IF('General Information'!$I$29="Zone 2",2,IF('General Information'!$I$29="Zone 3",3,IF('General Information'!$I$29="Zone 4",4,0)))))</f>
        <v>#VALUE!</v>
      </c>
      <c r="AZ84" s="692" t="e">
        <f>INDEX($AE$107:$AH$125,MATCH($AC84,$AC$84:$AC$102,0),IF('General Information'!$I$29="Zone 1",1,IF('General Information'!$I$29="Zone 2",2,IF('General Information'!$I$29="Zone 3",3,IF('General Information'!$I$29="Zone 4",4,0)))))</f>
        <v>#VALUE!</v>
      </c>
      <c r="BA84" s="692" t="e">
        <f>INDEX($AE$107:$AH$125,MATCH($AC84,$AC$84:$AC$102,0),IF('General Information'!$I$29="Zone 1",1,IF('General Information'!$I$29="Zone 2",2,IF('General Information'!$I$29="Zone 3",3,IF('General Information'!$I$29="Zone 4",4,0)))))</f>
        <v>#VALUE!</v>
      </c>
      <c r="BB84" s="692" t="e">
        <f>INDEX($AE$107:$AH$125,MATCH($AC84,$AC$84:$AC$102,0),IF('General Information'!$I$29="Zone 1",1,IF('General Information'!$I$29="Zone 2",2,IF('General Information'!$I$29="Zone 3",3,IF('General Information'!$I$29="Zone 4",4,0)))))</f>
        <v>#VALUE!</v>
      </c>
      <c r="BC84" s="692" t="e">
        <f>INDEX($AE$107:$AH$125,MATCH($AC84,$AC$84:$AC$102,0),IF('General Information'!$I$29="Zone 1",1,IF('General Information'!$I$29="Zone 2",2,IF('General Information'!$I$29="Zone 3",3,IF('General Information'!$I$29="Zone 4",4,0)))))</f>
        <v>#VALUE!</v>
      </c>
      <c r="BD84" s="693" t="s">
        <v>762</v>
      </c>
      <c r="BF84" s="298">
        <v>81</v>
      </c>
      <c r="BG84" s="32" t="s">
        <v>896</v>
      </c>
    </row>
    <row r="85" spans="1:59">
      <c r="A85" s="301">
        <f t="shared" ca="1" si="2"/>
        <v>96</v>
      </c>
      <c r="B85" s="590" t="str">
        <f t="shared" ca="1" si="3"/>
        <v>Building Facades</v>
      </c>
      <c r="C85" s="657" t="str">
        <f ca="1">IFERROR(INDEX($AE$10:$BC$105,MATCH(B90,Lookups!$AC$10:$AC$106,0),IF('General Information'!$I$28="Yes",1,IF(INDEX($AE$10:$BC$105,MATCH(B90,Lookups!$AC$10:$AC$106,0),MATCH('General Information'!$D$23,Lookups!$AE$7:$BC$7,0))&lt;&gt;0,MATCH('General Information'!$D$23,Lookups!$AE$7:$BC$7,0),25))),"")</f>
        <v/>
      </c>
      <c r="D85" s="652" t="str">
        <f t="shared" ca="1" si="4"/>
        <v>S.F. of gross above-grade wall area</v>
      </c>
      <c r="G85" s="84"/>
      <c r="H85" s="84"/>
      <c r="I85" s="84"/>
      <c r="J85" s="84"/>
      <c r="K85" s="84"/>
      <c r="M85" s="84"/>
      <c r="O85"/>
      <c r="P85" s="85"/>
      <c r="Q85" s="84"/>
      <c r="R85" s="85"/>
      <c r="S85" s="84"/>
      <c r="T85" s="84"/>
      <c r="U85" s="84"/>
      <c r="V85" s="84"/>
      <c r="W85" s="84"/>
      <c r="X85" s="84"/>
      <c r="Y85" s="84"/>
      <c r="Z85" s="84"/>
      <c r="AA85" s="84"/>
      <c r="AC85" s="690" t="s">
        <v>897</v>
      </c>
      <c r="AD85" s="691"/>
      <c r="AE85" s="692">
        <f>INDEX($AE$107:$AH$125,MATCH($AC85,$AC$84:$AC$102,0),IF('General Information'!$I$29="Zone 1",1,IF('General Information'!$I$29="Zone 2",2,IF('General Information'!$I$29="Zone 3",3,IF('General Information'!$I$29="Zone 4",4,0)))))</f>
        <v>0.04</v>
      </c>
      <c r="AF85" s="692">
        <f>INDEX($AE$107:$AH$125,MATCH($AC85,$AC$84:$AC$102,0),IF('General Information'!$I$29="Zone 1",1,IF('General Information'!$I$29="Zone 2",2,IF('General Information'!$I$29="Zone 3",3,IF('General Information'!$I$29="Zone 4",4,0)))))</f>
        <v>0.06</v>
      </c>
      <c r="AG85" s="692">
        <f>INDEX($AE$107:$AH$125,MATCH($AC85,$AC$84:$AC$102,0),IF('General Information'!$I$29="Zone 1",1,IF('General Information'!$I$29="Zone 2",2,IF('General Information'!$I$29="Zone 3",3,IF('General Information'!$I$29="Zone 4",4,0)))))</f>
        <v>0.1</v>
      </c>
      <c r="AH85" s="692">
        <f>INDEX($AE$107:$AH$125,MATCH($AC85,$AC$84:$AC$102,0),IF('General Information'!$I$29="Zone 1",1,IF('General Information'!$I$29="Zone 2",2,IF('General Information'!$I$29="Zone 3",3,IF('General Information'!$I$29="Zone 4",4,0)))))</f>
        <v>0.13</v>
      </c>
      <c r="AI85" s="692" t="e">
        <f>INDEX($AE$107:$AH$125,MATCH($AC85,$AC$84:$AC$102,0),IF('General Information'!$I$29="Zone 1",1,IF('General Information'!$I$29="Zone 2",2,IF('General Information'!$I$29="Zone 3",3,IF('General Information'!$I$29="Zone 4",4,0)))))</f>
        <v>#VALUE!</v>
      </c>
      <c r="AJ85" s="692" t="e">
        <f>INDEX($AE$107:$AH$125,MATCH($AC85,$AC$84:$AC$102,0),IF('General Information'!$I$29="Zone 1",1,IF('General Information'!$I$29="Zone 2",2,IF('General Information'!$I$29="Zone 3",3,IF('General Information'!$I$29="Zone 4",4,0)))))</f>
        <v>#VALUE!</v>
      </c>
      <c r="AK85" s="692" t="e">
        <f>INDEX($AE$107:$AH$125,MATCH($AC85,$AC$84:$AC$102,0),IF('General Information'!$I$29="Zone 1",1,IF('General Information'!$I$29="Zone 2",2,IF('General Information'!$I$29="Zone 3",3,IF('General Information'!$I$29="Zone 4",4,0)))))</f>
        <v>#VALUE!</v>
      </c>
      <c r="AL85" s="692" t="e">
        <f>INDEX($AE$107:$AH$125,MATCH($AC85,$AC$84:$AC$102,0),IF('General Information'!$I$29="Zone 1",1,IF('General Information'!$I$29="Zone 2",2,IF('General Information'!$I$29="Zone 3",3,IF('General Information'!$I$29="Zone 4",4,0)))))</f>
        <v>#VALUE!</v>
      </c>
      <c r="AM85" s="692" t="e">
        <f>INDEX($AE$107:$AH$125,MATCH($AC85,$AC$84:$AC$102,0),IF('General Information'!$I$29="Zone 1",1,IF('General Information'!$I$29="Zone 2",2,IF('General Information'!$I$29="Zone 3",3,IF('General Information'!$I$29="Zone 4",4,0)))))</f>
        <v>#VALUE!</v>
      </c>
      <c r="AN85" s="692" t="e">
        <f>INDEX($AE$107:$AH$125,MATCH($AC85,$AC$84:$AC$102,0),IF('General Information'!$I$29="Zone 1",1,IF('General Information'!$I$29="Zone 2",2,IF('General Information'!$I$29="Zone 3",3,IF('General Information'!$I$29="Zone 4",4,0)))))</f>
        <v>#VALUE!</v>
      </c>
      <c r="AO85" s="692" t="e">
        <f>INDEX($AE$107:$AH$125,MATCH($AC85,$AC$84:$AC$102,0),IF('General Information'!$I$29="Zone 1",1,IF('General Information'!$I$29="Zone 2",2,IF('General Information'!$I$29="Zone 3",3,IF('General Information'!$I$29="Zone 4",4,0)))))</f>
        <v>#VALUE!</v>
      </c>
      <c r="AP85" s="692" t="e">
        <f>INDEX($AE$107:$AH$125,MATCH($AC85,$AC$84:$AC$102,0),IF('General Information'!$I$29="Zone 1",1,IF('General Information'!$I$29="Zone 2",2,IF('General Information'!$I$29="Zone 3",3,IF('General Information'!$I$29="Zone 4",4,0)))))</f>
        <v>#VALUE!</v>
      </c>
      <c r="AQ85" s="692" t="e">
        <f>INDEX($AE$107:$AH$125,MATCH($AC85,$AC$84:$AC$102,0),IF('General Information'!$I$29="Zone 1",1,IF('General Information'!$I$29="Zone 2",2,IF('General Information'!$I$29="Zone 3",3,IF('General Information'!$I$29="Zone 4",4,0)))))</f>
        <v>#VALUE!</v>
      </c>
      <c r="AR85" s="692" t="e">
        <f>INDEX($AE$107:$AH$125,MATCH($AC85,$AC$84:$AC$102,0),IF('General Information'!$I$29="Zone 1",1,IF('General Information'!$I$29="Zone 2",2,IF('General Information'!$I$29="Zone 3",3,IF('General Information'!$I$29="Zone 4",4,0)))))</f>
        <v>#VALUE!</v>
      </c>
      <c r="AS85" s="692" t="e">
        <f>INDEX($AE$107:$AH$125,MATCH($AC85,$AC$84:$AC$102,0),IF('General Information'!$I$29="Zone 1",1,IF('General Information'!$I$29="Zone 2",2,IF('General Information'!$I$29="Zone 3",3,IF('General Information'!$I$29="Zone 4",4,0)))))</f>
        <v>#VALUE!</v>
      </c>
      <c r="AT85" s="692" t="e">
        <f>INDEX($AE$107:$AH$125,MATCH($AC85,$AC$84:$AC$102,0),IF('General Information'!$I$29="Zone 1",1,IF('General Information'!$I$29="Zone 2",2,IF('General Information'!$I$29="Zone 3",3,IF('General Information'!$I$29="Zone 4",4,0)))))</f>
        <v>#VALUE!</v>
      </c>
      <c r="AU85" s="692" t="e">
        <f>INDEX($AE$107:$AH$125,MATCH($AC85,$AC$84:$AC$102,0),IF('General Information'!$I$29="Zone 1",1,IF('General Information'!$I$29="Zone 2",2,IF('General Information'!$I$29="Zone 3",3,IF('General Information'!$I$29="Zone 4",4,0)))))</f>
        <v>#VALUE!</v>
      </c>
      <c r="AV85" s="692" t="e">
        <f>INDEX($AE$107:$AH$125,MATCH($AC85,$AC$84:$AC$102,0),IF('General Information'!$I$29="Zone 1",1,IF('General Information'!$I$29="Zone 2",2,IF('General Information'!$I$29="Zone 3",3,IF('General Information'!$I$29="Zone 4",4,0)))))</f>
        <v>#VALUE!</v>
      </c>
      <c r="AW85" s="692" t="e">
        <f>INDEX($AE$107:$AH$125,MATCH($AC85,$AC$84:$AC$102,0),IF('General Information'!$I$29="Zone 1",1,IF('General Information'!$I$29="Zone 2",2,IF('General Information'!$I$29="Zone 3",3,IF('General Information'!$I$29="Zone 4",4,0)))))</f>
        <v>#VALUE!</v>
      </c>
      <c r="AX85" s="692" t="e">
        <f>INDEX($AE$107:$AH$125,MATCH($AC85,$AC$84:$AC$102,0),IF('General Information'!$I$29="Zone 1",1,IF('General Information'!$I$29="Zone 2",2,IF('General Information'!$I$29="Zone 3",3,IF('General Information'!$I$29="Zone 4",4,0)))))</f>
        <v>#VALUE!</v>
      </c>
      <c r="AY85" s="692" t="e">
        <f>INDEX($AE$107:$AH$125,MATCH($AC85,$AC$84:$AC$102,0),IF('General Information'!$I$29="Zone 1",1,IF('General Information'!$I$29="Zone 2",2,IF('General Information'!$I$29="Zone 3",3,IF('General Information'!$I$29="Zone 4",4,0)))))</f>
        <v>#VALUE!</v>
      </c>
      <c r="AZ85" s="692" t="e">
        <f>INDEX($AE$107:$AH$125,MATCH($AC85,$AC$84:$AC$102,0),IF('General Information'!$I$29="Zone 1",1,IF('General Information'!$I$29="Zone 2",2,IF('General Information'!$I$29="Zone 3",3,IF('General Information'!$I$29="Zone 4",4,0)))))</f>
        <v>#VALUE!</v>
      </c>
      <c r="BA85" s="692" t="e">
        <f>INDEX($AE$107:$AH$125,MATCH($AC85,$AC$84:$AC$102,0),IF('General Information'!$I$29="Zone 1",1,IF('General Information'!$I$29="Zone 2",2,IF('General Information'!$I$29="Zone 3",3,IF('General Information'!$I$29="Zone 4",4,0)))))</f>
        <v>#VALUE!</v>
      </c>
      <c r="BB85" s="692" t="e">
        <f>INDEX($AE$107:$AH$125,MATCH($AC85,$AC$84:$AC$102,0),IF('General Information'!$I$29="Zone 1",1,IF('General Information'!$I$29="Zone 2",2,IF('General Information'!$I$29="Zone 3",3,IF('General Information'!$I$29="Zone 4",4,0)))))</f>
        <v>#VALUE!</v>
      </c>
      <c r="BC85" s="692" t="e">
        <f>INDEX($AE$107:$AH$125,MATCH($AC85,$AC$84:$AC$102,0),IF('General Information'!$I$29="Zone 1",1,IF('General Information'!$I$29="Zone 2",2,IF('General Information'!$I$29="Zone 3",3,IF('General Information'!$I$29="Zone 4",4,0)))))</f>
        <v>#VALUE!</v>
      </c>
      <c r="BD85" s="694" t="s">
        <v>762</v>
      </c>
      <c r="BF85" s="298">
        <v>82</v>
      </c>
      <c r="BG85" s="32" t="s">
        <v>898</v>
      </c>
    </row>
    <row r="86" spans="1:59">
      <c r="A86" s="301">
        <f t="shared" ca="1" si="2"/>
        <v>97</v>
      </c>
      <c r="B86" s="590" t="str">
        <f t="shared" ca="1" si="3"/>
        <v>ATM and Night Depositories, First Location</v>
      </c>
      <c r="C86" s="657" t="str">
        <f ca="1">IFERROR(INDEX($AE$10:$BC$105,MATCH(B91,Lookups!$AC$10:$AC$106,0),IF('General Information'!$I$28="Yes",1,IF(INDEX($AE$10:$BC$105,MATCH(B91,Lookups!$AC$10:$AC$106,0),MATCH('General Information'!$D$23,Lookups!$AE$7:$BC$7,0))&lt;&gt;0,MATCH('General Information'!$D$23,Lookups!$AE$7:$BC$7,0),25))),"")</f>
        <v/>
      </c>
      <c r="D86" s="652" t="str">
        <f t="shared" ca="1" si="4"/>
        <v>Location</v>
      </c>
      <c r="G86" s="84"/>
      <c r="H86" s="84"/>
      <c r="I86" s="84"/>
      <c r="J86" s="84"/>
      <c r="K86" s="84"/>
      <c r="M86" s="84"/>
      <c r="O86"/>
      <c r="P86" s="85"/>
      <c r="Q86" s="84"/>
      <c r="R86" s="85"/>
      <c r="S86" s="84"/>
      <c r="T86" s="84"/>
      <c r="U86" s="84"/>
      <c r="V86" s="84"/>
      <c r="W86" s="84"/>
      <c r="X86" s="84"/>
      <c r="Y86" s="84"/>
      <c r="Z86" s="84"/>
      <c r="AA86" s="84"/>
      <c r="AC86" s="690" t="s">
        <v>899</v>
      </c>
      <c r="AD86" s="691" t="s">
        <v>900</v>
      </c>
      <c r="AE86" s="692">
        <f>INDEX($AE$107:$AH$125,MATCH($AC86,$AC$84:$AC$102,0),IF('General Information'!$I$29="Zone 1",1,IF('General Information'!$I$29="Zone 2",2,IF('General Information'!$I$29="Zone 3",3,IF('General Information'!$I$29="Zone 4",4,0)))))</f>
        <v>0.7</v>
      </c>
      <c r="AF86" s="692">
        <f>INDEX($AE$107:$AH$125,MATCH($AC86,$AC$84:$AC$102,0),IF('General Information'!$I$29="Zone 1",1,IF('General Information'!$I$29="Zone 2",2,IF('General Information'!$I$29="Zone 3",3,IF('General Information'!$I$29="Zone 4",4,0)))))</f>
        <v>0.7</v>
      </c>
      <c r="AG86" s="692">
        <f>INDEX($AE$107:$AH$125,MATCH($AC86,$AC$84:$AC$102,0),IF('General Information'!$I$29="Zone 1",1,IF('General Information'!$I$29="Zone 2",2,IF('General Information'!$I$29="Zone 3",3,IF('General Information'!$I$29="Zone 4",4,0)))))</f>
        <v>0.8</v>
      </c>
      <c r="AH86" s="692">
        <f>INDEX($AE$107:$AH$125,MATCH($AC86,$AC$84:$AC$102,0),IF('General Information'!$I$29="Zone 1",1,IF('General Information'!$I$29="Zone 2",2,IF('General Information'!$I$29="Zone 3",3,IF('General Information'!$I$29="Zone 4",4,0)))))</f>
        <v>1</v>
      </c>
      <c r="AI86" s="692" t="e">
        <f>INDEX($AE$107:$AH$125,MATCH($AC86,$AC$84:$AC$102,0),IF('General Information'!$I$29="Zone 1",1,IF('General Information'!$I$29="Zone 2",2,IF('General Information'!$I$29="Zone 3",3,IF('General Information'!$I$29="Zone 4",4,0)))))</f>
        <v>#VALUE!</v>
      </c>
      <c r="AJ86" s="692" t="e">
        <f>INDEX($AE$107:$AH$125,MATCH($AC86,$AC$84:$AC$102,0),IF('General Information'!$I$29="Zone 1",1,IF('General Information'!$I$29="Zone 2",2,IF('General Information'!$I$29="Zone 3",3,IF('General Information'!$I$29="Zone 4",4,0)))))</f>
        <v>#VALUE!</v>
      </c>
      <c r="AK86" s="692" t="e">
        <f>INDEX($AE$107:$AH$125,MATCH($AC86,$AC$84:$AC$102,0),IF('General Information'!$I$29="Zone 1",1,IF('General Information'!$I$29="Zone 2",2,IF('General Information'!$I$29="Zone 3",3,IF('General Information'!$I$29="Zone 4",4,0)))))</f>
        <v>#VALUE!</v>
      </c>
      <c r="AL86" s="692" t="e">
        <f>INDEX($AE$107:$AH$125,MATCH($AC86,$AC$84:$AC$102,0),IF('General Information'!$I$29="Zone 1",1,IF('General Information'!$I$29="Zone 2",2,IF('General Information'!$I$29="Zone 3",3,IF('General Information'!$I$29="Zone 4",4,0)))))</f>
        <v>#VALUE!</v>
      </c>
      <c r="AM86" s="692" t="e">
        <f>INDEX($AE$107:$AH$125,MATCH($AC86,$AC$84:$AC$102,0),IF('General Information'!$I$29="Zone 1",1,IF('General Information'!$I$29="Zone 2",2,IF('General Information'!$I$29="Zone 3",3,IF('General Information'!$I$29="Zone 4",4,0)))))</f>
        <v>#VALUE!</v>
      </c>
      <c r="AN86" s="692" t="e">
        <f>INDEX($AE$107:$AH$125,MATCH($AC86,$AC$84:$AC$102,0),IF('General Information'!$I$29="Zone 1",1,IF('General Information'!$I$29="Zone 2",2,IF('General Information'!$I$29="Zone 3",3,IF('General Information'!$I$29="Zone 4",4,0)))))</f>
        <v>#VALUE!</v>
      </c>
      <c r="AO86" s="692" t="e">
        <f>INDEX($AE$107:$AH$125,MATCH($AC86,$AC$84:$AC$102,0),IF('General Information'!$I$29="Zone 1",1,IF('General Information'!$I$29="Zone 2",2,IF('General Information'!$I$29="Zone 3",3,IF('General Information'!$I$29="Zone 4",4,0)))))</f>
        <v>#VALUE!</v>
      </c>
      <c r="AP86" s="692" t="e">
        <f>INDEX($AE$107:$AH$125,MATCH($AC86,$AC$84:$AC$102,0),IF('General Information'!$I$29="Zone 1",1,IF('General Information'!$I$29="Zone 2",2,IF('General Information'!$I$29="Zone 3",3,IF('General Information'!$I$29="Zone 4",4,0)))))</f>
        <v>#VALUE!</v>
      </c>
      <c r="AQ86" s="692" t="e">
        <f>INDEX($AE$107:$AH$125,MATCH($AC86,$AC$84:$AC$102,0),IF('General Information'!$I$29="Zone 1",1,IF('General Information'!$I$29="Zone 2",2,IF('General Information'!$I$29="Zone 3",3,IF('General Information'!$I$29="Zone 4",4,0)))))</f>
        <v>#VALUE!</v>
      </c>
      <c r="AR86" s="692" t="e">
        <f>INDEX($AE$107:$AH$125,MATCH($AC86,$AC$84:$AC$102,0),IF('General Information'!$I$29="Zone 1",1,IF('General Information'!$I$29="Zone 2",2,IF('General Information'!$I$29="Zone 3",3,IF('General Information'!$I$29="Zone 4",4,0)))))</f>
        <v>#VALUE!</v>
      </c>
      <c r="AS86" s="692" t="e">
        <f>INDEX($AE$107:$AH$125,MATCH($AC86,$AC$84:$AC$102,0),IF('General Information'!$I$29="Zone 1",1,IF('General Information'!$I$29="Zone 2",2,IF('General Information'!$I$29="Zone 3",3,IF('General Information'!$I$29="Zone 4",4,0)))))</f>
        <v>#VALUE!</v>
      </c>
      <c r="AT86" s="692" t="e">
        <f>INDEX($AE$107:$AH$125,MATCH($AC86,$AC$84:$AC$102,0),IF('General Information'!$I$29="Zone 1",1,IF('General Information'!$I$29="Zone 2",2,IF('General Information'!$I$29="Zone 3",3,IF('General Information'!$I$29="Zone 4",4,0)))))</f>
        <v>#VALUE!</v>
      </c>
      <c r="AU86" s="692" t="e">
        <f>INDEX($AE$107:$AH$125,MATCH($AC86,$AC$84:$AC$102,0),IF('General Information'!$I$29="Zone 1",1,IF('General Information'!$I$29="Zone 2",2,IF('General Information'!$I$29="Zone 3",3,IF('General Information'!$I$29="Zone 4",4,0)))))</f>
        <v>#VALUE!</v>
      </c>
      <c r="AV86" s="692" t="e">
        <f>INDEX($AE$107:$AH$125,MATCH($AC86,$AC$84:$AC$102,0),IF('General Information'!$I$29="Zone 1",1,IF('General Information'!$I$29="Zone 2",2,IF('General Information'!$I$29="Zone 3",3,IF('General Information'!$I$29="Zone 4",4,0)))))</f>
        <v>#VALUE!</v>
      </c>
      <c r="AW86" s="692" t="e">
        <f>INDEX($AE$107:$AH$125,MATCH($AC86,$AC$84:$AC$102,0),IF('General Information'!$I$29="Zone 1",1,IF('General Information'!$I$29="Zone 2",2,IF('General Information'!$I$29="Zone 3",3,IF('General Information'!$I$29="Zone 4",4,0)))))</f>
        <v>#VALUE!</v>
      </c>
      <c r="AX86" s="692" t="e">
        <f>INDEX($AE$107:$AH$125,MATCH($AC86,$AC$84:$AC$102,0),IF('General Information'!$I$29="Zone 1",1,IF('General Information'!$I$29="Zone 2",2,IF('General Information'!$I$29="Zone 3",3,IF('General Information'!$I$29="Zone 4",4,0)))))</f>
        <v>#VALUE!</v>
      </c>
      <c r="AY86" s="692" t="e">
        <f>INDEX($AE$107:$AH$125,MATCH($AC86,$AC$84:$AC$102,0),IF('General Information'!$I$29="Zone 1",1,IF('General Information'!$I$29="Zone 2",2,IF('General Information'!$I$29="Zone 3",3,IF('General Information'!$I$29="Zone 4",4,0)))))</f>
        <v>#VALUE!</v>
      </c>
      <c r="AZ86" s="692" t="e">
        <f>INDEX($AE$107:$AH$125,MATCH($AC86,$AC$84:$AC$102,0),IF('General Information'!$I$29="Zone 1",1,IF('General Information'!$I$29="Zone 2",2,IF('General Information'!$I$29="Zone 3",3,IF('General Information'!$I$29="Zone 4",4,0)))))</f>
        <v>#VALUE!</v>
      </c>
      <c r="BA86" s="692" t="e">
        <f>INDEX($AE$107:$AH$125,MATCH($AC86,$AC$84:$AC$102,0),IF('General Information'!$I$29="Zone 1",1,IF('General Information'!$I$29="Zone 2",2,IF('General Information'!$I$29="Zone 3",3,IF('General Information'!$I$29="Zone 4",4,0)))))</f>
        <v>#VALUE!</v>
      </c>
      <c r="BB86" s="692" t="e">
        <f>INDEX($AE$107:$AH$125,MATCH($AC86,$AC$84:$AC$102,0),IF('General Information'!$I$29="Zone 1",1,IF('General Information'!$I$29="Zone 2",2,IF('General Information'!$I$29="Zone 3",3,IF('General Information'!$I$29="Zone 4",4,0)))))</f>
        <v>#VALUE!</v>
      </c>
      <c r="BC86" s="692" t="e">
        <f>INDEX($AE$107:$AH$125,MATCH($AC86,$AC$84:$AC$102,0),IF('General Information'!$I$29="Zone 1",1,IF('General Information'!$I$29="Zone 2",2,IF('General Information'!$I$29="Zone 3",3,IF('General Information'!$I$29="Zone 4",4,0)))))</f>
        <v>#VALUE!</v>
      </c>
      <c r="BD86" s="694" t="s">
        <v>762</v>
      </c>
      <c r="BF86" s="298">
        <v>83</v>
      </c>
      <c r="BG86" s="32" t="s">
        <v>901</v>
      </c>
    </row>
    <row r="87" spans="1:59">
      <c r="A87" s="301">
        <f t="shared" ca="1" si="2"/>
        <v>98</v>
      </c>
      <c r="B87" s="590" t="str">
        <f t="shared" ca="1" si="3"/>
        <v>ATM and Night Depositories, Additional Locations</v>
      </c>
      <c r="C87" s="657" t="str">
        <f ca="1">IFERROR(INDEX($AE$10:$BC$105,MATCH(B92,Lookups!$AC$10:$AC$106,0),IF('General Information'!$I$28="Yes",1,IF(INDEX($AE$10:$BC$105,MATCH(B92,Lookups!$AC$10:$AC$106,0),MATCH('General Information'!$D$23,Lookups!$AE$7:$BC$7,0))&lt;&gt;0,MATCH('General Information'!$D$23,Lookups!$AE$7:$BC$7,0),25))),"")</f>
        <v/>
      </c>
      <c r="D87" s="652" t="str">
        <f t="shared" ca="1" si="4"/>
        <v>Location</v>
      </c>
      <c r="G87" s="84"/>
      <c r="H87" s="84"/>
      <c r="I87" s="84"/>
      <c r="J87" s="84"/>
      <c r="K87" s="84"/>
      <c r="M87" s="84"/>
      <c r="O87"/>
      <c r="P87" s="85"/>
      <c r="Q87" s="84"/>
      <c r="R87" s="85"/>
      <c r="S87" s="84"/>
      <c r="T87" s="84"/>
      <c r="U87" s="84"/>
      <c r="V87" s="84"/>
      <c r="W87" s="84"/>
      <c r="X87" s="84"/>
      <c r="Y87" s="84"/>
      <c r="Z87" s="84"/>
      <c r="AA87" s="84"/>
      <c r="AC87" s="690" t="s">
        <v>902</v>
      </c>
      <c r="AD87" s="691"/>
      <c r="AE87" s="692">
        <f>INDEX($AE$107:$AH$125,MATCH($AC87,$AC$84:$AC$102,0),IF('General Information'!$I$29="Zone 1",1,IF('General Information'!$I$29="Zone 2",2,IF('General Information'!$I$29="Zone 3",3,IF('General Information'!$I$29="Zone 4",4,0)))))</f>
        <v>0.14000000000000001</v>
      </c>
      <c r="AF87" s="692">
        <f>INDEX($AE$107:$AH$125,MATCH($AC87,$AC$84:$AC$102,0),IF('General Information'!$I$29="Zone 1",1,IF('General Information'!$I$29="Zone 2",2,IF('General Information'!$I$29="Zone 3",3,IF('General Information'!$I$29="Zone 4",4,0)))))</f>
        <v>0.14000000000000001</v>
      </c>
      <c r="AG87" s="692">
        <f>INDEX($AE$107:$AH$125,MATCH($AC87,$AC$84:$AC$102,0),IF('General Information'!$I$29="Zone 1",1,IF('General Information'!$I$29="Zone 2",2,IF('General Information'!$I$29="Zone 3",3,IF('General Information'!$I$29="Zone 4",4,0)))))</f>
        <v>0.16</v>
      </c>
      <c r="AH87" s="692">
        <f>INDEX($AE$107:$AH$125,MATCH($AC87,$AC$84:$AC$102,0),IF('General Information'!$I$29="Zone 1",1,IF('General Information'!$I$29="Zone 2",2,IF('General Information'!$I$29="Zone 3",3,IF('General Information'!$I$29="Zone 4",4,0)))))</f>
        <v>0.2</v>
      </c>
      <c r="AI87" s="692" t="e">
        <f>INDEX($AE$107:$AH$125,MATCH($AC87,$AC$84:$AC$102,0),IF('General Information'!$I$29="Zone 1",1,IF('General Information'!$I$29="Zone 2",2,IF('General Information'!$I$29="Zone 3",3,IF('General Information'!$I$29="Zone 4",4,0)))))</f>
        <v>#VALUE!</v>
      </c>
      <c r="AJ87" s="692" t="e">
        <f>INDEX($AE$107:$AH$125,MATCH($AC87,$AC$84:$AC$102,0),IF('General Information'!$I$29="Zone 1",1,IF('General Information'!$I$29="Zone 2",2,IF('General Information'!$I$29="Zone 3",3,IF('General Information'!$I$29="Zone 4",4,0)))))</f>
        <v>#VALUE!</v>
      </c>
      <c r="AK87" s="692" t="e">
        <f>INDEX($AE$107:$AH$125,MATCH($AC87,$AC$84:$AC$102,0),IF('General Information'!$I$29="Zone 1",1,IF('General Information'!$I$29="Zone 2",2,IF('General Information'!$I$29="Zone 3",3,IF('General Information'!$I$29="Zone 4",4,0)))))</f>
        <v>#VALUE!</v>
      </c>
      <c r="AL87" s="692" t="e">
        <f>INDEX($AE$107:$AH$125,MATCH($AC87,$AC$84:$AC$102,0),IF('General Information'!$I$29="Zone 1",1,IF('General Information'!$I$29="Zone 2",2,IF('General Information'!$I$29="Zone 3",3,IF('General Information'!$I$29="Zone 4",4,0)))))</f>
        <v>#VALUE!</v>
      </c>
      <c r="AM87" s="692" t="e">
        <f>INDEX($AE$107:$AH$125,MATCH($AC87,$AC$84:$AC$102,0),IF('General Information'!$I$29="Zone 1",1,IF('General Information'!$I$29="Zone 2",2,IF('General Information'!$I$29="Zone 3",3,IF('General Information'!$I$29="Zone 4",4,0)))))</f>
        <v>#VALUE!</v>
      </c>
      <c r="AN87" s="692" t="e">
        <f>INDEX($AE$107:$AH$125,MATCH($AC87,$AC$84:$AC$102,0),IF('General Information'!$I$29="Zone 1",1,IF('General Information'!$I$29="Zone 2",2,IF('General Information'!$I$29="Zone 3",3,IF('General Information'!$I$29="Zone 4",4,0)))))</f>
        <v>#VALUE!</v>
      </c>
      <c r="AO87" s="692" t="e">
        <f>INDEX($AE$107:$AH$125,MATCH($AC87,$AC$84:$AC$102,0),IF('General Information'!$I$29="Zone 1",1,IF('General Information'!$I$29="Zone 2",2,IF('General Information'!$I$29="Zone 3",3,IF('General Information'!$I$29="Zone 4",4,0)))))</f>
        <v>#VALUE!</v>
      </c>
      <c r="AP87" s="692" t="e">
        <f>INDEX($AE$107:$AH$125,MATCH($AC87,$AC$84:$AC$102,0),IF('General Information'!$I$29="Zone 1",1,IF('General Information'!$I$29="Zone 2",2,IF('General Information'!$I$29="Zone 3",3,IF('General Information'!$I$29="Zone 4",4,0)))))</f>
        <v>#VALUE!</v>
      </c>
      <c r="AQ87" s="692" t="e">
        <f>INDEX($AE$107:$AH$125,MATCH($AC87,$AC$84:$AC$102,0),IF('General Information'!$I$29="Zone 1",1,IF('General Information'!$I$29="Zone 2",2,IF('General Information'!$I$29="Zone 3",3,IF('General Information'!$I$29="Zone 4",4,0)))))</f>
        <v>#VALUE!</v>
      </c>
      <c r="AR87" s="692" t="e">
        <f>INDEX($AE$107:$AH$125,MATCH($AC87,$AC$84:$AC$102,0),IF('General Information'!$I$29="Zone 1",1,IF('General Information'!$I$29="Zone 2",2,IF('General Information'!$I$29="Zone 3",3,IF('General Information'!$I$29="Zone 4",4,0)))))</f>
        <v>#VALUE!</v>
      </c>
      <c r="AS87" s="692" t="e">
        <f>INDEX($AE$107:$AH$125,MATCH($AC87,$AC$84:$AC$102,0),IF('General Information'!$I$29="Zone 1",1,IF('General Information'!$I$29="Zone 2",2,IF('General Information'!$I$29="Zone 3",3,IF('General Information'!$I$29="Zone 4",4,0)))))</f>
        <v>#VALUE!</v>
      </c>
      <c r="AT87" s="692" t="e">
        <f>INDEX($AE$107:$AH$125,MATCH($AC87,$AC$84:$AC$102,0),IF('General Information'!$I$29="Zone 1",1,IF('General Information'!$I$29="Zone 2",2,IF('General Information'!$I$29="Zone 3",3,IF('General Information'!$I$29="Zone 4",4,0)))))</f>
        <v>#VALUE!</v>
      </c>
      <c r="AU87" s="692" t="e">
        <f>INDEX($AE$107:$AH$125,MATCH($AC87,$AC$84:$AC$102,0),IF('General Information'!$I$29="Zone 1",1,IF('General Information'!$I$29="Zone 2",2,IF('General Information'!$I$29="Zone 3",3,IF('General Information'!$I$29="Zone 4",4,0)))))</f>
        <v>#VALUE!</v>
      </c>
      <c r="AV87" s="692" t="e">
        <f>INDEX($AE$107:$AH$125,MATCH($AC87,$AC$84:$AC$102,0),IF('General Information'!$I$29="Zone 1",1,IF('General Information'!$I$29="Zone 2",2,IF('General Information'!$I$29="Zone 3",3,IF('General Information'!$I$29="Zone 4",4,0)))))</f>
        <v>#VALUE!</v>
      </c>
      <c r="AW87" s="692" t="e">
        <f>INDEX($AE$107:$AH$125,MATCH($AC87,$AC$84:$AC$102,0),IF('General Information'!$I$29="Zone 1",1,IF('General Information'!$I$29="Zone 2",2,IF('General Information'!$I$29="Zone 3",3,IF('General Information'!$I$29="Zone 4",4,0)))))</f>
        <v>#VALUE!</v>
      </c>
      <c r="AX87" s="692" t="e">
        <f>INDEX($AE$107:$AH$125,MATCH($AC87,$AC$84:$AC$102,0),IF('General Information'!$I$29="Zone 1",1,IF('General Information'!$I$29="Zone 2",2,IF('General Information'!$I$29="Zone 3",3,IF('General Information'!$I$29="Zone 4",4,0)))))</f>
        <v>#VALUE!</v>
      </c>
      <c r="AY87" s="692" t="e">
        <f>INDEX($AE$107:$AH$125,MATCH($AC87,$AC$84:$AC$102,0),IF('General Information'!$I$29="Zone 1",1,IF('General Information'!$I$29="Zone 2",2,IF('General Information'!$I$29="Zone 3",3,IF('General Information'!$I$29="Zone 4",4,0)))))</f>
        <v>#VALUE!</v>
      </c>
      <c r="AZ87" s="692" t="e">
        <f>INDEX($AE$107:$AH$125,MATCH($AC87,$AC$84:$AC$102,0),IF('General Information'!$I$29="Zone 1",1,IF('General Information'!$I$29="Zone 2",2,IF('General Information'!$I$29="Zone 3",3,IF('General Information'!$I$29="Zone 4",4,0)))))</f>
        <v>#VALUE!</v>
      </c>
      <c r="BA87" s="692" t="e">
        <f>INDEX($AE$107:$AH$125,MATCH($AC87,$AC$84:$AC$102,0),IF('General Information'!$I$29="Zone 1",1,IF('General Information'!$I$29="Zone 2",2,IF('General Information'!$I$29="Zone 3",3,IF('General Information'!$I$29="Zone 4",4,0)))))</f>
        <v>#VALUE!</v>
      </c>
      <c r="BB87" s="692" t="e">
        <f>INDEX($AE$107:$AH$125,MATCH($AC87,$AC$84:$AC$102,0),IF('General Information'!$I$29="Zone 1",1,IF('General Information'!$I$29="Zone 2",2,IF('General Information'!$I$29="Zone 3",3,IF('General Information'!$I$29="Zone 4",4,0)))))</f>
        <v>#VALUE!</v>
      </c>
      <c r="BC87" s="692" t="e">
        <f>INDEX($AE$107:$AH$125,MATCH($AC87,$AC$84:$AC$102,0),IF('General Information'!$I$29="Zone 1",1,IF('General Information'!$I$29="Zone 2",2,IF('General Information'!$I$29="Zone 3",3,IF('General Information'!$I$29="Zone 4",4,0)))))</f>
        <v>#VALUE!</v>
      </c>
      <c r="BD87" s="693" t="s">
        <v>762</v>
      </c>
      <c r="BF87" s="298">
        <v>84</v>
      </c>
      <c r="BG87" s="32" t="s">
        <v>228</v>
      </c>
    </row>
    <row r="88" spans="1:59">
      <c r="A88" s="301">
        <f t="shared" ca="1" si="2"/>
        <v>99</v>
      </c>
      <c r="B88" s="590" t="str">
        <f t="shared" ca="1" si="3"/>
        <v>Entrances &amp; Gatehouse Inspection Stations at Guarded Facilities</v>
      </c>
      <c r="C88" s="657" t="str">
        <f ca="1">IFERROR(INDEX($AE$10:$BC$105,MATCH(B93,Lookups!$AC$10:$AC$106,0),IF('General Information'!$I$28="Yes",1,IF(INDEX($AE$10:$BC$105,MATCH(B93,Lookups!$AC$10:$AC$106,0),MATCH('General Information'!$D$23,Lookups!$AE$7:$BC$7,0))&lt;&gt;0,MATCH('General Information'!$D$23,Lookups!$AE$7:$BC$7,0),25))),"")</f>
        <v/>
      </c>
      <c r="D88" s="652" t="str">
        <f t="shared" ca="1" si="4"/>
        <v/>
      </c>
      <c r="G88" s="84"/>
      <c r="H88" s="84"/>
      <c r="I88" s="84"/>
      <c r="J88" s="84"/>
      <c r="K88" s="84"/>
      <c r="M88" s="84"/>
      <c r="O88"/>
      <c r="P88" s="85"/>
      <c r="Q88" s="84"/>
      <c r="R88" s="85"/>
      <c r="S88" s="84"/>
      <c r="T88" s="84"/>
      <c r="U88" s="84"/>
      <c r="V88" s="84"/>
      <c r="W88" s="84"/>
      <c r="X88" s="84"/>
      <c r="Y88" s="84"/>
      <c r="Z88" s="84"/>
      <c r="AA88" s="84"/>
      <c r="AC88" s="690" t="s">
        <v>903</v>
      </c>
      <c r="AD88" s="691"/>
      <c r="AE88" s="692">
        <f>INDEX($AE$107:$AH$125,MATCH($AC88,$AC$84:$AC$102,0),IF('General Information'!$I$29="Zone 1",1,IF('General Information'!$I$29="Zone 2",2,IF('General Information'!$I$29="Zone 3",3,IF('General Information'!$I$29="Zone 4",4,0)))))</f>
        <v>0.75</v>
      </c>
      <c r="AF88" s="692">
        <f>INDEX($AE$107:$AH$125,MATCH($AC88,$AC$84:$AC$102,0),IF('General Information'!$I$29="Zone 1",1,IF('General Information'!$I$29="Zone 2",2,IF('General Information'!$I$29="Zone 3",3,IF('General Information'!$I$29="Zone 4",4,0)))))</f>
        <v>1</v>
      </c>
      <c r="AG88" s="692">
        <f>INDEX($AE$107:$AH$125,MATCH($AC88,$AC$84:$AC$102,0),IF('General Information'!$I$29="Zone 1",1,IF('General Information'!$I$29="Zone 2",2,IF('General Information'!$I$29="Zone 3",3,IF('General Information'!$I$29="Zone 4",4,0)))))</f>
        <v>1</v>
      </c>
      <c r="AH88" s="692">
        <f>INDEX($AE$107:$AH$125,MATCH($AC88,$AC$84:$AC$102,0),IF('General Information'!$I$29="Zone 1",1,IF('General Information'!$I$29="Zone 2",2,IF('General Information'!$I$29="Zone 3",3,IF('General Information'!$I$29="Zone 4",4,0)))))</f>
        <v>1</v>
      </c>
      <c r="AI88" s="692" t="e">
        <f>INDEX($AE$107:$AH$125,MATCH($AC88,$AC$84:$AC$102,0),IF('General Information'!$I$29="Zone 1",1,IF('General Information'!$I$29="Zone 2",2,IF('General Information'!$I$29="Zone 3",3,IF('General Information'!$I$29="Zone 4",4,0)))))</f>
        <v>#VALUE!</v>
      </c>
      <c r="AJ88" s="692" t="e">
        <f>INDEX($AE$107:$AH$125,MATCH($AC88,$AC$84:$AC$102,0),IF('General Information'!$I$29="Zone 1",1,IF('General Information'!$I$29="Zone 2",2,IF('General Information'!$I$29="Zone 3",3,IF('General Information'!$I$29="Zone 4",4,0)))))</f>
        <v>#VALUE!</v>
      </c>
      <c r="AK88" s="692" t="e">
        <f>INDEX($AE$107:$AH$125,MATCH($AC88,$AC$84:$AC$102,0),IF('General Information'!$I$29="Zone 1",1,IF('General Information'!$I$29="Zone 2",2,IF('General Information'!$I$29="Zone 3",3,IF('General Information'!$I$29="Zone 4",4,0)))))</f>
        <v>#VALUE!</v>
      </c>
      <c r="AL88" s="692" t="e">
        <f>INDEX($AE$107:$AH$125,MATCH($AC88,$AC$84:$AC$102,0),IF('General Information'!$I$29="Zone 1",1,IF('General Information'!$I$29="Zone 2",2,IF('General Information'!$I$29="Zone 3",3,IF('General Information'!$I$29="Zone 4",4,0)))))</f>
        <v>#VALUE!</v>
      </c>
      <c r="AM88" s="692" t="e">
        <f>INDEX($AE$107:$AH$125,MATCH($AC88,$AC$84:$AC$102,0),IF('General Information'!$I$29="Zone 1",1,IF('General Information'!$I$29="Zone 2",2,IF('General Information'!$I$29="Zone 3",3,IF('General Information'!$I$29="Zone 4",4,0)))))</f>
        <v>#VALUE!</v>
      </c>
      <c r="AN88" s="692" t="e">
        <f>INDEX($AE$107:$AH$125,MATCH($AC88,$AC$84:$AC$102,0),IF('General Information'!$I$29="Zone 1",1,IF('General Information'!$I$29="Zone 2",2,IF('General Information'!$I$29="Zone 3",3,IF('General Information'!$I$29="Zone 4",4,0)))))</f>
        <v>#VALUE!</v>
      </c>
      <c r="AO88" s="692" t="e">
        <f>INDEX($AE$107:$AH$125,MATCH($AC88,$AC$84:$AC$102,0),IF('General Information'!$I$29="Zone 1",1,IF('General Information'!$I$29="Zone 2",2,IF('General Information'!$I$29="Zone 3",3,IF('General Information'!$I$29="Zone 4",4,0)))))</f>
        <v>#VALUE!</v>
      </c>
      <c r="AP88" s="692" t="e">
        <f>INDEX($AE$107:$AH$125,MATCH($AC88,$AC$84:$AC$102,0),IF('General Information'!$I$29="Zone 1",1,IF('General Information'!$I$29="Zone 2",2,IF('General Information'!$I$29="Zone 3",3,IF('General Information'!$I$29="Zone 4",4,0)))))</f>
        <v>#VALUE!</v>
      </c>
      <c r="AQ88" s="692" t="e">
        <f>INDEX($AE$107:$AH$125,MATCH($AC88,$AC$84:$AC$102,0),IF('General Information'!$I$29="Zone 1",1,IF('General Information'!$I$29="Zone 2",2,IF('General Information'!$I$29="Zone 3",3,IF('General Information'!$I$29="Zone 4",4,0)))))</f>
        <v>#VALUE!</v>
      </c>
      <c r="AR88" s="692" t="e">
        <f>INDEX($AE$107:$AH$125,MATCH($AC88,$AC$84:$AC$102,0),IF('General Information'!$I$29="Zone 1",1,IF('General Information'!$I$29="Zone 2",2,IF('General Information'!$I$29="Zone 3",3,IF('General Information'!$I$29="Zone 4",4,0)))))</f>
        <v>#VALUE!</v>
      </c>
      <c r="AS88" s="692" t="e">
        <f>INDEX($AE$107:$AH$125,MATCH($AC88,$AC$84:$AC$102,0),IF('General Information'!$I$29="Zone 1",1,IF('General Information'!$I$29="Zone 2",2,IF('General Information'!$I$29="Zone 3",3,IF('General Information'!$I$29="Zone 4",4,0)))))</f>
        <v>#VALUE!</v>
      </c>
      <c r="AT88" s="692" t="e">
        <f>INDEX($AE$107:$AH$125,MATCH($AC88,$AC$84:$AC$102,0),IF('General Information'!$I$29="Zone 1",1,IF('General Information'!$I$29="Zone 2",2,IF('General Information'!$I$29="Zone 3",3,IF('General Information'!$I$29="Zone 4",4,0)))))</f>
        <v>#VALUE!</v>
      </c>
      <c r="AU88" s="692" t="e">
        <f>INDEX($AE$107:$AH$125,MATCH($AC88,$AC$84:$AC$102,0),IF('General Information'!$I$29="Zone 1",1,IF('General Information'!$I$29="Zone 2",2,IF('General Information'!$I$29="Zone 3",3,IF('General Information'!$I$29="Zone 4",4,0)))))</f>
        <v>#VALUE!</v>
      </c>
      <c r="AV88" s="692" t="e">
        <f>INDEX($AE$107:$AH$125,MATCH($AC88,$AC$84:$AC$102,0),IF('General Information'!$I$29="Zone 1",1,IF('General Information'!$I$29="Zone 2",2,IF('General Information'!$I$29="Zone 3",3,IF('General Information'!$I$29="Zone 4",4,0)))))</f>
        <v>#VALUE!</v>
      </c>
      <c r="AW88" s="692" t="e">
        <f>INDEX($AE$107:$AH$125,MATCH($AC88,$AC$84:$AC$102,0),IF('General Information'!$I$29="Zone 1",1,IF('General Information'!$I$29="Zone 2",2,IF('General Information'!$I$29="Zone 3",3,IF('General Information'!$I$29="Zone 4",4,0)))))</f>
        <v>#VALUE!</v>
      </c>
      <c r="AX88" s="692" t="e">
        <f>INDEX($AE$107:$AH$125,MATCH($AC88,$AC$84:$AC$102,0),IF('General Information'!$I$29="Zone 1",1,IF('General Information'!$I$29="Zone 2",2,IF('General Information'!$I$29="Zone 3",3,IF('General Information'!$I$29="Zone 4",4,0)))))</f>
        <v>#VALUE!</v>
      </c>
      <c r="AY88" s="692" t="e">
        <f>INDEX($AE$107:$AH$125,MATCH($AC88,$AC$84:$AC$102,0),IF('General Information'!$I$29="Zone 1",1,IF('General Information'!$I$29="Zone 2",2,IF('General Information'!$I$29="Zone 3",3,IF('General Information'!$I$29="Zone 4",4,0)))))</f>
        <v>#VALUE!</v>
      </c>
      <c r="AZ88" s="692" t="e">
        <f>INDEX($AE$107:$AH$125,MATCH($AC88,$AC$84:$AC$102,0),IF('General Information'!$I$29="Zone 1",1,IF('General Information'!$I$29="Zone 2",2,IF('General Information'!$I$29="Zone 3",3,IF('General Information'!$I$29="Zone 4",4,0)))))</f>
        <v>#VALUE!</v>
      </c>
      <c r="BA88" s="692" t="e">
        <f>INDEX($AE$107:$AH$125,MATCH($AC88,$AC$84:$AC$102,0),IF('General Information'!$I$29="Zone 1",1,IF('General Information'!$I$29="Zone 2",2,IF('General Information'!$I$29="Zone 3",3,IF('General Information'!$I$29="Zone 4",4,0)))))</f>
        <v>#VALUE!</v>
      </c>
      <c r="BB88" s="692" t="e">
        <f>INDEX($AE$107:$AH$125,MATCH($AC88,$AC$84:$AC$102,0),IF('General Information'!$I$29="Zone 1",1,IF('General Information'!$I$29="Zone 2",2,IF('General Information'!$I$29="Zone 3",3,IF('General Information'!$I$29="Zone 4",4,0)))))</f>
        <v>#VALUE!</v>
      </c>
      <c r="BC88" s="692" t="e">
        <f>INDEX($AE$107:$AH$125,MATCH($AC88,$AC$84:$AC$102,0),IF('General Information'!$I$29="Zone 1",1,IF('General Information'!$I$29="Zone 2",2,IF('General Information'!$I$29="Zone 3",3,IF('General Information'!$I$29="Zone 4",4,0)))))</f>
        <v>#VALUE!</v>
      </c>
      <c r="BD88" s="693" t="s">
        <v>762</v>
      </c>
      <c r="BF88" s="298">
        <v>85</v>
      </c>
      <c r="BG88" s="32" t="s">
        <v>904</v>
      </c>
    </row>
    <row r="89" spans="1:59">
      <c r="A89" s="301">
        <f t="shared" ca="1" si="2"/>
        <v>100</v>
      </c>
      <c r="B89" s="590" t="str">
        <f t="shared" ca="1" si="3"/>
        <v>Loading Areas for Law Enforcement and Emergency Vehicles</v>
      </c>
      <c r="C89" s="657" t="str">
        <f ca="1">IFERROR(INDEX($AE$10:$BC$105,MATCH(B94,Lookups!$AC$10:$AC$106,0),IF('General Information'!$I$28="Yes",1,IF(INDEX($AE$10:$BC$105,MATCH(B94,Lookups!$AC$10:$AC$106,0),MATCH('General Information'!$D$23,Lookups!$AE$7:$BC$7,0))&lt;&gt;0,MATCH('General Information'!$D$23,Lookups!$AE$7:$BC$7,0),25))),"")</f>
        <v/>
      </c>
      <c r="D89" s="652" t="str">
        <f t="shared" ca="1" si="4"/>
        <v/>
      </c>
      <c r="G89" s="84"/>
      <c r="H89" s="84"/>
      <c r="I89" s="84"/>
      <c r="J89" s="84"/>
      <c r="K89" s="84"/>
      <c r="M89" s="84"/>
      <c r="O89"/>
      <c r="P89" s="85"/>
      <c r="Q89" s="84"/>
      <c r="R89" s="85"/>
      <c r="S89" s="84"/>
      <c r="T89" s="84"/>
      <c r="U89" s="84"/>
      <c r="V89" s="84"/>
      <c r="W89" s="84"/>
      <c r="X89" s="84"/>
      <c r="Y89" s="84"/>
      <c r="Z89" s="84"/>
      <c r="AA89" s="84"/>
      <c r="AC89" s="690" t="s">
        <v>905</v>
      </c>
      <c r="AD89" s="691"/>
      <c r="AE89" s="692">
        <f>INDEX($AE$107:$AH$125,MATCH($AC89,$AC$84:$AC$102,0),IF('General Information'!$I$29="Zone 1",1,IF('General Information'!$I$29="Zone 2",2,IF('General Information'!$I$29="Zone 3",3,IF('General Information'!$I$29="Zone 4",4,0)))))</f>
        <v>0.15</v>
      </c>
      <c r="AF89" s="692">
        <f>INDEX($AE$107:$AH$125,MATCH($AC89,$AC$84:$AC$102,0),IF('General Information'!$I$29="Zone 1",1,IF('General Information'!$I$29="Zone 2",2,IF('General Information'!$I$29="Zone 3",3,IF('General Information'!$I$29="Zone 4",4,0)))))</f>
        <v>0.15</v>
      </c>
      <c r="AG89" s="692">
        <f>INDEX($AE$107:$AH$125,MATCH($AC89,$AC$84:$AC$102,0),IF('General Information'!$I$29="Zone 1",1,IF('General Information'!$I$29="Zone 2",2,IF('General Information'!$I$29="Zone 3",3,IF('General Information'!$I$29="Zone 4",4,0)))))</f>
        <v>0.2</v>
      </c>
      <c r="AH89" s="692">
        <f>INDEX($AE$107:$AH$125,MATCH($AC89,$AC$84:$AC$102,0),IF('General Information'!$I$29="Zone 1",1,IF('General Information'!$I$29="Zone 2",2,IF('General Information'!$I$29="Zone 3",3,IF('General Information'!$I$29="Zone 4",4,0)))))</f>
        <v>0.3</v>
      </c>
      <c r="AI89" s="692" t="e">
        <f>INDEX($AE$107:$AH$125,MATCH($AC89,$AC$84:$AC$102,0),IF('General Information'!$I$29="Zone 1",1,IF('General Information'!$I$29="Zone 2",2,IF('General Information'!$I$29="Zone 3",3,IF('General Information'!$I$29="Zone 4",4,0)))))</f>
        <v>#VALUE!</v>
      </c>
      <c r="AJ89" s="692" t="e">
        <f>INDEX($AE$107:$AH$125,MATCH($AC89,$AC$84:$AC$102,0),IF('General Information'!$I$29="Zone 1",1,IF('General Information'!$I$29="Zone 2",2,IF('General Information'!$I$29="Zone 3",3,IF('General Information'!$I$29="Zone 4",4,0)))))</f>
        <v>#VALUE!</v>
      </c>
      <c r="AK89" s="692" t="e">
        <f>INDEX($AE$107:$AH$125,MATCH($AC89,$AC$84:$AC$102,0),IF('General Information'!$I$29="Zone 1",1,IF('General Information'!$I$29="Zone 2",2,IF('General Information'!$I$29="Zone 3",3,IF('General Information'!$I$29="Zone 4",4,0)))))</f>
        <v>#VALUE!</v>
      </c>
      <c r="AL89" s="692" t="e">
        <f>INDEX($AE$107:$AH$125,MATCH($AC89,$AC$84:$AC$102,0),IF('General Information'!$I$29="Zone 1",1,IF('General Information'!$I$29="Zone 2",2,IF('General Information'!$I$29="Zone 3",3,IF('General Information'!$I$29="Zone 4",4,0)))))</f>
        <v>#VALUE!</v>
      </c>
      <c r="AM89" s="692" t="e">
        <f>INDEX($AE$107:$AH$125,MATCH($AC89,$AC$84:$AC$102,0),IF('General Information'!$I$29="Zone 1",1,IF('General Information'!$I$29="Zone 2",2,IF('General Information'!$I$29="Zone 3",3,IF('General Information'!$I$29="Zone 4",4,0)))))</f>
        <v>#VALUE!</v>
      </c>
      <c r="AN89" s="692" t="e">
        <f>INDEX($AE$107:$AH$125,MATCH($AC89,$AC$84:$AC$102,0),IF('General Information'!$I$29="Zone 1",1,IF('General Information'!$I$29="Zone 2",2,IF('General Information'!$I$29="Zone 3",3,IF('General Information'!$I$29="Zone 4",4,0)))))</f>
        <v>#VALUE!</v>
      </c>
      <c r="AO89" s="692" t="e">
        <f>INDEX($AE$107:$AH$125,MATCH($AC89,$AC$84:$AC$102,0),IF('General Information'!$I$29="Zone 1",1,IF('General Information'!$I$29="Zone 2",2,IF('General Information'!$I$29="Zone 3",3,IF('General Information'!$I$29="Zone 4",4,0)))))</f>
        <v>#VALUE!</v>
      </c>
      <c r="AP89" s="692" t="e">
        <f>INDEX($AE$107:$AH$125,MATCH($AC89,$AC$84:$AC$102,0),IF('General Information'!$I$29="Zone 1",1,IF('General Information'!$I$29="Zone 2",2,IF('General Information'!$I$29="Zone 3",3,IF('General Information'!$I$29="Zone 4",4,0)))))</f>
        <v>#VALUE!</v>
      </c>
      <c r="AQ89" s="692" t="e">
        <f>INDEX($AE$107:$AH$125,MATCH($AC89,$AC$84:$AC$102,0),IF('General Information'!$I$29="Zone 1",1,IF('General Information'!$I$29="Zone 2",2,IF('General Information'!$I$29="Zone 3",3,IF('General Information'!$I$29="Zone 4",4,0)))))</f>
        <v>#VALUE!</v>
      </c>
      <c r="AR89" s="692" t="e">
        <f>INDEX($AE$107:$AH$125,MATCH($AC89,$AC$84:$AC$102,0),IF('General Information'!$I$29="Zone 1",1,IF('General Information'!$I$29="Zone 2",2,IF('General Information'!$I$29="Zone 3",3,IF('General Information'!$I$29="Zone 4",4,0)))))</f>
        <v>#VALUE!</v>
      </c>
      <c r="AS89" s="692" t="e">
        <f>INDEX($AE$107:$AH$125,MATCH($AC89,$AC$84:$AC$102,0),IF('General Information'!$I$29="Zone 1",1,IF('General Information'!$I$29="Zone 2",2,IF('General Information'!$I$29="Zone 3",3,IF('General Information'!$I$29="Zone 4",4,0)))))</f>
        <v>#VALUE!</v>
      </c>
      <c r="AT89" s="692" t="e">
        <f>INDEX($AE$107:$AH$125,MATCH($AC89,$AC$84:$AC$102,0),IF('General Information'!$I$29="Zone 1",1,IF('General Information'!$I$29="Zone 2",2,IF('General Information'!$I$29="Zone 3",3,IF('General Information'!$I$29="Zone 4",4,0)))))</f>
        <v>#VALUE!</v>
      </c>
      <c r="AU89" s="692" t="e">
        <f>INDEX($AE$107:$AH$125,MATCH($AC89,$AC$84:$AC$102,0),IF('General Information'!$I$29="Zone 1",1,IF('General Information'!$I$29="Zone 2",2,IF('General Information'!$I$29="Zone 3",3,IF('General Information'!$I$29="Zone 4",4,0)))))</f>
        <v>#VALUE!</v>
      </c>
      <c r="AV89" s="692" t="e">
        <f>INDEX($AE$107:$AH$125,MATCH($AC89,$AC$84:$AC$102,0),IF('General Information'!$I$29="Zone 1",1,IF('General Information'!$I$29="Zone 2",2,IF('General Information'!$I$29="Zone 3",3,IF('General Information'!$I$29="Zone 4",4,0)))))</f>
        <v>#VALUE!</v>
      </c>
      <c r="AW89" s="692" t="e">
        <f>INDEX($AE$107:$AH$125,MATCH($AC89,$AC$84:$AC$102,0),IF('General Information'!$I$29="Zone 1",1,IF('General Information'!$I$29="Zone 2",2,IF('General Information'!$I$29="Zone 3",3,IF('General Information'!$I$29="Zone 4",4,0)))))</f>
        <v>#VALUE!</v>
      </c>
      <c r="AX89" s="692" t="e">
        <f>INDEX($AE$107:$AH$125,MATCH($AC89,$AC$84:$AC$102,0),IF('General Information'!$I$29="Zone 1",1,IF('General Information'!$I$29="Zone 2",2,IF('General Information'!$I$29="Zone 3",3,IF('General Information'!$I$29="Zone 4",4,0)))))</f>
        <v>#VALUE!</v>
      </c>
      <c r="AY89" s="692" t="e">
        <f>INDEX($AE$107:$AH$125,MATCH($AC89,$AC$84:$AC$102,0),IF('General Information'!$I$29="Zone 1",1,IF('General Information'!$I$29="Zone 2",2,IF('General Information'!$I$29="Zone 3",3,IF('General Information'!$I$29="Zone 4",4,0)))))</f>
        <v>#VALUE!</v>
      </c>
      <c r="AZ89" s="692" t="e">
        <f>INDEX($AE$107:$AH$125,MATCH($AC89,$AC$84:$AC$102,0),IF('General Information'!$I$29="Zone 1",1,IF('General Information'!$I$29="Zone 2",2,IF('General Information'!$I$29="Zone 3",3,IF('General Information'!$I$29="Zone 4",4,0)))))</f>
        <v>#VALUE!</v>
      </c>
      <c r="BA89" s="692" t="e">
        <f>INDEX($AE$107:$AH$125,MATCH($AC89,$AC$84:$AC$102,0),IF('General Information'!$I$29="Zone 1",1,IF('General Information'!$I$29="Zone 2",2,IF('General Information'!$I$29="Zone 3",3,IF('General Information'!$I$29="Zone 4",4,0)))))</f>
        <v>#VALUE!</v>
      </c>
      <c r="BB89" s="692" t="e">
        <f>INDEX($AE$107:$AH$125,MATCH($AC89,$AC$84:$AC$102,0),IF('General Information'!$I$29="Zone 1",1,IF('General Information'!$I$29="Zone 2",2,IF('General Information'!$I$29="Zone 3",3,IF('General Information'!$I$29="Zone 4",4,0)))))</f>
        <v>#VALUE!</v>
      </c>
      <c r="BC89" s="692" t="e">
        <f>INDEX($AE$107:$AH$125,MATCH($AC89,$AC$84:$AC$102,0),IF('General Information'!$I$29="Zone 1",1,IF('General Information'!$I$29="Zone 2",2,IF('General Information'!$I$29="Zone 3",3,IF('General Information'!$I$29="Zone 4",4,0)))))</f>
        <v>#VALUE!</v>
      </c>
      <c r="BD89" s="693" t="s">
        <v>762</v>
      </c>
      <c r="BF89" s="298">
        <v>86</v>
      </c>
      <c r="BG89" s="32" t="s">
        <v>906</v>
      </c>
    </row>
    <row r="90" spans="1:59">
      <c r="A90" s="301">
        <f t="shared" ca="1" si="2"/>
        <v>101</v>
      </c>
      <c r="B90" s="590" t="str">
        <f t="shared" ca="1" si="3"/>
        <v>Drive-Up Windows &amp; Doors</v>
      </c>
      <c r="C90" s="657" t="str">
        <f ca="1">IFERROR(INDEX($AE$10:$BC$105,MATCH(B95,Lookups!$AC$10:$AC$106,0),IF('General Information'!$I$28="Yes",1,IF(INDEX($AE$10:$BC$105,MATCH(B95,Lookups!$AC$10:$AC$106,0),MATCH('General Information'!$D$23,Lookups!$AE$7:$BC$7,0))&lt;&gt;0,MATCH('General Information'!$D$23,Lookups!$AE$7:$BC$7,0),25))),"")</f>
        <v/>
      </c>
      <c r="D90" s="652" t="str">
        <f t="shared" ca="1" si="4"/>
        <v>Drive Through</v>
      </c>
      <c r="G90" s="84"/>
      <c r="H90" s="84"/>
      <c r="I90" s="84"/>
      <c r="J90" s="84"/>
      <c r="K90" s="84"/>
      <c r="M90" s="84"/>
      <c r="N90" s="84"/>
      <c r="O90" s="85"/>
      <c r="P90" s="85"/>
      <c r="Q90" s="84"/>
      <c r="R90" s="85"/>
      <c r="S90" s="84"/>
      <c r="T90" s="84"/>
      <c r="U90" s="84"/>
      <c r="V90" s="84"/>
      <c r="W90" s="84"/>
      <c r="X90" s="84"/>
      <c r="Y90" s="84"/>
      <c r="Z90" s="84"/>
      <c r="AA90" s="84"/>
      <c r="AC90" s="690" t="s">
        <v>907</v>
      </c>
      <c r="AD90" s="691" t="s">
        <v>908</v>
      </c>
      <c r="AE90" s="692">
        <f>INDEX($AE$107:$AH$125,MATCH($AC90,$AC$84:$AC$102,0),IF('General Information'!$I$29="Zone 1",1,IF('General Information'!$I$29="Zone 2",2,IF('General Information'!$I$29="Zone 3",3,IF('General Information'!$I$29="Zone 4",4,0)))))</f>
        <v>20</v>
      </c>
      <c r="AF90" s="692">
        <f>INDEX($AE$107:$AH$125,MATCH($AC90,$AC$84:$AC$102,0),IF('General Information'!$I$29="Zone 1",1,IF('General Information'!$I$29="Zone 2",2,IF('General Information'!$I$29="Zone 3",3,IF('General Information'!$I$29="Zone 4",4,0)))))</f>
        <v>20</v>
      </c>
      <c r="AG90" s="692">
        <f>INDEX($AE$107:$AH$125,MATCH($AC90,$AC$84:$AC$102,0),IF('General Information'!$I$29="Zone 1",1,IF('General Information'!$I$29="Zone 2",2,IF('General Information'!$I$29="Zone 3",3,IF('General Information'!$I$29="Zone 4",4,0)))))</f>
        <v>30</v>
      </c>
      <c r="AH90" s="692">
        <f>INDEX($AE$107:$AH$125,MATCH($AC90,$AC$84:$AC$102,0),IF('General Information'!$I$29="Zone 1",1,IF('General Information'!$I$29="Zone 2",2,IF('General Information'!$I$29="Zone 3",3,IF('General Information'!$I$29="Zone 4",4,0)))))</f>
        <v>30</v>
      </c>
      <c r="AI90" s="692" t="e">
        <f>INDEX($AE$107:$AH$125,MATCH($AC90,$AC$84:$AC$102,0),IF('General Information'!$I$29="Zone 1",1,IF('General Information'!$I$29="Zone 2",2,IF('General Information'!$I$29="Zone 3",3,IF('General Information'!$I$29="Zone 4",4,0)))))</f>
        <v>#VALUE!</v>
      </c>
      <c r="AJ90" s="692" t="e">
        <f>INDEX($AE$107:$AH$125,MATCH($AC90,$AC$84:$AC$102,0),IF('General Information'!$I$29="Zone 1",1,IF('General Information'!$I$29="Zone 2",2,IF('General Information'!$I$29="Zone 3",3,IF('General Information'!$I$29="Zone 4",4,0)))))</f>
        <v>#VALUE!</v>
      </c>
      <c r="AK90" s="692" t="e">
        <f>INDEX($AE$107:$AH$125,MATCH($AC90,$AC$84:$AC$102,0),IF('General Information'!$I$29="Zone 1",1,IF('General Information'!$I$29="Zone 2",2,IF('General Information'!$I$29="Zone 3",3,IF('General Information'!$I$29="Zone 4",4,0)))))</f>
        <v>#VALUE!</v>
      </c>
      <c r="AL90" s="692" t="e">
        <f>INDEX($AE$107:$AH$125,MATCH($AC90,$AC$84:$AC$102,0),IF('General Information'!$I$29="Zone 1",1,IF('General Information'!$I$29="Zone 2",2,IF('General Information'!$I$29="Zone 3",3,IF('General Information'!$I$29="Zone 4",4,0)))))</f>
        <v>#VALUE!</v>
      </c>
      <c r="AM90" s="692" t="e">
        <f>INDEX($AE$107:$AH$125,MATCH($AC90,$AC$84:$AC$102,0),IF('General Information'!$I$29="Zone 1",1,IF('General Information'!$I$29="Zone 2",2,IF('General Information'!$I$29="Zone 3",3,IF('General Information'!$I$29="Zone 4",4,0)))))</f>
        <v>#VALUE!</v>
      </c>
      <c r="AN90" s="692" t="e">
        <f>INDEX($AE$107:$AH$125,MATCH($AC90,$AC$84:$AC$102,0),IF('General Information'!$I$29="Zone 1",1,IF('General Information'!$I$29="Zone 2",2,IF('General Information'!$I$29="Zone 3",3,IF('General Information'!$I$29="Zone 4",4,0)))))</f>
        <v>#VALUE!</v>
      </c>
      <c r="AO90" s="692" t="e">
        <f>INDEX($AE$107:$AH$125,MATCH($AC90,$AC$84:$AC$102,0),IF('General Information'!$I$29="Zone 1",1,IF('General Information'!$I$29="Zone 2",2,IF('General Information'!$I$29="Zone 3",3,IF('General Information'!$I$29="Zone 4",4,0)))))</f>
        <v>#VALUE!</v>
      </c>
      <c r="AP90" s="692" t="e">
        <f>INDEX($AE$107:$AH$125,MATCH($AC90,$AC$84:$AC$102,0),IF('General Information'!$I$29="Zone 1",1,IF('General Information'!$I$29="Zone 2",2,IF('General Information'!$I$29="Zone 3",3,IF('General Information'!$I$29="Zone 4",4,0)))))</f>
        <v>#VALUE!</v>
      </c>
      <c r="AQ90" s="692" t="e">
        <f>INDEX($AE$107:$AH$125,MATCH($AC90,$AC$84:$AC$102,0),IF('General Information'!$I$29="Zone 1",1,IF('General Information'!$I$29="Zone 2",2,IF('General Information'!$I$29="Zone 3",3,IF('General Information'!$I$29="Zone 4",4,0)))))</f>
        <v>#VALUE!</v>
      </c>
      <c r="AR90" s="692" t="e">
        <f>INDEX($AE$107:$AH$125,MATCH($AC90,$AC$84:$AC$102,0),IF('General Information'!$I$29="Zone 1",1,IF('General Information'!$I$29="Zone 2",2,IF('General Information'!$I$29="Zone 3",3,IF('General Information'!$I$29="Zone 4",4,0)))))</f>
        <v>#VALUE!</v>
      </c>
      <c r="AS90" s="692" t="e">
        <f>INDEX($AE$107:$AH$125,MATCH($AC90,$AC$84:$AC$102,0),IF('General Information'!$I$29="Zone 1",1,IF('General Information'!$I$29="Zone 2",2,IF('General Information'!$I$29="Zone 3",3,IF('General Information'!$I$29="Zone 4",4,0)))))</f>
        <v>#VALUE!</v>
      </c>
      <c r="AT90" s="692" t="e">
        <f>INDEX($AE$107:$AH$125,MATCH($AC90,$AC$84:$AC$102,0),IF('General Information'!$I$29="Zone 1",1,IF('General Information'!$I$29="Zone 2",2,IF('General Information'!$I$29="Zone 3",3,IF('General Information'!$I$29="Zone 4",4,0)))))</f>
        <v>#VALUE!</v>
      </c>
      <c r="AU90" s="692" t="e">
        <f>INDEX($AE$107:$AH$125,MATCH($AC90,$AC$84:$AC$102,0),IF('General Information'!$I$29="Zone 1",1,IF('General Information'!$I$29="Zone 2",2,IF('General Information'!$I$29="Zone 3",3,IF('General Information'!$I$29="Zone 4",4,0)))))</f>
        <v>#VALUE!</v>
      </c>
      <c r="AV90" s="692" t="e">
        <f>INDEX($AE$107:$AH$125,MATCH($AC90,$AC$84:$AC$102,0),IF('General Information'!$I$29="Zone 1",1,IF('General Information'!$I$29="Zone 2",2,IF('General Information'!$I$29="Zone 3",3,IF('General Information'!$I$29="Zone 4",4,0)))))</f>
        <v>#VALUE!</v>
      </c>
      <c r="AW90" s="692" t="e">
        <f>INDEX($AE$107:$AH$125,MATCH($AC90,$AC$84:$AC$102,0),IF('General Information'!$I$29="Zone 1",1,IF('General Information'!$I$29="Zone 2",2,IF('General Information'!$I$29="Zone 3",3,IF('General Information'!$I$29="Zone 4",4,0)))))</f>
        <v>#VALUE!</v>
      </c>
      <c r="AX90" s="692" t="e">
        <f>INDEX($AE$107:$AH$125,MATCH($AC90,$AC$84:$AC$102,0),IF('General Information'!$I$29="Zone 1",1,IF('General Information'!$I$29="Zone 2",2,IF('General Information'!$I$29="Zone 3",3,IF('General Information'!$I$29="Zone 4",4,0)))))</f>
        <v>#VALUE!</v>
      </c>
      <c r="AY90" s="692" t="e">
        <f>INDEX($AE$107:$AH$125,MATCH($AC90,$AC$84:$AC$102,0),IF('General Information'!$I$29="Zone 1",1,IF('General Information'!$I$29="Zone 2",2,IF('General Information'!$I$29="Zone 3",3,IF('General Information'!$I$29="Zone 4",4,0)))))</f>
        <v>#VALUE!</v>
      </c>
      <c r="AZ90" s="692" t="e">
        <f>INDEX($AE$107:$AH$125,MATCH($AC90,$AC$84:$AC$102,0),IF('General Information'!$I$29="Zone 1",1,IF('General Information'!$I$29="Zone 2",2,IF('General Information'!$I$29="Zone 3",3,IF('General Information'!$I$29="Zone 4",4,0)))))</f>
        <v>#VALUE!</v>
      </c>
      <c r="BA90" s="692" t="e">
        <f>INDEX($AE$107:$AH$125,MATCH($AC90,$AC$84:$AC$102,0),IF('General Information'!$I$29="Zone 1",1,IF('General Information'!$I$29="Zone 2",2,IF('General Information'!$I$29="Zone 3",3,IF('General Information'!$I$29="Zone 4",4,0)))))</f>
        <v>#VALUE!</v>
      </c>
      <c r="BB90" s="692" t="e">
        <f>INDEX($AE$107:$AH$125,MATCH($AC90,$AC$84:$AC$102,0),IF('General Information'!$I$29="Zone 1",1,IF('General Information'!$I$29="Zone 2",2,IF('General Information'!$I$29="Zone 3",3,IF('General Information'!$I$29="Zone 4",4,0)))))</f>
        <v>#VALUE!</v>
      </c>
      <c r="BC90" s="692" t="e">
        <f>INDEX($AE$107:$AH$125,MATCH($AC90,$AC$84:$AC$102,0),IF('General Information'!$I$29="Zone 1",1,IF('General Information'!$I$29="Zone 2",2,IF('General Information'!$I$29="Zone 3",3,IF('General Information'!$I$29="Zone 4",4,0)))))</f>
        <v>#VALUE!</v>
      </c>
      <c r="BD90" s="693" t="s">
        <v>762</v>
      </c>
      <c r="BF90" s="298">
        <v>87</v>
      </c>
      <c r="BG90" s="32" t="s">
        <v>909</v>
      </c>
    </row>
    <row r="91" spans="1:59">
      <c r="A91" s="301">
        <f t="shared" ca="1" si="2"/>
        <v>102</v>
      </c>
      <c r="B91" s="590" t="str">
        <f t="shared" ca="1" si="3"/>
        <v>Parking Near 24-Hour Retail Entrances</v>
      </c>
      <c r="C91" s="657" t="str">
        <f ca="1">IFERROR(INDEX($AE$10:$BC$105,MATCH(B96,Lookups!$AC$10:$AC$106,0),IF('General Information'!$I$28="Yes",1,IF(INDEX($AE$10:$BC$105,MATCH(B96,Lookups!$AC$10:$AC$106,0),MATCH('General Information'!$D$23,Lookups!$AE$7:$BC$7,0))&lt;&gt;0,MATCH('General Information'!$D$23,Lookups!$AE$7:$BC$7,0),25))),"")</f>
        <v/>
      </c>
      <c r="D91" s="652" t="str">
        <f t="shared" ca="1" si="4"/>
        <v>Main Entry</v>
      </c>
      <c r="G91" s="84"/>
      <c r="H91" s="84"/>
      <c r="I91" s="84"/>
      <c r="J91" s="84"/>
      <c r="K91" s="84"/>
      <c r="M91" s="84"/>
      <c r="N91" s="84"/>
      <c r="O91" s="85"/>
      <c r="P91" s="85"/>
      <c r="Q91" s="84"/>
      <c r="R91" s="85"/>
      <c r="S91" s="84"/>
      <c r="T91" s="84"/>
      <c r="U91" s="84"/>
      <c r="V91" s="84"/>
      <c r="W91" s="84"/>
      <c r="X91" s="84"/>
      <c r="Y91" s="84"/>
      <c r="Z91" s="84"/>
      <c r="AA91" s="84"/>
      <c r="AC91" s="690" t="s">
        <v>910</v>
      </c>
      <c r="AD91" s="691" t="s">
        <v>908</v>
      </c>
      <c r="AE91" s="692">
        <f>INDEX($AE$107:$AH$125,MATCH($AC91,$AC$84:$AC$102,0),IF('General Information'!$I$29="Zone 1",1,IF('General Information'!$I$29="Zone 2",2,IF('General Information'!$I$29="Zone 3",3,IF('General Information'!$I$29="Zone 4",4,0)))))</f>
        <v>20</v>
      </c>
      <c r="AF91" s="692">
        <f>INDEX($AE$107:$AH$125,MATCH($AC91,$AC$84:$AC$102,0),IF('General Information'!$I$29="Zone 1",1,IF('General Information'!$I$29="Zone 2",2,IF('General Information'!$I$29="Zone 3",3,IF('General Information'!$I$29="Zone 4",4,0)))))</f>
        <v>20</v>
      </c>
      <c r="AG91" s="692">
        <f>INDEX($AE$107:$AH$125,MATCH($AC91,$AC$84:$AC$102,0),IF('General Information'!$I$29="Zone 1",1,IF('General Information'!$I$29="Zone 2",2,IF('General Information'!$I$29="Zone 3",3,IF('General Information'!$I$29="Zone 4",4,0)))))</f>
        <v>20</v>
      </c>
      <c r="AH91" s="692">
        <f>INDEX($AE$107:$AH$125,MATCH($AC91,$AC$84:$AC$102,0),IF('General Information'!$I$29="Zone 1",1,IF('General Information'!$I$29="Zone 2",2,IF('General Information'!$I$29="Zone 3",3,IF('General Information'!$I$29="Zone 4",4,0)))))</f>
        <v>20</v>
      </c>
      <c r="AI91" s="692" t="e">
        <f>INDEX($AE$107:$AH$125,MATCH($AC91,$AC$84:$AC$102,0),IF('General Information'!$I$29="Zone 1",1,IF('General Information'!$I$29="Zone 2",2,IF('General Information'!$I$29="Zone 3",3,IF('General Information'!$I$29="Zone 4",4,0)))))</f>
        <v>#VALUE!</v>
      </c>
      <c r="AJ91" s="692" t="e">
        <f>INDEX($AE$107:$AH$125,MATCH($AC91,$AC$84:$AC$102,0),IF('General Information'!$I$29="Zone 1",1,IF('General Information'!$I$29="Zone 2",2,IF('General Information'!$I$29="Zone 3",3,IF('General Information'!$I$29="Zone 4",4,0)))))</f>
        <v>#VALUE!</v>
      </c>
      <c r="AK91" s="692" t="e">
        <f>INDEX($AE$107:$AH$125,MATCH($AC91,$AC$84:$AC$102,0),IF('General Information'!$I$29="Zone 1",1,IF('General Information'!$I$29="Zone 2",2,IF('General Information'!$I$29="Zone 3",3,IF('General Information'!$I$29="Zone 4",4,0)))))</f>
        <v>#VALUE!</v>
      </c>
      <c r="AL91" s="692" t="e">
        <f>INDEX($AE$107:$AH$125,MATCH($AC91,$AC$84:$AC$102,0),IF('General Information'!$I$29="Zone 1",1,IF('General Information'!$I$29="Zone 2",2,IF('General Information'!$I$29="Zone 3",3,IF('General Information'!$I$29="Zone 4",4,0)))))</f>
        <v>#VALUE!</v>
      </c>
      <c r="AM91" s="692" t="e">
        <f>INDEX($AE$107:$AH$125,MATCH($AC91,$AC$84:$AC$102,0),IF('General Information'!$I$29="Zone 1",1,IF('General Information'!$I$29="Zone 2",2,IF('General Information'!$I$29="Zone 3",3,IF('General Information'!$I$29="Zone 4",4,0)))))</f>
        <v>#VALUE!</v>
      </c>
      <c r="AN91" s="692" t="e">
        <f>INDEX($AE$107:$AH$125,MATCH($AC91,$AC$84:$AC$102,0),IF('General Information'!$I$29="Zone 1",1,IF('General Information'!$I$29="Zone 2",2,IF('General Information'!$I$29="Zone 3",3,IF('General Information'!$I$29="Zone 4",4,0)))))</f>
        <v>#VALUE!</v>
      </c>
      <c r="AO91" s="692" t="e">
        <f>INDEX($AE$107:$AH$125,MATCH($AC91,$AC$84:$AC$102,0),IF('General Information'!$I$29="Zone 1",1,IF('General Information'!$I$29="Zone 2",2,IF('General Information'!$I$29="Zone 3",3,IF('General Information'!$I$29="Zone 4",4,0)))))</f>
        <v>#VALUE!</v>
      </c>
      <c r="AP91" s="692" t="e">
        <f>INDEX($AE$107:$AH$125,MATCH($AC91,$AC$84:$AC$102,0),IF('General Information'!$I$29="Zone 1",1,IF('General Information'!$I$29="Zone 2",2,IF('General Information'!$I$29="Zone 3",3,IF('General Information'!$I$29="Zone 4",4,0)))))</f>
        <v>#VALUE!</v>
      </c>
      <c r="AQ91" s="692" t="e">
        <f>INDEX($AE$107:$AH$125,MATCH($AC91,$AC$84:$AC$102,0),IF('General Information'!$I$29="Zone 1",1,IF('General Information'!$I$29="Zone 2",2,IF('General Information'!$I$29="Zone 3",3,IF('General Information'!$I$29="Zone 4",4,0)))))</f>
        <v>#VALUE!</v>
      </c>
      <c r="AR91" s="692" t="e">
        <f>INDEX($AE$107:$AH$125,MATCH($AC91,$AC$84:$AC$102,0),IF('General Information'!$I$29="Zone 1",1,IF('General Information'!$I$29="Zone 2",2,IF('General Information'!$I$29="Zone 3",3,IF('General Information'!$I$29="Zone 4",4,0)))))</f>
        <v>#VALUE!</v>
      </c>
      <c r="AS91" s="692" t="e">
        <f>INDEX($AE$107:$AH$125,MATCH($AC91,$AC$84:$AC$102,0),IF('General Information'!$I$29="Zone 1",1,IF('General Information'!$I$29="Zone 2",2,IF('General Information'!$I$29="Zone 3",3,IF('General Information'!$I$29="Zone 4",4,0)))))</f>
        <v>#VALUE!</v>
      </c>
      <c r="AT91" s="692" t="e">
        <f>INDEX($AE$107:$AH$125,MATCH($AC91,$AC$84:$AC$102,0),IF('General Information'!$I$29="Zone 1",1,IF('General Information'!$I$29="Zone 2",2,IF('General Information'!$I$29="Zone 3",3,IF('General Information'!$I$29="Zone 4",4,0)))))</f>
        <v>#VALUE!</v>
      </c>
      <c r="AU91" s="692" t="e">
        <f>INDEX($AE$107:$AH$125,MATCH($AC91,$AC$84:$AC$102,0),IF('General Information'!$I$29="Zone 1",1,IF('General Information'!$I$29="Zone 2",2,IF('General Information'!$I$29="Zone 3",3,IF('General Information'!$I$29="Zone 4",4,0)))))</f>
        <v>#VALUE!</v>
      </c>
      <c r="AV91" s="692" t="e">
        <f>INDEX($AE$107:$AH$125,MATCH($AC91,$AC$84:$AC$102,0),IF('General Information'!$I$29="Zone 1",1,IF('General Information'!$I$29="Zone 2",2,IF('General Information'!$I$29="Zone 3",3,IF('General Information'!$I$29="Zone 4",4,0)))))</f>
        <v>#VALUE!</v>
      </c>
      <c r="AW91" s="692" t="e">
        <f>INDEX($AE$107:$AH$125,MATCH($AC91,$AC$84:$AC$102,0),IF('General Information'!$I$29="Zone 1",1,IF('General Information'!$I$29="Zone 2",2,IF('General Information'!$I$29="Zone 3",3,IF('General Information'!$I$29="Zone 4",4,0)))))</f>
        <v>#VALUE!</v>
      </c>
      <c r="AX91" s="692" t="e">
        <f>INDEX($AE$107:$AH$125,MATCH($AC91,$AC$84:$AC$102,0),IF('General Information'!$I$29="Zone 1",1,IF('General Information'!$I$29="Zone 2",2,IF('General Information'!$I$29="Zone 3",3,IF('General Information'!$I$29="Zone 4",4,0)))))</f>
        <v>#VALUE!</v>
      </c>
      <c r="AY91" s="692" t="e">
        <f>INDEX($AE$107:$AH$125,MATCH($AC91,$AC$84:$AC$102,0),IF('General Information'!$I$29="Zone 1",1,IF('General Information'!$I$29="Zone 2",2,IF('General Information'!$I$29="Zone 3",3,IF('General Information'!$I$29="Zone 4",4,0)))))</f>
        <v>#VALUE!</v>
      </c>
      <c r="AZ91" s="692" t="e">
        <f>INDEX($AE$107:$AH$125,MATCH($AC91,$AC$84:$AC$102,0),IF('General Information'!$I$29="Zone 1",1,IF('General Information'!$I$29="Zone 2",2,IF('General Information'!$I$29="Zone 3",3,IF('General Information'!$I$29="Zone 4",4,0)))))</f>
        <v>#VALUE!</v>
      </c>
      <c r="BA91" s="692" t="e">
        <f>INDEX($AE$107:$AH$125,MATCH($AC91,$AC$84:$AC$102,0),IF('General Information'!$I$29="Zone 1",1,IF('General Information'!$I$29="Zone 2",2,IF('General Information'!$I$29="Zone 3",3,IF('General Information'!$I$29="Zone 4",4,0)))))</f>
        <v>#VALUE!</v>
      </c>
      <c r="BB91" s="692" t="e">
        <f>INDEX($AE$107:$AH$125,MATCH($AC91,$AC$84:$AC$102,0),IF('General Information'!$I$29="Zone 1",1,IF('General Information'!$I$29="Zone 2",2,IF('General Information'!$I$29="Zone 3",3,IF('General Information'!$I$29="Zone 4",4,0)))))</f>
        <v>#VALUE!</v>
      </c>
      <c r="BC91" s="692" t="e">
        <f>INDEX($AE$107:$AH$125,MATCH($AC91,$AC$84:$AC$102,0),IF('General Information'!$I$29="Zone 1",1,IF('General Information'!$I$29="Zone 2",2,IF('General Information'!$I$29="Zone 3",3,IF('General Information'!$I$29="Zone 4",4,0)))))</f>
        <v>#VALUE!</v>
      </c>
      <c r="BD91" s="693" t="s">
        <v>762</v>
      </c>
      <c r="BF91" s="298">
        <v>88</v>
      </c>
      <c r="BG91" s="32" t="s">
        <v>911</v>
      </c>
    </row>
    <row r="92" spans="1:59">
      <c r="A92" s="301" t="str">
        <f t="shared" ca="1" si="2"/>
        <v/>
      </c>
      <c r="B92" s="590" t="str">
        <f t="shared" ca="1" si="3"/>
        <v/>
      </c>
      <c r="C92" s="657" t="str">
        <f ca="1">IFERROR(INDEX($AE$10:$BC$105,MATCH(B97,Lookups!$AC$10:$AC$106,0),IF('General Information'!$I$28="Yes",1,IF(INDEX($AE$10:$BC$105,MATCH(B97,Lookups!$AC$10:$AC$106,0),MATCH('General Information'!$D$23,Lookups!$AE$7:$BC$7,0))&lt;&gt;0,MATCH('General Information'!$D$23,Lookups!$AE$7:$BC$7,0),25))),"")</f>
        <v/>
      </c>
      <c r="D92" s="652" t="str">
        <f t="shared" ca="1" si="4"/>
        <v/>
      </c>
      <c r="G92" s="84"/>
      <c r="H92" s="84"/>
      <c r="I92" s="84"/>
      <c r="J92" s="84"/>
      <c r="K92" s="84"/>
      <c r="M92" s="84"/>
      <c r="N92" s="84"/>
      <c r="O92" s="85"/>
      <c r="P92" s="85"/>
      <c r="Q92" s="84"/>
      <c r="R92" s="85"/>
      <c r="S92" s="84"/>
      <c r="T92" s="84"/>
      <c r="U92" s="84"/>
      <c r="V92" s="84"/>
      <c r="W92" s="84"/>
      <c r="X92" s="84"/>
      <c r="Y92" s="84"/>
      <c r="Z92" s="84"/>
      <c r="AA92" s="84"/>
      <c r="AC92" s="690" t="s">
        <v>912</v>
      </c>
      <c r="AD92" s="691"/>
      <c r="AE92" s="692">
        <f>INDEX($AE$107:$AH$125,MATCH($AC92,$AC$84:$AC$102,0),IF('General Information'!$I$29="Zone 1",1,IF('General Information'!$I$29="Zone 2",2,IF('General Information'!$I$29="Zone 3",3,IF('General Information'!$I$29="Zone 4",4,0)))))</f>
        <v>0.25</v>
      </c>
      <c r="AF92" s="692">
        <f>INDEX($AE$107:$AH$125,MATCH($AC92,$AC$84:$AC$102,0),IF('General Information'!$I$29="Zone 1",1,IF('General Information'!$I$29="Zone 2",2,IF('General Information'!$I$29="Zone 3",3,IF('General Information'!$I$29="Zone 4",4,0)))))</f>
        <v>0.25</v>
      </c>
      <c r="AG92" s="692">
        <f>INDEX($AE$107:$AH$125,MATCH($AC92,$AC$84:$AC$102,0),IF('General Information'!$I$29="Zone 1",1,IF('General Information'!$I$29="Zone 2",2,IF('General Information'!$I$29="Zone 3",3,IF('General Information'!$I$29="Zone 4",4,0)))))</f>
        <v>0.4</v>
      </c>
      <c r="AH92" s="692">
        <f>INDEX($AE$107:$AH$125,MATCH($AC92,$AC$84:$AC$102,0),IF('General Information'!$I$29="Zone 1",1,IF('General Information'!$I$29="Zone 2",2,IF('General Information'!$I$29="Zone 3",3,IF('General Information'!$I$29="Zone 4",4,0)))))</f>
        <v>0.4</v>
      </c>
      <c r="AI92" s="692" t="e">
        <f>INDEX($AE$107:$AH$125,MATCH($AC92,$AC$84:$AC$102,0),IF('General Information'!$I$29="Zone 1",1,IF('General Information'!$I$29="Zone 2",2,IF('General Information'!$I$29="Zone 3",3,IF('General Information'!$I$29="Zone 4",4,0)))))</f>
        <v>#VALUE!</v>
      </c>
      <c r="AJ92" s="692" t="e">
        <f>INDEX($AE$107:$AH$125,MATCH($AC92,$AC$84:$AC$102,0),IF('General Information'!$I$29="Zone 1",1,IF('General Information'!$I$29="Zone 2",2,IF('General Information'!$I$29="Zone 3",3,IF('General Information'!$I$29="Zone 4",4,0)))))</f>
        <v>#VALUE!</v>
      </c>
      <c r="AK92" s="692" t="e">
        <f>INDEX($AE$107:$AH$125,MATCH($AC92,$AC$84:$AC$102,0),IF('General Information'!$I$29="Zone 1",1,IF('General Information'!$I$29="Zone 2",2,IF('General Information'!$I$29="Zone 3",3,IF('General Information'!$I$29="Zone 4",4,0)))))</f>
        <v>#VALUE!</v>
      </c>
      <c r="AL92" s="692" t="e">
        <f>INDEX($AE$107:$AH$125,MATCH($AC92,$AC$84:$AC$102,0),IF('General Information'!$I$29="Zone 1",1,IF('General Information'!$I$29="Zone 2",2,IF('General Information'!$I$29="Zone 3",3,IF('General Information'!$I$29="Zone 4",4,0)))))</f>
        <v>#VALUE!</v>
      </c>
      <c r="AM92" s="692" t="e">
        <f>INDEX($AE$107:$AH$125,MATCH($AC92,$AC$84:$AC$102,0),IF('General Information'!$I$29="Zone 1",1,IF('General Information'!$I$29="Zone 2",2,IF('General Information'!$I$29="Zone 3",3,IF('General Information'!$I$29="Zone 4",4,0)))))</f>
        <v>#VALUE!</v>
      </c>
      <c r="AN92" s="692" t="e">
        <f>INDEX($AE$107:$AH$125,MATCH($AC92,$AC$84:$AC$102,0),IF('General Information'!$I$29="Zone 1",1,IF('General Information'!$I$29="Zone 2",2,IF('General Information'!$I$29="Zone 3",3,IF('General Information'!$I$29="Zone 4",4,0)))))</f>
        <v>#VALUE!</v>
      </c>
      <c r="AO92" s="692" t="e">
        <f>INDEX($AE$107:$AH$125,MATCH($AC92,$AC$84:$AC$102,0),IF('General Information'!$I$29="Zone 1",1,IF('General Information'!$I$29="Zone 2",2,IF('General Information'!$I$29="Zone 3",3,IF('General Information'!$I$29="Zone 4",4,0)))))</f>
        <v>#VALUE!</v>
      </c>
      <c r="AP92" s="692" t="e">
        <f>INDEX($AE$107:$AH$125,MATCH($AC92,$AC$84:$AC$102,0),IF('General Information'!$I$29="Zone 1",1,IF('General Information'!$I$29="Zone 2",2,IF('General Information'!$I$29="Zone 3",3,IF('General Information'!$I$29="Zone 4",4,0)))))</f>
        <v>#VALUE!</v>
      </c>
      <c r="AQ92" s="692" t="e">
        <f>INDEX($AE$107:$AH$125,MATCH($AC92,$AC$84:$AC$102,0),IF('General Information'!$I$29="Zone 1",1,IF('General Information'!$I$29="Zone 2",2,IF('General Information'!$I$29="Zone 3",3,IF('General Information'!$I$29="Zone 4",4,0)))))</f>
        <v>#VALUE!</v>
      </c>
      <c r="AR92" s="692" t="e">
        <f>INDEX($AE$107:$AH$125,MATCH($AC92,$AC$84:$AC$102,0),IF('General Information'!$I$29="Zone 1",1,IF('General Information'!$I$29="Zone 2",2,IF('General Information'!$I$29="Zone 3",3,IF('General Information'!$I$29="Zone 4",4,0)))))</f>
        <v>#VALUE!</v>
      </c>
      <c r="AS92" s="692" t="e">
        <f>INDEX($AE$107:$AH$125,MATCH($AC92,$AC$84:$AC$102,0),IF('General Information'!$I$29="Zone 1",1,IF('General Information'!$I$29="Zone 2",2,IF('General Information'!$I$29="Zone 3",3,IF('General Information'!$I$29="Zone 4",4,0)))))</f>
        <v>#VALUE!</v>
      </c>
      <c r="AT92" s="692" t="e">
        <f>INDEX($AE$107:$AH$125,MATCH($AC92,$AC$84:$AC$102,0),IF('General Information'!$I$29="Zone 1",1,IF('General Information'!$I$29="Zone 2",2,IF('General Information'!$I$29="Zone 3",3,IF('General Information'!$I$29="Zone 4",4,0)))))</f>
        <v>#VALUE!</v>
      </c>
      <c r="AU92" s="692" t="e">
        <f>INDEX($AE$107:$AH$125,MATCH($AC92,$AC$84:$AC$102,0),IF('General Information'!$I$29="Zone 1",1,IF('General Information'!$I$29="Zone 2",2,IF('General Information'!$I$29="Zone 3",3,IF('General Information'!$I$29="Zone 4",4,0)))))</f>
        <v>#VALUE!</v>
      </c>
      <c r="AV92" s="692" t="e">
        <f>INDEX($AE$107:$AH$125,MATCH($AC92,$AC$84:$AC$102,0),IF('General Information'!$I$29="Zone 1",1,IF('General Information'!$I$29="Zone 2",2,IF('General Information'!$I$29="Zone 3",3,IF('General Information'!$I$29="Zone 4",4,0)))))</f>
        <v>#VALUE!</v>
      </c>
      <c r="AW92" s="692" t="e">
        <f>INDEX($AE$107:$AH$125,MATCH($AC92,$AC$84:$AC$102,0),IF('General Information'!$I$29="Zone 1",1,IF('General Information'!$I$29="Zone 2",2,IF('General Information'!$I$29="Zone 3",3,IF('General Information'!$I$29="Zone 4",4,0)))))</f>
        <v>#VALUE!</v>
      </c>
      <c r="AX92" s="692" t="e">
        <f>INDEX($AE$107:$AH$125,MATCH($AC92,$AC$84:$AC$102,0),IF('General Information'!$I$29="Zone 1",1,IF('General Information'!$I$29="Zone 2",2,IF('General Information'!$I$29="Zone 3",3,IF('General Information'!$I$29="Zone 4",4,0)))))</f>
        <v>#VALUE!</v>
      </c>
      <c r="AY92" s="692" t="e">
        <f>INDEX($AE$107:$AH$125,MATCH($AC92,$AC$84:$AC$102,0),IF('General Information'!$I$29="Zone 1",1,IF('General Information'!$I$29="Zone 2",2,IF('General Information'!$I$29="Zone 3",3,IF('General Information'!$I$29="Zone 4",4,0)))))</f>
        <v>#VALUE!</v>
      </c>
      <c r="AZ92" s="692" t="e">
        <f>INDEX($AE$107:$AH$125,MATCH($AC92,$AC$84:$AC$102,0),IF('General Information'!$I$29="Zone 1",1,IF('General Information'!$I$29="Zone 2",2,IF('General Information'!$I$29="Zone 3",3,IF('General Information'!$I$29="Zone 4",4,0)))))</f>
        <v>#VALUE!</v>
      </c>
      <c r="BA92" s="692" t="e">
        <f>INDEX($AE$107:$AH$125,MATCH($AC92,$AC$84:$AC$102,0),IF('General Information'!$I$29="Zone 1",1,IF('General Information'!$I$29="Zone 2",2,IF('General Information'!$I$29="Zone 3",3,IF('General Information'!$I$29="Zone 4",4,0)))))</f>
        <v>#VALUE!</v>
      </c>
      <c r="BB92" s="692" t="e">
        <f>INDEX($AE$107:$AH$125,MATCH($AC92,$AC$84:$AC$102,0),IF('General Information'!$I$29="Zone 1",1,IF('General Information'!$I$29="Zone 2",2,IF('General Information'!$I$29="Zone 3",3,IF('General Information'!$I$29="Zone 4",4,0)))))</f>
        <v>#VALUE!</v>
      </c>
      <c r="BC92" s="692" t="e">
        <f>INDEX($AE$107:$AH$125,MATCH($AC92,$AC$84:$AC$102,0),IF('General Information'!$I$29="Zone 1",1,IF('General Information'!$I$29="Zone 2",2,IF('General Information'!$I$29="Zone 3",3,IF('General Information'!$I$29="Zone 4",4,0)))))</f>
        <v>#VALUE!</v>
      </c>
      <c r="BD92" s="693" t="s">
        <v>762</v>
      </c>
      <c r="BF92" s="298">
        <v>89</v>
      </c>
      <c r="BG92" s="32" t="s">
        <v>913</v>
      </c>
    </row>
    <row r="93" spans="1:59">
      <c r="A93" s="301" t="str">
        <f t="shared" ca="1" si="2"/>
        <v/>
      </c>
      <c r="B93" s="590" t="str">
        <f t="shared" ca="1" si="3"/>
        <v/>
      </c>
      <c r="C93" s="657" t="str">
        <f ca="1">IFERROR(INDEX($AE$10:$BC$105,MATCH(B98,Lookups!$AC$10:$AC$106,0),IF('General Information'!$I$28="Yes",1,IF(INDEX($AE$10:$BC$105,MATCH(B98,Lookups!$AC$10:$AC$106,0),MATCH('General Information'!$D$23,Lookups!$AE$7:$BC$7,0))&lt;&gt;0,MATCH('General Information'!$D$23,Lookups!$AE$7:$BC$7,0),25))),"")</f>
        <v/>
      </c>
      <c r="D93" s="652" t="str">
        <f t="shared" ca="1" si="4"/>
        <v/>
      </c>
      <c r="G93" s="84"/>
      <c r="H93" s="84"/>
      <c r="I93" s="84"/>
      <c r="J93" s="84"/>
      <c r="K93" s="84"/>
      <c r="M93" s="84"/>
      <c r="N93" s="84"/>
      <c r="O93" s="85"/>
      <c r="P93" s="85"/>
      <c r="Q93" s="84"/>
      <c r="R93" s="85"/>
      <c r="S93" s="84"/>
      <c r="T93" s="84"/>
      <c r="U93" s="84"/>
      <c r="V93" s="84"/>
      <c r="W93" s="84"/>
      <c r="X93" s="84"/>
      <c r="Y93" s="84"/>
      <c r="Z93" s="84"/>
      <c r="AA93" s="84"/>
      <c r="AC93" s="690" t="s">
        <v>914</v>
      </c>
      <c r="AD93" s="691"/>
      <c r="AE93" s="692">
        <f>INDEX($AE$107:$AH$125,MATCH($AC93,$AC$84:$AC$102,0),IF('General Information'!$I$29="Zone 1",1,IF('General Information'!$I$29="Zone 2",2,IF('General Information'!$I$29="Zone 3",3,IF('General Information'!$I$29="Zone 4",4,0)))))</f>
        <v>0.6</v>
      </c>
      <c r="AF93" s="692">
        <f>INDEX($AE$107:$AH$125,MATCH($AC93,$AC$84:$AC$102,0),IF('General Information'!$I$29="Zone 1",1,IF('General Information'!$I$29="Zone 2",2,IF('General Information'!$I$29="Zone 3",3,IF('General Information'!$I$29="Zone 4",4,0)))))</f>
        <v>0.6</v>
      </c>
      <c r="AG93" s="692">
        <f>INDEX($AE$107:$AH$125,MATCH($AC93,$AC$84:$AC$102,0),IF('General Information'!$I$29="Zone 1",1,IF('General Information'!$I$29="Zone 2",2,IF('General Information'!$I$29="Zone 3",3,IF('General Information'!$I$29="Zone 4",4,0)))))</f>
        <v>0.8</v>
      </c>
      <c r="AH93" s="692">
        <f>INDEX($AE$107:$AH$125,MATCH($AC93,$AC$84:$AC$102,0),IF('General Information'!$I$29="Zone 1",1,IF('General Information'!$I$29="Zone 2",2,IF('General Information'!$I$29="Zone 3",3,IF('General Information'!$I$29="Zone 4",4,0)))))</f>
        <v>1</v>
      </c>
      <c r="AI93" s="692" t="e">
        <f>INDEX($AE$107:$AH$125,MATCH($AC93,$AC$84:$AC$102,0),IF('General Information'!$I$29="Zone 1",1,IF('General Information'!$I$29="Zone 2",2,IF('General Information'!$I$29="Zone 3",3,IF('General Information'!$I$29="Zone 4",4,0)))))</f>
        <v>#VALUE!</v>
      </c>
      <c r="AJ93" s="692" t="e">
        <f>INDEX($AE$107:$AH$125,MATCH($AC93,$AC$84:$AC$102,0),IF('General Information'!$I$29="Zone 1",1,IF('General Information'!$I$29="Zone 2",2,IF('General Information'!$I$29="Zone 3",3,IF('General Information'!$I$29="Zone 4",4,0)))))</f>
        <v>#VALUE!</v>
      </c>
      <c r="AK93" s="692" t="e">
        <f>INDEX($AE$107:$AH$125,MATCH($AC93,$AC$84:$AC$102,0),IF('General Information'!$I$29="Zone 1",1,IF('General Information'!$I$29="Zone 2",2,IF('General Information'!$I$29="Zone 3",3,IF('General Information'!$I$29="Zone 4",4,0)))))</f>
        <v>#VALUE!</v>
      </c>
      <c r="AL93" s="692" t="e">
        <f>INDEX($AE$107:$AH$125,MATCH($AC93,$AC$84:$AC$102,0),IF('General Information'!$I$29="Zone 1",1,IF('General Information'!$I$29="Zone 2",2,IF('General Information'!$I$29="Zone 3",3,IF('General Information'!$I$29="Zone 4",4,0)))))</f>
        <v>#VALUE!</v>
      </c>
      <c r="AM93" s="692" t="e">
        <f>INDEX($AE$107:$AH$125,MATCH($AC93,$AC$84:$AC$102,0),IF('General Information'!$I$29="Zone 1",1,IF('General Information'!$I$29="Zone 2",2,IF('General Information'!$I$29="Zone 3",3,IF('General Information'!$I$29="Zone 4",4,0)))))</f>
        <v>#VALUE!</v>
      </c>
      <c r="AN93" s="692" t="e">
        <f>INDEX($AE$107:$AH$125,MATCH($AC93,$AC$84:$AC$102,0),IF('General Information'!$I$29="Zone 1",1,IF('General Information'!$I$29="Zone 2",2,IF('General Information'!$I$29="Zone 3",3,IF('General Information'!$I$29="Zone 4",4,0)))))</f>
        <v>#VALUE!</v>
      </c>
      <c r="AO93" s="692" t="e">
        <f>INDEX($AE$107:$AH$125,MATCH($AC93,$AC$84:$AC$102,0),IF('General Information'!$I$29="Zone 1",1,IF('General Information'!$I$29="Zone 2",2,IF('General Information'!$I$29="Zone 3",3,IF('General Information'!$I$29="Zone 4",4,0)))))</f>
        <v>#VALUE!</v>
      </c>
      <c r="AP93" s="692" t="e">
        <f>INDEX($AE$107:$AH$125,MATCH($AC93,$AC$84:$AC$102,0),IF('General Information'!$I$29="Zone 1",1,IF('General Information'!$I$29="Zone 2",2,IF('General Information'!$I$29="Zone 3",3,IF('General Information'!$I$29="Zone 4",4,0)))))</f>
        <v>#VALUE!</v>
      </c>
      <c r="AQ93" s="692" t="e">
        <f>INDEX($AE$107:$AH$125,MATCH($AC93,$AC$84:$AC$102,0),IF('General Information'!$I$29="Zone 1",1,IF('General Information'!$I$29="Zone 2",2,IF('General Information'!$I$29="Zone 3",3,IF('General Information'!$I$29="Zone 4",4,0)))))</f>
        <v>#VALUE!</v>
      </c>
      <c r="AR93" s="692" t="e">
        <f>INDEX($AE$107:$AH$125,MATCH($AC93,$AC$84:$AC$102,0),IF('General Information'!$I$29="Zone 1",1,IF('General Information'!$I$29="Zone 2",2,IF('General Information'!$I$29="Zone 3",3,IF('General Information'!$I$29="Zone 4",4,0)))))</f>
        <v>#VALUE!</v>
      </c>
      <c r="AS93" s="692" t="e">
        <f>INDEX($AE$107:$AH$125,MATCH($AC93,$AC$84:$AC$102,0),IF('General Information'!$I$29="Zone 1",1,IF('General Information'!$I$29="Zone 2",2,IF('General Information'!$I$29="Zone 3",3,IF('General Information'!$I$29="Zone 4",4,0)))))</f>
        <v>#VALUE!</v>
      </c>
      <c r="AT93" s="692" t="e">
        <f>INDEX($AE$107:$AH$125,MATCH($AC93,$AC$84:$AC$102,0),IF('General Information'!$I$29="Zone 1",1,IF('General Information'!$I$29="Zone 2",2,IF('General Information'!$I$29="Zone 3",3,IF('General Information'!$I$29="Zone 4",4,0)))))</f>
        <v>#VALUE!</v>
      </c>
      <c r="AU93" s="692" t="e">
        <f>INDEX($AE$107:$AH$125,MATCH($AC93,$AC$84:$AC$102,0),IF('General Information'!$I$29="Zone 1",1,IF('General Information'!$I$29="Zone 2",2,IF('General Information'!$I$29="Zone 3",3,IF('General Information'!$I$29="Zone 4",4,0)))))</f>
        <v>#VALUE!</v>
      </c>
      <c r="AV93" s="692" t="e">
        <f>INDEX($AE$107:$AH$125,MATCH($AC93,$AC$84:$AC$102,0),IF('General Information'!$I$29="Zone 1",1,IF('General Information'!$I$29="Zone 2",2,IF('General Information'!$I$29="Zone 3",3,IF('General Information'!$I$29="Zone 4",4,0)))))</f>
        <v>#VALUE!</v>
      </c>
      <c r="AW93" s="692" t="e">
        <f>INDEX($AE$107:$AH$125,MATCH($AC93,$AC$84:$AC$102,0),IF('General Information'!$I$29="Zone 1",1,IF('General Information'!$I$29="Zone 2",2,IF('General Information'!$I$29="Zone 3",3,IF('General Information'!$I$29="Zone 4",4,0)))))</f>
        <v>#VALUE!</v>
      </c>
      <c r="AX93" s="692" t="e">
        <f>INDEX($AE$107:$AH$125,MATCH($AC93,$AC$84:$AC$102,0),IF('General Information'!$I$29="Zone 1",1,IF('General Information'!$I$29="Zone 2",2,IF('General Information'!$I$29="Zone 3",3,IF('General Information'!$I$29="Zone 4",4,0)))))</f>
        <v>#VALUE!</v>
      </c>
      <c r="AY93" s="692" t="e">
        <f>INDEX($AE$107:$AH$125,MATCH($AC93,$AC$84:$AC$102,0),IF('General Information'!$I$29="Zone 1",1,IF('General Information'!$I$29="Zone 2",2,IF('General Information'!$I$29="Zone 3",3,IF('General Information'!$I$29="Zone 4",4,0)))))</f>
        <v>#VALUE!</v>
      </c>
      <c r="AZ93" s="692" t="e">
        <f>INDEX($AE$107:$AH$125,MATCH($AC93,$AC$84:$AC$102,0),IF('General Information'!$I$29="Zone 1",1,IF('General Information'!$I$29="Zone 2",2,IF('General Information'!$I$29="Zone 3",3,IF('General Information'!$I$29="Zone 4",4,0)))))</f>
        <v>#VALUE!</v>
      </c>
      <c r="BA93" s="692" t="e">
        <f>INDEX($AE$107:$AH$125,MATCH($AC93,$AC$84:$AC$102,0),IF('General Information'!$I$29="Zone 1",1,IF('General Information'!$I$29="Zone 2",2,IF('General Information'!$I$29="Zone 3",3,IF('General Information'!$I$29="Zone 4",4,0)))))</f>
        <v>#VALUE!</v>
      </c>
      <c r="BB93" s="692" t="e">
        <f>INDEX($AE$107:$AH$125,MATCH($AC93,$AC$84:$AC$102,0),IF('General Information'!$I$29="Zone 1",1,IF('General Information'!$I$29="Zone 2",2,IF('General Information'!$I$29="Zone 3",3,IF('General Information'!$I$29="Zone 4",4,0)))))</f>
        <v>#VALUE!</v>
      </c>
      <c r="BC93" s="692" t="e">
        <f>INDEX($AE$107:$AH$125,MATCH($AC93,$AC$84:$AC$102,0),IF('General Information'!$I$29="Zone 1",1,IF('General Information'!$I$29="Zone 2",2,IF('General Information'!$I$29="Zone 3",3,IF('General Information'!$I$29="Zone 4",4,0)))))</f>
        <v>#VALUE!</v>
      </c>
      <c r="BD93" s="693" t="s">
        <v>762</v>
      </c>
      <c r="BF93" s="298">
        <v>90</v>
      </c>
      <c r="BG93" s="32" t="s">
        <v>915</v>
      </c>
    </row>
    <row r="94" spans="1:59">
      <c r="A94" s="301" t="str">
        <f t="shared" ca="1" si="2"/>
        <v/>
      </c>
      <c r="B94" s="590" t="str">
        <f t="shared" ca="1" si="3"/>
        <v/>
      </c>
      <c r="C94" s="657" t="str">
        <f ca="1">IFERROR(INDEX($AE$10:$BC$105,MATCH(B99,Lookups!$AC$10:$AC$106,0),IF('General Information'!$I$28="Yes",1,IF(INDEX($AE$10:$BC$105,MATCH(B99,Lookups!$AC$10:$AC$106,0),MATCH('General Information'!$D$23,Lookups!$AE$7:$BC$7,0))&lt;&gt;0,MATCH('General Information'!$D$23,Lookups!$AE$7:$BC$7,0),25))),"")</f>
        <v/>
      </c>
      <c r="D94" s="652" t="str">
        <f t="shared" ca="1" si="4"/>
        <v/>
      </c>
      <c r="G94" s="84"/>
      <c r="H94" s="84"/>
      <c r="I94" s="84"/>
      <c r="J94" s="84"/>
      <c r="K94" s="84"/>
      <c r="M94" s="84"/>
      <c r="N94" s="84"/>
      <c r="O94" s="85"/>
      <c r="P94" s="85"/>
      <c r="Q94" s="84"/>
      <c r="R94" s="85"/>
      <c r="S94" s="84"/>
      <c r="T94" s="84"/>
      <c r="U94" s="84"/>
      <c r="V94" s="84"/>
      <c r="W94" s="84"/>
      <c r="X94" s="84"/>
      <c r="Y94" s="84"/>
      <c r="Z94" s="84"/>
      <c r="AA94" s="84"/>
      <c r="AC94" s="690" t="s">
        <v>916</v>
      </c>
      <c r="AD94" s="691"/>
      <c r="AE94" s="692">
        <f>INDEX($AE$107:$AH$125,MATCH($AC94,$AC$84:$AC$102,0),IF('General Information'!$I$29="Zone 1",1,IF('General Information'!$I$29="Zone 2",2,IF('General Information'!$I$29="Zone 3",3,IF('General Information'!$I$29="Zone 4",4,0)))))</f>
        <v>0.25</v>
      </c>
      <c r="AF94" s="692">
        <f>INDEX($AE$107:$AH$125,MATCH($AC94,$AC$84:$AC$102,0),IF('General Information'!$I$29="Zone 1",1,IF('General Information'!$I$29="Zone 2",2,IF('General Information'!$I$29="Zone 3",3,IF('General Information'!$I$29="Zone 4",4,0)))))</f>
        <v>0.25</v>
      </c>
      <c r="AG94" s="692">
        <f>INDEX($AE$107:$AH$125,MATCH($AC94,$AC$84:$AC$102,0),IF('General Information'!$I$29="Zone 1",1,IF('General Information'!$I$29="Zone 2",2,IF('General Information'!$I$29="Zone 3",3,IF('General Information'!$I$29="Zone 4",4,0)))))</f>
        <v>0.5</v>
      </c>
      <c r="AH94" s="692">
        <f>INDEX($AE$107:$AH$125,MATCH($AC94,$AC$84:$AC$102,0),IF('General Information'!$I$29="Zone 1",1,IF('General Information'!$I$29="Zone 2",2,IF('General Information'!$I$29="Zone 3",3,IF('General Information'!$I$29="Zone 4",4,0)))))</f>
        <v>0.7</v>
      </c>
      <c r="AI94" s="692" t="e">
        <f>INDEX($AE$107:$AH$125,MATCH($AC94,$AC$84:$AC$102,0),IF('General Information'!$I$29="Zone 1",1,IF('General Information'!$I$29="Zone 2",2,IF('General Information'!$I$29="Zone 3",3,IF('General Information'!$I$29="Zone 4",4,0)))))</f>
        <v>#VALUE!</v>
      </c>
      <c r="AJ94" s="692" t="e">
        <f>INDEX($AE$107:$AH$125,MATCH($AC94,$AC$84:$AC$102,0),IF('General Information'!$I$29="Zone 1",1,IF('General Information'!$I$29="Zone 2",2,IF('General Information'!$I$29="Zone 3",3,IF('General Information'!$I$29="Zone 4",4,0)))))</f>
        <v>#VALUE!</v>
      </c>
      <c r="AK94" s="692" t="e">
        <f>INDEX($AE$107:$AH$125,MATCH($AC94,$AC$84:$AC$102,0),IF('General Information'!$I$29="Zone 1",1,IF('General Information'!$I$29="Zone 2",2,IF('General Information'!$I$29="Zone 3",3,IF('General Information'!$I$29="Zone 4",4,0)))))</f>
        <v>#VALUE!</v>
      </c>
      <c r="AL94" s="692" t="e">
        <f>INDEX($AE$107:$AH$125,MATCH($AC94,$AC$84:$AC$102,0),IF('General Information'!$I$29="Zone 1",1,IF('General Information'!$I$29="Zone 2",2,IF('General Information'!$I$29="Zone 3",3,IF('General Information'!$I$29="Zone 4",4,0)))))</f>
        <v>#VALUE!</v>
      </c>
      <c r="AM94" s="692" t="e">
        <f>INDEX($AE$107:$AH$125,MATCH($AC94,$AC$84:$AC$102,0),IF('General Information'!$I$29="Zone 1",1,IF('General Information'!$I$29="Zone 2",2,IF('General Information'!$I$29="Zone 3",3,IF('General Information'!$I$29="Zone 4",4,0)))))</f>
        <v>#VALUE!</v>
      </c>
      <c r="AN94" s="692" t="e">
        <f>INDEX($AE$107:$AH$125,MATCH($AC94,$AC$84:$AC$102,0),IF('General Information'!$I$29="Zone 1",1,IF('General Information'!$I$29="Zone 2",2,IF('General Information'!$I$29="Zone 3",3,IF('General Information'!$I$29="Zone 4",4,0)))))</f>
        <v>#VALUE!</v>
      </c>
      <c r="AO94" s="692" t="e">
        <f>INDEX($AE$107:$AH$125,MATCH($AC94,$AC$84:$AC$102,0),IF('General Information'!$I$29="Zone 1",1,IF('General Information'!$I$29="Zone 2",2,IF('General Information'!$I$29="Zone 3",3,IF('General Information'!$I$29="Zone 4",4,0)))))</f>
        <v>#VALUE!</v>
      </c>
      <c r="AP94" s="692" t="e">
        <f>INDEX($AE$107:$AH$125,MATCH($AC94,$AC$84:$AC$102,0),IF('General Information'!$I$29="Zone 1",1,IF('General Information'!$I$29="Zone 2",2,IF('General Information'!$I$29="Zone 3",3,IF('General Information'!$I$29="Zone 4",4,0)))))</f>
        <v>#VALUE!</v>
      </c>
      <c r="AQ94" s="692" t="e">
        <f>INDEX($AE$107:$AH$125,MATCH($AC94,$AC$84:$AC$102,0),IF('General Information'!$I$29="Zone 1",1,IF('General Information'!$I$29="Zone 2",2,IF('General Information'!$I$29="Zone 3",3,IF('General Information'!$I$29="Zone 4",4,0)))))</f>
        <v>#VALUE!</v>
      </c>
      <c r="AR94" s="692" t="e">
        <f>INDEX($AE$107:$AH$125,MATCH($AC94,$AC$84:$AC$102,0),IF('General Information'!$I$29="Zone 1",1,IF('General Information'!$I$29="Zone 2",2,IF('General Information'!$I$29="Zone 3",3,IF('General Information'!$I$29="Zone 4",4,0)))))</f>
        <v>#VALUE!</v>
      </c>
      <c r="AS94" s="692" t="e">
        <f>INDEX($AE$107:$AH$125,MATCH($AC94,$AC$84:$AC$102,0),IF('General Information'!$I$29="Zone 1",1,IF('General Information'!$I$29="Zone 2",2,IF('General Information'!$I$29="Zone 3",3,IF('General Information'!$I$29="Zone 4",4,0)))))</f>
        <v>#VALUE!</v>
      </c>
      <c r="AT94" s="692" t="e">
        <f>INDEX($AE$107:$AH$125,MATCH($AC94,$AC$84:$AC$102,0),IF('General Information'!$I$29="Zone 1",1,IF('General Information'!$I$29="Zone 2",2,IF('General Information'!$I$29="Zone 3",3,IF('General Information'!$I$29="Zone 4",4,0)))))</f>
        <v>#VALUE!</v>
      </c>
      <c r="AU94" s="692" t="e">
        <f>INDEX($AE$107:$AH$125,MATCH($AC94,$AC$84:$AC$102,0),IF('General Information'!$I$29="Zone 1",1,IF('General Information'!$I$29="Zone 2",2,IF('General Information'!$I$29="Zone 3",3,IF('General Information'!$I$29="Zone 4",4,0)))))</f>
        <v>#VALUE!</v>
      </c>
      <c r="AV94" s="692" t="e">
        <f>INDEX($AE$107:$AH$125,MATCH($AC94,$AC$84:$AC$102,0),IF('General Information'!$I$29="Zone 1",1,IF('General Information'!$I$29="Zone 2",2,IF('General Information'!$I$29="Zone 3",3,IF('General Information'!$I$29="Zone 4",4,0)))))</f>
        <v>#VALUE!</v>
      </c>
      <c r="AW94" s="692" t="e">
        <f>INDEX($AE$107:$AH$125,MATCH($AC94,$AC$84:$AC$102,0),IF('General Information'!$I$29="Zone 1",1,IF('General Information'!$I$29="Zone 2",2,IF('General Information'!$I$29="Zone 3",3,IF('General Information'!$I$29="Zone 4",4,0)))))</f>
        <v>#VALUE!</v>
      </c>
      <c r="AX94" s="692" t="e">
        <f>INDEX($AE$107:$AH$125,MATCH($AC94,$AC$84:$AC$102,0),IF('General Information'!$I$29="Zone 1",1,IF('General Information'!$I$29="Zone 2",2,IF('General Information'!$I$29="Zone 3",3,IF('General Information'!$I$29="Zone 4",4,0)))))</f>
        <v>#VALUE!</v>
      </c>
      <c r="AY94" s="692" t="e">
        <f>INDEX($AE$107:$AH$125,MATCH($AC94,$AC$84:$AC$102,0),IF('General Information'!$I$29="Zone 1",1,IF('General Information'!$I$29="Zone 2",2,IF('General Information'!$I$29="Zone 3",3,IF('General Information'!$I$29="Zone 4",4,0)))))</f>
        <v>#VALUE!</v>
      </c>
      <c r="AZ94" s="692" t="e">
        <f>INDEX($AE$107:$AH$125,MATCH($AC94,$AC$84:$AC$102,0),IF('General Information'!$I$29="Zone 1",1,IF('General Information'!$I$29="Zone 2",2,IF('General Information'!$I$29="Zone 3",3,IF('General Information'!$I$29="Zone 4",4,0)))))</f>
        <v>#VALUE!</v>
      </c>
      <c r="BA94" s="692" t="e">
        <f>INDEX($AE$107:$AH$125,MATCH($AC94,$AC$84:$AC$102,0),IF('General Information'!$I$29="Zone 1",1,IF('General Information'!$I$29="Zone 2",2,IF('General Information'!$I$29="Zone 3",3,IF('General Information'!$I$29="Zone 4",4,0)))))</f>
        <v>#VALUE!</v>
      </c>
      <c r="BB94" s="692" t="e">
        <f>INDEX($AE$107:$AH$125,MATCH($AC94,$AC$84:$AC$102,0),IF('General Information'!$I$29="Zone 1",1,IF('General Information'!$I$29="Zone 2",2,IF('General Information'!$I$29="Zone 3",3,IF('General Information'!$I$29="Zone 4",4,0)))))</f>
        <v>#VALUE!</v>
      </c>
      <c r="BC94" s="692" t="e">
        <f>INDEX($AE$107:$AH$125,MATCH($AC94,$AC$84:$AC$102,0),IF('General Information'!$I$29="Zone 1",1,IF('General Information'!$I$29="Zone 2",2,IF('General Information'!$I$29="Zone 3",3,IF('General Information'!$I$29="Zone 4",4,0)))))</f>
        <v>#VALUE!</v>
      </c>
      <c r="BD94" s="693" t="s">
        <v>762</v>
      </c>
      <c r="BF94" s="298">
        <v>91</v>
      </c>
      <c r="BG94" s="32" t="s">
        <v>917</v>
      </c>
    </row>
    <row r="95" spans="1:59">
      <c r="A95" s="301" t="str">
        <f t="shared" ca="1" si="2"/>
        <v/>
      </c>
      <c r="B95" s="590" t="str">
        <f t="shared" ca="1" si="3"/>
        <v/>
      </c>
      <c r="C95" s="657" t="str">
        <f ca="1">IFERROR(INDEX($AE$10:$BC$105,MATCH(B100,Lookups!$AC$10:$AC$106,0),IF('General Information'!$I$28="Yes",1,IF(INDEX($AE$10:$BC$105,MATCH(B100,Lookups!$AC$10:$AC$106,0),MATCH('General Information'!$D$23,Lookups!$AE$7:$BC$7,0))&lt;&gt;0,MATCH('General Information'!$D$23,Lookups!$AE$7:$BC$7,0),25))),"")</f>
        <v/>
      </c>
      <c r="D95" s="652" t="str">
        <f t="shared" ca="1" si="4"/>
        <v/>
      </c>
      <c r="G95" s="84"/>
      <c r="H95" s="84"/>
      <c r="I95" s="84"/>
      <c r="J95" s="84"/>
      <c r="K95" s="84"/>
      <c r="M95" s="84"/>
      <c r="N95" s="84"/>
      <c r="O95" s="85"/>
      <c r="P95" s="85"/>
      <c r="Q95" s="84"/>
      <c r="R95" s="85"/>
      <c r="S95" s="84"/>
      <c r="T95" s="84"/>
      <c r="U95" s="84"/>
      <c r="V95" s="84"/>
      <c r="W95" s="84"/>
      <c r="X95" s="84"/>
      <c r="Y95" s="84"/>
      <c r="Z95" s="84"/>
      <c r="AA95" s="84"/>
      <c r="AC95" s="690" t="s">
        <v>918</v>
      </c>
      <c r="AD95" s="691" t="s">
        <v>919</v>
      </c>
      <c r="AE95" s="692">
        <f>INDEX($AE$107:$AH$125,MATCH($AC95,$AC$84:$AC$102,0),IF('General Information'!$I$29="Zone 1",1,IF('General Information'!$I$29="Zone 2",2,IF('General Information'!$I$29="Zone 3",3,IF('General Information'!$I$29="Zone 4",4,0)))))</f>
        <v>0</v>
      </c>
      <c r="AF95" s="692">
        <f>INDEX($AE$107:$AH$125,MATCH($AC95,$AC$84:$AC$102,0),IF('General Information'!$I$29="Zone 1",1,IF('General Information'!$I$29="Zone 2",2,IF('General Information'!$I$29="Zone 3",3,IF('General Information'!$I$29="Zone 4",4,0)))))</f>
        <v>10</v>
      </c>
      <c r="AG95" s="692">
        <f>INDEX($AE$107:$AH$125,MATCH($AC95,$AC$84:$AC$102,0),IF('General Information'!$I$29="Zone 1",1,IF('General Information'!$I$29="Zone 2",2,IF('General Information'!$I$29="Zone 3",3,IF('General Information'!$I$29="Zone 4",4,0)))))</f>
        <v>10</v>
      </c>
      <c r="AH95" s="692">
        <f>INDEX($AE$107:$AH$125,MATCH($AC95,$AC$84:$AC$102,0),IF('General Information'!$I$29="Zone 1",1,IF('General Information'!$I$29="Zone 2",2,IF('General Information'!$I$29="Zone 3",3,IF('General Information'!$I$29="Zone 4",4,0)))))</f>
        <v>30</v>
      </c>
      <c r="AI95" s="692" t="e">
        <f>INDEX($AE$107:$AH$125,MATCH($AC95,$AC$84:$AC$102,0),IF('General Information'!$I$29="Zone 1",1,IF('General Information'!$I$29="Zone 2",2,IF('General Information'!$I$29="Zone 3",3,IF('General Information'!$I$29="Zone 4",4,0)))))</f>
        <v>#VALUE!</v>
      </c>
      <c r="AJ95" s="692" t="e">
        <f>INDEX($AE$107:$AH$125,MATCH($AC95,$AC$84:$AC$102,0),IF('General Information'!$I$29="Zone 1",1,IF('General Information'!$I$29="Zone 2",2,IF('General Information'!$I$29="Zone 3",3,IF('General Information'!$I$29="Zone 4",4,0)))))</f>
        <v>#VALUE!</v>
      </c>
      <c r="AK95" s="692" t="e">
        <f>INDEX($AE$107:$AH$125,MATCH($AC95,$AC$84:$AC$102,0),IF('General Information'!$I$29="Zone 1",1,IF('General Information'!$I$29="Zone 2",2,IF('General Information'!$I$29="Zone 3",3,IF('General Information'!$I$29="Zone 4",4,0)))))</f>
        <v>#VALUE!</v>
      </c>
      <c r="AL95" s="692" t="e">
        <f>INDEX($AE$107:$AH$125,MATCH($AC95,$AC$84:$AC$102,0),IF('General Information'!$I$29="Zone 1",1,IF('General Information'!$I$29="Zone 2",2,IF('General Information'!$I$29="Zone 3",3,IF('General Information'!$I$29="Zone 4",4,0)))))</f>
        <v>#VALUE!</v>
      </c>
      <c r="AM95" s="692" t="e">
        <f>INDEX($AE$107:$AH$125,MATCH($AC95,$AC$84:$AC$102,0),IF('General Information'!$I$29="Zone 1",1,IF('General Information'!$I$29="Zone 2",2,IF('General Information'!$I$29="Zone 3",3,IF('General Information'!$I$29="Zone 4",4,0)))))</f>
        <v>#VALUE!</v>
      </c>
      <c r="AN95" s="692" t="e">
        <f>INDEX($AE$107:$AH$125,MATCH($AC95,$AC$84:$AC$102,0),IF('General Information'!$I$29="Zone 1",1,IF('General Information'!$I$29="Zone 2",2,IF('General Information'!$I$29="Zone 3",3,IF('General Information'!$I$29="Zone 4",4,0)))))</f>
        <v>#VALUE!</v>
      </c>
      <c r="AO95" s="692" t="e">
        <f>INDEX($AE$107:$AH$125,MATCH($AC95,$AC$84:$AC$102,0),IF('General Information'!$I$29="Zone 1",1,IF('General Information'!$I$29="Zone 2",2,IF('General Information'!$I$29="Zone 3",3,IF('General Information'!$I$29="Zone 4",4,0)))))</f>
        <v>#VALUE!</v>
      </c>
      <c r="AP95" s="692" t="e">
        <f>INDEX($AE$107:$AH$125,MATCH($AC95,$AC$84:$AC$102,0),IF('General Information'!$I$29="Zone 1",1,IF('General Information'!$I$29="Zone 2",2,IF('General Information'!$I$29="Zone 3",3,IF('General Information'!$I$29="Zone 4",4,0)))))</f>
        <v>#VALUE!</v>
      </c>
      <c r="AQ95" s="692" t="e">
        <f>INDEX($AE$107:$AH$125,MATCH($AC95,$AC$84:$AC$102,0),IF('General Information'!$I$29="Zone 1",1,IF('General Information'!$I$29="Zone 2",2,IF('General Information'!$I$29="Zone 3",3,IF('General Information'!$I$29="Zone 4",4,0)))))</f>
        <v>#VALUE!</v>
      </c>
      <c r="AR95" s="692" t="e">
        <f>INDEX($AE$107:$AH$125,MATCH($AC95,$AC$84:$AC$102,0),IF('General Information'!$I$29="Zone 1",1,IF('General Information'!$I$29="Zone 2",2,IF('General Information'!$I$29="Zone 3",3,IF('General Information'!$I$29="Zone 4",4,0)))))</f>
        <v>#VALUE!</v>
      </c>
      <c r="AS95" s="692" t="e">
        <f>INDEX($AE$107:$AH$125,MATCH($AC95,$AC$84:$AC$102,0),IF('General Information'!$I$29="Zone 1",1,IF('General Information'!$I$29="Zone 2",2,IF('General Information'!$I$29="Zone 3",3,IF('General Information'!$I$29="Zone 4",4,0)))))</f>
        <v>#VALUE!</v>
      </c>
      <c r="AT95" s="692" t="e">
        <f>INDEX($AE$107:$AH$125,MATCH($AC95,$AC$84:$AC$102,0),IF('General Information'!$I$29="Zone 1",1,IF('General Information'!$I$29="Zone 2",2,IF('General Information'!$I$29="Zone 3",3,IF('General Information'!$I$29="Zone 4",4,0)))))</f>
        <v>#VALUE!</v>
      </c>
      <c r="AU95" s="692" t="e">
        <f>INDEX($AE$107:$AH$125,MATCH($AC95,$AC$84:$AC$102,0),IF('General Information'!$I$29="Zone 1",1,IF('General Information'!$I$29="Zone 2",2,IF('General Information'!$I$29="Zone 3",3,IF('General Information'!$I$29="Zone 4",4,0)))))</f>
        <v>#VALUE!</v>
      </c>
      <c r="AV95" s="692" t="e">
        <f>INDEX($AE$107:$AH$125,MATCH($AC95,$AC$84:$AC$102,0),IF('General Information'!$I$29="Zone 1",1,IF('General Information'!$I$29="Zone 2",2,IF('General Information'!$I$29="Zone 3",3,IF('General Information'!$I$29="Zone 4",4,0)))))</f>
        <v>#VALUE!</v>
      </c>
      <c r="AW95" s="692" t="e">
        <f>INDEX($AE$107:$AH$125,MATCH($AC95,$AC$84:$AC$102,0),IF('General Information'!$I$29="Zone 1",1,IF('General Information'!$I$29="Zone 2",2,IF('General Information'!$I$29="Zone 3",3,IF('General Information'!$I$29="Zone 4",4,0)))))</f>
        <v>#VALUE!</v>
      </c>
      <c r="AX95" s="692" t="e">
        <f>INDEX($AE$107:$AH$125,MATCH($AC95,$AC$84:$AC$102,0),IF('General Information'!$I$29="Zone 1",1,IF('General Information'!$I$29="Zone 2",2,IF('General Information'!$I$29="Zone 3",3,IF('General Information'!$I$29="Zone 4",4,0)))))</f>
        <v>#VALUE!</v>
      </c>
      <c r="AY95" s="692" t="e">
        <f>INDEX($AE$107:$AH$125,MATCH($AC95,$AC$84:$AC$102,0),IF('General Information'!$I$29="Zone 1",1,IF('General Information'!$I$29="Zone 2",2,IF('General Information'!$I$29="Zone 3",3,IF('General Information'!$I$29="Zone 4",4,0)))))</f>
        <v>#VALUE!</v>
      </c>
      <c r="AZ95" s="692" t="e">
        <f>INDEX($AE$107:$AH$125,MATCH($AC95,$AC$84:$AC$102,0),IF('General Information'!$I$29="Zone 1",1,IF('General Information'!$I$29="Zone 2",2,IF('General Information'!$I$29="Zone 3",3,IF('General Information'!$I$29="Zone 4",4,0)))))</f>
        <v>#VALUE!</v>
      </c>
      <c r="BA95" s="692" t="e">
        <f>INDEX($AE$107:$AH$125,MATCH($AC95,$AC$84:$AC$102,0),IF('General Information'!$I$29="Zone 1",1,IF('General Information'!$I$29="Zone 2",2,IF('General Information'!$I$29="Zone 3",3,IF('General Information'!$I$29="Zone 4",4,0)))))</f>
        <v>#VALUE!</v>
      </c>
      <c r="BB95" s="692" t="e">
        <f>INDEX($AE$107:$AH$125,MATCH($AC95,$AC$84:$AC$102,0),IF('General Information'!$I$29="Zone 1",1,IF('General Information'!$I$29="Zone 2",2,IF('General Information'!$I$29="Zone 3",3,IF('General Information'!$I$29="Zone 4",4,0)))))</f>
        <v>#VALUE!</v>
      </c>
      <c r="BC95" s="692" t="e">
        <f>INDEX($AE$107:$AH$125,MATCH($AC95,$AC$84:$AC$102,0),IF('General Information'!$I$29="Zone 1",1,IF('General Information'!$I$29="Zone 2",2,IF('General Information'!$I$29="Zone 3",3,IF('General Information'!$I$29="Zone 4",4,0)))))</f>
        <v>#VALUE!</v>
      </c>
      <c r="BD95" s="693" t="s">
        <v>762</v>
      </c>
      <c r="BF95" s="298">
        <v>92</v>
      </c>
      <c r="BG95" s="32" t="s">
        <v>920</v>
      </c>
    </row>
    <row r="96" spans="1:59">
      <c r="A96" s="301" t="str">
        <f t="shared" ca="1" si="2"/>
        <v/>
      </c>
      <c r="B96" s="590" t="str">
        <f t="shared" ca="1" si="3"/>
        <v/>
      </c>
      <c r="C96" s="657" t="str">
        <f ca="1">IFERROR(INDEX($AE$10:$BC$105,MATCH(B101,Lookups!$AC$10:$AC$106,0),IF('General Information'!$I$28="Yes",1,IF(INDEX($AE$10:$BC$105,MATCH(B101,Lookups!$AC$10:$AC$106,0),MATCH('General Information'!$D$23,Lookups!$AE$7:$BC$7,0))&lt;&gt;0,MATCH('General Information'!$D$23,Lookups!$AE$7:$BC$7,0),25))),"")</f>
        <v/>
      </c>
      <c r="D96" s="652" t="str">
        <f t="shared" ca="1" si="4"/>
        <v/>
      </c>
      <c r="G96" s="84"/>
      <c r="H96" s="84"/>
      <c r="I96" s="84"/>
      <c r="J96" s="84"/>
      <c r="K96" s="84"/>
      <c r="M96" s="84"/>
      <c r="N96" s="84"/>
      <c r="O96" s="85"/>
      <c r="P96" s="85"/>
      <c r="Q96" s="84"/>
      <c r="R96" s="85"/>
      <c r="S96" s="84"/>
      <c r="T96" s="84"/>
      <c r="U96" s="84"/>
      <c r="V96" s="84"/>
      <c r="W96" s="84"/>
      <c r="X96" s="84"/>
      <c r="Y96" s="84"/>
      <c r="Z96" s="84"/>
      <c r="AA96" s="84"/>
      <c r="AC96" s="690" t="s">
        <v>921</v>
      </c>
      <c r="AD96" s="691" t="s">
        <v>922</v>
      </c>
      <c r="AE96" s="692">
        <f>INDEX($AE$107:$AH$125,MATCH($AC96,$AC$84:$AC$102,0),IF('General Information'!$I$29="Zone 1",1,IF('General Information'!$I$29="Zone 2",2,IF('General Information'!$I$29="Zone 3",3,IF('General Information'!$I$29="Zone 4",4,0)))))</f>
        <v>0</v>
      </c>
      <c r="AF96" s="692">
        <f>INDEX($AE$107:$AH$125,MATCH($AC96,$AC$84:$AC$102,0),IF('General Information'!$I$29="Zone 1",1,IF('General Information'!$I$29="Zone 2",2,IF('General Information'!$I$29="Zone 3",3,IF('General Information'!$I$29="Zone 4",4,0)))))</f>
        <v>7.4999999999999997E-2</v>
      </c>
      <c r="AG96" s="692">
        <f>INDEX($AE$107:$AH$125,MATCH($AC96,$AC$84:$AC$102,0),IF('General Information'!$I$29="Zone 1",1,IF('General Information'!$I$29="Zone 2",2,IF('General Information'!$I$29="Zone 3",3,IF('General Information'!$I$29="Zone 4",4,0)))))</f>
        <v>0.113</v>
      </c>
      <c r="AH96" s="692">
        <f>INDEX($AE$107:$AH$125,MATCH($AC96,$AC$84:$AC$102,0),IF('General Information'!$I$29="Zone 1",1,IF('General Information'!$I$29="Zone 2",2,IF('General Information'!$I$29="Zone 3",3,IF('General Information'!$I$29="Zone 4",4,0)))))</f>
        <v>0.15</v>
      </c>
      <c r="AI96" s="692" t="e">
        <f>INDEX($AE$107:$AH$125,MATCH($AC96,$AC$84:$AC$102,0),IF('General Information'!$I$29="Zone 1",1,IF('General Information'!$I$29="Zone 2",2,IF('General Information'!$I$29="Zone 3",3,IF('General Information'!$I$29="Zone 4",4,0)))))</f>
        <v>#VALUE!</v>
      </c>
      <c r="AJ96" s="692" t="e">
        <f>INDEX($AE$107:$AH$125,MATCH($AC96,$AC$84:$AC$102,0),IF('General Information'!$I$29="Zone 1",1,IF('General Information'!$I$29="Zone 2",2,IF('General Information'!$I$29="Zone 3",3,IF('General Information'!$I$29="Zone 4",4,0)))))</f>
        <v>#VALUE!</v>
      </c>
      <c r="AK96" s="692" t="e">
        <f>INDEX($AE$107:$AH$125,MATCH($AC96,$AC$84:$AC$102,0),IF('General Information'!$I$29="Zone 1",1,IF('General Information'!$I$29="Zone 2",2,IF('General Information'!$I$29="Zone 3",3,IF('General Information'!$I$29="Zone 4",4,0)))))</f>
        <v>#VALUE!</v>
      </c>
      <c r="AL96" s="692" t="e">
        <f>INDEX($AE$107:$AH$125,MATCH($AC96,$AC$84:$AC$102,0),IF('General Information'!$I$29="Zone 1",1,IF('General Information'!$I$29="Zone 2",2,IF('General Information'!$I$29="Zone 3",3,IF('General Information'!$I$29="Zone 4",4,0)))))</f>
        <v>#VALUE!</v>
      </c>
      <c r="AM96" s="692" t="e">
        <f>INDEX($AE$107:$AH$125,MATCH($AC96,$AC$84:$AC$102,0),IF('General Information'!$I$29="Zone 1",1,IF('General Information'!$I$29="Zone 2",2,IF('General Information'!$I$29="Zone 3",3,IF('General Information'!$I$29="Zone 4",4,0)))))</f>
        <v>#VALUE!</v>
      </c>
      <c r="AN96" s="692" t="e">
        <f>INDEX($AE$107:$AH$125,MATCH($AC96,$AC$84:$AC$102,0),IF('General Information'!$I$29="Zone 1",1,IF('General Information'!$I$29="Zone 2",2,IF('General Information'!$I$29="Zone 3",3,IF('General Information'!$I$29="Zone 4",4,0)))))</f>
        <v>#VALUE!</v>
      </c>
      <c r="AO96" s="692" t="e">
        <f>INDEX($AE$107:$AH$125,MATCH($AC96,$AC$84:$AC$102,0),IF('General Information'!$I$29="Zone 1",1,IF('General Information'!$I$29="Zone 2",2,IF('General Information'!$I$29="Zone 3",3,IF('General Information'!$I$29="Zone 4",4,0)))))</f>
        <v>#VALUE!</v>
      </c>
      <c r="AP96" s="692" t="e">
        <f>INDEX($AE$107:$AH$125,MATCH($AC96,$AC$84:$AC$102,0),IF('General Information'!$I$29="Zone 1",1,IF('General Information'!$I$29="Zone 2",2,IF('General Information'!$I$29="Zone 3",3,IF('General Information'!$I$29="Zone 4",4,0)))))</f>
        <v>#VALUE!</v>
      </c>
      <c r="AQ96" s="692" t="e">
        <f>INDEX($AE$107:$AH$125,MATCH($AC96,$AC$84:$AC$102,0),IF('General Information'!$I$29="Zone 1",1,IF('General Information'!$I$29="Zone 2",2,IF('General Information'!$I$29="Zone 3",3,IF('General Information'!$I$29="Zone 4",4,0)))))</f>
        <v>#VALUE!</v>
      </c>
      <c r="AR96" s="692" t="e">
        <f>INDEX($AE$107:$AH$125,MATCH($AC96,$AC$84:$AC$102,0),IF('General Information'!$I$29="Zone 1",1,IF('General Information'!$I$29="Zone 2",2,IF('General Information'!$I$29="Zone 3",3,IF('General Information'!$I$29="Zone 4",4,0)))))</f>
        <v>#VALUE!</v>
      </c>
      <c r="AS96" s="692" t="e">
        <f>INDEX($AE$107:$AH$125,MATCH($AC96,$AC$84:$AC$102,0),IF('General Information'!$I$29="Zone 1",1,IF('General Information'!$I$29="Zone 2",2,IF('General Information'!$I$29="Zone 3",3,IF('General Information'!$I$29="Zone 4",4,0)))))</f>
        <v>#VALUE!</v>
      </c>
      <c r="AT96" s="692" t="e">
        <f>INDEX($AE$107:$AH$125,MATCH($AC96,$AC$84:$AC$102,0),IF('General Information'!$I$29="Zone 1",1,IF('General Information'!$I$29="Zone 2",2,IF('General Information'!$I$29="Zone 3",3,IF('General Information'!$I$29="Zone 4",4,0)))))</f>
        <v>#VALUE!</v>
      </c>
      <c r="AU96" s="692" t="e">
        <f>INDEX($AE$107:$AH$125,MATCH($AC96,$AC$84:$AC$102,0),IF('General Information'!$I$29="Zone 1",1,IF('General Information'!$I$29="Zone 2",2,IF('General Information'!$I$29="Zone 3",3,IF('General Information'!$I$29="Zone 4",4,0)))))</f>
        <v>#VALUE!</v>
      </c>
      <c r="AV96" s="692" t="e">
        <f>INDEX($AE$107:$AH$125,MATCH($AC96,$AC$84:$AC$102,0),IF('General Information'!$I$29="Zone 1",1,IF('General Information'!$I$29="Zone 2",2,IF('General Information'!$I$29="Zone 3",3,IF('General Information'!$I$29="Zone 4",4,0)))))</f>
        <v>#VALUE!</v>
      </c>
      <c r="AW96" s="692" t="e">
        <f>INDEX($AE$107:$AH$125,MATCH($AC96,$AC$84:$AC$102,0),IF('General Information'!$I$29="Zone 1",1,IF('General Information'!$I$29="Zone 2",2,IF('General Information'!$I$29="Zone 3",3,IF('General Information'!$I$29="Zone 4",4,0)))))</f>
        <v>#VALUE!</v>
      </c>
      <c r="AX96" s="692" t="e">
        <f>INDEX($AE$107:$AH$125,MATCH($AC96,$AC$84:$AC$102,0),IF('General Information'!$I$29="Zone 1",1,IF('General Information'!$I$29="Zone 2",2,IF('General Information'!$I$29="Zone 3",3,IF('General Information'!$I$29="Zone 4",4,0)))))</f>
        <v>#VALUE!</v>
      </c>
      <c r="AY96" s="692" t="e">
        <f>INDEX($AE$107:$AH$125,MATCH($AC96,$AC$84:$AC$102,0),IF('General Information'!$I$29="Zone 1",1,IF('General Information'!$I$29="Zone 2",2,IF('General Information'!$I$29="Zone 3",3,IF('General Information'!$I$29="Zone 4",4,0)))))</f>
        <v>#VALUE!</v>
      </c>
      <c r="AZ96" s="692" t="e">
        <f>INDEX($AE$107:$AH$125,MATCH($AC96,$AC$84:$AC$102,0),IF('General Information'!$I$29="Zone 1",1,IF('General Information'!$I$29="Zone 2",2,IF('General Information'!$I$29="Zone 3",3,IF('General Information'!$I$29="Zone 4",4,0)))))</f>
        <v>#VALUE!</v>
      </c>
      <c r="BA96" s="692" t="e">
        <f>INDEX($AE$107:$AH$125,MATCH($AC96,$AC$84:$AC$102,0),IF('General Information'!$I$29="Zone 1",1,IF('General Information'!$I$29="Zone 2",2,IF('General Information'!$I$29="Zone 3",3,IF('General Information'!$I$29="Zone 4",4,0)))))</f>
        <v>#VALUE!</v>
      </c>
      <c r="BB96" s="692" t="e">
        <f>INDEX($AE$107:$AH$125,MATCH($AC96,$AC$84:$AC$102,0),IF('General Information'!$I$29="Zone 1",1,IF('General Information'!$I$29="Zone 2",2,IF('General Information'!$I$29="Zone 3",3,IF('General Information'!$I$29="Zone 4",4,0)))))</f>
        <v>#VALUE!</v>
      </c>
      <c r="BC96" s="692" t="e">
        <f>INDEX($AE$107:$AH$125,MATCH($AC96,$AC$84:$AC$102,0),IF('General Information'!$I$29="Zone 1",1,IF('General Information'!$I$29="Zone 2",2,IF('General Information'!$I$29="Zone 3",3,IF('General Information'!$I$29="Zone 4",4,0)))))</f>
        <v>#VALUE!</v>
      </c>
      <c r="BD96" s="693" t="s">
        <v>762</v>
      </c>
      <c r="BF96" s="298">
        <v>93</v>
      </c>
      <c r="BG96" s="32" t="s">
        <v>923</v>
      </c>
    </row>
    <row r="97" spans="1:59">
      <c r="A97" s="301" t="str">
        <f t="shared" ca="1" si="2"/>
        <v/>
      </c>
      <c r="B97" s="590" t="str">
        <f t="shared" ca="1" si="3"/>
        <v/>
      </c>
      <c r="C97" s="657" t="str">
        <f ca="1">IFERROR(INDEX($AE$10:$BC$105,MATCH(B102,Lookups!$AC$10:$AC$106,0),IF('General Information'!$I$28="Yes",1,IF(INDEX($AE$10:$BC$105,MATCH(B102,Lookups!$AC$10:$AC$106,0),MATCH('General Information'!$D$23,Lookups!$AE$7:$BC$7,0))&lt;&gt;0,MATCH('General Information'!$D$23,Lookups!$AE$7:$BC$7,0),25))),"")</f>
        <v/>
      </c>
      <c r="D97" s="652" t="str">
        <f t="shared" ca="1" si="4"/>
        <v/>
      </c>
      <c r="G97" s="84"/>
      <c r="H97" s="84"/>
      <c r="I97" s="84"/>
      <c r="J97" s="84"/>
      <c r="K97" s="84"/>
      <c r="M97" s="84"/>
      <c r="N97" s="84"/>
      <c r="O97" s="85"/>
      <c r="P97" s="85"/>
      <c r="Q97" s="84"/>
      <c r="R97" s="85"/>
      <c r="S97" s="84"/>
      <c r="T97" s="84"/>
      <c r="U97" s="84"/>
      <c r="V97" s="84"/>
      <c r="W97" s="84"/>
      <c r="X97" s="84"/>
      <c r="Y97" s="84"/>
      <c r="Z97" s="84"/>
      <c r="AA97" s="84"/>
      <c r="AC97" s="690" t="s">
        <v>924</v>
      </c>
      <c r="AD97" s="691" t="s">
        <v>925</v>
      </c>
      <c r="AE97" s="692">
        <f>INDEX($AE$107:$AH$125,MATCH($AC97,$AC$84:$AC$102,0),IF('General Information'!$I$29="Zone 1",1,IF('General Information'!$I$29="Zone 2",2,IF('General Information'!$I$29="Zone 3",3,IF('General Information'!$I$29="Zone 4",4,0)))))</f>
        <v>270</v>
      </c>
      <c r="AF97" s="692">
        <f>INDEX($AE$107:$AH$125,MATCH($AC97,$AC$84:$AC$102,0),IF('General Information'!$I$29="Zone 1",1,IF('General Information'!$I$29="Zone 2",2,IF('General Information'!$I$29="Zone 3",3,IF('General Information'!$I$29="Zone 4",4,0)))))</f>
        <v>270</v>
      </c>
      <c r="AG97" s="692">
        <f>INDEX($AE$107:$AH$125,MATCH($AC97,$AC$84:$AC$102,0),IF('General Information'!$I$29="Zone 1",1,IF('General Information'!$I$29="Zone 2",2,IF('General Information'!$I$29="Zone 3",3,IF('General Information'!$I$29="Zone 4",4,0)))))</f>
        <v>270</v>
      </c>
      <c r="AH97" s="692">
        <f>INDEX($AE$107:$AH$125,MATCH($AC97,$AC$84:$AC$102,0),IF('General Information'!$I$29="Zone 1",1,IF('General Information'!$I$29="Zone 2",2,IF('General Information'!$I$29="Zone 3",3,IF('General Information'!$I$29="Zone 4",4,0)))))</f>
        <v>270</v>
      </c>
      <c r="AI97" s="692" t="e">
        <f>INDEX($AE$107:$AH$125,MATCH($AC97,$AC$84:$AC$102,0),IF('General Information'!$I$29="Zone 1",1,IF('General Information'!$I$29="Zone 2",2,IF('General Information'!$I$29="Zone 3",3,IF('General Information'!$I$29="Zone 4",4,0)))))</f>
        <v>#VALUE!</v>
      </c>
      <c r="AJ97" s="692" t="e">
        <f>INDEX($AE$107:$AH$125,MATCH($AC97,$AC$84:$AC$102,0),IF('General Information'!$I$29="Zone 1",1,IF('General Information'!$I$29="Zone 2",2,IF('General Information'!$I$29="Zone 3",3,IF('General Information'!$I$29="Zone 4",4,0)))))</f>
        <v>#VALUE!</v>
      </c>
      <c r="AK97" s="692" t="e">
        <f>INDEX($AE$107:$AH$125,MATCH($AC97,$AC$84:$AC$102,0),IF('General Information'!$I$29="Zone 1",1,IF('General Information'!$I$29="Zone 2",2,IF('General Information'!$I$29="Zone 3",3,IF('General Information'!$I$29="Zone 4",4,0)))))</f>
        <v>#VALUE!</v>
      </c>
      <c r="AL97" s="692" t="e">
        <f>INDEX($AE$107:$AH$125,MATCH($AC97,$AC$84:$AC$102,0),IF('General Information'!$I$29="Zone 1",1,IF('General Information'!$I$29="Zone 2",2,IF('General Information'!$I$29="Zone 3",3,IF('General Information'!$I$29="Zone 4",4,0)))))</f>
        <v>#VALUE!</v>
      </c>
      <c r="AM97" s="692" t="e">
        <f>INDEX($AE$107:$AH$125,MATCH($AC97,$AC$84:$AC$102,0),IF('General Information'!$I$29="Zone 1",1,IF('General Information'!$I$29="Zone 2",2,IF('General Information'!$I$29="Zone 3",3,IF('General Information'!$I$29="Zone 4",4,0)))))</f>
        <v>#VALUE!</v>
      </c>
      <c r="AN97" s="692" t="e">
        <f>INDEX($AE$107:$AH$125,MATCH($AC97,$AC$84:$AC$102,0),IF('General Information'!$I$29="Zone 1",1,IF('General Information'!$I$29="Zone 2",2,IF('General Information'!$I$29="Zone 3",3,IF('General Information'!$I$29="Zone 4",4,0)))))</f>
        <v>#VALUE!</v>
      </c>
      <c r="AO97" s="692" t="e">
        <f>INDEX($AE$107:$AH$125,MATCH($AC97,$AC$84:$AC$102,0),IF('General Information'!$I$29="Zone 1",1,IF('General Information'!$I$29="Zone 2",2,IF('General Information'!$I$29="Zone 3",3,IF('General Information'!$I$29="Zone 4",4,0)))))</f>
        <v>#VALUE!</v>
      </c>
      <c r="AP97" s="692" t="e">
        <f>INDEX($AE$107:$AH$125,MATCH($AC97,$AC$84:$AC$102,0),IF('General Information'!$I$29="Zone 1",1,IF('General Information'!$I$29="Zone 2",2,IF('General Information'!$I$29="Zone 3",3,IF('General Information'!$I$29="Zone 4",4,0)))))</f>
        <v>#VALUE!</v>
      </c>
      <c r="AQ97" s="692" t="e">
        <f>INDEX($AE$107:$AH$125,MATCH($AC97,$AC$84:$AC$102,0),IF('General Information'!$I$29="Zone 1",1,IF('General Information'!$I$29="Zone 2",2,IF('General Information'!$I$29="Zone 3",3,IF('General Information'!$I$29="Zone 4",4,0)))))</f>
        <v>#VALUE!</v>
      </c>
      <c r="AR97" s="692" t="e">
        <f>INDEX($AE$107:$AH$125,MATCH($AC97,$AC$84:$AC$102,0),IF('General Information'!$I$29="Zone 1",1,IF('General Information'!$I$29="Zone 2",2,IF('General Information'!$I$29="Zone 3",3,IF('General Information'!$I$29="Zone 4",4,0)))))</f>
        <v>#VALUE!</v>
      </c>
      <c r="AS97" s="692" t="e">
        <f>INDEX($AE$107:$AH$125,MATCH($AC97,$AC$84:$AC$102,0),IF('General Information'!$I$29="Zone 1",1,IF('General Information'!$I$29="Zone 2",2,IF('General Information'!$I$29="Zone 3",3,IF('General Information'!$I$29="Zone 4",4,0)))))</f>
        <v>#VALUE!</v>
      </c>
      <c r="AT97" s="692" t="e">
        <f>INDEX($AE$107:$AH$125,MATCH($AC97,$AC$84:$AC$102,0),IF('General Information'!$I$29="Zone 1",1,IF('General Information'!$I$29="Zone 2",2,IF('General Information'!$I$29="Zone 3",3,IF('General Information'!$I$29="Zone 4",4,0)))))</f>
        <v>#VALUE!</v>
      </c>
      <c r="AU97" s="692" t="e">
        <f>INDEX($AE$107:$AH$125,MATCH($AC97,$AC$84:$AC$102,0),IF('General Information'!$I$29="Zone 1",1,IF('General Information'!$I$29="Zone 2",2,IF('General Information'!$I$29="Zone 3",3,IF('General Information'!$I$29="Zone 4",4,0)))))</f>
        <v>#VALUE!</v>
      </c>
      <c r="AV97" s="692" t="e">
        <f>INDEX($AE$107:$AH$125,MATCH($AC97,$AC$84:$AC$102,0),IF('General Information'!$I$29="Zone 1",1,IF('General Information'!$I$29="Zone 2",2,IF('General Information'!$I$29="Zone 3",3,IF('General Information'!$I$29="Zone 4",4,0)))))</f>
        <v>#VALUE!</v>
      </c>
      <c r="AW97" s="692" t="e">
        <f>INDEX($AE$107:$AH$125,MATCH($AC97,$AC$84:$AC$102,0),IF('General Information'!$I$29="Zone 1",1,IF('General Information'!$I$29="Zone 2",2,IF('General Information'!$I$29="Zone 3",3,IF('General Information'!$I$29="Zone 4",4,0)))))</f>
        <v>#VALUE!</v>
      </c>
      <c r="AX97" s="692" t="e">
        <f>INDEX($AE$107:$AH$125,MATCH($AC97,$AC$84:$AC$102,0),IF('General Information'!$I$29="Zone 1",1,IF('General Information'!$I$29="Zone 2",2,IF('General Information'!$I$29="Zone 3",3,IF('General Information'!$I$29="Zone 4",4,0)))))</f>
        <v>#VALUE!</v>
      </c>
      <c r="AY97" s="692" t="e">
        <f>INDEX($AE$107:$AH$125,MATCH($AC97,$AC$84:$AC$102,0),IF('General Information'!$I$29="Zone 1",1,IF('General Information'!$I$29="Zone 2",2,IF('General Information'!$I$29="Zone 3",3,IF('General Information'!$I$29="Zone 4",4,0)))))</f>
        <v>#VALUE!</v>
      </c>
      <c r="AZ97" s="692" t="e">
        <f>INDEX($AE$107:$AH$125,MATCH($AC97,$AC$84:$AC$102,0),IF('General Information'!$I$29="Zone 1",1,IF('General Information'!$I$29="Zone 2",2,IF('General Information'!$I$29="Zone 3",3,IF('General Information'!$I$29="Zone 4",4,0)))))</f>
        <v>#VALUE!</v>
      </c>
      <c r="BA97" s="692" t="e">
        <f>INDEX($AE$107:$AH$125,MATCH($AC97,$AC$84:$AC$102,0),IF('General Information'!$I$29="Zone 1",1,IF('General Information'!$I$29="Zone 2",2,IF('General Information'!$I$29="Zone 3",3,IF('General Information'!$I$29="Zone 4",4,0)))))</f>
        <v>#VALUE!</v>
      </c>
      <c r="BB97" s="692" t="e">
        <f>INDEX($AE$107:$AH$125,MATCH($AC97,$AC$84:$AC$102,0),IF('General Information'!$I$29="Zone 1",1,IF('General Information'!$I$29="Zone 2",2,IF('General Information'!$I$29="Zone 3",3,IF('General Information'!$I$29="Zone 4",4,0)))))</f>
        <v>#VALUE!</v>
      </c>
      <c r="BC97" s="692" t="e">
        <f>INDEX($AE$107:$AH$125,MATCH($AC97,$AC$84:$AC$102,0),IF('General Information'!$I$29="Zone 1",1,IF('General Information'!$I$29="Zone 2",2,IF('General Information'!$I$29="Zone 3",3,IF('General Information'!$I$29="Zone 4",4,0)))))</f>
        <v>#VALUE!</v>
      </c>
      <c r="BD97" s="693" t="s">
        <v>762</v>
      </c>
      <c r="BF97" s="298">
        <v>94</v>
      </c>
      <c r="BG97" s="32" t="s">
        <v>926</v>
      </c>
    </row>
    <row r="98" spans="1:59">
      <c r="A98" s="301" t="str">
        <f t="shared" ca="1" si="2"/>
        <v/>
      </c>
      <c r="B98" s="590" t="str">
        <f t="shared" ca="1" si="3"/>
        <v/>
      </c>
      <c r="C98" s="657" t="str">
        <f ca="1">IFERROR(INDEX($AE$10:$BC$105,MATCH(B103,Lookups!$AC$10:$AC$106,0),IF('General Information'!$I$28="Yes",1,IF(INDEX($AE$10:$BC$105,MATCH(B103,Lookups!$AC$10:$AC$106,0),MATCH('General Information'!$D$23,Lookups!$AE$7:$BC$7,0))&lt;&gt;0,MATCH('General Information'!$D$23,Lookups!$AE$7:$BC$7,0),25))),"")</f>
        <v/>
      </c>
      <c r="D98" s="652" t="str">
        <f t="shared" ca="1" si="4"/>
        <v/>
      </c>
      <c r="G98" s="84"/>
      <c r="H98" s="84"/>
      <c r="I98" s="84"/>
      <c r="J98" s="84"/>
      <c r="K98" s="84"/>
      <c r="M98" s="84"/>
      <c r="N98" s="84"/>
      <c r="O98" s="85"/>
      <c r="P98" s="85"/>
      <c r="Q98" s="84"/>
      <c r="R98" s="85"/>
      <c r="S98" s="84"/>
      <c r="T98" s="84"/>
      <c r="U98" s="84"/>
      <c r="V98" s="84"/>
      <c r="W98" s="84"/>
      <c r="X98" s="84"/>
      <c r="Y98" s="84"/>
      <c r="Z98" s="84"/>
      <c r="AA98" s="84"/>
      <c r="AC98" s="690" t="s">
        <v>927</v>
      </c>
      <c r="AD98" s="691" t="s">
        <v>925</v>
      </c>
      <c r="AE98" s="692">
        <f>INDEX($AE$107:$AH$125,MATCH($AC98,$AC$84:$AC$102,0),IF('General Information'!$I$29="Zone 1",1,IF('General Information'!$I$29="Zone 2",2,IF('General Information'!$I$29="Zone 3",3,IF('General Information'!$I$29="Zone 4",4,0)))))</f>
        <v>90</v>
      </c>
      <c r="AF98" s="692">
        <f>INDEX($AE$107:$AH$125,MATCH($AC98,$AC$84:$AC$102,0),IF('General Information'!$I$29="Zone 1",1,IF('General Information'!$I$29="Zone 2",2,IF('General Information'!$I$29="Zone 3",3,IF('General Information'!$I$29="Zone 4",4,0)))))</f>
        <v>90</v>
      </c>
      <c r="AG98" s="692">
        <f>INDEX($AE$107:$AH$125,MATCH($AC98,$AC$84:$AC$102,0),IF('General Information'!$I$29="Zone 1",1,IF('General Information'!$I$29="Zone 2",2,IF('General Information'!$I$29="Zone 3",3,IF('General Information'!$I$29="Zone 4",4,0)))))</f>
        <v>90</v>
      </c>
      <c r="AH98" s="692">
        <f>INDEX($AE$107:$AH$125,MATCH($AC98,$AC$84:$AC$102,0),IF('General Information'!$I$29="Zone 1",1,IF('General Information'!$I$29="Zone 2",2,IF('General Information'!$I$29="Zone 3",3,IF('General Information'!$I$29="Zone 4",4,0)))))</f>
        <v>90</v>
      </c>
      <c r="AI98" s="692" t="e">
        <f>INDEX($AE$107:$AH$125,MATCH($AC98,$AC$84:$AC$102,0),IF('General Information'!$I$29="Zone 1",1,IF('General Information'!$I$29="Zone 2",2,IF('General Information'!$I$29="Zone 3",3,IF('General Information'!$I$29="Zone 4",4,0)))))</f>
        <v>#VALUE!</v>
      </c>
      <c r="AJ98" s="692" t="e">
        <f>INDEX($AE$107:$AH$125,MATCH($AC98,$AC$84:$AC$102,0),IF('General Information'!$I$29="Zone 1",1,IF('General Information'!$I$29="Zone 2",2,IF('General Information'!$I$29="Zone 3",3,IF('General Information'!$I$29="Zone 4",4,0)))))</f>
        <v>#VALUE!</v>
      </c>
      <c r="AK98" s="692" t="e">
        <f>INDEX($AE$107:$AH$125,MATCH($AC98,$AC$84:$AC$102,0),IF('General Information'!$I$29="Zone 1",1,IF('General Information'!$I$29="Zone 2",2,IF('General Information'!$I$29="Zone 3",3,IF('General Information'!$I$29="Zone 4",4,0)))))</f>
        <v>#VALUE!</v>
      </c>
      <c r="AL98" s="692" t="e">
        <f>INDEX($AE$107:$AH$125,MATCH($AC98,$AC$84:$AC$102,0),IF('General Information'!$I$29="Zone 1",1,IF('General Information'!$I$29="Zone 2",2,IF('General Information'!$I$29="Zone 3",3,IF('General Information'!$I$29="Zone 4",4,0)))))</f>
        <v>#VALUE!</v>
      </c>
      <c r="AM98" s="692" t="e">
        <f>INDEX($AE$107:$AH$125,MATCH($AC98,$AC$84:$AC$102,0),IF('General Information'!$I$29="Zone 1",1,IF('General Information'!$I$29="Zone 2",2,IF('General Information'!$I$29="Zone 3",3,IF('General Information'!$I$29="Zone 4",4,0)))))</f>
        <v>#VALUE!</v>
      </c>
      <c r="AN98" s="692" t="e">
        <f>INDEX($AE$107:$AH$125,MATCH($AC98,$AC$84:$AC$102,0),IF('General Information'!$I$29="Zone 1",1,IF('General Information'!$I$29="Zone 2",2,IF('General Information'!$I$29="Zone 3",3,IF('General Information'!$I$29="Zone 4",4,0)))))</f>
        <v>#VALUE!</v>
      </c>
      <c r="AO98" s="692" t="e">
        <f>INDEX($AE$107:$AH$125,MATCH($AC98,$AC$84:$AC$102,0),IF('General Information'!$I$29="Zone 1",1,IF('General Information'!$I$29="Zone 2",2,IF('General Information'!$I$29="Zone 3",3,IF('General Information'!$I$29="Zone 4",4,0)))))</f>
        <v>#VALUE!</v>
      </c>
      <c r="AP98" s="692" t="e">
        <f>INDEX($AE$107:$AH$125,MATCH($AC98,$AC$84:$AC$102,0),IF('General Information'!$I$29="Zone 1",1,IF('General Information'!$I$29="Zone 2",2,IF('General Information'!$I$29="Zone 3",3,IF('General Information'!$I$29="Zone 4",4,0)))))</f>
        <v>#VALUE!</v>
      </c>
      <c r="AQ98" s="692" t="e">
        <f>INDEX($AE$107:$AH$125,MATCH($AC98,$AC$84:$AC$102,0),IF('General Information'!$I$29="Zone 1",1,IF('General Information'!$I$29="Zone 2",2,IF('General Information'!$I$29="Zone 3",3,IF('General Information'!$I$29="Zone 4",4,0)))))</f>
        <v>#VALUE!</v>
      </c>
      <c r="AR98" s="692" t="e">
        <f>INDEX($AE$107:$AH$125,MATCH($AC98,$AC$84:$AC$102,0),IF('General Information'!$I$29="Zone 1",1,IF('General Information'!$I$29="Zone 2",2,IF('General Information'!$I$29="Zone 3",3,IF('General Information'!$I$29="Zone 4",4,0)))))</f>
        <v>#VALUE!</v>
      </c>
      <c r="AS98" s="692" t="e">
        <f>INDEX($AE$107:$AH$125,MATCH($AC98,$AC$84:$AC$102,0),IF('General Information'!$I$29="Zone 1",1,IF('General Information'!$I$29="Zone 2",2,IF('General Information'!$I$29="Zone 3",3,IF('General Information'!$I$29="Zone 4",4,0)))))</f>
        <v>#VALUE!</v>
      </c>
      <c r="AT98" s="692" t="e">
        <f>INDEX($AE$107:$AH$125,MATCH($AC98,$AC$84:$AC$102,0),IF('General Information'!$I$29="Zone 1",1,IF('General Information'!$I$29="Zone 2",2,IF('General Information'!$I$29="Zone 3",3,IF('General Information'!$I$29="Zone 4",4,0)))))</f>
        <v>#VALUE!</v>
      </c>
      <c r="AU98" s="692" t="e">
        <f>INDEX($AE$107:$AH$125,MATCH($AC98,$AC$84:$AC$102,0),IF('General Information'!$I$29="Zone 1",1,IF('General Information'!$I$29="Zone 2",2,IF('General Information'!$I$29="Zone 3",3,IF('General Information'!$I$29="Zone 4",4,0)))))</f>
        <v>#VALUE!</v>
      </c>
      <c r="AV98" s="692" t="e">
        <f>INDEX($AE$107:$AH$125,MATCH($AC98,$AC$84:$AC$102,0),IF('General Information'!$I$29="Zone 1",1,IF('General Information'!$I$29="Zone 2",2,IF('General Information'!$I$29="Zone 3",3,IF('General Information'!$I$29="Zone 4",4,0)))))</f>
        <v>#VALUE!</v>
      </c>
      <c r="AW98" s="692" t="e">
        <f>INDEX($AE$107:$AH$125,MATCH($AC98,$AC$84:$AC$102,0),IF('General Information'!$I$29="Zone 1",1,IF('General Information'!$I$29="Zone 2",2,IF('General Information'!$I$29="Zone 3",3,IF('General Information'!$I$29="Zone 4",4,0)))))</f>
        <v>#VALUE!</v>
      </c>
      <c r="AX98" s="692" t="e">
        <f>INDEX($AE$107:$AH$125,MATCH($AC98,$AC$84:$AC$102,0),IF('General Information'!$I$29="Zone 1",1,IF('General Information'!$I$29="Zone 2",2,IF('General Information'!$I$29="Zone 3",3,IF('General Information'!$I$29="Zone 4",4,0)))))</f>
        <v>#VALUE!</v>
      </c>
      <c r="AY98" s="692" t="e">
        <f>INDEX($AE$107:$AH$125,MATCH($AC98,$AC$84:$AC$102,0),IF('General Information'!$I$29="Zone 1",1,IF('General Information'!$I$29="Zone 2",2,IF('General Information'!$I$29="Zone 3",3,IF('General Information'!$I$29="Zone 4",4,0)))))</f>
        <v>#VALUE!</v>
      </c>
      <c r="AZ98" s="692" t="e">
        <f>INDEX($AE$107:$AH$125,MATCH($AC98,$AC$84:$AC$102,0),IF('General Information'!$I$29="Zone 1",1,IF('General Information'!$I$29="Zone 2",2,IF('General Information'!$I$29="Zone 3",3,IF('General Information'!$I$29="Zone 4",4,0)))))</f>
        <v>#VALUE!</v>
      </c>
      <c r="BA98" s="692" t="e">
        <f>INDEX($AE$107:$AH$125,MATCH($AC98,$AC$84:$AC$102,0),IF('General Information'!$I$29="Zone 1",1,IF('General Information'!$I$29="Zone 2",2,IF('General Information'!$I$29="Zone 3",3,IF('General Information'!$I$29="Zone 4",4,0)))))</f>
        <v>#VALUE!</v>
      </c>
      <c r="BB98" s="692" t="e">
        <f>INDEX($AE$107:$AH$125,MATCH($AC98,$AC$84:$AC$102,0),IF('General Information'!$I$29="Zone 1",1,IF('General Information'!$I$29="Zone 2",2,IF('General Information'!$I$29="Zone 3",3,IF('General Information'!$I$29="Zone 4",4,0)))))</f>
        <v>#VALUE!</v>
      </c>
      <c r="BC98" s="692" t="e">
        <f>INDEX($AE$107:$AH$125,MATCH($AC98,$AC$84:$AC$102,0),IF('General Information'!$I$29="Zone 1",1,IF('General Information'!$I$29="Zone 2",2,IF('General Information'!$I$29="Zone 3",3,IF('General Information'!$I$29="Zone 4",4,0)))))</f>
        <v>#VALUE!</v>
      </c>
      <c r="BD98" s="693" t="s">
        <v>762</v>
      </c>
      <c r="BF98" s="298">
        <v>95</v>
      </c>
      <c r="BG98" s="32" t="s">
        <v>928</v>
      </c>
    </row>
    <row r="99" spans="1:59">
      <c r="A99" s="301" t="str">
        <f t="shared" ca="1" si="2"/>
        <v/>
      </c>
      <c r="B99" s="590" t="str">
        <f t="shared" ca="1" si="3"/>
        <v/>
      </c>
      <c r="C99" s="657" t="str">
        <f ca="1">IFERROR(INDEX($AE$10:$BC$105,MATCH(B104,Lookups!$AC$10:$AC$106,0),IF('General Information'!$I$28="Yes",1,IF(INDEX($AE$10:$BC$105,MATCH(B104,Lookups!$AC$10:$AC$106,0),MATCH('General Information'!$D$23,Lookups!$AE$7:$BC$7,0))&lt;&gt;0,MATCH('General Information'!$D$23,Lookups!$AE$7:$BC$7,0),25))),"")</f>
        <v/>
      </c>
      <c r="D99" s="652" t="str">
        <f t="shared" ca="1" si="4"/>
        <v/>
      </c>
      <c r="G99" s="84"/>
      <c r="H99" s="84"/>
      <c r="I99" s="84"/>
      <c r="J99" s="84"/>
      <c r="K99" s="84"/>
      <c r="M99" s="84"/>
      <c r="N99" s="84"/>
      <c r="O99" s="85"/>
      <c r="P99" s="85"/>
      <c r="Q99" s="84"/>
      <c r="R99" s="85"/>
      <c r="S99" s="84"/>
      <c r="T99" s="84"/>
      <c r="U99" s="84"/>
      <c r="V99" s="84"/>
      <c r="W99" s="84"/>
      <c r="X99" s="84"/>
      <c r="Y99" s="84"/>
      <c r="Z99" s="84"/>
      <c r="AA99" s="84"/>
      <c r="AC99" s="690" t="s">
        <v>929</v>
      </c>
      <c r="AD99" s="691"/>
      <c r="AE99" s="692">
        <f>INDEX($AE$107:$AH$125,MATCH($AC99,$AC$84:$AC$102,0),IF('General Information'!$I$29="Zone 1",1,IF('General Information'!$I$29="Zone 2",2,IF('General Information'!$I$29="Zone 3",3,IF('General Information'!$I$29="Zone 4",4,0)))))</f>
        <v>0.75</v>
      </c>
      <c r="AF99" s="692">
        <f>INDEX($AE$107:$AH$125,MATCH($AC99,$AC$84:$AC$102,0),IF('General Information'!$I$29="Zone 1",1,IF('General Information'!$I$29="Zone 2",2,IF('General Information'!$I$29="Zone 3",3,IF('General Information'!$I$29="Zone 4",4,0)))))</f>
        <v>0.75</v>
      </c>
      <c r="AG99" s="692">
        <f>INDEX($AE$107:$AH$125,MATCH($AC99,$AC$84:$AC$102,0),IF('General Information'!$I$29="Zone 1",1,IF('General Information'!$I$29="Zone 2",2,IF('General Information'!$I$29="Zone 3",3,IF('General Information'!$I$29="Zone 4",4,0)))))</f>
        <v>0.75</v>
      </c>
      <c r="AH99" s="692">
        <f>INDEX($AE$107:$AH$125,MATCH($AC99,$AC$84:$AC$102,0),IF('General Information'!$I$29="Zone 1",1,IF('General Information'!$I$29="Zone 2",2,IF('General Information'!$I$29="Zone 3",3,IF('General Information'!$I$29="Zone 4",4,0)))))</f>
        <v>0.75</v>
      </c>
      <c r="AI99" s="692" t="e">
        <f>INDEX($AE$107:$AH$125,MATCH($AC99,$AC$84:$AC$102,0),IF('General Information'!$I$29="Zone 1",1,IF('General Information'!$I$29="Zone 2",2,IF('General Information'!$I$29="Zone 3",3,IF('General Information'!$I$29="Zone 4",4,0)))))</f>
        <v>#VALUE!</v>
      </c>
      <c r="AJ99" s="692" t="e">
        <f>INDEX($AE$107:$AH$125,MATCH($AC99,$AC$84:$AC$102,0),IF('General Information'!$I$29="Zone 1",1,IF('General Information'!$I$29="Zone 2",2,IF('General Information'!$I$29="Zone 3",3,IF('General Information'!$I$29="Zone 4",4,0)))))</f>
        <v>#VALUE!</v>
      </c>
      <c r="AK99" s="692" t="e">
        <f>INDEX($AE$107:$AH$125,MATCH($AC99,$AC$84:$AC$102,0),IF('General Information'!$I$29="Zone 1",1,IF('General Information'!$I$29="Zone 2",2,IF('General Information'!$I$29="Zone 3",3,IF('General Information'!$I$29="Zone 4",4,0)))))</f>
        <v>#VALUE!</v>
      </c>
      <c r="AL99" s="692" t="e">
        <f>INDEX($AE$107:$AH$125,MATCH($AC99,$AC$84:$AC$102,0),IF('General Information'!$I$29="Zone 1",1,IF('General Information'!$I$29="Zone 2",2,IF('General Information'!$I$29="Zone 3",3,IF('General Information'!$I$29="Zone 4",4,0)))))</f>
        <v>#VALUE!</v>
      </c>
      <c r="AM99" s="692" t="e">
        <f>INDEX($AE$107:$AH$125,MATCH($AC99,$AC$84:$AC$102,0),IF('General Information'!$I$29="Zone 1",1,IF('General Information'!$I$29="Zone 2",2,IF('General Information'!$I$29="Zone 3",3,IF('General Information'!$I$29="Zone 4",4,0)))))</f>
        <v>#VALUE!</v>
      </c>
      <c r="AN99" s="692" t="e">
        <f>INDEX($AE$107:$AH$125,MATCH($AC99,$AC$84:$AC$102,0),IF('General Information'!$I$29="Zone 1",1,IF('General Information'!$I$29="Zone 2",2,IF('General Information'!$I$29="Zone 3",3,IF('General Information'!$I$29="Zone 4",4,0)))))</f>
        <v>#VALUE!</v>
      </c>
      <c r="AO99" s="692" t="e">
        <f>INDEX($AE$107:$AH$125,MATCH($AC99,$AC$84:$AC$102,0),IF('General Information'!$I$29="Zone 1",1,IF('General Information'!$I$29="Zone 2",2,IF('General Information'!$I$29="Zone 3",3,IF('General Information'!$I$29="Zone 4",4,0)))))</f>
        <v>#VALUE!</v>
      </c>
      <c r="AP99" s="692" t="e">
        <f>INDEX($AE$107:$AH$125,MATCH($AC99,$AC$84:$AC$102,0),IF('General Information'!$I$29="Zone 1",1,IF('General Information'!$I$29="Zone 2",2,IF('General Information'!$I$29="Zone 3",3,IF('General Information'!$I$29="Zone 4",4,0)))))</f>
        <v>#VALUE!</v>
      </c>
      <c r="AQ99" s="692" t="e">
        <f>INDEX($AE$107:$AH$125,MATCH($AC99,$AC$84:$AC$102,0),IF('General Information'!$I$29="Zone 1",1,IF('General Information'!$I$29="Zone 2",2,IF('General Information'!$I$29="Zone 3",3,IF('General Information'!$I$29="Zone 4",4,0)))))</f>
        <v>#VALUE!</v>
      </c>
      <c r="AR99" s="692" t="e">
        <f>INDEX($AE$107:$AH$125,MATCH($AC99,$AC$84:$AC$102,0),IF('General Information'!$I$29="Zone 1",1,IF('General Information'!$I$29="Zone 2",2,IF('General Information'!$I$29="Zone 3",3,IF('General Information'!$I$29="Zone 4",4,0)))))</f>
        <v>#VALUE!</v>
      </c>
      <c r="AS99" s="692" t="e">
        <f>INDEX($AE$107:$AH$125,MATCH($AC99,$AC$84:$AC$102,0),IF('General Information'!$I$29="Zone 1",1,IF('General Information'!$I$29="Zone 2",2,IF('General Information'!$I$29="Zone 3",3,IF('General Information'!$I$29="Zone 4",4,0)))))</f>
        <v>#VALUE!</v>
      </c>
      <c r="AT99" s="692" t="e">
        <f>INDEX($AE$107:$AH$125,MATCH($AC99,$AC$84:$AC$102,0),IF('General Information'!$I$29="Zone 1",1,IF('General Information'!$I$29="Zone 2",2,IF('General Information'!$I$29="Zone 3",3,IF('General Information'!$I$29="Zone 4",4,0)))))</f>
        <v>#VALUE!</v>
      </c>
      <c r="AU99" s="692" t="e">
        <f>INDEX($AE$107:$AH$125,MATCH($AC99,$AC$84:$AC$102,0),IF('General Information'!$I$29="Zone 1",1,IF('General Information'!$I$29="Zone 2",2,IF('General Information'!$I$29="Zone 3",3,IF('General Information'!$I$29="Zone 4",4,0)))))</f>
        <v>#VALUE!</v>
      </c>
      <c r="AV99" s="692" t="e">
        <f>INDEX($AE$107:$AH$125,MATCH($AC99,$AC$84:$AC$102,0),IF('General Information'!$I$29="Zone 1",1,IF('General Information'!$I$29="Zone 2",2,IF('General Information'!$I$29="Zone 3",3,IF('General Information'!$I$29="Zone 4",4,0)))))</f>
        <v>#VALUE!</v>
      </c>
      <c r="AW99" s="692" t="e">
        <f>INDEX($AE$107:$AH$125,MATCH($AC99,$AC$84:$AC$102,0),IF('General Information'!$I$29="Zone 1",1,IF('General Information'!$I$29="Zone 2",2,IF('General Information'!$I$29="Zone 3",3,IF('General Information'!$I$29="Zone 4",4,0)))))</f>
        <v>#VALUE!</v>
      </c>
      <c r="AX99" s="692" t="e">
        <f>INDEX($AE$107:$AH$125,MATCH($AC99,$AC$84:$AC$102,0),IF('General Information'!$I$29="Zone 1",1,IF('General Information'!$I$29="Zone 2",2,IF('General Information'!$I$29="Zone 3",3,IF('General Information'!$I$29="Zone 4",4,0)))))</f>
        <v>#VALUE!</v>
      </c>
      <c r="AY99" s="692" t="e">
        <f>INDEX($AE$107:$AH$125,MATCH($AC99,$AC$84:$AC$102,0),IF('General Information'!$I$29="Zone 1",1,IF('General Information'!$I$29="Zone 2",2,IF('General Information'!$I$29="Zone 3",3,IF('General Information'!$I$29="Zone 4",4,0)))))</f>
        <v>#VALUE!</v>
      </c>
      <c r="AZ99" s="692" t="e">
        <f>INDEX($AE$107:$AH$125,MATCH($AC99,$AC$84:$AC$102,0),IF('General Information'!$I$29="Zone 1",1,IF('General Information'!$I$29="Zone 2",2,IF('General Information'!$I$29="Zone 3",3,IF('General Information'!$I$29="Zone 4",4,0)))))</f>
        <v>#VALUE!</v>
      </c>
      <c r="BA99" s="692" t="e">
        <f>INDEX($AE$107:$AH$125,MATCH($AC99,$AC$84:$AC$102,0),IF('General Information'!$I$29="Zone 1",1,IF('General Information'!$I$29="Zone 2",2,IF('General Information'!$I$29="Zone 3",3,IF('General Information'!$I$29="Zone 4",4,0)))))</f>
        <v>#VALUE!</v>
      </c>
      <c r="BB99" s="692" t="e">
        <f>INDEX($AE$107:$AH$125,MATCH($AC99,$AC$84:$AC$102,0),IF('General Information'!$I$29="Zone 1",1,IF('General Information'!$I$29="Zone 2",2,IF('General Information'!$I$29="Zone 3",3,IF('General Information'!$I$29="Zone 4",4,0)))))</f>
        <v>#VALUE!</v>
      </c>
      <c r="BC99" s="692" t="e">
        <f>INDEX($AE$107:$AH$125,MATCH($AC99,$AC$84:$AC$102,0),IF('General Information'!$I$29="Zone 1",1,IF('General Information'!$I$29="Zone 2",2,IF('General Information'!$I$29="Zone 3",3,IF('General Information'!$I$29="Zone 4",4,0)))))</f>
        <v>#VALUE!</v>
      </c>
      <c r="BD99" s="693" t="s">
        <v>762</v>
      </c>
      <c r="BF99" s="298">
        <v>96</v>
      </c>
      <c r="BG99" s="32" t="s">
        <v>930</v>
      </c>
    </row>
    <row r="100" spans="1:59">
      <c r="A100" s="301" t="str">
        <f t="shared" ca="1" si="2"/>
        <v/>
      </c>
      <c r="B100" s="590" t="str">
        <f t="shared" ca="1" si="3"/>
        <v/>
      </c>
      <c r="C100" s="657" t="str">
        <f ca="1">IFERROR(INDEX($AE$10:$BC$105,MATCH(B105,Lookups!$AC$10:$AC$106,0),IF('General Information'!$I$28="Yes",1,IF(INDEX($AE$10:$BC$105,MATCH(B105,Lookups!$AC$10:$AC$106,0),MATCH('General Information'!$D$23,Lookups!$AE$7:$BC$7,0))&lt;&gt;0,MATCH('General Information'!$D$23,Lookups!$AE$7:$BC$7,0),25))),"")</f>
        <v/>
      </c>
      <c r="D100" s="652" t="str">
        <f t="shared" ca="1" si="4"/>
        <v/>
      </c>
      <c r="G100" s="84"/>
      <c r="H100" s="84"/>
      <c r="I100" s="84"/>
      <c r="J100" s="84"/>
      <c r="K100" s="84"/>
      <c r="M100" s="84"/>
      <c r="N100" s="84"/>
      <c r="O100" s="85"/>
      <c r="P100" s="85"/>
      <c r="Q100" s="84"/>
      <c r="R100" s="85"/>
      <c r="S100" s="84"/>
      <c r="T100" s="84"/>
      <c r="U100" s="84"/>
      <c r="V100" s="84"/>
      <c r="W100" s="84"/>
      <c r="X100" s="84"/>
      <c r="Y100" s="84"/>
      <c r="Z100" s="84"/>
      <c r="AA100" s="84"/>
      <c r="AC100" s="690" t="s">
        <v>931</v>
      </c>
      <c r="AD100" s="691"/>
      <c r="AE100" s="692">
        <f>INDEX($AE$107:$AH$125,MATCH($AC100,$AC$84:$AC$102,0),IF('General Information'!$I$29="Zone 1",1,IF('General Information'!$I$29="Zone 2",2,IF('General Information'!$I$29="Zone 3",3,IF('General Information'!$I$29="Zone 4",4,0)))))</f>
        <v>0.5</v>
      </c>
      <c r="AF100" s="692">
        <f>INDEX($AE$107:$AH$125,MATCH($AC100,$AC$84:$AC$102,0),IF('General Information'!$I$29="Zone 1",1,IF('General Information'!$I$29="Zone 2",2,IF('General Information'!$I$29="Zone 3",3,IF('General Information'!$I$29="Zone 4",4,0)))))</f>
        <v>0.5</v>
      </c>
      <c r="AG100" s="692">
        <f>INDEX($AE$107:$AH$125,MATCH($AC100,$AC$84:$AC$102,0),IF('General Information'!$I$29="Zone 1",1,IF('General Information'!$I$29="Zone 2",2,IF('General Information'!$I$29="Zone 3",3,IF('General Information'!$I$29="Zone 4",4,0)))))</f>
        <v>0.5</v>
      </c>
      <c r="AH100" s="692">
        <f>INDEX($AE$107:$AH$125,MATCH($AC100,$AC$84:$AC$102,0),IF('General Information'!$I$29="Zone 1",1,IF('General Information'!$I$29="Zone 2",2,IF('General Information'!$I$29="Zone 3",3,IF('General Information'!$I$29="Zone 4",4,0)))))</f>
        <v>0.5</v>
      </c>
      <c r="AI100" s="692" t="e">
        <f>INDEX($AE$107:$AH$125,MATCH($AC100,$AC$84:$AC$102,0),IF('General Information'!$I$29="Zone 1",1,IF('General Information'!$I$29="Zone 2",2,IF('General Information'!$I$29="Zone 3",3,IF('General Information'!$I$29="Zone 4",4,0)))))</f>
        <v>#VALUE!</v>
      </c>
      <c r="AJ100" s="692" t="e">
        <f>INDEX($AE$107:$AH$125,MATCH($AC100,$AC$84:$AC$102,0),IF('General Information'!$I$29="Zone 1",1,IF('General Information'!$I$29="Zone 2",2,IF('General Information'!$I$29="Zone 3",3,IF('General Information'!$I$29="Zone 4",4,0)))))</f>
        <v>#VALUE!</v>
      </c>
      <c r="AK100" s="692" t="e">
        <f>INDEX($AE$107:$AH$125,MATCH($AC100,$AC$84:$AC$102,0),IF('General Information'!$I$29="Zone 1",1,IF('General Information'!$I$29="Zone 2",2,IF('General Information'!$I$29="Zone 3",3,IF('General Information'!$I$29="Zone 4",4,0)))))</f>
        <v>#VALUE!</v>
      </c>
      <c r="AL100" s="692" t="e">
        <f>INDEX($AE$107:$AH$125,MATCH($AC100,$AC$84:$AC$102,0),IF('General Information'!$I$29="Zone 1",1,IF('General Information'!$I$29="Zone 2",2,IF('General Information'!$I$29="Zone 3",3,IF('General Information'!$I$29="Zone 4",4,0)))))</f>
        <v>#VALUE!</v>
      </c>
      <c r="AM100" s="692" t="e">
        <f>INDEX($AE$107:$AH$125,MATCH($AC100,$AC$84:$AC$102,0),IF('General Information'!$I$29="Zone 1",1,IF('General Information'!$I$29="Zone 2",2,IF('General Information'!$I$29="Zone 3",3,IF('General Information'!$I$29="Zone 4",4,0)))))</f>
        <v>#VALUE!</v>
      </c>
      <c r="AN100" s="692" t="e">
        <f>INDEX($AE$107:$AH$125,MATCH($AC100,$AC$84:$AC$102,0),IF('General Information'!$I$29="Zone 1",1,IF('General Information'!$I$29="Zone 2",2,IF('General Information'!$I$29="Zone 3",3,IF('General Information'!$I$29="Zone 4",4,0)))))</f>
        <v>#VALUE!</v>
      </c>
      <c r="AO100" s="692" t="e">
        <f>INDEX($AE$107:$AH$125,MATCH($AC100,$AC$84:$AC$102,0),IF('General Information'!$I$29="Zone 1",1,IF('General Information'!$I$29="Zone 2",2,IF('General Information'!$I$29="Zone 3",3,IF('General Information'!$I$29="Zone 4",4,0)))))</f>
        <v>#VALUE!</v>
      </c>
      <c r="AP100" s="692" t="e">
        <f>INDEX($AE$107:$AH$125,MATCH($AC100,$AC$84:$AC$102,0),IF('General Information'!$I$29="Zone 1",1,IF('General Information'!$I$29="Zone 2",2,IF('General Information'!$I$29="Zone 3",3,IF('General Information'!$I$29="Zone 4",4,0)))))</f>
        <v>#VALUE!</v>
      </c>
      <c r="AQ100" s="692" t="e">
        <f>INDEX($AE$107:$AH$125,MATCH($AC100,$AC$84:$AC$102,0),IF('General Information'!$I$29="Zone 1",1,IF('General Information'!$I$29="Zone 2",2,IF('General Information'!$I$29="Zone 3",3,IF('General Information'!$I$29="Zone 4",4,0)))))</f>
        <v>#VALUE!</v>
      </c>
      <c r="AR100" s="692" t="e">
        <f>INDEX($AE$107:$AH$125,MATCH($AC100,$AC$84:$AC$102,0),IF('General Information'!$I$29="Zone 1",1,IF('General Information'!$I$29="Zone 2",2,IF('General Information'!$I$29="Zone 3",3,IF('General Information'!$I$29="Zone 4",4,0)))))</f>
        <v>#VALUE!</v>
      </c>
      <c r="AS100" s="692" t="e">
        <f>INDEX($AE$107:$AH$125,MATCH($AC100,$AC$84:$AC$102,0),IF('General Information'!$I$29="Zone 1",1,IF('General Information'!$I$29="Zone 2",2,IF('General Information'!$I$29="Zone 3",3,IF('General Information'!$I$29="Zone 4",4,0)))))</f>
        <v>#VALUE!</v>
      </c>
      <c r="AT100" s="692" t="e">
        <f>INDEX($AE$107:$AH$125,MATCH($AC100,$AC$84:$AC$102,0),IF('General Information'!$I$29="Zone 1",1,IF('General Information'!$I$29="Zone 2",2,IF('General Information'!$I$29="Zone 3",3,IF('General Information'!$I$29="Zone 4",4,0)))))</f>
        <v>#VALUE!</v>
      </c>
      <c r="AU100" s="692" t="e">
        <f>INDEX($AE$107:$AH$125,MATCH($AC100,$AC$84:$AC$102,0),IF('General Information'!$I$29="Zone 1",1,IF('General Information'!$I$29="Zone 2",2,IF('General Information'!$I$29="Zone 3",3,IF('General Information'!$I$29="Zone 4",4,0)))))</f>
        <v>#VALUE!</v>
      </c>
      <c r="AV100" s="692" t="e">
        <f>INDEX($AE$107:$AH$125,MATCH($AC100,$AC$84:$AC$102,0),IF('General Information'!$I$29="Zone 1",1,IF('General Information'!$I$29="Zone 2",2,IF('General Information'!$I$29="Zone 3",3,IF('General Information'!$I$29="Zone 4",4,0)))))</f>
        <v>#VALUE!</v>
      </c>
      <c r="AW100" s="692" t="e">
        <f>INDEX($AE$107:$AH$125,MATCH($AC100,$AC$84:$AC$102,0),IF('General Information'!$I$29="Zone 1",1,IF('General Information'!$I$29="Zone 2",2,IF('General Information'!$I$29="Zone 3",3,IF('General Information'!$I$29="Zone 4",4,0)))))</f>
        <v>#VALUE!</v>
      </c>
      <c r="AX100" s="692" t="e">
        <f>INDEX($AE$107:$AH$125,MATCH($AC100,$AC$84:$AC$102,0),IF('General Information'!$I$29="Zone 1",1,IF('General Information'!$I$29="Zone 2",2,IF('General Information'!$I$29="Zone 3",3,IF('General Information'!$I$29="Zone 4",4,0)))))</f>
        <v>#VALUE!</v>
      </c>
      <c r="AY100" s="692" t="e">
        <f>INDEX($AE$107:$AH$125,MATCH($AC100,$AC$84:$AC$102,0),IF('General Information'!$I$29="Zone 1",1,IF('General Information'!$I$29="Zone 2",2,IF('General Information'!$I$29="Zone 3",3,IF('General Information'!$I$29="Zone 4",4,0)))))</f>
        <v>#VALUE!</v>
      </c>
      <c r="AZ100" s="692" t="e">
        <f>INDEX($AE$107:$AH$125,MATCH($AC100,$AC$84:$AC$102,0),IF('General Information'!$I$29="Zone 1",1,IF('General Information'!$I$29="Zone 2",2,IF('General Information'!$I$29="Zone 3",3,IF('General Information'!$I$29="Zone 4",4,0)))))</f>
        <v>#VALUE!</v>
      </c>
      <c r="BA100" s="692" t="e">
        <f>INDEX($AE$107:$AH$125,MATCH($AC100,$AC$84:$AC$102,0),IF('General Information'!$I$29="Zone 1",1,IF('General Information'!$I$29="Zone 2",2,IF('General Information'!$I$29="Zone 3",3,IF('General Information'!$I$29="Zone 4",4,0)))))</f>
        <v>#VALUE!</v>
      </c>
      <c r="BB100" s="692" t="e">
        <f>INDEX($AE$107:$AH$125,MATCH($AC100,$AC$84:$AC$102,0),IF('General Information'!$I$29="Zone 1",1,IF('General Information'!$I$29="Zone 2",2,IF('General Information'!$I$29="Zone 3",3,IF('General Information'!$I$29="Zone 4",4,0)))))</f>
        <v>#VALUE!</v>
      </c>
      <c r="BC100" s="692" t="e">
        <f>INDEX($AE$107:$AH$125,MATCH($AC100,$AC$84:$AC$102,0),IF('General Information'!$I$29="Zone 1",1,IF('General Information'!$I$29="Zone 2",2,IF('General Information'!$I$29="Zone 3",3,IF('General Information'!$I$29="Zone 4",4,0)))))</f>
        <v>#VALUE!</v>
      </c>
      <c r="BD100" s="693" t="s">
        <v>762</v>
      </c>
      <c r="BF100" s="298">
        <v>97</v>
      </c>
      <c r="BG100" s="32" t="s">
        <v>932</v>
      </c>
    </row>
    <row r="101" spans="1:59">
      <c r="A101" s="301" t="str">
        <f t="shared" ca="1" si="2"/>
        <v/>
      </c>
      <c r="B101" s="590" t="str">
        <f t="shared" ca="1" si="3"/>
        <v/>
      </c>
      <c r="C101" s="657" t="str">
        <f>IFERROR(INDEX($AE$10:$BC$105,MATCH(B107,Lookups!$AC$10:$AC$106,0),IF('General Information'!$I$28="Yes",1,IF(INDEX($AE$10:$BC$105,MATCH(B107,Lookups!$AC$10:$AC$106,0),MATCH('General Information'!$D$23,Lookups!$AE$7:$BC$7,0))&lt;&gt;0,MATCH('General Information'!$D$23,Lookups!$AE$7:$BC$7,0),25))),"")</f>
        <v/>
      </c>
      <c r="D101" s="652" t="str">
        <f t="shared" ca="1" si="4"/>
        <v/>
      </c>
      <c r="G101" s="84"/>
      <c r="H101" s="84"/>
      <c r="I101" s="84"/>
      <c r="J101" s="84"/>
      <c r="K101" s="84"/>
      <c r="M101" s="84"/>
      <c r="N101" s="84"/>
      <c r="O101" s="85"/>
      <c r="P101" s="85"/>
      <c r="Q101" s="84"/>
      <c r="R101" s="85"/>
      <c r="S101" s="84"/>
      <c r="T101" s="84"/>
      <c r="U101" s="84"/>
      <c r="V101" s="84"/>
      <c r="W101" s="84"/>
      <c r="X101" s="84"/>
      <c r="Y101" s="84"/>
      <c r="Z101" s="84"/>
      <c r="AA101" s="84"/>
      <c r="AC101" s="690" t="s">
        <v>933</v>
      </c>
      <c r="AD101" s="691" t="s">
        <v>934</v>
      </c>
      <c r="AE101" s="692">
        <f>INDEX($AE$107:$AH$125,MATCH($AC101,$AC$84:$AC$102,0),IF('General Information'!$I$29="Zone 1",1,IF('General Information'!$I$29="Zone 2",2,IF('General Information'!$I$29="Zone 3",3,IF('General Information'!$I$29="Zone 4",4,0)))))</f>
        <v>400</v>
      </c>
      <c r="AF101" s="692">
        <f>INDEX($AE$107:$AH$125,MATCH($AC101,$AC$84:$AC$102,0),IF('General Information'!$I$29="Zone 1",1,IF('General Information'!$I$29="Zone 2",2,IF('General Information'!$I$29="Zone 3",3,IF('General Information'!$I$29="Zone 4",4,0)))))</f>
        <v>400</v>
      </c>
      <c r="AG101" s="692">
        <f>INDEX($AE$107:$AH$125,MATCH($AC101,$AC$84:$AC$102,0),IF('General Information'!$I$29="Zone 1",1,IF('General Information'!$I$29="Zone 2",2,IF('General Information'!$I$29="Zone 3",3,IF('General Information'!$I$29="Zone 4",4,0)))))</f>
        <v>400</v>
      </c>
      <c r="AH101" s="692">
        <f>INDEX($AE$107:$AH$125,MATCH($AC101,$AC$84:$AC$102,0),IF('General Information'!$I$29="Zone 1",1,IF('General Information'!$I$29="Zone 2",2,IF('General Information'!$I$29="Zone 3",3,IF('General Information'!$I$29="Zone 4",4,0)))))</f>
        <v>400</v>
      </c>
      <c r="AI101" s="692" t="e">
        <f>INDEX($AE$107:$AH$125,MATCH($AC101,$AC$84:$AC$102,0),IF('General Information'!$I$29="Zone 1",1,IF('General Information'!$I$29="Zone 2",2,IF('General Information'!$I$29="Zone 3",3,IF('General Information'!$I$29="Zone 4",4,0)))))</f>
        <v>#VALUE!</v>
      </c>
      <c r="AJ101" s="692" t="e">
        <f>INDEX($AE$107:$AH$125,MATCH($AC101,$AC$84:$AC$102,0),IF('General Information'!$I$29="Zone 1",1,IF('General Information'!$I$29="Zone 2",2,IF('General Information'!$I$29="Zone 3",3,IF('General Information'!$I$29="Zone 4",4,0)))))</f>
        <v>#VALUE!</v>
      </c>
      <c r="AK101" s="692" t="e">
        <f>INDEX($AE$107:$AH$125,MATCH($AC101,$AC$84:$AC$102,0),IF('General Information'!$I$29="Zone 1",1,IF('General Information'!$I$29="Zone 2",2,IF('General Information'!$I$29="Zone 3",3,IF('General Information'!$I$29="Zone 4",4,0)))))</f>
        <v>#VALUE!</v>
      </c>
      <c r="AL101" s="692" t="e">
        <f>INDEX($AE$107:$AH$125,MATCH($AC101,$AC$84:$AC$102,0),IF('General Information'!$I$29="Zone 1",1,IF('General Information'!$I$29="Zone 2",2,IF('General Information'!$I$29="Zone 3",3,IF('General Information'!$I$29="Zone 4",4,0)))))</f>
        <v>#VALUE!</v>
      </c>
      <c r="AM101" s="692" t="e">
        <f>INDEX($AE$107:$AH$125,MATCH($AC101,$AC$84:$AC$102,0),IF('General Information'!$I$29="Zone 1",1,IF('General Information'!$I$29="Zone 2",2,IF('General Information'!$I$29="Zone 3",3,IF('General Information'!$I$29="Zone 4",4,0)))))</f>
        <v>#VALUE!</v>
      </c>
      <c r="AN101" s="692" t="e">
        <f>INDEX($AE$107:$AH$125,MATCH($AC101,$AC$84:$AC$102,0),IF('General Information'!$I$29="Zone 1",1,IF('General Information'!$I$29="Zone 2",2,IF('General Information'!$I$29="Zone 3",3,IF('General Information'!$I$29="Zone 4",4,0)))))</f>
        <v>#VALUE!</v>
      </c>
      <c r="AO101" s="692" t="e">
        <f>INDEX($AE$107:$AH$125,MATCH($AC101,$AC$84:$AC$102,0),IF('General Information'!$I$29="Zone 1",1,IF('General Information'!$I$29="Zone 2",2,IF('General Information'!$I$29="Zone 3",3,IF('General Information'!$I$29="Zone 4",4,0)))))</f>
        <v>#VALUE!</v>
      </c>
      <c r="AP101" s="692" t="e">
        <f>INDEX($AE$107:$AH$125,MATCH($AC101,$AC$84:$AC$102,0),IF('General Information'!$I$29="Zone 1",1,IF('General Information'!$I$29="Zone 2",2,IF('General Information'!$I$29="Zone 3",3,IF('General Information'!$I$29="Zone 4",4,0)))))</f>
        <v>#VALUE!</v>
      </c>
      <c r="AQ101" s="692" t="e">
        <f>INDEX($AE$107:$AH$125,MATCH($AC101,$AC$84:$AC$102,0),IF('General Information'!$I$29="Zone 1",1,IF('General Information'!$I$29="Zone 2",2,IF('General Information'!$I$29="Zone 3",3,IF('General Information'!$I$29="Zone 4",4,0)))))</f>
        <v>#VALUE!</v>
      </c>
      <c r="AR101" s="692" t="e">
        <f>INDEX($AE$107:$AH$125,MATCH($AC101,$AC$84:$AC$102,0),IF('General Information'!$I$29="Zone 1",1,IF('General Information'!$I$29="Zone 2",2,IF('General Information'!$I$29="Zone 3",3,IF('General Information'!$I$29="Zone 4",4,0)))))</f>
        <v>#VALUE!</v>
      </c>
      <c r="AS101" s="692" t="e">
        <f>INDEX($AE$107:$AH$125,MATCH($AC101,$AC$84:$AC$102,0),IF('General Information'!$I$29="Zone 1",1,IF('General Information'!$I$29="Zone 2",2,IF('General Information'!$I$29="Zone 3",3,IF('General Information'!$I$29="Zone 4",4,0)))))</f>
        <v>#VALUE!</v>
      </c>
      <c r="AT101" s="692" t="e">
        <f>INDEX($AE$107:$AH$125,MATCH($AC101,$AC$84:$AC$102,0),IF('General Information'!$I$29="Zone 1",1,IF('General Information'!$I$29="Zone 2",2,IF('General Information'!$I$29="Zone 3",3,IF('General Information'!$I$29="Zone 4",4,0)))))</f>
        <v>#VALUE!</v>
      </c>
      <c r="AU101" s="692" t="e">
        <f>INDEX($AE$107:$AH$125,MATCH($AC101,$AC$84:$AC$102,0),IF('General Information'!$I$29="Zone 1",1,IF('General Information'!$I$29="Zone 2",2,IF('General Information'!$I$29="Zone 3",3,IF('General Information'!$I$29="Zone 4",4,0)))))</f>
        <v>#VALUE!</v>
      </c>
      <c r="AV101" s="692" t="e">
        <f>INDEX($AE$107:$AH$125,MATCH($AC101,$AC$84:$AC$102,0),IF('General Information'!$I$29="Zone 1",1,IF('General Information'!$I$29="Zone 2",2,IF('General Information'!$I$29="Zone 3",3,IF('General Information'!$I$29="Zone 4",4,0)))))</f>
        <v>#VALUE!</v>
      </c>
      <c r="AW101" s="692" t="e">
        <f>INDEX($AE$107:$AH$125,MATCH($AC101,$AC$84:$AC$102,0),IF('General Information'!$I$29="Zone 1",1,IF('General Information'!$I$29="Zone 2",2,IF('General Information'!$I$29="Zone 3",3,IF('General Information'!$I$29="Zone 4",4,0)))))</f>
        <v>#VALUE!</v>
      </c>
      <c r="AX101" s="692" t="e">
        <f>INDEX($AE$107:$AH$125,MATCH($AC101,$AC$84:$AC$102,0),IF('General Information'!$I$29="Zone 1",1,IF('General Information'!$I$29="Zone 2",2,IF('General Information'!$I$29="Zone 3",3,IF('General Information'!$I$29="Zone 4",4,0)))))</f>
        <v>#VALUE!</v>
      </c>
      <c r="AY101" s="692" t="e">
        <f>INDEX($AE$107:$AH$125,MATCH($AC101,$AC$84:$AC$102,0),IF('General Information'!$I$29="Zone 1",1,IF('General Information'!$I$29="Zone 2",2,IF('General Information'!$I$29="Zone 3",3,IF('General Information'!$I$29="Zone 4",4,0)))))</f>
        <v>#VALUE!</v>
      </c>
      <c r="AZ101" s="692" t="e">
        <f>INDEX($AE$107:$AH$125,MATCH($AC101,$AC$84:$AC$102,0),IF('General Information'!$I$29="Zone 1",1,IF('General Information'!$I$29="Zone 2",2,IF('General Information'!$I$29="Zone 3",3,IF('General Information'!$I$29="Zone 4",4,0)))))</f>
        <v>#VALUE!</v>
      </c>
      <c r="BA101" s="692" t="e">
        <f>INDEX($AE$107:$AH$125,MATCH($AC101,$AC$84:$AC$102,0),IF('General Information'!$I$29="Zone 1",1,IF('General Information'!$I$29="Zone 2",2,IF('General Information'!$I$29="Zone 3",3,IF('General Information'!$I$29="Zone 4",4,0)))))</f>
        <v>#VALUE!</v>
      </c>
      <c r="BB101" s="692" t="e">
        <f>INDEX($AE$107:$AH$125,MATCH($AC101,$AC$84:$AC$102,0),IF('General Information'!$I$29="Zone 1",1,IF('General Information'!$I$29="Zone 2",2,IF('General Information'!$I$29="Zone 3",3,IF('General Information'!$I$29="Zone 4",4,0)))))</f>
        <v>#VALUE!</v>
      </c>
      <c r="BC101" s="692" t="e">
        <f>INDEX($AE$107:$AH$125,MATCH($AC101,$AC$84:$AC$102,0),IF('General Information'!$I$29="Zone 1",1,IF('General Information'!$I$29="Zone 2",2,IF('General Information'!$I$29="Zone 3",3,IF('General Information'!$I$29="Zone 4",4,0)))))</f>
        <v>#VALUE!</v>
      </c>
      <c r="BD101" s="693" t="s">
        <v>762</v>
      </c>
      <c r="BF101" s="298">
        <v>98</v>
      </c>
      <c r="BG101" s="32" t="s">
        <v>935</v>
      </c>
    </row>
    <row r="102" spans="1:59" ht="15" thickBot="1">
      <c r="A102" s="301" t="str">
        <f t="shared" ca="1" si="2"/>
        <v/>
      </c>
      <c r="B102" s="590" t="str">
        <f t="shared" ca="1" si="3"/>
        <v/>
      </c>
      <c r="C102" s="657" t="str">
        <f>IFERROR(INDEX($AE$10:$BC$105,MATCH(B108,Lookups!$AC$10:$AC$106,0),IF('General Information'!$I$28="Yes",1,IF(INDEX($AE$10:$BC$105,MATCH(B108,Lookups!$AC$10:$AC$106,0),MATCH('General Information'!$D$23,Lookups!$AE$7:$BC$7,0))&lt;&gt;0,MATCH('General Information'!$D$23,Lookups!$AE$7:$BC$7,0),25))),"")</f>
        <v/>
      </c>
      <c r="D102" s="652" t="str">
        <f t="shared" ca="1" si="4"/>
        <v/>
      </c>
      <c r="G102" s="84"/>
      <c r="H102" s="84"/>
      <c r="I102" s="84"/>
      <c r="J102" s="84"/>
      <c r="K102" s="84"/>
      <c r="M102" s="84"/>
      <c r="N102" s="84"/>
      <c r="O102" s="85"/>
      <c r="P102" s="85"/>
      <c r="Q102" s="84"/>
      <c r="R102" s="85"/>
      <c r="S102" s="84"/>
      <c r="T102" s="84"/>
      <c r="U102" s="84"/>
      <c r="V102" s="84"/>
      <c r="W102" s="84"/>
      <c r="X102" s="84"/>
      <c r="Y102" s="84"/>
      <c r="Z102" s="84"/>
      <c r="AA102" s="84"/>
      <c r="AC102" s="695" t="s">
        <v>936</v>
      </c>
      <c r="AD102" s="696" t="s">
        <v>937</v>
      </c>
      <c r="AE102" s="697">
        <f>INDEX($AE$107:$AH$125,MATCH($AC102,$AC$84:$AC$102,0),IF('General Information'!$I$29="Zone 1",1,IF('General Information'!$I$29="Zone 2",2,IF('General Information'!$I$29="Zone 3",3,IF('General Information'!$I$29="Zone 4",4,0)))))</f>
        <v>800</v>
      </c>
      <c r="AF102" s="697">
        <f>INDEX($AE$107:$AH$125,MATCH($AC102,$AC$84:$AC$102,0),IF('General Information'!$I$29="Zone 1",1,IF('General Information'!$I$29="Zone 2",2,IF('General Information'!$I$29="Zone 3",3,IF('General Information'!$I$29="Zone 4",4,0)))))</f>
        <v>800</v>
      </c>
      <c r="AG102" s="697">
        <f>INDEX($AE$107:$AH$125,MATCH($AC102,$AC$84:$AC$102,0),IF('General Information'!$I$29="Zone 1",1,IF('General Information'!$I$29="Zone 2",2,IF('General Information'!$I$29="Zone 3",3,IF('General Information'!$I$29="Zone 4",4,0)))))</f>
        <v>800</v>
      </c>
      <c r="AH102" s="697">
        <f>INDEX($AE$107:$AH$125,MATCH($AC102,$AC$84:$AC$102,0),IF('General Information'!$I$29="Zone 1",1,IF('General Information'!$I$29="Zone 2",2,IF('General Information'!$I$29="Zone 3",3,IF('General Information'!$I$29="Zone 4",4,0)))))</f>
        <v>800</v>
      </c>
      <c r="AI102" s="697" t="e">
        <f>INDEX($AE$107:$AH$125,MATCH($AC102,$AC$84:$AC$102,0),IF('General Information'!$I$29="Zone 1",1,IF('General Information'!$I$29="Zone 2",2,IF('General Information'!$I$29="Zone 3",3,IF('General Information'!$I$29="Zone 4",4,0)))))</f>
        <v>#VALUE!</v>
      </c>
      <c r="AJ102" s="697" t="e">
        <f>INDEX($AE$107:$AH$125,MATCH($AC102,$AC$84:$AC$102,0),IF('General Information'!$I$29="Zone 1",1,IF('General Information'!$I$29="Zone 2",2,IF('General Information'!$I$29="Zone 3",3,IF('General Information'!$I$29="Zone 4",4,0)))))</f>
        <v>#VALUE!</v>
      </c>
      <c r="AK102" s="697" t="e">
        <f>INDEX($AE$107:$AH$125,MATCH($AC102,$AC$84:$AC$102,0),IF('General Information'!$I$29="Zone 1",1,IF('General Information'!$I$29="Zone 2",2,IF('General Information'!$I$29="Zone 3",3,IF('General Information'!$I$29="Zone 4",4,0)))))</f>
        <v>#VALUE!</v>
      </c>
      <c r="AL102" s="697" t="e">
        <f>INDEX($AE$107:$AH$125,MATCH($AC102,$AC$84:$AC$102,0),IF('General Information'!$I$29="Zone 1",1,IF('General Information'!$I$29="Zone 2",2,IF('General Information'!$I$29="Zone 3",3,IF('General Information'!$I$29="Zone 4",4,0)))))</f>
        <v>#VALUE!</v>
      </c>
      <c r="AM102" s="697" t="e">
        <f>INDEX($AE$107:$AH$125,MATCH($AC102,$AC$84:$AC$102,0),IF('General Information'!$I$29="Zone 1",1,IF('General Information'!$I$29="Zone 2",2,IF('General Information'!$I$29="Zone 3",3,IF('General Information'!$I$29="Zone 4",4,0)))))</f>
        <v>#VALUE!</v>
      </c>
      <c r="AN102" s="697" t="e">
        <f>INDEX($AE$107:$AH$125,MATCH($AC102,$AC$84:$AC$102,0),IF('General Information'!$I$29="Zone 1",1,IF('General Information'!$I$29="Zone 2",2,IF('General Information'!$I$29="Zone 3",3,IF('General Information'!$I$29="Zone 4",4,0)))))</f>
        <v>#VALUE!</v>
      </c>
      <c r="AO102" s="697" t="e">
        <f>INDEX($AE$107:$AH$125,MATCH($AC102,$AC$84:$AC$102,0),IF('General Information'!$I$29="Zone 1",1,IF('General Information'!$I$29="Zone 2",2,IF('General Information'!$I$29="Zone 3",3,IF('General Information'!$I$29="Zone 4",4,0)))))</f>
        <v>#VALUE!</v>
      </c>
      <c r="AP102" s="697" t="e">
        <f>INDEX($AE$107:$AH$125,MATCH($AC102,$AC$84:$AC$102,0),IF('General Information'!$I$29="Zone 1",1,IF('General Information'!$I$29="Zone 2",2,IF('General Information'!$I$29="Zone 3",3,IF('General Information'!$I$29="Zone 4",4,0)))))</f>
        <v>#VALUE!</v>
      </c>
      <c r="AQ102" s="697" t="e">
        <f>INDEX($AE$107:$AH$125,MATCH($AC102,$AC$84:$AC$102,0),IF('General Information'!$I$29="Zone 1",1,IF('General Information'!$I$29="Zone 2",2,IF('General Information'!$I$29="Zone 3",3,IF('General Information'!$I$29="Zone 4",4,0)))))</f>
        <v>#VALUE!</v>
      </c>
      <c r="AR102" s="697" t="e">
        <f>INDEX($AE$107:$AH$125,MATCH($AC102,$AC$84:$AC$102,0),IF('General Information'!$I$29="Zone 1",1,IF('General Information'!$I$29="Zone 2",2,IF('General Information'!$I$29="Zone 3",3,IF('General Information'!$I$29="Zone 4",4,0)))))</f>
        <v>#VALUE!</v>
      </c>
      <c r="AS102" s="697" t="e">
        <f>INDEX($AE$107:$AH$125,MATCH($AC102,$AC$84:$AC$102,0),IF('General Information'!$I$29="Zone 1",1,IF('General Information'!$I$29="Zone 2",2,IF('General Information'!$I$29="Zone 3",3,IF('General Information'!$I$29="Zone 4",4,0)))))</f>
        <v>#VALUE!</v>
      </c>
      <c r="AT102" s="697" t="e">
        <f>INDEX($AE$107:$AH$125,MATCH($AC102,$AC$84:$AC$102,0),IF('General Information'!$I$29="Zone 1",1,IF('General Information'!$I$29="Zone 2",2,IF('General Information'!$I$29="Zone 3",3,IF('General Information'!$I$29="Zone 4",4,0)))))</f>
        <v>#VALUE!</v>
      </c>
      <c r="AU102" s="697" t="e">
        <f>INDEX($AE$107:$AH$125,MATCH($AC102,$AC$84:$AC$102,0),IF('General Information'!$I$29="Zone 1",1,IF('General Information'!$I$29="Zone 2",2,IF('General Information'!$I$29="Zone 3",3,IF('General Information'!$I$29="Zone 4",4,0)))))</f>
        <v>#VALUE!</v>
      </c>
      <c r="AV102" s="697" t="e">
        <f>INDEX($AE$107:$AH$125,MATCH($AC102,$AC$84:$AC$102,0),IF('General Information'!$I$29="Zone 1",1,IF('General Information'!$I$29="Zone 2",2,IF('General Information'!$I$29="Zone 3",3,IF('General Information'!$I$29="Zone 4",4,0)))))</f>
        <v>#VALUE!</v>
      </c>
      <c r="AW102" s="697" t="e">
        <f>INDEX($AE$107:$AH$125,MATCH($AC102,$AC$84:$AC$102,0),IF('General Information'!$I$29="Zone 1",1,IF('General Information'!$I$29="Zone 2",2,IF('General Information'!$I$29="Zone 3",3,IF('General Information'!$I$29="Zone 4",4,0)))))</f>
        <v>#VALUE!</v>
      </c>
      <c r="AX102" s="697" t="e">
        <f>INDEX($AE$107:$AH$125,MATCH($AC102,$AC$84:$AC$102,0),IF('General Information'!$I$29="Zone 1",1,IF('General Information'!$I$29="Zone 2",2,IF('General Information'!$I$29="Zone 3",3,IF('General Information'!$I$29="Zone 4",4,0)))))</f>
        <v>#VALUE!</v>
      </c>
      <c r="AY102" s="697" t="e">
        <f>INDEX($AE$107:$AH$125,MATCH($AC102,$AC$84:$AC$102,0),IF('General Information'!$I$29="Zone 1",1,IF('General Information'!$I$29="Zone 2",2,IF('General Information'!$I$29="Zone 3",3,IF('General Information'!$I$29="Zone 4",4,0)))))</f>
        <v>#VALUE!</v>
      </c>
      <c r="AZ102" s="697" t="e">
        <f>INDEX($AE$107:$AH$125,MATCH($AC102,$AC$84:$AC$102,0),IF('General Information'!$I$29="Zone 1",1,IF('General Information'!$I$29="Zone 2",2,IF('General Information'!$I$29="Zone 3",3,IF('General Information'!$I$29="Zone 4",4,0)))))</f>
        <v>#VALUE!</v>
      </c>
      <c r="BA102" s="697" t="e">
        <f>INDEX($AE$107:$AH$125,MATCH($AC102,$AC$84:$AC$102,0),IF('General Information'!$I$29="Zone 1",1,IF('General Information'!$I$29="Zone 2",2,IF('General Information'!$I$29="Zone 3",3,IF('General Information'!$I$29="Zone 4",4,0)))))</f>
        <v>#VALUE!</v>
      </c>
      <c r="BB102" s="697" t="e">
        <f>INDEX($AE$107:$AH$125,MATCH($AC102,$AC$84:$AC$102,0),IF('General Information'!$I$29="Zone 1",1,IF('General Information'!$I$29="Zone 2",2,IF('General Information'!$I$29="Zone 3",3,IF('General Information'!$I$29="Zone 4",4,0)))))</f>
        <v>#VALUE!</v>
      </c>
      <c r="BC102" s="697" t="e">
        <f>INDEX($AE$107:$AH$125,MATCH($AC102,$AC$84:$AC$102,0),IF('General Information'!$I$29="Zone 1",1,IF('General Information'!$I$29="Zone 2",2,IF('General Information'!$I$29="Zone 3",3,IF('General Information'!$I$29="Zone 4",4,0)))))</f>
        <v>#VALUE!</v>
      </c>
      <c r="BD102" s="698" t="s">
        <v>762</v>
      </c>
      <c r="BF102" s="298">
        <v>99</v>
      </c>
      <c r="BG102" s="32" t="s">
        <v>938</v>
      </c>
    </row>
    <row r="103" spans="1:59" ht="15" thickBot="1">
      <c r="A103" s="301" t="str">
        <f t="shared" ca="1" si="2"/>
        <v/>
      </c>
      <c r="B103" s="590" t="str">
        <f t="shared" ca="1" si="3"/>
        <v/>
      </c>
      <c r="C103" s="657" t="str">
        <f>IFERROR(INDEX($AE$10:$BC$105,MATCH(B109,Lookups!$AC$10:$AC$106,0),IF('General Information'!$I$28="Yes",1,IF(INDEX($AE$10:$BC$105,MATCH(B109,Lookups!$AC$10:$AC$106,0),MATCH('General Information'!$D$23,Lookups!$AE$7:$BC$7,0))&lt;&gt;0,MATCH('General Information'!$D$23,Lookups!$AE$7:$BC$7,0),25))),"")</f>
        <v/>
      </c>
      <c r="D103" s="652" t="str">
        <f t="shared" ca="1" si="4"/>
        <v/>
      </c>
      <c r="G103" s="84"/>
      <c r="H103" s="84"/>
      <c r="I103" s="84"/>
      <c r="J103" s="84"/>
      <c r="K103" s="84"/>
      <c r="M103" s="84"/>
      <c r="N103" s="84"/>
      <c r="O103" s="85"/>
      <c r="P103" s="85"/>
      <c r="Q103" s="84"/>
      <c r="R103" s="85"/>
      <c r="S103" s="84"/>
      <c r="T103" s="84"/>
      <c r="U103" s="84"/>
      <c r="V103" s="84"/>
      <c r="W103" s="84"/>
      <c r="X103" s="84"/>
      <c r="Y103" s="84"/>
      <c r="Z103" s="84"/>
      <c r="AA103" s="84"/>
      <c r="BF103" s="298">
        <v>100</v>
      </c>
      <c r="BG103" s="32" t="s">
        <v>939</v>
      </c>
    </row>
    <row r="104" spans="1:59">
      <c r="A104" s="301" t="str">
        <f t="shared" ref="A104:A105" ca="1" si="5">IFERROR(MATCH("X",INDIRECT("$BD$"&amp;A103+1&amp;":$BD$105"),0)+A103,"")</f>
        <v/>
      </c>
      <c r="B104" s="590" t="str">
        <f t="shared" ref="B104" ca="1" si="6">IFERROR(INDIRECT("AC"&amp;A104),"")</f>
        <v/>
      </c>
      <c r="C104" s="657" t="str">
        <f>IFERROR(INDEX($AE$10:$BC$105,MATCH(B110,Lookups!$AC$10:$AC$106,0),IF('General Information'!$I$28="Yes",1,IF(INDEX($AE$10:$BC$105,MATCH(B110,Lookups!$AC$10:$AC$106,0),MATCH('General Information'!$D$23,Lookups!$AE$7:$BC$7,0))&lt;&gt;0,MATCH('General Information'!$D$23,Lookups!$AE$7:$BC$7,0),25))),"")</f>
        <v/>
      </c>
      <c r="D104" s="652" t="str">
        <f t="shared" ca="1" si="4"/>
        <v/>
      </c>
      <c r="G104" s="84"/>
      <c r="H104" s="84"/>
      <c r="I104" s="84"/>
      <c r="J104" s="84"/>
      <c r="K104" s="84"/>
      <c r="M104" s="84"/>
      <c r="N104" s="84"/>
      <c r="O104" s="85"/>
      <c r="P104" s="85"/>
      <c r="Q104" s="84"/>
      <c r="R104" s="85"/>
      <c r="S104" s="84"/>
      <c r="T104" s="84"/>
      <c r="U104" s="84"/>
      <c r="V104" s="84"/>
      <c r="W104" s="84"/>
      <c r="X104" s="84"/>
      <c r="Y104" s="84"/>
      <c r="Z104" s="84"/>
      <c r="AA104" s="84"/>
      <c r="AC104" s="1122" t="s">
        <v>940</v>
      </c>
      <c r="AD104" s="1123"/>
      <c r="AE104" s="1123"/>
      <c r="AF104" s="1123"/>
      <c r="AG104" s="1123"/>
      <c r="AH104" s="1124"/>
      <c r="BF104" s="298">
        <v>101</v>
      </c>
      <c r="BG104" s="32" t="s">
        <v>941</v>
      </c>
    </row>
    <row r="105" spans="1:59" ht="15" thickBot="1">
      <c r="A105" s="301" t="str">
        <f t="shared" ca="1" si="5"/>
        <v/>
      </c>
      <c r="B105" s="607" t="str">
        <f ca="1">IFERROR(INDIRECT("AC"&amp;A105),"")</f>
        <v/>
      </c>
      <c r="C105" s="699" t="str">
        <f>IFERROR(INDEX($AE$10:$BC$105,MATCH(B111,Lookups!$AC$10:$AC$106,0),IF('General Information'!$I$28="Yes",1,IF(INDEX($AE$10:$BC$105,MATCH(B111,Lookups!$AC$10:$AC$106,0),MATCH('General Information'!$D$23,Lookups!$AE$7:$BC$7,0))&lt;&gt;0,MATCH('General Information'!$D$23,Lookups!$AE$7:$BC$7,0),25))),"")</f>
        <v/>
      </c>
      <c r="D105" s="700" t="str">
        <f t="shared" ca="1" si="4"/>
        <v/>
      </c>
      <c r="G105" s="84"/>
      <c r="H105" s="84"/>
      <c r="I105" s="84"/>
      <c r="J105" s="84"/>
      <c r="K105" s="84"/>
      <c r="M105" s="84"/>
      <c r="N105" s="84"/>
      <c r="O105" s="85"/>
      <c r="P105" s="85"/>
      <c r="Q105" s="84"/>
      <c r="R105" s="85"/>
      <c r="S105" s="84"/>
      <c r="T105" s="84"/>
      <c r="U105" s="84"/>
      <c r="V105" s="84"/>
      <c r="W105" s="84"/>
      <c r="X105" s="84"/>
      <c r="Y105" s="84"/>
      <c r="Z105" s="84"/>
      <c r="AA105" s="84"/>
      <c r="AC105" s="1125"/>
      <c r="AD105" s="1126"/>
      <c r="AE105" s="1126"/>
      <c r="AF105" s="1126"/>
      <c r="AG105" s="1126"/>
      <c r="AH105" s="1127"/>
      <c r="BF105" s="298">
        <v>102</v>
      </c>
      <c r="BG105" s="32" t="s">
        <v>942</v>
      </c>
    </row>
    <row r="106" spans="1:59">
      <c r="A106" s="84"/>
      <c r="K106" s="84"/>
      <c r="M106" s="84"/>
      <c r="N106" s="84"/>
      <c r="O106" s="85"/>
      <c r="P106" s="85"/>
      <c r="Q106" s="84"/>
      <c r="R106" s="85"/>
      <c r="S106" s="84"/>
      <c r="T106" s="84"/>
      <c r="U106" s="84"/>
      <c r="V106" s="84"/>
      <c r="W106" s="84"/>
      <c r="X106" s="84"/>
      <c r="Y106" s="84"/>
      <c r="Z106" s="84"/>
      <c r="AA106" s="84"/>
      <c r="AC106" s="401" t="s">
        <v>643</v>
      </c>
      <c r="AD106" s="687" t="s">
        <v>670</v>
      </c>
      <c r="AE106" s="701" t="s">
        <v>943</v>
      </c>
      <c r="AF106" s="701" t="s">
        <v>944</v>
      </c>
      <c r="AG106" s="701" t="s">
        <v>945</v>
      </c>
      <c r="AH106" s="701" t="s">
        <v>946</v>
      </c>
      <c r="BF106" s="298">
        <v>103</v>
      </c>
      <c r="BG106" s="32" t="s">
        <v>947</v>
      </c>
    </row>
    <row r="107" spans="1:59">
      <c r="A107" s="84"/>
      <c r="B107" s="332"/>
      <c r="C107" s="365"/>
      <c r="G107" s="84"/>
      <c r="H107" s="84"/>
      <c r="I107" s="84"/>
      <c r="J107" s="84"/>
      <c r="K107" s="84"/>
      <c r="M107" s="84"/>
      <c r="N107" s="84"/>
      <c r="O107" s="85"/>
      <c r="P107" s="85"/>
      <c r="Q107" s="84"/>
      <c r="R107" s="85"/>
      <c r="S107" s="84"/>
      <c r="T107" s="84"/>
      <c r="U107" s="84"/>
      <c r="V107" s="84"/>
      <c r="W107" s="84"/>
      <c r="X107" s="84"/>
      <c r="Y107" s="84"/>
      <c r="Z107" s="84"/>
      <c r="AA107" s="84"/>
      <c r="AC107" s="690" t="s">
        <v>894</v>
      </c>
      <c r="AD107" s="691" t="s">
        <v>895</v>
      </c>
      <c r="AE107" s="691">
        <v>500</v>
      </c>
      <c r="AF107" s="691">
        <v>600</v>
      </c>
      <c r="AG107" s="691">
        <v>750</v>
      </c>
      <c r="AH107" s="691">
        <v>1300</v>
      </c>
      <c r="BF107" s="298">
        <v>104</v>
      </c>
      <c r="BG107" s="32" t="s">
        <v>948</v>
      </c>
    </row>
    <row r="108" spans="1:59">
      <c r="A108" s="84"/>
      <c r="B108" s="332"/>
      <c r="C108" s="365"/>
      <c r="G108" s="84"/>
      <c r="H108" s="84"/>
      <c r="I108" s="84"/>
      <c r="J108" s="84"/>
      <c r="K108" s="84"/>
      <c r="M108" s="84"/>
      <c r="N108" s="84"/>
      <c r="O108" s="85"/>
      <c r="P108" s="85"/>
      <c r="Q108" s="84"/>
      <c r="R108" s="85"/>
      <c r="S108" s="84"/>
      <c r="T108" s="84"/>
      <c r="U108" s="84"/>
      <c r="V108" s="84"/>
      <c r="W108" s="84"/>
      <c r="X108" s="84"/>
      <c r="Y108" s="84"/>
      <c r="Z108" s="84"/>
      <c r="AA108" s="84"/>
      <c r="AC108" s="690" t="s">
        <v>897</v>
      </c>
      <c r="AD108" s="691"/>
      <c r="AE108" s="691">
        <v>0.04</v>
      </c>
      <c r="AF108" s="691">
        <v>0.06</v>
      </c>
      <c r="AG108" s="691">
        <v>0.1</v>
      </c>
      <c r="AH108" s="691">
        <v>0.13</v>
      </c>
      <c r="BF108" s="298">
        <v>105</v>
      </c>
      <c r="BG108" s="32" t="s">
        <v>949</v>
      </c>
    </row>
    <row r="109" spans="1:59">
      <c r="A109" s="84"/>
      <c r="B109" s="332"/>
      <c r="C109" s="365"/>
      <c r="G109" s="84"/>
      <c r="H109" s="84"/>
      <c r="I109" s="84"/>
      <c r="J109" s="84"/>
      <c r="K109" s="84"/>
      <c r="M109" s="84"/>
      <c r="N109" s="84"/>
      <c r="O109" s="85"/>
      <c r="P109" s="85"/>
      <c r="Q109" s="84"/>
      <c r="R109" s="85"/>
      <c r="S109" s="84"/>
      <c r="T109" s="84"/>
      <c r="U109" s="84"/>
      <c r="V109" s="84"/>
      <c r="W109" s="84"/>
      <c r="X109" s="84"/>
      <c r="Y109" s="84"/>
      <c r="Z109" s="84"/>
      <c r="AA109" s="84"/>
      <c r="AC109" s="690" t="s">
        <v>899</v>
      </c>
      <c r="AD109" s="691" t="s">
        <v>900</v>
      </c>
      <c r="AE109" s="691">
        <v>0.7</v>
      </c>
      <c r="AF109" s="691">
        <v>0.7</v>
      </c>
      <c r="AG109" s="691">
        <v>0.8</v>
      </c>
      <c r="AH109" s="691">
        <v>1</v>
      </c>
      <c r="BF109" s="298">
        <v>106</v>
      </c>
      <c r="BG109" s="32" t="s">
        <v>950</v>
      </c>
    </row>
    <row r="110" spans="1:59">
      <c r="A110" s="84"/>
      <c r="B110" s="332"/>
      <c r="C110" s="365"/>
      <c r="G110" s="84"/>
      <c r="H110" s="84"/>
      <c r="I110" s="84"/>
      <c r="J110" s="84"/>
      <c r="K110" s="84"/>
      <c r="M110" s="84"/>
      <c r="N110" s="84"/>
      <c r="O110" s="85"/>
      <c r="P110" s="85"/>
      <c r="Q110" s="84"/>
      <c r="R110" s="85"/>
      <c r="S110" s="84"/>
      <c r="T110" s="84"/>
      <c r="U110" s="84"/>
      <c r="V110" s="84"/>
      <c r="W110" s="84"/>
      <c r="X110" s="84"/>
      <c r="Y110" s="84"/>
      <c r="Z110" s="84"/>
      <c r="AA110" s="84"/>
      <c r="AC110" s="690" t="s">
        <v>902</v>
      </c>
      <c r="AD110" s="691"/>
      <c r="AE110" s="691">
        <v>0.14000000000000001</v>
      </c>
      <c r="AF110" s="691">
        <v>0.14000000000000001</v>
      </c>
      <c r="AG110" s="691">
        <v>0.16</v>
      </c>
      <c r="AH110" s="691">
        <v>0.2</v>
      </c>
      <c r="BF110" s="298">
        <v>107</v>
      </c>
      <c r="BG110" s="32" t="s">
        <v>951</v>
      </c>
    </row>
    <row r="111" spans="1:59">
      <c r="A111" s="84"/>
      <c r="B111" s="332"/>
      <c r="C111" s="365"/>
      <c r="G111" s="84"/>
      <c r="H111" s="84"/>
      <c r="I111" s="84"/>
      <c r="J111" s="84"/>
      <c r="K111" s="84"/>
      <c r="M111" s="84"/>
      <c r="N111" s="84"/>
      <c r="O111" s="85"/>
      <c r="P111" s="85"/>
      <c r="Q111" s="84"/>
      <c r="R111" s="85"/>
      <c r="S111" s="84"/>
      <c r="T111" s="84"/>
      <c r="U111" s="84"/>
      <c r="V111" s="84"/>
      <c r="W111" s="84"/>
      <c r="X111" s="84"/>
      <c r="Y111" s="84"/>
      <c r="Z111" s="84"/>
      <c r="AA111" s="84"/>
      <c r="AC111" s="690" t="s">
        <v>903</v>
      </c>
      <c r="AD111" s="691"/>
      <c r="AE111" s="691">
        <v>0.75</v>
      </c>
      <c r="AF111" s="691">
        <v>1</v>
      </c>
      <c r="AG111" s="691">
        <v>1</v>
      </c>
      <c r="AH111" s="691">
        <v>1</v>
      </c>
      <c r="BF111" s="298">
        <v>108</v>
      </c>
      <c r="BG111" s="32" t="s">
        <v>952</v>
      </c>
    </row>
    <row r="112" spans="1:59">
      <c r="A112" s="84"/>
      <c r="B112" s="332"/>
      <c r="C112" s="365"/>
      <c r="G112" s="84"/>
      <c r="H112" s="84"/>
      <c r="I112" s="84"/>
      <c r="J112" s="84"/>
      <c r="K112" s="84"/>
      <c r="M112" s="84"/>
      <c r="N112" s="84"/>
      <c r="O112" s="85"/>
      <c r="P112" s="85"/>
      <c r="Q112" s="84"/>
      <c r="R112" s="85"/>
      <c r="S112" s="84"/>
      <c r="T112" s="84"/>
      <c r="U112" s="84"/>
      <c r="V112" s="84"/>
      <c r="W112" s="84"/>
      <c r="X112" s="84"/>
      <c r="Y112" s="84"/>
      <c r="Z112" s="84"/>
      <c r="AA112" s="84"/>
      <c r="AC112" s="690" t="s">
        <v>905</v>
      </c>
      <c r="AD112" s="691"/>
      <c r="AE112" s="691">
        <v>0.15</v>
      </c>
      <c r="AF112" s="691">
        <v>0.15</v>
      </c>
      <c r="AG112" s="691">
        <v>0.2</v>
      </c>
      <c r="AH112" s="691">
        <v>0.3</v>
      </c>
      <c r="BF112" s="298">
        <v>109</v>
      </c>
      <c r="BG112" s="32" t="s">
        <v>953</v>
      </c>
    </row>
    <row r="113" spans="1:59">
      <c r="A113" s="84"/>
      <c r="B113" s="332"/>
      <c r="C113" s="365"/>
      <c r="G113" s="84"/>
      <c r="H113" s="84"/>
      <c r="I113" s="84"/>
      <c r="J113" s="84"/>
      <c r="K113" s="84"/>
      <c r="M113" s="84"/>
      <c r="N113" s="84"/>
      <c r="O113" s="85"/>
      <c r="P113" s="85"/>
      <c r="Q113" s="84"/>
      <c r="R113" s="85"/>
      <c r="S113" s="84"/>
      <c r="T113" s="84"/>
      <c r="U113" s="84"/>
      <c r="V113" s="84"/>
      <c r="W113" s="84"/>
      <c r="X113" s="84"/>
      <c r="Y113" s="84"/>
      <c r="Z113" s="84"/>
      <c r="AA113" s="84"/>
      <c r="AC113" s="690" t="s">
        <v>907</v>
      </c>
      <c r="AD113" s="691" t="s">
        <v>908</v>
      </c>
      <c r="AE113" s="691">
        <v>20</v>
      </c>
      <c r="AF113" s="691">
        <v>20</v>
      </c>
      <c r="AG113" s="691">
        <v>30</v>
      </c>
      <c r="AH113" s="691">
        <v>30</v>
      </c>
      <c r="BF113" s="298">
        <v>110</v>
      </c>
      <c r="BG113" s="32" t="s">
        <v>954</v>
      </c>
    </row>
    <row r="114" spans="1:59">
      <c r="A114" s="84"/>
      <c r="B114" s="332"/>
      <c r="C114" s="365"/>
      <c r="G114" s="84"/>
      <c r="H114" s="84"/>
      <c r="I114" s="84"/>
      <c r="J114" s="84"/>
      <c r="K114" s="84"/>
      <c r="M114" s="84"/>
      <c r="N114" s="84"/>
      <c r="O114" s="85"/>
      <c r="P114" s="85"/>
      <c r="Q114" s="84"/>
      <c r="R114" s="85"/>
      <c r="S114" s="84"/>
      <c r="T114" s="84"/>
      <c r="U114" s="84"/>
      <c r="V114" s="84"/>
      <c r="W114" s="84"/>
      <c r="X114" s="84"/>
      <c r="Y114" s="84"/>
      <c r="Z114" s="84"/>
      <c r="AA114" s="84"/>
      <c r="AC114" s="690" t="s">
        <v>910</v>
      </c>
      <c r="AD114" s="691" t="s">
        <v>908</v>
      </c>
      <c r="AE114" s="691">
        <v>20</v>
      </c>
      <c r="AF114" s="691">
        <v>20</v>
      </c>
      <c r="AG114" s="691">
        <v>20</v>
      </c>
      <c r="AH114" s="691">
        <v>20</v>
      </c>
      <c r="BF114" s="298">
        <v>111</v>
      </c>
      <c r="BG114" s="32" t="s">
        <v>955</v>
      </c>
    </row>
    <row r="115" spans="1:59">
      <c r="A115" s="84"/>
      <c r="B115" s="332"/>
      <c r="C115" s="365"/>
      <c r="G115" s="84"/>
      <c r="H115" s="84"/>
      <c r="I115" s="84"/>
      <c r="J115" s="84"/>
      <c r="K115" s="84"/>
      <c r="M115" s="84"/>
      <c r="N115" s="84"/>
      <c r="O115" s="85"/>
      <c r="P115" s="85"/>
      <c r="Q115" s="84"/>
      <c r="R115" s="85"/>
      <c r="S115" s="84"/>
      <c r="T115" s="84"/>
      <c r="U115" s="84"/>
      <c r="V115" s="84"/>
      <c r="W115" s="84"/>
      <c r="X115" s="84"/>
      <c r="Y115" s="84"/>
      <c r="Z115" s="84"/>
      <c r="AA115" s="84"/>
      <c r="AC115" s="690" t="s">
        <v>912</v>
      </c>
      <c r="AD115" s="691"/>
      <c r="AE115" s="691">
        <v>0.25</v>
      </c>
      <c r="AF115" s="691">
        <v>0.25</v>
      </c>
      <c r="AG115" s="691">
        <v>0.4</v>
      </c>
      <c r="AH115" s="691">
        <v>0.4</v>
      </c>
      <c r="BF115" s="298">
        <v>112</v>
      </c>
      <c r="BG115" s="32" t="s">
        <v>956</v>
      </c>
    </row>
    <row r="116" spans="1:59">
      <c r="A116" s="84"/>
      <c r="B116" s="332"/>
      <c r="C116" s="365"/>
      <c r="G116" s="84"/>
      <c r="H116" s="84"/>
      <c r="I116" s="84"/>
      <c r="J116" s="84"/>
      <c r="K116" s="84"/>
      <c r="N116" s="84"/>
      <c r="O116" s="85"/>
      <c r="P116" s="85"/>
      <c r="Q116" s="84"/>
      <c r="R116" s="85"/>
      <c r="S116" s="84"/>
      <c r="T116" s="84"/>
      <c r="U116" s="84"/>
      <c r="V116" s="84"/>
      <c r="W116" s="84"/>
      <c r="X116" s="84"/>
      <c r="Y116" s="84"/>
      <c r="Z116" s="84"/>
      <c r="AA116" s="84"/>
      <c r="AC116" s="690" t="s">
        <v>914</v>
      </c>
      <c r="AD116" s="691"/>
      <c r="AE116" s="691">
        <v>0.6</v>
      </c>
      <c r="AF116" s="691">
        <v>0.6</v>
      </c>
      <c r="AG116" s="691">
        <v>0.8</v>
      </c>
      <c r="AH116" s="691">
        <v>1</v>
      </c>
      <c r="BF116" s="298">
        <v>113</v>
      </c>
      <c r="BG116" s="32" t="s">
        <v>957</v>
      </c>
    </row>
    <row r="117" spans="1:59">
      <c r="A117" s="84"/>
      <c r="B117" s="332"/>
      <c r="C117" s="365"/>
      <c r="G117" s="84"/>
      <c r="H117" s="84"/>
      <c r="I117" s="84"/>
      <c r="J117" s="84"/>
      <c r="K117" s="84"/>
      <c r="N117" s="84"/>
      <c r="O117" s="85"/>
      <c r="P117" s="85"/>
      <c r="Q117" s="84"/>
      <c r="R117" s="85"/>
      <c r="S117" s="84"/>
      <c r="T117" s="84"/>
      <c r="U117" s="84"/>
      <c r="V117" s="84"/>
      <c r="W117" s="84"/>
      <c r="X117" s="84"/>
      <c r="Y117" s="84"/>
      <c r="Z117" s="84"/>
      <c r="AA117" s="84"/>
      <c r="AC117" s="690" t="s">
        <v>916</v>
      </c>
      <c r="AD117" s="691"/>
      <c r="AE117" s="691">
        <v>0.25</v>
      </c>
      <c r="AF117" s="691">
        <v>0.25</v>
      </c>
      <c r="AG117" s="691">
        <v>0.5</v>
      </c>
      <c r="AH117" s="691">
        <v>0.7</v>
      </c>
      <c r="BF117" s="298">
        <v>114</v>
      </c>
      <c r="BG117" s="32" t="s">
        <v>958</v>
      </c>
    </row>
    <row r="118" spans="1:59">
      <c r="A118" s="84"/>
      <c r="B118" s="332"/>
      <c r="C118" s="365"/>
      <c r="G118" s="84"/>
      <c r="H118" s="84"/>
      <c r="I118" s="84"/>
      <c r="J118" s="84"/>
      <c r="K118" s="84"/>
      <c r="N118" s="84"/>
      <c r="O118" s="85"/>
      <c r="P118" s="85"/>
      <c r="Q118" s="84"/>
      <c r="R118" s="85"/>
      <c r="S118" s="84"/>
      <c r="T118" s="84"/>
      <c r="U118" s="84"/>
      <c r="V118" s="84"/>
      <c r="W118" s="84"/>
      <c r="X118" s="84"/>
      <c r="Y118" s="84"/>
      <c r="Z118" s="84"/>
      <c r="AA118" s="84"/>
      <c r="AC118" s="690" t="s">
        <v>918</v>
      </c>
      <c r="AD118" s="691" t="s">
        <v>919</v>
      </c>
      <c r="AE118" s="691">
        <v>0</v>
      </c>
      <c r="AF118" s="691">
        <v>10</v>
      </c>
      <c r="AG118" s="691">
        <v>10</v>
      </c>
      <c r="AH118" s="691">
        <v>30</v>
      </c>
      <c r="BF118" s="298">
        <v>115</v>
      </c>
      <c r="BG118" s="32" t="s">
        <v>959</v>
      </c>
    </row>
    <row r="119" spans="1:59">
      <c r="A119" s="84"/>
      <c r="B119" s="332"/>
      <c r="C119" s="365"/>
      <c r="G119" s="84"/>
      <c r="H119" s="84"/>
      <c r="I119" s="84"/>
      <c r="J119" s="84"/>
      <c r="K119" s="84"/>
      <c r="N119" s="84"/>
      <c r="O119" s="85"/>
      <c r="P119" s="85"/>
      <c r="Q119" s="84"/>
      <c r="R119" s="85"/>
      <c r="S119" s="84"/>
      <c r="T119" s="84"/>
      <c r="U119" s="84"/>
      <c r="V119" s="84"/>
      <c r="W119" s="84"/>
      <c r="X119" s="84"/>
      <c r="Y119" s="84"/>
      <c r="Z119" s="84"/>
      <c r="AA119" s="84"/>
      <c r="AC119" s="690" t="s">
        <v>921</v>
      </c>
      <c r="AD119" s="691" t="s">
        <v>922</v>
      </c>
      <c r="AE119" s="691">
        <v>0</v>
      </c>
      <c r="AF119" s="691">
        <v>7.4999999999999997E-2</v>
      </c>
      <c r="AG119" s="691">
        <v>0.113</v>
      </c>
      <c r="AH119" s="691">
        <v>0.15</v>
      </c>
      <c r="BF119" s="298">
        <v>116</v>
      </c>
      <c r="BG119" s="32" t="s">
        <v>960</v>
      </c>
    </row>
    <row r="120" spans="1:59">
      <c r="A120" s="84"/>
      <c r="B120" s="332"/>
      <c r="C120" s="365"/>
      <c r="G120" s="84"/>
      <c r="H120" s="84"/>
      <c r="I120" s="84"/>
      <c r="J120" s="84"/>
      <c r="K120" s="84"/>
      <c r="N120" s="84"/>
      <c r="O120" s="85"/>
      <c r="P120" s="85"/>
      <c r="Q120" s="84"/>
      <c r="R120" s="85"/>
      <c r="S120" s="84"/>
      <c r="T120" s="84"/>
      <c r="U120" s="84"/>
      <c r="V120" s="84"/>
      <c r="W120" s="84"/>
      <c r="X120" s="84"/>
      <c r="Y120" s="84"/>
      <c r="Z120" s="84"/>
      <c r="AA120" s="84"/>
      <c r="AC120" s="690" t="s">
        <v>924</v>
      </c>
      <c r="AD120" s="691" t="s">
        <v>925</v>
      </c>
      <c r="AE120" s="691">
        <v>270</v>
      </c>
      <c r="AF120" s="691">
        <v>270</v>
      </c>
      <c r="AG120" s="691">
        <v>270</v>
      </c>
      <c r="AH120" s="691">
        <v>270</v>
      </c>
      <c r="BF120" s="298">
        <v>117</v>
      </c>
      <c r="BG120" s="32" t="s">
        <v>961</v>
      </c>
    </row>
    <row r="121" spans="1:59">
      <c r="A121" s="84"/>
      <c r="B121" s="332"/>
      <c r="C121" s="365"/>
      <c r="G121" s="84"/>
      <c r="H121" s="84"/>
      <c r="I121" s="84"/>
      <c r="J121" s="84"/>
      <c r="K121" s="84"/>
      <c r="N121" s="84"/>
      <c r="O121" s="85"/>
      <c r="P121" s="85"/>
      <c r="Q121" s="84"/>
      <c r="R121" s="85"/>
      <c r="S121" s="84"/>
      <c r="T121" s="84"/>
      <c r="U121" s="84"/>
      <c r="V121" s="84"/>
      <c r="W121" s="84"/>
      <c r="X121" s="84"/>
      <c r="Y121" s="84"/>
      <c r="Z121" s="84"/>
      <c r="AA121" s="84"/>
      <c r="AC121" s="690" t="s">
        <v>927</v>
      </c>
      <c r="AD121" s="691" t="s">
        <v>925</v>
      </c>
      <c r="AE121" s="691">
        <v>90</v>
      </c>
      <c r="AF121" s="691">
        <v>90</v>
      </c>
      <c r="AG121" s="691">
        <v>90</v>
      </c>
      <c r="AH121" s="691">
        <v>90</v>
      </c>
      <c r="BF121" s="298">
        <v>118</v>
      </c>
      <c r="BG121" s="32" t="s">
        <v>962</v>
      </c>
    </row>
    <row r="122" spans="1:59">
      <c r="B122" s="332"/>
      <c r="C122" s="365"/>
      <c r="G122" s="84"/>
      <c r="H122" s="84"/>
      <c r="I122" s="84"/>
      <c r="J122" s="84"/>
      <c r="K122" s="84"/>
      <c r="N122" s="84"/>
      <c r="P122" s="85"/>
      <c r="Q122" s="84"/>
      <c r="R122" s="85"/>
      <c r="U122" s="84"/>
      <c r="V122" s="84"/>
      <c r="W122" s="84"/>
      <c r="X122" s="84"/>
      <c r="Y122" s="84"/>
      <c r="Z122" s="84"/>
      <c r="AA122" s="84"/>
      <c r="AC122" s="690" t="s">
        <v>929</v>
      </c>
      <c r="AD122" s="691"/>
      <c r="AE122" s="691">
        <v>0.75</v>
      </c>
      <c r="AF122" s="691">
        <v>0.75</v>
      </c>
      <c r="AG122" s="691">
        <v>0.75</v>
      </c>
      <c r="AH122" s="691">
        <v>0.75</v>
      </c>
      <c r="BF122" s="298">
        <v>119</v>
      </c>
      <c r="BG122" s="32" t="s">
        <v>963</v>
      </c>
    </row>
    <row r="123" spans="1:59">
      <c r="B123" s="332"/>
      <c r="C123" s="365"/>
      <c r="G123" s="84"/>
      <c r="H123" s="84"/>
      <c r="I123" s="84"/>
      <c r="J123" s="84"/>
      <c r="N123" s="84"/>
      <c r="P123" s="85"/>
      <c r="Q123" s="84"/>
      <c r="R123" s="85"/>
      <c r="V123" s="84"/>
      <c r="W123" s="84"/>
      <c r="X123" s="84"/>
      <c r="AC123" s="690" t="s">
        <v>931</v>
      </c>
      <c r="AD123" s="691"/>
      <c r="AE123" s="691">
        <v>0.5</v>
      </c>
      <c r="AF123" s="691">
        <v>0.5</v>
      </c>
      <c r="AG123" s="691">
        <v>0.5</v>
      </c>
      <c r="AH123" s="691">
        <v>0.5</v>
      </c>
      <c r="BF123" s="298">
        <v>120</v>
      </c>
      <c r="BG123" s="32" t="s">
        <v>964</v>
      </c>
    </row>
    <row r="124" spans="1:59">
      <c r="B124" s="332"/>
      <c r="C124" s="365"/>
      <c r="G124" s="84"/>
      <c r="H124" s="84"/>
      <c r="I124" s="84"/>
      <c r="J124" s="84"/>
      <c r="P124" s="85"/>
      <c r="Q124" s="84"/>
      <c r="R124" s="85"/>
      <c r="V124" s="84"/>
      <c r="W124" s="84"/>
      <c r="X124" s="84"/>
      <c r="AC124" s="690" t="s">
        <v>933</v>
      </c>
      <c r="AD124" s="691" t="s">
        <v>934</v>
      </c>
      <c r="AE124" s="691">
        <v>400</v>
      </c>
      <c r="AF124" s="691">
        <v>400</v>
      </c>
      <c r="AG124" s="691">
        <v>400</v>
      </c>
      <c r="AH124" s="691">
        <v>400</v>
      </c>
      <c r="BF124" s="298">
        <v>121</v>
      </c>
      <c r="BG124" s="32" t="s">
        <v>965</v>
      </c>
    </row>
    <row r="125" spans="1:59" ht="15" thickBot="1">
      <c r="B125" s="332"/>
      <c r="C125" s="365"/>
      <c r="G125" s="84"/>
      <c r="H125" s="84"/>
      <c r="I125" s="84"/>
      <c r="J125" s="84"/>
      <c r="P125" s="85"/>
      <c r="Q125" s="84"/>
      <c r="R125" s="85"/>
      <c r="AC125" s="695" t="s">
        <v>936</v>
      </c>
      <c r="AD125" s="696" t="s">
        <v>937</v>
      </c>
      <c r="AE125" s="696">
        <v>800</v>
      </c>
      <c r="AF125" s="696">
        <v>800</v>
      </c>
      <c r="AG125" s="696">
        <v>800</v>
      </c>
      <c r="AH125" s="696">
        <v>800</v>
      </c>
      <c r="BF125" s="298">
        <v>122</v>
      </c>
      <c r="BG125" s="32" t="s">
        <v>966</v>
      </c>
    </row>
    <row r="126" spans="1:59">
      <c r="B126" s="332"/>
      <c r="C126" s="365"/>
      <c r="G126" s="84"/>
      <c r="H126" s="84"/>
      <c r="I126" s="84"/>
      <c r="J126" s="84"/>
      <c r="P126" s="85"/>
      <c r="Q126" s="84"/>
      <c r="R126" s="85"/>
      <c r="BF126" s="298">
        <v>123</v>
      </c>
      <c r="BG126" s="32" t="s">
        <v>967</v>
      </c>
    </row>
    <row r="127" spans="1:59">
      <c r="B127" s="332"/>
      <c r="C127" s="365"/>
      <c r="G127" s="84"/>
      <c r="H127" s="84"/>
      <c r="I127" s="84"/>
      <c r="J127" s="84"/>
      <c r="P127" s="85"/>
      <c r="Q127" s="84"/>
      <c r="R127" s="85"/>
      <c r="BF127" s="298">
        <v>124</v>
      </c>
      <c r="BG127" s="32" t="s">
        <v>968</v>
      </c>
    </row>
    <row r="128" spans="1:59">
      <c r="B128" s="332"/>
      <c r="C128" s="365"/>
      <c r="G128" s="84"/>
      <c r="H128" s="84"/>
      <c r="I128" s="84"/>
      <c r="J128" s="84"/>
      <c r="P128" s="85"/>
      <c r="Q128" s="84"/>
      <c r="R128" s="85"/>
      <c r="BF128" s="298">
        <v>125</v>
      </c>
      <c r="BG128" s="32" t="s">
        <v>969</v>
      </c>
    </row>
    <row r="129" spans="2:59">
      <c r="B129" s="332"/>
      <c r="C129" s="365"/>
      <c r="G129" s="84"/>
      <c r="H129" s="84"/>
      <c r="I129" s="84"/>
      <c r="J129" s="84"/>
      <c r="P129" s="85"/>
      <c r="Q129" s="84"/>
      <c r="R129" s="85"/>
      <c r="BF129" s="298">
        <v>126</v>
      </c>
      <c r="BG129" s="32" t="s">
        <v>970</v>
      </c>
    </row>
    <row r="130" spans="2:59">
      <c r="B130" s="332"/>
      <c r="C130" s="365"/>
      <c r="G130" s="84"/>
      <c r="H130" s="84"/>
      <c r="I130" s="84"/>
      <c r="J130" s="84"/>
      <c r="P130" s="85"/>
      <c r="Q130" s="84"/>
      <c r="R130" s="85"/>
      <c r="BF130" s="298">
        <v>127</v>
      </c>
      <c r="BG130" s="32" t="s">
        <v>971</v>
      </c>
    </row>
    <row r="131" spans="2:59">
      <c r="B131" s="332"/>
      <c r="C131" s="365"/>
      <c r="E131" s="88"/>
      <c r="F131" s="88"/>
      <c r="G131" s="88"/>
      <c r="H131" s="88"/>
      <c r="I131" s="88"/>
      <c r="P131" s="85"/>
      <c r="Q131" s="84"/>
      <c r="R131" s="85"/>
      <c r="BF131" s="298">
        <v>128</v>
      </c>
      <c r="BG131" s="32" t="s">
        <v>972</v>
      </c>
    </row>
    <row r="132" spans="2:59">
      <c r="B132" s="332"/>
      <c r="C132" s="365"/>
      <c r="D132" s="88"/>
      <c r="E132" s="88"/>
      <c r="F132" s="88"/>
      <c r="G132" s="88"/>
      <c r="H132" s="88"/>
      <c r="I132" s="88"/>
      <c r="P132" s="85"/>
      <c r="Q132" s="84"/>
      <c r="R132" s="85"/>
      <c r="BF132" s="298">
        <v>129</v>
      </c>
      <c r="BG132" s="32" t="s">
        <v>973</v>
      </c>
    </row>
    <row r="133" spans="2:59">
      <c r="B133" s="332"/>
      <c r="C133" s="365"/>
      <c r="E133" s="88"/>
      <c r="F133" s="88"/>
      <c r="G133" s="88"/>
      <c r="H133" s="88"/>
      <c r="I133" s="88"/>
      <c r="P133" s="85"/>
      <c r="Q133" s="84"/>
      <c r="R133" s="85"/>
      <c r="BF133" s="298">
        <v>130</v>
      </c>
      <c r="BG133" s="32" t="s">
        <v>974</v>
      </c>
    </row>
    <row r="134" spans="2:59">
      <c r="B134" s="332"/>
      <c r="C134" s="365"/>
      <c r="E134" s="88"/>
      <c r="F134" s="88"/>
      <c r="G134" s="88"/>
      <c r="H134" s="88"/>
      <c r="I134" s="88"/>
      <c r="P134" s="85"/>
      <c r="Q134" s="84"/>
      <c r="R134" s="85"/>
      <c r="BF134" s="298">
        <v>131</v>
      </c>
      <c r="BG134" s="32" t="s">
        <v>975</v>
      </c>
    </row>
    <row r="135" spans="2:59">
      <c r="B135" s="332"/>
      <c r="C135" s="365"/>
      <c r="E135" s="88"/>
      <c r="F135" s="88"/>
      <c r="G135" s="88"/>
      <c r="H135" s="88"/>
      <c r="I135" s="88"/>
      <c r="P135" s="85"/>
      <c r="Q135" s="84"/>
      <c r="R135" s="85"/>
      <c r="BF135" s="298">
        <v>132</v>
      </c>
      <c r="BG135" s="32" t="s">
        <v>976</v>
      </c>
    </row>
    <row r="136" spans="2:59">
      <c r="B136" s="332"/>
      <c r="C136" s="365"/>
      <c r="E136" s="88"/>
      <c r="F136" s="88"/>
      <c r="G136" s="88"/>
      <c r="H136" s="88"/>
      <c r="I136" s="88"/>
      <c r="P136" s="85"/>
      <c r="Q136" s="84"/>
      <c r="R136" s="85"/>
      <c r="BF136" s="298">
        <v>133</v>
      </c>
      <c r="BG136" s="32" t="s">
        <v>977</v>
      </c>
    </row>
    <row r="137" spans="2:59">
      <c r="B137" s="332"/>
      <c r="C137" s="365"/>
      <c r="D137" s="88"/>
      <c r="E137" s="88"/>
      <c r="F137" s="88"/>
      <c r="G137" s="88"/>
      <c r="H137" s="88"/>
      <c r="I137" s="88"/>
      <c r="BF137" s="298">
        <v>134</v>
      </c>
      <c r="BG137" s="32" t="s">
        <v>978</v>
      </c>
    </row>
    <row r="138" spans="2:59">
      <c r="B138" s="332"/>
      <c r="C138" s="365"/>
      <c r="D138" s="88"/>
      <c r="E138" s="88"/>
      <c r="F138" s="88"/>
      <c r="G138" s="88"/>
      <c r="H138" s="88"/>
      <c r="I138" s="88"/>
      <c r="BF138" s="298">
        <v>135</v>
      </c>
      <c r="BG138" s="32" t="s">
        <v>979</v>
      </c>
    </row>
    <row r="139" spans="2:59">
      <c r="B139" s="332"/>
      <c r="C139" s="365"/>
      <c r="E139" s="88"/>
      <c r="F139" s="88"/>
      <c r="G139" s="88"/>
      <c r="H139" s="88"/>
      <c r="I139" s="88"/>
      <c r="BF139" s="298">
        <v>136</v>
      </c>
      <c r="BG139" s="32" t="s">
        <v>980</v>
      </c>
    </row>
    <row r="140" spans="2:59">
      <c r="B140" s="332"/>
      <c r="C140" s="365"/>
      <c r="E140" s="88"/>
      <c r="F140" s="88"/>
      <c r="G140" s="88"/>
      <c r="H140" s="88"/>
      <c r="I140" s="88"/>
      <c r="BF140" s="298">
        <v>137</v>
      </c>
      <c r="BG140" s="32" t="s">
        <v>981</v>
      </c>
    </row>
    <row r="141" spans="2:59">
      <c r="B141" s="332"/>
      <c r="C141" s="365"/>
      <c r="D141" s="88"/>
      <c r="E141" s="88"/>
      <c r="F141" s="88"/>
      <c r="G141" s="88"/>
      <c r="H141" s="88"/>
      <c r="I141" s="88"/>
      <c r="BF141" s="298">
        <v>138</v>
      </c>
      <c r="BG141" s="32" t="s">
        <v>982</v>
      </c>
    </row>
    <row r="142" spans="2:59">
      <c r="B142" s="332"/>
      <c r="C142" s="365"/>
      <c r="E142" s="88"/>
      <c r="F142" s="88"/>
      <c r="G142" s="88"/>
      <c r="H142" s="88"/>
      <c r="I142" s="88"/>
      <c r="BF142" s="298">
        <v>139</v>
      </c>
      <c r="BG142" s="32" t="s">
        <v>238</v>
      </c>
    </row>
    <row r="143" spans="2:59">
      <c r="B143" s="332"/>
      <c r="C143" s="365"/>
      <c r="D143" s="88"/>
      <c r="E143" s="88"/>
      <c r="F143" s="88"/>
      <c r="G143" s="88"/>
      <c r="H143" s="88"/>
      <c r="I143" s="88"/>
      <c r="BF143" s="298">
        <v>140</v>
      </c>
      <c r="BG143" s="32" t="s">
        <v>285</v>
      </c>
    </row>
    <row r="144" spans="2:59">
      <c r="B144" s="332"/>
      <c r="C144" s="365"/>
      <c r="D144" s="88"/>
      <c r="E144" s="88"/>
      <c r="F144" s="88"/>
      <c r="G144" s="88"/>
      <c r="H144" s="88"/>
      <c r="I144" s="88"/>
      <c r="BF144" s="298">
        <v>141</v>
      </c>
      <c r="BG144" s="32" t="s">
        <v>983</v>
      </c>
    </row>
    <row r="145" spans="2:59">
      <c r="B145" s="332"/>
      <c r="C145" s="365"/>
      <c r="D145" s="88"/>
      <c r="E145" s="88"/>
      <c r="F145" s="88"/>
      <c r="G145" s="88"/>
      <c r="H145" s="88"/>
      <c r="I145" s="88"/>
      <c r="BF145" s="298">
        <v>142</v>
      </c>
      <c r="BG145" s="32" t="s">
        <v>984</v>
      </c>
    </row>
    <row r="146" spans="2:59">
      <c r="B146" s="332"/>
      <c r="C146" s="365"/>
      <c r="E146" s="88"/>
      <c r="F146" s="88"/>
      <c r="G146" s="88"/>
      <c r="H146" s="88"/>
      <c r="I146" s="88"/>
      <c r="BF146" s="298">
        <v>143</v>
      </c>
      <c r="BG146" s="32" t="s">
        <v>985</v>
      </c>
    </row>
    <row r="147" spans="2:59">
      <c r="B147" s="332"/>
      <c r="C147" s="365"/>
      <c r="E147" s="88"/>
      <c r="F147" s="88"/>
      <c r="G147" s="88"/>
      <c r="H147" s="88"/>
      <c r="I147" s="88"/>
      <c r="BF147" s="298">
        <v>144</v>
      </c>
      <c r="BG147" s="32" t="s">
        <v>986</v>
      </c>
    </row>
    <row r="148" spans="2:59">
      <c r="B148" s="332"/>
      <c r="C148" s="365"/>
      <c r="D148" s="88"/>
      <c r="E148" s="88"/>
      <c r="F148" s="88"/>
      <c r="G148" s="88"/>
      <c r="H148" s="88"/>
      <c r="I148" s="88"/>
      <c r="BF148" s="298">
        <v>145</v>
      </c>
      <c r="BG148" s="32" t="s">
        <v>287</v>
      </c>
    </row>
    <row r="149" spans="2:59">
      <c r="B149" s="332"/>
      <c r="C149" s="365"/>
      <c r="D149" s="88"/>
      <c r="BF149" s="298">
        <v>146</v>
      </c>
      <c r="BG149" s="32" t="s">
        <v>987</v>
      </c>
    </row>
    <row r="150" spans="2:59">
      <c r="BF150" s="298">
        <v>147</v>
      </c>
      <c r="BG150" s="32" t="s">
        <v>988</v>
      </c>
    </row>
    <row r="151" spans="2:59">
      <c r="BF151" s="298">
        <v>148</v>
      </c>
      <c r="BG151" s="32" t="s">
        <v>989</v>
      </c>
    </row>
    <row r="152" spans="2:59">
      <c r="BF152" s="298">
        <v>149</v>
      </c>
      <c r="BG152" s="32" t="s">
        <v>990</v>
      </c>
    </row>
    <row r="153" spans="2:59">
      <c r="BF153" s="298">
        <v>150</v>
      </c>
      <c r="BG153" s="32" t="s">
        <v>991</v>
      </c>
    </row>
    <row r="154" spans="2:59">
      <c r="BF154" s="298">
        <v>151</v>
      </c>
      <c r="BG154" s="32" t="s">
        <v>992</v>
      </c>
    </row>
    <row r="155" spans="2:59">
      <c r="BF155" s="298">
        <v>152</v>
      </c>
      <c r="BG155" s="32" t="s">
        <v>289</v>
      </c>
    </row>
    <row r="156" spans="2:59">
      <c r="BF156" s="298">
        <v>153</v>
      </c>
      <c r="BG156" s="32" t="s">
        <v>993</v>
      </c>
    </row>
    <row r="157" spans="2:59">
      <c r="BF157" s="298">
        <v>154</v>
      </c>
      <c r="BG157" s="32" t="s">
        <v>994</v>
      </c>
    </row>
    <row r="158" spans="2:59">
      <c r="BF158" s="298">
        <v>155</v>
      </c>
      <c r="BG158" s="32" t="s">
        <v>995</v>
      </c>
    </row>
    <row r="159" spans="2:59">
      <c r="BF159" s="298">
        <v>156</v>
      </c>
      <c r="BG159" s="32" t="s">
        <v>996</v>
      </c>
    </row>
    <row r="160" spans="2:59">
      <c r="BF160" s="298">
        <v>157</v>
      </c>
      <c r="BG160" s="32" t="s">
        <v>997</v>
      </c>
    </row>
    <row r="161" spans="58:59">
      <c r="BF161" s="298">
        <v>158</v>
      </c>
      <c r="BG161" s="32" t="s">
        <v>998</v>
      </c>
    </row>
    <row r="162" spans="58:59">
      <c r="BF162" s="298">
        <v>159</v>
      </c>
      <c r="BG162" s="32" t="s">
        <v>244</v>
      </c>
    </row>
    <row r="163" spans="58:59">
      <c r="BF163" s="298">
        <v>160</v>
      </c>
      <c r="BG163" s="32" t="s">
        <v>999</v>
      </c>
    </row>
    <row r="164" spans="58:59">
      <c r="BF164" s="298">
        <v>161</v>
      </c>
      <c r="BG164" s="32" t="s">
        <v>1000</v>
      </c>
    </row>
    <row r="165" spans="58:59">
      <c r="BF165" s="298">
        <v>162</v>
      </c>
      <c r="BG165" s="32" t="s">
        <v>1001</v>
      </c>
    </row>
    <row r="166" spans="58:59">
      <c r="BF166" s="298">
        <v>163</v>
      </c>
      <c r="BG166" s="32" t="s">
        <v>1002</v>
      </c>
    </row>
    <row r="167" spans="58:59">
      <c r="BF167" s="298">
        <v>164</v>
      </c>
      <c r="BG167" s="32" t="s">
        <v>1003</v>
      </c>
    </row>
    <row r="168" spans="58:59">
      <c r="BF168" s="298">
        <v>165</v>
      </c>
      <c r="BG168" s="32" t="s">
        <v>1004</v>
      </c>
    </row>
    <row r="169" spans="58:59">
      <c r="BF169" s="298">
        <v>166</v>
      </c>
      <c r="BG169" s="32" t="s">
        <v>1005</v>
      </c>
    </row>
    <row r="170" spans="58:59">
      <c r="BF170" s="298">
        <v>167</v>
      </c>
      <c r="BG170" s="32" t="s">
        <v>1006</v>
      </c>
    </row>
    <row r="171" spans="58:59">
      <c r="BF171" s="298">
        <v>168</v>
      </c>
      <c r="BG171" s="32" t="s">
        <v>1007</v>
      </c>
    </row>
    <row r="172" spans="58:59">
      <c r="BF172" s="298">
        <v>169</v>
      </c>
      <c r="BG172" s="32" t="s">
        <v>1008</v>
      </c>
    </row>
    <row r="173" spans="58:59">
      <c r="BF173" s="298">
        <v>170</v>
      </c>
      <c r="BG173" s="32" t="s">
        <v>1009</v>
      </c>
    </row>
    <row r="174" spans="58:59">
      <c r="BF174" s="298">
        <v>171</v>
      </c>
      <c r="BG174" s="32" t="s">
        <v>1010</v>
      </c>
    </row>
    <row r="175" spans="58:59">
      <c r="BF175" s="298">
        <v>172</v>
      </c>
      <c r="BG175" s="32" t="s">
        <v>1011</v>
      </c>
    </row>
    <row r="176" spans="58:59">
      <c r="BF176" s="298">
        <v>173</v>
      </c>
      <c r="BG176" s="32" t="s">
        <v>1012</v>
      </c>
    </row>
    <row r="177" spans="58:59">
      <c r="BF177" s="298">
        <v>174</v>
      </c>
      <c r="BG177" s="32" t="s">
        <v>1013</v>
      </c>
    </row>
    <row r="178" spans="58:59">
      <c r="BF178" s="298">
        <v>175</v>
      </c>
      <c r="BG178" s="32" t="s">
        <v>1014</v>
      </c>
    </row>
    <row r="179" spans="58:59">
      <c r="BF179" s="298">
        <v>176</v>
      </c>
      <c r="BG179" s="32" t="s">
        <v>1015</v>
      </c>
    </row>
    <row r="180" spans="58:59">
      <c r="BF180" s="298">
        <v>177</v>
      </c>
      <c r="BG180" s="32" t="s">
        <v>246</v>
      </c>
    </row>
    <row r="181" spans="58:59">
      <c r="BF181" s="298">
        <v>178</v>
      </c>
      <c r="BG181" s="32" t="s">
        <v>1016</v>
      </c>
    </row>
    <row r="182" spans="58:59">
      <c r="BF182" s="298">
        <v>179</v>
      </c>
      <c r="BG182" s="32" t="s">
        <v>1017</v>
      </c>
    </row>
    <row r="183" spans="58:59">
      <c r="BF183" s="298">
        <v>180</v>
      </c>
      <c r="BG183" s="32" t="s">
        <v>1018</v>
      </c>
    </row>
    <row r="184" spans="58:59">
      <c r="BF184" s="298">
        <v>181</v>
      </c>
      <c r="BG184" s="32" t="s">
        <v>1019</v>
      </c>
    </row>
    <row r="185" spans="58:59">
      <c r="BF185" s="298">
        <v>182</v>
      </c>
      <c r="BG185" s="32" t="s">
        <v>1020</v>
      </c>
    </row>
    <row r="186" spans="58:59">
      <c r="BF186" s="298">
        <v>183</v>
      </c>
      <c r="BG186" s="32" t="s">
        <v>1021</v>
      </c>
    </row>
    <row r="187" spans="58:59">
      <c r="BF187" s="298">
        <v>184</v>
      </c>
      <c r="BG187" s="32" t="s">
        <v>1022</v>
      </c>
    </row>
    <row r="188" spans="58:59">
      <c r="BF188" s="298">
        <v>185</v>
      </c>
      <c r="BG188" s="32" t="s">
        <v>1023</v>
      </c>
    </row>
    <row r="189" spans="58:59">
      <c r="BF189" s="298">
        <v>186</v>
      </c>
      <c r="BG189" s="32" t="s">
        <v>1024</v>
      </c>
    </row>
    <row r="190" spans="58:59">
      <c r="BF190" s="298">
        <v>187</v>
      </c>
      <c r="BG190" s="32" t="s">
        <v>1025</v>
      </c>
    </row>
    <row r="191" spans="58:59">
      <c r="BF191" s="298">
        <v>188</v>
      </c>
      <c r="BG191" s="32" t="s">
        <v>1026</v>
      </c>
    </row>
    <row r="192" spans="58:59">
      <c r="BF192" s="298">
        <v>189</v>
      </c>
      <c r="BG192" s="32" t="s">
        <v>1027</v>
      </c>
    </row>
    <row r="193" spans="58:59">
      <c r="BF193" s="298">
        <v>190</v>
      </c>
      <c r="BG193" s="32" t="s">
        <v>281</v>
      </c>
    </row>
    <row r="194" spans="58:59">
      <c r="BF194" s="298">
        <v>191</v>
      </c>
      <c r="BG194" s="32" t="s">
        <v>1028</v>
      </c>
    </row>
    <row r="195" spans="58:59">
      <c r="BF195" s="298">
        <v>192</v>
      </c>
      <c r="BG195" s="32" t="s">
        <v>1029</v>
      </c>
    </row>
    <row r="196" spans="58:59">
      <c r="BF196" s="298">
        <v>193</v>
      </c>
      <c r="BG196" s="32" t="s">
        <v>1030</v>
      </c>
    </row>
    <row r="197" spans="58:59">
      <c r="BF197" s="298">
        <v>194</v>
      </c>
      <c r="BG197" s="32" t="s">
        <v>1031</v>
      </c>
    </row>
    <row r="198" spans="58:59">
      <c r="BF198" s="298">
        <v>195</v>
      </c>
      <c r="BG198" s="32" t="s">
        <v>1032</v>
      </c>
    </row>
    <row r="199" spans="58:59">
      <c r="BF199" s="298">
        <v>196</v>
      </c>
      <c r="BG199" s="32" t="s">
        <v>1033</v>
      </c>
    </row>
    <row r="200" spans="58:59">
      <c r="BF200" s="298">
        <v>197</v>
      </c>
      <c r="BG200" s="32" t="s">
        <v>1034</v>
      </c>
    </row>
    <row r="201" spans="58:59">
      <c r="BF201" s="298">
        <v>198</v>
      </c>
      <c r="BG201" s="32" t="s">
        <v>1035</v>
      </c>
    </row>
    <row r="202" spans="58:59">
      <c r="BF202" s="298">
        <v>199</v>
      </c>
      <c r="BG202" s="32" t="s">
        <v>1036</v>
      </c>
    </row>
    <row r="203" spans="58:59">
      <c r="BF203" s="298">
        <v>200</v>
      </c>
      <c r="BG203" s="32" t="s">
        <v>1037</v>
      </c>
    </row>
    <row r="204" spans="58:59">
      <c r="BF204" s="298">
        <v>201</v>
      </c>
      <c r="BG204" s="32" t="s">
        <v>1038</v>
      </c>
    </row>
    <row r="205" spans="58:59">
      <c r="BF205" s="298">
        <v>202</v>
      </c>
      <c r="BG205" s="32" t="s">
        <v>1039</v>
      </c>
    </row>
    <row r="206" spans="58:59">
      <c r="BF206" s="298">
        <v>203</v>
      </c>
      <c r="BG206" s="32" t="s">
        <v>1040</v>
      </c>
    </row>
    <row r="207" spans="58:59">
      <c r="BF207" s="298">
        <v>204</v>
      </c>
      <c r="BG207" s="32" t="s">
        <v>1041</v>
      </c>
    </row>
    <row r="208" spans="58:59">
      <c r="BF208" s="298">
        <v>205</v>
      </c>
      <c r="BG208" s="32" t="s">
        <v>1042</v>
      </c>
    </row>
    <row r="209" spans="58:59">
      <c r="BF209" s="298">
        <v>206</v>
      </c>
      <c r="BG209" s="32" t="s">
        <v>1043</v>
      </c>
    </row>
    <row r="210" spans="58:59">
      <c r="BF210" s="298">
        <v>207</v>
      </c>
      <c r="BG210" s="32" t="s">
        <v>1044</v>
      </c>
    </row>
    <row r="211" spans="58:59">
      <c r="BF211" s="298">
        <v>208</v>
      </c>
      <c r="BG211" s="32" t="s">
        <v>1045</v>
      </c>
    </row>
    <row r="212" spans="58:59">
      <c r="BF212" s="298">
        <v>209</v>
      </c>
      <c r="BG212" s="32" t="s">
        <v>1046</v>
      </c>
    </row>
    <row r="213" spans="58:59">
      <c r="BF213" s="298">
        <v>210</v>
      </c>
      <c r="BG213" s="32" t="s">
        <v>1047</v>
      </c>
    </row>
    <row r="214" spans="58:59">
      <c r="BF214" s="298">
        <v>211</v>
      </c>
      <c r="BG214" s="32" t="s">
        <v>1048</v>
      </c>
    </row>
    <row r="215" spans="58:59">
      <c r="BF215" s="298">
        <v>212</v>
      </c>
      <c r="BG215" s="32" t="s">
        <v>1049</v>
      </c>
    </row>
    <row r="216" spans="58:59">
      <c r="BF216" s="298">
        <v>213</v>
      </c>
      <c r="BG216" s="32" t="s">
        <v>1050</v>
      </c>
    </row>
    <row r="217" spans="58:59">
      <c r="BF217" s="298">
        <v>214</v>
      </c>
      <c r="BG217" s="32" t="s">
        <v>1051</v>
      </c>
    </row>
    <row r="218" spans="58:59">
      <c r="BF218" s="298">
        <v>215</v>
      </c>
      <c r="BG218" s="32" t="s">
        <v>1052</v>
      </c>
    </row>
    <row r="219" spans="58:59">
      <c r="BF219" s="298">
        <v>216</v>
      </c>
      <c r="BG219" s="32" t="s">
        <v>1053</v>
      </c>
    </row>
    <row r="220" spans="58:59">
      <c r="BF220" s="298">
        <v>217</v>
      </c>
      <c r="BG220" s="32" t="s">
        <v>1054</v>
      </c>
    </row>
    <row r="221" spans="58:59">
      <c r="BF221" s="298">
        <v>218</v>
      </c>
      <c r="BG221" s="32" t="s">
        <v>1055</v>
      </c>
    </row>
    <row r="222" spans="58:59">
      <c r="BF222" s="298">
        <v>219</v>
      </c>
      <c r="BG222" s="32" t="s">
        <v>1056</v>
      </c>
    </row>
    <row r="223" spans="58:59">
      <c r="BF223" s="298">
        <v>220</v>
      </c>
      <c r="BG223" s="32" t="s">
        <v>1057</v>
      </c>
    </row>
    <row r="224" spans="58:59">
      <c r="BF224" s="298">
        <v>221</v>
      </c>
      <c r="BG224" s="32" t="s">
        <v>1058</v>
      </c>
    </row>
    <row r="225" spans="58:59">
      <c r="BF225" s="298">
        <v>222</v>
      </c>
      <c r="BG225" s="32" t="s">
        <v>1059</v>
      </c>
    </row>
    <row r="226" spans="58:59">
      <c r="BF226" s="298">
        <v>223</v>
      </c>
      <c r="BG226" s="32" t="s">
        <v>1060</v>
      </c>
    </row>
    <row r="227" spans="58:59">
      <c r="BF227" s="298">
        <v>224</v>
      </c>
      <c r="BG227" s="32" t="s">
        <v>1061</v>
      </c>
    </row>
    <row r="228" spans="58:59">
      <c r="BF228" s="298">
        <v>225</v>
      </c>
      <c r="BG228" s="32" t="s">
        <v>1062</v>
      </c>
    </row>
    <row r="229" spans="58:59">
      <c r="BF229" s="298">
        <v>226</v>
      </c>
      <c r="BG229" s="32" t="s">
        <v>1063</v>
      </c>
    </row>
    <row r="230" spans="58:59">
      <c r="BF230" s="298">
        <v>227</v>
      </c>
      <c r="BG230" s="32" t="s">
        <v>1064</v>
      </c>
    </row>
    <row r="231" spans="58:59">
      <c r="BF231" s="298">
        <v>228</v>
      </c>
      <c r="BG231" s="32" t="s">
        <v>1065</v>
      </c>
    </row>
    <row r="232" spans="58:59">
      <c r="BF232" s="298">
        <v>229</v>
      </c>
      <c r="BG232" s="32" t="s">
        <v>1066</v>
      </c>
    </row>
    <row r="233" spans="58:59">
      <c r="BF233" s="298">
        <v>230</v>
      </c>
      <c r="BG233" s="32" t="s">
        <v>1067</v>
      </c>
    </row>
    <row r="234" spans="58:59">
      <c r="BF234" s="298">
        <v>231</v>
      </c>
      <c r="BG234" s="32" t="s">
        <v>1068</v>
      </c>
    </row>
    <row r="235" spans="58:59">
      <c r="BF235" s="298">
        <v>232</v>
      </c>
      <c r="BG235" s="32" t="s">
        <v>1069</v>
      </c>
    </row>
    <row r="236" spans="58:59">
      <c r="BF236" s="298">
        <v>233</v>
      </c>
      <c r="BG236" s="32" t="s">
        <v>1070</v>
      </c>
    </row>
    <row r="237" spans="58:59">
      <c r="BF237" s="298">
        <v>234</v>
      </c>
      <c r="BG237" s="32" t="s">
        <v>1071</v>
      </c>
    </row>
    <row r="238" spans="58:59">
      <c r="BF238" s="298">
        <v>235</v>
      </c>
      <c r="BG238" s="32" t="s">
        <v>1072</v>
      </c>
    </row>
    <row r="239" spans="58:59">
      <c r="BF239" s="298">
        <v>236</v>
      </c>
      <c r="BG239" s="32" t="s">
        <v>1073</v>
      </c>
    </row>
    <row r="240" spans="58:59">
      <c r="BF240" s="298">
        <v>237</v>
      </c>
      <c r="BG240" s="32" t="s">
        <v>1074</v>
      </c>
    </row>
    <row r="241" spans="58:59">
      <c r="BF241" s="298">
        <v>238</v>
      </c>
      <c r="BG241" s="32" t="s">
        <v>1075</v>
      </c>
    </row>
    <row r="242" spans="58:59">
      <c r="BF242" s="298">
        <v>239</v>
      </c>
      <c r="BG242" s="32" t="s">
        <v>1076</v>
      </c>
    </row>
    <row r="243" spans="58:59">
      <c r="BF243" s="298">
        <v>240</v>
      </c>
      <c r="BG243" s="32" t="s">
        <v>1077</v>
      </c>
    </row>
    <row r="244" spans="58:59">
      <c r="BF244" s="298">
        <v>241</v>
      </c>
      <c r="BG244" s="32" t="s">
        <v>1078</v>
      </c>
    </row>
    <row r="245" spans="58:59">
      <c r="BF245" s="298">
        <v>242</v>
      </c>
      <c r="BG245" s="32" t="s">
        <v>1079</v>
      </c>
    </row>
    <row r="246" spans="58:59">
      <c r="BF246" s="298">
        <v>243</v>
      </c>
      <c r="BG246" s="32" t="s">
        <v>1080</v>
      </c>
    </row>
    <row r="247" spans="58:59">
      <c r="BF247" s="298">
        <v>244</v>
      </c>
      <c r="BG247" s="32" t="s">
        <v>1081</v>
      </c>
    </row>
    <row r="248" spans="58:59">
      <c r="BF248" s="298">
        <v>245</v>
      </c>
      <c r="BG248" s="32" t="s">
        <v>1082</v>
      </c>
    </row>
    <row r="249" spans="58:59">
      <c r="BF249" s="298">
        <v>246</v>
      </c>
      <c r="BG249" s="32" t="s">
        <v>269</v>
      </c>
    </row>
    <row r="250" spans="58:59">
      <c r="BF250" s="298">
        <v>247</v>
      </c>
      <c r="BG250" s="32" t="s">
        <v>1083</v>
      </c>
    </row>
    <row r="251" spans="58:59">
      <c r="BF251" s="298">
        <v>248</v>
      </c>
      <c r="BG251" s="32" t="s">
        <v>1084</v>
      </c>
    </row>
    <row r="252" spans="58:59">
      <c r="BF252" s="298">
        <v>249</v>
      </c>
      <c r="BG252" s="32" t="s">
        <v>1085</v>
      </c>
    </row>
    <row r="253" spans="58:59">
      <c r="BF253" s="298">
        <v>250</v>
      </c>
      <c r="BG253" s="32" t="s">
        <v>1086</v>
      </c>
    </row>
    <row r="254" spans="58:59">
      <c r="BF254" s="298">
        <v>251</v>
      </c>
      <c r="BG254" s="32" t="s">
        <v>1087</v>
      </c>
    </row>
    <row r="255" spans="58:59">
      <c r="BF255" s="298">
        <v>252</v>
      </c>
      <c r="BG255" s="32" t="s">
        <v>1088</v>
      </c>
    </row>
    <row r="256" spans="58:59">
      <c r="BF256" s="298">
        <v>253</v>
      </c>
      <c r="BG256" s="32" t="s">
        <v>1089</v>
      </c>
    </row>
    <row r="257" spans="58:59">
      <c r="BF257" s="298">
        <v>254</v>
      </c>
      <c r="BG257" s="32" t="s">
        <v>1090</v>
      </c>
    </row>
    <row r="258" spans="58:59">
      <c r="BF258" s="298">
        <v>255</v>
      </c>
      <c r="BG258" s="32" t="s">
        <v>1091</v>
      </c>
    </row>
    <row r="259" spans="58:59">
      <c r="BF259" s="298">
        <v>256</v>
      </c>
      <c r="BG259" s="32" t="s">
        <v>1092</v>
      </c>
    </row>
    <row r="260" spans="58:59">
      <c r="BF260" s="298">
        <v>257</v>
      </c>
      <c r="BG260" s="32" t="s">
        <v>1093</v>
      </c>
    </row>
    <row r="261" spans="58:59">
      <c r="BF261" s="298">
        <v>258</v>
      </c>
      <c r="BG261" s="32" t="s">
        <v>1094</v>
      </c>
    </row>
    <row r="262" spans="58:59">
      <c r="BF262" s="298">
        <v>259</v>
      </c>
      <c r="BG262" s="32" t="s">
        <v>1095</v>
      </c>
    </row>
    <row r="263" spans="58:59">
      <c r="BF263" s="298">
        <v>260</v>
      </c>
      <c r="BG263" s="32" t="s">
        <v>1096</v>
      </c>
    </row>
    <row r="264" spans="58:59">
      <c r="BF264" s="298">
        <v>261</v>
      </c>
      <c r="BG264" s="32" t="s">
        <v>1097</v>
      </c>
    </row>
    <row r="265" spans="58:59">
      <c r="BF265" s="298">
        <v>262</v>
      </c>
      <c r="BG265" s="32" t="s">
        <v>1098</v>
      </c>
    </row>
    <row r="266" spans="58:59">
      <c r="BF266" s="298">
        <v>263</v>
      </c>
      <c r="BG266" s="32" t="s">
        <v>1099</v>
      </c>
    </row>
    <row r="267" spans="58:59">
      <c r="BF267" s="298">
        <v>264</v>
      </c>
      <c r="BG267" s="32" t="s">
        <v>1100</v>
      </c>
    </row>
    <row r="268" spans="58:59">
      <c r="BF268" s="298">
        <v>265</v>
      </c>
      <c r="BG268" s="32" t="s">
        <v>1101</v>
      </c>
    </row>
    <row r="269" spans="58:59">
      <c r="BF269" s="298">
        <v>266</v>
      </c>
      <c r="BG269" s="32" t="s">
        <v>1102</v>
      </c>
    </row>
    <row r="270" spans="58:59">
      <c r="BF270" s="298">
        <v>267</v>
      </c>
      <c r="BG270" s="32" t="s">
        <v>1103</v>
      </c>
    </row>
    <row r="271" spans="58:59">
      <c r="BF271" s="298">
        <v>268</v>
      </c>
      <c r="BG271" s="32" t="s">
        <v>1104</v>
      </c>
    </row>
    <row r="272" spans="58:59">
      <c r="BF272" s="298">
        <v>269</v>
      </c>
      <c r="BG272" s="32" t="s">
        <v>1105</v>
      </c>
    </row>
    <row r="273" spans="58:59">
      <c r="BF273" s="298">
        <v>270</v>
      </c>
      <c r="BG273" s="32" t="s">
        <v>1106</v>
      </c>
    </row>
    <row r="274" spans="58:59">
      <c r="BF274" s="298">
        <v>271</v>
      </c>
      <c r="BG274" s="32" t="s">
        <v>1107</v>
      </c>
    </row>
    <row r="275" spans="58:59">
      <c r="BF275" s="298">
        <v>272</v>
      </c>
      <c r="BG275" s="32" t="s">
        <v>1108</v>
      </c>
    </row>
    <row r="276" spans="58:59">
      <c r="BF276" s="298">
        <v>273</v>
      </c>
      <c r="BG276" s="32" t="s">
        <v>1109</v>
      </c>
    </row>
    <row r="277" spans="58:59">
      <c r="BF277" s="298">
        <v>274</v>
      </c>
      <c r="BG277" s="32" t="s">
        <v>1110</v>
      </c>
    </row>
    <row r="278" spans="58:59">
      <c r="BF278" s="298">
        <v>275</v>
      </c>
      <c r="BG278" s="32" t="s">
        <v>1111</v>
      </c>
    </row>
    <row r="279" spans="58:59">
      <c r="BF279" s="298">
        <v>276</v>
      </c>
      <c r="BG279" s="32" t="s">
        <v>1112</v>
      </c>
    </row>
    <row r="280" spans="58:59">
      <c r="BF280" s="298">
        <v>277</v>
      </c>
      <c r="BG280" s="32" t="s">
        <v>1113</v>
      </c>
    </row>
    <row r="281" spans="58:59">
      <c r="BF281" s="298">
        <v>278</v>
      </c>
      <c r="BG281" s="32" t="s">
        <v>1114</v>
      </c>
    </row>
    <row r="282" spans="58:59">
      <c r="BF282" s="298">
        <v>279</v>
      </c>
      <c r="BG282" s="32" t="s">
        <v>1115</v>
      </c>
    </row>
    <row r="283" spans="58:59">
      <c r="BF283" s="298">
        <v>280</v>
      </c>
      <c r="BG283" s="32" t="s">
        <v>1116</v>
      </c>
    </row>
    <row r="284" spans="58:59">
      <c r="BF284" s="298">
        <v>281</v>
      </c>
      <c r="BG284" s="32" t="s">
        <v>1117</v>
      </c>
    </row>
    <row r="285" spans="58:59">
      <c r="BF285" s="298">
        <v>282</v>
      </c>
      <c r="BG285" s="32" t="s">
        <v>1118</v>
      </c>
    </row>
    <row r="286" spans="58:59">
      <c r="BF286" s="298">
        <v>283</v>
      </c>
      <c r="BG286" s="32" t="s">
        <v>1119</v>
      </c>
    </row>
    <row r="287" spans="58:59">
      <c r="BF287" s="298">
        <v>284</v>
      </c>
      <c r="BG287" s="32" t="s">
        <v>1120</v>
      </c>
    </row>
    <row r="288" spans="58:59">
      <c r="BF288" s="298">
        <v>285</v>
      </c>
      <c r="BG288" s="32" t="s">
        <v>1121</v>
      </c>
    </row>
    <row r="289" spans="58:59">
      <c r="BF289" s="298">
        <v>286</v>
      </c>
      <c r="BG289" s="32" t="s">
        <v>1122</v>
      </c>
    </row>
    <row r="290" spans="58:59">
      <c r="BF290" s="298">
        <v>287</v>
      </c>
      <c r="BG290" s="32" t="s">
        <v>1123</v>
      </c>
    </row>
    <row r="291" spans="58:59">
      <c r="BF291" s="298">
        <v>288</v>
      </c>
      <c r="BG291" s="32" t="s">
        <v>1124</v>
      </c>
    </row>
    <row r="292" spans="58:59">
      <c r="BF292" s="298">
        <v>289</v>
      </c>
      <c r="BG292" s="32" t="s">
        <v>1125</v>
      </c>
    </row>
    <row r="293" spans="58:59">
      <c r="BF293" s="298">
        <v>290</v>
      </c>
      <c r="BG293" s="32" t="s">
        <v>1126</v>
      </c>
    </row>
    <row r="294" spans="58:59">
      <c r="BF294" s="298">
        <v>291</v>
      </c>
      <c r="BG294" s="32" t="s">
        <v>1127</v>
      </c>
    </row>
    <row r="295" spans="58:59">
      <c r="BF295" s="298">
        <v>292</v>
      </c>
      <c r="BG295" s="32" t="s">
        <v>1128</v>
      </c>
    </row>
    <row r="296" spans="58:59">
      <c r="BF296" s="298">
        <v>293</v>
      </c>
      <c r="BG296" s="32" t="s">
        <v>1129</v>
      </c>
    </row>
    <row r="297" spans="58:59">
      <c r="BF297" s="298">
        <v>294</v>
      </c>
      <c r="BG297" s="32" t="s">
        <v>1130</v>
      </c>
    </row>
    <row r="298" spans="58:59">
      <c r="BF298" s="298">
        <v>295</v>
      </c>
      <c r="BG298" s="32" t="s">
        <v>1131</v>
      </c>
    </row>
    <row r="299" spans="58:59">
      <c r="BF299" s="298">
        <v>296</v>
      </c>
      <c r="BG299" s="32" t="s">
        <v>1132</v>
      </c>
    </row>
    <row r="300" spans="58:59">
      <c r="BF300" s="298">
        <v>297</v>
      </c>
      <c r="BG300" s="32" t="s">
        <v>1133</v>
      </c>
    </row>
    <row r="301" spans="58:59">
      <c r="BF301" s="298">
        <v>298</v>
      </c>
      <c r="BG301" s="32" t="s">
        <v>1134</v>
      </c>
    </row>
    <row r="302" spans="58:59">
      <c r="BF302" s="298">
        <v>299</v>
      </c>
      <c r="BG302" s="32" t="s">
        <v>1135</v>
      </c>
    </row>
    <row r="303" spans="58:59">
      <c r="BF303" s="298">
        <v>300</v>
      </c>
      <c r="BG303" s="32" t="s">
        <v>1136</v>
      </c>
    </row>
    <row r="304" spans="58:59">
      <c r="BF304" s="298">
        <v>301</v>
      </c>
      <c r="BG304" s="32" t="s">
        <v>1137</v>
      </c>
    </row>
    <row r="305" spans="58:59">
      <c r="BF305" s="298">
        <v>302</v>
      </c>
      <c r="BG305" s="32" t="s">
        <v>1138</v>
      </c>
    </row>
    <row r="306" spans="58:59">
      <c r="BF306" s="298">
        <v>303</v>
      </c>
      <c r="BG306" s="32" t="s">
        <v>1139</v>
      </c>
    </row>
    <row r="307" spans="58:59">
      <c r="BF307" s="298">
        <v>304</v>
      </c>
      <c r="BG307" s="32" t="s">
        <v>1140</v>
      </c>
    </row>
    <row r="308" spans="58:59">
      <c r="BF308" s="298">
        <v>305</v>
      </c>
      <c r="BG308" s="32" t="s">
        <v>1141</v>
      </c>
    </row>
    <row r="309" spans="58:59">
      <c r="BF309" s="298">
        <v>306</v>
      </c>
      <c r="BG309" s="32" t="s">
        <v>1142</v>
      </c>
    </row>
    <row r="310" spans="58:59">
      <c r="BF310" s="298">
        <v>307</v>
      </c>
      <c r="BG310" s="32" t="s">
        <v>1143</v>
      </c>
    </row>
    <row r="311" spans="58:59">
      <c r="BF311" s="298">
        <v>308</v>
      </c>
      <c r="BG311" s="32" t="s">
        <v>1144</v>
      </c>
    </row>
    <row r="312" spans="58:59">
      <c r="BF312" s="298">
        <v>309</v>
      </c>
      <c r="BG312" s="32" t="s">
        <v>1145</v>
      </c>
    </row>
    <row r="313" spans="58:59">
      <c r="BF313" s="298">
        <v>310</v>
      </c>
      <c r="BG313" s="32" t="s">
        <v>1146</v>
      </c>
    </row>
    <row r="314" spans="58:59">
      <c r="BF314" s="298">
        <v>311</v>
      </c>
      <c r="BG314" s="32" t="s">
        <v>1147</v>
      </c>
    </row>
    <row r="315" spans="58:59">
      <c r="BF315" s="298">
        <v>312</v>
      </c>
      <c r="BG315" s="32" t="s">
        <v>1148</v>
      </c>
    </row>
    <row r="316" spans="58:59">
      <c r="BF316" s="298">
        <v>313</v>
      </c>
      <c r="BG316" s="32" t="s">
        <v>1149</v>
      </c>
    </row>
    <row r="317" spans="58:59">
      <c r="BF317" s="298">
        <v>314</v>
      </c>
      <c r="BG317" s="32" t="s">
        <v>1150</v>
      </c>
    </row>
    <row r="318" spans="58:59">
      <c r="BF318" s="298">
        <v>315</v>
      </c>
      <c r="BG318" s="32" t="s">
        <v>1151</v>
      </c>
    </row>
    <row r="319" spans="58:59">
      <c r="BF319" s="298">
        <v>316</v>
      </c>
      <c r="BG319" s="32" t="s">
        <v>1152</v>
      </c>
    </row>
    <row r="320" spans="58:59">
      <c r="BF320" s="298">
        <v>317</v>
      </c>
      <c r="BG320" s="32" t="s">
        <v>1153</v>
      </c>
    </row>
    <row r="321" spans="58:59">
      <c r="BF321" s="298">
        <v>318</v>
      </c>
      <c r="BG321" s="32" t="s">
        <v>1154</v>
      </c>
    </row>
    <row r="322" spans="58:59">
      <c r="BF322" s="298">
        <v>319</v>
      </c>
      <c r="BG322" s="32" t="s">
        <v>1155</v>
      </c>
    </row>
    <row r="323" spans="58:59">
      <c r="BF323" s="298">
        <v>320</v>
      </c>
      <c r="BG323" s="32" t="s">
        <v>1156</v>
      </c>
    </row>
    <row r="324" spans="58:59">
      <c r="BF324" s="298">
        <v>321</v>
      </c>
      <c r="BG324" s="32" t="s">
        <v>1157</v>
      </c>
    </row>
    <row r="325" spans="58:59">
      <c r="BF325" s="298">
        <v>322</v>
      </c>
      <c r="BG325" s="32" t="s">
        <v>1158</v>
      </c>
    </row>
    <row r="326" spans="58:59">
      <c r="BF326" s="298">
        <v>323</v>
      </c>
      <c r="BG326" s="32" t="s">
        <v>1159</v>
      </c>
    </row>
    <row r="327" spans="58:59">
      <c r="BF327" s="298">
        <v>324</v>
      </c>
      <c r="BG327" s="32" t="s">
        <v>1160</v>
      </c>
    </row>
    <row r="328" spans="58:59">
      <c r="BF328" s="298">
        <v>325</v>
      </c>
      <c r="BG328" s="32" t="s">
        <v>1161</v>
      </c>
    </row>
    <row r="329" spans="58:59">
      <c r="BF329" s="298">
        <v>326</v>
      </c>
      <c r="BG329" s="32" t="s">
        <v>1162</v>
      </c>
    </row>
    <row r="330" spans="58:59">
      <c r="BF330" s="298">
        <v>327</v>
      </c>
      <c r="BG330" s="32" t="s">
        <v>1163</v>
      </c>
    </row>
    <row r="331" spans="58:59">
      <c r="BF331" s="298">
        <v>328</v>
      </c>
      <c r="BG331" s="32" t="s">
        <v>1164</v>
      </c>
    </row>
    <row r="332" spans="58:59">
      <c r="BF332" s="298">
        <v>329</v>
      </c>
      <c r="BG332" s="32" t="s">
        <v>1165</v>
      </c>
    </row>
    <row r="333" spans="58:59">
      <c r="BF333" s="298">
        <v>330</v>
      </c>
      <c r="BG333" s="32" t="s">
        <v>1166</v>
      </c>
    </row>
    <row r="334" spans="58:59">
      <c r="BF334" s="298">
        <v>331</v>
      </c>
      <c r="BG334" s="32" t="s">
        <v>1167</v>
      </c>
    </row>
    <row r="335" spans="58:59">
      <c r="BF335" s="298">
        <v>332</v>
      </c>
      <c r="BG335" s="32" t="s">
        <v>1168</v>
      </c>
    </row>
    <row r="336" spans="58:59">
      <c r="BF336" s="298">
        <v>333</v>
      </c>
      <c r="BG336" s="32" t="s">
        <v>1169</v>
      </c>
    </row>
    <row r="337" spans="58:59">
      <c r="BF337" s="298">
        <v>334</v>
      </c>
      <c r="BG337" s="32" t="s">
        <v>1170</v>
      </c>
    </row>
    <row r="338" spans="58:59">
      <c r="BF338" s="298">
        <v>335</v>
      </c>
      <c r="BG338" s="32" t="s">
        <v>1171</v>
      </c>
    </row>
    <row r="339" spans="58:59">
      <c r="BF339" s="298">
        <v>336</v>
      </c>
      <c r="BG339" s="32" t="s">
        <v>1172</v>
      </c>
    </row>
    <row r="340" spans="58:59">
      <c r="BF340" s="298">
        <v>337</v>
      </c>
      <c r="BG340" s="32" t="s">
        <v>1173</v>
      </c>
    </row>
    <row r="341" spans="58:59">
      <c r="BF341" s="298">
        <v>338</v>
      </c>
      <c r="BG341" s="32" t="s">
        <v>1174</v>
      </c>
    </row>
    <row r="342" spans="58:59">
      <c r="BF342" s="298">
        <v>339</v>
      </c>
      <c r="BG342" s="32" t="s">
        <v>1175</v>
      </c>
    </row>
    <row r="343" spans="58:59">
      <c r="BF343" s="298">
        <v>340</v>
      </c>
      <c r="BG343" s="32" t="s">
        <v>1176</v>
      </c>
    </row>
    <row r="344" spans="58:59">
      <c r="BF344" s="298">
        <v>341</v>
      </c>
      <c r="BG344" s="32" t="s">
        <v>1177</v>
      </c>
    </row>
    <row r="345" spans="58:59">
      <c r="BF345" s="298">
        <v>342</v>
      </c>
      <c r="BG345" s="32" t="s">
        <v>1178</v>
      </c>
    </row>
    <row r="346" spans="58:59">
      <c r="BF346" s="298">
        <v>343</v>
      </c>
      <c r="BG346" s="32" t="s">
        <v>1179</v>
      </c>
    </row>
    <row r="347" spans="58:59">
      <c r="BF347" s="298">
        <v>344</v>
      </c>
      <c r="BG347" s="32" t="s">
        <v>1180</v>
      </c>
    </row>
    <row r="348" spans="58:59">
      <c r="BF348" s="298">
        <v>345</v>
      </c>
      <c r="BG348" s="32" t="s">
        <v>1181</v>
      </c>
    </row>
    <row r="349" spans="58:59">
      <c r="BF349" s="298">
        <v>346</v>
      </c>
      <c r="BG349" s="32" t="s">
        <v>258</v>
      </c>
    </row>
    <row r="350" spans="58:59">
      <c r="BF350" s="298">
        <v>347</v>
      </c>
      <c r="BG350" s="32" t="s">
        <v>1182</v>
      </c>
    </row>
    <row r="351" spans="58:59">
      <c r="BF351" s="298">
        <v>348</v>
      </c>
      <c r="BG351" s="32" t="s">
        <v>1183</v>
      </c>
    </row>
    <row r="352" spans="58:59">
      <c r="BF352" s="298">
        <v>349</v>
      </c>
      <c r="BG352" s="32" t="s">
        <v>1184</v>
      </c>
    </row>
    <row r="353" spans="58:59">
      <c r="BF353" s="298">
        <v>350</v>
      </c>
      <c r="BG353" s="32" t="s">
        <v>1185</v>
      </c>
    </row>
    <row r="354" spans="58:59">
      <c r="BF354" s="298">
        <v>351</v>
      </c>
      <c r="BG354" s="32" t="s">
        <v>1186</v>
      </c>
    </row>
    <row r="355" spans="58:59">
      <c r="BF355" s="298">
        <v>352</v>
      </c>
      <c r="BG355" s="32" t="s">
        <v>1187</v>
      </c>
    </row>
    <row r="356" spans="58:59">
      <c r="BF356" s="298">
        <v>353</v>
      </c>
      <c r="BG356" s="32" t="s">
        <v>1188</v>
      </c>
    </row>
    <row r="357" spans="58:59">
      <c r="BF357" s="298">
        <v>354</v>
      </c>
      <c r="BG357" s="32" t="s">
        <v>1189</v>
      </c>
    </row>
    <row r="358" spans="58:59">
      <c r="BF358" s="298">
        <v>355</v>
      </c>
      <c r="BG358" s="32" t="s">
        <v>1190</v>
      </c>
    </row>
    <row r="359" spans="58:59">
      <c r="BF359" s="298">
        <v>356</v>
      </c>
      <c r="BG359" s="32" t="s">
        <v>1191</v>
      </c>
    </row>
    <row r="360" spans="58:59">
      <c r="BF360" s="298">
        <v>357</v>
      </c>
      <c r="BG360" s="32" t="s">
        <v>1192</v>
      </c>
    </row>
    <row r="361" spans="58:59">
      <c r="BF361" s="298">
        <v>358</v>
      </c>
      <c r="BG361" s="32" t="s">
        <v>736</v>
      </c>
    </row>
    <row r="362" spans="58:59">
      <c r="BF362" s="298">
        <v>359</v>
      </c>
      <c r="BG362" s="32" t="s">
        <v>1193</v>
      </c>
    </row>
    <row r="363" spans="58:59">
      <c r="BF363" s="298">
        <v>360</v>
      </c>
      <c r="BG363" s="32" t="s">
        <v>262</v>
      </c>
    </row>
    <row r="364" spans="58:59">
      <c r="BF364" s="298">
        <v>361</v>
      </c>
      <c r="BG364" s="32" t="s">
        <v>1194</v>
      </c>
    </row>
    <row r="365" spans="58:59">
      <c r="BF365" s="298">
        <v>362</v>
      </c>
      <c r="BG365" s="32" t="s">
        <v>1195</v>
      </c>
    </row>
    <row r="366" spans="58:59">
      <c r="BF366" s="298">
        <v>363</v>
      </c>
      <c r="BG366" s="32" t="s">
        <v>1196</v>
      </c>
    </row>
    <row r="367" spans="58:59">
      <c r="BF367" s="298">
        <v>364</v>
      </c>
      <c r="BG367" s="32" t="s">
        <v>1197</v>
      </c>
    </row>
    <row r="368" spans="58:59">
      <c r="BF368" s="298">
        <v>365</v>
      </c>
      <c r="BG368" s="32" t="s">
        <v>1198</v>
      </c>
    </row>
    <row r="369" spans="58:59">
      <c r="BF369" s="298">
        <v>366</v>
      </c>
      <c r="BG369" s="32" t="s">
        <v>1199</v>
      </c>
    </row>
    <row r="370" spans="58:59">
      <c r="BF370" s="298">
        <v>367</v>
      </c>
      <c r="BG370" s="32" t="s">
        <v>1200</v>
      </c>
    </row>
    <row r="371" spans="58:59">
      <c r="BF371" s="298">
        <v>368</v>
      </c>
      <c r="BG371" s="32" t="s">
        <v>1201</v>
      </c>
    </row>
    <row r="372" spans="58:59">
      <c r="BF372" s="298">
        <v>369</v>
      </c>
      <c r="BG372" s="32" t="s">
        <v>1202</v>
      </c>
    </row>
    <row r="373" spans="58:59">
      <c r="BF373" s="298">
        <v>370</v>
      </c>
      <c r="BG373" s="32" t="s">
        <v>1203</v>
      </c>
    </row>
    <row r="374" spans="58:59">
      <c r="BF374" s="298">
        <v>371</v>
      </c>
      <c r="BG374" s="32" t="s">
        <v>1204</v>
      </c>
    </row>
    <row r="375" spans="58:59">
      <c r="BF375" s="298">
        <v>372</v>
      </c>
      <c r="BG375" s="32" t="s">
        <v>1205</v>
      </c>
    </row>
    <row r="376" spans="58:59">
      <c r="BF376" s="298">
        <v>373</v>
      </c>
      <c r="BG376" s="32" t="s">
        <v>1206</v>
      </c>
    </row>
    <row r="377" spans="58:59">
      <c r="BF377" s="298">
        <v>374</v>
      </c>
      <c r="BG377" s="32" t="s">
        <v>1207</v>
      </c>
    </row>
    <row r="378" spans="58:59">
      <c r="BF378" s="298">
        <v>375</v>
      </c>
      <c r="BG378" s="32" t="s">
        <v>1208</v>
      </c>
    </row>
    <row r="379" spans="58:59">
      <c r="BF379" s="298">
        <v>376</v>
      </c>
      <c r="BG379" s="32" t="s">
        <v>1209</v>
      </c>
    </row>
    <row r="380" spans="58:59">
      <c r="BF380" s="298">
        <v>377</v>
      </c>
      <c r="BG380" s="32" t="s">
        <v>1210</v>
      </c>
    </row>
    <row r="381" spans="58:59">
      <c r="BF381" s="298">
        <v>378</v>
      </c>
      <c r="BG381" s="32" t="s">
        <v>1211</v>
      </c>
    </row>
    <row r="382" spans="58:59">
      <c r="BF382" s="298">
        <v>379</v>
      </c>
      <c r="BG382" s="32" t="s">
        <v>1212</v>
      </c>
    </row>
    <row r="383" spans="58:59">
      <c r="BF383" s="298">
        <v>380</v>
      </c>
      <c r="BG383" s="32" t="s">
        <v>1213</v>
      </c>
    </row>
    <row r="384" spans="58:59">
      <c r="BF384" s="298">
        <v>381</v>
      </c>
      <c r="BG384" s="32" t="s">
        <v>1214</v>
      </c>
    </row>
    <row r="385" spans="58:59">
      <c r="BF385" s="298">
        <v>382</v>
      </c>
      <c r="BG385" s="32" t="s">
        <v>1215</v>
      </c>
    </row>
    <row r="386" spans="58:59">
      <c r="BF386" s="298">
        <v>383</v>
      </c>
      <c r="BG386" s="32" t="s">
        <v>1216</v>
      </c>
    </row>
    <row r="387" spans="58:59">
      <c r="BF387" s="298">
        <v>384</v>
      </c>
      <c r="BG387" s="32" t="s">
        <v>1217</v>
      </c>
    </row>
    <row r="388" spans="58:59">
      <c r="BF388" s="298">
        <v>385</v>
      </c>
      <c r="BG388" s="32" t="s">
        <v>1218</v>
      </c>
    </row>
    <row r="389" spans="58:59">
      <c r="BF389" s="298">
        <v>386</v>
      </c>
      <c r="BG389" s="32" t="s">
        <v>1219</v>
      </c>
    </row>
    <row r="390" spans="58:59">
      <c r="BF390" s="298">
        <v>387</v>
      </c>
      <c r="BG390" s="32" t="s">
        <v>1220</v>
      </c>
    </row>
    <row r="391" spans="58:59">
      <c r="BF391" s="298">
        <v>388</v>
      </c>
      <c r="BG391" s="32" t="s">
        <v>1221</v>
      </c>
    </row>
    <row r="392" spans="58:59">
      <c r="BF392" s="298">
        <v>389</v>
      </c>
      <c r="BG392" s="32" t="s">
        <v>1222</v>
      </c>
    </row>
    <row r="393" spans="58:59">
      <c r="BF393" s="298">
        <v>390</v>
      </c>
      <c r="BG393" s="32" t="s">
        <v>1223</v>
      </c>
    </row>
    <row r="394" spans="58:59">
      <c r="BF394" s="298">
        <v>391</v>
      </c>
      <c r="BG394" s="32" t="s">
        <v>1224</v>
      </c>
    </row>
    <row r="395" spans="58:59">
      <c r="BF395" s="298">
        <v>392</v>
      </c>
      <c r="BG395" s="32" t="s">
        <v>1225</v>
      </c>
    </row>
    <row r="396" spans="58:59">
      <c r="BF396" s="298">
        <v>393</v>
      </c>
      <c r="BG396" s="32" t="s">
        <v>1226</v>
      </c>
    </row>
    <row r="397" spans="58:59">
      <c r="BF397" s="298">
        <v>394</v>
      </c>
      <c r="BG397" s="32" t="s">
        <v>1227</v>
      </c>
    </row>
    <row r="398" spans="58:59">
      <c r="BF398" s="298">
        <v>395</v>
      </c>
      <c r="BG398" s="32" t="s">
        <v>1228</v>
      </c>
    </row>
    <row r="399" spans="58:59">
      <c r="BF399" s="298">
        <v>396</v>
      </c>
      <c r="BG399" s="32" t="s">
        <v>1229</v>
      </c>
    </row>
    <row r="400" spans="58:59">
      <c r="BF400" s="298">
        <v>397</v>
      </c>
      <c r="BG400" s="32" t="s">
        <v>1230</v>
      </c>
    </row>
    <row r="401" spans="58:59">
      <c r="BF401" s="298">
        <v>398</v>
      </c>
      <c r="BG401" s="32" t="s">
        <v>1231</v>
      </c>
    </row>
    <row r="402" spans="58:59">
      <c r="BF402" s="298">
        <v>399</v>
      </c>
      <c r="BG402" s="32" t="s">
        <v>1232</v>
      </c>
    </row>
    <row r="403" spans="58:59">
      <c r="BF403" s="298">
        <v>400</v>
      </c>
      <c r="BG403" s="32" t="s">
        <v>1233</v>
      </c>
    </row>
    <row r="404" spans="58:59">
      <c r="BF404" s="298">
        <v>401</v>
      </c>
      <c r="BG404" s="32" t="s">
        <v>1234</v>
      </c>
    </row>
    <row r="405" spans="58:59">
      <c r="BF405" s="298">
        <v>402</v>
      </c>
      <c r="BG405" s="32" t="s">
        <v>1235</v>
      </c>
    </row>
    <row r="406" spans="58:59">
      <c r="BF406" s="298">
        <v>403</v>
      </c>
      <c r="BG406" s="32" t="s">
        <v>1236</v>
      </c>
    </row>
    <row r="407" spans="58:59">
      <c r="BF407" s="298">
        <v>404</v>
      </c>
      <c r="BG407" s="32" t="s">
        <v>1237</v>
      </c>
    </row>
    <row r="408" spans="58:59">
      <c r="BF408" s="298">
        <v>405</v>
      </c>
      <c r="BG408" s="32" t="s">
        <v>1238</v>
      </c>
    </row>
    <row r="409" spans="58:59">
      <c r="BF409" s="298">
        <v>406</v>
      </c>
      <c r="BG409" s="32" t="s">
        <v>1239</v>
      </c>
    </row>
    <row r="410" spans="58:59">
      <c r="BF410" s="298">
        <v>407</v>
      </c>
      <c r="BG410" s="32" t="s">
        <v>1240</v>
      </c>
    </row>
    <row r="411" spans="58:59">
      <c r="BF411" s="298">
        <v>408</v>
      </c>
      <c r="BG411" s="32" t="s">
        <v>1241</v>
      </c>
    </row>
    <row r="412" spans="58:59">
      <c r="BF412" s="298">
        <v>409</v>
      </c>
      <c r="BG412" s="32" t="s">
        <v>1242</v>
      </c>
    </row>
    <row r="413" spans="58:59">
      <c r="BF413" s="298">
        <v>410</v>
      </c>
      <c r="BG413" s="32" t="s">
        <v>1243</v>
      </c>
    </row>
    <row r="414" spans="58:59">
      <c r="BF414" s="298">
        <v>411</v>
      </c>
      <c r="BG414" s="32" t="s">
        <v>1244</v>
      </c>
    </row>
    <row r="415" spans="58:59">
      <c r="BF415" s="298">
        <v>412</v>
      </c>
      <c r="BG415" s="32" t="s">
        <v>1245</v>
      </c>
    </row>
    <row r="416" spans="58:59">
      <c r="BF416" s="298">
        <v>413</v>
      </c>
      <c r="BG416" s="32" t="s">
        <v>746</v>
      </c>
    </row>
    <row r="417" spans="58:59">
      <c r="BF417" s="298">
        <v>414</v>
      </c>
      <c r="BG417" s="32" t="s">
        <v>1246</v>
      </c>
    </row>
    <row r="418" spans="58:59">
      <c r="BF418" s="298">
        <v>415</v>
      </c>
      <c r="BG418" s="32" t="s">
        <v>1247</v>
      </c>
    </row>
    <row r="419" spans="58:59">
      <c r="BF419" s="298">
        <v>416</v>
      </c>
      <c r="BG419" s="32" t="s">
        <v>1248</v>
      </c>
    </row>
    <row r="420" spans="58:59">
      <c r="BF420" s="298">
        <v>417</v>
      </c>
      <c r="BG420" s="32" t="s">
        <v>609</v>
      </c>
    </row>
    <row r="421" spans="58:59">
      <c r="BF421" s="298">
        <v>418</v>
      </c>
      <c r="BG421" s="32" t="s">
        <v>1249</v>
      </c>
    </row>
    <row r="422" spans="58:59">
      <c r="BF422" s="298">
        <v>419</v>
      </c>
      <c r="BG422" s="32" t="s">
        <v>1250</v>
      </c>
    </row>
    <row r="423" spans="58:59">
      <c r="BF423" s="298">
        <v>420</v>
      </c>
      <c r="BG423" s="32" t="s">
        <v>1251</v>
      </c>
    </row>
    <row r="424" spans="58:59">
      <c r="BF424" s="298">
        <v>421</v>
      </c>
      <c r="BG424" s="32" t="s">
        <v>1252</v>
      </c>
    </row>
    <row r="425" spans="58:59">
      <c r="BF425" s="298">
        <v>422</v>
      </c>
      <c r="BG425" s="32" t="s">
        <v>1253</v>
      </c>
    </row>
    <row r="426" spans="58:59">
      <c r="BF426" s="298">
        <v>423</v>
      </c>
      <c r="BG426" s="32" t="s">
        <v>1254</v>
      </c>
    </row>
    <row r="427" spans="58:59">
      <c r="BF427" s="298">
        <v>424</v>
      </c>
      <c r="BG427" s="32" t="s">
        <v>1255</v>
      </c>
    </row>
    <row r="428" spans="58:59">
      <c r="BF428" s="298">
        <v>425</v>
      </c>
      <c r="BG428" s="32" t="s">
        <v>1256</v>
      </c>
    </row>
    <row r="429" spans="58:59">
      <c r="BF429" s="298">
        <v>426</v>
      </c>
      <c r="BG429" s="32" t="s">
        <v>1257</v>
      </c>
    </row>
    <row r="430" spans="58:59">
      <c r="BF430" s="298">
        <v>427</v>
      </c>
      <c r="BG430" s="32" t="s">
        <v>1258</v>
      </c>
    </row>
    <row r="431" spans="58:59">
      <c r="BF431" s="298">
        <v>428</v>
      </c>
      <c r="BG431" s="32" t="s">
        <v>1259</v>
      </c>
    </row>
    <row r="432" spans="58:59">
      <c r="BF432" s="298">
        <v>429</v>
      </c>
      <c r="BG432" s="32" t="s">
        <v>1260</v>
      </c>
    </row>
    <row r="433" spans="58:59">
      <c r="BF433" s="298">
        <v>430</v>
      </c>
      <c r="BG433" s="32" t="s">
        <v>1261</v>
      </c>
    </row>
    <row r="434" spans="58:59">
      <c r="BF434" s="298">
        <v>431</v>
      </c>
      <c r="BG434" s="32" t="s">
        <v>1262</v>
      </c>
    </row>
    <row r="435" spans="58:59">
      <c r="BF435" s="298">
        <v>432</v>
      </c>
      <c r="BG435" s="32" t="s">
        <v>1263</v>
      </c>
    </row>
    <row r="436" spans="58:59">
      <c r="BF436" s="298">
        <v>433</v>
      </c>
      <c r="BG436" s="32" t="s">
        <v>1264</v>
      </c>
    </row>
    <row r="437" spans="58:59">
      <c r="BF437" s="298">
        <v>434</v>
      </c>
      <c r="BG437" s="32" t="s">
        <v>1265</v>
      </c>
    </row>
    <row r="438" spans="58:59">
      <c r="BF438" s="298">
        <v>435</v>
      </c>
      <c r="BG438" s="32" t="s">
        <v>1266</v>
      </c>
    </row>
    <row r="439" spans="58:59">
      <c r="BF439" s="298">
        <v>436</v>
      </c>
      <c r="BG439" s="32" t="s">
        <v>1267</v>
      </c>
    </row>
    <row r="440" spans="58:59">
      <c r="BF440" s="298">
        <v>437</v>
      </c>
      <c r="BG440" s="32" t="s">
        <v>1268</v>
      </c>
    </row>
    <row r="441" spans="58:59">
      <c r="BF441" s="298">
        <v>438</v>
      </c>
      <c r="BG441" s="32" t="s">
        <v>1269</v>
      </c>
    </row>
    <row r="442" spans="58:59">
      <c r="BF442" s="298">
        <v>439</v>
      </c>
      <c r="BG442" s="32" t="s">
        <v>1270</v>
      </c>
    </row>
    <row r="443" spans="58:59">
      <c r="BF443" s="298">
        <v>440</v>
      </c>
      <c r="BG443" s="32" t="s">
        <v>1271</v>
      </c>
    </row>
    <row r="444" spans="58:59">
      <c r="BF444" s="298">
        <v>441</v>
      </c>
      <c r="BG444" s="32" t="s">
        <v>1272</v>
      </c>
    </row>
    <row r="445" spans="58:59">
      <c r="BF445" s="298">
        <v>442</v>
      </c>
      <c r="BG445" s="32" t="s">
        <v>1273</v>
      </c>
    </row>
    <row r="446" spans="58:59">
      <c r="BF446" s="298">
        <v>443</v>
      </c>
      <c r="BG446" s="32" t="s">
        <v>1274</v>
      </c>
    </row>
    <row r="447" spans="58:59">
      <c r="BF447" s="298">
        <v>444</v>
      </c>
      <c r="BG447" s="32" t="s">
        <v>1275</v>
      </c>
    </row>
    <row r="448" spans="58:59">
      <c r="BF448" s="298">
        <v>445</v>
      </c>
      <c r="BG448" s="32" t="s">
        <v>1276</v>
      </c>
    </row>
    <row r="449" spans="58:59">
      <c r="BF449" s="298">
        <v>446</v>
      </c>
      <c r="BG449" s="32" t="s">
        <v>1277</v>
      </c>
    </row>
    <row r="450" spans="58:59">
      <c r="BF450" s="298">
        <v>447</v>
      </c>
      <c r="BG450" s="32" t="s">
        <v>1278</v>
      </c>
    </row>
    <row r="451" spans="58:59">
      <c r="BF451" s="298">
        <v>448</v>
      </c>
      <c r="BG451" s="32" t="s">
        <v>1279</v>
      </c>
    </row>
    <row r="452" spans="58:59">
      <c r="BF452" s="298">
        <v>449</v>
      </c>
      <c r="BG452" s="32" t="s">
        <v>1280</v>
      </c>
    </row>
    <row r="453" spans="58:59">
      <c r="BF453" s="298">
        <v>450</v>
      </c>
      <c r="BG453" s="32" t="s">
        <v>1281</v>
      </c>
    </row>
    <row r="454" spans="58:59">
      <c r="BF454" s="298">
        <v>451</v>
      </c>
      <c r="BG454" s="32" t="s">
        <v>1282</v>
      </c>
    </row>
    <row r="455" spans="58:59">
      <c r="BF455" s="298">
        <v>452</v>
      </c>
      <c r="BG455" s="32" t="s">
        <v>1283</v>
      </c>
    </row>
    <row r="456" spans="58:59">
      <c r="BF456" s="298">
        <v>453</v>
      </c>
      <c r="BG456" s="32" t="s">
        <v>1284</v>
      </c>
    </row>
    <row r="457" spans="58:59">
      <c r="BF457" s="298">
        <v>454</v>
      </c>
      <c r="BG457" s="32" t="s">
        <v>264</v>
      </c>
    </row>
    <row r="458" spans="58:59">
      <c r="BF458" s="298">
        <v>455</v>
      </c>
      <c r="BG458" s="32" t="s">
        <v>1285</v>
      </c>
    </row>
    <row r="459" spans="58:59">
      <c r="BF459" s="298">
        <v>456</v>
      </c>
      <c r="BG459" s="32" t="s">
        <v>1286</v>
      </c>
    </row>
    <row r="460" spans="58:59">
      <c r="BF460" s="298">
        <v>457</v>
      </c>
      <c r="BG460" s="32" t="s">
        <v>1287</v>
      </c>
    </row>
    <row r="461" spans="58:59">
      <c r="BF461" s="298">
        <v>458</v>
      </c>
      <c r="BG461" s="32" t="s">
        <v>1288</v>
      </c>
    </row>
    <row r="462" spans="58:59">
      <c r="BF462" s="298">
        <v>459</v>
      </c>
      <c r="BG462" s="32" t="s">
        <v>1289</v>
      </c>
    </row>
    <row r="463" spans="58:59">
      <c r="BF463" s="298">
        <v>460</v>
      </c>
      <c r="BG463" s="32" t="s">
        <v>1290</v>
      </c>
    </row>
    <row r="464" spans="58:59">
      <c r="BF464" s="298">
        <v>461</v>
      </c>
      <c r="BG464" s="32" t="s">
        <v>1291</v>
      </c>
    </row>
    <row r="465" spans="58:59">
      <c r="BF465" s="298">
        <v>462</v>
      </c>
      <c r="BG465" s="32" t="s">
        <v>1292</v>
      </c>
    </row>
    <row r="466" spans="58:59">
      <c r="BF466" s="298">
        <v>463</v>
      </c>
      <c r="BG466" s="32" t="s">
        <v>1293</v>
      </c>
    </row>
    <row r="467" spans="58:59">
      <c r="BF467" s="298">
        <v>464</v>
      </c>
      <c r="BG467" s="32" t="s">
        <v>1294</v>
      </c>
    </row>
    <row r="468" spans="58:59">
      <c r="BF468" s="298">
        <v>465</v>
      </c>
      <c r="BG468" s="32" t="s">
        <v>1295</v>
      </c>
    </row>
    <row r="469" spans="58:59">
      <c r="BF469" s="298">
        <v>466</v>
      </c>
      <c r="BG469" s="32" t="s">
        <v>1296</v>
      </c>
    </row>
    <row r="470" spans="58:59">
      <c r="BF470" s="298">
        <v>467</v>
      </c>
      <c r="BG470" s="32" t="s">
        <v>1297</v>
      </c>
    </row>
    <row r="471" spans="58:59">
      <c r="BF471" s="298">
        <v>468</v>
      </c>
      <c r="BG471" s="32" t="s">
        <v>1298</v>
      </c>
    </row>
    <row r="472" spans="58:59">
      <c r="BF472" s="298">
        <v>469</v>
      </c>
      <c r="BG472" s="32" t="s">
        <v>1299</v>
      </c>
    </row>
    <row r="473" spans="58:59">
      <c r="BF473" s="298">
        <v>470</v>
      </c>
      <c r="BG473" s="32" t="s">
        <v>1300</v>
      </c>
    </row>
    <row r="474" spans="58:59">
      <c r="BF474" s="298">
        <v>471</v>
      </c>
      <c r="BG474" s="32" t="s">
        <v>1301</v>
      </c>
    </row>
    <row r="475" spans="58:59">
      <c r="BF475" s="298">
        <v>472</v>
      </c>
      <c r="BG475" s="32" t="s">
        <v>1302</v>
      </c>
    </row>
    <row r="476" spans="58:59">
      <c r="BF476" s="298">
        <v>473</v>
      </c>
      <c r="BG476" s="32" t="s">
        <v>1303</v>
      </c>
    </row>
    <row r="477" spans="58:59">
      <c r="BF477" s="298">
        <v>474</v>
      </c>
      <c r="BG477" s="32" t="s">
        <v>1304</v>
      </c>
    </row>
    <row r="478" spans="58:59">
      <c r="BF478" s="298">
        <v>475</v>
      </c>
      <c r="BG478" s="32" t="s">
        <v>1305</v>
      </c>
    </row>
    <row r="479" spans="58:59">
      <c r="BF479" s="298">
        <v>476</v>
      </c>
      <c r="BG479" s="32" t="s">
        <v>1306</v>
      </c>
    </row>
    <row r="480" spans="58:59">
      <c r="BF480" s="298">
        <v>477</v>
      </c>
      <c r="BG480" s="32" t="s">
        <v>1307</v>
      </c>
    </row>
    <row r="481" spans="58:59">
      <c r="BF481" s="298">
        <v>478</v>
      </c>
      <c r="BG481" s="32" t="s">
        <v>1308</v>
      </c>
    </row>
    <row r="482" spans="58:59">
      <c r="BF482" s="298">
        <v>479</v>
      </c>
      <c r="BG482" s="32" t="s">
        <v>1309</v>
      </c>
    </row>
    <row r="483" spans="58:59">
      <c r="BF483" s="298">
        <v>480</v>
      </c>
      <c r="BG483" s="32" t="s">
        <v>1310</v>
      </c>
    </row>
    <row r="484" spans="58:59">
      <c r="BF484" s="298">
        <v>481</v>
      </c>
      <c r="BG484" s="32" t="s">
        <v>1311</v>
      </c>
    </row>
    <row r="485" spans="58:59">
      <c r="BF485" s="298">
        <v>482</v>
      </c>
      <c r="BG485" s="32" t="s">
        <v>1312</v>
      </c>
    </row>
    <row r="486" spans="58:59">
      <c r="BF486" s="298">
        <v>483</v>
      </c>
      <c r="BG486" s="32" t="s">
        <v>1313</v>
      </c>
    </row>
    <row r="487" spans="58:59">
      <c r="BF487" s="298">
        <v>484</v>
      </c>
      <c r="BG487" s="32" t="s">
        <v>1314</v>
      </c>
    </row>
    <row r="488" spans="58:59">
      <c r="BF488" s="298">
        <v>485</v>
      </c>
      <c r="BG488" s="32" t="s">
        <v>1315</v>
      </c>
    </row>
    <row r="489" spans="58:59">
      <c r="BF489" s="298">
        <v>486</v>
      </c>
      <c r="BG489" s="32" t="s">
        <v>1316</v>
      </c>
    </row>
    <row r="490" spans="58:59">
      <c r="BF490" s="298">
        <v>487</v>
      </c>
      <c r="BG490" s="32" t="s">
        <v>1317</v>
      </c>
    </row>
    <row r="491" spans="58:59">
      <c r="BF491" s="298">
        <v>488</v>
      </c>
      <c r="BG491" s="32" t="s">
        <v>1318</v>
      </c>
    </row>
    <row r="492" spans="58:59">
      <c r="BF492" s="298">
        <v>489</v>
      </c>
      <c r="BG492" s="32" t="s">
        <v>1319</v>
      </c>
    </row>
    <row r="493" spans="58:59">
      <c r="BF493" s="298">
        <v>490</v>
      </c>
      <c r="BG493" s="32" t="s">
        <v>1320</v>
      </c>
    </row>
    <row r="494" spans="58:59">
      <c r="BF494" s="298">
        <v>491</v>
      </c>
      <c r="BG494" s="32" t="s">
        <v>1321</v>
      </c>
    </row>
    <row r="495" spans="58:59">
      <c r="BF495" s="298">
        <v>492</v>
      </c>
      <c r="BG495" s="32" t="s">
        <v>1322</v>
      </c>
    </row>
    <row r="496" spans="58:59">
      <c r="BF496" s="298">
        <v>493</v>
      </c>
      <c r="BG496" s="32" t="s">
        <v>1323</v>
      </c>
    </row>
    <row r="497" spans="58:59">
      <c r="BF497" s="298">
        <v>494</v>
      </c>
      <c r="BG497" s="32" t="s">
        <v>1324</v>
      </c>
    </row>
    <row r="498" spans="58:59">
      <c r="BF498" s="298">
        <v>495</v>
      </c>
      <c r="BG498" s="32" t="s">
        <v>1325</v>
      </c>
    </row>
    <row r="499" spans="58:59">
      <c r="BF499" s="298">
        <v>496</v>
      </c>
      <c r="BG499" s="32" t="s">
        <v>1326</v>
      </c>
    </row>
    <row r="500" spans="58:59">
      <c r="BF500" s="298">
        <v>497</v>
      </c>
      <c r="BG500" s="32" t="s">
        <v>1327</v>
      </c>
    </row>
    <row r="501" spans="58:59">
      <c r="BF501" s="298">
        <v>498</v>
      </c>
      <c r="BG501" s="32" t="s">
        <v>1328</v>
      </c>
    </row>
    <row r="502" spans="58:59">
      <c r="BF502" s="298">
        <v>499</v>
      </c>
      <c r="BG502" s="32" t="s">
        <v>1329</v>
      </c>
    </row>
    <row r="503" spans="58:59">
      <c r="BF503" s="298">
        <v>500</v>
      </c>
      <c r="BG503" s="32" t="s">
        <v>1330</v>
      </c>
    </row>
    <row r="504" spans="58:59">
      <c r="BF504" s="298">
        <v>501</v>
      </c>
      <c r="BG504" s="32" t="s">
        <v>1331</v>
      </c>
    </row>
    <row r="505" spans="58:59">
      <c r="BF505" s="298">
        <v>502</v>
      </c>
      <c r="BG505" s="32" t="s">
        <v>294</v>
      </c>
    </row>
    <row r="506" spans="58:59">
      <c r="BF506" s="298">
        <v>503</v>
      </c>
      <c r="BG506" s="32" t="s">
        <v>1332</v>
      </c>
    </row>
    <row r="507" spans="58:59">
      <c r="BF507" s="298">
        <v>504</v>
      </c>
      <c r="BG507" s="32" t="s">
        <v>1333</v>
      </c>
    </row>
    <row r="508" spans="58:59">
      <c r="BF508" s="298">
        <v>505</v>
      </c>
      <c r="BG508" s="32" t="s">
        <v>1334</v>
      </c>
    </row>
    <row r="509" spans="58:59">
      <c r="BF509" s="298">
        <v>506</v>
      </c>
      <c r="BG509" s="32" t="s">
        <v>1335</v>
      </c>
    </row>
    <row r="510" spans="58:59">
      <c r="BF510" s="298">
        <v>507</v>
      </c>
      <c r="BG510" s="32" t="s">
        <v>1336</v>
      </c>
    </row>
    <row r="511" spans="58:59">
      <c r="BF511" s="298">
        <v>508</v>
      </c>
      <c r="BG511" s="32" t="s">
        <v>1337</v>
      </c>
    </row>
    <row r="512" spans="58:59">
      <c r="BF512" s="298">
        <v>509</v>
      </c>
      <c r="BG512" s="32" t="s">
        <v>1338</v>
      </c>
    </row>
    <row r="513" spans="58:59">
      <c r="BF513" s="298">
        <v>510</v>
      </c>
      <c r="BG513" s="32" t="s">
        <v>1339</v>
      </c>
    </row>
    <row r="514" spans="58:59">
      <c r="BF514" s="298">
        <v>511</v>
      </c>
      <c r="BG514" s="32" t="s">
        <v>1340</v>
      </c>
    </row>
    <row r="515" spans="58:59">
      <c r="BF515" s="298">
        <v>512</v>
      </c>
      <c r="BG515" s="32" t="s">
        <v>1341</v>
      </c>
    </row>
    <row r="516" spans="58:59">
      <c r="BF516" s="298">
        <v>513</v>
      </c>
      <c r="BG516" s="32" t="s">
        <v>1342</v>
      </c>
    </row>
    <row r="517" spans="58:59">
      <c r="BF517" s="298">
        <v>514</v>
      </c>
      <c r="BG517" s="32" t="s">
        <v>753</v>
      </c>
    </row>
    <row r="518" spans="58:59">
      <c r="BF518" s="298">
        <v>515</v>
      </c>
      <c r="BG518" s="32" t="s">
        <v>1343</v>
      </c>
    </row>
    <row r="519" spans="58:59">
      <c r="BF519" s="298">
        <v>516</v>
      </c>
      <c r="BG519" s="32" t="s">
        <v>296</v>
      </c>
    </row>
    <row r="520" spans="58:59">
      <c r="BF520" s="298">
        <v>517</v>
      </c>
      <c r="BG520" s="32" t="s">
        <v>1344</v>
      </c>
    </row>
    <row r="521" spans="58:59">
      <c r="BF521" s="298">
        <v>518</v>
      </c>
      <c r="BG521" s="32" t="s">
        <v>1345</v>
      </c>
    </row>
    <row r="522" spans="58:59">
      <c r="BF522" s="298">
        <v>519</v>
      </c>
      <c r="BG522" s="32" t="s">
        <v>1346</v>
      </c>
    </row>
    <row r="523" spans="58:59">
      <c r="BF523" s="298">
        <v>520</v>
      </c>
      <c r="BG523" s="32" t="s">
        <v>1347</v>
      </c>
    </row>
    <row r="524" spans="58:59">
      <c r="BF524" s="298">
        <v>521</v>
      </c>
      <c r="BG524" s="32" t="s">
        <v>1348</v>
      </c>
    </row>
    <row r="525" spans="58:59">
      <c r="BF525" s="298">
        <v>522</v>
      </c>
      <c r="BG525" s="32" t="s">
        <v>1349</v>
      </c>
    </row>
    <row r="526" spans="58:59">
      <c r="BF526" s="298">
        <v>523</v>
      </c>
      <c r="BG526" s="32" t="s">
        <v>1350</v>
      </c>
    </row>
    <row r="527" spans="58:59">
      <c r="BF527" s="298">
        <v>524</v>
      </c>
      <c r="BG527" s="32" t="s">
        <v>1351</v>
      </c>
    </row>
    <row r="528" spans="58:59">
      <c r="BF528" s="298">
        <v>525</v>
      </c>
      <c r="BG528" s="32" t="s">
        <v>1352</v>
      </c>
    </row>
    <row r="529" spans="58:59">
      <c r="BF529" s="298">
        <v>526</v>
      </c>
      <c r="BG529" s="32" t="s">
        <v>1353</v>
      </c>
    </row>
    <row r="530" spans="58:59">
      <c r="BF530" s="298">
        <v>527</v>
      </c>
      <c r="BG530" s="32" t="s">
        <v>1354</v>
      </c>
    </row>
    <row r="531" spans="58:59">
      <c r="BF531" s="298">
        <v>528</v>
      </c>
      <c r="BG531" s="32" t="s">
        <v>1355</v>
      </c>
    </row>
    <row r="532" spans="58:59">
      <c r="BF532" s="298">
        <v>529</v>
      </c>
      <c r="BG532" s="32" t="s">
        <v>1356</v>
      </c>
    </row>
    <row r="533" spans="58:59">
      <c r="BF533" s="298">
        <v>530</v>
      </c>
      <c r="BG533" s="32" t="s">
        <v>1357</v>
      </c>
    </row>
    <row r="534" spans="58:59">
      <c r="BF534" s="298">
        <v>531</v>
      </c>
      <c r="BG534" s="32" t="s">
        <v>1358</v>
      </c>
    </row>
    <row r="535" spans="58:59">
      <c r="BF535" s="298">
        <v>532</v>
      </c>
      <c r="BG535" s="32" t="s">
        <v>1359</v>
      </c>
    </row>
    <row r="536" spans="58:59">
      <c r="BF536" s="298">
        <v>533</v>
      </c>
      <c r="BG536" s="32" t="s">
        <v>1360</v>
      </c>
    </row>
    <row r="537" spans="58:59">
      <c r="BF537" s="298">
        <v>534</v>
      </c>
      <c r="BG537" s="32" t="s">
        <v>1361</v>
      </c>
    </row>
    <row r="538" spans="58:59">
      <c r="BF538" s="298">
        <v>535</v>
      </c>
      <c r="BG538" s="32" t="s">
        <v>1362</v>
      </c>
    </row>
    <row r="539" spans="58:59">
      <c r="BF539" s="298">
        <v>536</v>
      </c>
      <c r="BG539" s="32" t="s">
        <v>1363</v>
      </c>
    </row>
    <row r="540" spans="58:59">
      <c r="BF540" s="298">
        <v>537</v>
      </c>
      <c r="BG540" s="32" t="s">
        <v>1364</v>
      </c>
    </row>
    <row r="541" spans="58:59">
      <c r="BF541" s="298">
        <v>538</v>
      </c>
      <c r="BG541" s="32" t="s">
        <v>1365</v>
      </c>
    </row>
    <row r="542" spans="58:59">
      <c r="BF542" s="298">
        <v>539</v>
      </c>
      <c r="BG542" s="32" t="s">
        <v>1366</v>
      </c>
    </row>
    <row r="543" spans="58:59">
      <c r="BF543" s="298">
        <v>540</v>
      </c>
      <c r="BG543" s="32" t="s">
        <v>1367</v>
      </c>
    </row>
    <row r="544" spans="58:59">
      <c r="BF544" s="298">
        <v>541</v>
      </c>
      <c r="BG544" s="32" t="s">
        <v>1368</v>
      </c>
    </row>
    <row r="545" spans="58:59">
      <c r="BF545" s="298">
        <v>542</v>
      </c>
      <c r="BG545" s="32" t="s">
        <v>1369</v>
      </c>
    </row>
    <row r="546" spans="58:59">
      <c r="BF546" s="298">
        <v>543</v>
      </c>
      <c r="BG546" s="32" t="s">
        <v>1370</v>
      </c>
    </row>
    <row r="547" spans="58:59">
      <c r="BF547" s="298">
        <v>544</v>
      </c>
      <c r="BG547" s="32" t="s">
        <v>1371</v>
      </c>
    </row>
    <row r="548" spans="58:59">
      <c r="BF548" s="298">
        <v>545</v>
      </c>
      <c r="BG548" s="32" t="s">
        <v>1372</v>
      </c>
    </row>
    <row r="549" spans="58:59">
      <c r="BF549" s="298">
        <v>546</v>
      </c>
      <c r="BG549" s="32" t="s">
        <v>1373</v>
      </c>
    </row>
    <row r="550" spans="58:59">
      <c r="BF550" s="298">
        <v>547</v>
      </c>
      <c r="BG550" s="32" t="s">
        <v>1374</v>
      </c>
    </row>
    <row r="551" spans="58:59">
      <c r="BF551" s="298">
        <v>548</v>
      </c>
      <c r="BG551" s="32" t="s">
        <v>1375</v>
      </c>
    </row>
    <row r="552" spans="58:59">
      <c r="BF552" s="298">
        <v>549</v>
      </c>
      <c r="BG552" s="32" t="s">
        <v>1376</v>
      </c>
    </row>
    <row r="553" spans="58:59">
      <c r="BF553" s="298">
        <v>550</v>
      </c>
      <c r="BG553" s="32" t="s">
        <v>1377</v>
      </c>
    </row>
    <row r="554" spans="58:59">
      <c r="BF554" s="298">
        <v>551</v>
      </c>
      <c r="BG554" s="32" t="s">
        <v>1378</v>
      </c>
    </row>
    <row r="555" spans="58:59">
      <c r="BF555" s="298">
        <v>552</v>
      </c>
      <c r="BG555" s="32" t="s">
        <v>1379</v>
      </c>
    </row>
    <row r="556" spans="58:59">
      <c r="BF556" s="298">
        <v>553</v>
      </c>
      <c r="BG556" s="32" t="s">
        <v>1380</v>
      </c>
    </row>
    <row r="557" spans="58:59">
      <c r="BF557" s="298">
        <v>554</v>
      </c>
      <c r="BG557" s="32" t="s">
        <v>1381</v>
      </c>
    </row>
    <row r="558" spans="58:59">
      <c r="BF558" s="298">
        <v>555</v>
      </c>
      <c r="BG558" s="32" t="s">
        <v>1382</v>
      </c>
    </row>
    <row r="559" spans="58:59">
      <c r="BF559" s="298">
        <v>556</v>
      </c>
      <c r="BG559" s="32" t="s">
        <v>1383</v>
      </c>
    </row>
    <row r="560" spans="58:59">
      <c r="BF560" s="298">
        <v>557</v>
      </c>
      <c r="BG560" s="32" t="s">
        <v>1384</v>
      </c>
    </row>
    <row r="561" spans="58:59">
      <c r="BF561" s="298">
        <v>558</v>
      </c>
      <c r="BG561" s="32" t="s">
        <v>1385</v>
      </c>
    </row>
    <row r="562" spans="58:59">
      <c r="BF562" s="298">
        <v>559</v>
      </c>
      <c r="BG562" s="32" t="s">
        <v>1386</v>
      </c>
    </row>
    <row r="563" spans="58:59">
      <c r="BF563" s="298">
        <v>560</v>
      </c>
      <c r="BG563" s="32" t="s">
        <v>1387</v>
      </c>
    </row>
    <row r="564" spans="58:59">
      <c r="BF564" s="298">
        <v>561</v>
      </c>
      <c r="BG564" s="32" t="s">
        <v>1388</v>
      </c>
    </row>
    <row r="565" spans="58:59">
      <c r="BF565" s="298">
        <v>562</v>
      </c>
      <c r="BG565" s="32" t="s">
        <v>1389</v>
      </c>
    </row>
    <row r="566" spans="58:59">
      <c r="BF566" s="298">
        <v>563</v>
      </c>
      <c r="BG566" s="32" t="s">
        <v>1390</v>
      </c>
    </row>
    <row r="567" spans="58:59">
      <c r="BF567" s="298">
        <v>564</v>
      </c>
      <c r="BG567" s="32" t="s">
        <v>1391</v>
      </c>
    </row>
    <row r="568" spans="58:59">
      <c r="BF568" s="298">
        <v>565</v>
      </c>
      <c r="BG568" s="32" t="s">
        <v>1392</v>
      </c>
    </row>
    <row r="569" spans="58:59">
      <c r="BF569" s="298">
        <v>566</v>
      </c>
      <c r="BG569" s="32" t="s">
        <v>1393</v>
      </c>
    </row>
    <row r="570" spans="58:59">
      <c r="BF570" s="298">
        <v>567</v>
      </c>
      <c r="BG570" s="32" t="s">
        <v>1394</v>
      </c>
    </row>
    <row r="571" spans="58:59">
      <c r="BF571" s="298">
        <v>568</v>
      </c>
      <c r="BG571" s="32" t="s">
        <v>1395</v>
      </c>
    </row>
    <row r="572" spans="58:59">
      <c r="BF572" s="298">
        <v>569</v>
      </c>
      <c r="BG572" s="32" t="s">
        <v>1396</v>
      </c>
    </row>
    <row r="573" spans="58:59">
      <c r="BF573" s="298">
        <v>570</v>
      </c>
      <c r="BG573" s="32" t="s">
        <v>1397</v>
      </c>
    </row>
    <row r="574" spans="58:59">
      <c r="BF574" s="298">
        <v>571</v>
      </c>
      <c r="BG574" s="32" t="s">
        <v>1398</v>
      </c>
    </row>
    <row r="575" spans="58:59">
      <c r="BF575" s="298">
        <v>572</v>
      </c>
      <c r="BG575" s="32" t="s">
        <v>1399</v>
      </c>
    </row>
    <row r="576" spans="58:59">
      <c r="BF576" s="298">
        <v>573</v>
      </c>
      <c r="BG576" s="32" t="s">
        <v>1400</v>
      </c>
    </row>
    <row r="577" spans="58:59">
      <c r="BF577" s="298">
        <v>574</v>
      </c>
      <c r="BG577" s="32" t="s">
        <v>1401</v>
      </c>
    </row>
    <row r="578" spans="58:59">
      <c r="BF578" s="298">
        <v>575</v>
      </c>
      <c r="BG578" s="32" t="s">
        <v>1402</v>
      </c>
    </row>
    <row r="579" spans="58:59">
      <c r="BF579" s="298">
        <v>576</v>
      </c>
      <c r="BG579" s="32" t="s">
        <v>1403</v>
      </c>
    </row>
    <row r="580" spans="58:59">
      <c r="BF580" s="298">
        <v>577</v>
      </c>
      <c r="BG580" s="32" t="s">
        <v>1404</v>
      </c>
    </row>
    <row r="581" spans="58:59">
      <c r="BF581" s="298">
        <v>578</v>
      </c>
      <c r="BG581" s="32" t="s">
        <v>1405</v>
      </c>
    </row>
    <row r="582" spans="58:59">
      <c r="BF582" s="298">
        <v>579</v>
      </c>
      <c r="BG582" s="32" t="s">
        <v>1406</v>
      </c>
    </row>
    <row r="583" spans="58:59">
      <c r="BF583" s="298">
        <v>580</v>
      </c>
      <c r="BG583" s="32" t="s">
        <v>1407</v>
      </c>
    </row>
    <row r="584" spans="58:59">
      <c r="BF584" s="298">
        <v>581</v>
      </c>
      <c r="BG584" s="32" t="s">
        <v>1408</v>
      </c>
    </row>
    <row r="585" spans="58:59">
      <c r="BF585" s="298">
        <v>582</v>
      </c>
      <c r="BG585" s="32" t="s">
        <v>1409</v>
      </c>
    </row>
    <row r="586" spans="58:59">
      <c r="BF586" s="298">
        <v>583</v>
      </c>
      <c r="BG586" s="32" t="s">
        <v>1410</v>
      </c>
    </row>
    <row r="587" spans="58:59">
      <c r="BF587" s="298">
        <v>584</v>
      </c>
      <c r="BG587" s="32" t="s">
        <v>1411</v>
      </c>
    </row>
    <row r="588" spans="58:59">
      <c r="BF588" s="298">
        <v>585</v>
      </c>
      <c r="BG588" s="32" t="s">
        <v>1412</v>
      </c>
    </row>
    <row r="589" spans="58:59">
      <c r="BF589" s="298">
        <v>586</v>
      </c>
      <c r="BG589" s="32" t="s">
        <v>1413</v>
      </c>
    </row>
    <row r="590" spans="58:59">
      <c r="BF590" s="298">
        <v>587</v>
      </c>
      <c r="BG590" s="32" t="s">
        <v>1414</v>
      </c>
    </row>
    <row r="591" spans="58:59">
      <c r="BF591" s="298">
        <v>588</v>
      </c>
      <c r="BG591" s="32" t="s">
        <v>1415</v>
      </c>
    </row>
    <row r="592" spans="58:59">
      <c r="BF592" s="298">
        <v>589</v>
      </c>
      <c r="BG592" s="32" t="s">
        <v>1416</v>
      </c>
    </row>
    <row r="593" spans="58:59">
      <c r="BF593" s="298">
        <v>590</v>
      </c>
      <c r="BG593" s="32" t="s">
        <v>1417</v>
      </c>
    </row>
    <row r="594" spans="58:59">
      <c r="BF594" s="298">
        <v>591</v>
      </c>
      <c r="BG594" s="32" t="s">
        <v>1418</v>
      </c>
    </row>
    <row r="595" spans="58:59">
      <c r="BF595" s="298">
        <v>592</v>
      </c>
      <c r="BG595" s="32" t="s">
        <v>1419</v>
      </c>
    </row>
    <row r="596" spans="58:59">
      <c r="BF596" s="298">
        <v>593</v>
      </c>
      <c r="BG596" s="32" t="s">
        <v>1420</v>
      </c>
    </row>
    <row r="597" spans="58:59">
      <c r="BF597" s="298">
        <v>594</v>
      </c>
      <c r="BG597" s="32" t="s">
        <v>1421</v>
      </c>
    </row>
    <row r="598" spans="58:59">
      <c r="BF598" s="298">
        <v>595</v>
      </c>
      <c r="BG598" s="32" t="s">
        <v>1422</v>
      </c>
    </row>
    <row r="599" spans="58:59">
      <c r="BF599" s="298">
        <v>596</v>
      </c>
      <c r="BG599" s="32" t="s">
        <v>1423</v>
      </c>
    </row>
    <row r="600" spans="58:59">
      <c r="BF600" s="298">
        <v>597</v>
      </c>
      <c r="BG600" s="32" t="s">
        <v>1424</v>
      </c>
    </row>
    <row r="601" spans="58:59">
      <c r="BF601" s="298">
        <v>598</v>
      </c>
      <c r="BG601" s="32" t="s">
        <v>1425</v>
      </c>
    </row>
    <row r="602" spans="58:59">
      <c r="BF602" s="298">
        <v>599</v>
      </c>
      <c r="BG602" s="32" t="s">
        <v>1426</v>
      </c>
    </row>
    <row r="603" spans="58:59">
      <c r="BF603" s="298">
        <v>600</v>
      </c>
      <c r="BG603" s="32" t="s">
        <v>1427</v>
      </c>
    </row>
    <row r="604" spans="58:59">
      <c r="BF604" s="298">
        <v>601</v>
      </c>
      <c r="BG604" s="32" t="s">
        <v>1428</v>
      </c>
    </row>
    <row r="605" spans="58:59">
      <c r="BF605" s="298">
        <v>602</v>
      </c>
      <c r="BG605" s="32" t="s">
        <v>1429</v>
      </c>
    </row>
    <row r="606" spans="58:59">
      <c r="BF606" s="298">
        <v>603</v>
      </c>
      <c r="BG606" s="32" t="s">
        <v>1430</v>
      </c>
    </row>
    <row r="607" spans="58:59">
      <c r="BF607" s="298">
        <v>604</v>
      </c>
      <c r="BG607" s="32" t="s">
        <v>1431</v>
      </c>
    </row>
    <row r="608" spans="58:59">
      <c r="BF608" s="298">
        <v>605</v>
      </c>
      <c r="BG608" s="32" t="s">
        <v>1432</v>
      </c>
    </row>
    <row r="609" spans="58:59">
      <c r="BF609" s="298">
        <v>606</v>
      </c>
      <c r="BG609" s="32" t="s">
        <v>1433</v>
      </c>
    </row>
    <row r="610" spans="58:59">
      <c r="BF610" s="298">
        <v>607</v>
      </c>
      <c r="BG610" s="32" t="s">
        <v>1434</v>
      </c>
    </row>
    <row r="611" spans="58:59">
      <c r="BF611" s="298">
        <v>608</v>
      </c>
      <c r="BG611" s="32" t="s">
        <v>1435</v>
      </c>
    </row>
    <row r="612" spans="58:59">
      <c r="BF612" s="298">
        <v>609</v>
      </c>
      <c r="BG612" s="32" t="s">
        <v>1436</v>
      </c>
    </row>
    <row r="613" spans="58:59">
      <c r="BF613" s="298">
        <v>610</v>
      </c>
      <c r="BG613" s="32" t="s">
        <v>1437</v>
      </c>
    </row>
    <row r="614" spans="58:59">
      <c r="BF614" s="298">
        <v>611</v>
      </c>
      <c r="BG614" s="32" t="s">
        <v>1438</v>
      </c>
    </row>
    <row r="615" spans="58:59">
      <c r="BF615" s="298">
        <v>612</v>
      </c>
      <c r="BG615" s="32" t="s">
        <v>1439</v>
      </c>
    </row>
    <row r="616" spans="58:59">
      <c r="BF616" s="298">
        <v>613</v>
      </c>
      <c r="BG616" s="32" t="s">
        <v>1440</v>
      </c>
    </row>
    <row r="617" spans="58:59">
      <c r="BF617" s="298">
        <v>614</v>
      </c>
      <c r="BG617" s="32" t="s">
        <v>1441</v>
      </c>
    </row>
    <row r="618" spans="58:59">
      <c r="BF618" s="298">
        <v>615</v>
      </c>
      <c r="BG618" s="32" t="s">
        <v>1442</v>
      </c>
    </row>
    <row r="619" spans="58:59">
      <c r="BF619" s="298">
        <v>616</v>
      </c>
      <c r="BG619" s="32" t="s">
        <v>1443</v>
      </c>
    </row>
    <row r="620" spans="58:59">
      <c r="BF620" s="298">
        <v>617</v>
      </c>
      <c r="BG620" s="32" t="s">
        <v>1444</v>
      </c>
    </row>
    <row r="621" spans="58:59">
      <c r="BF621" s="298">
        <v>618</v>
      </c>
      <c r="BG621" s="32" t="s">
        <v>1445</v>
      </c>
    </row>
    <row r="622" spans="58:59">
      <c r="BF622" s="298">
        <v>619</v>
      </c>
      <c r="BG622" s="32" t="s">
        <v>1446</v>
      </c>
    </row>
    <row r="623" spans="58:59">
      <c r="BF623" s="298">
        <v>620</v>
      </c>
      <c r="BG623" s="32" t="s">
        <v>1447</v>
      </c>
    </row>
    <row r="624" spans="58:59">
      <c r="BF624" s="298">
        <v>621</v>
      </c>
      <c r="BG624" s="32" t="s">
        <v>1448</v>
      </c>
    </row>
    <row r="625" spans="58:59">
      <c r="BF625" s="298">
        <v>622</v>
      </c>
      <c r="BG625" s="32" t="s">
        <v>1449</v>
      </c>
    </row>
    <row r="626" spans="58:59">
      <c r="BF626" s="298">
        <v>623</v>
      </c>
      <c r="BG626" s="32" t="s">
        <v>1450</v>
      </c>
    </row>
    <row r="627" spans="58:59">
      <c r="BF627" s="298">
        <v>624</v>
      </c>
      <c r="BG627" s="32" t="s">
        <v>1451</v>
      </c>
    </row>
    <row r="628" spans="58:59">
      <c r="BF628" s="298">
        <v>625</v>
      </c>
      <c r="BG628" s="32" t="s">
        <v>1452</v>
      </c>
    </row>
    <row r="629" spans="58:59">
      <c r="BF629" s="298">
        <v>626</v>
      </c>
      <c r="BG629" s="32" t="s">
        <v>1453</v>
      </c>
    </row>
    <row r="630" spans="58:59">
      <c r="BF630" s="298">
        <v>627</v>
      </c>
      <c r="BG630" s="32" t="s">
        <v>1454</v>
      </c>
    </row>
    <row r="631" spans="58:59">
      <c r="BF631" s="298">
        <v>628</v>
      </c>
      <c r="BG631" s="32" t="s">
        <v>1455</v>
      </c>
    </row>
    <row r="632" spans="58:59">
      <c r="BF632" s="298">
        <v>629</v>
      </c>
      <c r="BG632" s="32" t="s">
        <v>1456</v>
      </c>
    </row>
    <row r="633" spans="58:59">
      <c r="BF633" s="298">
        <v>630</v>
      </c>
      <c r="BG633" s="32" t="s">
        <v>1457</v>
      </c>
    </row>
    <row r="634" spans="58:59">
      <c r="BF634" s="298">
        <v>631</v>
      </c>
      <c r="BG634" s="32" t="s">
        <v>1458</v>
      </c>
    </row>
    <row r="635" spans="58:59">
      <c r="BF635" s="298">
        <v>632</v>
      </c>
      <c r="BG635" s="32" t="s">
        <v>1459</v>
      </c>
    </row>
    <row r="636" spans="58:59">
      <c r="BF636" s="298">
        <v>633</v>
      </c>
      <c r="BG636" s="32" t="s">
        <v>1460</v>
      </c>
    </row>
    <row r="637" spans="58:59">
      <c r="BF637" s="298">
        <v>634</v>
      </c>
      <c r="BG637" s="32" t="s">
        <v>1461</v>
      </c>
    </row>
    <row r="638" spans="58:59">
      <c r="BF638" s="298">
        <v>635</v>
      </c>
      <c r="BG638" s="32" t="s">
        <v>1462</v>
      </c>
    </row>
    <row r="639" spans="58:59">
      <c r="BF639" s="298">
        <v>636</v>
      </c>
      <c r="BG639" s="32" t="s">
        <v>1463</v>
      </c>
    </row>
    <row r="640" spans="58:59">
      <c r="BF640" s="298">
        <v>637</v>
      </c>
      <c r="BG640" s="32" t="s">
        <v>1464</v>
      </c>
    </row>
    <row r="641" spans="58:59">
      <c r="BF641" s="298">
        <v>638</v>
      </c>
      <c r="BG641" s="32" t="s">
        <v>1465</v>
      </c>
    </row>
    <row r="642" spans="58:59">
      <c r="BF642" s="298">
        <v>639</v>
      </c>
      <c r="BG642" s="32" t="s">
        <v>1466</v>
      </c>
    </row>
    <row r="643" spans="58:59">
      <c r="BF643" s="298">
        <v>640</v>
      </c>
      <c r="BG643" s="32" t="s">
        <v>1467</v>
      </c>
    </row>
    <row r="644" spans="58:59">
      <c r="BF644" s="298">
        <v>641</v>
      </c>
      <c r="BG644" s="32" t="s">
        <v>1468</v>
      </c>
    </row>
    <row r="645" spans="58:59">
      <c r="BF645" s="298">
        <v>642</v>
      </c>
      <c r="BG645" s="32" t="s">
        <v>1469</v>
      </c>
    </row>
    <row r="646" spans="58:59">
      <c r="BF646" s="298">
        <v>643</v>
      </c>
      <c r="BG646" s="32" t="s">
        <v>1470</v>
      </c>
    </row>
    <row r="647" spans="58:59">
      <c r="BF647" s="298">
        <v>644</v>
      </c>
      <c r="BG647" s="32" t="s">
        <v>1471</v>
      </c>
    </row>
    <row r="648" spans="58:59">
      <c r="BF648" s="298">
        <v>645</v>
      </c>
      <c r="BG648" s="32" t="s">
        <v>1472</v>
      </c>
    </row>
    <row r="649" spans="58:59">
      <c r="BF649" s="298">
        <v>646</v>
      </c>
      <c r="BG649" s="32" t="s">
        <v>1473</v>
      </c>
    </row>
    <row r="650" spans="58:59">
      <c r="BF650" s="298">
        <v>647</v>
      </c>
      <c r="BG650" s="32" t="s">
        <v>1474</v>
      </c>
    </row>
    <row r="651" spans="58:59">
      <c r="BF651" s="298">
        <v>648</v>
      </c>
      <c r="BG651" s="32" t="s">
        <v>1475</v>
      </c>
    </row>
    <row r="652" spans="58:59">
      <c r="BF652" s="298">
        <v>649</v>
      </c>
      <c r="BG652" s="32" t="s">
        <v>1476</v>
      </c>
    </row>
    <row r="653" spans="58:59">
      <c r="BF653" s="298">
        <v>650</v>
      </c>
      <c r="BG653" s="32" t="s">
        <v>1477</v>
      </c>
    </row>
    <row r="654" spans="58:59">
      <c r="BF654" s="298">
        <v>651</v>
      </c>
      <c r="BG654" s="32" t="s">
        <v>1478</v>
      </c>
    </row>
    <row r="655" spans="58:59">
      <c r="BF655" s="298">
        <v>652</v>
      </c>
      <c r="BG655" s="32" t="s">
        <v>1479</v>
      </c>
    </row>
    <row r="656" spans="58:59">
      <c r="BF656" s="298">
        <v>653</v>
      </c>
      <c r="BG656" s="32" t="s">
        <v>1480</v>
      </c>
    </row>
    <row r="657" spans="58:59">
      <c r="BF657" s="298">
        <v>654</v>
      </c>
      <c r="BG657" s="32" t="s">
        <v>1481</v>
      </c>
    </row>
    <row r="658" spans="58:59">
      <c r="BF658" s="298">
        <v>655</v>
      </c>
      <c r="BG658" s="32" t="s">
        <v>1482</v>
      </c>
    </row>
    <row r="659" spans="58:59">
      <c r="BF659" s="298">
        <v>656</v>
      </c>
      <c r="BG659" s="32" t="s">
        <v>1483</v>
      </c>
    </row>
    <row r="660" spans="58:59">
      <c r="BF660" s="298">
        <v>657</v>
      </c>
      <c r="BG660" s="32" t="s">
        <v>1484</v>
      </c>
    </row>
    <row r="661" spans="58:59">
      <c r="BF661" s="298">
        <v>658</v>
      </c>
      <c r="BG661" s="32" t="s">
        <v>1485</v>
      </c>
    </row>
    <row r="662" spans="58:59">
      <c r="BF662" s="298">
        <v>659</v>
      </c>
      <c r="BG662" s="32" t="s">
        <v>1486</v>
      </c>
    </row>
    <row r="663" spans="58:59">
      <c r="BF663" s="298">
        <v>660</v>
      </c>
      <c r="BG663" s="32" t="s">
        <v>1487</v>
      </c>
    </row>
    <row r="664" spans="58:59">
      <c r="BF664" s="298">
        <v>661</v>
      </c>
      <c r="BG664" s="32" t="s">
        <v>1488</v>
      </c>
    </row>
    <row r="665" spans="58:59">
      <c r="BF665" s="298">
        <v>662</v>
      </c>
      <c r="BG665" s="32" t="s">
        <v>1489</v>
      </c>
    </row>
    <row r="666" spans="58:59">
      <c r="BF666" s="298">
        <v>663</v>
      </c>
      <c r="BG666" s="32" t="s">
        <v>1490</v>
      </c>
    </row>
    <row r="667" spans="58:59">
      <c r="BF667" s="298">
        <v>664</v>
      </c>
      <c r="BG667" s="32" t="s">
        <v>1491</v>
      </c>
    </row>
    <row r="668" spans="58:59">
      <c r="BF668" s="298">
        <v>665</v>
      </c>
      <c r="BG668" s="32" t="s">
        <v>1492</v>
      </c>
    </row>
    <row r="669" spans="58:59">
      <c r="BF669" s="298">
        <v>666</v>
      </c>
      <c r="BG669" s="32" t="s">
        <v>1493</v>
      </c>
    </row>
    <row r="670" spans="58:59">
      <c r="BF670" s="298">
        <v>667</v>
      </c>
      <c r="BG670" s="32" t="s">
        <v>1494</v>
      </c>
    </row>
    <row r="671" spans="58:59">
      <c r="BF671" s="298">
        <v>668</v>
      </c>
      <c r="BG671" s="32" t="s">
        <v>1495</v>
      </c>
    </row>
    <row r="672" spans="58:59">
      <c r="BF672" s="298">
        <v>669</v>
      </c>
      <c r="BG672" s="32" t="s">
        <v>1496</v>
      </c>
    </row>
    <row r="673" spans="58:59">
      <c r="BF673" s="298">
        <v>670</v>
      </c>
      <c r="BG673" s="32" t="s">
        <v>1497</v>
      </c>
    </row>
    <row r="674" spans="58:59">
      <c r="BF674" s="298">
        <v>671</v>
      </c>
      <c r="BG674" s="32" t="s">
        <v>1498</v>
      </c>
    </row>
    <row r="675" spans="58:59">
      <c r="BF675" s="298">
        <v>672</v>
      </c>
      <c r="BG675" s="32" t="s">
        <v>1499</v>
      </c>
    </row>
    <row r="676" spans="58:59">
      <c r="BF676" s="298">
        <v>673</v>
      </c>
      <c r="BG676" s="32" t="s">
        <v>1500</v>
      </c>
    </row>
    <row r="677" spans="58:59">
      <c r="BF677" s="298">
        <v>674</v>
      </c>
      <c r="BG677" s="32" t="s">
        <v>1501</v>
      </c>
    </row>
    <row r="678" spans="58:59">
      <c r="BF678" s="298">
        <v>675</v>
      </c>
      <c r="BG678" s="32" t="s">
        <v>1502</v>
      </c>
    </row>
    <row r="679" spans="58:59">
      <c r="BF679" s="298">
        <v>676</v>
      </c>
      <c r="BG679" s="32" t="s">
        <v>1503</v>
      </c>
    </row>
    <row r="680" spans="58:59">
      <c r="BF680" s="298">
        <v>677</v>
      </c>
      <c r="BG680" s="32" t="s">
        <v>1504</v>
      </c>
    </row>
    <row r="681" spans="58:59">
      <c r="BF681" s="298">
        <v>678</v>
      </c>
      <c r="BG681" s="32" t="s">
        <v>1505</v>
      </c>
    </row>
    <row r="682" spans="58:59">
      <c r="BF682" s="298">
        <v>679</v>
      </c>
      <c r="BG682" s="32" t="s">
        <v>1506</v>
      </c>
    </row>
    <row r="683" spans="58:59">
      <c r="BF683" s="298">
        <v>680</v>
      </c>
      <c r="BG683" s="32" t="s">
        <v>1507</v>
      </c>
    </row>
    <row r="684" spans="58:59">
      <c r="BF684" s="298">
        <v>681</v>
      </c>
      <c r="BG684" s="32" t="s">
        <v>1508</v>
      </c>
    </row>
    <row r="685" spans="58:59">
      <c r="BF685" s="298">
        <v>682</v>
      </c>
      <c r="BG685" s="32" t="s">
        <v>1509</v>
      </c>
    </row>
    <row r="686" spans="58:59">
      <c r="BF686" s="298">
        <v>683</v>
      </c>
      <c r="BG686" s="32" t="s">
        <v>1510</v>
      </c>
    </row>
    <row r="687" spans="58:59">
      <c r="BF687" s="298">
        <v>684</v>
      </c>
      <c r="BG687" s="32" t="s">
        <v>1511</v>
      </c>
    </row>
    <row r="688" spans="58:59">
      <c r="BF688" s="298">
        <v>685</v>
      </c>
      <c r="BG688" s="32" t="s">
        <v>1512</v>
      </c>
    </row>
    <row r="689" spans="58:59">
      <c r="BF689" s="298">
        <v>686</v>
      </c>
      <c r="BG689" s="32" t="s">
        <v>1513</v>
      </c>
    </row>
    <row r="690" spans="58:59">
      <c r="BF690" s="298">
        <v>687</v>
      </c>
      <c r="BG690" s="32" t="s">
        <v>1514</v>
      </c>
    </row>
    <row r="691" spans="58:59">
      <c r="BF691" s="298">
        <v>688</v>
      </c>
      <c r="BG691" s="32" t="s">
        <v>1515</v>
      </c>
    </row>
    <row r="692" spans="58:59">
      <c r="BF692" s="298">
        <v>689</v>
      </c>
      <c r="BG692" s="32" t="s">
        <v>1516</v>
      </c>
    </row>
    <row r="693" spans="58:59">
      <c r="BF693" s="298">
        <v>690</v>
      </c>
      <c r="BG693" s="32" t="s">
        <v>1517</v>
      </c>
    </row>
    <row r="694" spans="58:59">
      <c r="BF694" s="298">
        <v>691</v>
      </c>
      <c r="BG694" s="32" t="s">
        <v>1518</v>
      </c>
    </row>
    <row r="695" spans="58:59">
      <c r="BF695" s="298">
        <v>692</v>
      </c>
      <c r="BG695" s="32" t="s">
        <v>1519</v>
      </c>
    </row>
    <row r="696" spans="58:59">
      <c r="BF696" s="298">
        <v>693</v>
      </c>
      <c r="BG696" s="32" t="s">
        <v>1520</v>
      </c>
    </row>
    <row r="697" spans="58:59">
      <c r="BF697" s="298">
        <v>694</v>
      </c>
      <c r="BG697" s="32" t="s">
        <v>1521</v>
      </c>
    </row>
    <row r="698" spans="58:59">
      <c r="BF698" s="298">
        <v>695</v>
      </c>
      <c r="BG698" s="32" t="s">
        <v>1522</v>
      </c>
    </row>
    <row r="699" spans="58:59">
      <c r="BF699" s="298">
        <v>696</v>
      </c>
      <c r="BG699" s="32" t="s">
        <v>1523</v>
      </c>
    </row>
    <row r="700" spans="58:59">
      <c r="BF700" s="298">
        <v>697</v>
      </c>
      <c r="BG700" s="32" t="s">
        <v>1524</v>
      </c>
    </row>
    <row r="701" spans="58:59">
      <c r="BF701" s="298">
        <v>698</v>
      </c>
      <c r="BG701" s="32" t="s">
        <v>1525</v>
      </c>
    </row>
    <row r="702" spans="58:59">
      <c r="BF702" s="298">
        <v>699</v>
      </c>
      <c r="BG702" s="32" t="s">
        <v>1526</v>
      </c>
    </row>
    <row r="703" spans="58:59">
      <c r="BF703" s="298">
        <v>700</v>
      </c>
      <c r="BG703" s="32" t="s">
        <v>1527</v>
      </c>
    </row>
    <row r="704" spans="58:59">
      <c r="BF704" s="298">
        <v>701</v>
      </c>
      <c r="BG704" s="32" t="s">
        <v>1528</v>
      </c>
    </row>
    <row r="705" spans="58:59">
      <c r="BF705" s="298">
        <v>702</v>
      </c>
      <c r="BG705" s="32" t="s">
        <v>1529</v>
      </c>
    </row>
    <row r="706" spans="58:59">
      <c r="BF706" s="298">
        <v>703</v>
      </c>
      <c r="BG706" s="32" t="s">
        <v>1530</v>
      </c>
    </row>
    <row r="707" spans="58:59">
      <c r="BF707" s="298">
        <v>704</v>
      </c>
      <c r="BG707" s="32" t="s">
        <v>1531</v>
      </c>
    </row>
    <row r="708" spans="58:59">
      <c r="BF708" s="298">
        <v>705</v>
      </c>
      <c r="BG708" s="32" t="s">
        <v>1532</v>
      </c>
    </row>
    <row r="709" spans="58:59">
      <c r="BF709" s="298">
        <v>706</v>
      </c>
      <c r="BG709" s="32" t="s">
        <v>1533</v>
      </c>
    </row>
    <row r="710" spans="58:59">
      <c r="BF710" s="298">
        <v>707</v>
      </c>
      <c r="BG710" s="32" t="s">
        <v>1534</v>
      </c>
    </row>
    <row r="711" spans="58:59">
      <c r="BF711" s="298">
        <v>708</v>
      </c>
      <c r="BG711" s="32" t="s">
        <v>1535</v>
      </c>
    </row>
    <row r="712" spans="58:59">
      <c r="BF712" s="298">
        <v>709</v>
      </c>
      <c r="BG712" s="32" t="s">
        <v>1536</v>
      </c>
    </row>
    <row r="713" spans="58:59">
      <c r="BF713" s="298">
        <v>710</v>
      </c>
      <c r="BG713" s="32" t="s">
        <v>1537</v>
      </c>
    </row>
    <row r="714" spans="58:59">
      <c r="BF714" s="298">
        <v>711</v>
      </c>
      <c r="BG714" s="32" t="s">
        <v>1538</v>
      </c>
    </row>
    <row r="715" spans="58:59">
      <c r="BF715" s="298">
        <v>712</v>
      </c>
      <c r="BG715" s="32" t="s">
        <v>1539</v>
      </c>
    </row>
    <row r="716" spans="58:59">
      <c r="BF716" s="298">
        <v>713</v>
      </c>
      <c r="BG716" s="32" t="s">
        <v>1540</v>
      </c>
    </row>
    <row r="717" spans="58:59">
      <c r="BF717" s="298">
        <v>714</v>
      </c>
      <c r="BG717" s="32" t="s">
        <v>1541</v>
      </c>
    </row>
    <row r="718" spans="58:59">
      <c r="BF718" s="298">
        <v>715</v>
      </c>
      <c r="BG718" s="32" t="s">
        <v>1542</v>
      </c>
    </row>
    <row r="719" spans="58:59">
      <c r="BF719" s="298">
        <v>716</v>
      </c>
      <c r="BG719" s="32" t="s">
        <v>1543</v>
      </c>
    </row>
    <row r="720" spans="58:59">
      <c r="BF720" s="298">
        <v>717</v>
      </c>
      <c r="BG720" s="32" t="s">
        <v>1544</v>
      </c>
    </row>
    <row r="721" spans="58:59">
      <c r="BF721" s="298">
        <v>718</v>
      </c>
      <c r="BG721" s="32" t="s">
        <v>1545</v>
      </c>
    </row>
    <row r="722" spans="58:59">
      <c r="BF722" s="298">
        <v>719</v>
      </c>
      <c r="BG722" s="32" t="s">
        <v>1546</v>
      </c>
    </row>
    <row r="723" spans="58:59">
      <c r="BF723" s="298">
        <v>720</v>
      </c>
      <c r="BG723" s="32" t="s">
        <v>1547</v>
      </c>
    </row>
    <row r="724" spans="58:59">
      <c r="BF724" s="298">
        <v>721</v>
      </c>
      <c r="BG724" s="32" t="s">
        <v>1548</v>
      </c>
    </row>
    <row r="725" spans="58:59">
      <c r="BF725" s="298">
        <v>722</v>
      </c>
      <c r="BG725" s="32" t="s">
        <v>1549</v>
      </c>
    </row>
    <row r="726" spans="58:59">
      <c r="BF726" s="298">
        <v>723</v>
      </c>
      <c r="BG726" s="32" t="s">
        <v>1550</v>
      </c>
    </row>
    <row r="727" spans="58:59">
      <c r="BF727" s="298">
        <v>724</v>
      </c>
      <c r="BG727" s="32" t="s">
        <v>1551</v>
      </c>
    </row>
    <row r="728" spans="58:59">
      <c r="BF728" s="298">
        <v>725</v>
      </c>
      <c r="BG728" s="32" t="s">
        <v>1552</v>
      </c>
    </row>
    <row r="729" spans="58:59">
      <c r="BF729" s="298">
        <v>726</v>
      </c>
      <c r="BG729" s="32" t="s">
        <v>1553</v>
      </c>
    </row>
    <row r="730" spans="58:59">
      <c r="BF730" s="298">
        <v>727</v>
      </c>
      <c r="BG730" s="32" t="s">
        <v>1554</v>
      </c>
    </row>
    <row r="731" spans="58:59">
      <c r="BF731" s="298">
        <v>728</v>
      </c>
      <c r="BG731" s="32" t="s">
        <v>1555</v>
      </c>
    </row>
    <row r="732" spans="58:59">
      <c r="BF732" s="298">
        <v>729</v>
      </c>
      <c r="BG732" s="32" t="s">
        <v>1556</v>
      </c>
    </row>
    <row r="733" spans="58:59">
      <c r="BF733" s="298">
        <v>730</v>
      </c>
      <c r="BG733" s="32" t="s">
        <v>1557</v>
      </c>
    </row>
    <row r="734" spans="58:59">
      <c r="BF734" s="298">
        <v>731</v>
      </c>
      <c r="BG734" s="32" t="s">
        <v>1558</v>
      </c>
    </row>
    <row r="735" spans="58:59">
      <c r="BF735" s="298">
        <v>732</v>
      </c>
      <c r="BG735" s="32" t="s">
        <v>1559</v>
      </c>
    </row>
    <row r="736" spans="58:59">
      <c r="BF736" s="298">
        <v>733</v>
      </c>
      <c r="BG736" s="32" t="s">
        <v>1560</v>
      </c>
    </row>
    <row r="737" spans="58:59">
      <c r="BF737" s="298">
        <v>734</v>
      </c>
      <c r="BG737" s="32" t="s">
        <v>1561</v>
      </c>
    </row>
    <row r="738" spans="58:59">
      <c r="BF738" s="298">
        <v>735</v>
      </c>
      <c r="BG738" s="32" t="s">
        <v>1562</v>
      </c>
    </row>
    <row r="739" spans="58:59">
      <c r="BF739" s="298">
        <v>736</v>
      </c>
      <c r="BG739" s="32" t="s">
        <v>1563</v>
      </c>
    </row>
    <row r="740" spans="58:59">
      <c r="BF740" s="298">
        <v>737</v>
      </c>
      <c r="BG740" s="32" t="s">
        <v>1564</v>
      </c>
    </row>
    <row r="741" spans="58:59">
      <c r="BF741" s="298">
        <v>738</v>
      </c>
      <c r="BG741" s="32" t="s">
        <v>1565</v>
      </c>
    </row>
    <row r="742" spans="58:59">
      <c r="BF742" s="298">
        <v>739</v>
      </c>
      <c r="BG742" s="32" t="s">
        <v>1566</v>
      </c>
    </row>
    <row r="743" spans="58:59">
      <c r="BF743" s="298">
        <v>740</v>
      </c>
      <c r="BG743" s="32" t="s">
        <v>1567</v>
      </c>
    </row>
    <row r="744" spans="58:59">
      <c r="BF744" s="298">
        <v>741</v>
      </c>
      <c r="BG744" s="32" t="s">
        <v>1568</v>
      </c>
    </row>
    <row r="745" spans="58:59">
      <c r="BF745" s="298">
        <v>742</v>
      </c>
      <c r="BG745" s="32" t="s">
        <v>1569</v>
      </c>
    </row>
    <row r="746" spans="58:59">
      <c r="BF746" s="298">
        <v>743</v>
      </c>
      <c r="BG746" s="32" t="s">
        <v>1570</v>
      </c>
    </row>
    <row r="747" spans="58:59">
      <c r="BF747" s="298">
        <v>744</v>
      </c>
      <c r="BG747" s="32" t="s">
        <v>1571</v>
      </c>
    </row>
    <row r="748" spans="58:59">
      <c r="BF748" s="298">
        <v>745</v>
      </c>
      <c r="BG748" s="32" t="s">
        <v>1572</v>
      </c>
    </row>
    <row r="749" spans="58:59">
      <c r="BF749" s="298">
        <v>746</v>
      </c>
      <c r="BG749" s="32" t="s">
        <v>1573</v>
      </c>
    </row>
    <row r="750" spans="58:59">
      <c r="BF750" s="298">
        <v>747</v>
      </c>
      <c r="BG750" s="32" t="s">
        <v>1574</v>
      </c>
    </row>
    <row r="751" spans="58:59">
      <c r="BF751" s="298">
        <v>748</v>
      </c>
      <c r="BG751" s="32" t="s">
        <v>1575</v>
      </c>
    </row>
    <row r="752" spans="58:59">
      <c r="BF752" s="298">
        <v>749</v>
      </c>
      <c r="BG752" s="32" t="s">
        <v>1576</v>
      </c>
    </row>
    <row r="753" spans="58:59">
      <c r="BF753" s="298">
        <v>750</v>
      </c>
      <c r="BG753" s="32" t="s">
        <v>1577</v>
      </c>
    </row>
    <row r="754" spans="58:59">
      <c r="BF754" s="298">
        <v>751</v>
      </c>
      <c r="BG754" s="32" t="s">
        <v>1578</v>
      </c>
    </row>
    <row r="755" spans="58:59">
      <c r="BF755" s="298">
        <v>752</v>
      </c>
      <c r="BG755" s="32" t="s">
        <v>1579</v>
      </c>
    </row>
    <row r="756" spans="58:59">
      <c r="BF756" s="298">
        <v>753</v>
      </c>
      <c r="BG756" s="32" t="s">
        <v>1580</v>
      </c>
    </row>
    <row r="757" spans="58:59">
      <c r="BF757" s="298">
        <v>754</v>
      </c>
      <c r="BG757" s="32" t="s">
        <v>1581</v>
      </c>
    </row>
    <row r="758" spans="58:59">
      <c r="BF758" s="298">
        <v>755</v>
      </c>
      <c r="BG758" s="32" t="s">
        <v>1582</v>
      </c>
    </row>
    <row r="759" spans="58:59">
      <c r="BF759" s="298">
        <v>756</v>
      </c>
      <c r="BG759" s="32" t="s">
        <v>1583</v>
      </c>
    </row>
    <row r="760" spans="58:59">
      <c r="BF760" s="298">
        <v>757</v>
      </c>
      <c r="BG760" s="32" t="s">
        <v>1584</v>
      </c>
    </row>
    <row r="761" spans="58:59">
      <c r="BF761" s="298">
        <v>758</v>
      </c>
      <c r="BG761" s="32" t="s">
        <v>1585</v>
      </c>
    </row>
    <row r="762" spans="58:59">
      <c r="BF762" s="298">
        <v>759</v>
      </c>
      <c r="BG762" s="32" t="s">
        <v>1586</v>
      </c>
    </row>
    <row r="763" spans="58:59">
      <c r="BF763" s="298">
        <v>760</v>
      </c>
      <c r="BG763" s="32" t="s">
        <v>1587</v>
      </c>
    </row>
    <row r="764" spans="58:59">
      <c r="BF764" s="298">
        <v>761</v>
      </c>
      <c r="BG764" s="32" t="s">
        <v>1588</v>
      </c>
    </row>
    <row r="765" spans="58:59">
      <c r="BF765" s="298">
        <v>762</v>
      </c>
      <c r="BG765" s="32" t="s">
        <v>1589</v>
      </c>
    </row>
    <row r="766" spans="58:59">
      <c r="BF766" s="298">
        <v>763</v>
      </c>
      <c r="BG766" s="32" t="s">
        <v>1590</v>
      </c>
    </row>
    <row r="767" spans="58:59">
      <c r="BF767" s="298">
        <v>764</v>
      </c>
      <c r="BG767" s="32" t="s">
        <v>1591</v>
      </c>
    </row>
    <row r="768" spans="58:59">
      <c r="BF768" s="298">
        <v>765</v>
      </c>
      <c r="BG768" s="32" t="s">
        <v>1592</v>
      </c>
    </row>
    <row r="769" spans="58:59">
      <c r="BF769" s="298">
        <v>766</v>
      </c>
      <c r="BG769" s="32" t="s">
        <v>1593</v>
      </c>
    </row>
    <row r="770" spans="58:59">
      <c r="BF770" s="298">
        <v>767</v>
      </c>
      <c r="BG770" s="32" t="s">
        <v>1594</v>
      </c>
    </row>
    <row r="771" spans="58:59">
      <c r="BF771" s="298">
        <v>768</v>
      </c>
      <c r="BG771" s="32" t="s">
        <v>1595</v>
      </c>
    </row>
    <row r="772" spans="58:59">
      <c r="BF772" s="298">
        <v>769</v>
      </c>
      <c r="BG772" s="32" t="s">
        <v>1596</v>
      </c>
    </row>
    <row r="773" spans="58:59">
      <c r="BF773" s="298">
        <v>770</v>
      </c>
      <c r="BG773" s="32" t="s">
        <v>1597</v>
      </c>
    </row>
    <row r="774" spans="58:59">
      <c r="BF774" s="298">
        <v>771</v>
      </c>
      <c r="BG774" s="32" t="s">
        <v>1598</v>
      </c>
    </row>
    <row r="775" spans="58:59">
      <c r="BF775" s="298">
        <v>772</v>
      </c>
      <c r="BG775" s="32" t="s">
        <v>1599</v>
      </c>
    </row>
    <row r="776" spans="58:59">
      <c r="BF776" s="298">
        <v>773</v>
      </c>
      <c r="BG776" s="32" t="s">
        <v>1600</v>
      </c>
    </row>
    <row r="777" spans="58:59">
      <c r="BF777" s="298">
        <v>774</v>
      </c>
      <c r="BG777" s="32" t="s">
        <v>1601</v>
      </c>
    </row>
    <row r="778" spans="58:59">
      <c r="BF778" s="298">
        <v>775</v>
      </c>
      <c r="BG778" s="32" t="s">
        <v>1602</v>
      </c>
    </row>
    <row r="779" spans="58:59">
      <c r="BF779" s="298">
        <v>776</v>
      </c>
      <c r="BG779" s="32" t="s">
        <v>1603</v>
      </c>
    </row>
    <row r="780" spans="58:59">
      <c r="BF780" s="298">
        <v>777</v>
      </c>
      <c r="BG780" s="32" t="s">
        <v>1604</v>
      </c>
    </row>
    <row r="781" spans="58:59">
      <c r="BF781" s="298">
        <v>778</v>
      </c>
      <c r="BG781" s="32" t="s">
        <v>1605</v>
      </c>
    </row>
    <row r="782" spans="58:59">
      <c r="BF782" s="298">
        <v>779</v>
      </c>
      <c r="BG782" s="32" t="s">
        <v>1606</v>
      </c>
    </row>
    <row r="783" spans="58:59">
      <c r="BF783" s="298">
        <v>780</v>
      </c>
      <c r="BG783" s="32" t="s">
        <v>1607</v>
      </c>
    </row>
    <row r="784" spans="58:59">
      <c r="BF784" s="298">
        <v>781</v>
      </c>
      <c r="BG784" s="32" t="s">
        <v>1608</v>
      </c>
    </row>
    <row r="785" spans="58:59">
      <c r="BF785" s="298">
        <v>782</v>
      </c>
      <c r="BG785" s="32" t="s">
        <v>1609</v>
      </c>
    </row>
    <row r="786" spans="58:59">
      <c r="BF786" s="298">
        <v>783</v>
      </c>
      <c r="BG786" s="32" t="s">
        <v>1610</v>
      </c>
    </row>
    <row r="787" spans="58:59">
      <c r="BF787" s="298">
        <v>784</v>
      </c>
      <c r="BG787" s="32" t="s">
        <v>1611</v>
      </c>
    </row>
    <row r="788" spans="58:59">
      <c r="BF788" s="298">
        <v>785</v>
      </c>
      <c r="BG788" s="32" t="s">
        <v>1612</v>
      </c>
    </row>
    <row r="789" spans="58:59">
      <c r="BF789" s="298">
        <v>786</v>
      </c>
      <c r="BG789" s="32" t="s">
        <v>1613</v>
      </c>
    </row>
    <row r="790" spans="58:59">
      <c r="BF790" s="298">
        <v>787</v>
      </c>
      <c r="BG790" s="32" t="s">
        <v>1614</v>
      </c>
    </row>
    <row r="791" spans="58:59">
      <c r="BF791" s="298">
        <v>788</v>
      </c>
      <c r="BG791" s="32" t="s">
        <v>1615</v>
      </c>
    </row>
    <row r="792" spans="58:59">
      <c r="BF792" s="298">
        <v>789</v>
      </c>
      <c r="BG792" s="32" t="s">
        <v>1616</v>
      </c>
    </row>
    <row r="793" spans="58:59">
      <c r="BF793" s="298">
        <v>790</v>
      </c>
      <c r="BG793" s="32" t="s">
        <v>1617</v>
      </c>
    </row>
    <row r="794" spans="58:59">
      <c r="BF794" s="298">
        <v>791</v>
      </c>
      <c r="BG794" s="32" t="s">
        <v>1618</v>
      </c>
    </row>
    <row r="795" spans="58:59">
      <c r="BF795" s="298">
        <v>792</v>
      </c>
      <c r="BG795" s="32" t="s">
        <v>1619</v>
      </c>
    </row>
    <row r="796" spans="58:59">
      <c r="BF796" s="298">
        <v>793</v>
      </c>
      <c r="BG796" s="32" t="s">
        <v>1620</v>
      </c>
    </row>
    <row r="797" spans="58:59">
      <c r="BF797" s="298">
        <v>794</v>
      </c>
      <c r="BG797" s="32" t="s">
        <v>1621</v>
      </c>
    </row>
    <row r="798" spans="58:59">
      <c r="BF798" s="298">
        <v>795</v>
      </c>
      <c r="BG798" s="32" t="s">
        <v>1622</v>
      </c>
    </row>
    <row r="799" spans="58:59">
      <c r="BF799" s="298">
        <v>796</v>
      </c>
      <c r="BG799" s="32" t="s">
        <v>1623</v>
      </c>
    </row>
    <row r="800" spans="58:59">
      <c r="BF800" s="298">
        <v>797</v>
      </c>
      <c r="BG800" s="32" t="s">
        <v>1624</v>
      </c>
    </row>
    <row r="801" spans="58:59">
      <c r="BF801" s="298">
        <v>798</v>
      </c>
      <c r="BG801" s="32" t="s">
        <v>1625</v>
      </c>
    </row>
    <row r="802" spans="58:59">
      <c r="BF802" s="298">
        <v>799</v>
      </c>
      <c r="BG802" s="32" t="s">
        <v>1626</v>
      </c>
    </row>
    <row r="803" spans="58:59">
      <c r="BF803" s="298">
        <v>800</v>
      </c>
      <c r="BG803" s="32" t="s">
        <v>1627</v>
      </c>
    </row>
    <row r="804" spans="58:59">
      <c r="BF804" s="298">
        <v>801</v>
      </c>
      <c r="BG804" s="32" t="s">
        <v>1628</v>
      </c>
    </row>
    <row r="805" spans="58:59">
      <c r="BF805" s="298">
        <v>802</v>
      </c>
      <c r="BG805" s="32" t="s">
        <v>1629</v>
      </c>
    </row>
    <row r="806" spans="58:59">
      <c r="BF806" s="298">
        <v>803</v>
      </c>
      <c r="BG806" s="32" t="s">
        <v>1630</v>
      </c>
    </row>
    <row r="807" spans="58:59">
      <c r="BF807" s="298">
        <v>804</v>
      </c>
      <c r="BG807" s="32" t="s">
        <v>1631</v>
      </c>
    </row>
    <row r="808" spans="58:59">
      <c r="BF808" s="298">
        <v>805</v>
      </c>
      <c r="BG808" s="32" t="s">
        <v>1632</v>
      </c>
    </row>
    <row r="809" spans="58:59">
      <c r="BF809" s="298">
        <v>806</v>
      </c>
      <c r="BG809" s="32" t="s">
        <v>1633</v>
      </c>
    </row>
    <row r="810" spans="58:59">
      <c r="BF810" s="298">
        <v>807</v>
      </c>
      <c r="BG810" s="32" t="s">
        <v>1634</v>
      </c>
    </row>
    <row r="811" spans="58:59">
      <c r="BF811" s="298">
        <v>808</v>
      </c>
      <c r="BG811" s="32" t="s">
        <v>1635</v>
      </c>
    </row>
    <row r="812" spans="58:59">
      <c r="BF812" s="298">
        <v>809</v>
      </c>
      <c r="BG812" s="32" t="s">
        <v>1636</v>
      </c>
    </row>
    <row r="813" spans="58:59">
      <c r="BF813" s="298">
        <v>810</v>
      </c>
      <c r="BG813" s="32" t="s">
        <v>1637</v>
      </c>
    </row>
    <row r="814" spans="58:59">
      <c r="BF814" s="298">
        <v>811</v>
      </c>
      <c r="BG814" s="32" t="s">
        <v>1638</v>
      </c>
    </row>
    <row r="815" spans="58:59">
      <c r="BF815" s="298">
        <v>812</v>
      </c>
      <c r="BG815" s="32" t="s">
        <v>1639</v>
      </c>
    </row>
    <row r="816" spans="58:59">
      <c r="BF816" s="298">
        <v>813</v>
      </c>
      <c r="BG816" s="32" t="s">
        <v>1640</v>
      </c>
    </row>
    <row r="817" spans="58:59">
      <c r="BF817" s="298">
        <v>814</v>
      </c>
      <c r="BG817" s="32" t="s">
        <v>1641</v>
      </c>
    </row>
    <row r="818" spans="58:59">
      <c r="BF818" s="298">
        <v>815</v>
      </c>
      <c r="BG818" s="32" t="s">
        <v>1642</v>
      </c>
    </row>
    <row r="819" spans="58:59">
      <c r="BF819" s="298">
        <v>816</v>
      </c>
      <c r="BG819" s="32" t="s">
        <v>1643</v>
      </c>
    </row>
    <row r="820" spans="58:59">
      <c r="BF820" s="298">
        <v>817</v>
      </c>
      <c r="BG820" s="32" t="s">
        <v>1644</v>
      </c>
    </row>
    <row r="821" spans="58:59">
      <c r="BF821" s="298">
        <v>818</v>
      </c>
      <c r="BG821" s="32" t="s">
        <v>1645</v>
      </c>
    </row>
    <row r="822" spans="58:59">
      <c r="BF822" s="298">
        <v>819</v>
      </c>
      <c r="BG822" s="32" t="s">
        <v>1646</v>
      </c>
    </row>
    <row r="823" spans="58:59">
      <c r="BF823" s="298">
        <v>820</v>
      </c>
      <c r="BG823" s="32" t="s">
        <v>1647</v>
      </c>
    </row>
    <row r="824" spans="58:59">
      <c r="BF824" s="298">
        <v>821</v>
      </c>
      <c r="BG824" s="32" t="s">
        <v>1648</v>
      </c>
    </row>
    <row r="825" spans="58:59">
      <c r="BF825" s="298">
        <v>822</v>
      </c>
      <c r="BG825" s="32" t="s">
        <v>1649</v>
      </c>
    </row>
    <row r="826" spans="58:59">
      <c r="BF826" s="298">
        <v>823</v>
      </c>
      <c r="BG826" s="32" t="s">
        <v>1650</v>
      </c>
    </row>
    <row r="827" spans="58:59">
      <c r="BF827" s="298">
        <v>824</v>
      </c>
      <c r="BG827" s="32" t="s">
        <v>1651</v>
      </c>
    </row>
    <row r="828" spans="58:59">
      <c r="BF828" s="298">
        <v>825</v>
      </c>
      <c r="BG828" s="32" t="s">
        <v>1652</v>
      </c>
    </row>
    <row r="829" spans="58:59">
      <c r="BF829" s="298">
        <v>826</v>
      </c>
      <c r="BG829" s="32" t="s">
        <v>1653</v>
      </c>
    </row>
    <row r="830" spans="58:59">
      <c r="BF830" s="298">
        <v>827</v>
      </c>
      <c r="BG830" s="32" t="s">
        <v>1654</v>
      </c>
    </row>
    <row r="831" spans="58:59">
      <c r="BF831" s="298">
        <v>828</v>
      </c>
      <c r="BG831" s="32" t="s">
        <v>1655</v>
      </c>
    </row>
    <row r="832" spans="58:59">
      <c r="BF832" s="298">
        <v>829</v>
      </c>
      <c r="BG832" s="32" t="s">
        <v>1656</v>
      </c>
    </row>
    <row r="833" spans="58:59">
      <c r="BF833" s="298">
        <v>830</v>
      </c>
      <c r="BG833" s="32" t="s">
        <v>1657</v>
      </c>
    </row>
    <row r="834" spans="58:59">
      <c r="BF834" s="298">
        <v>831</v>
      </c>
      <c r="BG834" s="32" t="s">
        <v>1658</v>
      </c>
    </row>
    <row r="835" spans="58:59">
      <c r="BF835" s="298">
        <v>832</v>
      </c>
      <c r="BG835" s="32" t="s">
        <v>1659</v>
      </c>
    </row>
    <row r="836" spans="58:59">
      <c r="BF836" s="298">
        <v>833</v>
      </c>
      <c r="BG836" s="32" t="s">
        <v>1660</v>
      </c>
    </row>
    <row r="837" spans="58:59">
      <c r="BF837" s="298">
        <v>834</v>
      </c>
      <c r="BG837" s="32" t="s">
        <v>1661</v>
      </c>
    </row>
    <row r="838" spans="58:59">
      <c r="BF838" s="298">
        <v>835</v>
      </c>
      <c r="BG838" s="32" t="s">
        <v>1662</v>
      </c>
    </row>
    <row r="839" spans="58:59">
      <c r="BF839" s="298">
        <v>836</v>
      </c>
      <c r="BG839" s="32" t="s">
        <v>1663</v>
      </c>
    </row>
    <row r="840" spans="58:59">
      <c r="BF840" s="298">
        <v>837</v>
      </c>
      <c r="BG840" s="32" t="s">
        <v>1664</v>
      </c>
    </row>
    <row r="841" spans="58:59">
      <c r="BF841" s="298">
        <v>838</v>
      </c>
      <c r="BG841" s="32" t="s">
        <v>1665</v>
      </c>
    </row>
    <row r="842" spans="58:59">
      <c r="BF842" s="298">
        <v>839</v>
      </c>
      <c r="BG842" s="32" t="s">
        <v>1666</v>
      </c>
    </row>
    <row r="843" spans="58:59">
      <c r="BF843" s="298">
        <v>840</v>
      </c>
      <c r="BG843" s="32" t="s">
        <v>1667</v>
      </c>
    </row>
    <row r="844" spans="58:59">
      <c r="BF844" s="298">
        <v>841</v>
      </c>
      <c r="BG844" s="32" t="s">
        <v>1668</v>
      </c>
    </row>
    <row r="845" spans="58:59">
      <c r="BF845" s="298">
        <v>842</v>
      </c>
      <c r="BG845" s="32" t="s">
        <v>1669</v>
      </c>
    </row>
    <row r="846" spans="58:59">
      <c r="BF846" s="298">
        <v>843</v>
      </c>
      <c r="BG846" s="32" t="s">
        <v>1670</v>
      </c>
    </row>
    <row r="847" spans="58:59">
      <c r="BF847" s="298">
        <v>844</v>
      </c>
      <c r="BG847" s="32" t="s">
        <v>1671</v>
      </c>
    </row>
    <row r="848" spans="58:59">
      <c r="BF848" s="298">
        <v>845</v>
      </c>
      <c r="BG848" s="32" t="s">
        <v>1672</v>
      </c>
    </row>
    <row r="849" spans="58:59">
      <c r="BF849" s="298">
        <v>846</v>
      </c>
      <c r="BG849" s="32" t="s">
        <v>1673</v>
      </c>
    </row>
    <row r="850" spans="58:59">
      <c r="BF850" s="298">
        <v>847</v>
      </c>
      <c r="BG850" s="32" t="s">
        <v>1674</v>
      </c>
    </row>
    <row r="851" spans="58:59">
      <c r="BF851" s="298">
        <v>848</v>
      </c>
      <c r="BG851" s="32" t="s">
        <v>1675</v>
      </c>
    </row>
    <row r="852" spans="58:59">
      <c r="BF852" s="298">
        <v>849</v>
      </c>
      <c r="BG852" s="32" t="s">
        <v>1676</v>
      </c>
    </row>
    <row r="853" spans="58:59">
      <c r="BF853" s="298">
        <v>850</v>
      </c>
      <c r="BG853" s="32" t="s">
        <v>1677</v>
      </c>
    </row>
    <row r="854" spans="58:59">
      <c r="BF854" s="298">
        <v>851</v>
      </c>
      <c r="BG854" s="32" t="s">
        <v>1678</v>
      </c>
    </row>
    <row r="855" spans="58:59">
      <c r="BF855" s="298">
        <v>852</v>
      </c>
      <c r="BG855" s="32" t="s">
        <v>1679</v>
      </c>
    </row>
    <row r="856" spans="58:59">
      <c r="BF856" s="298">
        <v>853</v>
      </c>
      <c r="BG856" s="32" t="s">
        <v>1680</v>
      </c>
    </row>
    <row r="857" spans="58:59">
      <c r="BF857" s="298">
        <v>854</v>
      </c>
      <c r="BG857" s="32" t="s">
        <v>1681</v>
      </c>
    </row>
    <row r="858" spans="58:59">
      <c r="BF858" s="298">
        <v>855</v>
      </c>
      <c r="BG858" s="32" t="s">
        <v>1682</v>
      </c>
    </row>
    <row r="859" spans="58:59">
      <c r="BF859" s="298">
        <v>856</v>
      </c>
      <c r="BG859" s="32" t="s">
        <v>1683</v>
      </c>
    </row>
    <row r="860" spans="58:59">
      <c r="BF860" s="298">
        <v>857</v>
      </c>
      <c r="BG860" s="32" t="s">
        <v>1684</v>
      </c>
    </row>
    <row r="861" spans="58:59">
      <c r="BF861" s="298">
        <v>858</v>
      </c>
      <c r="BG861" s="32" t="s">
        <v>1685</v>
      </c>
    </row>
    <row r="862" spans="58:59">
      <c r="BF862" s="298">
        <v>859</v>
      </c>
      <c r="BG862" s="32" t="s">
        <v>1686</v>
      </c>
    </row>
    <row r="863" spans="58:59">
      <c r="BF863" s="298">
        <v>860</v>
      </c>
      <c r="BG863" s="32" t="s">
        <v>1687</v>
      </c>
    </row>
    <row r="864" spans="58:59">
      <c r="BF864" s="298">
        <v>861</v>
      </c>
      <c r="BG864" s="32" t="s">
        <v>1688</v>
      </c>
    </row>
    <row r="865" spans="58:59">
      <c r="BF865" s="298">
        <v>862</v>
      </c>
      <c r="BG865" s="32" t="s">
        <v>1689</v>
      </c>
    </row>
    <row r="866" spans="58:59">
      <c r="BF866" s="298">
        <v>863</v>
      </c>
      <c r="BG866" s="32" t="s">
        <v>1690</v>
      </c>
    </row>
    <row r="867" spans="58:59">
      <c r="BF867" s="298">
        <v>864</v>
      </c>
      <c r="BG867" s="32" t="s">
        <v>1691</v>
      </c>
    </row>
    <row r="868" spans="58:59">
      <c r="BF868" s="298">
        <v>865</v>
      </c>
      <c r="BG868" s="32" t="s">
        <v>1692</v>
      </c>
    </row>
    <row r="869" spans="58:59">
      <c r="BF869" s="298">
        <v>866</v>
      </c>
      <c r="BG869" s="32" t="s">
        <v>1693</v>
      </c>
    </row>
    <row r="870" spans="58:59">
      <c r="BF870" s="298">
        <v>867</v>
      </c>
      <c r="BG870" s="32" t="s">
        <v>1694</v>
      </c>
    </row>
    <row r="871" spans="58:59">
      <c r="BF871" s="298">
        <v>868</v>
      </c>
      <c r="BG871" s="32" t="s">
        <v>1695</v>
      </c>
    </row>
    <row r="872" spans="58:59">
      <c r="BF872" s="298">
        <v>869</v>
      </c>
      <c r="BG872" s="32" t="s">
        <v>1696</v>
      </c>
    </row>
    <row r="873" spans="58:59">
      <c r="BF873" s="298">
        <v>870</v>
      </c>
      <c r="BG873" s="32" t="s">
        <v>1697</v>
      </c>
    </row>
    <row r="874" spans="58:59">
      <c r="BF874" s="298">
        <v>871</v>
      </c>
      <c r="BG874" s="32" t="s">
        <v>1698</v>
      </c>
    </row>
    <row r="875" spans="58:59">
      <c r="BF875" s="298">
        <v>872</v>
      </c>
      <c r="BG875" s="32" t="s">
        <v>1699</v>
      </c>
    </row>
    <row r="876" spans="58:59">
      <c r="BF876" s="298">
        <v>873</v>
      </c>
      <c r="BG876" s="32" t="s">
        <v>1700</v>
      </c>
    </row>
    <row r="877" spans="58:59">
      <c r="BF877" s="298">
        <v>874</v>
      </c>
      <c r="BG877" s="32" t="s">
        <v>1701</v>
      </c>
    </row>
    <row r="878" spans="58:59">
      <c r="BF878" s="298">
        <v>875</v>
      </c>
      <c r="BG878" s="32" t="s">
        <v>1702</v>
      </c>
    </row>
    <row r="879" spans="58:59">
      <c r="BF879" s="298">
        <v>876</v>
      </c>
      <c r="BG879" s="32" t="s">
        <v>1703</v>
      </c>
    </row>
    <row r="880" spans="58:59">
      <c r="BF880" s="298">
        <v>877</v>
      </c>
      <c r="BG880" s="32" t="s">
        <v>1704</v>
      </c>
    </row>
    <row r="881" spans="58:59">
      <c r="BF881" s="298">
        <v>878</v>
      </c>
      <c r="BG881" s="32" t="s">
        <v>1705</v>
      </c>
    </row>
    <row r="882" spans="58:59">
      <c r="BF882" s="298">
        <v>879</v>
      </c>
      <c r="BG882" s="32" t="s">
        <v>1706</v>
      </c>
    </row>
    <row r="883" spans="58:59">
      <c r="BF883" s="298">
        <v>880</v>
      </c>
      <c r="BG883" s="32" t="s">
        <v>1707</v>
      </c>
    </row>
    <row r="884" spans="58:59">
      <c r="BF884" s="298">
        <v>881</v>
      </c>
      <c r="BG884" s="32" t="s">
        <v>1708</v>
      </c>
    </row>
    <row r="885" spans="58:59">
      <c r="BF885" s="298">
        <v>882</v>
      </c>
      <c r="BG885" s="32" t="s">
        <v>1709</v>
      </c>
    </row>
    <row r="886" spans="58:59">
      <c r="BF886" s="298">
        <v>883</v>
      </c>
      <c r="BG886" s="32" t="s">
        <v>1710</v>
      </c>
    </row>
    <row r="887" spans="58:59">
      <c r="BF887" s="298">
        <v>884</v>
      </c>
      <c r="BG887" s="32" t="s">
        <v>1711</v>
      </c>
    </row>
    <row r="888" spans="58:59">
      <c r="BF888" s="298">
        <v>885</v>
      </c>
      <c r="BG888" s="32" t="s">
        <v>1712</v>
      </c>
    </row>
    <row r="889" spans="58:59">
      <c r="BF889" s="298">
        <v>886</v>
      </c>
      <c r="BG889" s="32" t="s">
        <v>1713</v>
      </c>
    </row>
    <row r="890" spans="58:59">
      <c r="BF890" s="298">
        <v>887</v>
      </c>
      <c r="BG890" s="32" t="s">
        <v>1714</v>
      </c>
    </row>
    <row r="891" spans="58:59">
      <c r="BF891" s="298">
        <v>888</v>
      </c>
      <c r="BG891" s="32" t="s">
        <v>1715</v>
      </c>
    </row>
    <row r="892" spans="58:59">
      <c r="BF892" s="298">
        <v>889</v>
      </c>
      <c r="BG892" s="32" t="s">
        <v>1716</v>
      </c>
    </row>
    <row r="893" spans="58:59">
      <c r="BF893" s="298">
        <v>890</v>
      </c>
      <c r="BG893" s="32" t="s">
        <v>1717</v>
      </c>
    </row>
    <row r="894" spans="58:59">
      <c r="BF894" s="298">
        <v>891</v>
      </c>
      <c r="BG894" s="32" t="s">
        <v>1718</v>
      </c>
    </row>
    <row r="895" spans="58:59">
      <c r="BF895" s="298">
        <v>892</v>
      </c>
      <c r="BG895" s="32" t="s">
        <v>1719</v>
      </c>
    </row>
    <row r="896" spans="58:59">
      <c r="BF896" s="298">
        <v>893</v>
      </c>
      <c r="BG896" s="32" t="s">
        <v>1720</v>
      </c>
    </row>
    <row r="897" spans="58:59">
      <c r="BF897" s="298">
        <v>894</v>
      </c>
      <c r="BG897" s="32" t="s">
        <v>1721</v>
      </c>
    </row>
    <row r="898" spans="58:59">
      <c r="BF898" s="298">
        <v>895</v>
      </c>
      <c r="BG898" s="32" t="s">
        <v>1722</v>
      </c>
    </row>
    <row r="899" spans="58:59">
      <c r="BF899" s="298">
        <v>896</v>
      </c>
      <c r="BG899" s="32" t="s">
        <v>1723</v>
      </c>
    </row>
    <row r="900" spans="58:59">
      <c r="BF900" s="298">
        <v>897</v>
      </c>
      <c r="BG900" s="32" t="s">
        <v>1724</v>
      </c>
    </row>
    <row r="901" spans="58:59">
      <c r="BF901" s="298">
        <v>898</v>
      </c>
      <c r="BG901" s="32" t="s">
        <v>1725</v>
      </c>
    </row>
    <row r="902" spans="58:59">
      <c r="BF902" s="298">
        <v>899</v>
      </c>
      <c r="BG902" s="32" t="s">
        <v>1726</v>
      </c>
    </row>
    <row r="903" spans="58:59">
      <c r="BF903" s="298">
        <v>900</v>
      </c>
      <c r="BG903" s="32" t="s">
        <v>1727</v>
      </c>
    </row>
    <row r="904" spans="58:59">
      <c r="BF904" s="298">
        <v>901</v>
      </c>
      <c r="BG904" s="32" t="s">
        <v>1728</v>
      </c>
    </row>
    <row r="905" spans="58:59">
      <c r="BF905" s="298">
        <v>902</v>
      </c>
      <c r="BG905" s="32" t="s">
        <v>1729</v>
      </c>
    </row>
    <row r="906" spans="58:59">
      <c r="BF906" s="298">
        <v>903</v>
      </c>
      <c r="BG906" s="32" t="s">
        <v>1730</v>
      </c>
    </row>
    <row r="907" spans="58:59">
      <c r="BF907" s="298">
        <v>904</v>
      </c>
      <c r="BG907" s="32" t="s">
        <v>1731</v>
      </c>
    </row>
    <row r="908" spans="58:59">
      <c r="BF908" s="298">
        <v>905</v>
      </c>
      <c r="BG908" s="32" t="s">
        <v>1732</v>
      </c>
    </row>
    <row r="909" spans="58:59">
      <c r="BF909" s="298">
        <v>906</v>
      </c>
      <c r="BG909" s="32" t="s">
        <v>1733</v>
      </c>
    </row>
    <row r="910" spans="58:59">
      <c r="BF910" s="298">
        <v>907</v>
      </c>
      <c r="BG910" s="32" t="s">
        <v>1734</v>
      </c>
    </row>
    <row r="911" spans="58:59">
      <c r="BF911" s="298">
        <v>908</v>
      </c>
      <c r="BG911" s="32" t="s">
        <v>1735</v>
      </c>
    </row>
    <row r="912" spans="58:59">
      <c r="BF912" s="298">
        <v>909</v>
      </c>
      <c r="BG912" s="32" t="s">
        <v>1736</v>
      </c>
    </row>
    <row r="913" spans="58:59">
      <c r="BF913" s="298">
        <v>910</v>
      </c>
      <c r="BG913" s="32" t="s">
        <v>1737</v>
      </c>
    </row>
    <row r="914" spans="58:59">
      <c r="BF914" s="298">
        <v>911</v>
      </c>
      <c r="BG914" s="32" t="s">
        <v>1738</v>
      </c>
    </row>
    <row r="915" spans="58:59">
      <c r="BF915" s="298">
        <v>912</v>
      </c>
      <c r="BG915" s="32" t="s">
        <v>1739</v>
      </c>
    </row>
    <row r="916" spans="58:59">
      <c r="BF916" s="298">
        <v>913</v>
      </c>
      <c r="BG916" s="32" t="s">
        <v>1740</v>
      </c>
    </row>
    <row r="917" spans="58:59">
      <c r="BF917" s="298">
        <v>914</v>
      </c>
      <c r="BG917" s="32" t="s">
        <v>1741</v>
      </c>
    </row>
    <row r="918" spans="58:59">
      <c r="BF918" s="298">
        <v>915</v>
      </c>
      <c r="BG918" s="32" t="s">
        <v>1742</v>
      </c>
    </row>
    <row r="919" spans="58:59">
      <c r="BF919" s="298">
        <v>916</v>
      </c>
      <c r="BG919" s="32" t="s">
        <v>1743</v>
      </c>
    </row>
    <row r="920" spans="58:59">
      <c r="BF920" s="298">
        <v>917</v>
      </c>
      <c r="BG920" s="32" t="s">
        <v>1744</v>
      </c>
    </row>
    <row r="921" spans="58:59">
      <c r="BF921" s="298">
        <v>918</v>
      </c>
      <c r="BG921" s="32" t="s">
        <v>1745</v>
      </c>
    </row>
    <row r="922" spans="58:59">
      <c r="BF922" s="298">
        <v>919</v>
      </c>
      <c r="BG922" s="32" t="s">
        <v>1746</v>
      </c>
    </row>
    <row r="923" spans="58:59">
      <c r="BF923" s="298">
        <v>920</v>
      </c>
      <c r="BG923" s="32" t="s">
        <v>1747</v>
      </c>
    </row>
    <row r="924" spans="58:59">
      <c r="BF924" s="298">
        <v>921</v>
      </c>
      <c r="BG924" s="32" t="s">
        <v>1748</v>
      </c>
    </row>
    <row r="925" spans="58:59">
      <c r="BF925" s="298">
        <v>922</v>
      </c>
      <c r="BG925" s="32" t="s">
        <v>1749</v>
      </c>
    </row>
    <row r="926" spans="58:59">
      <c r="BF926" s="298">
        <v>923</v>
      </c>
      <c r="BG926" s="32" t="s">
        <v>1750</v>
      </c>
    </row>
    <row r="927" spans="58:59">
      <c r="BF927" s="298">
        <v>924</v>
      </c>
      <c r="BG927" s="32" t="s">
        <v>1751</v>
      </c>
    </row>
    <row r="928" spans="58:59">
      <c r="BF928" s="298">
        <v>925</v>
      </c>
      <c r="BG928" s="32" t="s">
        <v>1752</v>
      </c>
    </row>
    <row r="929" spans="58:59">
      <c r="BF929" s="298">
        <v>926</v>
      </c>
      <c r="BG929" s="32" t="s">
        <v>1753</v>
      </c>
    </row>
    <row r="930" spans="58:59">
      <c r="BF930" s="298">
        <v>927</v>
      </c>
      <c r="BG930" s="32" t="s">
        <v>1754</v>
      </c>
    </row>
    <row r="931" spans="58:59">
      <c r="BF931" s="298">
        <v>928</v>
      </c>
      <c r="BG931" s="32" t="s">
        <v>1755</v>
      </c>
    </row>
    <row r="932" spans="58:59">
      <c r="BF932" s="298">
        <v>929</v>
      </c>
      <c r="BG932" s="32" t="s">
        <v>1756</v>
      </c>
    </row>
    <row r="933" spans="58:59">
      <c r="BF933" s="298">
        <v>930</v>
      </c>
      <c r="BG933" s="32" t="s">
        <v>1757</v>
      </c>
    </row>
    <row r="934" spans="58:59">
      <c r="BF934" s="298">
        <v>931</v>
      </c>
      <c r="BG934" s="32" t="s">
        <v>1758</v>
      </c>
    </row>
    <row r="935" spans="58:59">
      <c r="BF935" s="298">
        <v>932</v>
      </c>
      <c r="BG935" s="32" t="s">
        <v>1759</v>
      </c>
    </row>
    <row r="936" spans="58:59">
      <c r="BF936" s="298">
        <v>933</v>
      </c>
      <c r="BG936" s="32" t="s">
        <v>1760</v>
      </c>
    </row>
    <row r="937" spans="58:59">
      <c r="BF937" s="298">
        <v>934</v>
      </c>
      <c r="BG937" s="32" t="s">
        <v>1761</v>
      </c>
    </row>
    <row r="938" spans="58:59">
      <c r="BF938" s="298">
        <v>935</v>
      </c>
      <c r="BG938" s="32" t="s">
        <v>1762</v>
      </c>
    </row>
    <row r="939" spans="58:59">
      <c r="BF939" s="298">
        <v>936</v>
      </c>
      <c r="BG939" s="32" t="s">
        <v>1763</v>
      </c>
    </row>
    <row r="940" spans="58:59">
      <c r="BF940" s="298">
        <v>937</v>
      </c>
      <c r="BG940" s="32" t="s">
        <v>1764</v>
      </c>
    </row>
    <row r="941" spans="58:59">
      <c r="BF941" s="298">
        <v>938</v>
      </c>
      <c r="BG941" s="32" t="s">
        <v>1765</v>
      </c>
    </row>
    <row r="942" spans="58:59">
      <c r="BF942" s="298">
        <v>939</v>
      </c>
      <c r="BG942" s="32" t="s">
        <v>1766</v>
      </c>
    </row>
    <row r="943" spans="58:59">
      <c r="BF943" s="298">
        <v>940</v>
      </c>
      <c r="BG943" s="32" t="s">
        <v>1767</v>
      </c>
    </row>
    <row r="944" spans="58:59">
      <c r="BF944" s="298">
        <v>941</v>
      </c>
      <c r="BG944" s="32" t="s">
        <v>1768</v>
      </c>
    </row>
    <row r="945" spans="58:59">
      <c r="BF945" s="298">
        <v>942</v>
      </c>
      <c r="BG945" s="32" t="s">
        <v>1769</v>
      </c>
    </row>
    <row r="946" spans="58:59">
      <c r="BF946" s="298">
        <v>943</v>
      </c>
      <c r="BG946" s="32" t="s">
        <v>1770</v>
      </c>
    </row>
    <row r="947" spans="58:59">
      <c r="BF947" s="298">
        <v>944</v>
      </c>
      <c r="BG947" s="32" t="s">
        <v>1771</v>
      </c>
    </row>
    <row r="948" spans="58:59">
      <c r="BF948" s="298">
        <v>945</v>
      </c>
      <c r="BG948" s="32" t="s">
        <v>1772</v>
      </c>
    </row>
    <row r="949" spans="58:59">
      <c r="BF949" s="298">
        <v>946</v>
      </c>
      <c r="BG949" s="32" t="s">
        <v>1773</v>
      </c>
    </row>
    <row r="950" spans="58:59">
      <c r="BF950" s="298">
        <v>947</v>
      </c>
      <c r="BG950" s="32" t="s">
        <v>1774</v>
      </c>
    </row>
    <row r="951" spans="58:59">
      <c r="BF951" s="298">
        <v>948</v>
      </c>
      <c r="BG951" s="32" t="s">
        <v>1775</v>
      </c>
    </row>
    <row r="952" spans="58:59">
      <c r="BF952" s="298">
        <v>949</v>
      </c>
      <c r="BG952" s="32" t="s">
        <v>1776</v>
      </c>
    </row>
    <row r="953" spans="58:59">
      <c r="BF953" s="298">
        <v>950</v>
      </c>
      <c r="BG953" s="32" t="s">
        <v>1777</v>
      </c>
    </row>
    <row r="954" spans="58:59">
      <c r="BF954" s="298">
        <v>951</v>
      </c>
      <c r="BG954" s="32" t="s">
        <v>1778</v>
      </c>
    </row>
    <row r="955" spans="58:59">
      <c r="BF955" s="298">
        <v>952</v>
      </c>
      <c r="BG955" s="32" t="s">
        <v>1779</v>
      </c>
    </row>
    <row r="956" spans="58:59">
      <c r="BF956" s="298">
        <v>953</v>
      </c>
      <c r="BG956" s="32" t="s">
        <v>1780</v>
      </c>
    </row>
    <row r="957" spans="58:59">
      <c r="BF957" s="298">
        <v>954</v>
      </c>
      <c r="BG957" s="32" t="s">
        <v>1781</v>
      </c>
    </row>
    <row r="958" spans="58:59">
      <c r="BF958" s="298">
        <v>955</v>
      </c>
      <c r="BG958" s="32" t="s">
        <v>1782</v>
      </c>
    </row>
    <row r="959" spans="58:59">
      <c r="BF959" s="298">
        <v>956</v>
      </c>
      <c r="BG959" s="32" t="s">
        <v>1783</v>
      </c>
    </row>
    <row r="960" spans="58:59">
      <c r="BF960" s="298">
        <v>957</v>
      </c>
      <c r="BG960" s="32" t="s">
        <v>1784</v>
      </c>
    </row>
    <row r="961" spans="58:59">
      <c r="BF961" s="298">
        <v>958</v>
      </c>
      <c r="BG961" s="32" t="s">
        <v>1785</v>
      </c>
    </row>
    <row r="962" spans="58:59">
      <c r="BF962" s="298">
        <v>959</v>
      </c>
      <c r="BG962" s="32" t="s">
        <v>1786</v>
      </c>
    </row>
    <row r="963" spans="58:59">
      <c r="BF963" s="298">
        <v>960</v>
      </c>
      <c r="BG963" s="32" t="s">
        <v>1787</v>
      </c>
    </row>
    <row r="964" spans="58:59">
      <c r="BF964" s="298">
        <v>961</v>
      </c>
      <c r="BG964" s="32" t="s">
        <v>1788</v>
      </c>
    </row>
    <row r="965" spans="58:59">
      <c r="BF965" s="298">
        <v>962</v>
      </c>
      <c r="BG965" s="32" t="s">
        <v>1789</v>
      </c>
    </row>
    <row r="966" spans="58:59">
      <c r="BF966" s="298">
        <v>963</v>
      </c>
      <c r="BG966" s="32" t="s">
        <v>1790</v>
      </c>
    </row>
    <row r="967" spans="58:59">
      <c r="BF967" s="298">
        <v>964</v>
      </c>
      <c r="BG967" s="32" t="s">
        <v>1791</v>
      </c>
    </row>
    <row r="968" spans="58:59">
      <c r="BF968" s="298">
        <v>965</v>
      </c>
      <c r="BG968" s="32" t="s">
        <v>1792</v>
      </c>
    </row>
    <row r="969" spans="58:59">
      <c r="BF969" s="298">
        <v>966</v>
      </c>
      <c r="BG969" s="32" t="s">
        <v>1793</v>
      </c>
    </row>
    <row r="970" spans="58:59">
      <c r="BF970" s="298">
        <v>967</v>
      </c>
      <c r="BG970" s="32" t="s">
        <v>1794</v>
      </c>
    </row>
    <row r="971" spans="58:59">
      <c r="BF971" s="298">
        <v>968</v>
      </c>
      <c r="BG971" s="32" t="s">
        <v>1795</v>
      </c>
    </row>
    <row r="972" spans="58:59">
      <c r="BF972" s="298">
        <v>969</v>
      </c>
      <c r="BG972" s="32" t="s">
        <v>1796</v>
      </c>
    </row>
    <row r="973" spans="58:59">
      <c r="BF973" s="298">
        <v>970</v>
      </c>
      <c r="BG973" s="32" t="s">
        <v>1797</v>
      </c>
    </row>
    <row r="974" spans="58:59">
      <c r="BF974" s="298">
        <v>971</v>
      </c>
      <c r="BG974" s="32" t="s">
        <v>1798</v>
      </c>
    </row>
    <row r="975" spans="58:59">
      <c r="BF975" s="298">
        <v>972</v>
      </c>
      <c r="BG975" s="32" t="s">
        <v>1799</v>
      </c>
    </row>
    <row r="976" spans="58:59">
      <c r="BF976" s="298">
        <v>973</v>
      </c>
      <c r="BG976" s="32" t="s">
        <v>1800</v>
      </c>
    </row>
    <row r="977" spans="58:59">
      <c r="BF977" s="298">
        <v>974</v>
      </c>
      <c r="BG977" s="32" t="s">
        <v>1801</v>
      </c>
    </row>
    <row r="978" spans="58:59">
      <c r="BF978" s="298">
        <v>975</v>
      </c>
      <c r="BG978" s="32" t="s">
        <v>1802</v>
      </c>
    </row>
    <row r="979" spans="58:59">
      <c r="BF979" s="298">
        <v>976</v>
      </c>
      <c r="BG979" s="32" t="s">
        <v>1803</v>
      </c>
    </row>
    <row r="980" spans="58:59">
      <c r="BF980" s="298">
        <v>977</v>
      </c>
      <c r="BG980" s="32" t="s">
        <v>1804</v>
      </c>
    </row>
    <row r="981" spans="58:59">
      <c r="BF981" s="298">
        <v>978</v>
      </c>
      <c r="BG981" s="32" t="s">
        <v>1805</v>
      </c>
    </row>
    <row r="982" spans="58:59">
      <c r="BF982" s="298">
        <v>979</v>
      </c>
      <c r="BG982" s="32" t="s">
        <v>1806</v>
      </c>
    </row>
    <row r="983" spans="58:59">
      <c r="BF983" s="298">
        <v>980</v>
      </c>
      <c r="BG983" s="32" t="s">
        <v>1807</v>
      </c>
    </row>
    <row r="984" spans="58:59">
      <c r="BF984" s="298">
        <v>981</v>
      </c>
      <c r="BG984" s="32" t="s">
        <v>1808</v>
      </c>
    </row>
    <row r="985" spans="58:59">
      <c r="BF985" s="298">
        <v>982</v>
      </c>
      <c r="BG985" s="32" t="s">
        <v>1809</v>
      </c>
    </row>
    <row r="986" spans="58:59">
      <c r="BF986" s="298">
        <v>983</v>
      </c>
      <c r="BG986" s="32" t="s">
        <v>1810</v>
      </c>
    </row>
    <row r="987" spans="58:59">
      <c r="BF987" s="298">
        <v>984</v>
      </c>
      <c r="BG987" s="32" t="s">
        <v>1811</v>
      </c>
    </row>
    <row r="988" spans="58:59">
      <c r="BF988" s="298">
        <v>985</v>
      </c>
      <c r="BG988" s="32" t="s">
        <v>1812</v>
      </c>
    </row>
    <row r="989" spans="58:59">
      <c r="BF989" s="298">
        <v>986</v>
      </c>
      <c r="BG989" s="32" t="s">
        <v>1813</v>
      </c>
    </row>
    <row r="990" spans="58:59">
      <c r="BF990" s="298">
        <v>987</v>
      </c>
      <c r="BG990" s="32" t="s">
        <v>1814</v>
      </c>
    </row>
    <row r="991" spans="58:59">
      <c r="BF991" s="298">
        <v>988</v>
      </c>
      <c r="BG991" s="32" t="s">
        <v>1815</v>
      </c>
    </row>
    <row r="992" spans="58:59">
      <c r="BF992" s="298">
        <v>989</v>
      </c>
      <c r="BG992" s="32" t="s">
        <v>1816</v>
      </c>
    </row>
    <row r="993" spans="58:59">
      <c r="BF993" s="298">
        <v>990</v>
      </c>
      <c r="BG993" s="32" t="s">
        <v>1817</v>
      </c>
    </row>
    <row r="994" spans="58:59">
      <c r="BF994" s="298">
        <v>991</v>
      </c>
      <c r="BG994" s="32" t="s">
        <v>1818</v>
      </c>
    </row>
    <row r="995" spans="58:59">
      <c r="BF995" s="298">
        <v>992</v>
      </c>
      <c r="BG995" s="32" t="s">
        <v>1819</v>
      </c>
    </row>
    <row r="996" spans="58:59">
      <c r="BF996" s="298">
        <v>993</v>
      </c>
      <c r="BG996" s="32" t="s">
        <v>1820</v>
      </c>
    </row>
    <row r="997" spans="58:59">
      <c r="BF997" s="298">
        <v>994</v>
      </c>
      <c r="BG997" s="32" t="s">
        <v>1821</v>
      </c>
    </row>
    <row r="998" spans="58:59">
      <c r="BF998" s="298">
        <v>995</v>
      </c>
      <c r="BG998" s="32" t="s">
        <v>1822</v>
      </c>
    </row>
    <row r="999" spans="58:59">
      <c r="BF999" s="298">
        <v>996</v>
      </c>
      <c r="BG999" s="32" t="s">
        <v>1823</v>
      </c>
    </row>
    <row r="1000" spans="58:59">
      <c r="BF1000" s="298">
        <v>997</v>
      </c>
      <c r="BG1000" s="32" t="s">
        <v>1824</v>
      </c>
    </row>
    <row r="1001" spans="58:59">
      <c r="BF1001" s="298">
        <v>998</v>
      </c>
      <c r="BG1001" s="32" t="s">
        <v>1825</v>
      </c>
    </row>
    <row r="1002" spans="58:59">
      <c r="BF1002" s="298">
        <v>999</v>
      </c>
      <c r="BG1002" s="32" t="s">
        <v>1826</v>
      </c>
    </row>
    <row r="1003" spans="58:59">
      <c r="BF1003" s="298">
        <v>1000</v>
      </c>
      <c r="BG1003" s="32" t="s">
        <v>1827</v>
      </c>
    </row>
    <row r="1004" spans="58:59">
      <c r="BF1004" s="298"/>
    </row>
    <row r="1005" spans="58:59">
      <c r="BF1005" s="298"/>
    </row>
    <row r="1006" spans="58:59">
      <c r="BF1006" s="298"/>
    </row>
    <row r="1007" spans="58:59">
      <c r="BF1007" s="298"/>
    </row>
    <row r="1008" spans="58:59">
      <c r="BF1008" s="298"/>
    </row>
    <row r="1009" spans="58:58">
      <c r="BF1009" s="298"/>
    </row>
    <row r="1010" spans="58:58">
      <c r="BF1010" s="298"/>
    </row>
    <row r="1011" spans="58:58">
      <c r="BF1011" s="298"/>
    </row>
    <row r="1012" spans="58:58">
      <c r="BF1012" s="298"/>
    </row>
    <row r="1013" spans="58:58">
      <c r="BF1013" s="298"/>
    </row>
    <row r="1014" spans="58:58">
      <c r="BF1014" s="298"/>
    </row>
    <row r="1015" spans="58:58">
      <c r="BF1015" s="298"/>
    </row>
    <row r="1016" spans="58:58">
      <c r="BF1016" s="298"/>
    </row>
    <row r="1017" spans="58:58">
      <c r="BF1017" s="298"/>
    </row>
    <row r="1018" spans="58:58">
      <c r="BF1018" s="298"/>
    </row>
    <row r="1019" spans="58:58">
      <c r="BF1019" s="298"/>
    </row>
    <row r="1020" spans="58:58">
      <c r="BF1020" s="298"/>
    </row>
    <row r="1021" spans="58:58">
      <c r="BF1021" s="298"/>
    </row>
    <row r="1022" spans="58:58">
      <c r="BF1022" s="298"/>
    </row>
    <row r="1023" spans="58:58">
      <c r="BF1023" s="298"/>
    </row>
    <row r="1024" spans="58:58">
      <c r="BF1024" s="298"/>
    </row>
    <row r="1025" spans="58:58">
      <c r="BF1025" s="298"/>
    </row>
    <row r="1026" spans="58:58">
      <c r="BF1026" s="298"/>
    </row>
    <row r="1027" spans="58:58">
      <c r="BF1027" s="298"/>
    </row>
    <row r="1028" spans="58:58">
      <c r="BF1028" s="298"/>
    </row>
    <row r="1029" spans="58:58">
      <c r="BF1029" s="298"/>
    </row>
    <row r="1030" spans="58:58">
      <c r="BF1030" s="298"/>
    </row>
    <row r="1031" spans="58:58">
      <c r="BF1031" s="298"/>
    </row>
    <row r="1032" spans="58:58">
      <c r="BF1032" s="298"/>
    </row>
    <row r="1033" spans="58:58">
      <c r="BF1033" s="298"/>
    </row>
    <row r="1034" spans="58:58">
      <c r="BF1034" s="298"/>
    </row>
    <row r="1035" spans="58:58">
      <c r="BF1035" s="298"/>
    </row>
    <row r="1036" spans="58:58">
      <c r="BF1036" s="298"/>
    </row>
    <row r="1037" spans="58:58">
      <c r="BF1037" s="298"/>
    </row>
    <row r="1038" spans="58:58">
      <c r="BF1038" s="298"/>
    </row>
    <row r="1039" spans="58:58">
      <c r="BF1039" s="298"/>
    </row>
    <row r="1040" spans="58:58">
      <c r="BF1040" s="298"/>
    </row>
    <row r="1041" spans="58:58">
      <c r="BF1041" s="298"/>
    </row>
    <row r="1042" spans="58:58">
      <c r="BF1042" s="298"/>
    </row>
    <row r="1043" spans="58:58">
      <c r="BF1043" s="298"/>
    </row>
    <row r="1044" spans="58:58">
      <c r="BF1044" s="298"/>
    </row>
    <row r="1045" spans="58:58">
      <c r="BF1045" s="298"/>
    </row>
    <row r="1046" spans="58:58">
      <c r="BF1046" s="298"/>
    </row>
    <row r="1047" spans="58:58">
      <c r="BF1047" s="298"/>
    </row>
    <row r="1048" spans="58:58">
      <c r="BF1048" s="298"/>
    </row>
    <row r="1049" spans="58:58">
      <c r="BF1049" s="298"/>
    </row>
    <row r="1050" spans="58:58">
      <c r="BF1050" s="298"/>
    </row>
    <row r="1051" spans="58:58">
      <c r="BF1051" s="298"/>
    </row>
    <row r="1052" spans="58:58">
      <c r="BF1052" s="298"/>
    </row>
    <row r="1053" spans="58:58">
      <c r="BF1053" s="298"/>
    </row>
    <row r="1054" spans="58:58">
      <c r="BF1054" s="298"/>
    </row>
    <row r="1055" spans="58:58">
      <c r="BF1055" s="298"/>
    </row>
    <row r="1056" spans="58:58">
      <c r="BF1056" s="298"/>
    </row>
    <row r="1057" spans="58:58">
      <c r="BF1057" s="298"/>
    </row>
    <row r="1058" spans="58:58">
      <c r="BF1058" s="298"/>
    </row>
    <row r="1059" spans="58:58">
      <c r="BF1059" s="298"/>
    </row>
    <row r="1060" spans="58:58">
      <c r="BF1060" s="298"/>
    </row>
    <row r="1061" spans="58:58">
      <c r="BF1061" s="298"/>
    </row>
    <row r="1062" spans="58:58">
      <c r="BF1062" s="298"/>
    </row>
    <row r="1063" spans="58:58">
      <c r="BF1063" s="298"/>
    </row>
    <row r="1064" spans="58:58">
      <c r="BF1064" s="298"/>
    </row>
    <row r="1065" spans="58:58">
      <c r="BF1065" s="298"/>
    </row>
    <row r="1066" spans="58:58">
      <c r="BF1066" s="298"/>
    </row>
    <row r="1067" spans="58:58">
      <c r="BF1067" s="298"/>
    </row>
    <row r="1068" spans="58:58">
      <c r="BF1068" s="298"/>
    </row>
    <row r="1069" spans="58:58">
      <c r="BF1069" s="298"/>
    </row>
    <row r="1070" spans="58:58">
      <c r="BF1070" s="298"/>
    </row>
    <row r="1071" spans="58:58">
      <c r="BF1071" s="298"/>
    </row>
    <row r="1072" spans="58:58">
      <c r="BF1072" s="298"/>
    </row>
    <row r="1073" spans="58:58">
      <c r="BF1073" s="298"/>
    </row>
    <row r="1074" spans="58:58">
      <c r="BF1074" s="298"/>
    </row>
    <row r="1075" spans="58:58">
      <c r="BF1075" s="298"/>
    </row>
    <row r="1076" spans="58:58">
      <c r="BF1076" s="298"/>
    </row>
    <row r="1077" spans="58:58">
      <c r="BF1077" s="298"/>
    </row>
    <row r="1078" spans="58:58">
      <c r="BF1078" s="298"/>
    </row>
    <row r="1079" spans="58:58">
      <c r="BF1079" s="298"/>
    </row>
    <row r="1080" spans="58:58">
      <c r="BF1080" s="298"/>
    </row>
    <row r="1081" spans="58:58">
      <c r="BF1081" s="298"/>
    </row>
    <row r="1082" spans="58:58">
      <c r="BF1082" s="298"/>
    </row>
    <row r="1083" spans="58:58">
      <c r="BF1083" s="298"/>
    </row>
    <row r="1084" spans="58:58">
      <c r="BF1084" s="298"/>
    </row>
    <row r="1085" spans="58:58">
      <c r="BF1085" s="298"/>
    </row>
    <row r="1086" spans="58:58">
      <c r="BF1086" s="298"/>
    </row>
    <row r="1087" spans="58:58">
      <c r="BF1087" s="298"/>
    </row>
    <row r="1088" spans="58:58">
      <c r="BF1088" s="298"/>
    </row>
    <row r="1089" spans="58:58">
      <c r="BF1089" s="298"/>
    </row>
    <row r="1090" spans="58:58">
      <c r="BF1090" s="298"/>
    </row>
    <row r="1091" spans="58:58">
      <c r="BF1091" s="298"/>
    </row>
    <row r="1092" spans="58:58">
      <c r="BF1092" s="298"/>
    </row>
    <row r="1093" spans="58:58">
      <c r="BF1093" s="298"/>
    </row>
    <row r="1094" spans="58:58">
      <c r="BF1094" s="298"/>
    </row>
    <row r="1095" spans="58:58">
      <c r="BF1095" s="298"/>
    </row>
    <row r="1096" spans="58:58">
      <c r="BF1096" s="298"/>
    </row>
    <row r="1097" spans="58:58">
      <c r="BF1097" s="298"/>
    </row>
    <row r="1098" spans="58:58">
      <c r="BF1098" s="298"/>
    </row>
    <row r="1099" spans="58:58">
      <c r="BF1099" s="298"/>
    </row>
    <row r="1100" spans="58:58">
      <c r="BF1100" s="298"/>
    </row>
    <row r="1101" spans="58:58">
      <c r="BF1101" s="298"/>
    </row>
    <row r="1102" spans="58:58">
      <c r="BF1102" s="298"/>
    </row>
    <row r="1103" spans="58:58">
      <c r="BF1103" s="298"/>
    </row>
    <row r="1104" spans="58:58">
      <c r="BF1104" s="298"/>
    </row>
    <row r="1105" spans="58:58">
      <c r="BF1105" s="298"/>
    </row>
    <row r="1106" spans="58:58">
      <c r="BF1106" s="298"/>
    </row>
    <row r="1107" spans="58:58">
      <c r="BF1107" s="298"/>
    </row>
    <row r="1108" spans="58:58">
      <c r="BF1108" s="298"/>
    </row>
    <row r="1109" spans="58:58">
      <c r="BF1109" s="298"/>
    </row>
    <row r="1110" spans="58:58">
      <c r="BF1110" s="298"/>
    </row>
    <row r="1111" spans="58:58">
      <c r="BF1111" s="298"/>
    </row>
    <row r="1112" spans="58:58">
      <c r="BF1112" s="298"/>
    </row>
    <row r="1113" spans="58:58">
      <c r="BF1113" s="298"/>
    </row>
    <row r="1114" spans="58:58">
      <c r="BF1114" s="298"/>
    </row>
    <row r="1115" spans="58:58">
      <c r="BF1115" s="298"/>
    </row>
    <row r="1116" spans="58:58">
      <c r="BF1116" s="298"/>
    </row>
    <row r="1117" spans="58:58">
      <c r="BF1117" s="298"/>
    </row>
    <row r="1118" spans="58:58">
      <c r="BF1118" s="298"/>
    </row>
    <row r="1119" spans="58:58">
      <c r="BF1119" s="298"/>
    </row>
    <row r="1120" spans="58:58">
      <c r="BF1120" s="298"/>
    </row>
    <row r="1121" spans="58:58">
      <c r="BF1121" s="298"/>
    </row>
    <row r="1122" spans="58:58">
      <c r="BF1122" s="298"/>
    </row>
    <row r="1123" spans="58:58">
      <c r="BF1123" s="298"/>
    </row>
    <row r="1124" spans="58:58">
      <c r="BF1124" s="298"/>
    </row>
    <row r="1125" spans="58:58">
      <c r="BF1125" s="298"/>
    </row>
    <row r="1126" spans="58:58">
      <c r="BF1126" s="298"/>
    </row>
    <row r="1127" spans="58:58">
      <c r="BF1127" s="298"/>
    </row>
    <row r="1128" spans="58:58">
      <c r="BF1128" s="298"/>
    </row>
    <row r="1129" spans="58:58">
      <c r="BF1129" s="298"/>
    </row>
    <row r="1130" spans="58:58">
      <c r="BF1130" s="298"/>
    </row>
    <row r="1131" spans="58:58">
      <c r="BF1131" s="298"/>
    </row>
    <row r="1132" spans="58:58">
      <c r="BF1132" s="298"/>
    </row>
    <row r="1133" spans="58:58">
      <c r="BF1133" s="298"/>
    </row>
    <row r="1134" spans="58:58">
      <c r="BF1134" s="298"/>
    </row>
    <row r="1135" spans="58:58">
      <c r="BF1135" s="298"/>
    </row>
    <row r="1136" spans="58:58">
      <c r="BF1136" s="298"/>
    </row>
    <row r="1137" spans="58:58">
      <c r="BF1137" s="298"/>
    </row>
    <row r="1138" spans="58:58">
      <c r="BF1138" s="298"/>
    </row>
    <row r="1139" spans="58:58">
      <c r="BF1139" s="298"/>
    </row>
    <row r="1140" spans="58:58">
      <c r="BF1140" s="298"/>
    </row>
    <row r="1141" spans="58:58">
      <c r="BF1141" s="298"/>
    </row>
    <row r="1142" spans="58:58">
      <c r="BF1142" s="298"/>
    </row>
    <row r="1143" spans="58:58">
      <c r="BF1143" s="298"/>
    </row>
    <row r="1144" spans="58:58">
      <c r="BF1144" s="298"/>
    </row>
    <row r="1145" spans="58:58">
      <c r="BF1145" s="298"/>
    </row>
    <row r="1146" spans="58:58">
      <c r="BF1146" s="298"/>
    </row>
    <row r="1147" spans="58:58">
      <c r="BF1147" s="298"/>
    </row>
    <row r="1148" spans="58:58">
      <c r="BF1148" s="298"/>
    </row>
    <row r="1149" spans="58:58">
      <c r="BF1149" s="298"/>
    </row>
    <row r="1150" spans="58:58">
      <c r="BF1150" s="298"/>
    </row>
    <row r="1151" spans="58:58">
      <c r="BF1151" s="298"/>
    </row>
    <row r="1152" spans="58:58">
      <c r="BF1152" s="298"/>
    </row>
    <row r="1153" spans="58:58">
      <c r="BF1153" s="298"/>
    </row>
    <row r="1154" spans="58:58">
      <c r="BF1154" s="298"/>
    </row>
    <row r="1155" spans="58:58">
      <c r="BF1155" s="298"/>
    </row>
    <row r="1156" spans="58:58">
      <c r="BF1156" s="298"/>
    </row>
    <row r="1157" spans="58:58">
      <c r="BF1157" s="298"/>
    </row>
    <row r="1158" spans="58:58">
      <c r="BF1158" s="298"/>
    </row>
    <row r="1159" spans="58:58">
      <c r="BF1159" s="298"/>
    </row>
    <row r="1160" spans="58:58">
      <c r="BF1160" s="298"/>
    </row>
    <row r="1161" spans="58:58">
      <c r="BF1161" s="298"/>
    </row>
    <row r="1162" spans="58:58">
      <c r="BF1162" s="298"/>
    </row>
    <row r="1163" spans="58:58">
      <c r="BF1163" s="298"/>
    </row>
    <row r="1164" spans="58:58">
      <c r="BF1164" s="298"/>
    </row>
    <row r="1165" spans="58:58">
      <c r="BF1165" s="298"/>
    </row>
    <row r="1166" spans="58:58">
      <c r="BF1166" s="298"/>
    </row>
    <row r="1167" spans="58:58">
      <c r="BF1167" s="298"/>
    </row>
    <row r="1168" spans="58:58">
      <c r="BF1168" s="298"/>
    </row>
    <row r="1169" spans="58:58">
      <c r="BF1169" s="298"/>
    </row>
    <row r="1170" spans="58:58">
      <c r="BF1170" s="298"/>
    </row>
    <row r="1171" spans="58:58">
      <c r="BF1171" s="298"/>
    </row>
    <row r="1172" spans="58:58">
      <c r="BF1172" s="298"/>
    </row>
    <row r="1173" spans="58:58">
      <c r="BF1173" s="298"/>
    </row>
    <row r="1174" spans="58:58">
      <c r="BF1174" s="298"/>
    </row>
    <row r="1175" spans="58:58">
      <c r="BF1175" s="298"/>
    </row>
    <row r="1176" spans="58:58">
      <c r="BF1176" s="298"/>
    </row>
    <row r="1177" spans="58:58">
      <c r="BF1177" s="298"/>
    </row>
    <row r="1178" spans="58:58">
      <c r="BF1178" s="298"/>
    </row>
    <row r="1179" spans="58:58">
      <c r="BF1179" s="298"/>
    </row>
    <row r="1180" spans="58:58">
      <c r="BF1180" s="298"/>
    </row>
    <row r="1181" spans="58:58">
      <c r="BF1181" s="298"/>
    </row>
    <row r="1182" spans="58:58">
      <c r="BF1182" s="298"/>
    </row>
    <row r="1183" spans="58:58">
      <c r="BF1183" s="298"/>
    </row>
    <row r="1184" spans="58:58">
      <c r="BF1184" s="298"/>
    </row>
    <row r="1185" spans="58:58">
      <c r="BF1185" s="298"/>
    </row>
    <row r="1186" spans="58:58">
      <c r="BF1186" s="298"/>
    </row>
    <row r="1187" spans="58:58">
      <c r="BF1187" s="298"/>
    </row>
    <row r="1188" spans="58:58">
      <c r="BF1188" s="298"/>
    </row>
    <row r="1189" spans="58:58">
      <c r="BF1189" s="298"/>
    </row>
    <row r="1190" spans="58:58">
      <c r="BF1190" s="298"/>
    </row>
    <row r="1191" spans="58:58">
      <c r="BF1191" s="298"/>
    </row>
    <row r="1192" spans="58:58">
      <c r="BF1192" s="298"/>
    </row>
    <row r="1193" spans="58:58">
      <c r="BF1193" s="298"/>
    </row>
    <row r="1194" spans="58:58">
      <c r="BF1194" s="298"/>
    </row>
    <row r="1195" spans="58:58">
      <c r="BF1195" s="298"/>
    </row>
    <row r="1196" spans="58:58">
      <c r="BF1196" s="298"/>
    </row>
    <row r="1197" spans="58:58">
      <c r="BF1197" s="298"/>
    </row>
    <row r="1198" spans="58:58">
      <c r="BF1198" s="298"/>
    </row>
    <row r="1199" spans="58:58">
      <c r="BF1199" s="298"/>
    </row>
    <row r="1200" spans="58:58">
      <c r="BF1200" s="298"/>
    </row>
    <row r="1201" spans="58:58">
      <c r="BF1201" s="298"/>
    </row>
    <row r="1202" spans="58:58">
      <c r="BF1202" s="298"/>
    </row>
    <row r="1203" spans="58:58">
      <c r="BF1203" s="298"/>
    </row>
    <row r="1204" spans="58:58">
      <c r="BF1204" s="298"/>
    </row>
    <row r="1205" spans="58:58">
      <c r="BF1205" s="298"/>
    </row>
    <row r="1206" spans="58:58">
      <c r="BF1206" s="298"/>
    </row>
    <row r="1207" spans="58:58">
      <c r="BF1207" s="298"/>
    </row>
    <row r="1208" spans="58:58">
      <c r="BF1208" s="298"/>
    </row>
    <row r="1209" spans="58:58">
      <c r="BF1209" s="298"/>
    </row>
    <row r="1210" spans="58:58">
      <c r="BF1210" s="298"/>
    </row>
    <row r="1211" spans="58:58">
      <c r="BF1211" s="298"/>
    </row>
    <row r="1212" spans="58:58">
      <c r="BF1212" s="298"/>
    </row>
    <row r="1213" spans="58:58">
      <c r="BF1213" s="298"/>
    </row>
    <row r="1214" spans="58:58">
      <c r="BF1214" s="298"/>
    </row>
    <row r="1215" spans="58:58">
      <c r="BF1215" s="298"/>
    </row>
    <row r="1216" spans="58:58">
      <c r="BF1216" s="298"/>
    </row>
    <row r="1217" spans="58:58">
      <c r="BF1217" s="298"/>
    </row>
    <row r="1218" spans="58:58">
      <c r="BF1218" s="298"/>
    </row>
    <row r="1219" spans="58:58">
      <c r="BF1219" s="298"/>
    </row>
    <row r="1220" spans="58:58">
      <c r="BF1220" s="298"/>
    </row>
    <row r="1221" spans="58:58">
      <c r="BF1221" s="298"/>
    </row>
    <row r="1222" spans="58:58">
      <c r="BF1222" s="298"/>
    </row>
    <row r="1223" spans="58:58">
      <c r="BF1223" s="298"/>
    </row>
    <row r="1224" spans="58:58">
      <c r="BF1224" s="298"/>
    </row>
    <row r="1225" spans="58:58">
      <c r="BF1225" s="298"/>
    </row>
    <row r="1226" spans="58:58">
      <c r="BF1226" s="298"/>
    </row>
    <row r="1227" spans="58:58">
      <c r="BF1227" s="298"/>
    </row>
    <row r="1228" spans="58:58">
      <c r="BF1228" s="298"/>
    </row>
    <row r="1229" spans="58:58">
      <c r="BF1229" s="298"/>
    </row>
    <row r="1230" spans="58:58">
      <c r="BF1230" s="298"/>
    </row>
    <row r="1231" spans="58:58">
      <c r="BF1231" s="298"/>
    </row>
    <row r="1232" spans="58:58">
      <c r="BF1232" s="298"/>
    </row>
    <row r="1233" spans="58:58">
      <c r="BF1233" s="298"/>
    </row>
    <row r="1234" spans="58:58">
      <c r="BF1234" s="298"/>
    </row>
    <row r="1235" spans="58:58">
      <c r="BF1235" s="298"/>
    </row>
    <row r="1236" spans="58:58">
      <c r="BF1236" s="298"/>
    </row>
    <row r="1237" spans="58:58">
      <c r="BF1237" s="298"/>
    </row>
    <row r="1238" spans="58:58">
      <c r="BF1238" s="298"/>
    </row>
    <row r="1239" spans="58:58">
      <c r="BF1239" s="298"/>
    </row>
    <row r="1240" spans="58:58">
      <c r="BF1240" s="298"/>
    </row>
    <row r="1241" spans="58:58">
      <c r="BF1241" s="298"/>
    </row>
    <row r="1242" spans="58:58">
      <c r="BF1242" s="298"/>
    </row>
    <row r="1243" spans="58:58">
      <c r="BF1243" s="298"/>
    </row>
    <row r="1244" spans="58:58">
      <c r="BF1244" s="298"/>
    </row>
    <row r="1245" spans="58:58">
      <c r="BF1245" s="298"/>
    </row>
    <row r="1246" spans="58:58">
      <c r="BF1246" s="298"/>
    </row>
    <row r="1247" spans="58:58">
      <c r="BF1247" s="298"/>
    </row>
    <row r="1248" spans="58:58">
      <c r="BF1248" s="298"/>
    </row>
    <row r="1249" spans="58:58">
      <c r="BF1249" s="298"/>
    </row>
    <row r="1250" spans="58:58">
      <c r="BF1250" s="298"/>
    </row>
    <row r="1251" spans="58:58">
      <c r="BF1251" s="298"/>
    </row>
    <row r="1252" spans="58:58">
      <c r="BF1252" s="298"/>
    </row>
    <row r="1253" spans="58:58">
      <c r="BF1253" s="298"/>
    </row>
    <row r="1254" spans="58:58">
      <c r="BF1254" s="298"/>
    </row>
    <row r="1255" spans="58:58">
      <c r="BF1255" s="298"/>
    </row>
    <row r="1256" spans="58:58">
      <c r="BF1256" s="298"/>
    </row>
    <row r="1257" spans="58:58">
      <c r="BF1257" s="298"/>
    </row>
    <row r="1258" spans="58:58">
      <c r="BF1258" s="298"/>
    </row>
    <row r="1259" spans="58:58">
      <c r="BF1259" s="298"/>
    </row>
    <row r="1260" spans="58:58">
      <c r="BF1260" s="298"/>
    </row>
    <row r="1261" spans="58:58">
      <c r="BF1261" s="298"/>
    </row>
    <row r="1262" spans="58:58">
      <c r="BF1262" s="298"/>
    </row>
    <row r="1263" spans="58:58">
      <c r="BF1263" s="298"/>
    </row>
    <row r="1264" spans="58:58">
      <c r="BF1264" s="298"/>
    </row>
    <row r="1265" spans="58:58">
      <c r="BF1265" s="298"/>
    </row>
    <row r="1266" spans="58:58">
      <c r="BF1266" s="298"/>
    </row>
    <row r="1267" spans="58:58">
      <c r="BF1267" s="298"/>
    </row>
    <row r="1268" spans="58:58">
      <c r="BF1268" s="298"/>
    </row>
    <row r="1269" spans="58:58">
      <c r="BF1269" s="298"/>
    </row>
    <row r="1270" spans="58:58">
      <c r="BF1270" s="298"/>
    </row>
    <row r="1271" spans="58:58">
      <c r="BF1271" s="298"/>
    </row>
    <row r="1272" spans="58:58">
      <c r="BF1272" s="298"/>
    </row>
    <row r="1273" spans="58:58">
      <c r="BF1273" s="298"/>
    </row>
    <row r="1274" spans="58:58">
      <c r="BF1274" s="298"/>
    </row>
    <row r="1275" spans="58:58">
      <c r="BF1275" s="298"/>
    </row>
    <row r="1276" spans="58:58">
      <c r="BF1276" s="298"/>
    </row>
    <row r="1277" spans="58:58">
      <c r="BF1277" s="298"/>
    </row>
    <row r="1278" spans="58:58">
      <c r="BF1278" s="298"/>
    </row>
    <row r="1279" spans="58:58">
      <c r="BF1279" s="298"/>
    </row>
    <row r="1280" spans="58:58">
      <c r="BF1280" s="298"/>
    </row>
    <row r="1281" spans="58:58">
      <c r="BF1281" s="298"/>
    </row>
    <row r="1282" spans="58:58">
      <c r="BF1282" s="298"/>
    </row>
    <row r="1283" spans="58:58">
      <c r="BF1283" s="298"/>
    </row>
    <row r="1284" spans="58:58">
      <c r="BF1284" s="298"/>
    </row>
    <row r="1285" spans="58:58">
      <c r="BF1285" s="298"/>
    </row>
    <row r="1286" spans="58:58">
      <c r="BF1286" s="298"/>
    </row>
    <row r="1287" spans="58:58">
      <c r="BF1287" s="298"/>
    </row>
    <row r="1288" spans="58:58">
      <c r="BF1288" s="298"/>
    </row>
    <row r="1289" spans="58:58">
      <c r="BF1289" s="298"/>
    </row>
    <row r="1290" spans="58:58">
      <c r="BF1290" s="298"/>
    </row>
    <row r="1291" spans="58:58">
      <c r="BF1291" s="298"/>
    </row>
    <row r="1292" spans="58:58">
      <c r="BF1292" s="298"/>
    </row>
    <row r="1293" spans="58:58">
      <c r="BF1293" s="298"/>
    </row>
    <row r="1294" spans="58:58">
      <c r="BF1294" s="298"/>
    </row>
    <row r="1295" spans="58:58">
      <c r="BF1295" s="298"/>
    </row>
    <row r="1296" spans="58:58">
      <c r="BF1296" s="298"/>
    </row>
    <row r="1297" spans="58:58">
      <c r="BF1297" s="298"/>
    </row>
    <row r="1298" spans="58:58">
      <c r="BF1298" s="298"/>
    </row>
    <row r="1299" spans="58:58">
      <c r="BF1299" s="298"/>
    </row>
    <row r="1300" spans="58:58">
      <c r="BF1300" s="298"/>
    </row>
    <row r="1301" spans="58:58">
      <c r="BF1301" s="298"/>
    </row>
    <row r="1302" spans="58:58">
      <c r="BF1302" s="298"/>
    </row>
    <row r="1303" spans="58:58">
      <c r="BF1303" s="298"/>
    </row>
    <row r="1304" spans="58:58">
      <c r="BF1304" s="298"/>
    </row>
    <row r="1305" spans="58:58">
      <c r="BF1305" s="298"/>
    </row>
    <row r="1306" spans="58:58">
      <c r="BF1306" s="298"/>
    </row>
    <row r="1307" spans="58:58">
      <c r="BF1307" s="298"/>
    </row>
    <row r="1308" spans="58:58">
      <c r="BF1308" s="298"/>
    </row>
    <row r="1309" spans="58:58">
      <c r="BF1309" s="298"/>
    </row>
    <row r="1310" spans="58:58">
      <c r="BF1310" s="298"/>
    </row>
    <row r="1311" spans="58:58">
      <c r="BF1311" s="298"/>
    </row>
    <row r="1312" spans="58:58">
      <c r="BF1312" s="298"/>
    </row>
    <row r="1313" spans="58:58">
      <c r="BF1313" s="298"/>
    </row>
    <row r="1314" spans="58:58">
      <c r="BF1314" s="298"/>
    </row>
    <row r="1315" spans="58:58">
      <c r="BF1315" s="298"/>
    </row>
    <row r="1316" spans="58:58">
      <c r="BF1316" s="298"/>
    </row>
    <row r="1317" spans="58:58">
      <c r="BF1317" s="298"/>
    </row>
    <row r="1318" spans="58:58">
      <c r="BF1318" s="298"/>
    </row>
    <row r="1319" spans="58:58">
      <c r="BF1319" s="298"/>
    </row>
    <row r="1320" spans="58:58">
      <c r="BF1320" s="298"/>
    </row>
    <row r="1321" spans="58:58">
      <c r="BF1321" s="298"/>
    </row>
    <row r="1322" spans="58:58">
      <c r="BF1322" s="298"/>
    </row>
    <row r="1323" spans="58:58">
      <c r="BF1323" s="298"/>
    </row>
    <row r="1324" spans="58:58">
      <c r="BF1324" s="298"/>
    </row>
    <row r="1325" spans="58:58">
      <c r="BF1325" s="298"/>
    </row>
    <row r="1326" spans="58:58">
      <c r="BF1326" s="298"/>
    </row>
    <row r="1327" spans="58:58">
      <c r="BF1327" s="298"/>
    </row>
    <row r="1328" spans="58:58">
      <c r="BF1328" s="298"/>
    </row>
    <row r="1329" spans="58:58">
      <c r="BF1329" s="298"/>
    </row>
    <row r="1330" spans="58:58">
      <c r="BF1330" s="298"/>
    </row>
    <row r="1331" spans="58:58">
      <c r="BF1331" s="298"/>
    </row>
    <row r="1332" spans="58:58">
      <c r="BF1332" s="298"/>
    </row>
    <row r="1333" spans="58:58">
      <c r="BF1333" s="298"/>
    </row>
    <row r="1334" spans="58:58">
      <c r="BF1334" s="298"/>
    </row>
    <row r="1335" spans="58:58">
      <c r="BF1335" s="298"/>
    </row>
    <row r="1336" spans="58:58">
      <c r="BF1336" s="298"/>
    </row>
    <row r="1337" spans="58:58">
      <c r="BF1337" s="298"/>
    </row>
    <row r="1338" spans="58:58">
      <c r="BF1338" s="298"/>
    </row>
    <row r="1339" spans="58:58">
      <c r="BF1339" s="298"/>
    </row>
    <row r="1340" spans="58:58">
      <c r="BF1340" s="298"/>
    </row>
    <row r="1341" spans="58:58">
      <c r="BF1341" s="298"/>
    </row>
    <row r="1342" spans="58:58">
      <c r="BF1342" s="298"/>
    </row>
    <row r="1343" spans="58:58">
      <c r="BF1343" s="298"/>
    </row>
    <row r="1344" spans="58:58">
      <c r="BF1344" s="298"/>
    </row>
    <row r="1345" spans="58:58">
      <c r="BF1345" s="298"/>
    </row>
    <row r="1346" spans="58:58">
      <c r="BF1346" s="298"/>
    </row>
    <row r="1347" spans="58:58">
      <c r="BF1347" s="298"/>
    </row>
    <row r="1348" spans="58:58">
      <c r="BF1348" s="298"/>
    </row>
    <row r="1349" spans="58:58">
      <c r="BF1349" s="298"/>
    </row>
    <row r="1350" spans="58:58">
      <c r="BF1350" s="298"/>
    </row>
    <row r="1351" spans="58:58">
      <c r="BF1351" s="298"/>
    </row>
    <row r="1352" spans="58:58">
      <c r="BF1352" s="298"/>
    </row>
    <row r="1353" spans="58:58">
      <c r="BF1353" s="298"/>
    </row>
    <row r="1354" spans="58:58">
      <c r="BF1354" s="298"/>
    </row>
    <row r="1355" spans="58:58">
      <c r="BF1355" s="298"/>
    </row>
    <row r="1356" spans="58:58">
      <c r="BF1356" s="298"/>
    </row>
    <row r="1357" spans="58:58">
      <c r="BF1357" s="298"/>
    </row>
    <row r="1358" spans="58:58">
      <c r="BF1358" s="298"/>
    </row>
    <row r="1359" spans="58:58">
      <c r="BF1359" s="298"/>
    </row>
    <row r="1360" spans="58:58">
      <c r="BF1360" s="298"/>
    </row>
    <row r="1361" spans="58:58">
      <c r="BF1361" s="298"/>
    </row>
    <row r="1362" spans="58:58">
      <c r="BF1362" s="298"/>
    </row>
    <row r="1363" spans="58:58">
      <c r="BF1363" s="298"/>
    </row>
    <row r="1364" spans="58:58">
      <c r="BF1364" s="298"/>
    </row>
    <row r="1365" spans="58:58">
      <c r="BF1365" s="298"/>
    </row>
    <row r="1366" spans="58:58">
      <c r="BF1366" s="298"/>
    </row>
    <row r="1367" spans="58:58">
      <c r="BF1367" s="298"/>
    </row>
    <row r="1368" spans="58:58">
      <c r="BF1368" s="298"/>
    </row>
    <row r="1369" spans="58:58">
      <c r="BF1369" s="298"/>
    </row>
    <row r="1370" spans="58:58">
      <c r="BF1370" s="298"/>
    </row>
    <row r="1371" spans="58:58">
      <c r="BF1371" s="298"/>
    </row>
    <row r="1372" spans="58:58">
      <c r="BF1372" s="298"/>
    </row>
    <row r="1373" spans="58:58">
      <c r="BF1373" s="298"/>
    </row>
    <row r="1374" spans="58:58">
      <c r="BF1374" s="298"/>
    </row>
    <row r="1375" spans="58:58">
      <c r="BF1375" s="298"/>
    </row>
    <row r="1376" spans="58:58">
      <c r="BF1376" s="298"/>
    </row>
    <row r="1377" spans="58:58">
      <c r="BF1377" s="298"/>
    </row>
    <row r="1378" spans="58:58">
      <c r="BF1378" s="298"/>
    </row>
    <row r="1379" spans="58:58">
      <c r="BF1379" s="298"/>
    </row>
    <row r="1380" spans="58:58">
      <c r="BF1380" s="298"/>
    </row>
    <row r="1381" spans="58:58">
      <c r="BF1381" s="298"/>
    </row>
    <row r="1382" spans="58:58">
      <c r="BF1382" s="298"/>
    </row>
    <row r="1383" spans="58:58">
      <c r="BF1383" s="298"/>
    </row>
    <row r="1384" spans="58:58">
      <c r="BF1384" s="298"/>
    </row>
    <row r="1385" spans="58:58">
      <c r="BF1385" s="298"/>
    </row>
    <row r="1386" spans="58:58">
      <c r="BF1386" s="298"/>
    </row>
    <row r="1387" spans="58:58">
      <c r="BF1387" s="298"/>
    </row>
    <row r="1388" spans="58:58">
      <c r="BF1388" s="298"/>
    </row>
    <row r="1389" spans="58:58">
      <c r="BF1389" s="298"/>
    </row>
    <row r="1390" spans="58:58">
      <c r="BF1390" s="298"/>
    </row>
    <row r="1391" spans="58:58">
      <c r="BF1391" s="298"/>
    </row>
    <row r="1392" spans="58:58">
      <c r="BF1392" s="298"/>
    </row>
    <row r="1393" spans="58:58">
      <c r="BF1393" s="298"/>
    </row>
    <row r="1394" spans="58:58">
      <c r="BF1394" s="298"/>
    </row>
    <row r="1395" spans="58:58">
      <c r="BF1395" s="298"/>
    </row>
    <row r="1396" spans="58:58">
      <c r="BF1396" s="298"/>
    </row>
    <row r="1397" spans="58:58">
      <c r="BF1397" s="298"/>
    </row>
    <row r="1398" spans="58:58">
      <c r="BF1398" s="298"/>
    </row>
    <row r="1399" spans="58:58">
      <c r="BF1399" s="298"/>
    </row>
    <row r="1400" spans="58:58">
      <c r="BF1400" s="298"/>
    </row>
    <row r="1401" spans="58:58">
      <c r="BF1401" s="298"/>
    </row>
    <row r="1402" spans="58:58">
      <c r="BF1402" s="298"/>
    </row>
    <row r="1403" spans="58:58">
      <c r="BF1403" s="298"/>
    </row>
    <row r="1404" spans="58:58">
      <c r="BF1404" s="298"/>
    </row>
    <row r="1405" spans="58:58">
      <c r="BF1405" s="298"/>
    </row>
    <row r="1406" spans="58:58">
      <c r="BF1406" s="298"/>
    </row>
    <row r="1407" spans="58:58">
      <c r="BF1407" s="298"/>
    </row>
    <row r="1408" spans="58:58">
      <c r="BF1408" s="298"/>
    </row>
    <row r="1409" spans="58:58">
      <c r="BF1409" s="298"/>
    </row>
    <row r="1410" spans="58:58">
      <c r="BF1410" s="298"/>
    </row>
    <row r="1411" spans="58:58">
      <c r="BF1411" s="298"/>
    </row>
    <row r="1412" spans="58:58">
      <c r="BF1412" s="298"/>
    </row>
    <row r="1413" spans="58:58">
      <c r="BF1413" s="298"/>
    </row>
    <row r="1414" spans="58:58">
      <c r="BF1414" s="298"/>
    </row>
    <row r="1415" spans="58:58">
      <c r="BF1415" s="298"/>
    </row>
    <row r="1416" spans="58:58">
      <c r="BF1416" s="298"/>
    </row>
    <row r="1417" spans="58:58">
      <c r="BF1417" s="298"/>
    </row>
    <row r="1418" spans="58:58">
      <c r="BF1418" s="298"/>
    </row>
    <row r="1419" spans="58:58">
      <c r="BF1419" s="298"/>
    </row>
    <row r="1420" spans="58:58">
      <c r="BF1420" s="298"/>
    </row>
    <row r="1421" spans="58:58">
      <c r="BF1421" s="298"/>
    </row>
    <row r="1422" spans="58:58">
      <c r="BF1422" s="298"/>
    </row>
    <row r="1423" spans="58:58">
      <c r="BF1423" s="298"/>
    </row>
    <row r="1424" spans="58:58">
      <c r="BF1424" s="298"/>
    </row>
    <row r="1425" spans="58:58">
      <c r="BF1425" s="298"/>
    </row>
    <row r="1426" spans="58:58">
      <c r="BF1426" s="298"/>
    </row>
    <row r="1427" spans="58:58">
      <c r="BF1427" s="298"/>
    </row>
    <row r="1428" spans="58:58">
      <c r="BF1428" s="298"/>
    </row>
    <row r="1429" spans="58:58">
      <c r="BF1429" s="298"/>
    </row>
    <row r="1430" spans="58:58">
      <c r="BF1430" s="298"/>
    </row>
    <row r="1431" spans="58:58">
      <c r="BF1431" s="298"/>
    </row>
    <row r="1432" spans="58:58">
      <c r="BF1432" s="298"/>
    </row>
    <row r="1433" spans="58:58">
      <c r="BF1433" s="298"/>
    </row>
    <row r="1434" spans="58:58">
      <c r="BF1434" s="298"/>
    </row>
    <row r="1435" spans="58:58">
      <c r="BF1435" s="298"/>
    </row>
    <row r="1436" spans="58:58">
      <c r="BF1436" s="298"/>
    </row>
    <row r="1437" spans="58:58">
      <c r="BF1437" s="298"/>
    </row>
    <row r="1438" spans="58:58">
      <c r="BF1438" s="298"/>
    </row>
    <row r="1439" spans="58:58">
      <c r="BF1439" s="298"/>
    </row>
    <row r="1440" spans="58:58">
      <c r="BF1440" s="298"/>
    </row>
    <row r="1441" spans="58:58">
      <c r="BF1441" s="298"/>
    </row>
    <row r="1442" spans="58:58">
      <c r="BF1442" s="298"/>
    </row>
    <row r="1443" spans="58:58">
      <c r="BF1443" s="298"/>
    </row>
    <row r="1444" spans="58:58">
      <c r="BF1444" s="298"/>
    </row>
    <row r="1445" spans="58:58">
      <c r="BF1445" s="298"/>
    </row>
    <row r="1446" spans="58:58">
      <c r="BF1446" s="298"/>
    </row>
    <row r="1447" spans="58:58">
      <c r="BF1447" s="298"/>
    </row>
    <row r="1448" spans="58:58">
      <c r="BF1448" s="298"/>
    </row>
    <row r="1449" spans="58:58">
      <c r="BF1449" s="298"/>
    </row>
    <row r="1450" spans="58:58">
      <c r="BF1450" s="298"/>
    </row>
    <row r="1451" spans="58:58">
      <c r="BF1451" s="298"/>
    </row>
    <row r="1452" spans="58:58">
      <c r="BF1452" s="298"/>
    </row>
    <row r="1453" spans="58:58">
      <c r="BF1453" s="298"/>
    </row>
    <row r="1454" spans="58:58">
      <c r="BF1454" s="298"/>
    </row>
    <row r="1455" spans="58:58">
      <c r="BF1455" s="298"/>
    </row>
    <row r="1456" spans="58:58">
      <c r="BF1456" s="298"/>
    </row>
    <row r="1457" spans="58:58">
      <c r="BF1457" s="298"/>
    </row>
    <row r="1458" spans="58:58">
      <c r="BF1458" s="298"/>
    </row>
    <row r="1459" spans="58:58">
      <c r="BF1459" s="298"/>
    </row>
    <row r="1460" spans="58:58">
      <c r="BF1460" s="298"/>
    </row>
    <row r="1461" spans="58:58">
      <c r="BF1461" s="298"/>
    </row>
    <row r="1462" spans="58:58">
      <c r="BF1462" s="298"/>
    </row>
    <row r="1463" spans="58:58">
      <c r="BF1463" s="298"/>
    </row>
    <row r="1464" spans="58:58">
      <c r="BF1464" s="298"/>
    </row>
    <row r="1465" spans="58:58">
      <c r="BF1465" s="298"/>
    </row>
    <row r="1466" spans="58:58">
      <c r="BF1466" s="298"/>
    </row>
    <row r="1467" spans="58:58">
      <c r="BF1467" s="298"/>
    </row>
    <row r="1468" spans="58:58">
      <c r="BF1468" s="298"/>
    </row>
    <row r="1469" spans="58:58">
      <c r="BF1469" s="298"/>
    </row>
    <row r="1470" spans="58:58">
      <c r="BF1470" s="298"/>
    </row>
    <row r="1471" spans="58:58">
      <c r="BF1471" s="298"/>
    </row>
    <row r="1472" spans="58:58">
      <c r="BF1472" s="298"/>
    </row>
    <row r="1473" spans="58:58">
      <c r="BF1473" s="298"/>
    </row>
    <row r="1474" spans="58:58">
      <c r="BF1474" s="298"/>
    </row>
    <row r="1475" spans="58:58">
      <c r="BF1475" s="298"/>
    </row>
    <row r="1476" spans="58:58">
      <c r="BF1476" s="298"/>
    </row>
    <row r="1477" spans="58:58">
      <c r="BF1477" s="298"/>
    </row>
    <row r="1478" spans="58:58">
      <c r="BF1478" s="298"/>
    </row>
    <row r="1479" spans="58:58">
      <c r="BF1479" s="298"/>
    </row>
    <row r="1480" spans="58:58">
      <c r="BF1480" s="298"/>
    </row>
    <row r="1481" spans="58:58">
      <c r="BF1481" s="298"/>
    </row>
    <row r="1482" spans="58:58">
      <c r="BF1482" s="298"/>
    </row>
    <row r="1483" spans="58:58">
      <c r="BF1483" s="298"/>
    </row>
    <row r="1484" spans="58:58">
      <c r="BF1484" s="298"/>
    </row>
    <row r="1485" spans="58:58">
      <c r="BF1485" s="298"/>
    </row>
    <row r="1486" spans="58:58">
      <c r="BF1486" s="298"/>
    </row>
    <row r="1487" spans="58:58">
      <c r="BF1487" s="298"/>
    </row>
    <row r="1488" spans="58:58">
      <c r="BF1488" s="298"/>
    </row>
    <row r="1489" spans="58:58">
      <c r="BF1489" s="298"/>
    </row>
    <row r="1490" spans="58:58">
      <c r="BF1490" s="298"/>
    </row>
    <row r="1491" spans="58:58">
      <c r="BF1491" s="298"/>
    </row>
    <row r="1492" spans="58:58">
      <c r="BF1492" s="298"/>
    </row>
    <row r="1493" spans="58:58">
      <c r="BF1493" s="298"/>
    </row>
    <row r="1494" spans="58:58">
      <c r="BF1494" s="298"/>
    </row>
    <row r="1495" spans="58:58">
      <c r="BF1495" s="298"/>
    </row>
    <row r="1496" spans="58:58">
      <c r="BF1496" s="298"/>
    </row>
    <row r="1497" spans="58:58">
      <c r="BF1497" s="298"/>
    </row>
    <row r="1498" spans="58:58">
      <c r="BF1498" s="298"/>
    </row>
    <row r="1499" spans="58:58">
      <c r="BF1499" s="298"/>
    </row>
    <row r="1500" spans="58:58">
      <c r="BF1500" s="298"/>
    </row>
    <row r="1501" spans="58:58">
      <c r="BF1501" s="298"/>
    </row>
    <row r="1502" spans="58:58">
      <c r="BF1502" s="298"/>
    </row>
    <row r="1503" spans="58:58">
      <c r="BF1503" s="298"/>
    </row>
    <row r="1504" spans="58:58">
      <c r="BF1504" s="298"/>
    </row>
    <row r="1505" spans="58:58">
      <c r="BF1505" s="298"/>
    </row>
    <row r="1506" spans="58:58">
      <c r="BF1506" s="298"/>
    </row>
    <row r="1507" spans="58:58">
      <c r="BF1507" s="298"/>
    </row>
    <row r="1508" spans="58:58">
      <c r="BF1508" s="298"/>
    </row>
    <row r="1509" spans="58:58">
      <c r="BF1509" s="298"/>
    </row>
    <row r="1510" spans="58:58">
      <c r="BF1510" s="298"/>
    </row>
    <row r="1511" spans="58:58">
      <c r="BF1511" s="298"/>
    </row>
    <row r="1512" spans="58:58">
      <c r="BF1512" s="298"/>
    </row>
    <row r="1513" spans="58:58">
      <c r="BF1513" s="298"/>
    </row>
    <row r="1514" spans="58:58">
      <c r="BF1514" s="298"/>
    </row>
    <row r="1515" spans="58:58">
      <c r="BF1515" s="298"/>
    </row>
    <row r="1516" spans="58:58">
      <c r="BF1516" s="298"/>
    </row>
    <row r="1517" spans="58:58">
      <c r="BF1517" s="298"/>
    </row>
    <row r="1518" spans="58:58">
      <c r="BF1518" s="298"/>
    </row>
    <row r="1519" spans="58:58">
      <c r="BF1519" s="298"/>
    </row>
    <row r="1520" spans="58:58">
      <c r="BF1520" s="298"/>
    </row>
    <row r="1521" spans="58:58">
      <c r="BF1521" s="298"/>
    </row>
    <row r="1522" spans="58:58">
      <c r="BF1522" s="298"/>
    </row>
    <row r="1523" spans="58:58">
      <c r="BF1523" s="298"/>
    </row>
    <row r="1524" spans="58:58">
      <c r="BF1524" s="298"/>
    </row>
    <row r="1525" spans="58:58">
      <c r="BF1525" s="298"/>
    </row>
    <row r="1526" spans="58:58">
      <c r="BF1526" s="298"/>
    </row>
    <row r="1527" spans="58:58">
      <c r="BF1527" s="298"/>
    </row>
    <row r="1528" spans="58:58">
      <c r="BF1528" s="298"/>
    </row>
    <row r="1529" spans="58:58">
      <c r="BF1529" s="298"/>
    </row>
    <row r="1530" spans="58:58">
      <c r="BF1530" s="298"/>
    </row>
    <row r="1531" spans="58:58">
      <c r="BF1531" s="298"/>
    </row>
    <row r="1532" spans="58:58">
      <c r="BF1532" s="298"/>
    </row>
    <row r="1533" spans="58:58">
      <c r="BF1533" s="298"/>
    </row>
    <row r="1534" spans="58:58">
      <c r="BF1534" s="298"/>
    </row>
    <row r="1535" spans="58:58">
      <c r="BF1535" s="298"/>
    </row>
    <row r="1536" spans="58:58">
      <c r="BF1536" s="298"/>
    </row>
    <row r="1537" spans="58:58">
      <c r="BF1537" s="298"/>
    </row>
    <row r="1538" spans="58:58">
      <c r="BF1538" s="298"/>
    </row>
    <row r="1539" spans="58:58">
      <c r="BF1539" s="298"/>
    </row>
    <row r="1540" spans="58:58">
      <c r="BF1540" s="298"/>
    </row>
    <row r="1541" spans="58:58">
      <c r="BF1541" s="298"/>
    </row>
    <row r="1542" spans="58:58">
      <c r="BF1542" s="298"/>
    </row>
    <row r="1543" spans="58:58">
      <c r="BF1543" s="298"/>
    </row>
    <row r="1544" spans="58:58">
      <c r="BF1544" s="298"/>
    </row>
    <row r="1545" spans="58:58">
      <c r="BF1545" s="298"/>
    </row>
    <row r="1546" spans="58:58">
      <c r="BF1546" s="298"/>
    </row>
    <row r="1547" spans="58:58">
      <c r="BF1547" s="298"/>
    </row>
    <row r="1548" spans="58:58">
      <c r="BF1548" s="298"/>
    </row>
    <row r="1549" spans="58:58">
      <c r="BF1549" s="298"/>
    </row>
    <row r="1550" spans="58:58">
      <c r="BF1550" s="298"/>
    </row>
    <row r="1551" spans="58:58">
      <c r="BF1551" s="298"/>
    </row>
    <row r="1552" spans="58:58">
      <c r="BF1552" s="298"/>
    </row>
    <row r="1553" spans="58:58">
      <c r="BF1553" s="298"/>
    </row>
    <row r="1554" spans="58:58">
      <c r="BF1554" s="298"/>
    </row>
    <row r="1555" spans="58:58">
      <c r="BF1555" s="298"/>
    </row>
    <row r="1556" spans="58:58">
      <c r="BF1556" s="298"/>
    </row>
    <row r="1557" spans="58:58">
      <c r="BF1557" s="298"/>
    </row>
    <row r="1558" spans="58:58">
      <c r="BF1558" s="298"/>
    </row>
    <row r="1559" spans="58:58">
      <c r="BF1559" s="298"/>
    </row>
    <row r="1560" spans="58:58">
      <c r="BF1560" s="298"/>
    </row>
    <row r="1561" spans="58:58">
      <c r="BF1561" s="298"/>
    </row>
    <row r="1562" spans="58:58">
      <c r="BF1562" s="298"/>
    </row>
    <row r="1563" spans="58:58">
      <c r="BF1563" s="298"/>
    </row>
    <row r="1564" spans="58:58">
      <c r="BF1564" s="298"/>
    </row>
    <row r="1565" spans="58:58">
      <c r="BF1565" s="298"/>
    </row>
    <row r="1566" spans="58:58">
      <c r="BF1566" s="298"/>
    </row>
    <row r="1567" spans="58:58">
      <c r="BF1567" s="298"/>
    </row>
    <row r="1568" spans="58:58">
      <c r="BF1568" s="298"/>
    </row>
    <row r="1569" spans="58:58">
      <c r="BF1569" s="298"/>
    </row>
    <row r="1570" spans="58:58">
      <c r="BF1570" s="298"/>
    </row>
    <row r="1571" spans="58:58">
      <c r="BF1571" s="298"/>
    </row>
    <row r="1572" spans="58:58">
      <c r="BF1572" s="298"/>
    </row>
    <row r="1573" spans="58:58">
      <c r="BF1573" s="298"/>
    </row>
    <row r="1574" spans="58:58">
      <c r="BF1574" s="298"/>
    </row>
    <row r="1575" spans="58:58">
      <c r="BF1575" s="298"/>
    </row>
    <row r="1576" spans="58:58">
      <c r="BF1576" s="298"/>
    </row>
    <row r="1577" spans="58:58">
      <c r="BF1577" s="298"/>
    </row>
    <row r="1578" spans="58:58">
      <c r="BF1578" s="298"/>
    </row>
    <row r="1579" spans="58:58">
      <c r="BF1579" s="298"/>
    </row>
    <row r="1580" spans="58:58">
      <c r="BF1580" s="298"/>
    </row>
    <row r="1581" spans="58:58">
      <c r="BF1581" s="298"/>
    </row>
    <row r="1582" spans="58:58">
      <c r="BF1582" s="298"/>
    </row>
    <row r="1583" spans="58:58">
      <c r="BF1583" s="298"/>
    </row>
    <row r="1584" spans="58:58">
      <c r="BF1584" s="298"/>
    </row>
    <row r="1585" spans="58:58">
      <c r="BF1585" s="298"/>
    </row>
    <row r="1586" spans="58:58">
      <c r="BF1586" s="298"/>
    </row>
    <row r="1587" spans="58:58">
      <c r="BF1587" s="298"/>
    </row>
    <row r="1588" spans="58:58">
      <c r="BF1588" s="298"/>
    </row>
    <row r="1589" spans="58:58">
      <c r="BF1589" s="298"/>
    </row>
    <row r="1590" spans="58:58">
      <c r="BF1590" s="298"/>
    </row>
    <row r="1591" spans="58:58">
      <c r="BF1591" s="298"/>
    </row>
    <row r="1592" spans="58:58">
      <c r="BF1592" s="298"/>
    </row>
    <row r="1593" spans="58:58">
      <c r="BF1593" s="298"/>
    </row>
    <row r="1594" spans="58:58">
      <c r="BF1594" s="298"/>
    </row>
    <row r="1595" spans="58:58">
      <c r="BF1595" s="298"/>
    </row>
    <row r="1596" spans="58:58">
      <c r="BF1596" s="298"/>
    </row>
    <row r="1597" spans="58:58">
      <c r="BF1597" s="298"/>
    </row>
    <row r="1598" spans="58:58">
      <c r="BF1598" s="298"/>
    </row>
    <row r="1599" spans="58:58">
      <c r="BF1599" s="298"/>
    </row>
    <row r="1600" spans="58:58">
      <c r="BF1600" s="298"/>
    </row>
    <row r="1601" spans="58:58">
      <c r="BF1601" s="298"/>
    </row>
    <row r="1602" spans="58:58">
      <c r="BF1602" s="298"/>
    </row>
    <row r="1603" spans="58:58">
      <c r="BF1603" s="298"/>
    </row>
    <row r="1604" spans="58:58">
      <c r="BF1604" s="298"/>
    </row>
    <row r="1605" spans="58:58">
      <c r="BF1605" s="298"/>
    </row>
    <row r="1606" spans="58:58">
      <c r="BF1606" s="298"/>
    </row>
    <row r="1607" spans="58:58">
      <c r="BF1607" s="298"/>
    </row>
    <row r="1608" spans="58:58">
      <c r="BF1608" s="298"/>
    </row>
    <row r="1609" spans="58:58">
      <c r="BF1609" s="298"/>
    </row>
    <row r="1610" spans="58:58">
      <c r="BF1610" s="298"/>
    </row>
    <row r="1611" spans="58:58">
      <c r="BF1611" s="298"/>
    </row>
    <row r="1612" spans="58:58">
      <c r="BF1612" s="298"/>
    </row>
    <row r="1613" spans="58:58">
      <c r="BF1613" s="298"/>
    </row>
    <row r="1614" spans="58:58">
      <c r="BF1614" s="298"/>
    </row>
    <row r="1615" spans="58:58">
      <c r="BF1615" s="298"/>
    </row>
    <row r="1616" spans="58:58">
      <c r="BF1616" s="298"/>
    </row>
    <row r="1617" spans="58:58">
      <c r="BF1617" s="298"/>
    </row>
    <row r="1618" spans="58:58">
      <c r="BF1618" s="298"/>
    </row>
    <row r="1619" spans="58:58">
      <c r="BF1619" s="298"/>
    </row>
    <row r="1620" spans="58:58">
      <c r="BF1620" s="298"/>
    </row>
    <row r="1621" spans="58:58">
      <c r="BF1621" s="298"/>
    </row>
    <row r="1622" spans="58:58">
      <c r="BF1622" s="298"/>
    </row>
    <row r="1623" spans="58:58">
      <c r="BF1623" s="298"/>
    </row>
    <row r="1624" spans="58:58">
      <c r="BF1624" s="298"/>
    </row>
    <row r="1625" spans="58:58">
      <c r="BF1625" s="298"/>
    </row>
    <row r="1626" spans="58:58">
      <c r="BF1626" s="298"/>
    </row>
    <row r="1627" spans="58:58">
      <c r="BF1627" s="298"/>
    </row>
    <row r="1628" spans="58:58">
      <c r="BF1628" s="298"/>
    </row>
    <row r="1629" spans="58:58">
      <c r="BF1629" s="298"/>
    </row>
    <row r="1630" spans="58:58">
      <c r="BF1630" s="298"/>
    </row>
    <row r="1631" spans="58:58">
      <c r="BF1631" s="298"/>
    </row>
    <row r="1632" spans="58:58">
      <c r="BF1632" s="298"/>
    </row>
    <row r="1633" spans="58:58">
      <c r="BF1633" s="298"/>
    </row>
    <row r="1634" spans="58:58">
      <c r="BF1634" s="298"/>
    </row>
    <row r="1635" spans="58:58">
      <c r="BF1635" s="298"/>
    </row>
    <row r="1636" spans="58:58">
      <c r="BF1636" s="298"/>
    </row>
    <row r="1637" spans="58:58">
      <c r="BF1637" s="298"/>
    </row>
    <row r="1638" spans="58:58">
      <c r="BF1638" s="298"/>
    </row>
    <row r="1639" spans="58:58">
      <c r="BF1639" s="298"/>
    </row>
    <row r="1640" spans="58:58">
      <c r="BF1640" s="298"/>
    </row>
    <row r="1641" spans="58:58">
      <c r="BF1641" s="298"/>
    </row>
    <row r="1642" spans="58:58">
      <c r="BF1642" s="298"/>
    </row>
    <row r="1643" spans="58:58">
      <c r="BF1643" s="298"/>
    </row>
    <row r="1644" spans="58:58">
      <c r="BF1644" s="298"/>
    </row>
    <row r="1645" spans="58:58">
      <c r="BF1645" s="298"/>
    </row>
    <row r="1646" spans="58:58">
      <c r="BF1646" s="298"/>
    </row>
    <row r="1647" spans="58:58">
      <c r="BF1647" s="298"/>
    </row>
    <row r="1648" spans="58:58">
      <c r="BF1648" s="298"/>
    </row>
    <row r="1649" spans="58:58">
      <c r="BF1649" s="298"/>
    </row>
    <row r="1650" spans="58:58">
      <c r="BF1650" s="298"/>
    </row>
    <row r="1651" spans="58:58">
      <c r="BF1651" s="298"/>
    </row>
    <row r="1652" spans="58:58">
      <c r="BF1652" s="298"/>
    </row>
    <row r="1653" spans="58:58">
      <c r="BF1653" s="298"/>
    </row>
    <row r="1654" spans="58:58">
      <c r="BF1654" s="298"/>
    </row>
    <row r="1655" spans="58:58">
      <c r="BF1655" s="298"/>
    </row>
    <row r="1656" spans="58:58">
      <c r="BF1656" s="298"/>
    </row>
    <row r="1657" spans="58:58">
      <c r="BF1657" s="298"/>
    </row>
    <row r="1658" spans="58:58">
      <c r="BF1658" s="298"/>
    </row>
    <row r="1659" spans="58:58">
      <c r="BF1659" s="298"/>
    </row>
    <row r="1660" spans="58:58">
      <c r="BF1660" s="298"/>
    </row>
    <row r="1661" spans="58:58">
      <c r="BF1661" s="298"/>
    </row>
    <row r="1662" spans="58:58">
      <c r="BF1662" s="298"/>
    </row>
    <row r="1663" spans="58:58">
      <c r="BF1663" s="298"/>
    </row>
    <row r="1664" spans="58:58">
      <c r="BF1664" s="298"/>
    </row>
    <row r="1665" spans="58:58">
      <c r="BF1665" s="298"/>
    </row>
    <row r="1666" spans="58:58">
      <c r="BF1666" s="298"/>
    </row>
    <row r="1667" spans="58:58">
      <c r="BF1667" s="298"/>
    </row>
    <row r="1668" spans="58:58">
      <c r="BF1668" s="298"/>
    </row>
    <row r="1669" spans="58:58">
      <c r="BF1669" s="298"/>
    </row>
    <row r="1670" spans="58:58">
      <c r="BF1670" s="298"/>
    </row>
    <row r="1671" spans="58:58">
      <c r="BF1671" s="298"/>
    </row>
    <row r="1672" spans="58:58">
      <c r="BF1672" s="298"/>
    </row>
    <row r="1673" spans="58:58">
      <c r="BF1673" s="298"/>
    </row>
    <row r="1674" spans="58:58">
      <c r="BF1674" s="298"/>
    </row>
    <row r="1675" spans="58:58">
      <c r="BF1675" s="298"/>
    </row>
    <row r="1676" spans="58:58">
      <c r="BF1676" s="298"/>
    </row>
    <row r="1677" spans="58:58">
      <c r="BF1677" s="298"/>
    </row>
    <row r="1678" spans="58:58">
      <c r="BF1678" s="298"/>
    </row>
    <row r="1679" spans="58:58">
      <c r="BF1679" s="298"/>
    </row>
    <row r="1680" spans="58:58">
      <c r="BF1680" s="298"/>
    </row>
    <row r="1681" spans="58:58">
      <c r="BF1681" s="298"/>
    </row>
    <row r="1682" spans="58:58">
      <c r="BF1682" s="298"/>
    </row>
    <row r="1683" spans="58:58">
      <c r="BF1683" s="298"/>
    </row>
    <row r="1684" spans="58:58">
      <c r="BF1684" s="298"/>
    </row>
    <row r="1685" spans="58:58">
      <c r="BF1685" s="298"/>
    </row>
    <row r="1686" spans="58:58">
      <c r="BF1686" s="298"/>
    </row>
    <row r="1687" spans="58:58">
      <c r="BF1687" s="298"/>
    </row>
    <row r="1688" spans="58:58">
      <c r="BF1688" s="298"/>
    </row>
    <row r="1689" spans="58:58">
      <c r="BF1689" s="298"/>
    </row>
    <row r="1690" spans="58:58">
      <c r="BF1690" s="298"/>
    </row>
    <row r="1691" spans="58:58">
      <c r="BF1691" s="298"/>
    </row>
    <row r="1692" spans="58:58">
      <c r="BF1692" s="298"/>
    </row>
    <row r="1693" spans="58:58">
      <c r="BF1693" s="298"/>
    </row>
    <row r="1694" spans="58:58">
      <c r="BF1694" s="298"/>
    </row>
    <row r="1695" spans="58:58">
      <c r="BF1695" s="298"/>
    </row>
    <row r="1696" spans="58:58">
      <c r="BF1696" s="298"/>
    </row>
    <row r="1697" spans="58:58">
      <c r="BF1697" s="298"/>
    </row>
    <row r="1698" spans="58:58">
      <c r="BF1698" s="298"/>
    </row>
    <row r="1699" spans="58:58">
      <c r="BF1699" s="298"/>
    </row>
    <row r="1700" spans="58:58">
      <c r="BF1700" s="298"/>
    </row>
    <row r="1701" spans="58:58">
      <c r="BF1701" s="298"/>
    </row>
    <row r="1702" spans="58:58">
      <c r="BF1702" s="298"/>
    </row>
    <row r="1703" spans="58:58">
      <c r="BF1703" s="298"/>
    </row>
    <row r="1704" spans="58:58">
      <c r="BF1704" s="298"/>
    </row>
    <row r="1705" spans="58:58">
      <c r="BF1705" s="298"/>
    </row>
    <row r="1706" spans="58:58">
      <c r="BF1706" s="298"/>
    </row>
    <row r="1707" spans="58:58">
      <c r="BF1707" s="298"/>
    </row>
    <row r="1708" spans="58:58">
      <c r="BF1708" s="298"/>
    </row>
    <row r="1709" spans="58:58">
      <c r="BF1709" s="298"/>
    </row>
    <row r="1710" spans="58:58">
      <c r="BF1710" s="298"/>
    </row>
    <row r="1711" spans="58:58">
      <c r="BF1711" s="298"/>
    </row>
    <row r="1712" spans="58:58">
      <c r="BF1712" s="298"/>
    </row>
    <row r="1713" spans="58:58">
      <c r="BF1713" s="298"/>
    </row>
    <row r="1714" spans="58:58">
      <c r="BF1714" s="298"/>
    </row>
    <row r="1715" spans="58:58">
      <c r="BF1715" s="298"/>
    </row>
    <row r="1716" spans="58:58">
      <c r="BF1716" s="298"/>
    </row>
    <row r="1717" spans="58:58">
      <c r="BF1717" s="298"/>
    </row>
    <row r="1718" spans="58:58">
      <c r="BF1718" s="298"/>
    </row>
    <row r="1719" spans="58:58">
      <c r="BF1719" s="298"/>
    </row>
    <row r="1720" spans="58:58">
      <c r="BF1720" s="298"/>
    </row>
    <row r="1721" spans="58:58">
      <c r="BF1721" s="298"/>
    </row>
    <row r="1722" spans="58:58">
      <c r="BF1722" s="298"/>
    </row>
    <row r="1723" spans="58:58">
      <c r="BF1723" s="298"/>
    </row>
    <row r="1724" spans="58:58">
      <c r="BF1724" s="298"/>
    </row>
    <row r="1725" spans="58:58">
      <c r="BF1725" s="298"/>
    </row>
    <row r="1726" spans="58:58">
      <c r="BF1726" s="298"/>
    </row>
    <row r="1727" spans="58:58">
      <c r="BF1727" s="298"/>
    </row>
    <row r="1728" spans="58:58">
      <c r="BF1728" s="298"/>
    </row>
    <row r="1729" spans="58:58">
      <c r="BF1729" s="298"/>
    </row>
    <row r="1730" spans="58:58">
      <c r="BF1730" s="298"/>
    </row>
    <row r="1731" spans="58:58">
      <c r="BF1731" s="298"/>
    </row>
    <row r="1732" spans="58:58">
      <c r="BF1732" s="298"/>
    </row>
    <row r="1733" spans="58:58">
      <c r="BF1733" s="298"/>
    </row>
    <row r="1734" spans="58:58">
      <c r="BF1734" s="298"/>
    </row>
    <row r="1735" spans="58:58">
      <c r="BF1735" s="298"/>
    </row>
    <row r="1736" spans="58:58">
      <c r="BF1736" s="298"/>
    </row>
    <row r="1737" spans="58:58">
      <c r="BF1737" s="298"/>
    </row>
    <row r="1738" spans="58:58">
      <c r="BF1738" s="298"/>
    </row>
    <row r="1739" spans="58:58">
      <c r="BF1739" s="298"/>
    </row>
    <row r="1740" spans="58:58">
      <c r="BF1740" s="298"/>
    </row>
    <row r="1741" spans="58:58">
      <c r="BF1741" s="298"/>
    </row>
    <row r="1742" spans="58:58">
      <c r="BF1742" s="298"/>
    </row>
    <row r="1743" spans="58:58">
      <c r="BF1743" s="298"/>
    </row>
    <row r="1744" spans="58:58">
      <c r="BF1744" s="298"/>
    </row>
    <row r="1745" spans="58:58">
      <c r="BF1745" s="298"/>
    </row>
    <row r="1746" spans="58:58">
      <c r="BF1746" s="298"/>
    </row>
    <row r="1747" spans="58:58">
      <c r="BF1747" s="298"/>
    </row>
    <row r="1748" spans="58:58">
      <c r="BF1748" s="298"/>
    </row>
    <row r="1749" spans="58:58">
      <c r="BF1749" s="298"/>
    </row>
    <row r="1750" spans="58:58">
      <c r="BF1750" s="298"/>
    </row>
    <row r="1751" spans="58:58">
      <c r="BF1751" s="298"/>
    </row>
    <row r="1752" spans="58:58">
      <c r="BF1752" s="298"/>
    </row>
    <row r="1753" spans="58:58">
      <c r="BF1753" s="298"/>
    </row>
    <row r="1754" spans="58:58">
      <c r="BF1754" s="298"/>
    </row>
    <row r="1755" spans="58:58">
      <c r="BF1755" s="298"/>
    </row>
    <row r="1756" spans="58:58">
      <c r="BF1756" s="298"/>
    </row>
    <row r="1757" spans="58:58">
      <c r="BF1757" s="298"/>
    </row>
    <row r="1758" spans="58:58">
      <c r="BF1758" s="298"/>
    </row>
    <row r="1759" spans="58:58">
      <c r="BF1759" s="298"/>
    </row>
    <row r="1760" spans="58:58">
      <c r="BF1760" s="298"/>
    </row>
    <row r="1761" spans="58:58">
      <c r="BF1761" s="298"/>
    </row>
    <row r="1762" spans="58:58">
      <c r="BF1762" s="298"/>
    </row>
    <row r="1763" spans="58:58">
      <c r="BF1763" s="298"/>
    </row>
    <row r="1764" spans="58:58">
      <c r="BF1764" s="298"/>
    </row>
    <row r="1765" spans="58:58">
      <c r="BF1765" s="298"/>
    </row>
    <row r="1766" spans="58:58">
      <c r="BF1766" s="298"/>
    </row>
    <row r="1767" spans="58:58">
      <c r="BF1767" s="298"/>
    </row>
    <row r="1768" spans="58:58">
      <c r="BF1768" s="298"/>
    </row>
    <row r="1769" spans="58:58">
      <c r="BF1769" s="298"/>
    </row>
    <row r="1770" spans="58:58">
      <c r="BF1770" s="298"/>
    </row>
    <row r="1771" spans="58:58">
      <c r="BF1771" s="298"/>
    </row>
    <row r="1772" spans="58:58">
      <c r="BF1772" s="298"/>
    </row>
    <row r="1773" spans="58:58">
      <c r="BF1773" s="298"/>
    </row>
    <row r="1774" spans="58:58">
      <c r="BF1774" s="298"/>
    </row>
    <row r="1775" spans="58:58">
      <c r="BF1775" s="298"/>
    </row>
    <row r="1776" spans="58:58">
      <c r="BF1776" s="298"/>
    </row>
    <row r="1777" spans="58:58">
      <c r="BF1777" s="298"/>
    </row>
    <row r="1778" spans="58:58">
      <c r="BF1778" s="298"/>
    </row>
    <row r="1779" spans="58:58">
      <c r="BF1779" s="298"/>
    </row>
    <row r="1780" spans="58:58">
      <c r="BF1780" s="298"/>
    </row>
    <row r="1781" spans="58:58">
      <c r="BF1781" s="298"/>
    </row>
    <row r="1782" spans="58:58">
      <c r="BF1782" s="298"/>
    </row>
    <row r="1783" spans="58:58">
      <c r="BF1783" s="298"/>
    </row>
    <row r="1784" spans="58:58">
      <c r="BF1784" s="298"/>
    </row>
    <row r="1785" spans="58:58">
      <c r="BF1785" s="298"/>
    </row>
    <row r="1786" spans="58:58">
      <c r="BF1786" s="298"/>
    </row>
    <row r="1787" spans="58:58">
      <c r="BF1787" s="298"/>
    </row>
    <row r="1788" spans="58:58">
      <c r="BF1788" s="298"/>
    </row>
    <row r="1789" spans="58:58">
      <c r="BF1789" s="298"/>
    </row>
    <row r="1790" spans="58:58">
      <c r="BF1790" s="298"/>
    </row>
    <row r="1791" spans="58:58">
      <c r="BF1791" s="298"/>
    </row>
    <row r="1792" spans="58:58">
      <c r="BF1792" s="298"/>
    </row>
    <row r="1793" spans="58:58">
      <c r="BF1793" s="298"/>
    </row>
    <row r="1794" spans="58:58">
      <c r="BF1794" s="298"/>
    </row>
    <row r="1795" spans="58:58">
      <c r="BF1795" s="298"/>
    </row>
    <row r="1796" spans="58:58">
      <c r="BF1796" s="298"/>
    </row>
    <row r="1797" spans="58:58">
      <c r="BF1797" s="298"/>
    </row>
    <row r="1798" spans="58:58">
      <c r="BF1798" s="298"/>
    </row>
    <row r="1799" spans="58:58">
      <c r="BF1799" s="298"/>
    </row>
    <row r="1800" spans="58:58">
      <c r="BF1800" s="298"/>
    </row>
    <row r="1801" spans="58:58">
      <c r="BF1801" s="298"/>
    </row>
    <row r="1802" spans="58:58">
      <c r="BF1802" s="298"/>
    </row>
    <row r="1803" spans="58:58">
      <c r="BF1803" s="298"/>
    </row>
    <row r="1804" spans="58:58">
      <c r="BF1804" s="298"/>
    </row>
    <row r="1805" spans="58:58">
      <c r="BF1805" s="298"/>
    </row>
    <row r="1806" spans="58:58">
      <c r="BF1806" s="298"/>
    </row>
    <row r="1807" spans="58:58">
      <c r="BF1807" s="298"/>
    </row>
    <row r="1808" spans="58:58">
      <c r="BF1808" s="298"/>
    </row>
    <row r="1809" spans="58:58">
      <c r="BF1809" s="298"/>
    </row>
    <row r="1810" spans="58:58">
      <c r="BF1810" s="298"/>
    </row>
    <row r="1811" spans="58:58">
      <c r="BF1811" s="298"/>
    </row>
    <row r="1812" spans="58:58">
      <c r="BF1812" s="298"/>
    </row>
    <row r="1813" spans="58:58">
      <c r="BF1813" s="298"/>
    </row>
    <row r="1814" spans="58:58">
      <c r="BF1814" s="298"/>
    </row>
    <row r="1815" spans="58:58">
      <c r="BF1815" s="298"/>
    </row>
    <row r="1816" spans="58:58">
      <c r="BF1816" s="298"/>
    </row>
    <row r="1817" spans="58:58">
      <c r="BF1817" s="298"/>
    </row>
    <row r="1818" spans="58:58">
      <c r="BF1818" s="298"/>
    </row>
    <row r="1819" spans="58:58">
      <c r="BF1819" s="298"/>
    </row>
    <row r="1820" spans="58:58">
      <c r="BF1820" s="298"/>
    </row>
    <row r="1821" spans="58:58">
      <c r="BF1821" s="298"/>
    </row>
    <row r="1822" spans="58:58">
      <c r="BF1822" s="298"/>
    </row>
    <row r="1823" spans="58:58">
      <c r="BF1823" s="298"/>
    </row>
    <row r="1824" spans="58:58">
      <c r="BF1824" s="298"/>
    </row>
    <row r="1825" spans="58:58">
      <c r="BF1825" s="298"/>
    </row>
    <row r="1826" spans="58:58">
      <c r="BF1826" s="298"/>
    </row>
    <row r="1827" spans="58:58">
      <c r="BF1827" s="298"/>
    </row>
    <row r="1828" spans="58:58">
      <c r="BF1828" s="298"/>
    </row>
    <row r="1829" spans="58:58">
      <c r="BF1829" s="298"/>
    </row>
    <row r="1830" spans="58:58">
      <c r="BF1830" s="298"/>
    </row>
    <row r="1831" spans="58:58">
      <c r="BF1831" s="298"/>
    </row>
    <row r="1832" spans="58:58">
      <c r="BF1832" s="298"/>
    </row>
    <row r="1833" spans="58:58">
      <c r="BF1833" s="298"/>
    </row>
    <row r="1834" spans="58:58">
      <c r="BF1834" s="298"/>
    </row>
    <row r="1835" spans="58:58">
      <c r="BF1835" s="298"/>
    </row>
    <row r="1836" spans="58:58">
      <c r="BF1836" s="298"/>
    </row>
    <row r="1837" spans="58:58">
      <c r="BF1837" s="298"/>
    </row>
    <row r="1838" spans="58:58">
      <c r="BF1838" s="298"/>
    </row>
    <row r="1839" spans="58:58">
      <c r="BF1839" s="298"/>
    </row>
    <row r="1840" spans="58:58">
      <c r="BF1840" s="298"/>
    </row>
    <row r="1841" spans="58:58">
      <c r="BF1841" s="298"/>
    </row>
    <row r="1842" spans="58:58">
      <c r="BF1842" s="298"/>
    </row>
    <row r="1843" spans="58:58">
      <c r="BF1843" s="298"/>
    </row>
    <row r="1844" spans="58:58">
      <c r="BF1844" s="298"/>
    </row>
    <row r="1845" spans="58:58">
      <c r="BF1845" s="298"/>
    </row>
    <row r="1846" spans="58:58">
      <c r="BF1846" s="298"/>
    </row>
    <row r="1847" spans="58:58">
      <c r="BF1847" s="298"/>
    </row>
    <row r="1848" spans="58:58">
      <c r="BF1848" s="298"/>
    </row>
    <row r="1849" spans="58:58">
      <c r="BF1849" s="298"/>
    </row>
    <row r="1850" spans="58:58">
      <c r="BF1850" s="298"/>
    </row>
    <row r="1851" spans="58:58">
      <c r="BF1851" s="298"/>
    </row>
    <row r="1852" spans="58:58">
      <c r="BF1852" s="298"/>
    </row>
    <row r="1853" spans="58:58">
      <c r="BF1853" s="298"/>
    </row>
    <row r="1854" spans="58:58">
      <c r="BF1854" s="298"/>
    </row>
    <row r="1855" spans="58:58">
      <c r="BF1855" s="298"/>
    </row>
    <row r="1856" spans="58:58">
      <c r="BF1856" s="298"/>
    </row>
    <row r="1857" spans="58:58">
      <c r="BF1857" s="298"/>
    </row>
    <row r="1858" spans="58:58">
      <c r="BF1858" s="298"/>
    </row>
    <row r="1859" spans="58:58">
      <c r="BF1859" s="298"/>
    </row>
    <row r="1860" spans="58:58">
      <c r="BF1860" s="298"/>
    </row>
    <row r="1861" spans="58:58">
      <c r="BF1861" s="298"/>
    </row>
    <row r="1862" spans="58:58">
      <c r="BF1862" s="298"/>
    </row>
    <row r="1863" spans="58:58">
      <c r="BF1863" s="298"/>
    </row>
    <row r="1864" spans="58:58">
      <c r="BF1864" s="298"/>
    </row>
    <row r="1865" spans="58:58">
      <c r="BF1865" s="298"/>
    </row>
    <row r="1866" spans="58:58">
      <c r="BF1866" s="298"/>
    </row>
    <row r="1867" spans="58:58">
      <c r="BF1867" s="298"/>
    </row>
    <row r="1868" spans="58:58">
      <c r="BF1868" s="298"/>
    </row>
    <row r="1869" spans="58:58">
      <c r="BF1869" s="298"/>
    </row>
    <row r="1870" spans="58:58">
      <c r="BF1870" s="298"/>
    </row>
    <row r="1871" spans="58:58">
      <c r="BF1871" s="298"/>
    </row>
    <row r="1872" spans="58:58">
      <c r="BF1872" s="298"/>
    </row>
    <row r="1873" spans="58:58">
      <c r="BF1873" s="298"/>
    </row>
    <row r="1874" spans="58:58">
      <c r="BF1874" s="298"/>
    </row>
    <row r="1875" spans="58:58">
      <c r="BF1875" s="298"/>
    </row>
    <row r="1876" spans="58:58">
      <c r="BF1876" s="298"/>
    </row>
    <row r="1877" spans="58:58">
      <c r="BF1877" s="298"/>
    </row>
    <row r="1878" spans="58:58">
      <c r="BF1878" s="298"/>
    </row>
    <row r="1879" spans="58:58">
      <c r="BF1879" s="298"/>
    </row>
    <row r="1880" spans="58:58">
      <c r="BF1880" s="298"/>
    </row>
    <row r="1881" spans="58:58">
      <c r="BF1881" s="298"/>
    </row>
    <row r="1882" spans="58:58">
      <c r="BF1882" s="298"/>
    </row>
    <row r="1883" spans="58:58">
      <c r="BF1883" s="298"/>
    </row>
    <row r="1884" spans="58:58">
      <c r="BF1884" s="298"/>
    </row>
    <row r="1885" spans="58:58">
      <c r="BF1885" s="298"/>
    </row>
    <row r="1886" spans="58:58">
      <c r="BF1886" s="298"/>
    </row>
    <row r="1887" spans="58:58">
      <c r="BF1887" s="298"/>
    </row>
    <row r="1888" spans="58:58">
      <c r="BF1888" s="298"/>
    </row>
    <row r="1889" spans="58:58">
      <c r="BF1889" s="298"/>
    </row>
    <row r="1890" spans="58:58">
      <c r="BF1890" s="298"/>
    </row>
    <row r="1891" spans="58:58">
      <c r="BF1891" s="298"/>
    </row>
    <row r="1892" spans="58:58">
      <c r="BF1892" s="298"/>
    </row>
    <row r="1893" spans="58:58">
      <c r="BF1893" s="298"/>
    </row>
    <row r="1894" spans="58:58">
      <c r="BF1894" s="298"/>
    </row>
    <row r="1895" spans="58:58">
      <c r="BF1895" s="298"/>
    </row>
    <row r="1896" spans="58:58">
      <c r="BF1896" s="298"/>
    </row>
    <row r="1897" spans="58:58">
      <c r="BF1897" s="298"/>
    </row>
    <row r="1898" spans="58:58">
      <c r="BF1898" s="298"/>
    </row>
    <row r="1899" spans="58:58">
      <c r="BF1899" s="298"/>
    </row>
    <row r="1900" spans="58:58">
      <c r="BF1900" s="298"/>
    </row>
    <row r="1901" spans="58:58">
      <c r="BF1901" s="298"/>
    </row>
    <row r="1902" spans="58:58">
      <c r="BF1902" s="298"/>
    </row>
    <row r="1903" spans="58:58">
      <c r="BF1903" s="298"/>
    </row>
    <row r="1904" spans="58:58">
      <c r="BF1904" s="298"/>
    </row>
    <row r="1905" spans="58:58">
      <c r="BF1905" s="298"/>
    </row>
    <row r="1906" spans="58:58">
      <c r="BF1906" s="298"/>
    </row>
    <row r="1907" spans="58:58">
      <c r="BF1907" s="298"/>
    </row>
    <row r="1908" spans="58:58">
      <c r="BF1908" s="298"/>
    </row>
    <row r="1909" spans="58:58">
      <c r="BF1909" s="298"/>
    </row>
    <row r="1910" spans="58:58">
      <c r="BF1910" s="298"/>
    </row>
    <row r="1911" spans="58:58">
      <c r="BF1911" s="298"/>
    </row>
    <row r="1912" spans="58:58">
      <c r="BF1912" s="298"/>
    </row>
    <row r="1913" spans="58:58">
      <c r="BF1913" s="298"/>
    </row>
    <row r="1914" spans="58:58">
      <c r="BF1914" s="298"/>
    </row>
    <row r="1915" spans="58:58">
      <c r="BF1915" s="298"/>
    </row>
    <row r="1916" spans="58:58">
      <c r="BF1916" s="298"/>
    </row>
    <row r="1917" spans="58:58">
      <c r="BF1917" s="298"/>
    </row>
    <row r="1918" spans="58:58">
      <c r="BF1918" s="298"/>
    </row>
    <row r="1919" spans="58:58">
      <c r="BF1919" s="298"/>
    </row>
    <row r="1920" spans="58:58">
      <c r="BF1920" s="298"/>
    </row>
    <row r="1921" spans="58:58">
      <c r="BF1921" s="298"/>
    </row>
    <row r="1922" spans="58:58">
      <c r="BF1922" s="298"/>
    </row>
    <row r="1923" spans="58:58">
      <c r="BF1923" s="298"/>
    </row>
    <row r="1924" spans="58:58">
      <c r="BF1924" s="298"/>
    </row>
    <row r="1925" spans="58:58">
      <c r="BF1925" s="298"/>
    </row>
    <row r="1926" spans="58:58">
      <c r="BF1926" s="298"/>
    </row>
    <row r="1927" spans="58:58">
      <c r="BF1927" s="298"/>
    </row>
    <row r="1928" spans="58:58">
      <c r="BF1928" s="298"/>
    </row>
    <row r="1929" spans="58:58">
      <c r="BF1929" s="298"/>
    </row>
    <row r="1930" spans="58:58">
      <c r="BF1930" s="298"/>
    </row>
    <row r="1931" spans="58:58">
      <c r="BF1931" s="298"/>
    </row>
    <row r="1932" spans="58:58">
      <c r="BF1932" s="298"/>
    </row>
    <row r="1933" spans="58:58">
      <c r="BF1933" s="298"/>
    </row>
    <row r="1934" spans="58:58">
      <c r="BF1934" s="298"/>
    </row>
    <row r="1935" spans="58:58">
      <c r="BF1935" s="298"/>
    </row>
    <row r="1936" spans="58:58">
      <c r="BF1936" s="298"/>
    </row>
    <row r="1937" spans="58:58">
      <c r="BF1937" s="298"/>
    </row>
    <row r="1938" spans="58:58">
      <c r="BF1938" s="298"/>
    </row>
    <row r="1939" spans="58:58">
      <c r="BF1939" s="298"/>
    </row>
    <row r="1940" spans="58:58">
      <c r="BF1940" s="298"/>
    </row>
    <row r="1941" spans="58:58">
      <c r="BF1941" s="298"/>
    </row>
    <row r="1942" spans="58:58">
      <c r="BF1942" s="298"/>
    </row>
    <row r="1943" spans="58:58">
      <c r="BF1943" s="298"/>
    </row>
    <row r="1944" spans="58:58">
      <c r="BF1944" s="298"/>
    </row>
    <row r="1945" spans="58:58">
      <c r="BF1945" s="298"/>
    </row>
    <row r="1946" spans="58:58">
      <c r="BF1946" s="298"/>
    </row>
    <row r="1947" spans="58:58">
      <c r="BF1947" s="298"/>
    </row>
    <row r="1948" spans="58:58">
      <c r="BF1948" s="298"/>
    </row>
    <row r="1949" spans="58:58">
      <c r="BF1949" s="298"/>
    </row>
    <row r="1950" spans="58:58">
      <c r="BF1950" s="298"/>
    </row>
    <row r="1951" spans="58:58">
      <c r="BF1951" s="298"/>
    </row>
    <row r="1952" spans="58:58">
      <c r="BF1952" s="298"/>
    </row>
    <row r="1953" spans="58:58">
      <c r="BF1953" s="298"/>
    </row>
    <row r="1954" spans="58:58">
      <c r="BF1954" s="298"/>
    </row>
    <row r="1955" spans="58:58">
      <c r="BF1955" s="298"/>
    </row>
    <row r="1956" spans="58:58">
      <c r="BF1956" s="298"/>
    </row>
    <row r="1957" spans="58:58">
      <c r="BF1957" s="298"/>
    </row>
    <row r="1958" spans="58:58">
      <c r="BF1958" s="298"/>
    </row>
    <row r="1959" spans="58:58">
      <c r="BF1959" s="298"/>
    </row>
    <row r="1960" spans="58:58">
      <c r="BF1960" s="298"/>
    </row>
    <row r="1961" spans="58:58">
      <c r="BF1961" s="298"/>
    </row>
    <row r="1962" spans="58:58">
      <c r="BF1962" s="298"/>
    </row>
    <row r="1963" spans="58:58">
      <c r="BF1963" s="298"/>
    </row>
    <row r="1964" spans="58:58">
      <c r="BF1964" s="298"/>
    </row>
    <row r="1965" spans="58:58">
      <c r="BF1965" s="298"/>
    </row>
    <row r="1966" spans="58:58">
      <c r="BF1966" s="298"/>
    </row>
    <row r="1967" spans="58:58">
      <c r="BF1967" s="298"/>
    </row>
    <row r="1968" spans="58:58">
      <c r="BF1968" s="298"/>
    </row>
    <row r="1969" spans="58:58">
      <c r="BF1969" s="298"/>
    </row>
    <row r="1970" spans="58:58">
      <c r="BF1970" s="298"/>
    </row>
    <row r="1971" spans="58:58">
      <c r="BF1971" s="298"/>
    </row>
    <row r="1972" spans="58:58">
      <c r="BF1972" s="298"/>
    </row>
    <row r="1973" spans="58:58">
      <c r="BF1973" s="298"/>
    </row>
    <row r="1974" spans="58:58">
      <c r="BF1974" s="298"/>
    </row>
    <row r="1975" spans="58:58">
      <c r="BF1975" s="298"/>
    </row>
    <row r="1976" spans="58:58">
      <c r="BF1976" s="298"/>
    </row>
    <row r="1977" spans="58:58">
      <c r="BF1977" s="298"/>
    </row>
    <row r="1978" spans="58:58">
      <c r="BF1978" s="298"/>
    </row>
    <row r="1979" spans="58:58">
      <c r="BF1979" s="298"/>
    </row>
    <row r="1980" spans="58:58">
      <c r="BF1980" s="298"/>
    </row>
    <row r="1981" spans="58:58">
      <c r="BF1981" s="298"/>
    </row>
    <row r="1982" spans="58:58">
      <c r="BF1982" s="298"/>
    </row>
    <row r="1983" spans="58:58">
      <c r="BF1983" s="298"/>
    </row>
    <row r="1984" spans="58:58">
      <c r="BF1984" s="298"/>
    </row>
    <row r="1985" spans="58:58">
      <c r="BF1985" s="298"/>
    </row>
    <row r="1986" spans="58:58">
      <c r="BF1986" s="298"/>
    </row>
    <row r="1987" spans="58:58">
      <c r="BF1987" s="298"/>
    </row>
    <row r="1988" spans="58:58">
      <c r="BF1988" s="298"/>
    </row>
    <row r="1989" spans="58:58">
      <c r="BF1989" s="298"/>
    </row>
    <row r="1990" spans="58:58">
      <c r="BF1990" s="298"/>
    </row>
    <row r="1991" spans="58:58">
      <c r="BF1991" s="298"/>
    </row>
    <row r="1992" spans="58:58">
      <c r="BF1992" s="298"/>
    </row>
    <row r="1993" spans="58:58">
      <c r="BF1993" s="298"/>
    </row>
    <row r="1994" spans="58:58">
      <c r="BF1994" s="298"/>
    </row>
    <row r="1995" spans="58:58">
      <c r="BF1995" s="298"/>
    </row>
    <row r="1996" spans="58:58">
      <c r="BF1996" s="298"/>
    </row>
    <row r="1997" spans="58:58">
      <c r="BF1997" s="298"/>
    </row>
    <row r="1998" spans="58:58">
      <c r="BF1998" s="298"/>
    </row>
    <row r="1999" spans="58:58">
      <c r="BF1999" s="298"/>
    </row>
    <row r="2000" spans="58:58">
      <c r="BF2000" s="298"/>
    </row>
    <row r="2001" spans="58:58">
      <c r="BF2001" s="298"/>
    </row>
    <row r="2002" spans="58:58">
      <c r="BF2002" s="298"/>
    </row>
    <row r="2003" spans="58:58">
      <c r="BF2003" s="298"/>
    </row>
  </sheetData>
  <mergeCells count="56">
    <mergeCell ref="V5:X6"/>
    <mergeCell ref="B1:M1"/>
    <mergeCell ref="L13:N16"/>
    <mergeCell ref="T18:T19"/>
    <mergeCell ref="B5:B6"/>
    <mergeCell ref="C5:D6"/>
    <mergeCell ref="E5:F6"/>
    <mergeCell ref="G5:H6"/>
    <mergeCell ref="I5:J6"/>
    <mergeCell ref="L5:N6"/>
    <mergeCell ref="P5:R6"/>
    <mergeCell ref="T5:T6"/>
    <mergeCell ref="AC5:BD6"/>
    <mergeCell ref="AC7:AC9"/>
    <mergeCell ref="AD7:AD9"/>
    <mergeCell ref="AE7:AE9"/>
    <mergeCell ref="AF7:AF9"/>
    <mergeCell ref="AG7:AG9"/>
    <mergeCell ref="AH7:AH9"/>
    <mergeCell ref="AI7:AI9"/>
    <mergeCell ref="AJ7:AJ9"/>
    <mergeCell ref="AK7:AK9"/>
    <mergeCell ref="AL7:AL9"/>
    <mergeCell ref="AM7:AM9"/>
    <mergeCell ref="AN7:AN9"/>
    <mergeCell ref="AO7:AO9"/>
    <mergeCell ref="AP7:AP9"/>
    <mergeCell ref="AQ7:AQ9"/>
    <mergeCell ref="BC7:BC9"/>
    <mergeCell ref="BD7:BD9"/>
    <mergeCell ref="AC104:AH105"/>
    <mergeCell ref="AW7:AW9"/>
    <mergeCell ref="AX7:AX9"/>
    <mergeCell ref="AY7:AY9"/>
    <mergeCell ref="AZ7:AZ9"/>
    <mergeCell ref="BA7:BA9"/>
    <mergeCell ref="AR7:AR9"/>
    <mergeCell ref="AS7:AS9"/>
    <mergeCell ref="AT7:AT9"/>
    <mergeCell ref="AU7:AU9"/>
    <mergeCell ref="AV7:AV9"/>
    <mergeCell ref="B30:J31"/>
    <mergeCell ref="L17:N18"/>
    <mergeCell ref="P27:R27"/>
    <mergeCell ref="P33:R34"/>
    <mergeCell ref="BB7:BB9"/>
    <mergeCell ref="P57:R59"/>
    <mergeCell ref="F35:H36"/>
    <mergeCell ref="I35:I36"/>
    <mergeCell ref="J35:J36"/>
    <mergeCell ref="P60:R61"/>
    <mergeCell ref="B35:B36"/>
    <mergeCell ref="C35:C36"/>
    <mergeCell ref="D35:D36"/>
    <mergeCell ref="F76:J78"/>
    <mergeCell ref="F33:J34"/>
  </mergeCells>
  <conditionalFormatting sqref="P22:P26 P52:P56">
    <cfRule type="expression" dxfId="45" priority="182">
      <formula>$D$43="Building Area Method"</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 id="{B098EDDF-DD02-41A3-9A40-F22AB7CD1733}">
            <xm:f>$B8=VLOOKUP('General Information'!$D$23,xyLPD_BuildingArea,5,FALSE)</xm:f>
            <x14:dxf>
              <fill>
                <patternFill>
                  <bgColor rgb="FFFFFF00"/>
                </patternFill>
              </fill>
            </x14:dxf>
          </x14:cfRule>
          <xm:sqref>B8:J8 B10:J20 B9 G9:J9 B22:J29 B21 E21:J21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tabColor theme="7"/>
  </sheetPr>
  <dimension ref="A1:Q16"/>
  <sheetViews>
    <sheetView workbookViewId="0">
      <selection activeCell="G8" sqref="G8"/>
    </sheetView>
  </sheetViews>
  <sheetFormatPr defaultColWidth="0" defaultRowHeight="12.75" zeroHeight="1"/>
  <cols>
    <col min="1" max="1" width="8.75" style="867" customWidth="1"/>
    <col min="2" max="2" width="19.5" style="867" customWidth="1"/>
    <col min="3" max="3" width="18.125" style="867" bestFit="1" customWidth="1"/>
    <col min="4" max="9" width="7.75" style="867" customWidth="1"/>
    <col min="10" max="14" width="16.75" style="867" customWidth="1"/>
    <col min="15" max="15" width="2.25" style="867" customWidth="1"/>
    <col min="16" max="16" width="12.75" style="867" hidden="1" customWidth="1"/>
    <col min="17" max="17" width="0" style="867" hidden="1" customWidth="1"/>
    <col min="18" max="16384" width="8.75" style="867" hidden="1"/>
  </cols>
  <sheetData>
    <row r="1" spans="1:14"/>
    <row r="2" spans="1:14" ht="28.9" customHeight="1">
      <c r="B2" s="868" t="s">
        <v>1828</v>
      </c>
      <c r="C2" s="868" t="s">
        <v>1829</v>
      </c>
      <c r="D2" s="1148" t="s">
        <v>1830</v>
      </c>
      <c r="E2" s="1148"/>
      <c r="F2" s="1148"/>
      <c r="G2" s="1148" t="s">
        <v>1831</v>
      </c>
      <c r="H2" s="1148"/>
      <c r="I2" s="1148"/>
    </row>
    <row r="3" spans="1:14" ht="28.9" customHeight="1">
      <c r="B3" s="869">
        <f>Building_Type</f>
        <v>0</v>
      </c>
      <c r="C3" s="870">
        <f>Cool_Type</f>
        <v>0</v>
      </c>
      <c r="D3" s="1149">
        <f>IF(B3=0,0,INDEX(xyHOU_CF_IF,MATCH(IF(PRJ_Type="New Construction",INDEX(Lookups!$J$37:$K$73,MATCH(Building_Type,Lookups!$F$37:$F$73,1),1),Building_Type),yBldgType,0),2))</f>
        <v>0</v>
      </c>
      <c r="E3" s="1149"/>
      <c r="F3" s="1149"/>
      <c r="G3" s="1149">
        <f>IF(B3=0,0,INDEX(xyHOU_CF_IF,MATCH(IF(PRJ_Type="New Construction",INDEX(Lookups!$J$37:$K$73,MATCH(Building_Type,Lookups!$F$37:$F$73,1),1),Building_Type),yBldgType,0),4))</f>
        <v>0</v>
      </c>
      <c r="H3" s="1149"/>
      <c r="I3" s="1149"/>
    </row>
    <row r="4" spans="1:14"/>
    <row r="5" spans="1:14" ht="13.15" customHeight="1">
      <c r="A5" s="1143" t="s">
        <v>1832</v>
      </c>
      <c r="B5" s="1146" t="s">
        <v>1833</v>
      </c>
      <c r="C5" s="1146" t="s">
        <v>1834</v>
      </c>
      <c r="D5" s="1147" t="s">
        <v>1835</v>
      </c>
      <c r="E5" s="1147"/>
      <c r="F5" s="1147" t="s">
        <v>622</v>
      </c>
      <c r="G5" s="1147"/>
      <c r="H5" s="1147" t="s">
        <v>624</v>
      </c>
      <c r="I5" s="1147"/>
      <c r="J5" s="1146" t="s">
        <v>1836</v>
      </c>
      <c r="K5" s="1146" t="s">
        <v>1837</v>
      </c>
      <c r="L5" s="1146" t="s">
        <v>1838</v>
      </c>
      <c r="M5" s="1146" t="s">
        <v>1839</v>
      </c>
      <c r="N5" s="1146" t="s">
        <v>1840</v>
      </c>
    </row>
    <row r="6" spans="1:14">
      <c r="A6" s="1144"/>
      <c r="B6" s="1146"/>
      <c r="C6" s="1146"/>
      <c r="D6" s="871" t="s">
        <v>1841</v>
      </c>
      <c r="E6" s="871" t="s">
        <v>1842</v>
      </c>
      <c r="F6" s="871" t="s">
        <v>1841</v>
      </c>
      <c r="G6" s="871" t="s">
        <v>1842</v>
      </c>
      <c r="H6" s="871" t="s">
        <v>1841</v>
      </c>
      <c r="I6" s="871" t="s">
        <v>1842</v>
      </c>
      <c r="J6" s="1146"/>
      <c r="K6" s="1146"/>
      <c r="L6" s="1146"/>
      <c r="M6" s="1146"/>
      <c r="N6" s="1146"/>
    </row>
    <row r="7" spans="1:14" ht="23.25" hidden="1" customHeight="1">
      <c r="A7" s="1144"/>
      <c r="B7" s="877" t="s">
        <v>5054</v>
      </c>
      <c r="C7" s="878" t="s">
        <v>692</v>
      </c>
      <c r="D7" s="879">
        <v>0.72916666666666696</v>
      </c>
      <c r="E7" s="879">
        <v>0.20833333333333301</v>
      </c>
      <c r="F7" s="879">
        <v>0.72916666666666696</v>
      </c>
      <c r="G7" s="879">
        <v>0.20833333333333301</v>
      </c>
      <c r="H7" s="879">
        <v>0.72916666666666696</v>
      </c>
      <c r="I7" s="879">
        <v>0.20833333333333301</v>
      </c>
      <c r="J7" s="878">
        <v>0</v>
      </c>
      <c r="K7" s="880">
        <v>52</v>
      </c>
      <c r="L7" s="880">
        <v>0</v>
      </c>
      <c r="M7" s="872">
        <f>IF('General Information'!$R$27&gt;0,'General Information'!$R$27,"")</f>
        <v>4306</v>
      </c>
      <c r="N7" s="873"/>
    </row>
    <row r="8" spans="1:14" ht="28.9" customHeight="1">
      <c r="A8" s="1144"/>
      <c r="B8" s="877"/>
      <c r="C8" s="881"/>
      <c r="D8" s="879"/>
      <c r="E8" s="879"/>
      <c r="F8" s="879"/>
      <c r="G8" s="879"/>
      <c r="H8" s="879"/>
      <c r="I8" s="879"/>
      <c r="J8" s="878"/>
      <c r="K8" s="880"/>
      <c r="L8" s="880"/>
      <c r="M8" s="874" t="str">
        <f>IF('General Information'!$T$27&gt;0,'General Information'!$T$27,"")</f>
        <v/>
      </c>
      <c r="N8" s="875"/>
    </row>
    <row r="9" spans="1:14" ht="28.9" customHeight="1">
      <c r="A9" s="1144"/>
      <c r="B9" s="877"/>
      <c r="C9" s="881"/>
      <c r="D9" s="879"/>
      <c r="E9" s="879"/>
      <c r="F9" s="879"/>
      <c r="G9" s="879"/>
      <c r="H9" s="879"/>
      <c r="I9" s="879"/>
      <c r="J9" s="878"/>
      <c r="K9" s="880"/>
      <c r="L9" s="880"/>
      <c r="M9" s="874" t="str">
        <f>IF('General Information'!$V$27&gt;0,'General Information'!$V$27,"")</f>
        <v/>
      </c>
      <c r="N9" s="875"/>
    </row>
    <row r="10" spans="1:14" ht="28.9" customHeight="1">
      <c r="A10" s="1144"/>
      <c r="B10" s="877"/>
      <c r="C10" s="881"/>
      <c r="D10" s="879"/>
      <c r="E10" s="879"/>
      <c r="F10" s="879"/>
      <c r="G10" s="879"/>
      <c r="H10" s="879"/>
      <c r="I10" s="879"/>
      <c r="J10" s="878"/>
      <c r="K10" s="880"/>
      <c r="L10" s="880"/>
      <c r="M10" s="874" t="str">
        <f>IF('General Information'!$Y$27&gt;0,'General Information'!$Y$27,"")</f>
        <v/>
      </c>
      <c r="N10" s="875"/>
    </row>
    <row r="11" spans="1:14" ht="28.9" customHeight="1">
      <c r="A11" s="1144"/>
      <c r="B11" s="877"/>
      <c r="C11" s="881"/>
      <c r="D11" s="879"/>
      <c r="E11" s="879"/>
      <c r="F11" s="879"/>
      <c r="G11" s="879"/>
      <c r="H11" s="879"/>
      <c r="I11" s="879"/>
      <c r="J11" s="878"/>
      <c r="K11" s="880"/>
      <c r="L11" s="880"/>
      <c r="M11" s="874" t="str">
        <f>IF('General Information'!$AB$27&gt;0,'General Information'!$AB$27,"")</f>
        <v/>
      </c>
      <c r="N11" s="875"/>
    </row>
    <row r="12" spans="1:14" ht="28.9" customHeight="1">
      <c r="A12" s="1145"/>
      <c r="B12" s="877"/>
      <c r="C12" s="881"/>
      <c r="D12" s="879"/>
      <c r="E12" s="879"/>
      <c r="F12" s="879"/>
      <c r="G12" s="879"/>
      <c r="H12" s="879"/>
      <c r="I12" s="879"/>
      <c r="J12" s="878"/>
      <c r="K12" s="880"/>
      <c r="L12" s="880"/>
      <c r="M12" s="876" t="str">
        <f>IF('General Information'!$AD$27&gt;0,'General Information'!$AD$27,"")</f>
        <v/>
      </c>
      <c r="N12" s="875"/>
    </row>
    <row r="13" spans="1:14"/>
    <row r="14" spans="1:14"/>
    <row r="15" spans="1:14"/>
    <row r="16" spans="1:14"/>
  </sheetData>
  <sheetProtection algorithmName="SHA-512" hashValue="0xGFNsKozVM6VYuzxBF41M/BpefFw5C/3PMRYrxVYvta89NBxPQGCk0fUCk12q8/DSgtayHauZU9uiqK2yYknQ==" saltValue="GVPiZXf2vQmJwBYBq0tvtw==" spinCount="100000" sheet="1" objects="1" scenarios="1"/>
  <protectedRanges>
    <protectedRange sqref="B7:L12" name="Range1"/>
    <protectedRange sqref="N7:N12" name="Range2"/>
  </protectedRanges>
  <dataConsolidate/>
  <mergeCells count="15">
    <mergeCell ref="D2:F2"/>
    <mergeCell ref="D3:F3"/>
    <mergeCell ref="G2:I2"/>
    <mergeCell ref="G3:I3"/>
    <mergeCell ref="N5:N6"/>
    <mergeCell ref="A5:A12"/>
    <mergeCell ref="M5:M6"/>
    <mergeCell ref="C5:C6"/>
    <mergeCell ref="D5:E5"/>
    <mergeCell ref="F5:G5"/>
    <mergeCell ref="B5:B6"/>
    <mergeCell ref="H5:I5"/>
    <mergeCell ref="J5:J6"/>
    <mergeCell ref="K5:K6"/>
    <mergeCell ref="L5:L6"/>
  </mergeCells>
  <conditionalFormatting sqref="E7">
    <cfRule type="expression" dxfId="43" priority="66">
      <formula>OR(D7="24 hrs",D7="Off")</formula>
    </cfRule>
  </conditionalFormatting>
  <conditionalFormatting sqref="G9:G12">
    <cfRule type="expression" dxfId="42" priority="63">
      <formula>OR(F9="24 hrs",F9="Off")</formula>
    </cfRule>
  </conditionalFormatting>
  <conditionalFormatting sqref="I9:I12">
    <cfRule type="expression" dxfId="41" priority="61">
      <formula>OR(H9="24 hrs",H9="Off")</formula>
    </cfRule>
  </conditionalFormatting>
  <conditionalFormatting sqref="E8">
    <cfRule type="expression" dxfId="40" priority="59">
      <formula>OR(D8="24 hrs",D8="Off")</formula>
    </cfRule>
    <cfRule type="expression" dxfId="39" priority="65">
      <formula>OR(D8="24 hrs",D8="Off")</formula>
    </cfRule>
  </conditionalFormatting>
  <conditionalFormatting sqref="E9">
    <cfRule type="expression" dxfId="38" priority="56">
      <formula>OR(D9="24 hrs",D9="Off")</formula>
    </cfRule>
  </conditionalFormatting>
  <conditionalFormatting sqref="G9">
    <cfRule type="expression" dxfId="37" priority="55">
      <formula>OR(F9="24 hrs",F9="Off")</formula>
    </cfRule>
  </conditionalFormatting>
  <conditionalFormatting sqref="I9">
    <cfRule type="expression" dxfId="36" priority="54">
      <formula>OR(H9="24 hrs",H9="Off")</formula>
    </cfRule>
  </conditionalFormatting>
  <conditionalFormatting sqref="E10">
    <cfRule type="expression" dxfId="35" priority="53">
      <formula>OR(D10="24 hrs",D10="Off")</formula>
    </cfRule>
  </conditionalFormatting>
  <conditionalFormatting sqref="G10">
    <cfRule type="expression" dxfId="34" priority="52">
      <formula>OR(F10="24 hrs",F10="Off")</formula>
    </cfRule>
  </conditionalFormatting>
  <conditionalFormatting sqref="I10">
    <cfRule type="expression" dxfId="33" priority="51">
      <formula>OR(H10="24 hrs",H10="Off")</formula>
    </cfRule>
  </conditionalFormatting>
  <conditionalFormatting sqref="E11">
    <cfRule type="expression" dxfId="32" priority="50">
      <formula>OR(D11="24 hrs",D11="Off")</formula>
    </cfRule>
  </conditionalFormatting>
  <conditionalFormatting sqref="G11">
    <cfRule type="expression" dxfId="31" priority="49">
      <formula>OR(F11="24 hrs",F11="Off")</formula>
    </cfRule>
  </conditionalFormatting>
  <conditionalFormatting sqref="I11">
    <cfRule type="expression" dxfId="30" priority="48">
      <formula>OR(H11="24 hrs",H11="Off")</formula>
    </cfRule>
  </conditionalFormatting>
  <conditionalFormatting sqref="E12">
    <cfRule type="expression" dxfId="29" priority="47">
      <formula>OR(D12="24 hrs",D12="Off")</formula>
    </cfRule>
  </conditionalFormatting>
  <conditionalFormatting sqref="G12">
    <cfRule type="expression" dxfId="28" priority="46">
      <formula>OR(F12="24 hrs",F12="Off")</formula>
    </cfRule>
  </conditionalFormatting>
  <conditionalFormatting sqref="I12">
    <cfRule type="expression" dxfId="27" priority="45">
      <formula>OR(H12="24 hrs",H12="Off")</formula>
    </cfRule>
  </conditionalFormatting>
  <conditionalFormatting sqref="G10">
    <cfRule type="expression" dxfId="26" priority="41">
      <formula>OR(F10="24 hrs",F10="Off")</formula>
    </cfRule>
  </conditionalFormatting>
  <conditionalFormatting sqref="G9">
    <cfRule type="expression" dxfId="25" priority="42">
      <formula>OR(F9="24 hrs",F9="Off")</formula>
    </cfRule>
  </conditionalFormatting>
  <conditionalFormatting sqref="G11">
    <cfRule type="expression" dxfId="24" priority="40">
      <formula>OR(F11="24 hrs",F11="Off")</formula>
    </cfRule>
  </conditionalFormatting>
  <conditionalFormatting sqref="G12">
    <cfRule type="expression" dxfId="23" priority="39">
      <formula>OR(F12="24 hrs",F12="Off")</formula>
    </cfRule>
  </conditionalFormatting>
  <conditionalFormatting sqref="I12">
    <cfRule type="expression" dxfId="22" priority="38">
      <formula>OR(H12="24 hrs",H12="Off")</formula>
    </cfRule>
  </conditionalFormatting>
  <conditionalFormatting sqref="I12">
    <cfRule type="expression" dxfId="21" priority="37">
      <formula>OR(H12="24 hrs",H12="Off")</formula>
    </cfRule>
  </conditionalFormatting>
  <conditionalFormatting sqref="I12">
    <cfRule type="expression" dxfId="20" priority="36">
      <formula>OR(H12="24 hrs",H12="Off")</formula>
    </cfRule>
  </conditionalFormatting>
  <conditionalFormatting sqref="E7">
    <cfRule type="expression" dxfId="19" priority="32">
      <formula>OR(D7="24 hrs",D7="Off")</formula>
    </cfRule>
  </conditionalFormatting>
  <conditionalFormatting sqref="E7">
    <cfRule type="expression" dxfId="18" priority="29">
      <formula>OR(D7="24 hrs",D7="Off")</formula>
    </cfRule>
  </conditionalFormatting>
  <conditionalFormatting sqref="N5:N12">
    <cfRule type="expression" dxfId="17" priority="13">
      <formula>PRJ_Type&lt;&gt;"New Construction"</formula>
    </cfRule>
  </conditionalFormatting>
  <conditionalFormatting sqref="G8">
    <cfRule type="expression" dxfId="16" priority="9">
      <formula>OR(F8="24 hrs",F8="Off")</formula>
    </cfRule>
    <cfRule type="expression" dxfId="15" priority="10">
      <formula>OR(F8="24 hrs",F8="Off")</formula>
    </cfRule>
  </conditionalFormatting>
  <conditionalFormatting sqref="I8">
    <cfRule type="expression" dxfId="14" priority="7">
      <formula>OR(H8="24 hrs",H8="Off")</formula>
    </cfRule>
    <cfRule type="expression" dxfId="13" priority="8">
      <formula>OR(H8="24 hrs",H8="Off")</formula>
    </cfRule>
  </conditionalFormatting>
  <conditionalFormatting sqref="G7">
    <cfRule type="expression" dxfId="12" priority="6">
      <formula>OR(F7="24 hrs",F7="Off")</formula>
    </cfRule>
  </conditionalFormatting>
  <conditionalFormatting sqref="G7">
    <cfRule type="expression" dxfId="11" priority="5">
      <formula>OR(F7="24 hrs",F7="Off")</formula>
    </cfRule>
  </conditionalFormatting>
  <conditionalFormatting sqref="G7">
    <cfRule type="expression" dxfId="10" priority="4">
      <formula>OR(F7="24 hrs",F7="Off")</formula>
    </cfRule>
  </conditionalFormatting>
  <conditionalFormatting sqref="I7">
    <cfRule type="expression" dxfId="9" priority="3">
      <formula>OR(H7="24 hrs",H7="Off")</formula>
    </cfRule>
  </conditionalFormatting>
  <conditionalFormatting sqref="I7">
    <cfRule type="expression" dxfId="8" priority="2">
      <formula>OR(H7="24 hrs",H7="Off")</formula>
    </cfRule>
  </conditionalFormatting>
  <conditionalFormatting sqref="I7">
    <cfRule type="expression" dxfId="7" priority="1">
      <formula>OR(H7="24 hrs",H7="Off")</formula>
    </cfRule>
  </conditionalFormatting>
  <dataValidations count="7">
    <dataValidation type="list" allowBlank="1" showInputMessage="1" showErrorMessage="1" sqref="D7:I12" xr:uid="{00000000-0002-0000-0400-000000000000}">
      <formula1>yTimes</formula1>
    </dataValidation>
    <dataValidation type="list" allowBlank="1" showInputMessage="1" showErrorMessage="1" sqref="C7:C12" xr:uid="{00000000-0002-0000-0400-000001000000}">
      <formula1>yCooling_Type</formula1>
    </dataValidation>
    <dataValidation allowBlank="1" showInputMessage="1" showErrorMessage="1" prompt="The number of weeks the facility is unoccupied during the months of June, July, and Augsust." sqref="L8" xr:uid="{00000000-0002-0000-0400-000002000000}"/>
    <dataValidation allowBlank="1" showInputMessage="1" showErrorMessage="1" prompt="The number of weeks the facility operates at the custom schedules provided." sqref="K8" xr:uid="{00000000-0002-0000-0400-000003000000}"/>
    <dataValidation allowBlank="1" showInputMessage="1" showErrorMessage="1" prompt="The number of days the facility shuts down completely." sqref="J8" xr:uid="{00000000-0002-0000-0400-000004000000}"/>
    <dataValidation type="list" allowBlank="1" showInputMessage="1" showErrorMessage="1" sqref="N7" xr:uid="{00000000-0002-0000-0400-000005000000}">
      <formula1>yNCSpaces</formula1>
    </dataValidation>
    <dataValidation allowBlank="1" showInputMessage="1" showErrorMessage="1" prompt="For a New Construction project, enter the Square Footage of this Usage Group." sqref="N8:N12" xr:uid="{00000000-0002-0000-0400-000006000000}"/>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8"/>
  </sheetPr>
  <dimension ref="A1:V187"/>
  <sheetViews>
    <sheetView workbookViewId="0">
      <selection activeCell="G6" sqref="G6"/>
    </sheetView>
  </sheetViews>
  <sheetFormatPr defaultColWidth="9" defaultRowHeight="15"/>
  <cols>
    <col min="1" max="1" width="3.625" style="74" customWidth="1"/>
    <col min="2" max="2" width="2.625" style="74" customWidth="1"/>
    <col min="3" max="3" width="3.625" style="74" customWidth="1"/>
    <col min="4" max="4" width="5.625" style="74" customWidth="1"/>
    <col min="5" max="5" width="12.25" style="74" customWidth="1"/>
    <col min="6" max="6" width="25.625" style="74" customWidth="1"/>
    <col min="7" max="8" width="8.625" style="74" customWidth="1"/>
    <col min="9" max="9" width="23.625" style="74" customWidth="1"/>
    <col min="10" max="10" width="8.625" style="74" customWidth="1"/>
    <col min="11" max="11" width="5.625" style="74" customWidth="1"/>
    <col min="12" max="14" width="8.625" style="74" customWidth="1"/>
    <col min="15" max="22" width="9" style="74"/>
  </cols>
  <sheetData>
    <row r="1" spans="1:22" ht="15" customHeight="1"/>
    <row r="2" spans="1:22" s="7" customFormat="1" ht="21.75">
      <c r="A2" s="285"/>
      <c r="B2" s="2" t="s">
        <v>1843</v>
      </c>
      <c r="C2" s="3"/>
      <c r="D2" s="3"/>
      <c r="E2" s="3"/>
      <c r="F2" s="3"/>
      <c r="G2" s="3"/>
      <c r="H2" s="3"/>
      <c r="I2" s="3"/>
      <c r="J2" s="3"/>
      <c r="K2" s="3"/>
      <c r="L2" s="3"/>
      <c r="M2" s="3"/>
      <c r="N2" s="3"/>
      <c r="O2" s="3"/>
      <c r="P2" s="3"/>
      <c r="Q2" s="3"/>
      <c r="R2" s="3"/>
      <c r="S2" s="3"/>
      <c r="T2" s="3"/>
      <c r="U2" s="3"/>
      <c r="V2" s="3"/>
    </row>
    <row r="3" spans="1:22" s="19" customFormat="1" ht="16.5">
      <c r="A3" s="4"/>
      <c r="B3" s="6" t="s">
        <v>1844</v>
      </c>
      <c r="C3" s="5"/>
      <c r="D3" s="5"/>
      <c r="E3" s="5"/>
      <c r="F3" s="5"/>
      <c r="G3" s="5"/>
      <c r="H3" s="5"/>
      <c r="I3" s="5"/>
      <c r="J3" s="5"/>
      <c r="K3" s="5"/>
      <c r="L3" s="5"/>
      <c r="M3" s="5"/>
      <c r="N3" s="5"/>
      <c r="O3" s="5"/>
      <c r="P3" s="5"/>
      <c r="Q3" s="5"/>
      <c r="R3" s="5"/>
      <c r="S3" s="5"/>
      <c r="T3" s="5"/>
      <c r="U3" s="5"/>
      <c r="V3" s="5"/>
    </row>
    <row r="4" spans="1:22" ht="9.75" customHeight="1" thickBot="1">
      <c r="A4" s="302"/>
      <c r="B4" s="302"/>
      <c r="C4" s="302"/>
      <c r="D4" s="302"/>
      <c r="E4" s="302"/>
      <c r="F4" s="302"/>
      <c r="G4" s="302"/>
      <c r="H4" s="302"/>
      <c r="I4" s="302"/>
      <c r="J4" s="302"/>
      <c r="K4" s="302"/>
      <c r="L4" s="302"/>
      <c r="M4" s="302"/>
      <c r="N4" s="302"/>
      <c r="O4" s="302"/>
      <c r="P4" s="302"/>
      <c r="Q4" s="302"/>
      <c r="R4" s="302"/>
      <c r="S4" s="302"/>
      <c r="T4" s="302"/>
      <c r="U4" s="302"/>
      <c r="V4" s="302"/>
    </row>
    <row r="5" spans="1:22" ht="9.75" customHeight="1"/>
    <row r="6" spans="1:22" ht="15.75">
      <c r="B6" s="303" t="s">
        <v>1845</v>
      </c>
    </row>
    <row r="7" spans="1:22">
      <c r="C7" s="74" t="s">
        <v>1846</v>
      </c>
      <c r="D7" s="331" t="s">
        <v>1847</v>
      </c>
    </row>
    <row r="8" spans="1:22">
      <c r="C8" s="74" t="s">
        <v>1848</v>
      </c>
      <c r="D8" s="331" t="s">
        <v>1849</v>
      </c>
    </row>
    <row r="9" spans="1:22">
      <c r="C9" s="74" t="s">
        <v>1850</v>
      </c>
      <c r="D9" s="331" t="s">
        <v>1851</v>
      </c>
    </row>
    <row r="10" spans="1:22">
      <c r="C10" s="74" t="s">
        <v>1852</v>
      </c>
      <c r="D10" s="331" t="s">
        <v>1853</v>
      </c>
    </row>
    <row r="11" spans="1:22">
      <c r="C11" s="74" t="s">
        <v>1854</v>
      </c>
      <c r="D11" s="331" t="s">
        <v>1855</v>
      </c>
    </row>
    <row r="12" spans="1:22" ht="15.75" thickBot="1">
      <c r="A12" s="302"/>
      <c r="B12" s="302"/>
      <c r="C12" s="302"/>
      <c r="D12" s="302"/>
      <c r="E12" s="302"/>
      <c r="F12" s="302"/>
      <c r="G12" s="302"/>
      <c r="H12" s="302"/>
      <c r="I12" s="302"/>
      <c r="J12" s="302"/>
      <c r="K12" s="302"/>
      <c r="L12" s="302"/>
      <c r="M12" s="302"/>
      <c r="N12" s="302"/>
      <c r="O12" s="302"/>
      <c r="P12" s="302"/>
      <c r="Q12" s="302"/>
      <c r="R12" s="302"/>
      <c r="S12" s="302"/>
      <c r="T12" s="302"/>
      <c r="U12" s="302"/>
      <c r="V12" s="302"/>
    </row>
    <row r="14" spans="1:22" ht="15.75">
      <c r="B14" s="303" t="s">
        <v>1856</v>
      </c>
    </row>
    <row r="15" spans="1:22">
      <c r="C15" s="74" t="s">
        <v>1857</v>
      </c>
    </row>
    <row r="16" spans="1:22">
      <c r="D16" s="74" t="s">
        <v>1858</v>
      </c>
    </row>
    <row r="17" spans="1:22">
      <c r="D17" s="74" t="s">
        <v>1859</v>
      </c>
    </row>
    <row r="18" spans="1:22">
      <c r="A18" s="305"/>
      <c r="B18" s="305"/>
      <c r="C18" s="305"/>
      <c r="D18" s="305"/>
      <c r="E18" s="305"/>
      <c r="F18" s="305"/>
      <c r="G18" s="305"/>
      <c r="H18" s="305"/>
      <c r="I18" s="305"/>
      <c r="J18" s="305"/>
      <c r="K18" s="305"/>
      <c r="L18" s="305"/>
      <c r="M18" s="305"/>
      <c r="N18" s="305"/>
      <c r="O18" s="305"/>
      <c r="P18" s="305"/>
      <c r="Q18" s="305"/>
      <c r="R18" s="305"/>
      <c r="S18" s="305"/>
      <c r="T18" s="305"/>
      <c r="U18" s="305"/>
      <c r="V18" s="305"/>
    </row>
    <row r="20" spans="1:22" ht="15.75">
      <c r="B20" s="303" t="s">
        <v>1860</v>
      </c>
    </row>
    <row r="21" spans="1:22">
      <c r="C21" s="74" t="s">
        <v>1861</v>
      </c>
    </row>
    <row r="23" spans="1:22">
      <c r="C23" s="1153" t="s">
        <v>1862</v>
      </c>
      <c r="D23" s="1153"/>
      <c r="E23" s="1153"/>
    </row>
    <row r="24" spans="1:22">
      <c r="C24" s="304"/>
      <c r="D24" s="306" t="s">
        <v>1863</v>
      </c>
    </row>
    <row r="25" spans="1:22" ht="15" customHeight="1">
      <c r="D25" s="1152" t="s">
        <v>1864</v>
      </c>
      <c r="E25" s="1152"/>
      <c r="F25" s="1152"/>
      <c r="G25" s="1152"/>
      <c r="H25" s="1152"/>
      <c r="I25" s="1152"/>
      <c r="J25" s="1152"/>
      <c r="K25" s="1152"/>
      <c r="L25" s="1152"/>
      <c r="M25" s="1152"/>
      <c r="N25" s="1152"/>
    </row>
    <row r="27" spans="1:22">
      <c r="C27" s="1153" t="s">
        <v>1865</v>
      </c>
      <c r="D27" s="1153"/>
      <c r="E27" s="1153"/>
    </row>
    <row r="28" spans="1:22">
      <c r="C28" s="304"/>
      <c r="D28" s="306" t="s">
        <v>1863</v>
      </c>
    </row>
    <row r="29" spans="1:22" ht="15" customHeight="1">
      <c r="D29" s="1152" t="s">
        <v>1866</v>
      </c>
      <c r="E29" s="1152"/>
      <c r="F29" s="1152"/>
      <c r="G29" s="1152"/>
      <c r="H29" s="1152"/>
      <c r="I29" s="1152"/>
      <c r="J29" s="1152"/>
      <c r="K29" s="1152"/>
      <c r="L29" s="1152"/>
      <c r="M29" s="1152"/>
      <c r="N29" s="1152"/>
    </row>
    <row r="31" spans="1:22">
      <c r="C31" s="1153" t="s">
        <v>1867</v>
      </c>
      <c r="D31" s="1153"/>
      <c r="E31" s="1153"/>
    </row>
    <row r="32" spans="1:22">
      <c r="C32" s="304"/>
      <c r="D32" s="306" t="s">
        <v>1863</v>
      </c>
    </row>
    <row r="33" spans="3:14" ht="31.5" customHeight="1">
      <c r="D33" s="1152" t="s">
        <v>1868</v>
      </c>
      <c r="E33" s="1152"/>
      <c r="F33" s="1152"/>
      <c r="G33" s="1152"/>
      <c r="H33" s="1152"/>
      <c r="I33" s="1152"/>
      <c r="J33" s="1152"/>
      <c r="K33" s="1152"/>
      <c r="L33" s="1152"/>
      <c r="M33" s="1152"/>
      <c r="N33" s="1152"/>
    </row>
    <row r="35" spans="3:14">
      <c r="C35" s="304" t="s">
        <v>1869</v>
      </c>
      <c r="D35" s="304"/>
      <c r="E35" s="304"/>
    </row>
    <row r="36" spans="3:14">
      <c r="C36" s="304"/>
      <c r="D36" s="307" t="s">
        <v>1870</v>
      </c>
    </row>
    <row r="37" spans="3:14" ht="47.25" customHeight="1">
      <c r="D37" s="1152" t="s">
        <v>1871</v>
      </c>
      <c r="E37" s="1152"/>
      <c r="F37" s="1152"/>
      <c r="G37" s="1152"/>
      <c r="H37" s="1152"/>
      <c r="I37" s="1152"/>
      <c r="J37" s="1152"/>
      <c r="K37" s="1152"/>
      <c r="L37" s="1152"/>
      <c r="M37" s="1152"/>
      <c r="N37" s="1152"/>
    </row>
    <row r="39" spans="3:14">
      <c r="C39" s="1153" t="s">
        <v>1872</v>
      </c>
      <c r="D39" s="1153"/>
      <c r="E39" s="1153"/>
    </row>
    <row r="40" spans="3:14">
      <c r="C40" s="304"/>
      <c r="D40" s="307" t="s">
        <v>1870</v>
      </c>
    </row>
    <row r="41" spans="3:14" ht="49.5" customHeight="1">
      <c r="D41" s="1152" t="s">
        <v>1873</v>
      </c>
      <c r="E41" s="1152"/>
      <c r="F41" s="1152"/>
      <c r="G41" s="1152"/>
      <c r="H41" s="1152"/>
      <c r="I41" s="1152"/>
      <c r="J41" s="1152"/>
      <c r="K41" s="1152"/>
      <c r="L41" s="1152"/>
      <c r="M41" s="1152"/>
      <c r="N41" s="1152"/>
    </row>
    <row r="43" spans="3:14">
      <c r="C43" s="1153" t="s">
        <v>1874</v>
      </c>
      <c r="D43" s="1153"/>
      <c r="E43" s="1153"/>
    </row>
    <row r="44" spans="3:14">
      <c r="C44" s="304"/>
      <c r="D44" s="306" t="s">
        <v>1875</v>
      </c>
    </row>
    <row r="45" spans="3:14" ht="76.5" customHeight="1">
      <c r="D45" s="1152" t="s">
        <v>1876</v>
      </c>
      <c r="E45" s="1152"/>
      <c r="F45" s="1152"/>
      <c r="G45" s="1152"/>
      <c r="H45" s="1152"/>
      <c r="I45" s="1152"/>
      <c r="J45" s="1152"/>
      <c r="K45" s="1152"/>
      <c r="L45" s="1152"/>
      <c r="M45" s="1152"/>
      <c r="N45" s="1152"/>
    </row>
    <row r="47" spans="3:14">
      <c r="C47" s="1153" t="s">
        <v>1877</v>
      </c>
      <c r="D47" s="1153"/>
      <c r="E47" s="1153"/>
    </row>
    <row r="48" spans="3:14">
      <c r="C48" s="304"/>
      <c r="D48" s="306" t="s">
        <v>1863</v>
      </c>
    </row>
    <row r="49" spans="1:22" ht="31.5" customHeight="1">
      <c r="D49" s="1152" t="s">
        <v>1878</v>
      </c>
      <c r="E49" s="1152"/>
      <c r="F49" s="1152"/>
      <c r="G49" s="1152"/>
      <c r="H49" s="1152"/>
      <c r="I49" s="1152"/>
      <c r="J49" s="1152"/>
      <c r="K49" s="1152"/>
      <c r="L49" s="1152"/>
      <c r="M49" s="1152"/>
      <c r="N49" s="1152"/>
    </row>
    <row r="51" spans="1:22">
      <c r="C51" s="1153" t="s">
        <v>1879</v>
      </c>
      <c r="D51" s="1153"/>
      <c r="E51" s="1153"/>
    </row>
    <row r="52" spans="1:22">
      <c r="C52" s="304"/>
      <c r="D52" s="306" t="s">
        <v>1863</v>
      </c>
    </row>
    <row r="53" spans="1:22" ht="31.5" customHeight="1">
      <c r="D53" s="1152" t="s">
        <v>1880</v>
      </c>
      <c r="E53" s="1152"/>
      <c r="F53" s="1152"/>
      <c r="G53" s="1152"/>
      <c r="H53" s="1152"/>
      <c r="I53" s="1152"/>
      <c r="J53" s="1152"/>
      <c r="K53" s="1152"/>
      <c r="L53" s="1152"/>
      <c r="M53" s="1152"/>
      <c r="N53" s="1152"/>
    </row>
    <row r="54" spans="1:22">
      <c r="A54" s="305"/>
      <c r="B54" s="305"/>
      <c r="C54" s="305"/>
      <c r="D54" s="305"/>
      <c r="E54" s="305"/>
      <c r="F54" s="305"/>
      <c r="G54" s="305"/>
      <c r="H54" s="305"/>
      <c r="I54" s="305"/>
      <c r="J54" s="305"/>
      <c r="K54" s="305"/>
      <c r="L54" s="305"/>
      <c r="M54" s="305"/>
      <c r="N54" s="305"/>
      <c r="O54" s="305"/>
      <c r="P54" s="305"/>
      <c r="Q54" s="305"/>
      <c r="R54" s="305"/>
      <c r="S54" s="305"/>
      <c r="T54" s="305"/>
      <c r="U54" s="305"/>
      <c r="V54" s="305"/>
    </row>
    <row r="56" spans="1:22" ht="15.75">
      <c r="B56" s="303" t="s">
        <v>1881</v>
      </c>
    </row>
    <row r="57" spans="1:22" ht="36" customHeight="1">
      <c r="D57" s="1151" t="s">
        <v>1882</v>
      </c>
      <c r="E57" s="1151"/>
      <c r="F57" s="1151"/>
      <c r="G57" s="1151"/>
      <c r="H57" s="1151"/>
      <c r="I57" s="1151"/>
      <c r="J57" s="1151"/>
      <c r="K57" s="1151"/>
      <c r="L57" s="1151"/>
      <c r="M57" s="1151"/>
      <c r="N57" s="1151"/>
    </row>
    <row r="58" spans="1:22">
      <c r="D58" s="308"/>
      <c r="E58" s="308"/>
      <c r="F58" s="308"/>
      <c r="G58" s="308"/>
      <c r="H58" s="308"/>
      <c r="I58" s="308"/>
      <c r="J58" s="308"/>
      <c r="K58" s="308"/>
      <c r="L58" s="308"/>
      <c r="M58" s="308"/>
      <c r="N58" s="308"/>
    </row>
    <row r="59" spans="1:22" ht="48" customHeight="1">
      <c r="A59" s="309"/>
      <c r="B59" s="309"/>
      <c r="C59" s="309"/>
      <c r="D59" s="1151" t="s">
        <v>1883</v>
      </c>
      <c r="E59" s="1151"/>
      <c r="F59" s="1151"/>
      <c r="G59" s="1151"/>
      <c r="H59" s="1151"/>
      <c r="I59" s="1151"/>
      <c r="J59" s="1151"/>
      <c r="K59" s="1151"/>
      <c r="L59" s="1151"/>
      <c r="M59" s="1151"/>
      <c r="N59" s="1151"/>
    </row>
    <row r="60" spans="1:22">
      <c r="A60" s="309"/>
      <c r="B60" s="309"/>
      <c r="C60" s="309"/>
      <c r="D60" s="310"/>
      <c r="E60" s="308"/>
      <c r="F60" s="308"/>
      <c r="G60" s="308"/>
      <c r="H60" s="308"/>
      <c r="I60" s="308"/>
      <c r="J60" s="310"/>
      <c r="K60" s="308"/>
      <c r="L60" s="308"/>
      <c r="M60" s="308"/>
      <c r="N60" s="308"/>
    </row>
    <row r="61" spans="1:22" ht="15.75" customHeight="1">
      <c r="A61" s="309"/>
      <c r="B61" s="309" t="s">
        <v>1884</v>
      </c>
      <c r="C61" s="309"/>
      <c r="D61" s="311"/>
      <c r="F61" s="312" t="s">
        <v>1885</v>
      </c>
      <c r="G61" s="313" t="s">
        <v>1886</v>
      </c>
      <c r="H61" s="314"/>
      <c r="I61" s="312" t="s">
        <v>1887</v>
      </c>
      <c r="J61" s="313" t="s">
        <v>1888</v>
      </c>
      <c r="K61" s="314"/>
      <c r="L61" s="314"/>
      <c r="M61" s="314"/>
      <c r="N61" s="314"/>
    </row>
    <row r="62" spans="1:22" ht="15.75" customHeight="1">
      <c r="A62" s="309"/>
      <c r="B62" s="309" t="s">
        <v>1889</v>
      </c>
      <c r="C62" s="309"/>
      <c r="D62" s="310"/>
      <c r="F62" s="312" t="s">
        <v>1890</v>
      </c>
      <c r="G62" s="313" t="s">
        <v>1891</v>
      </c>
      <c r="H62" s="308"/>
      <c r="I62" s="312" t="s">
        <v>1892</v>
      </c>
      <c r="J62" s="313" t="s">
        <v>1893</v>
      </c>
      <c r="K62" s="308"/>
      <c r="L62" s="308"/>
      <c r="M62" s="308"/>
      <c r="N62" s="308"/>
    </row>
    <row r="63" spans="1:22" ht="15.75" customHeight="1">
      <c r="A63" s="309"/>
      <c r="B63" s="309" t="s">
        <v>1894</v>
      </c>
      <c r="C63" s="309"/>
      <c r="D63" s="311"/>
      <c r="F63" s="312" t="s">
        <v>1895</v>
      </c>
      <c r="G63" s="313" t="s">
        <v>1896</v>
      </c>
      <c r="H63" s="314"/>
      <c r="I63" s="312" t="s">
        <v>664</v>
      </c>
      <c r="J63" s="313" t="s">
        <v>1897</v>
      </c>
      <c r="K63" s="314"/>
      <c r="L63" s="314"/>
      <c r="M63" s="314"/>
      <c r="N63" s="314"/>
    </row>
    <row r="64" spans="1:22" ht="15.75" customHeight="1">
      <c r="A64" s="309"/>
      <c r="B64" s="309" t="s">
        <v>1898</v>
      </c>
      <c r="C64" s="309"/>
      <c r="D64" s="310"/>
      <c r="F64" s="312" t="s">
        <v>1899</v>
      </c>
      <c r="G64" s="313" t="s">
        <v>1900</v>
      </c>
      <c r="H64" s="308"/>
      <c r="I64" s="312" t="s">
        <v>1901</v>
      </c>
      <c r="J64" s="313" t="s">
        <v>1902</v>
      </c>
      <c r="K64" s="308"/>
      <c r="L64" s="308"/>
      <c r="M64" s="308"/>
      <c r="N64" s="308"/>
    </row>
    <row r="65" spans="1:14" ht="15.75" customHeight="1">
      <c r="A65" s="309"/>
      <c r="B65" s="309" t="s">
        <v>1903</v>
      </c>
      <c r="C65" s="309"/>
      <c r="D65" s="311"/>
      <c r="F65" s="312" t="s">
        <v>1904</v>
      </c>
      <c r="G65" s="313" t="s">
        <v>1905</v>
      </c>
      <c r="H65" s="314"/>
      <c r="I65" s="312" t="s">
        <v>1906</v>
      </c>
      <c r="J65" s="313" t="s">
        <v>1907</v>
      </c>
      <c r="K65" s="314"/>
      <c r="L65" s="314"/>
      <c r="M65" s="314"/>
      <c r="N65" s="314"/>
    </row>
    <row r="66" spans="1:14" ht="15.75" customHeight="1">
      <c r="A66" s="309"/>
      <c r="B66" s="309" t="s">
        <v>1908</v>
      </c>
      <c r="C66" s="309"/>
      <c r="D66" s="310"/>
      <c r="F66" s="312" t="s">
        <v>1909</v>
      </c>
      <c r="G66" s="313" t="s">
        <v>1910</v>
      </c>
      <c r="H66" s="308"/>
      <c r="I66" s="312" t="s">
        <v>1911</v>
      </c>
      <c r="J66" s="313" t="s">
        <v>1912</v>
      </c>
      <c r="K66" s="308"/>
      <c r="L66" s="308"/>
      <c r="M66" s="308"/>
      <c r="N66" s="308"/>
    </row>
    <row r="67" spans="1:14" ht="15.75" customHeight="1">
      <c r="A67" s="309"/>
      <c r="B67" s="309" t="s">
        <v>1913</v>
      </c>
      <c r="C67" s="309"/>
      <c r="D67" s="311"/>
      <c r="F67" s="312" t="s">
        <v>1914</v>
      </c>
      <c r="G67" s="313" t="s">
        <v>1915</v>
      </c>
      <c r="H67" s="314"/>
      <c r="I67" s="312" t="s">
        <v>1916</v>
      </c>
      <c r="J67" s="313" t="s">
        <v>1917</v>
      </c>
      <c r="K67" s="314"/>
      <c r="L67" s="314"/>
      <c r="M67" s="314"/>
      <c r="N67" s="314"/>
    </row>
    <row r="68" spans="1:14" ht="15.75" customHeight="1">
      <c r="A68" s="309"/>
      <c r="B68" s="309" t="s">
        <v>1918</v>
      </c>
      <c r="C68" s="309"/>
      <c r="D68" s="310"/>
      <c r="F68" s="312" t="s">
        <v>1919</v>
      </c>
      <c r="G68" s="313" t="s">
        <v>1920</v>
      </c>
      <c r="H68" s="308"/>
      <c r="I68" s="312" t="s">
        <v>1921</v>
      </c>
      <c r="J68" s="313" t="s">
        <v>1922</v>
      </c>
      <c r="K68" s="308"/>
      <c r="L68" s="308"/>
      <c r="M68" s="308"/>
      <c r="N68" s="308"/>
    </row>
    <row r="69" spans="1:14" ht="15.75" customHeight="1">
      <c r="A69" s="309"/>
      <c r="B69" s="309" t="s">
        <v>1923</v>
      </c>
      <c r="C69" s="309"/>
      <c r="D69" s="311"/>
      <c r="F69" s="312" t="s">
        <v>1924</v>
      </c>
      <c r="G69" s="313" t="s">
        <v>1925</v>
      </c>
      <c r="H69" s="314"/>
      <c r="I69" s="312" t="s">
        <v>1926</v>
      </c>
      <c r="J69" s="313"/>
      <c r="K69" s="314"/>
      <c r="L69" s="314"/>
      <c r="M69" s="314"/>
      <c r="N69" s="314"/>
    </row>
    <row r="70" spans="1:14" ht="15.75" hidden="1" customHeight="1">
      <c r="A70" s="309"/>
      <c r="B70" s="309" t="s">
        <v>1927</v>
      </c>
      <c r="C70" s="309"/>
      <c r="D70" s="311"/>
      <c r="F70" s="312" t="s">
        <v>1928</v>
      </c>
      <c r="G70" s="313" t="s">
        <v>1929</v>
      </c>
      <c r="H70" s="314"/>
      <c r="J70" s="313"/>
      <c r="K70" s="314"/>
      <c r="L70" s="314"/>
      <c r="M70" s="314"/>
      <c r="N70" s="314"/>
    </row>
    <row r="71" spans="1:14" ht="15.75" hidden="1" customHeight="1">
      <c r="A71" s="309"/>
      <c r="B71" s="309" t="s">
        <v>1930</v>
      </c>
      <c r="C71" s="309"/>
      <c r="D71" s="310"/>
      <c r="F71" s="315" t="s">
        <v>1887</v>
      </c>
      <c r="G71" s="316" t="s">
        <v>1888</v>
      </c>
      <c r="H71" s="308"/>
      <c r="I71" s="308"/>
      <c r="J71" s="308"/>
      <c r="K71" s="308"/>
      <c r="L71" s="308"/>
      <c r="M71" s="308"/>
      <c r="N71" s="308"/>
    </row>
    <row r="72" spans="1:14" ht="15.75" hidden="1" customHeight="1">
      <c r="A72" s="309"/>
      <c r="B72" s="309" t="s">
        <v>1931</v>
      </c>
      <c r="C72" s="309"/>
      <c r="D72" s="311"/>
      <c r="F72" s="315" t="s">
        <v>1892</v>
      </c>
      <c r="G72" s="316" t="s">
        <v>1893</v>
      </c>
      <c r="H72" s="314"/>
      <c r="I72" s="314"/>
      <c r="J72" s="314"/>
      <c r="K72" s="314"/>
      <c r="L72" s="314"/>
      <c r="M72" s="314"/>
      <c r="N72" s="314"/>
    </row>
    <row r="73" spans="1:14" ht="15.75" hidden="1" customHeight="1">
      <c r="A73" s="309"/>
      <c r="B73" s="309" t="s">
        <v>1932</v>
      </c>
      <c r="C73" s="309"/>
      <c r="D73" s="310"/>
      <c r="F73" s="315" t="s">
        <v>1933</v>
      </c>
      <c r="G73" s="316" t="s">
        <v>1897</v>
      </c>
      <c r="H73" s="308"/>
      <c r="I73" s="308"/>
      <c r="J73" s="308"/>
      <c r="K73" s="308"/>
      <c r="L73" s="308"/>
      <c r="M73" s="308"/>
      <c r="N73" s="308"/>
    </row>
    <row r="74" spans="1:14" ht="15.75" hidden="1" customHeight="1">
      <c r="A74" s="309"/>
      <c r="B74" s="309" t="s">
        <v>1934</v>
      </c>
      <c r="C74" s="309"/>
      <c r="D74" s="311"/>
      <c r="F74" s="315" t="s">
        <v>1901</v>
      </c>
      <c r="G74" s="316" t="s">
        <v>1902</v>
      </c>
      <c r="H74" s="314"/>
      <c r="I74" s="314"/>
      <c r="J74" s="314"/>
      <c r="K74" s="314"/>
      <c r="L74" s="314"/>
      <c r="M74" s="314"/>
      <c r="N74" s="314"/>
    </row>
    <row r="75" spans="1:14" ht="15.75" hidden="1" customHeight="1">
      <c r="A75" s="309"/>
      <c r="B75" s="309" t="s">
        <v>1935</v>
      </c>
      <c r="C75" s="309"/>
      <c r="D75" s="311"/>
      <c r="F75" s="315" t="s">
        <v>1906</v>
      </c>
      <c r="G75" s="316" t="s">
        <v>1907</v>
      </c>
      <c r="H75" s="308"/>
      <c r="I75" s="308"/>
      <c r="J75" s="308"/>
      <c r="K75" s="308"/>
      <c r="L75" s="308"/>
      <c r="M75" s="308"/>
      <c r="N75" s="308"/>
    </row>
    <row r="76" spans="1:14" ht="15.75" hidden="1" customHeight="1">
      <c r="A76" s="309"/>
      <c r="B76" s="309" t="s">
        <v>1936</v>
      </c>
      <c r="C76" s="309"/>
      <c r="D76" s="311"/>
      <c r="F76" s="315" t="s">
        <v>1911</v>
      </c>
      <c r="G76" s="316" t="s">
        <v>1917</v>
      </c>
      <c r="H76" s="308"/>
      <c r="I76" s="308"/>
      <c r="J76" s="308"/>
      <c r="K76" s="308"/>
      <c r="L76" s="308"/>
      <c r="M76" s="308"/>
      <c r="N76" s="308"/>
    </row>
    <row r="77" spans="1:14" ht="15.75" hidden="1" customHeight="1">
      <c r="A77" s="309"/>
      <c r="B77" s="309" t="s">
        <v>1937</v>
      </c>
      <c r="C77" s="309"/>
      <c r="D77" s="311"/>
      <c r="F77" s="315" t="s">
        <v>1916</v>
      </c>
      <c r="G77" s="316" t="s">
        <v>1938</v>
      </c>
      <c r="H77" s="314"/>
      <c r="I77" s="314"/>
      <c r="J77" s="314"/>
      <c r="K77" s="314"/>
      <c r="L77" s="314"/>
      <c r="M77" s="314"/>
      <c r="N77" s="314"/>
    </row>
    <row r="78" spans="1:14" ht="15.75" hidden="1" customHeight="1">
      <c r="A78" s="309"/>
      <c r="B78" s="309" t="s">
        <v>1939</v>
      </c>
      <c r="C78" s="309"/>
      <c r="D78" s="311"/>
      <c r="F78" s="315" t="s">
        <v>1921</v>
      </c>
      <c r="G78" s="316" t="s">
        <v>1940</v>
      </c>
      <c r="H78" s="314"/>
      <c r="I78" s="314"/>
      <c r="J78" s="314"/>
      <c r="K78" s="314"/>
      <c r="L78" s="314"/>
      <c r="M78" s="314"/>
      <c r="N78" s="314"/>
    </row>
    <row r="79" spans="1:14" ht="15.75" hidden="1" customHeight="1">
      <c r="A79" s="309"/>
      <c r="B79" s="309" t="s">
        <v>1941</v>
      </c>
      <c r="C79" s="309"/>
      <c r="D79" s="311"/>
      <c r="F79" s="315" t="s">
        <v>1926</v>
      </c>
      <c r="G79" s="316" t="s">
        <v>1942</v>
      </c>
      <c r="H79" s="314"/>
      <c r="I79" s="314"/>
      <c r="J79" s="314"/>
      <c r="K79" s="314"/>
      <c r="L79" s="314"/>
      <c r="M79" s="314"/>
      <c r="N79" s="314"/>
    </row>
    <row r="80" spans="1:14" ht="15.75" hidden="1" customHeight="1">
      <c r="A80" s="309"/>
      <c r="B80" s="309" t="s">
        <v>1943</v>
      </c>
      <c r="C80" s="309"/>
      <c r="D80" s="311"/>
      <c r="F80" s="315"/>
      <c r="G80" s="316" t="s">
        <v>1944</v>
      </c>
      <c r="H80" s="314"/>
      <c r="I80" s="314"/>
      <c r="J80" s="314"/>
      <c r="K80" s="314"/>
      <c r="L80" s="314"/>
      <c r="M80" s="314"/>
      <c r="N80" s="314"/>
    </row>
    <row r="81" spans="1:14" ht="15.75" hidden="1" customHeight="1">
      <c r="A81" s="309"/>
      <c r="B81" s="309" t="s">
        <v>1945</v>
      </c>
      <c r="C81" s="309"/>
      <c r="D81" s="311"/>
      <c r="F81" s="315"/>
      <c r="G81" s="316" t="s">
        <v>1946</v>
      </c>
      <c r="H81" s="314"/>
      <c r="I81" s="314"/>
      <c r="J81" s="314"/>
      <c r="K81" s="314"/>
      <c r="L81" s="314"/>
      <c r="M81" s="314"/>
      <c r="N81" s="314"/>
    </row>
    <row r="82" spans="1:14" ht="150">
      <c r="A82" s="309"/>
      <c r="B82" s="309" t="s">
        <v>1947</v>
      </c>
      <c r="C82" s="309"/>
      <c r="D82" s="311"/>
      <c r="F82" s="315"/>
      <c r="G82" s="316" t="s">
        <v>1948</v>
      </c>
      <c r="H82" s="314"/>
      <c r="I82" s="314"/>
      <c r="J82" s="314"/>
      <c r="K82" s="314"/>
      <c r="L82" s="314"/>
      <c r="M82" s="314"/>
      <c r="N82" s="314"/>
    </row>
    <row r="83" spans="1:14" ht="409.5">
      <c r="A83" s="309"/>
      <c r="B83" s="309" t="s">
        <v>1949</v>
      </c>
      <c r="C83" s="309"/>
      <c r="D83" s="311"/>
      <c r="F83" s="315"/>
      <c r="G83" s="316" t="s">
        <v>1950</v>
      </c>
      <c r="H83" s="314"/>
      <c r="I83" s="314"/>
      <c r="J83" s="314"/>
      <c r="K83" s="314"/>
      <c r="L83" s="314"/>
      <c r="M83" s="314"/>
      <c r="N83" s="314"/>
    </row>
    <row r="84" spans="1:14" ht="48" customHeight="1">
      <c r="A84" s="309"/>
      <c r="B84" s="317"/>
      <c r="C84" s="309"/>
      <c r="D84" s="308"/>
      <c r="E84" s="308"/>
      <c r="F84" s="308"/>
      <c r="G84" s="318"/>
      <c r="H84" s="308"/>
      <c r="I84" s="308"/>
      <c r="J84" s="308"/>
      <c r="K84" s="308"/>
      <c r="L84" s="308"/>
      <c r="M84" s="308"/>
      <c r="N84" s="308"/>
    </row>
    <row r="85" spans="1:14">
      <c r="A85" s="309"/>
      <c r="B85" s="309"/>
      <c r="C85" s="309"/>
      <c r="D85" s="308"/>
      <c r="E85" s="308"/>
      <c r="F85" s="308"/>
      <c r="G85" s="308"/>
      <c r="H85" s="308"/>
      <c r="I85" s="308"/>
      <c r="J85" s="308"/>
      <c r="K85" s="308"/>
      <c r="L85" s="308"/>
      <c r="M85" s="308"/>
      <c r="N85" s="308"/>
    </row>
    <row r="86" spans="1:14" ht="15.75" customHeight="1">
      <c r="A86" s="309"/>
      <c r="B86" s="309"/>
      <c r="C86" s="309"/>
      <c r="D86" s="1151" t="s">
        <v>1951</v>
      </c>
      <c r="E86" s="1151"/>
      <c r="F86" s="1151"/>
      <c r="G86" s="1151"/>
      <c r="H86" s="1151"/>
      <c r="I86" s="1151"/>
      <c r="J86" s="1151"/>
      <c r="K86" s="1151"/>
      <c r="L86" s="1151"/>
      <c r="M86" s="1151"/>
      <c r="N86" s="1151"/>
    </row>
    <row r="87" spans="1:14" ht="15.75" customHeight="1">
      <c r="A87" s="309"/>
      <c r="B87" s="309"/>
      <c r="C87" s="309"/>
      <c r="D87" s="308"/>
      <c r="E87" s="308"/>
      <c r="F87" s="308"/>
      <c r="G87" s="310"/>
      <c r="H87" s="308"/>
      <c r="I87" s="308"/>
      <c r="J87" s="308"/>
      <c r="K87" s="308"/>
      <c r="L87" s="308"/>
      <c r="M87" s="308"/>
      <c r="N87" s="308"/>
    </row>
    <row r="88" spans="1:14" ht="15.75" customHeight="1">
      <c r="A88" s="309"/>
      <c r="B88" s="309" t="s">
        <v>1952</v>
      </c>
      <c r="C88" s="309"/>
      <c r="D88" s="319"/>
      <c r="E88" s="320"/>
      <c r="F88" s="312" t="s">
        <v>1953</v>
      </c>
      <c r="G88" s="321" t="s">
        <v>1954</v>
      </c>
      <c r="H88" s="308"/>
      <c r="I88" s="322"/>
      <c r="J88" s="308"/>
      <c r="K88" s="308"/>
      <c r="L88" s="308"/>
      <c r="M88" s="308"/>
      <c r="N88" s="308"/>
    </row>
    <row r="89" spans="1:14" ht="15.75" customHeight="1">
      <c r="A89" s="309"/>
      <c r="B89" s="309" t="s">
        <v>1955</v>
      </c>
      <c r="C89" s="309"/>
      <c r="D89" s="319"/>
      <c r="E89" s="320"/>
      <c r="F89" s="312" t="s">
        <v>497</v>
      </c>
      <c r="G89" s="321" t="s">
        <v>1956</v>
      </c>
      <c r="H89" s="308"/>
      <c r="I89" s="322"/>
      <c r="J89" s="308"/>
      <c r="K89" s="308"/>
      <c r="L89" s="308"/>
      <c r="M89" s="308"/>
      <c r="N89" s="308"/>
    </row>
    <row r="90" spans="1:14" ht="15.75" customHeight="1">
      <c r="A90" s="309"/>
      <c r="B90" s="309" t="s">
        <v>1957</v>
      </c>
      <c r="C90" s="309"/>
      <c r="D90" s="308"/>
      <c r="F90" s="312" t="s">
        <v>643</v>
      </c>
      <c r="G90" s="321" t="s">
        <v>1958</v>
      </c>
      <c r="H90" s="308"/>
      <c r="I90" s="308"/>
      <c r="J90" s="308"/>
      <c r="K90" s="308"/>
      <c r="L90" s="308"/>
      <c r="M90" s="308"/>
      <c r="N90" s="308"/>
    </row>
    <row r="91" spans="1:14" ht="15.75" customHeight="1">
      <c r="A91" s="309"/>
      <c r="B91" s="309" t="s">
        <v>1959</v>
      </c>
      <c r="C91" s="309"/>
      <c r="D91" s="319"/>
      <c r="E91" s="320"/>
      <c r="F91" s="312" t="s">
        <v>644</v>
      </c>
      <c r="G91" s="321" t="s">
        <v>1960</v>
      </c>
      <c r="H91" s="308"/>
      <c r="I91" s="322"/>
      <c r="J91" s="308"/>
      <c r="K91" s="308"/>
      <c r="L91" s="308"/>
      <c r="M91" s="308"/>
      <c r="N91" s="308"/>
    </row>
    <row r="92" spans="1:14" ht="15.75" customHeight="1">
      <c r="A92" s="309"/>
      <c r="B92" s="309" t="s">
        <v>1961</v>
      </c>
      <c r="C92" s="309"/>
      <c r="D92" s="322"/>
      <c r="E92" s="320"/>
      <c r="F92" s="312" t="s">
        <v>645</v>
      </c>
      <c r="G92" s="321" t="s">
        <v>1962</v>
      </c>
      <c r="H92" s="308"/>
      <c r="I92" s="322"/>
      <c r="J92" s="308"/>
      <c r="K92" s="308"/>
      <c r="L92" s="308"/>
      <c r="M92" s="308"/>
      <c r="N92" s="308"/>
    </row>
    <row r="93" spans="1:14" ht="15.75" customHeight="1">
      <c r="A93" s="309"/>
      <c r="B93" s="309" t="s">
        <v>1963</v>
      </c>
      <c r="C93" s="309"/>
      <c r="D93" s="322"/>
      <c r="E93" s="320"/>
      <c r="F93" s="312" t="s">
        <v>1964</v>
      </c>
      <c r="G93" s="321" t="s">
        <v>1965</v>
      </c>
      <c r="H93" s="308"/>
      <c r="I93" s="322"/>
      <c r="J93" s="308"/>
      <c r="K93" s="308"/>
      <c r="L93" s="308"/>
      <c r="M93" s="308"/>
      <c r="N93" s="308"/>
    </row>
    <row r="94" spans="1:14" ht="15.75" customHeight="1">
      <c r="A94" s="309"/>
      <c r="B94" s="309" t="s">
        <v>1966</v>
      </c>
      <c r="C94" s="309"/>
      <c r="D94" s="319"/>
      <c r="E94" s="320"/>
      <c r="F94" s="312" t="s">
        <v>646</v>
      </c>
      <c r="G94" s="321" t="s">
        <v>1967</v>
      </c>
      <c r="H94" s="308"/>
      <c r="I94" s="322"/>
      <c r="J94" s="308"/>
      <c r="K94" s="308"/>
      <c r="L94" s="308"/>
      <c r="M94" s="308"/>
      <c r="N94" s="308"/>
    </row>
    <row r="95" spans="1:14" ht="15.75" customHeight="1">
      <c r="A95" s="309"/>
      <c r="B95" s="309" t="s">
        <v>1968</v>
      </c>
      <c r="C95" s="309"/>
      <c r="D95" s="322"/>
      <c r="E95" s="320"/>
      <c r="F95" s="312" t="s">
        <v>647</v>
      </c>
      <c r="G95" s="321" t="s">
        <v>1969</v>
      </c>
      <c r="H95" s="308"/>
      <c r="I95" s="322"/>
      <c r="J95" s="308"/>
      <c r="K95" s="308"/>
      <c r="L95" s="308"/>
      <c r="M95" s="308"/>
      <c r="N95" s="308"/>
    </row>
    <row r="96" spans="1:14" ht="66" customHeight="1">
      <c r="A96" s="309"/>
      <c r="B96" s="309" t="s">
        <v>1970</v>
      </c>
      <c r="C96" s="309"/>
      <c r="D96" s="322"/>
      <c r="E96" s="320"/>
      <c r="F96" s="312" t="s">
        <v>1971</v>
      </c>
      <c r="G96" s="321" t="s">
        <v>1972</v>
      </c>
      <c r="H96" s="308"/>
      <c r="I96" s="322"/>
      <c r="J96" s="308"/>
      <c r="K96" s="308"/>
      <c r="L96" s="308"/>
      <c r="M96" s="308"/>
      <c r="N96" s="308"/>
    </row>
    <row r="97" spans="1:14" ht="15.75" customHeight="1">
      <c r="A97" s="309"/>
      <c r="B97" s="309" t="s">
        <v>1973</v>
      </c>
      <c r="C97" s="309"/>
      <c r="D97" s="319"/>
      <c r="E97" s="320"/>
      <c r="F97" s="312" t="s">
        <v>1974</v>
      </c>
      <c r="G97" s="321" t="s">
        <v>1975</v>
      </c>
      <c r="H97" s="308"/>
      <c r="I97" s="322"/>
      <c r="J97" s="308"/>
      <c r="K97" s="308"/>
      <c r="L97" s="308"/>
      <c r="M97" s="308"/>
      <c r="N97" s="308"/>
    </row>
    <row r="98" spans="1:14" ht="15.75" customHeight="1">
      <c r="A98" s="309"/>
      <c r="B98" s="309" t="s">
        <v>1976</v>
      </c>
      <c r="C98" s="309"/>
      <c r="D98" s="319"/>
      <c r="E98" s="320"/>
      <c r="F98" s="312" t="s">
        <v>1977</v>
      </c>
      <c r="G98" s="321" t="s">
        <v>1978</v>
      </c>
      <c r="H98" s="308"/>
      <c r="I98" s="322"/>
      <c r="J98" s="308"/>
      <c r="K98" s="308"/>
      <c r="L98" s="308"/>
      <c r="M98" s="308"/>
      <c r="N98" s="308"/>
    </row>
    <row r="99" spans="1:14" ht="15.75" customHeight="1">
      <c r="A99" s="309"/>
      <c r="B99" s="309"/>
      <c r="C99" s="309"/>
      <c r="D99" s="319"/>
      <c r="E99" s="320"/>
      <c r="F99" s="312"/>
      <c r="G99" s="321"/>
      <c r="H99" s="308"/>
      <c r="I99" s="322"/>
      <c r="J99" s="308"/>
      <c r="K99" s="308"/>
      <c r="L99" s="308"/>
      <c r="M99" s="308"/>
      <c r="N99" s="308"/>
    </row>
    <row r="100" spans="1:14" ht="15.75" customHeight="1">
      <c r="A100" s="309"/>
      <c r="B100" s="309"/>
      <c r="C100" s="309"/>
      <c r="D100" s="322"/>
      <c r="E100" s="322"/>
      <c r="F100" s="322"/>
      <c r="G100" s="310"/>
      <c r="H100" s="322"/>
      <c r="I100" s="322"/>
      <c r="J100" s="308"/>
      <c r="K100" s="308"/>
      <c r="L100" s="308"/>
      <c r="M100" s="308"/>
      <c r="N100" s="308"/>
    </row>
    <row r="101" spans="1:14" ht="15.75" customHeight="1">
      <c r="A101" s="309"/>
      <c r="B101" s="309"/>
      <c r="C101" s="309"/>
      <c r="D101" s="1151" t="s">
        <v>1979</v>
      </c>
      <c r="E101" s="1151"/>
      <c r="F101" s="1151"/>
      <c r="G101" s="1151"/>
      <c r="H101" s="1151"/>
      <c r="I101" s="1151"/>
      <c r="J101" s="1151"/>
      <c r="K101" s="1151"/>
      <c r="L101" s="1151"/>
      <c r="M101" s="1151"/>
      <c r="N101" s="1151"/>
    </row>
    <row r="102" spans="1:14" ht="15.75" customHeight="1">
      <c r="A102" s="309"/>
      <c r="B102" s="309"/>
      <c r="C102" s="309"/>
      <c r="D102" s="308"/>
      <c r="E102" s="308"/>
      <c r="F102" s="308"/>
      <c r="G102" s="308"/>
      <c r="H102" s="308"/>
      <c r="I102" s="308"/>
      <c r="J102" s="308"/>
      <c r="K102" s="308"/>
      <c r="L102" s="308"/>
      <c r="M102" s="308"/>
      <c r="N102" s="308"/>
    </row>
    <row r="103" spans="1:14" ht="15.75" customHeight="1">
      <c r="A103" s="309"/>
      <c r="B103" s="309" t="s">
        <v>1980</v>
      </c>
      <c r="C103" s="309"/>
      <c r="D103" s="323"/>
      <c r="E103" s="320"/>
      <c r="F103" s="312" t="s">
        <v>599</v>
      </c>
      <c r="G103" s="321" t="s">
        <v>1981</v>
      </c>
      <c r="H103" s="324"/>
      <c r="I103" s="325"/>
      <c r="J103" s="308"/>
      <c r="K103" s="308"/>
      <c r="L103" s="308"/>
      <c r="M103" s="308"/>
      <c r="N103" s="308"/>
    </row>
    <row r="104" spans="1:14" ht="15.75" customHeight="1">
      <c r="A104" s="309"/>
      <c r="B104" s="309" t="s">
        <v>1982</v>
      </c>
      <c r="C104" s="309"/>
      <c r="D104" s="318"/>
      <c r="E104" s="320"/>
      <c r="F104" s="312" t="s">
        <v>603</v>
      </c>
      <c r="G104" s="321" t="s">
        <v>1983</v>
      </c>
      <c r="H104" s="324"/>
      <c r="I104" s="325"/>
      <c r="J104" s="308"/>
      <c r="K104" s="308"/>
      <c r="L104" s="308"/>
      <c r="M104" s="308"/>
      <c r="N104" s="308"/>
    </row>
    <row r="105" spans="1:14" ht="15.75" customHeight="1">
      <c r="A105" s="309"/>
      <c r="B105" s="309" t="s">
        <v>1984</v>
      </c>
      <c r="C105" s="309"/>
      <c r="D105" s="323"/>
      <c r="E105" s="320"/>
      <c r="F105" s="312" t="s">
        <v>604</v>
      </c>
      <c r="G105" s="321" t="s">
        <v>1985</v>
      </c>
      <c r="H105" s="324"/>
      <c r="I105" s="325"/>
      <c r="J105" s="308"/>
      <c r="K105" s="308"/>
      <c r="L105" s="308"/>
      <c r="M105" s="308"/>
      <c r="N105" s="308"/>
    </row>
    <row r="106" spans="1:14" ht="15.75" customHeight="1">
      <c r="A106" s="309"/>
      <c r="B106" s="309" t="s">
        <v>1986</v>
      </c>
      <c r="C106" s="309"/>
      <c r="D106" s="318"/>
      <c r="E106" s="320"/>
      <c r="F106" s="312" t="s">
        <v>635</v>
      </c>
      <c r="G106" s="321" t="s">
        <v>1987</v>
      </c>
      <c r="H106" s="324"/>
      <c r="I106" s="325"/>
      <c r="J106" s="308"/>
      <c r="K106" s="308"/>
      <c r="L106" s="308"/>
      <c r="M106" s="308"/>
      <c r="N106" s="308"/>
    </row>
    <row r="107" spans="1:14" ht="15.75" customHeight="1">
      <c r="A107" s="309"/>
      <c r="B107" s="309" t="s">
        <v>1988</v>
      </c>
      <c r="C107" s="309"/>
      <c r="D107" s="323"/>
      <c r="E107" s="320"/>
      <c r="F107" s="312" t="s">
        <v>636</v>
      </c>
      <c r="G107" s="321" t="s">
        <v>1989</v>
      </c>
      <c r="H107" s="324"/>
      <c r="I107" s="325"/>
      <c r="J107" s="308"/>
      <c r="K107" s="308"/>
      <c r="L107" s="308"/>
      <c r="M107" s="308"/>
      <c r="N107" s="308"/>
    </row>
    <row r="108" spans="1:14" ht="15.75" customHeight="1">
      <c r="A108" s="309"/>
      <c r="B108" s="309" t="s">
        <v>1990</v>
      </c>
      <c r="C108" s="309"/>
      <c r="D108" s="318"/>
      <c r="E108" s="320"/>
      <c r="F108" s="312" t="s">
        <v>1991</v>
      </c>
      <c r="G108" s="321" t="s">
        <v>1992</v>
      </c>
      <c r="H108" s="324"/>
      <c r="I108" s="325"/>
      <c r="J108" s="308"/>
      <c r="K108" s="308"/>
      <c r="L108" s="308"/>
      <c r="M108" s="308"/>
      <c r="N108" s="308"/>
    </row>
    <row r="109" spans="1:14" ht="15.75" customHeight="1">
      <c r="A109" s="309"/>
      <c r="B109" s="309" t="s">
        <v>1993</v>
      </c>
      <c r="C109" s="309"/>
      <c r="D109" s="318"/>
      <c r="E109" s="320"/>
      <c r="F109" s="312" t="s">
        <v>1994</v>
      </c>
      <c r="G109" s="321" t="s">
        <v>1995</v>
      </c>
      <c r="H109" s="324"/>
      <c r="I109" s="325"/>
      <c r="J109" s="308"/>
      <c r="K109" s="308"/>
      <c r="L109" s="308"/>
      <c r="M109" s="308"/>
      <c r="N109" s="308"/>
    </row>
    <row r="110" spans="1:14">
      <c r="A110" s="309"/>
      <c r="B110" s="309" t="s">
        <v>1996</v>
      </c>
      <c r="C110" s="309"/>
      <c r="D110" s="318"/>
      <c r="E110" s="320"/>
      <c r="F110" s="312" t="s">
        <v>1997</v>
      </c>
      <c r="G110" s="321" t="s">
        <v>1998</v>
      </c>
      <c r="H110" s="324"/>
      <c r="I110" s="325"/>
      <c r="J110" s="308"/>
      <c r="K110" s="308"/>
      <c r="L110" s="308"/>
      <c r="M110" s="308"/>
      <c r="N110" s="308"/>
    </row>
    <row r="111" spans="1:14" ht="15" customHeight="1">
      <c r="A111" s="309"/>
      <c r="B111" s="309" t="s">
        <v>1999</v>
      </c>
      <c r="C111" s="309"/>
      <c r="D111" s="318"/>
      <c r="E111" s="320"/>
      <c r="F111" s="312" t="s">
        <v>2000</v>
      </c>
      <c r="G111" s="321" t="s">
        <v>2001</v>
      </c>
      <c r="H111" s="324"/>
      <c r="I111" s="325"/>
      <c r="J111" s="308"/>
      <c r="K111" s="308"/>
      <c r="L111" s="308"/>
      <c r="M111" s="308"/>
      <c r="N111" s="308"/>
    </row>
    <row r="112" spans="1:14">
      <c r="A112" s="309"/>
      <c r="B112" s="309" t="s">
        <v>2002</v>
      </c>
      <c r="C112" s="309"/>
      <c r="D112" s="323"/>
      <c r="E112" s="320"/>
      <c r="F112" s="312" t="s">
        <v>626</v>
      </c>
      <c r="G112" s="321" t="s">
        <v>2003</v>
      </c>
      <c r="H112" s="324"/>
      <c r="I112" s="325"/>
      <c r="J112" s="308"/>
      <c r="K112" s="308"/>
      <c r="L112" s="308"/>
      <c r="M112" s="308"/>
      <c r="N112" s="308"/>
    </row>
    <row r="113" spans="1:14" ht="66" customHeight="1">
      <c r="A113" s="309"/>
      <c r="B113" s="309" t="s">
        <v>2004</v>
      </c>
      <c r="C113" s="309"/>
      <c r="D113" s="318"/>
      <c r="E113" s="320"/>
      <c r="F113" s="312" t="s">
        <v>629</v>
      </c>
      <c r="G113" s="321" t="s">
        <v>2005</v>
      </c>
      <c r="H113" s="324"/>
      <c r="I113" s="325"/>
      <c r="J113" s="308"/>
      <c r="K113" s="308"/>
      <c r="L113" s="308"/>
      <c r="M113" s="308"/>
      <c r="N113" s="308"/>
    </row>
    <row r="114" spans="1:14">
      <c r="A114" s="309"/>
      <c r="B114" s="309" t="s">
        <v>2006</v>
      </c>
      <c r="C114" s="309"/>
      <c r="D114" s="318"/>
      <c r="E114" s="320"/>
      <c r="F114" s="312" t="s">
        <v>632</v>
      </c>
      <c r="G114" s="321" t="s">
        <v>2007</v>
      </c>
      <c r="H114" s="324"/>
      <c r="I114" s="325"/>
      <c r="J114" s="308"/>
      <c r="K114" s="308"/>
      <c r="L114" s="308"/>
      <c r="M114" s="308"/>
      <c r="N114" s="308"/>
    </row>
    <row r="115" spans="1:14" ht="51.95" customHeight="1">
      <c r="A115" s="309"/>
      <c r="B115" s="309"/>
      <c r="C115" s="309"/>
      <c r="D115" s="308"/>
      <c r="E115" s="322"/>
      <c r="F115" s="322"/>
      <c r="G115" s="322"/>
      <c r="H115" s="322"/>
      <c r="I115" s="322"/>
      <c r="J115" s="308"/>
      <c r="K115" s="308"/>
      <c r="L115" s="308"/>
      <c r="M115" s="308"/>
      <c r="N115" s="308"/>
    </row>
    <row r="116" spans="1:14">
      <c r="A116" s="309"/>
      <c r="B116" s="309"/>
      <c r="C116" s="309"/>
      <c r="D116" s="1151" t="s">
        <v>2008</v>
      </c>
      <c r="E116" s="1151"/>
      <c r="F116" s="1151"/>
      <c r="G116" s="1151"/>
      <c r="H116" s="1151"/>
      <c r="I116" s="1151"/>
      <c r="J116" s="1151"/>
      <c r="K116" s="1151"/>
      <c r="L116" s="1151"/>
      <c r="M116" s="1151"/>
      <c r="N116" s="1151"/>
    </row>
    <row r="117" spans="1:14" ht="33.950000000000003" customHeight="1">
      <c r="A117" s="309"/>
      <c r="B117" s="309"/>
      <c r="C117" s="309"/>
      <c r="D117" s="1151"/>
      <c r="E117" s="1151"/>
      <c r="F117" s="1151"/>
      <c r="G117" s="1151"/>
      <c r="H117" s="1151"/>
      <c r="I117" s="1151"/>
      <c r="J117" s="1151"/>
      <c r="K117" s="1151"/>
      <c r="L117" s="1151"/>
      <c r="M117" s="1151"/>
      <c r="N117" s="1151"/>
    </row>
    <row r="118" spans="1:14">
      <c r="A118" s="309"/>
      <c r="B118" s="309"/>
      <c r="C118" s="309"/>
      <c r="D118" s="326" t="s">
        <v>2009</v>
      </c>
      <c r="E118" s="1151" t="s">
        <v>2010</v>
      </c>
      <c r="F118" s="1151"/>
      <c r="G118" s="1151"/>
      <c r="H118" s="1151"/>
      <c r="I118" s="1151"/>
      <c r="J118" s="1151"/>
      <c r="K118" s="1151"/>
      <c r="L118" s="1151"/>
      <c r="M118" s="1151"/>
      <c r="N118" s="1151"/>
    </row>
    <row r="119" spans="1:14" ht="130.5" customHeight="1">
      <c r="A119" s="309"/>
      <c r="B119" s="309"/>
      <c r="C119" s="309"/>
      <c r="D119" s="326"/>
      <c r="E119" s="308"/>
      <c r="F119" s="308"/>
      <c r="G119" s="308"/>
      <c r="H119" s="308"/>
      <c r="I119" s="308"/>
      <c r="J119" s="308"/>
      <c r="K119" s="308"/>
      <c r="L119" s="308"/>
      <c r="M119" s="308"/>
      <c r="N119" s="308"/>
    </row>
    <row r="120" spans="1:14">
      <c r="A120" s="309"/>
      <c r="B120" s="309" t="s">
        <v>2011</v>
      </c>
      <c r="C120" s="309"/>
      <c r="D120" s="326" t="s">
        <v>2012</v>
      </c>
      <c r="E120" s="1151" t="s">
        <v>2013</v>
      </c>
      <c r="F120" s="1151"/>
      <c r="G120" s="1151"/>
      <c r="H120" s="1151"/>
      <c r="I120" s="1151"/>
      <c r="J120" s="1151"/>
      <c r="K120" s="1151"/>
      <c r="L120" s="1151"/>
      <c r="M120" s="1151"/>
      <c r="N120" s="1151"/>
    </row>
    <row r="121" spans="1:14" ht="33.950000000000003" customHeight="1">
      <c r="A121" s="309"/>
      <c r="B121" s="309"/>
      <c r="C121" s="309"/>
      <c r="D121" s="326"/>
      <c r="E121" s="308"/>
      <c r="F121" s="308"/>
      <c r="G121" s="308"/>
      <c r="H121" s="308"/>
      <c r="I121" s="308"/>
      <c r="J121" s="308"/>
      <c r="K121" s="308"/>
      <c r="L121" s="308"/>
      <c r="M121" s="308"/>
      <c r="N121" s="308"/>
    </row>
    <row r="122" spans="1:14">
      <c r="A122" s="309"/>
      <c r="B122" s="309" t="s">
        <v>2014</v>
      </c>
      <c r="C122" s="309"/>
      <c r="D122" s="326" t="s">
        <v>2015</v>
      </c>
      <c r="E122" s="1151" t="s">
        <v>2016</v>
      </c>
      <c r="F122" s="1151"/>
      <c r="G122" s="1151"/>
      <c r="H122" s="1151"/>
      <c r="I122" s="1151"/>
      <c r="J122" s="1151"/>
      <c r="K122" s="1151"/>
      <c r="L122" s="1151"/>
      <c r="M122" s="1151"/>
      <c r="N122" s="1151"/>
    </row>
    <row r="123" spans="1:14" ht="15" customHeight="1">
      <c r="A123" s="309"/>
      <c r="B123" s="309"/>
      <c r="C123" s="309"/>
      <c r="D123" s="326"/>
      <c r="E123" s="308"/>
      <c r="F123" s="308"/>
      <c r="G123" s="308"/>
      <c r="H123" s="308"/>
      <c r="I123" s="308"/>
      <c r="J123" s="308"/>
      <c r="K123" s="308"/>
      <c r="L123" s="308"/>
      <c r="M123" s="308"/>
      <c r="N123" s="308"/>
    </row>
    <row r="124" spans="1:14">
      <c r="A124" s="309"/>
      <c r="B124" s="309" t="s">
        <v>2017</v>
      </c>
      <c r="C124" s="309"/>
      <c r="D124" s="326" t="s">
        <v>2018</v>
      </c>
      <c r="E124" s="1151" t="s">
        <v>2019</v>
      </c>
      <c r="F124" s="1151"/>
      <c r="G124" s="1151"/>
      <c r="H124" s="1151"/>
      <c r="I124" s="1151"/>
      <c r="J124" s="1151"/>
      <c r="K124" s="1151"/>
      <c r="L124" s="1151"/>
      <c r="M124" s="1151"/>
      <c r="N124" s="1151"/>
    </row>
    <row r="125" spans="1:14" ht="15" customHeight="1">
      <c r="A125" s="309"/>
      <c r="B125" s="309"/>
      <c r="C125" s="309"/>
      <c r="D125" s="326"/>
      <c r="E125" s="308"/>
      <c r="F125" s="308"/>
      <c r="G125" s="308"/>
      <c r="H125" s="308"/>
      <c r="I125" s="308"/>
      <c r="J125" s="308"/>
      <c r="K125" s="308"/>
      <c r="L125" s="308"/>
      <c r="M125" s="308"/>
      <c r="N125" s="308"/>
    </row>
    <row r="126" spans="1:14" ht="15" customHeight="1">
      <c r="A126" s="309"/>
      <c r="B126" s="309" t="s">
        <v>2020</v>
      </c>
      <c r="C126" s="309"/>
      <c r="D126" s="326" t="s">
        <v>2021</v>
      </c>
      <c r="E126" s="1151" t="s">
        <v>2022</v>
      </c>
      <c r="F126" s="1151"/>
      <c r="G126" s="1151"/>
      <c r="H126" s="1151"/>
      <c r="I126" s="1151"/>
      <c r="J126" s="1151"/>
      <c r="K126" s="1151"/>
      <c r="L126" s="1151"/>
      <c r="M126" s="1151"/>
      <c r="N126" s="1151"/>
    </row>
    <row r="127" spans="1:14" ht="15" customHeight="1">
      <c r="A127" s="309"/>
      <c r="B127" s="309"/>
      <c r="C127" s="309"/>
      <c r="D127" s="326"/>
      <c r="E127" s="308"/>
      <c r="F127" s="308"/>
      <c r="G127" s="308"/>
      <c r="H127" s="308"/>
      <c r="I127" s="308"/>
      <c r="J127" s="308"/>
      <c r="K127" s="308"/>
      <c r="L127" s="308"/>
      <c r="M127" s="308"/>
      <c r="N127" s="308"/>
    </row>
    <row r="128" spans="1:14" ht="15" customHeight="1">
      <c r="A128" s="309"/>
      <c r="B128" s="309" t="s">
        <v>2023</v>
      </c>
      <c r="C128" s="309"/>
      <c r="D128" s="326" t="s">
        <v>2024</v>
      </c>
      <c r="E128" s="1151" t="s">
        <v>2025</v>
      </c>
      <c r="F128" s="1151"/>
      <c r="G128" s="1151"/>
      <c r="H128" s="1151"/>
      <c r="I128" s="1151"/>
      <c r="J128" s="1151"/>
      <c r="K128" s="1151"/>
      <c r="L128" s="1151"/>
      <c r="M128" s="1151"/>
      <c r="N128" s="1151"/>
    </row>
    <row r="129" spans="1:14" ht="15" customHeight="1">
      <c r="A129" s="309"/>
      <c r="B129" s="309"/>
      <c r="C129" s="309"/>
      <c r="D129" s="326"/>
      <c r="E129" s="308"/>
      <c r="F129" s="308"/>
      <c r="G129" s="308"/>
      <c r="H129" s="308"/>
      <c r="I129" s="308"/>
      <c r="J129" s="308"/>
      <c r="K129" s="308"/>
      <c r="L129" s="308"/>
      <c r="M129" s="308"/>
      <c r="N129" s="308"/>
    </row>
    <row r="130" spans="1:14" ht="15" customHeight="1">
      <c r="A130" s="309"/>
      <c r="B130" s="309"/>
      <c r="C130" s="309"/>
      <c r="D130" s="326"/>
      <c r="E130" s="308"/>
      <c r="F130" s="1150" t="s">
        <v>2026</v>
      </c>
      <c r="G130" s="1150"/>
      <c r="H130" s="1150"/>
      <c r="I130" s="1150"/>
      <c r="J130" s="1150"/>
      <c r="K130" s="1150"/>
      <c r="L130" s="1150"/>
      <c r="M130" s="1150"/>
      <c r="N130" s="1150"/>
    </row>
    <row r="131" spans="1:14" ht="15" customHeight="1">
      <c r="A131" s="309"/>
      <c r="B131" s="309"/>
      <c r="C131" s="309"/>
      <c r="D131" s="326"/>
      <c r="E131" s="308"/>
      <c r="F131" s="1150" t="s">
        <v>2027</v>
      </c>
      <c r="G131" s="1150"/>
      <c r="H131" s="1150"/>
      <c r="I131" s="1150"/>
      <c r="J131" s="1150"/>
      <c r="K131" s="1150"/>
      <c r="L131" s="1150"/>
      <c r="M131" s="1150"/>
      <c r="N131" s="1150"/>
    </row>
    <row r="132" spans="1:14" ht="15" customHeight="1">
      <c r="A132" s="309"/>
      <c r="B132" s="309"/>
      <c r="C132" s="309"/>
      <c r="D132" s="326"/>
      <c r="E132" s="308"/>
      <c r="F132" s="1150" t="s">
        <v>2028</v>
      </c>
      <c r="G132" s="1150"/>
      <c r="H132" s="1150"/>
      <c r="I132" s="1150"/>
      <c r="J132" s="1150"/>
      <c r="K132" s="1150"/>
      <c r="L132" s="1150"/>
      <c r="M132" s="1150"/>
      <c r="N132" s="1150"/>
    </row>
    <row r="133" spans="1:14" ht="15" customHeight="1">
      <c r="A133" s="309"/>
      <c r="B133" s="309"/>
      <c r="C133" s="309"/>
      <c r="D133" s="326"/>
      <c r="E133" s="308"/>
      <c r="F133" s="1150" t="s">
        <v>2029</v>
      </c>
      <c r="G133" s="1150"/>
      <c r="H133" s="1150"/>
      <c r="I133" s="1150"/>
      <c r="J133" s="1150"/>
      <c r="K133" s="1150"/>
      <c r="L133" s="1150"/>
      <c r="M133" s="1150"/>
      <c r="N133" s="1150"/>
    </row>
    <row r="134" spans="1:14" ht="15" customHeight="1">
      <c r="A134" s="309"/>
      <c r="B134" s="309"/>
      <c r="C134" s="309"/>
      <c r="D134" s="326"/>
      <c r="E134" s="308"/>
      <c r="F134" s="1150" t="s">
        <v>2030</v>
      </c>
      <c r="G134" s="1150"/>
      <c r="H134" s="1150"/>
      <c r="I134" s="1150"/>
      <c r="J134" s="1150"/>
      <c r="K134" s="1150"/>
      <c r="L134" s="1150"/>
      <c r="M134" s="1150"/>
      <c r="N134" s="1150"/>
    </row>
    <row r="135" spans="1:14" ht="15" customHeight="1">
      <c r="A135" s="309"/>
      <c r="B135" s="309"/>
      <c r="C135" s="309"/>
      <c r="D135" s="326"/>
      <c r="E135" s="308"/>
      <c r="F135" s="1150" t="s">
        <v>2031</v>
      </c>
      <c r="G135" s="1150"/>
      <c r="H135" s="1150"/>
      <c r="I135" s="1150"/>
      <c r="J135" s="1150"/>
      <c r="K135" s="1150"/>
      <c r="L135" s="1150"/>
      <c r="M135" s="1150"/>
      <c r="N135" s="1150"/>
    </row>
    <row r="136" spans="1:14" ht="15" customHeight="1">
      <c r="A136" s="309"/>
      <c r="B136" s="309"/>
      <c r="C136" s="309"/>
      <c r="D136" s="326"/>
      <c r="E136" s="308"/>
      <c r="F136" s="1150" t="s">
        <v>2032</v>
      </c>
      <c r="G136" s="1150"/>
      <c r="H136" s="1150"/>
      <c r="I136" s="1150"/>
      <c r="J136" s="1150"/>
      <c r="K136" s="1150"/>
      <c r="L136" s="1150"/>
      <c r="M136" s="1150"/>
      <c r="N136" s="1150"/>
    </row>
    <row r="137" spans="1:14" ht="15" customHeight="1">
      <c r="A137" s="309"/>
      <c r="B137" s="309"/>
      <c r="C137" s="309"/>
      <c r="D137" s="326"/>
      <c r="E137" s="308"/>
      <c r="F137" s="1150" t="s">
        <v>2033</v>
      </c>
      <c r="G137" s="1150"/>
      <c r="H137" s="1150"/>
      <c r="I137" s="1150"/>
      <c r="J137" s="1150"/>
      <c r="K137" s="1150"/>
      <c r="L137" s="1150"/>
      <c r="M137" s="1150"/>
      <c r="N137" s="1150"/>
    </row>
    <row r="138" spans="1:14" ht="15" customHeight="1">
      <c r="A138" s="309"/>
      <c r="B138" s="309"/>
      <c r="C138" s="309"/>
      <c r="D138" s="326"/>
      <c r="E138" s="308"/>
      <c r="F138" s="1150" t="s">
        <v>2034</v>
      </c>
      <c r="G138" s="1150"/>
      <c r="H138" s="1150"/>
      <c r="I138" s="1150"/>
      <c r="J138" s="1150"/>
      <c r="K138" s="1150"/>
      <c r="L138" s="1150"/>
      <c r="M138" s="1150"/>
      <c r="N138" s="1150"/>
    </row>
    <row r="139" spans="1:14">
      <c r="A139" s="309"/>
      <c r="B139" s="309"/>
      <c r="C139" s="309"/>
      <c r="D139" s="326"/>
      <c r="E139" s="308"/>
      <c r="F139" s="1150" t="s">
        <v>2035</v>
      </c>
      <c r="G139" s="1150"/>
      <c r="H139" s="1150"/>
      <c r="I139" s="1150"/>
      <c r="J139" s="1150"/>
      <c r="K139" s="1150"/>
      <c r="L139" s="1150"/>
      <c r="M139" s="1150"/>
      <c r="N139" s="1150"/>
    </row>
    <row r="140" spans="1:14" ht="48" customHeight="1">
      <c r="A140" s="309"/>
      <c r="B140" s="309"/>
      <c r="C140" s="309"/>
      <c r="D140" s="326"/>
      <c r="E140" s="308"/>
      <c r="F140" s="1150" t="s">
        <v>2036</v>
      </c>
      <c r="G140" s="1150"/>
      <c r="H140" s="1150"/>
      <c r="I140" s="1150"/>
      <c r="J140" s="1150"/>
      <c r="K140" s="1150"/>
      <c r="L140" s="1150"/>
      <c r="M140" s="1150"/>
      <c r="N140" s="1150"/>
    </row>
    <row r="141" spans="1:14">
      <c r="A141" s="309"/>
      <c r="B141" s="309"/>
      <c r="C141" s="309"/>
      <c r="D141" s="326"/>
      <c r="E141" s="308"/>
      <c r="F141" s="1150" t="s">
        <v>2037</v>
      </c>
      <c r="G141" s="1150"/>
      <c r="H141" s="1150"/>
      <c r="I141" s="1150"/>
      <c r="J141" s="1150"/>
      <c r="K141" s="1150"/>
      <c r="L141" s="1150"/>
      <c r="M141" s="1150"/>
      <c r="N141" s="1150"/>
    </row>
    <row r="142" spans="1:14" ht="33.950000000000003" customHeight="1">
      <c r="A142" s="309"/>
      <c r="B142" s="309"/>
      <c r="C142" s="309"/>
      <c r="D142" s="326"/>
      <c r="E142" s="308"/>
      <c r="F142" s="1150" t="s">
        <v>2038</v>
      </c>
      <c r="G142" s="1150"/>
      <c r="H142" s="1150"/>
      <c r="I142" s="1150"/>
      <c r="J142" s="1150"/>
      <c r="K142" s="1150"/>
      <c r="L142" s="1150"/>
      <c r="M142" s="1150"/>
      <c r="N142" s="1150"/>
    </row>
    <row r="143" spans="1:14">
      <c r="A143" s="309"/>
      <c r="B143" s="309"/>
      <c r="C143" s="309"/>
      <c r="D143" s="326"/>
      <c r="E143" s="308"/>
      <c r="F143" s="1150" t="s">
        <v>2039</v>
      </c>
      <c r="G143" s="1150"/>
      <c r="H143" s="1150"/>
      <c r="I143" s="1150"/>
      <c r="J143" s="1150"/>
      <c r="K143" s="1150"/>
      <c r="L143" s="1150"/>
      <c r="M143" s="1150"/>
      <c r="N143" s="1150"/>
    </row>
    <row r="144" spans="1:14" ht="15" customHeight="1">
      <c r="A144" s="309"/>
      <c r="B144" s="309"/>
      <c r="C144" s="309"/>
      <c r="D144" s="326"/>
      <c r="E144" s="308"/>
      <c r="F144" s="308"/>
      <c r="G144" s="308"/>
      <c r="H144" s="308"/>
      <c r="I144" s="308"/>
      <c r="J144" s="308"/>
      <c r="K144" s="308"/>
      <c r="L144" s="308"/>
      <c r="M144" s="308"/>
      <c r="N144" s="308"/>
    </row>
    <row r="145" spans="1:22">
      <c r="A145" s="309"/>
      <c r="B145" s="309" t="s">
        <v>2040</v>
      </c>
      <c r="C145" s="309"/>
      <c r="D145" s="326" t="s">
        <v>2041</v>
      </c>
      <c r="E145" s="1151" t="s">
        <v>2042</v>
      </c>
      <c r="F145" s="1151"/>
      <c r="G145" s="1151"/>
      <c r="H145" s="1151"/>
      <c r="I145" s="1151"/>
      <c r="J145" s="1151"/>
      <c r="K145" s="1151"/>
      <c r="L145" s="1151"/>
      <c r="M145" s="1151"/>
      <c r="N145" s="1151"/>
    </row>
    <row r="146" spans="1:22" ht="38.1" customHeight="1">
      <c r="A146" s="309"/>
      <c r="B146" s="309"/>
      <c r="C146" s="309"/>
      <c r="D146" s="326"/>
      <c r="E146" s="308"/>
      <c r="F146" s="308"/>
      <c r="G146" s="308"/>
      <c r="H146" s="308"/>
      <c r="I146" s="308"/>
      <c r="J146" s="308"/>
      <c r="K146" s="308"/>
      <c r="L146" s="308"/>
      <c r="M146" s="308"/>
      <c r="N146" s="308"/>
    </row>
    <row r="147" spans="1:22">
      <c r="A147" s="309"/>
      <c r="B147" s="309" t="s">
        <v>2043</v>
      </c>
      <c r="C147" s="309"/>
      <c r="D147" s="326" t="s">
        <v>2044</v>
      </c>
      <c r="E147" s="1151" t="s">
        <v>2045</v>
      </c>
      <c r="F147" s="1151"/>
      <c r="G147" s="1151"/>
      <c r="H147" s="1151"/>
      <c r="I147" s="1151"/>
      <c r="J147" s="1151"/>
      <c r="K147" s="1151"/>
      <c r="L147" s="1151"/>
      <c r="M147" s="1151"/>
      <c r="N147" s="1151"/>
    </row>
    <row r="148" spans="1:22" ht="33.950000000000003" customHeight="1">
      <c r="A148" s="309"/>
      <c r="B148" s="309"/>
      <c r="C148" s="309"/>
      <c r="D148" s="326"/>
      <c r="E148" s="308"/>
      <c r="F148" s="308"/>
      <c r="G148" s="308"/>
      <c r="H148" s="308"/>
      <c r="I148" s="308"/>
      <c r="J148" s="308"/>
      <c r="K148" s="308"/>
      <c r="L148" s="308"/>
      <c r="M148" s="308"/>
      <c r="N148" s="308"/>
    </row>
    <row r="149" spans="1:22">
      <c r="A149" s="309"/>
      <c r="B149" s="309" t="s">
        <v>2046</v>
      </c>
      <c r="C149" s="309"/>
      <c r="D149" s="326" t="s">
        <v>2047</v>
      </c>
      <c r="E149" s="1151" t="s">
        <v>2048</v>
      </c>
      <c r="F149" s="1151"/>
      <c r="G149" s="1151"/>
      <c r="H149" s="1151"/>
      <c r="I149" s="1151"/>
      <c r="J149" s="1151"/>
      <c r="K149" s="1151"/>
      <c r="L149" s="1151"/>
      <c r="M149" s="1151"/>
      <c r="N149" s="1151"/>
    </row>
    <row r="150" spans="1:22">
      <c r="A150" s="309"/>
      <c r="B150" s="309"/>
      <c r="C150" s="309"/>
      <c r="D150" s="308"/>
      <c r="E150" s="308"/>
      <c r="F150" s="308"/>
      <c r="G150" s="308"/>
      <c r="H150" s="308"/>
      <c r="I150" s="308"/>
      <c r="J150" s="308"/>
      <c r="K150" s="308"/>
      <c r="L150" s="308"/>
      <c r="M150" s="308"/>
      <c r="N150" s="308"/>
    </row>
    <row r="151" spans="1:22">
      <c r="A151" s="309"/>
      <c r="B151" s="309" t="s">
        <v>2049</v>
      </c>
      <c r="C151" s="309"/>
      <c r="D151" s="326" t="s">
        <v>2050</v>
      </c>
      <c r="E151" s="1151" t="s">
        <v>2051</v>
      </c>
      <c r="F151" s="1151"/>
      <c r="G151" s="1151"/>
      <c r="H151" s="1151"/>
      <c r="I151" s="1151"/>
      <c r="J151" s="1151"/>
      <c r="K151" s="1151"/>
      <c r="L151" s="1151"/>
      <c r="M151" s="1151"/>
      <c r="N151" s="1151"/>
    </row>
    <row r="152" spans="1:22" ht="15" customHeight="1">
      <c r="A152" s="309"/>
      <c r="B152" s="309"/>
      <c r="C152" s="309"/>
      <c r="D152" s="308"/>
      <c r="E152" s="308"/>
      <c r="F152" s="308"/>
      <c r="G152" s="308"/>
      <c r="H152" s="308"/>
      <c r="I152" s="308"/>
      <c r="J152" s="308"/>
      <c r="K152" s="308"/>
      <c r="L152" s="308"/>
      <c r="M152" s="308"/>
      <c r="N152" s="308"/>
    </row>
    <row r="153" spans="1:22">
      <c r="A153" s="309"/>
      <c r="B153" s="309"/>
      <c r="C153" s="309"/>
      <c r="D153" s="326" t="s">
        <v>2052</v>
      </c>
      <c r="E153" s="1151" t="s">
        <v>2053</v>
      </c>
      <c r="F153" s="1151"/>
      <c r="G153" s="1151"/>
      <c r="H153" s="1151"/>
      <c r="I153" s="1151"/>
      <c r="J153" s="1151"/>
      <c r="K153" s="1151"/>
      <c r="L153" s="1151"/>
      <c r="M153" s="1151"/>
      <c r="N153" s="1151"/>
    </row>
    <row r="154" spans="1:22">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row>
    <row r="156" spans="1:22" ht="33.950000000000003" customHeight="1">
      <c r="B156" s="303" t="s">
        <v>2054</v>
      </c>
    </row>
    <row r="157" spans="1:22">
      <c r="C157" s="1152" t="s">
        <v>2055</v>
      </c>
      <c r="D157" s="1152"/>
      <c r="E157" s="1152"/>
      <c r="F157" s="1152"/>
      <c r="G157" s="1152"/>
      <c r="H157" s="1152"/>
      <c r="I157" s="1152"/>
      <c r="J157" s="1152"/>
      <c r="K157" s="1152"/>
      <c r="L157" s="1152"/>
      <c r="M157" s="1152"/>
      <c r="N157" s="1152"/>
    </row>
    <row r="158" spans="1:22">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row>
    <row r="160" spans="1:22" ht="15.75">
      <c r="B160" s="303" t="s">
        <v>2056</v>
      </c>
    </row>
    <row r="161" spans="1:22">
      <c r="C161" s="1152" t="s">
        <v>2057</v>
      </c>
      <c r="D161" s="1152"/>
      <c r="E161" s="1152"/>
      <c r="F161" s="1152"/>
      <c r="G161" s="1152"/>
      <c r="H161" s="1152"/>
      <c r="I161" s="1152"/>
      <c r="J161" s="1152"/>
      <c r="K161" s="1152"/>
      <c r="L161" s="1152"/>
      <c r="M161" s="1152"/>
      <c r="N161" s="1152"/>
    </row>
    <row r="162" spans="1:22" ht="15.75" thickBot="1">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row>
    <row r="165" spans="1:22">
      <c r="B165" s="327" t="s">
        <v>2058</v>
      </c>
      <c r="C165" s="327"/>
      <c r="D165" s="328"/>
      <c r="E165" s="329" t="s">
        <v>2059</v>
      </c>
      <c r="F165" s="330"/>
      <c r="G165" s="330"/>
      <c r="H165" s="330"/>
      <c r="I165" s="330"/>
      <c r="J165" s="330"/>
      <c r="K165" s="330"/>
      <c r="L165" s="330"/>
      <c r="M165" s="330"/>
      <c r="N165" s="330"/>
    </row>
    <row r="166" spans="1:22">
      <c r="B166" s="327" t="s">
        <v>2060</v>
      </c>
      <c r="C166" s="327"/>
      <c r="D166" s="327"/>
      <c r="E166" s="327" t="s">
        <v>2061</v>
      </c>
    </row>
    <row r="167" spans="1:22">
      <c r="B167" s="327" t="s">
        <v>2062</v>
      </c>
      <c r="C167" s="327"/>
      <c r="D167" s="327"/>
      <c r="E167" s="327" t="s">
        <v>2063</v>
      </c>
    </row>
    <row r="168" spans="1:22">
      <c r="B168" s="327" t="s">
        <v>2064</v>
      </c>
      <c r="C168" s="327"/>
      <c r="D168" s="327"/>
      <c r="E168" s="327" t="s">
        <v>2065</v>
      </c>
    </row>
    <row r="169" spans="1:22">
      <c r="B169" s="327" t="s">
        <v>2066</v>
      </c>
      <c r="C169" s="327"/>
      <c r="D169" s="327"/>
      <c r="E169" s="327" t="s">
        <v>2067</v>
      </c>
    </row>
    <row r="170" spans="1:22">
      <c r="B170" s="327" t="s">
        <v>2068</v>
      </c>
      <c r="C170" s="327"/>
      <c r="D170" s="327"/>
      <c r="E170" s="327" t="s">
        <v>2069</v>
      </c>
    </row>
    <row r="171" spans="1:22">
      <c r="B171" s="327" t="s">
        <v>2070</v>
      </c>
      <c r="C171" s="327"/>
      <c r="D171" s="327"/>
      <c r="E171" s="327" t="s">
        <v>2071</v>
      </c>
    </row>
    <row r="172" spans="1:22">
      <c r="B172" s="327" t="s">
        <v>2072</v>
      </c>
      <c r="C172" s="327"/>
      <c r="D172" s="327"/>
      <c r="E172" s="327" t="s">
        <v>2073</v>
      </c>
    </row>
    <row r="173" spans="1:22">
      <c r="B173" s="327" t="s">
        <v>2074</v>
      </c>
      <c r="C173" s="327"/>
      <c r="D173" s="327"/>
      <c r="E173" s="327" t="s">
        <v>2075</v>
      </c>
    </row>
    <row r="174" spans="1:22">
      <c r="B174" s="327" t="s">
        <v>2076</v>
      </c>
      <c r="C174" s="327"/>
      <c r="D174" s="327"/>
      <c r="E174" s="327" t="s">
        <v>2077</v>
      </c>
    </row>
    <row r="175" spans="1:22">
      <c r="B175" s="327" t="s">
        <v>2078</v>
      </c>
      <c r="C175" s="327"/>
      <c r="D175" s="327"/>
      <c r="E175" s="327" t="s">
        <v>2079</v>
      </c>
    </row>
    <row r="176" spans="1:22">
      <c r="B176" s="327" t="s">
        <v>2080</v>
      </c>
      <c r="C176" s="327"/>
      <c r="D176" s="327"/>
      <c r="E176" s="327" t="s">
        <v>2081</v>
      </c>
    </row>
    <row r="177" spans="2:5">
      <c r="B177" s="327" t="s">
        <v>2082</v>
      </c>
      <c r="C177" s="327"/>
      <c r="D177" s="327"/>
      <c r="E177" s="327" t="s">
        <v>2083</v>
      </c>
    </row>
    <row r="178" spans="2:5">
      <c r="B178" s="327" t="s">
        <v>2084</v>
      </c>
      <c r="C178" s="327"/>
      <c r="D178" s="327"/>
      <c r="E178" s="327" t="s">
        <v>2085</v>
      </c>
    </row>
    <row r="179" spans="2:5" ht="15.75">
      <c r="B179" s="327" t="s">
        <v>2086</v>
      </c>
      <c r="C179" s="327"/>
      <c r="D179" s="327"/>
      <c r="E179" s="327" t="s">
        <v>2087</v>
      </c>
    </row>
    <row r="180" spans="2:5">
      <c r="B180" s="327" t="s">
        <v>2088</v>
      </c>
      <c r="C180" s="327"/>
      <c r="D180" s="327"/>
      <c r="E180" s="327" t="s">
        <v>2089</v>
      </c>
    </row>
    <row r="181" spans="2:5">
      <c r="B181" s="327" t="s">
        <v>2090</v>
      </c>
      <c r="C181" s="327"/>
      <c r="D181" s="327"/>
      <c r="E181" s="327" t="s">
        <v>2091</v>
      </c>
    </row>
    <row r="182" spans="2:5">
      <c r="B182" s="327" t="s">
        <v>2092</v>
      </c>
      <c r="C182" s="327"/>
      <c r="D182" s="327"/>
      <c r="E182" s="327" t="s">
        <v>2093</v>
      </c>
    </row>
    <row r="183" spans="2:5">
      <c r="B183" s="327" t="s">
        <v>2094</v>
      </c>
      <c r="C183" s="327"/>
      <c r="D183" s="327"/>
      <c r="E183" s="327" t="s">
        <v>2095</v>
      </c>
    </row>
    <row r="184" spans="2:5">
      <c r="B184" s="327" t="s">
        <v>2096</v>
      </c>
      <c r="C184" s="327"/>
      <c r="D184" s="327"/>
      <c r="E184" s="327" t="s">
        <v>2097</v>
      </c>
    </row>
    <row r="185" spans="2:5">
      <c r="B185" s="327" t="s">
        <v>2098</v>
      </c>
      <c r="C185" s="327"/>
      <c r="D185" s="327"/>
      <c r="E185" s="327" t="s">
        <v>2099</v>
      </c>
    </row>
    <row r="187" spans="2:5">
      <c r="E187" s="327" t="s">
        <v>1944</v>
      </c>
    </row>
  </sheetData>
  <mergeCells count="48">
    <mergeCell ref="E151:N151"/>
    <mergeCell ref="E153:N153"/>
    <mergeCell ref="C157:N157"/>
    <mergeCell ref="C161:N161"/>
    <mergeCell ref="E120:N120"/>
    <mergeCell ref="E122:N122"/>
    <mergeCell ref="E124:N124"/>
    <mergeCell ref="E126:N126"/>
    <mergeCell ref="E128:N128"/>
    <mergeCell ref="F137:N137"/>
    <mergeCell ref="F130:N130"/>
    <mergeCell ref="F131:N131"/>
    <mergeCell ref="F132:N132"/>
    <mergeCell ref="F133:N133"/>
    <mergeCell ref="F134:N134"/>
    <mergeCell ref="F135:N135"/>
    <mergeCell ref="D33:N33"/>
    <mergeCell ref="C23:E23"/>
    <mergeCell ref="D25:N25"/>
    <mergeCell ref="C27:E27"/>
    <mergeCell ref="D29:N29"/>
    <mergeCell ref="C31:E31"/>
    <mergeCell ref="D59:N59"/>
    <mergeCell ref="D37:N37"/>
    <mergeCell ref="C39:E39"/>
    <mergeCell ref="D41:N41"/>
    <mergeCell ref="C43:E43"/>
    <mergeCell ref="D45:N45"/>
    <mergeCell ref="C47:E47"/>
    <mergeCell ref="D49:N49"/>
    <mergeCell ref="C51:E51"/>
    <mergeCell ref="D53:N53"/>
    <mergeCell ref="D57:N57"/>
    <mergeCell ref="D86:N86"/>
    <mergeCell ref="D101:N101"/>
    <mergeCell ref="D116:N116"/>
    <mergeCell ref="D117:N117"/>
    <mergeCell ref="E118:N118"/>
    <mergeCell ref="F136:N136"/>
    <mergeCell ref="F138:N138"/>
    <mergeCell ref="F139:N139"/>
    <mergeCell ref="F140:N140"/>
    <mergeCell ref="F141:N141"/>
    <mergeCell ref="F142:N142"/>
    <mergeCell ref="F143:N143"/>
    <mergeCell ref="E145:N145"/>
    <mergeCell ref="E147:N147"/>
    <mergeCell ref="E149:N149"/>
  </mergeCells>
  <dataValidations disablePrompts="1" count="44">
    <dataValidation allowBlank="1" showInputMessage="1" showErrorMessage="1" prompt="For each &quot;Unoccupied Peak Weeks&quot; cell, specify the number of weeks the facility is closed during the months of June, July, and August for the given custom schedule." sqref="F114" xr:uid="{972B3569-B244-4E62-9894-964E2F895CDF}"/>
    <dataValidation allowBlank="1" showInputMessage="1" showErrorMessage="1" prompt="For each &quot;Holidays Observed Annually&quot; cell, specify the number of days the facility shuts down completely for the given schedule." sqref="F112" xr:uid="{16237D64-7F47-492D-B23C-D045674FC270}"/>
    <dataValidation allowBlank="1" showInputMessage="1" showErrorMessage="1" prompt="Each &quot;Hours of Use&quot; cell calculates the annual hours of use associated with the custom schedule input in the cells above." sqref="F106" xr:uid="{BB9CDECF-4AE0-4AB0-8315-5816D2A92DB6}"/>
    <dataValidation allowBlank="1" showInputMessage="1" showErrorMessage="1" prompt="Each row in the &quot;Off&quot; column represents the time at which the lights are turned off for the specified scheduled during the specified day of the week. The time should be entered in 24-hr. format." sqref="F105" xr:uid="{1B14AE6B-199E-4340-81B6-C47AE4C6BBB5}"/>
    <dataValidation allowBlank="1" showInputMessage="1" showErrorMessage="1" prompt="Each row in the &quot;On&quot; column represents the time at which the lights are turned on for the specified scheduled during the specified day of the week. The time should be entered in 24-hr. format." sqref="F104" xr:uid="{328C8D06-3518-46A8-8DB4-99D7EB429F8C}"/>
    <dataValidation allowBlank="1" showInputMessage="1" showErrorMessage="1" prompt="For cells R15 through AD15, &quot;Schedule Designation&quot;, specify a name for the custom schedule being designated in the cells below." sqref="F103" xr:uid="{2D837859-5272-4A27-81BF-FA5D8B8E9F07}"/>
    <dataValidation allowBlank="1" showInputMessage="1" showErrorMessage="1" prompt="For cell D18, &quot;Utility&quot;, specify the electric distribution company who services the facility." sqref="F67" xr:uid="{586DC046-C204-4DB0-BFF9-FA3BCF0AC7A5}"/>
    <dataValidation allowBlank="1" showInputMessage="1" showErrorMessage="1" prompt="For cell I26, &quot;HOU/CF Source&quot;, specify whether this project will be evaluated using TRM-specified hours of use and coincidence factors, or if custom operating schedules will be designated." sqref="F77 F80:F83" xr:uid="{1D7076BE-6B8F-4193-B85A-EE8CA06292EB}"/>
    <dataValidation allowBlank="1" showInputMessage="1" showErrorMessage="1" prompt="For cell D26, &quot;Installation Date&quot;, specify the completion (or expected completion) date of the project." sqref="F76 I66" xr:uid="{1AF11B9B-660A-4B5C-BB54-D295EDDC99AC}"/>
    <dataValidation allowBlank="1" showInputMessage="1" showErrorMessage="1" prompt="For cell D25, &quot;Facility Size&quot;, specify the total square footage of the facility at which the project occurs. This field is optional for retrofit applications." sqref="F75 I65" xr:uid="{3B885E8F-1BE2-4936-846E-864A4F2FD125}"/>
    <dataValidation allowBlank="1" showInputMessage="1" showErrorMessage="1" prompt="For cell D24, &quot;Construction Type&quot;, specify whether this project is for a lighting retrofit project or for new construction." sqref="F74 I64" xr:uid="{8BD83294-3165-47F3-8B45-55A6064A4302}"/>
    <dataValidation allowBlank="1" showInputMessage="1" showErrorMessage="1" prompt="For cell D23, &quot;ASHRAE Facility Type&quot;, select the option from the drop-down menu that best describes the usage of the facility." sqref="F73" xr:uid="{38E193FC-56FF-4D3F-B995-9E2B750DE907}"/>
    <dataValidation allowBlank="1" showInputMessage="1" showErrorMessage="1" prompt="For cell D21, &quot;Email&quot;, designate the email address where the designated contact can be reached." sqref="F72 I62" xr:uid="{1DAFC91A-DBA1-4CB3-935D-9AAE34DC897F}"/>
    <dataValidation allowBlank="1" showInputMessage="1" showErrorMessage="1" prompt="For cell D20, &quot;Phone&quot;, designate the phone number where the designated contact can be reached." sqref="F71 I61" xr:uid="{2571EC61-A029-4756-A87A-C3A01C456FA1}"/>
    <dataValidation allowBlank="1" showInputMessage="1" showErrorMessage="1" prompt="For cell D19, &quot;Contact Name and Title&quot;, designate the person who should be contacted in the event that there are any questions regarding this application." sqref="F69" xr:uid="{1CB0B081-92CF-48A2-B011-01B1973A8C14}"/>
    <dataValidation allowBlank="1" showInputMessage="1" showErrorMessage="1" prompt="For cell H18, &quot;Account No.&quot;, specify the account number on record with electric distributing company. If this is a pre-application for a new construction project, and service has not yet been connect, input &quot;TBD&quot;." sqref="F68" xr:uid="{BBD3FA2F-9EE7-49C1-A556-F278237CCF21}"/>
    <dataValidation allowBlank="1" showInputMessage="1" showErrorMessage="1" prompt="For cell J17, &quot;Zip&quot;, specify the zip code in which the facility is located." sqref="F66" xr:uid="{810152B1-A072-49B2-81DE-E47C9AE84897}"/>
    <dataValidation allowBlank="1" showInputMessage="1" showErrorMessage="1" prompt="For cell H17, &quot;State&quot;, specify the state in which the facility is located." sqref="F65" xr:uid="{384FFD7E-4F8D-4697-954B-5B0973B88CEA}"/>
    <dataValidation allowBlank="1" showInputMessage="1" showErrorMessage="1" prompt="For cell D17, &quot;City&quot;, specify the city in which the facility is located." sqref="F64" xr:uid="{4273AE12-221D-4401-BD90-376EAAA114C2}"/>
    <dataValidation allowBlank="1" showInputMessage="1" showErrorMessage="1" prompt="For cell D16, &quot;Address&quot;, specify the address at which the project takes place." sqref="F63" xr:uid="{E00F07B9-F970-4743-88F1-BC81F6EC1DCF}"/>
    <dataValidation allowBlank="1" showInputMessage="1" showErrorMessage="1" prompt="For cell D14, &quot;Facility Name&quot;, specify a name of the facility in question for reference in the event that the applicant will be submitting applications for multiple facilities within one program year." sqref="F62" xr:uid="{59F461EE-7512-456D-938C-5953775DF9B7}"/>
    <dataValidation allowBlank="1" showInputMessage="1" showErrorMessage="1" prompt="For cell D13, &quot;Applicant Name&quot;, specify the name of the applicant as corroborated by the submitted W9." sqref="F61" xr:uid="{BD380E82-91D4-4FEA-AEA8-A6BC76BE0331}"/>
    <dataValidation allowBlank="1" showInputMessage="1" showErrorMessage="1" prompt="For each &quot;Yearly Operating Weeks&quot; cell, specify the number of weeks the facility operates at the given custom schedule." sqref="F113" xr:uid="{5DE8F6DD-E5FE-48EE-AB91-50D1FB5F03DA}"/>
    <dataValidation allowBlank="1" showInputMessage="1" showErrorMessage="1" prompt="For cell D23, &quot;Facility Type&quot;, select the option from the drop-down menu that best describes the usage of the facility." sqref="I63" xr:uid="{5502AD54-68CA-4079-A301-189FAADCCF62}"/>
    <dataValidation allowBlank="1" showInputMessage="1" showErrorMessage="1" prompt="For cell I29, &quot;Which exterior lighting zone describes your project?&quot;, specify the ASHRAE Exterior Lighting Zone to which this building belongs. This is needed to determine the appropriate ASHRAE minimum LPD allowance for exterior fixtures." sqref="I69" xr:uid="{E4BB47ED-D9A2-4C8F-8940-C36384F9E1D3}"/>
    <dataValidation allowBlank="1" showInputMessage="1" showErrorMessage="1" prompt="For cell I28, &quot;Does this facility service the visually impaired?&quot;, specify whether this facility services people with visual impairments. This is needed to determine the appropriate ASHRAE LPD." sqref="I68" xr:uid="{4B5B201B-83AB-423E-92D3-FCDFD7F61280}"/>
    <dataValidation allowBlank="1" showInputMessage="1" showErrorMessage="1" prompt="For cell I27, indicate whether or not this is a small business direct install project. Selecting &quot;Yes&quot; will disable the T12 baseline adjustment feature." sqref="F70" xr:uid="{58A2A07F-BA52-4F68-9E6D-4B2F6CB11632}"/>
    <dataValidation allowBlank="1" showInputMessage="1" showErrorMessage="1" prompt="For cell I28, &quot;Which exterior lighting zone describes your project?&quot;, specify the ASHRAE Exterior Lighting Zone to which this building belongs. This is needed to determine the appropriate ASHRAE minimum LPD allowance for exterior fixtures." sqref="F79" xr:uid="{FD2ED00C-DC98-478D-ADD9-4022C6D03B3B}"/>
    <dataValidation allowBlank="1" showInputMessage="1" showErrorMessage="1" prompt="For cell I27, &quot;Does this facility service the visually impaired?&quot;, specify whether this facility services people with visual impairments. This is needed to determine the appropriate ASHRAE LPD." sqref="F78" xr:uid="{2BFD3769-9E11-4EEF-9CFC-F26246D73D44}"/>
    <dataValidation allowBlank="1" showInputMessage="1" showErrorMessage="1" prompt="Cells T42 through T61, &quot;Wattage Allowance per Unit&quot;, display the ASHRAE designated allowable wattage per the unit described in column Q for calculating wattage allowance for the space type selected." sqref="F96" xr:uid="{13991799-4EE5-423D-AF3E-7755F6B4E43A}"/>
    <dataValidation allowBlank="1" showInputMessage="1" showErrorMessage="1" prompt="For cells C42 through C61, &quot;Space Designation&quot;, provide a name for  the space described in the details of subsequent columns." sqref="F89" xr:uid="{CD1BEE5E-A65C-45E5-9BC6-358A077FCB5F}"/>
    <dataValidation allowBlank="1" showInputMessage="1" showErrorMessage="1" prompt="For cell I26, &quot;HOU/CF Source&quot;, specify whether this project will be evaluated using TRM-deemed hours of use and coincidence factors, or if custom operating schedules will be used. If &quot;Deemed,&quot; the calculator will assume a single designated Facilty Type." sqref="I67" xr:uid="{30FB33EB-8A64-4989-95D2-F51C56B0849E}"/>
    <dataValidation allowBlank="1" showInputMessage="1" showErrorMessage="1" prompt="Cell D38, &quot;Calculation Method&quot;, is only applicable in the event that the application is for a New Construction project. In this case, specify whether the project should be evaluated using the &quot;Space-by-Space Method&quot; or the &quot;Building Area Method&quot;." sqref="F88" xr:uid="{DCCBC9D5-BEFA-4D5D-BAE5-E3BAD2A53660}"/>
    <dataValidation allowBlank="1" showInputMessage="1" showErrorMessage="1" prompt="For cells D42 through D61, &quot;Space Type&quot;, select the option from the drop-down menu that best describes the usage of the designated space type." sqref="F90" xr:uid="{A73D6BB7-D7F8-483B-B30E-F60447F430EA}"/>
    <dataValidation allowBlank="1" showInputMessage="1" showErrorMessage="1" prompt="For cells J42 through J61, &quot;Schedule&quot;, which schedule will be used to evaluate this space type. The user can either select to use TRM-deemed values, or a custom schedule as created in the table below." sqref="F91" xr:uid="{78F5CE01-A3E3-4385-BEAB-A44438CB570A}"/>
    <dataValidation allowBlank="1" showInputMessage="1" showErrorMessage="1" prompt="For cells N42 through N61, &quot;Cooling Type&quot;, select the option from the drop-down menu that best describes the cooling type of the designated space type." sqref="F92:F93" xr:uid="{088CB92F-71A3-4257-95FD-08720493A550}"/>
    <dataValidation allowBlank="1" showInputMessage="1" showErrorMessage="1" prompt="For cells O42 through O61, &quot;Qty. of Units&quot;, specify the number of units (defined in column Q) included in the designated space type." sqref="F94" xr:uid="{D7DF8B51-095E-447A-8C34-1FEF0ED8727C}"/>
    <dataValidation allowBlank="1" showInputMessage="1" showErrorMessage="1" prompt="Cells Q42 through Q61, &quot;Units&quot;, display the ASHRAE designated units for calculating wattage allowance for the space type selected." sqref="F95" xr:uid="{67D68666-7754-4640-8743-94B4C4E012C1}"/>
    <dataValidation allowBlank="1" showInputMessage="1" showErrorMessage="1" prompt="Cell O38, &quot;Allowable Watts&quot;, displays the ASHRAE allowable total wattage for the facility based on the space details provided." sqref="F97:F99" xr:uid="{2A4E727F-825E-47BA-B826-CFCCFF3FF2D9}"/>
    <dataValidation allowBlank="1" showInputMessage="1" showErrorMessage="1" prompt="Each &quot;Coincidence Factor&quot; cell calculates the percentage of the designated peak hours that the lights will be operational according to the custom schedule input in the cells above. Intermediate calculations for this cell can be found starting in row 44." sqref="F107" xr:uid="{2545889F-E0F7-4B2F-BDE2-354C85D4D235}"/>
    <dataValidation allowBlank="1" showInputMessage="1" showErrorMessage="1" prompt="Cell AF27, &quot;Screw-In Hours of Use&quot;, displays the TRM-deemed hours of use associated with screw-in bulbs for the building type selected." sqref="F108" xr:uid="{47706A60-D66E-45CF-9B27-C6E6258A4F95}"/>
    <dataValidation allowBlank="1" showInputMessage="1" showErrorMessage="1" prompt="Cell AF28, &quot;Screw-In CF&quot;, displays the TRM-deemed coincidence factor associated with screw-in bulbs for the building type selected." sqref="F109" xr:uid="{095A6872-3F84-4811-A0A8-7A4D82C8CDE8}"/>
    <dataValidation allowBlank="1" showInputMessage="1" showErrorMessage="1" prompt="Cell AG27, &quot;General Hours of Use&quot;, displays the TRM-deemed hours of use associated with general service bulbs for the building type selected." sqref="F110" xr:uid="{9169AB57-5D8F-48D5-B27E-9CC11EB0331F}"/>
    <dataValidation allowBlank="1" showInputMessage="1" showErrorMessage="1" prompt="Cell AG28, &quot;General Coincidence Factor&quot;, displays the TRM-deemed coincidence factor associated with general service bulbs for the building type selected." sqref="F111" xr:uid="{4EF0EBB7-5ED8-4C18-9D95-80455EE16998}"/>
  </dataValidations>
  <hyperlinks>
    <hyperlink ref="C23" location="Manual!A1" display="(1) Manual" xr:uid="{29A62CF1-5353-4B25-85B4-0D7A973FB7DF}"/>
    <hyperlink ref="C27" location="Changelog!A1" display="(2) Changelog" xr:uid="{CC7E6409-44A9-4C4E-8010-E097C7952165}"/>
    <hyperlink ref="C35" location="'General Information'!A1" display="(4) General Information" xr:uid="{5B98997B-5E8B-4528-BA12-B919BD058F5A}"/>
    <hyperlink ref="C39" location="'Lighting Inventory'!A1" display="(5) Lighting Inventory" xr:uid="{AC38DF42-1CBD-475D-98C5-828A7A36DB84}"/>
    <hyperlink ref="C43" location="'Fixture Identities'!A1" display="(6) Fixture Identities" xr:uid="{96961DC4-E19E-43AF-AAB7-96E58F7AA5B8}"/>
    <hyperlink ref="C47" location="Summary!A1" display="(7) Summary" xr:uid="{B7AC9696-8F10-4087-99DE-87B6945135CD}"/>
    <hyperlink ref="C51" location="Lookups!A1" display="(8) Lookups" xr:uid="{2220AAF7-AC87-4D69-BF2F-032BDD8067BF}"/>
    <hyperlink ref="C31" location="Glossary!A1" display="(3) Glossary" xr:uid="{FD661746-B76D-4383-9DC8-10712F05DC7F}"/>
    <hyperlink ref="D7" location="Manual!B14" display="Purpose" xr:uid="{8908808B-BBBD-4D9C-AB7B-23A8153924A3}"/>
    <hyperlink ref="D8" location="Manual!B20" display="Organization" xr:uid="{354DA6CB-A7BB-4BB1-9D1F-A16F47860D00}"/>
    <hyperlink ref="D9" location="Manual!B56" display="User Guide" xr:uid="{15D6E093-E604-4595-A75D-0AA557D3D33E}"/>
    <hyperlink ref="D10" location="Manual!B156" display="Notes" xr:uid="{EA30E513-670C-4625-A56B-711DFC2DE0D9}"/>
    <hyperlink ref="D11" location="Manual!B160" display="Disclaimer" xr:uid="{AB5ECA8B-1C50-4410-B581-A6A0FD8285F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5AEDCE0710E744B4599FE581170A20" ma:contentTypeVersion="13" ma:contentTypeDescription="Create a new document." ma:contentTypeScope="" ma:versionID="f9ddbb52a6a77171a91beb9cd7096342">
  <xsd:schema xmlns:xsd="http://www.w3.org/2001/XMLSchema" xmlns:xs="http://www.w3.org/2001/XMLSchema" xmlns:p="http://schemas.microsoft.com/office/2006/metadata/properties" xmlns:ns3="8d8c178d-f5b8-46f8-9238-ff1bbd70ea31" xmlns:ns4="75ef8161-3248-4da2-bee9-f9ea8c5b9bba" targetNamespace="http://schemas.microsoft.com/office/2006/metadata/properties" ma:root="true" ma:fieldsID="24d0ed7683b51c14702ceab6382c21b7" ns3:_="" ns4:_="">
    <xsd:import namespace="8d8c178d-f5b8-46f8-9238-ff1bbd70ea31"/>
    <xsd:import namespace="75ef8161-3248-4da2-bee9-f9ea8c5b9bb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8c178d-f5b8-46f8-9238-ff1bbd70ea3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ef8161-3248-4da2-bee9-f9ea8c5b9bb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68CCAD-B05A-4469-BC33-C51C1D06D807}">
  <ds:schemaRefs>
    <ds:schemaRef ds:uri="http://schemas.microsoft.com/sharepoint/v3/contenttype/forms"/>
  </ds:schemaRefs>
</ds:datastoreItem>
</file>

<file path=customXml/itemProps2.xml><?xml version="1.0" encoding="utf-8"?>
<ds:datastoreItem xmlns:ds="http://schemas.openxmlformats.org/officeDocument/2006/customXml" ds:itemID="{69BFF6C6-4F7E-4712-9DEF-92226E1B0DE6}">
  <ds:schemaRefs>
    <ds:schemaRef ds:uri="http://schemas.microsoft.com/office/infopath/2007/PartnerControls"/>
    <ds:schemaRef ds:uri="http://purl.org/dc/elements/1.1/"/>
    <ds:schemaRef ds:uri="http://schemas.microsoft.com/office/2006/metadata/properties"/>
    <ds:schemaRef ds:uri="http://purl.org/dc/dcmitype/"/>
    <ds:schemaRef ds:uri="8d8c178d-f5b8-46f8-9238-ff1bbd70ea31"/>
    <ds:schemaRef ds:uri="http://purl.org/dc/terms/"/>
    <ds:schemaRef ds:uri="http://schemas.microsoft.com/office/2006/documentManagement/types"/>
    <ds:schemaRef ds:uri="http://schemas.openxmlformats.org/package/2006/metadata/core-properties"/>
    <ds:schemaRef ds:uri="75ef8161-3248-4da2-bee9-f9ea8c5b9bba"/>
    <ds:schemaRef ds:uri="http://www.w3.org/XML/1998/namespace"/>
  </ds:schemaRefs>
</ds:datastoreItem>
</file>

<file path=customXml/itemProps3.xml><?xml version="1.0" encoding="utf-8"?>
<ds:datastoreItem xmlns:ds="http://schemas.openxmlformats.org/officeDocument/2006/customXml" ds:itemID="{81FE981E-365C-4A9D-B534-A9CFB4A0F9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8c178d-f5b8-46f8-9238-ff1bbd70ea31"/>
    <ds:schemaRef ds:uri="75ef8161-3248-4da2-bee9-f9ea8c5b9b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52</vt:i4>
      </vt:variant>
    </vt:vector>
  </HeadingPairs>
  <TitlesOfParts>
    <vt:vector size="71" baseType="lpstr">
      <vt:lpstr>Instructions</vt:lpstr>
      <vt:lpstr>Project Info and Summary</vt:lpstr>
      <vt:lpstr>Fixture and LED Schedule</vt:lpstr>
      <vt:lpstr>Inventory</vt:lpstr>
      <vt:lpstr>Data Export</vt:lpstr>
      <vt:lpstr>General Information</vt:lpstr>
      <vt:lpstr>Lookups</vt:lpstr>
      <vt:lpstr>Usage Groups (&gt;120 MWh only)</vt:lpstr>
      <vt:lpstr>Manual</vt:lpstr>
      <vt:lpstr>Changelog</vt:lpstr>
      <vt:lpstr>NC Exterior Lighting Only</vt:lpstr>
      <vt:lpstr>Fixture Identities</vt:lpstr>
      <vt:lpstr>Lighting Inventory (Ref only)</vt:lpstr>
      <vt:lpstr>Report</vt:lpstr>
      <vt:lpstr>Methodology</vt:lpstr>
      <vt:lpstr>Glossary </vt:lpstr>
      <vt:lpstr>Summary</vt:lpstr>
      <vt:lpstr>Dropdowns</vt:lpstr>
      <vt:lpstr>Version Log</vt:lpstr>
      <vt:lpstr>Building_Type</vt:lpstr>
      <vt:lpstr>Building_Types</vt:lpstr>
      <vt:lpstr>BuildingTypeMap</vt:lpstr>
      <vt:lpstr>Cool_Type</vt:lpstr>
      <vt:lpstr>Cost</vt:lpstr>
      <vt:lpstr>Custom_Cut_SheeInputTable</vt:lpstr>
      <vt:lpstr>Customer</vt:lpstr>
      <vt:lpstr>Customer_Name</vt:lpstr>
      <vt:lpstr>'Glossary '!Heating_Type</vt:lpstr>
      <vt:lpstr>Heating_Type</vt:lpstr>
      <vt:lpstr>HOU_CF_IF</vt:lpstr>
      <vt:lpstr>kW_Rate</vt:lpstr>
      <vt:lpstr>kWh_Rate</vt:lpstr>
      <vt:lpstr>'Glossary '!LED_Codes</vt:lpstr>
      <vt:lpstr>LED_Codes</vt:lpstr>
      <vt:lpstr>LEDFixtCodeInputTable</vt:lpstr>
      <vt:lpstr>'Glossary '!LPD_BuildingArea</vt:lpstr>
      <vt:lpstr>LPD_BuildingArea</vt:lpstr>
      <vt:lpstr>Measure_Description</vt:lpstr>
      <vt:lpstr>NC_Type</vt:lpstr>
      <vt:lpstr>Inventory!Print_Area</vt:lpstr>
      <vt:lpstr>'Project Info and Summary'!Print_Area</vt:lpstr>
      <vt:lpstr>Report!Print_Area</vt:lpstr>
      <vt:lpstr>PRJ_Type</vt:lpstr>
      <vt:lpstr>SqFt</vt:lpstr>
      <vt:lpstr>UtilityFixtCodeInputTable</vt:lpstr>
      <vt:lpstr>xyHOU_CF_IF</vt:lpstr>
      <vt:lpstr>xyIF_Cooling</vt:lpstr>
      <vt:lpstr>xyLED_Codes</vt:lpstr>
      <vt:lpstr>xyLPD_BuildingArea</vt:lpstr>
      <vt:lpstr>xyLPD_SpaceBySpace</vt:lpstr>
      <vt:lpstr>xyNCLPD</vt:lpstr>
      <vt:lpstr>xySpace_Type_Details</vt:lpstr>
      <vt:lpstr>xySVG_Factors</vt:lpstr>
      <vt:lpstr>xySVG_Factors_NC</vt:lpstr>
      <vt:lpstr>xyWattage_Table</vt:lpstr>
      <vt:lpstr>yBldgType</vt:lpstr>
      <vt:lpstr>yControl_Code</vt:lpstr>
      <vt:lpstr>yControlTypes</vt:lpstr>
      <vt:lpstr>yCooling_Type</vt:lpstr>
      <vt:lpstr>yFixture_Code</vt:lpstr>
      <vt:lpstr>yHFuel_Type</vt:lpstr>
      <vt:lpstr>yLED_Codes</vt:lpstr>
      <vt:lpstr>yLED_Fixture_Code</vt:lpstr>
      <vt:lpstr>yLighting_Categories</vt:lpstr>
      <vt:lpstr>yLPD_Space_Types</vt:lpstr>
      <vt:lpstr>yNCSpaces</vt:lpstr>
      <vt:lpstr>yNewConstructionBldgType</vt:lpstr>
      <vt:lpstr>ySpace_by_Space_Type</vt:lpstr>
      <vt:lpstr>ySubcategory</vt:lpstr>
      <vt:lpstr>yTimes</vt:lpstr>
      <vt:lpstr>yUtility_Fixture_Code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Selwyn</dc:creator>
  <cp:keywords/>
  <dc:description/>
  <cp:lastModifiedBy>Tom Cosgro</cp:lastModifiedBy>
  <cp:revision/>
  <dcterms:created xsi:type="dcterms:W3CDTF">2015-02-10T14:02:11Z</dcterms:created>
  <dcterms:modified xsi:type="dcterms:W3CDTF">2021-07-20T20:24:05Z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0x010100345AEDCE0710E744B4599FE581170A20</vt:lpwstr>
  </property>
</Properties>
</file>